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665" yWindow="1725" windowWidth="3525" windowHeight="4350" tabRatio="759"/>
  </bookViews>
  <sheets>
    <sheet name="INDICE_ MODELO" sheetId="40" r:id="rId1"/>
    <sheet name="RES_RESUMEN_PRESUPUESTO_2" sheetId="49" r:id="rId2"/>
    <sheet name="PRE_PRESUPUESTO_GRUPOS_ALIMENTO" sheetId="55" r:id="rId3"/>
    <sheet name="COSTPE_G_ALIMENTOS_GRUPOS (2)" sheetId="60" r:id="rId4"/>
    <sheet name="MNU_BD_MENUS" sheetId="1" r:id="rId5"/>
    <sheet name="COT_BASE_COTIZACIONES" sheetId="24" r:id="rId6"/>
    <sheet name="COT_PRECALCULOS" sheetId="28" r:id="rId7"/>
    <sheet name="COSTPE_G_ALIMENTOS_GRUPOS" sheetId="54" r:id="rId8"/>
    <sheet name="COSTSE_G_ALIMENTOS_GRUPOS" sheetId="56" r:id="rId9"/>
    <sheet name="PRO_BASE_PROVEEDORES" sheetId="23" r:id="rId10"/>
    <sheet name="FRE_FRECUENCIAS" sheetId="5" r:id="rId11"/>
    <sheet name="CAL_CALENDARIO_CICLOS" sheetId="4" r:id="rId12"/>
    <sheet name="VOL_VOLUMEN_SUMINISTROS" sheetId="10" r:id="rId13"/>
  </sheets>
  <definedNames>
    <definedName name="_xlnm._FilterDatabase" localSheetId="11" hidden="1">CAL_CALENDARIO_CICLOS!$A$18:$P$502</definedName>
    <definedName name="_xlnm._FilterDatabase" localSheetId="7" hidden="1">COSTPE_G_ALIMENTOS_GRUPOS!$A$15:$BG$405</definedName>
    <definedName name="_xlnm._FilterDatabase" localSheetId="3" hidden="1">'COSTPE_G_ALIMENTOS_GRUPOS (2)'!$A$13:$BG$404</definedName>
    <definedName name="_xlnm._FilterDatabase" localSheetId="8" hidden="1">COSTSE_G_ALIMENTOS_GRUPOS!$A$15:$AS$405</definedName>
    <definedName name="_xlnm._FilterDatabase" localSheetId="5" hidden="1">COT_BASE_COTIZACIONES!$A$14:$AF$783</definedName>
    <definedName name="_xlnm._FilterDatabase" localSheetId="6" hidden="1">COT_PRECALCULOS!$A$29:$AO$48</definedName>
    <definedName name="_xlnm._FilterDatabase" localSheetId="4" hidden="1">MNU_BD_MENUS!$A$12:$CI$323</definedName>
    <definedName name="_xlnm._FilterDatabase" localSheetId="2" hidden="1">PRE_PRESUPUESTO_GRUPOS_ALIMENTO!$B$13:$L$18</definedName>
    <definedName name="CAL_DIAS_SUMINISTRO_PE">CAL_CALENDARIO_CICLOS!$F$18:$F$502</definedName>
    <definedName name="CAL_DIAS_SUMINISTRO_SE_FDS">CAL_CALENDARIO_CICLOS!$K$18:$K$502</definedName>
    <definedName name="CAL_DIAS_SUMINISTRO_SE_LAV">CAL_CALENDARIO_CICLOS!$J$18:$J$502</definedName>
    <definedName name="CAL_PRIMERA_ENTREGA">CAL_CALENDARIO_CICLOS!$H$18:$H$502</definedName>
    <definedName name="CAL_PRIMERA_ENTREGA_FRUTA">CAL_CALENDARIO_CICLOS!$I$18:$I$502</definedName>
    <definedName name="CAL_SEGUNDA_ENTREGA_FDS">CAL_CALENDARIO_CICLOS!$O$18:$O$502</definedName>
    <definedName name="CAL_SEGUNDA_ENTREGA_FDS_FRUTA">CAL_CALENDARIO_CICLOS!$P$18:$P$502</definedName>
    <definedName name="CAL_SEGUNDA_ENTREGA_LAV">CAL_CALENDARIO_CICLOS!$M$18:$M$502</definedName>
    <definedName name="CAL_SEGUNDA_ENTREGA_LAV_FRUTA">CAL_CALENDARIO_CICLOS!$N$18:$N$502</definedName>
    <definedName name="COSTPE_G_ALIMENTO_GRUPO">COSTPE_G_ALIMENTOS_GRUPOS!$C$15:$C$405</definedName>
    <definedName name="COSTPE_G_CATEGORIA">COSTPE_G_ALIMENTOS_GRUPOS!$D$15:$D$405</definedName>
    <definedName name="COSTPE_G_CATEGORIA_GRUPO">COSTPE_G_ALIMENTOS_GRUPOS!$B$15:$B$405</definedName>
    <definedName name="COSTPE_G_CODIGO_ALIMENTOS">COSTPE_G_ALIMENTOS_GRUPOS!$E$15:$E$405</definedName>
    <definedName name="COSTPE_G_GRUPOS">COSTPE_G_ALIMENTOS_GRUPOS!$A$15:$A$405</definedName>
    <definedName name="COSTPE_G_VALOR_TOTAL_IVAINLCUIDO">COSTPE_G_ALIMENTOS_GRUPOS!$BG$15:$BG$405</definedName>
    <definedName name="COSTPE_G_VALOR_TOTAL_TIPOA">COSTPE_G_ALIMENTOS_GRUPOS!$Q$15:$Q$405</definedName>
    <definedName name="COSTPE_G_VALOR_TOTAL_TIPOB">COSTPE_G_ALIMENTOS_GRUPOS!$AA$15:$AA$405</definedName>
    <definedName name="COSTPE_G_VALOR_TOTAL_TIPOC">COSTPE_G_ALIMENTOS_GRUPOS!$AK$15:$AK$405</definedName>
    <definedName name="COSTPE_G_VALOR_TOTAL_TIPOH">COSTPE_G_ALIMENTOS_GRUPOS!$BE$15:$BE$405</definedName>
    <definedName name="COSTPE_G_VALOR_TOTAL_TIPOM">COSTPE_G_ALIMENTOS_GRUPOS!$AU$15:$AU$405</definedName>
    <definedName name="COSTPE_G_VOLUMEN_TOTAL_TIPOA">COSTPE_G_ALIMENTOS_GRUPOS!$K$15:$K$405</definedName>
    <definedName name="COSTPE_G_VOLUMEN_TOTAL_TIPOB">COSTPE_G_ALIMENTOS_GRUPOS!$U$15:$U$405</definedName>
    <definedName name="COSTPE_G_VOLUMEN_TOTAL_TIPOC">COSTPE_G_ALIMENTOS_GRUPOS!$AE$15:$AE$405</definedName>
    <definedName name="COSTPE_G_VOLUMEN_TOTAL_TIPOH">COSTPE_G_ALIMENTOS_GRUPOS!$AY$15:$AY$405</definedName>
    <definedName name="COSTPE_G_VOLUMEN_TOTAL_TIPOM">COSTPE_G_ALIMENTOS_GRUPOS!$AO$15:$AO$405</definedName>
    <definedName name="COSTSE_G_ALIMENTO_GRUPO">COSTSE_G_ALIMENTOS_GRUPOS!$C$15:$C$405</definedName>
    <definedName name="COSTSE_G_CATEGORIA">COSTSE_G_ALIMENTOS_GRUPOS!$D$15:$D$405</definedName>
    <definedName name="COSTSE_G_CATEGORIA_GRUPO">COSTSE_G_ALIMENTOS_GRUPOS!$B$15:$B$405</definedName>
    <definedName name="COSTSE_G_CODIGO_ALIMENTOS">COSTSE_G_ALIMENTOS_GRUPOS!$E$15:$E$405</definedName>
    <definedName name="COSTSE_G_GRUPOS">COSTSE_G_ALIMENTOS_GRUPOS!$A$15:$A$405</definedName>
    <definedName name="COSTSE_G_VALOR_TOTAL_IVAINLCUIDO">COSTSE_G_ALIMENTOS_GRUPOS!$AS$15:$AS$405</definedName>
    <definedName name="COSTSE_G_VALOR_TOTAL_TIPOA">COSTSE_G_ALIMENTOS_GRUPOS!$S$15:$S$405</definedName>
    <definedName name="COSTSE_G_VALOR_TOTAL_TIPOB">COSTSE_G_ALIMENTOS_GRUPOS!$AE$15:$AE$405</definedName>
    <definedName name="COSTSE_G_VALOR_TOTAL_TIPOC">COSTSE_G_ALIMENTOS_GRUPOS!$AQ$15:$AQ$405</definedName>
    <definedName name="COSTSE_G_VOLUMEN_TOTAL_TIPOA">COSTSE_G_ALIMENTOS_GRUPOS!$M$15:$M$405</definedName>
    <definedName name="COSTSE_G_VOLUMEN_TOTAL_TIPOB">COSTSE_G_ALIMENTOS_GRUPOS!$Y$15:$Y$405</definedName>
    <definedName name="COSTSE_G_VOLUMEN_TOTAL_TIPOC">COSTSE_G_ALIMENTOS_GRUPOS!$AK$15:$AK$405</definedName>
    <definedName name="COT_ALIMENTOS">COT_BASE_COTIZACIONES!$I$15:$M$783</definedName>
    <definedName name="COT_CODIGO_ALIMENTOS">COT_BASE_COTIZACIONES!$I$14:$I$783</definedName>
    <definedName name="COT_COTIZACIONES_TOTAL">COT_BASE_COTIZACIONES!$I$14:$AE$783</definedName>
    <definedName name="COT_FACTOR_PROMEDIO_PONDERADO">COT_BASE_COTIZACIONES!$AC$14:$AC$783</definedName>
    <definedName name="COT_PRE_ALIMENTOS">COT_PRECALCULOS!$D$29:$AC$884</definedName>
    <definedName name="COT_PRE_CODIGO_ALIMENTOS">COT_PRECALCULOS!$D$29:$D$884</definedName>
    <definedName name="COT_PRE_ESTADISTICOS">COT_PRECALCULOS!$AD$2:$AD$8</definedName>
    <definedName name="COT_VALOR_UNITARIO_CONIVA">COT_BASE_COTIZACIONES!$AB$14:$AB$783</definedName>
    <definedName name="COT_VALOR_UNITARIO_SINIVA">COT_BASE_COTIZACIONES!$AA$14:$AA$783</definedName>
    <definedName name="COT_VALORES_PONDERADOS_CONIVA">COT_BASE_COTIZACIONES!$AE$14:$AE$783</definedName>
    <definedName name="COT_VALORES_PONDERADOS_SINIVA">COT_BASE_COTIZACIONES!$AD$14:$AD$783</definedName>
    <definedName name="FRE_CANTIDADES_DIARIAS_SUMINISTROS">FRE_FRECUENCIAS!$G$13:$O$22</definedName>
    <definedName name="FRE_FRECUENCIA_MENUS_FDS">FRE_FRECUENCIAS!$B$47:$C$61</definedName>
    <definedName name="FRE_FRECUENCIA_MENUS_LAV">FRE_FRECUENCIAS!$B$14:$C$46</definedName>
    <definedName name="MNU_ALIMENTOS">MNU_BD_MENUS!$J$12:$L$323</definedName>
    <definedName name="MNU_CODIGO_ALIMENTO">MNU_BD_MENUS!$J$12:$J$323</definedName>
    <definedName name="MNU_CODIGO_ALIMENTO_ENTREGA">MNU_BD_MENUS!$D$12:$D$323</definedName>
    <definedName name="MNU_COSTO_GRAMO_TIPOA_CONIVA">MNU_BD_MENUS!$AY$12:$AY$323</definedName>
    <definedName name="MNU_COSTO_GRAMO_TIPOA_SINIVA">MNU_BD_MENUS!$AT$12:$AT$323</definedName>
    <definedName name="MNU_COSTO_GRAMO_TIPOB_CONIVA">MNU_BD_MENUS!$AZ$12:$AZ$323</definedName>
    <definedName name="MNU_COSTO_GRAMO_TIPOB_SINIVA">MNU_BD_MENUS!$AU$12:$AU$323</definedName>
    <definedName name="MNU_COSTO_GRAMO_TIPOC_CONIVA">MNU_BD_MENUS!$BA$12:$BA$323</definedName>
    <definedName name="MNU_COSTO_GRAMO_TIPOC_SINIVA">MNU_BD_MENUS!$AV$12:$AV$323</definedName>
    <definedName name="MNU_COSTO_GRAMO_TIPOH_CONIVA">MNU_BD_MENUS!$BC$12:$BC$323</definedName>
    <definedName name="MNU_COSTO_GRAMO_TIPOH_SINIVA">MNU_BD_MENUS!$AX$12:$AX$323</definedName>
    <definedName name="MNU_COSTO_GRAMO_TIPOM_CONIVA">MNU_BD_MENUS!$BB$12:$BB$323</definedName>
    <definedName name="MNU_COSTO_GRAMO_TIPOM_SINIVA">MNU_BD_MENUS!$AW$12:$AW$323</definedName>
    <definedName name="MNU_COSTO_TOTAL_CONIVA">MNU_BD_MENUS!$BY$12:$BY$323</definedName>
    <definedName name="MNU_COSTO_TOTAL_SINIVA">MNU_BD_MENUS!$BS$12:$BS$323</definedName>
    <definedName name="MNU_COSTO_TOTAL_TIPOA_CONIVA">MNU_BD_MENUS!$BT$12:$BT$323</definedName>
    <definedName name="MNU_COSTO_TOTAL_TIPOA_SELECCIONADO">MNU_BD_MENUS!$CE$12:$CE$323</definedName>
    <definedName name="MNU_COSTO_TOTAL_TIPOA_SINIVA">MNU_BD_MENUS!$BN$12:$BN$323</definedName>
    <definedName name="MNU_COSTO_TOTAL_TIPOB_CONIVA">MNU_BD_MENUS!$BU$12:$BU$323</definedName>
    <definedName name="MNU_COSTO_TOTAL_TIPOB_SELECCIONADO">MNU_BD_MENUS!$CF$12:$CF$323</definedName>
    <definedName name="MNU_COSTO_TOTAL_TIPOB_SINIVA">MNU_BD_MENUS!$BO$12:$BO$323</definedName>
    <definedName name="MNU_COSTO_TOTAL_TIPOC_CONIVA">MNU_BD_MENUS!$BV$12:$BV$323</definedName>
    <definedName name="MNU_COSTO_TOTAL_TIPOC_SELECCIONADO">MNU_BD_MENUS!$CG$12:$CG$323</definedName>
    <definedName name="MNU_COSTO_TOTAL_TIPOC_SINIVA">MNU_BD_MENUS!$BP$12:$BP$323</definedName>
    <definedName name="MNU_COSTO_TOTAL_TIPOH_CONIVA">MNU_BD_MENUS!$BX$12:$BX$323</definedName>
    <definedName name="MNU_COSTO_TOTAL_TIPOH_SELECCIONADO">MNU_BD_MENUS!$CI$12:$CI$323</definedName>
    <definedName name="MNU_COSTO_TOTAL_TIPOH_SINIVA">MNU_BD_MENUS!$BR$12:$BR$323</definedName>
    <definedName name="MNU_COSTO_TOTAL_TIPOM_CONIVA">MNU_BD_MENUS!$BW$12:$BW$323</definedName>
    <definedName name="MNU_COSTO_TOTAL_TIPOM_SELECCIONADO">MNU_BD_MENUS!$CH$12:$CH$323</definedName>
    <definedName name="MNU_COSTO_TOTAL_TIPOM_SINIVA">MNU_BD_MENUS!$BQ$12:$BQ$323</definedName>
    <definedName name="MNU_COSTO_UNITARIO_TIPOA_CONIVA">MNU_BD_MENUS!$BI$12:$BI$323</definedName>
    <definedName name="MNU_COSTO_UNITARIO_TIPOA_SELECCIONADO">MNU_BD_MENUS!$BZ$12:$BZ$323</definedName>
    <definedName name="MNU_COSTO_UNITARIO_TIPOA_SINIVA">MNU_BD_MENUS!$BD$12:$BD$323</definedName>
    <definedName name="MNU_COSTO_UNITARIO_TIPOB_CONIVA">MNU_BD_MENUS!$BJ$12:$BJ$323</definedName>
    <definedName name="MNU_COSTO_UNITARIO_TIPOB_SELECCIONADO">MNU_BD_MENUS!$CA$12:$CA$323</definedName>
    <definedName name="MNU_COSTO_UNITARIO_TIPOB_SINIVA">MNU_BD_MENUS!$BE$12:$BE$323</definedName>
    <definedName name="MNU_COSTO_UNITARIO_TIPOC_CONIVA">MNU_BD_MENUS!$BK$12:$BK$323</definedName>
    <definedName name="MNU_COSTO_UNITARIO_TIPOC_SELECCIONADO">MNU_BD_MENUS!$CB$12:$CB$323</definedName>
    <definedName name="MNU_COSTO_UNITARIO_TIPOC_SINIVA">MNU_BD_MENUS!$BF$12:$BF$323</definedName>
    <definedName name="MNU_COSTO_UNITARIO_TIPOH_CONIVA">MNU_BD_MENUS!$BM$12:$BM$323</definedName>
    <definedName name="MNU_COSTO_UNITARIO_TIPOH_SELECCIONADO">MNU_BD_MENUS!$CD$12:$CD$323</definedName>
    <definedName name="MNU_COSTO_UNITARIO_TIPOH_SINIVA">MNU_BD_MENUS!$BH$12:$BH$323</definedName>
    <definedName name="MNU_COSTO_UNITARIO_TIPOM_CONIVA">MNU_BD_MENUS!$BL$12:$BL$323</definedName>
    <definedName name="MNU_COSTO_UNITARIO_TIPOM_SELECCIONADO">MNU_BD_MENUS!$CC$12:$CC$323</definedName>
    <definedName name="MNU_COSTO_UNITARIO_TIPOM_SINIVA">MNU_BD_MENUS!$BG$12:$BG$323</definedName>
    <definedName name="MNU_FRECUENCIAS_FDS">MNU_BD_MENUS!$AE$12:$AE$323</definedName>
    <definedName name="MNU_FRECUENCIAS_FDS_TIPOA">MNU_BD_MENUS!$AF$12:$AF$323</definedName>
    <definedName name="MNU_FRECUENCIAS_FDS_TIPOB">MNU_BD_MENUS!$AG$12:$AG$323</definedName>
    <definedName name="MNU_FRECUENCIAS_FDS_TIPOC">MNU_BD_MENUS!$AH$12:$AH$323</definedName>
    <definedName name="MNU_FRECUENCIAS_LAV">MNU_BD_MENUS!$S$12:$S$323</definedName>
    <definedName name="MNU_FRECUENCIAS_LAV_TIPOA">MNU_BD_MENUS!$T$12:$T$323</definedName>
    <definedName name="MNU_FRECUENCIAS_LAV_TIPOB">MNU_BD_MENUS!$U$12:$U$323</definedName>
    <definedName name="MNU_FRECUENCIAS_LAV_TIPOC">MNU_BD_MENUS!$V$12:$V$323</definedName>
    <definedName name="MNU_FRECUENCIAS_LAV_TIPOH">MNU_BD_MENUS!$X$12:$X$323</definedName>
    <definedName name="MNU_FRECUENCIAS_LAV_TIPOM">MNU_BD_MENUS!$W$12:$W$323</definedName>
    <definedName name="MNU_GRAMAJE_REQUERIDO_TIPOA">MNU_BD_MENUS!$M$12:$M$323</definedName>
    <definedName name="MNU_GRAMAJE_REQUERIDO_TIPOB">MNU_BD_MENUS!$N$12:$N$323</definedName>
    <definedName name="MNU_GRAMAJE_REQUERIDO_TIPOC">MNU_BD_MENUS!$O$12:$O$323</definedName>
    <definedName name="MNU_GRAMAJE_REQUERIDO_TIPOH">MNU_BD_MENUS!$Q$12:$Q$323</definedName>
    <definedName name="MNU_GRAMAJE_REQUERIDO_TIPOM">MNU_BD_MENUS!$P$12:$P$323</definedName>
    <definedName name="MNU_GRUPO_ALIMENTO">MNU_BD_MENUS!$C$12:$C$323</definedName>
    <definedName name="MNU_GRUPO_ALIMENTO_PRECIO">MNU_BD_MENUS!$AS$12:$AS$323</definedName>
    <definedName name="MNU_NUMERO_MENU">MNU_BD_MENUS!$G$12:$G$323</definedName>
    <definedName name="MNU_VOLUMEN_TOTAL_A">MNU_BD_MENUS!$AM$12:$AM$323</definedName>
    <definedName name="MNU_VOLUMEN_TOTAL_B">MNU_BD_MENUS!$AN$12:$AN$323</definedName>
    <definedName name="MNU_VOLUMEN_TOTAL_C">MNU_BD_MENUS!$AO$12:$AO$323</definedName>
    <definedName name="MNU_VOLUMEN_TOTAL_H">MNU_BD_MENUS!$AQ$12:$AQ$323</definedName>
    <definedName name="MNU_VOLUMEN_TOTAL_M">MNU_BD_MENUS!$AP$12:$AP$323</definedName>
    <definedName name="PRE_A_CONSOLIDADO_CATEGORIA">PRE_PRESUPUESTO_GRUPOS_ALIMENTO!$B$13:$O$14</definedName>
    <definedName name="VOL_GRUPO">VOL_VOLUMEN_SUMINISTROS[[#Headers],[#Data],[Columna2]]</definedName>
    <definedName name="VOL_JORNADA">VOL_VOLUMEN_SUMINISTROS[[#All],[Columna1]]</definedName>
    <definedName name="VOL_TIPOA">VOL_VOLUMEN_SUMINISTROS[[#All],[TIPO A]]</definedName>
    <definedName name="VOL_TIPOB">VOL_VOLUMEN_SUMINISTROS[[#All],[TIPO B]]</definedName>
    <definedName name="VOL_TIPOC">VOL_VOLUMEN_SUMINISTROS[[#All],[TIPO C]]</definedName>
    <definedName name="VOL_TIPOH">VOL_VOLUMEN_SUMINISTROS[[#All],[TIPO H]]</definedName>
    <definedName name="VOL_TIPOM">VOL_VOLUMEN_SUMINISTROS[[#All],[TIPO M]]</definedName>
  </definedNames>
  <calcPr calcId="145621"/>
</workbook>
</file>

<file path=xl/calcChain.xml><?xml version="1.0" encoding="utf-8"?>
<calcChain xmlns="http://schemas.openxmlformats.org/spreadsheetml/2006/main">
  <c r="A1" i="49" l="1"/>
  <c r="A7" i="24" l="1"/>
  <c r="A7" i="1"/>
  <c r="A8" i="55"/>
  <c r="A6" i="40"/>
  <c r="A8" i="49"/>
  <c r="AQ395" i="60" l="1"/>
  <c r="AQ382" i="60"/>
  <c r="AQ369" i="60"/>
  <c r="AQ356" i="60"/>
  <c r="AQ343" i="60"/>
  <c r="AQ330" i="60"/>
  <c r="AQ317" i="60"/>
  <c r="AQ304" i="60"/>
  <c r="AQ291" i="60"/>
  <c r="AQ278" i="60"/>
  <c r="AQ265" i="60"/>
  <c r="AQ252" i="60"/>
  <c r="AQ239" i="60"/>
  <c r="AQ226" i="60"/>
  <c r="AQ213" i="60"/>
  <c r="AQ200" i="60"/>
  <c r="AQ187" i="60"/>
  <c r="AQ174" i="60"/>
  <c r="AQ161" i="60"/>
  <c r="AQ148" i="60"/>
  <c r="AQ135" i="60"/>
  <c r="AQ122" i="60"/>
  <c r="AQ109" i="60"/>
  <c r="AQ96" i="60"/>
  <c r="AQ83" i="60"/>
  <c r="AQ70" i="60"/>
  <c r="AQ57" i="60"/>
  <c r="AQ44" i="60"/>
  <c r="AQ31" i="60"/>
  <c r="AQ18" i="60"/>
  <c r="A8" i="60"/>
  <c r="J405" i="54" l="1"/>
  <c r="J404" i="54"/>
  <c r="J403" i="54"/>
  <c r="J402" i="54"/>
  <c r="J401" i="54"/>
  <c r="J400" i="54"/>
  <c r="J399" i="54"/>
  <c r="J398" i="54"/>
  <c r="J397" i="54"/>
  <c r="J396" i="54"/>
  <c r="J395" i="54"/>
  <c r="J394" i="54"/>
  <c r="J393" i="54"/>
  <c r="J392" i="54"/>
  <c r="J391" i="54"/>
  <c r="J390" i="54"/>
  <c r="J389" i="54"/>
  <c r="J388" i="54"/>
  <c r="J387" i="54"/>
  <c r="J386" i="54"/>
  <c r="J385" i="54"/>
  <c r="J384" i="54"/>
  <c r="J383" i="54"/>
  <c r="J382" i="54"/>
  <c r="J381" i="54"/>
  <c r="J380" i="54"/>
  <c r="J379" i="54"/>
  <c r="J378" i="54"/>
  <c r="J377" i="54"/>
  <c r="J376" i="54"/>
  <c r="J375" i="54"/>
  <c r="J374" i="54"/>
  <c r="J373" i="54"/>
  <c r="J372" i="54"/>
  <c r="J371" i="54"/>
  <c r="J370" i="54"/>
  <c r="J369" i="54"/>
  <c r="J368" i="54"/>
  <c r="J367" i="54"/>
  <c r="J366" i="54"/>
  <c r="J365" i="54"/>
  <c r="J364" i="54"/>
  <c r="J363" i="54"/>
  <c r="J362" i="54"/>
  <c r="J361" i="54"/>
  <c r="J360" i="54"/>
  <c r="J359" i="54"/>
  <c r="J358" i="54"/>
  <c r="J357" i="54"/>
  <c r="J356" i="54"/>
  <c r="J355" i="54"/>
  <c r="J354" i="54"/>
  <c r="J353" i="54"/>
  <c r="J352" i="54"/>
  <c r="J351" i="54"/>
  <c r="J350" i="54"/>
  <c r="J349" i="54"/>
  <c r="J348" i="54"/>
  <c r="J347" i="54"/>
  <c r="J346" i="54"/>
  <c r="J345" i="54"/>
  <c r="J344" i="54"/>
  <c r="J343" i="54"/>
  <c r="J342" i="54"/>
  <c r="J341" i="54"/>
  <c r="J340" i="54"/>
  <c r="J339" i="54"/>
  <c r="J338" i="54"/>
  <c r="J337" i="54"/>
  <c r="J336" i="54"/>
  <c r="J335" i="54"/>
  <c r="J334" i="54"/>
  <c r="J333" i="54"/>
  <c r="J332" i="54"/>
  <c r="J331" i="54"/>
  <c r="J330" i="54"/>
  <c r="J329" i="54"/>
  <c r="J328" i="54"/>
  <c r="J327" i="54"/>
  <c r="J326" i="54"/>
  <c r="J325" i="54"/>
  <c r="J324" i="54"/>
  <c r="J323" i="54"/>
  <c r="J322" i="54"/>
  <c r="J321" i="54"/>
  <c r="J320" i="54"/>
  <c r="J319" i="54"/>
  <c r="J318" i="54"/>
  <c r="J317" i="54"/>
  <c r="J316" i="54"/>
  <c r="J315" i="54"/>
  <c r="J314" i="54"/>
  <c r="J313" i="54"/>
  <c r="J312" i="54"/>
  <c r="J311" i="54"/>
  <c r="J310" i="54"/>
  <c r="J309" i="54"/>
  <c r="J308" i="54"/>
  <c r="J307" i="54"/>
  <c r="J306" i="54"/>
  <c r="J305" i="54"/>
  <c r="J304" i="54"/>
  <c r="J303" i="54"/>
  <c r="J302" i="54"/>
  <c r="J301" i="54"/>
  <c r="J300" i="54"/>
  <c r="J299" i="54"/>
  <c r="J298" i="54"/>
  <c r="J297" i="54"/>
  <c r="J296" i="54"/>
  <c r="J295" i="54"/>
  <c r="J294" i="54"/>
  <c r="J293" i="54"/>
  <c r="J292" i="54"/>
  <c r="J291" i="54"/>
  <c r="J290" i="54"/>
  <c r="J289" i="54"/>
  <c r="J288" i="54"/>
  <c r="J287" i="54"/>
  <c r="J286" i="54"/>
  <c r="J285" i="54"/>
  <c r="J284" i="54"/>
  <c r="J283" i="54"/>
  <c r="J282" i="54"/>
  <c r="J281" i="54"/>
  <c r="J280" i="54"/>
  <c r="J279" i="54"/>
  <c r="J278" i="54"/>
  <c r="J277" i="54"/>
  <c r="J276" i="54"/>
  <c r="J275" i="54"/>
  <c r="J274" i="54"/>
  <c r="J273" i="54"/>
  <c r="J272" i="54"/>
  <c r="J271" i="54"/>
  <c r="J270" i="54"/>
  <c r="J269" i="54"/>
  <c r="J268" i="54"/>
  <c r="J267" i="54"/>
  <c r="J266" i="54"/>
  <c r="J265" i="54"/>
  <c r="J264" i="54"/>
  <c r="J263" i="54"/>
  <c r="J262" i="54"/>
  <c r="J261" i="54"/>
  <c r="J260" i="54"/>
  <c r="J259" i="54"/>
  <c r="J258" i="54"/>
  <c r="J257" i="54"/>
  <c r="J256" i="54"/>
  <c r="J255" i="54"/>
  <c r="J254" i="54"/>
  <c r="J253" i="54"/>
  <c r="J252" i="54"/>
  <c r="J251" i="54"/>
  <c r="J250" i="54"/>
  <c r="J249" i="54"/>
  <c r="J248" i="54"/>
  <c r="J247" i="54"/>
  <c r="J246" i="54"/>
  <c r="J245" i="54"/>
  <c r="J244" i="54"/>
  <c r="J243" i="54"/>
  <c r="J242" i="54"/>
  <c r="J241" i="54"/>
  <c r="J240" i="54"/>
  <c r="J239" i="54"/>
  <c r="J238" i="54"/>
  <c r="J237" i="54"/>
  <c r="J236" i="54"/>
  <c r="J235" i="54"/>
  <c r="J234" i="54"/>
  <c r="J233" i="54"/>
  <c r="J232" i="54"/>
  <c r="J231" i="54"/>
  <c r="J230" i="54"/>
  <c r="J229" i="54"/>
  <c r="J228" i="54"/>
  <c r="J227" i="54"/>
  <c r="J226" i="54"/>
  <c r="J225" i="54"/>
  <c r="J224" i="54"/>
  <c r="J223" i="54"/>
  <c r="J222" i="54"/>
  <c r="J221" i="54"/>
  <c r="J220" i="54"/>
  <c r="J219" i="54"/>
  <c r="J218" i="54"/>
  <c r="J217" i="54"/>
  <c r="J216" i="54"/>
  <c r="J215" i="54"/>
  <c r="J214" i="54"/>
  <c r="J213" i="54"/>
  <c r="J212" i="54"/>
  <c r="J211" i="54"/>
  <c r="J210" i="54"/>
  <c r="J209" i="54"/>
  <c r="J208" i="54"/>
  <c r="J207" i="54"/>
  <c r="J206" i="54"/>
  <c r="J205" i="54"/>
  <c r="J204" i="54"/>
  <c r="J203" i="54"/>
  <c r="J202" i="54"/>
  <c r="J201" i="54"/>
  <c r="J200" i="54"/>
  <c r="J199" i="54"/>
  <c r="J198" i="54"/>
  <c r="J197" i="54"/>
  <c r="J196" i="54"/>
  <c r="J195" i="54"/>
  <c r="J194" i="54"/>
  <c r="J193" i="54"/>
  <c r="J192" i="54"/>
  <c r="J191" i="54"/>
  <c r="J190" i="54"/>
  <c r="J189" i="54"/>
  <c r="J188" i="54"/>
  <c r="J187" i="54"/>
  <c r="J186" i="54"/>
  <c r="J185" i="54"/>
  <c r="J184" i="54"/>
  <c r="J183" i="54"/>
  <c r="J182" i="54"/>
  <c r="J181" i="54"/>
  <c r="J180" i="54"/>
  <c r="J179" i="54"/>
  <c r="J178" i="54"/>
  <c r="J177" i="54"/>
  <c r="J176" i="54"/>
  <c r="J175" i="54"/>
  <c r="J174" i="54"/>
  <c r="J173" i="54"/>
  <c r="J172" i="54"/>
  <c r="J171" i="54"/>
  <c r="J170" i="54"/>
  <c r="J169" i="54"/>
  <c r="J168" i="54"/>
  <c r="J167" i="54"/>
  <c r="J166" i="54"/>
  <c r="J165" i="54"/>
  <c r="J164" i="54"/>
  <c r="J163" i="54"/>
  <c r="J162" i="54"/>
  <c r="J161" i="54"/>
  <c r="J160" i="54"/>
  <c r="J159" i="54"/>
  <c r="J158" i="54"/>
  <c r="J157" i="54"/>
  <c r="J156" i="54"/>
  <c r="J155" i="54"/>
  <c r="J154" i="54"/>
  <c r="J153" i="54"/>
  <c r="J152" i="54"/>
  <c r="J151" i="54"/>
  <c r="J150" i="54"/>
  <c r="J149" i="54"/>
  <c r="J148" i="54"/>
  <c r="J147" i="54"/>
  <c r="J146" i="54"/>
  <c r="J145" i="54"/>
  <c r="J144" i="54"/>
  <c r="J143" i="54"/>
  <c r="J142" i="54"/>
  <c r="J141" i="54"/>
  <c r="J140" i="54"/>
  <c r="J139" i="54"/>
  <c r="J138" i="54"/>
  <c r="J137" i="54"/>
  <c r="J136" i="54"/>
  <c r="J135" i="54"/>
  <c r="J134" i="54"/>
  <c r="J133" i="54"/>
  <c r="J132" i="54"/>
  <c r="J131" i="54"/>
  <c r="J130" i="54"/>
  <c r="J129" i="54"/>
  <c r="J128" i="54"/>
  <c r="J127" i="54"/>
  <c r="J126" i="54"/>
  <c r="J125" i="54"/>
  <c r="J124" i="54"/>
  <c r="J123" i="54"/>
  <c r="J122" i="54"/>
  <c r="J121" i="54"/>
  <c r="J120" i="54"/>
  <c r="J119" i="54"/>
  <c r="J118" i="54"/>
  <c r="J117" i="54"/>
  <c r="J116" i="54"/>
  <c r="J115" i="54"/>
  <c r="J114" i="54"/>
  <c r="J113" i="54"/>
  <c r="J112" i="54"/>
  <c r="J111" i="54"/>
  <c r="J110" i="54"/>
  <c r="J109" i="54"/>
  <c r="J108" i="54"/>
  <c r="J107" i="54"/>
  <c r="J106" i="54"/>
  <c r="J105" i="54"/>
  <c r="J104" i="54"/>
  <c r="J103" i="54"/>
  <c r="J102" i="54"/>
  <c r="J101" i="54"/>
  <c r="J100" i="54"/>
  <c r="J99" i="54"/>
  <c r="J98" i="54"/>
  <c r="J97" i="54"/>
  <c r="J96" i="54"/>
  <c r="J95" i="54"/>
  <c r="J94" i="54"/>
  <c r="J93" i="54"/>
  <c r="J92" i="54"/>
  <c r="J91" i="54"/>
  <c r="J90" i="54"/>
  <c r="J89" i="54"/>
  <c r="J88" i="54"/>
  <c r="J87" i="54"/>
  <c r="J86" i="54"/>
  <c r="J85" i="54"/>
  <c r="J84" i="54"/>
  <c r="J83" i="54"/>
  <c r="J82" i="54"/>
  <c r="J81" i="54"/>
  <c r="J80" i="54"/>
  <c r="J79" i="54"/>
  <c r="J78" i="54"/>
  <c r="J77" i="54"/>
  <c r="J76" i="54"/>
  <c r="J75" i="54"/>
  <c r="J74" i="54"/>
  <c r="J73" i="54"/>
  <c r="J72" i="54"/>
  <c r="J71" i="54"/>
  <c r="J70" i="54"/>
  <c r="J69" i="54"/>
  <c r="J68" i="54"/>
  <c r="J67" i="54"/>
  <c r="J66" i="54"/>
  <c r="J65" i="54"/>
  <c r="J64" i="54"/>
  <c r="J63" i="54"/>
  <c r="J62" i="54"/>
  <c r="J61" i="54"/>
  <c r="J60" i="54"/>
  <c r="J59" i="54"/>
  <c r="J58" i="54"/>
  <c r="J57" i="54"/>
  <c r="J56" i="54"/>
  <c r="J55" i="54"/>
  <c r="J54" i="54"/>
  <c r="J53" i="54"/>
  <c r="J52" i="54"/>
  <c r="J51" i="54"/>
  <c r="J50" i="54"/>
  <c r="J49" i="54"/>
  <c r="J48" i="54"/>
  <c r="J47" i="54"/>
  <c r="J46" i="54"/>
  <c r="J45" i="54"/>
  <c r="J44" i="54"/>
  <c r="J43" i="54"/>
  <c r="J42" i="54"/>
  <c r="J41" i="54"/>
  <c r="J40" i="54"/>
  <c r="J39" i="54"/>
  <c r="J38" i="54"/>
  <c r="J37" i="54"/>
  <c r="J36" i="54"/>
  <c r="J35" i="54"/>
  <c r="J34" i="54"/>
  <c r="J33" i="54"/>
  <c r="J32" i="54"/>
  <c r="J31" i="54"/>
  <c r="J30" i="54"/>
  <c r="J29" i="54"/>
  <c r="J28" i="54"/>
  <c r="J27" i="54"/>
  <c r="J26" i="54"/>
  <c r="J25" i="54"/>
  <c r="J24" i="54"/>
  <c r="J23" i="54"/>
  <c r="J22" i="54"/>
  <c r="J21" i="54"/>
  <c r="J20" i="54"/>
  <c r="J19" i="54"/>
  <c r="J18" i="54"/>
  <c r="J17" i="54"/>
  <c r="J16" i="54"/>
  <c r="S269" i="1"/>
  <c r="V269" i="1" s="1"/>
  <c r="T263" i="1"/>
  <c r="S237" i="1"/>
  <c r="V237" i="1" s="1"/>
  <c r="S214" i="1"/>
  <c r="V214" i="1" s="1"/>
  <c r="T215" i="1"/>
  <c r="S208" i="1"/>
  <c r="T208" i="1" s="1"/>
  <c r="S200" i="1"/>
  <c r="U200" i="1" s="1"/>
  <c r="S191" i="1"/>
  <c r="V191" i="1" s="1"/>
  <c r="S193" i="1"/>
  <c r="S321" i="1"/>
  <c r="V321" i="1" s="1"/>
  <c r="S302" i="1"/>
  <c r="V302" i="1" s="1"/>
  <c r="AF289" i="1"/>
  <c r="S289" i="1"/>
  <c r="V289" i="1" s="1"/>
  <c r="T291" i="1"/>
  <c r="AF172" i="1"/>
  <c r="T127" i="1"/>
  <c r="S118" i="1"/>
  <c r="X118" i="1" s="1"/>
  <c r="S121" i="1"/>
  <c r="X121" i="1" s="1"/>
  <c r="S98" i="1"/>
  <c r="X98" i="1" s="1"/>
  <c r="T92" i="1"/>
  <c r="S96" i="1"/>
  <c r="S84" i="1"/>
  <c r="X84" i="1" s="1"/>
  <c r="S73" i="1"/>
  <c r="X73" i="1" s="1"/>
  <c r="T66" i="1"/>
  <c r="S69" i="1"/>
  <c r="V69" i="1" s="1"/>
  <c r="T39" i="1"/>
  <c r="T27" i="1"/>
  <c r="S30" i="1"/>
  <c r="V30" i="1" s="1"/>
  <c r="S20" i="1"/>
  <c r="X20" i="1" s="1"/>
  <c r="T23" i="1"/>
  <c r="T269" i="1" l="1"/>
  <c r="U269" i="1"/>
  <c r="U237" i="1"/>
  <c r="T237" i="1"/>
  <c r="T214" i="1"/>
  <c r="U214" i="1"/>
  <c r="V208" i="1"/>
  <c r="U208" i="1"/>
  <c r="T200" i="1"/>
  <c r="V200" i="1"/>
  <c r="U191" i="1"/>
  <c r="T191" i="1"/>
  <c r="T321" i="1"/>
  <c r="U321" i="1"/>
  <c r="T302" i="1"/>
  <c r="U302" i="1"/>
  <c r="T289" i="1"/>
  <c r="U289" i="1"/>
  <c r="U73" i="1"/>
  <c r="W118" i="1"/>
  <c r="U118" i="1"/>
  <c r="V118" i="1"/>
  <c r="T118" i="1"/>
  <c r="W121" i="1"/>
  <c r="U121" i="1"/>
  <c r="V121" i="1"/>
  <c r="T121" i="1"/>
  <c r="U84" i="1"/>
  <c r="U98" i="1"/>
  <c r="V98" i="1"/>
  <c r="W98" i="1"/>
  <c r="T98" i="1"/>
  <c r="W69" i="1"/>
  <c r="T69" i="1"/>
  <c r="X69" i="1"/>
  <c r="V73" i="1"/>
  <c r="V84" i="1"/>
  <c r="U69" i="1"/>
  <c r="W84" i="1"/>
  <c r="T84" i="1"/>
  <c r="W73" i="1"/>
  <c r="T73" i="1"/>
  <c r="W30" i="1"/>
  <c r="T30" i="1"/>
  <c r="X30" i="1"/>
  <c r="U30" i="1"/>
  <c r="U20" i="1"/>
  <c r="V20" i="1"/>
  <c r="W20" i="1"/>
  <c r="T20" i="1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316" i="54"/>
  <c r="C317" i="54"/>
  <c r="C318" i="54"/>
  <c r="C319" i="54"/>
  <c r="C320" i="54"/>
  <c r="C321" i="54"/>
  <c r="C322" i="54"/>
  <c r="C323" i="54"/>
  <c r="C324" i="54"/>
  <c r="C325" i="54"/>
  <c r="C326" i="54"/>
  <c r="C327" i="54"/>
  <c r="C328" i="54"/>
  <c r="C329" i="54"/>
  <c r="C330" i="54"/>
  <c r="C331" i="54"/>
  <c r="C332" i="54"/>
  <c r="C333" i="54"/>
  <c r="C334" i="54"/>
  <c r="C335" i="54"/>
  <c r="C336" i="54"/>
  <c r="C337" i="54"/>
  <c r="C338" i="54"/>
  <c r="C339" i="54"/>
  <c r="C340" i="54"/>
  <c r="C341" i="54"/>
  <c r="C342" i="54"/>
  <c r="C343" i="54"/>
  <c r="C344" i="54"/>
  <c r="C345" i="54"/>
  <c r="C346" i="54"/>
  <c r="C347" i="54"/>
  <c r="C348" i="54"/>
  <c r="C349" i="54"/>
  <c r="C350" i="54"/>
  <c r="C351" i="54"/>
  <c r="C352" i="54"/>
  <c r="C353" i="54"/>
  <c r="C354" i="54"/>
  <c r="C355" i="54"/>
  <c r="C356" i="54"/>
  <c r="C357" i="54"/>
  <c r="C358" i="54"/>
  <c r="C359" i="54"/>
  <c r="C360" i="54"/>
  <c r="C361" i="54"/>
  <c r="C362" i="54"/>
  <c r="C363" i="54"/>
  <c r="C364" i="54"/>
  <c r="C365" i="54"/>
  <c r="C366" i="54"/>
  <c r="C367" i="54"/>
  <c r="C368" i="54"/>
  <c r="C369" i="54"/>
  <c r="C370" i="54"/>
  <c r="C371" i="54"/>
  <c r="C372" i="54"/>
  <c r="C373" i="54"/>
  <c r="C374" i="54"/>
  <c r="C375" i="54"/>
  <c r="C376" i="54"/>
  <c r="C377" i="54"/>
  <c r="C378" i="54"/>
  <c r="C379" i="54"/>
  <c r="C380" i="54"/>
  <c r="C381" i="54"/>
  <c r="C382" i="54"/>
  <c r="C383" i="54"/>
  <c r="C384" i="54"/>
  <c r="C385" i="54"/>
  <c r="C386" i="54"/>
  <c r="C387" i="54"/>
  <c r="C388" i="54"/>
  <c r="C389" i="54"/>
  <c r="C390" i="54"/>
  <c r="C391" i="54"/>
  <c r="C392" i="54"/>
  <c r="C393" i="54"/>
  <c r="C394" i="54"/>
  <c r="C395" i="54"/>
  <c r="C396" i="54"/>
  <c r="C397" i="54"/>
  <c r="C398" i="54"/>
  <c r="C399" i="54"/>
  <c r="C400" i="54"/>
  <c r="C401" i="54"/>
  <c r="C402" i="54"/>
  <c r="C403" i="54"/>
  <c r="C404" i="54"/>
  <c r="C405" i="54"/>
  <c r="AJ405" i="56"/>
  <c r="AI405" i="56"/>
  <c r="AJ404" i="56"/>
  <c r="AI404" i="56"/>
  <c r="AJ403" i="56"/>
  <c r="AI403" i="56"/>
  <c r="AJ402" i="56"/>
  <c r="AI402" i="56"/>
  <c r="AJ401" i="56"/>
  <c r="AI401" i="56"/>
  <c r="AJ400" i="56"/>
  <c r="AI400" i="56"/>
  <c r="AJ399" i="56"/>
  <c r="AI399" i="56"/>
  <c r="AJ398" i="56"/>
  <c r="AI398" i="56"/>
  <c r="AJ397" i="56"/>
  <c r="AI397" i="56"/>
  <c r="AJ396" i="56"/>
  <c r="AI396" i="56"/>
  <c r="AJ395" i="56"/>
  <c r="AI395" i="56"/>
  <c r="AJ394" i="56"/>
  <c r="AI394" i="56"/>
  <c r="AJ393" i="56"/>
  <c r="AI393" i="56"/>
  <c r="AJ392" i="56"/>
  <c r="AI392" i="56"/>
  <c r="AJ391" i="56"/>
  <c r="AI391" i="56"/>
  <c r="AJ390" i="56"/>
  <c r="AI390" i="56"/>
  <c r="AJ389" i="56"/>
  <c r="AI389" i="56"/>
  <c r="AJ388" i="56"/>
  <c r="AI388" i="56"/>
  <c r="AJ387" i="56"/>
  <c r="AI387" i="56"/>
  <c r="AJ386" i="56"/>
  <c r="AI386" i="56"/>
  <c r="AJ385" i="56"/>
  <c r="AI385" i="56"/>
  <c r="AJ384" i="56"/>
  <c r="AI384" i="56"/>
  <c r="AJ383" i="56"/>
  <c r="AI383" i="56"/>
  <c r="AJ382" i="56"/>
  <c r="AI382" i="56"/>
  <c r="AJ381" i="56"/>
  <c r="AI381" i="56"/>
  <c r="AJ380" i="56"/>
  <c r="AI380" i="56"/>
  <c r="AJ379" i="56"/>
  <c r="AI379" i="56"/>
  <c r="AJ378" i="56"/>
  <c r="AI378" i="56"/>
  <c r="AJ377" i="56"/>
  <c r="AI377" i="56"/>
  <c r="AJ376" i="56"/>
  <c r="AI376" i="56"/>
  <c r="AJ375" i="56"/>
  <c r="AI375" i="56"/>
  <c r="AJ374" i="56"/>
  <c r="AI374" i="56"/>
  <c r="AJ373" i="56"/>
  <c r="AI373" i="56"/>
  <c r="AJ372" i="56"/>
  <c r="AI372" i="56"/>
  <c r="AJ371" i="56"/>
  <c r="AI371" i="56"/>
  <c r="AJ370" i="56"/>
  <c r="AI370" i="56"/>
  <c r="AJ369" i="56"/>
  <c r="AI369" i="56"/>
  <c r="AJ368" i="56"/>
  <c r="AI368" i="56"/>
  <c r="AJ367" i="56"/>
  <c r="AI367" i="56"/>
  <c r="AJ366" i="56"/>
  <c r="AI366" i="56"/>
  <c r="AJ365" i="56"/>
  <c r="AI365" i="56"/>
  <c r="AJ364" i="56"/>
  <c r="AI364" i="56"/>
  <c r="AJ363" i="56"/>
  <c r="AI363" i="56"/>
  <c r="AJ362" i="56"/>
  <c r="AI362" i="56"/>
  <c r="AJ361" i="56"/>
  <c r="AI361" i="56"/>
  <c r="AJ360" i="56"/>
  <c r="AI360" i="56"/>
  <c r="AJ359" i="56"/>
  <c r="AI359" i="56"/>
  <c r="AJ358" i="56"/>
  <c r="AI358" i="56"/>
  <c r="AJ357" i="56"/>
  <c r="AI357" i="56"/>
  <c r="AJ356" i="56"/>
  <c r="AI356" i="56"/>
  <c r="AJ355" i="56"/>
  <c r="AI355" i="56"/>
  <c r="AJ354" i="56"/>
  <c r="AI354" i="56"/>
  <c r="AJ353" i="56"/>
  <c r="AI353" i="56"/>
  <c r="AJ352" i="56"/>
  <c r="AI352" i="56"/>
  <c r="AJ351" i="56"/>
  <c r="AI351" i="56"/>
  <c r="AJ350" i="56"/>
  <c r="AI350" i="56"/>
  <c r="AJ349" i="56"/>
  <c r="AI349" i="56"/>
  <c r="AJ348" i="56"/>
  <c r="AI348" i="56"/>
  <c r="AJ347" i="56"/>
  <c r="AI347" i="56"/>
  <c r="AJ346" i="56"/>
  <c r="AI346" i="56"/>
  <c r="AJ345" i="56"/>
  <c r="AI345" i="56"/>
  <c r="AJ344" i="56"/>
  <c r="AI344" i="56"/>
  <c r="AJ343" i="56"/>
  <c r="AI343" i="56"/>
  <c r="AJ342" i="56"/>
  <c r="AI342" i="56"/>
  <c r="AJ341" i="56"/>
  <c r="AI341" i="56"/>
  <c r="AJ340" i="56"/>
  <c r="AI340" i="56"/>
  <c r="AJ339" i="56"/>
  <c r="AI339" i="56"/>
  <c r="AJ338" i="56"/>
  <c r="AI338" i="56"/>
  <c r="AJ337" i="56"/>
  <c r="AI337" i="56"/>
  <c r="AJ336" i="56"/>
  <c r="AI336" i="56"/>
  <c r="AJ335" i="56"/>
  <c r="AI335" i="56"/>
  <c r="AJ334" i="56"/>
  <c r="AI334" i="56"/>
  <c r="AJ333" i="56"/>
  <c r="AI333" i="56"/>
  <c r="AJ332" i="56"/>
  <c r="AI332" i="56"/>
  <c r="AJ331" i="56"/>
  <c r="AI331" i="56"/>
  <c r="AJ330" i="56"/>
  <c r="AI330" i="56"/>
  <c r="AJ329" i="56"/>
  <c r="AI329" i="56"/>
  <c r="AJ328" i="56"/>
  <c r="AI328" i="56"/>
  <c r="AJ327" i="56"/>
  <c r="AI327" i="56"/>
  <c r="AJ326" i="56"/>
  <c r="AI326" i="56"/>
  <c r="AJ325" i="56"/>
  <c r="AI325" i="56"/>
  <c r="AJ324" i="56"/>
  <c r="AI324" i="56"/>
  <c r="AJ323" i="56"/>
  <c r="AI323" i="56"/>
  <c r="AJ322" i="56"/>
  <c r="AI322" i="56"/>
  <c r="AJ321" i="56"/>
  <c r="AI321" i="56"/>
  <c r="AJ320" i="56"/>
  <c r="AI320" i="56"/>
  <c r="AJ319" i="56"/>
  <c r="AI319" i="56"/>
  <c r="AJ318" i="56"/>
  <c r="AI318" i="56"/>
  <c r="AJ317" i="56"/>
  <c r="AI317" i="56"/>
  <c r="AJ316" i="56"/>
  <c r="AI316" i="56"/>
  <c r="AJ315" i="56"/>
  <c r="AI315" i="56"/>
  <c r="AJ314" i="56"/>
  <c r="AI314" i="56"/>
  <c r="AJ313" i="56"/>
  <c r="AI313" i="56"/>
  <c r="AJ312" i="56"/>
  <c r="AI312" i="56"/>
  <c r="AJ311" i="56"/>
  <c r="AI311" i="56"/>
  <c r="AJ310" i="56"/>
  <c r="AI310" i="56"/>
  <c r="AJ309" i="56"/>
  <c r="AI309" i="56"/>
  <c r="AJ308" i="56"/>
  <c r="AI308" i="56"/>
  <c r="AJ307" i="56"/>
  <c r="AI307" i="56"/>
  <c r="AJ306" i="56"/>
  <c r="AI306" i="56"/>
  <c r="AJ305" i="56"/>
  <c r="AI305" i="56"/>
  <c r="AJ304" i="56"/>
  <c r="AI304" i="56"/>
  <c r="AJ303" i="56"/>
  <c r="AI303" i="56"/>
  <c r="AJ302" i="56"/>
  <c r="AI302" i="56"/>
  <c r="AJ301" i="56"/>
  <c r="AI301" i="56"/>
  <c r="AJ300" i="56"/>
  <c r="AI300" i="56"/>
  <c r="AJ299" i="56"/>
  <c r="AI299" i="56"/>
  <c r="AJ298" i="56"/>
  <c r="AI298" i="56"/>
  <c r="AJ297" i="56"/>
  <c r="AI297" i="56"/>
  <c r="AJ296" i="56"/>
  <c r="AI296" i="56"/>
  <c r="AJ295" i="56"/>
  <c r="AI295" i="56"/>
  <c r="AJ294" i="56"/>
  <c r="AI294" i="56"/>
  <c r="AJ293" i="56"/>
  <c r="AI293" i="56"/>
  <c r="AJ292" i="56"/>
  <c r="AI292" i="56"/>
  <c r="AJ291" i="56"/>
  <c r="AI291" i="56"/>
  <c r="AJ290" i="56"/>
  <c r="AI290" i="56"/>
  <c r="AJ289" i="56"/>
  <c r="AI289" i="56"/>
  <c r="AJ288" i="56"/>
  <c r="AI288" i="56"/>
  <c r="AJ287" i="56"/>
  <c r="AI287" i="56"/>
  <c r="AJ286" i="56"/>
  <c r="AI286" i="56"/>
  <c r="AJ285" i="56"/>
  <c r="AI285" i="56"/>
  <c r="AJ284" i="56"/>
  <c r="AI284" i="56"/>
  <c r="AJ283" i="56"/>
  <c r="AI283" i="56"/>
  <c r="AJ282" i="56"/>
  <c r="AI282" i="56"/>
  <c r="AJ281" i="56"/>
  <c r="AI281" i="56"/>
  <c r="AJ280" i="56"/>
  <c r="AI280" i="56"/>
  <c r="AJ279" i="56"/>
  <c r="AI279" i="56"/>
  <c r="AJ278" i="56"/>
  <c r="AI278" i="56"/>
  <c r="AJ277" i="56"/>
  <c r="AI277" i="56"/>
  <c r="AJ276" i="56"/>
  <c r="AI276" i="56"/>
  <c r="AJ275" i="56"/>
  <c r="AI275" i="56"/>
  <c r="AJ274" i="56"/>
  <c r="AI274" i="56"/>
  <c r="AJ273" i="56"/>
  <c r="AI273" i="56"/>
  <c r="AJ272" i="56"/>
  <c r="AI272" i="56"/>
  <c r="AJ271" i="56"/>
  <c r="AI271" i="56"/>
  <c r="AJ270" i="56"/>
  <c r="AI270" i="56"/>
  <c r="AJ269" i="56"/>
  <c r="AI269" i="56"/>
  <c r="AJ268" i="56"/>
  <c r="AI268" i="56"/>
  <c r="AJ267" i="56"/>
  <c r="AI267" i="56"/>
  <c r="AJ266" i="56"/>
  <c r="AI266" i="56"/>
  <c r="AJ265" i="56"/>
  <c r="AI265" i="56"/>
  <c r="AJ264" i="56"/>
  <c r="AI264" i="56"/>
  <c r="AJ263" i="56"/>
  <c r="AI263" i="56"/>
  <c r="AJ262" i="56"/>
  <c r="AI262" i="56"/>
  <c r="AJ261" i="56"/>
  <c r="AI261" i="56"/>
  <c r="AJ260" i="56"/>
  <c r="AI260" i="56"/>
  <c r="AJ259" i="56"/>
  <c r="AI259" i="56"/>
  <c r="AJ258" i="56"/>
  <c r="AI258" i="56"/>
  <c r="AJ257" i="56"/>
  <c r="AI257" i="56"/>
  <c r="AJ256" i="56"/>
  <c r="AI256" i="56"/>
  <c r="AJ255" i="56"/>
  <c r="AI255" i="56"/>
  <c r="AJ254" i="56"/>
  <c r="AI254" i="56"/>
  <c r="AJ253" i="56"/>
  <c r="AI253" i="56"/>
  <c r="AJ252" i="56"/>
  <c r="AI252" i="56"/>
  <c r="AJ251" i="56"/>
  <c r="AI251" i="56"/>
  <c r="AJ250" i="56"/>
  <c r="AI250" i="56"/>
  <c r="AJ249" i="56"/>
  <c r="AI249" i="56"/>
  <c r="AJ248" i="56"/>
  <c r="AI248" i="56"/>
  <c r="AJ247" i="56"/>
  <c r="AI247" i="56"/>
  <c r="AJ246" i="56"/>
  <c r="AI246" i="56"/>
  <c r="AJ245" i="56"/>
  <c r="AI245" i="56"/>
  <c r="AJ244" i="56"/>
  <c r="AI244" i="56"/>
  <c r="AJ243" i="56"/>
  <c r="AI243" i="56"/>
  <c r="AJ242" i="56"/>
  <c r="AI242" i="56"/>
  <c r="AJ241" i="56"/>
  <c r="AI241" i="56"/>
  <c r="AJ240" i="56"/>
  <c r="AI240" i="56"/>
  <c r="AJ239" i="56"/>
  <c r="AI239" i="56"/>
  <c r="AJ238" i="56"/>
  <c r="AI238" i="56"/>
  <c r="AJ237" i="56"/>
  <c r="AI237" i="56"/>
  <c r="AJ236" i="56"/>
  <c r="AI236" i="56"/>
  <c r="AJ235" i="56"/>
  <c r="AI235" i="56"/>
  <c r="AJ234" i="56"/>
  <c r="AI234" i="56"/>
  <c r="AJ233" i="56"/>
  <c r="AI233" i="56"/>
  <c r="AJ232" i="56"/>
  <c r="AI232" i="56"/>
  <c r="AJ231" i="56"/>
  <c r="AI231" i="56"/>
  <c r="AJ230" i="56"/>
  <c r="AI230" i="56"/>
  <c r="AJ229" i="56"/>
  <c r="AI229" i="56"/>
  <c r="AJ228" i="56"/>
  <c r="AI228" i="56"/>
  <c r="AJ227" i="56"/>
  <c r="AI227" i="56"/>
  <c r="AJ226" i="56"/>
  <c r="AI226" i="56"/>
  <c r="AJ225" i="56"/>
  <c r="AI225" i="56"/>
  <c r="AJ224" i="56"/>
  <c r="AI224" i="56"/>
  <c r="AJ223" i="56"/>
  <c r="AI223" i="56"/>
  <c r="AJ222" i="56"/>
  <c r="AI222" i="56"/>
  <c r="AJ221" i="56"/>
  <c r="AI221" i="56"/>
  <c r="AJ220" i="56"/>
  <c r="AI220" i="56"/>
  <c r="AJ219" i="56"/>
  <c r="AI219" i="56"/>
  <c r="AJ218" i="56"/>
  <c r="AI218" i="56"/>
  <c r="AJ217" i="56"/>
  <c r="AI217" i="56"/>
  <c r="AJ216" i="56"/>
  <c r="AI216" i="56"/>
  <c r="AJ215" i="56"/>
  <c r="AI215" i="56"/>
  <c r="AJ214" i="56"/>
  <c r="AI214" i="56"/>
  <c r="AJ213" i="56"/>
  <c r="AI213" i="56"/>
  <c r="AJ212" i="56"/>
  <c r="AI212" i="56"/>
  <c r="AJ211" i="56"/>
  <c r="AI211" i="56"/>
  <c r="AJ210" i="56"/>
  <c r="AI210" i="56"/>
  <c r="AJ209" i="56"/>
  <c r="AI209" i="56"/>
  <c r="AJ208" i="56"/>
  <c r="AI208" i="56"/>
  <c r="AJ207" i="56"/>
  <c r="AI207" i="56"/>
  <c r="AJ206" i="56"/>
  <c r="AI206" i="56"/>
  <c r="AJ205" i="56"/>
  <c r="AI205" i="56"/>
  <c r="AJ204" i="56"/>
  <c r="AI204" i="56"/>
  <c r="AJ203" i="56"/>
  <c r="AI203" i="56"/>
  <c r="AJ202" i="56"/>
  <c r="AI202" i="56"/>
  <c r="AJ201" i="56"/>
  <c r="AI201" i="56"/>
  <c r="AJ200" i="56"/>
  <c r="AI200" i="56"/>
  <c r="AJ199" i="56"/>
  <c r="AI199" i="56"/>
  <c r="AJ198" i="56"/>
  <c r="AI198" i="56"/>
  <c r="AJ197" i="56"/>
  <c r="AI197" i="56"/>
  <c r="AJ196" i="56"/>
  <c r="AI196" i="56"/>
  <c r="AJ195" i="56"/>
  <c r="AI195" i="56"/>
  <c r="AJ194" i="56"/>
  <c r="AI194" i="56"/>
  <c r="AJ193" i="56"/>
  <c r="AI193" i="56"/>
  <c r="AJ192" i="56"/>
  <c r="AI192" i="56"/>
  <c r="AJ191" i="56"/>
  <c r="AI191" i="56"/>
  <c r="AJ190" i="56"/>
  <c r="AI190" i="56"/>
  <c r="AJ189" i="56"/>
  <c r="AI189" i="56"/>
  <c r="AJ188" i="56"/>
  <c r="AI188" i="56"/>
  <c r="AJ187" i="56"/>
  <c r="AI187" i="56"/>
  <c r="AJ186" i="56"/>
  <c r="AI186" i="56"/>
  <c r="AJ185" i="56"/>
  <c r="AI185" i="56"/>
  <c r="AJ184" i="56"/>
  <c r="AI184" i="56"/>
  <c r="AJ183" i="56"/>
  <c r="AI183" i="56"/>
  <c r="AJ182" i="56"/>
  <c r="AI182" i="56"/>
  <c r="AJ181" i="56"/>
  <c r="AI181" i="56"/>
  <c r="AJ180" i="56"/>
  <c r="AI180" i="56"/>
  <c r="AJ179" i="56"/>
  <c r="AI179" i="56"/>
  <c r="AJ178" i="56"/>
  <c r="AI178" i="56"/>
  <c r="AJ177" i="56"/>
  <c r="AI177" i="56"/>
  <c r="AJ176" i="56"/>
  <c r="AI176" i="56"/>
  <c r="AJ175" i="56"/>
  <c r="AI175" i="56"/>
  <c r="AJ174" i="56"/>
  <c r="AI174" i="56"/>
  <c r="AJ173" i="56"/>
  <c r="AI173" i="56"/>
  <c r="AJ172" i="56"/>
  <c r="AI172" i="56"/>
  <c r="AJ171" i="56"/>
  <c r="AI171" i="56"/>
  <c r="AJ170" i="56"/>
  <c r="AI170" i="56"/>
  <c r="AJ169" i="56"/>
  <c r="AI169" i="56"/>
  <c r="AJ168" i="56"/>
  <c r="AI168" i="56"/>
  <c r="AJ167" i="56"/>
  <c r="AI167" i="56"/>
  <c r="AJ166" i="56"/>
  <c r="AI166" i="56"/>
  <c r="AJ165" i="56"/>
  <c r="AI165" i="56"/>
  <c r="AJ164" i="56"/>
  <c r="AI164" i="56"/>
  <c r="AJ163" i="56"/>
  <c r="AI163" i="56"/>
  <c r="AJ162" i="56"/>
  <c r="AI162" i="56"/>
  <c r="AJ161" i="56"/>
  <c r="AI161" i="56"/>
  <c r="AJ160" i="56"/>
  <c r="AI160" i="56"/>
  <c r="AJ159" i="56"/>
  <c r="AI159" i="56"/>
  <c r="AJ158" i="56"/>
  <c r="AI158" i="56"/>
  <c r="AJ157" i="56"/>
  <c r="AI157" i="56"/>
  <c r="AJ156" i="56"/>
  <c r="AI156" i="56"/>
  <c r="AJ155" i="56"/>
  <c r="AI155" i="56"/>
  <c r="AJ154" i="56"/>
  <c r="AI154" i="56"/>
  <c r="AJ153" i="56"/>
  <c r="AI153" i="56"/>
  <c r="AJ152" i="56"/>
  <c r="AI152" i="56"/>
  <c r="AJ151" i="56"/>
  <c r="AI151" i="56"/>
  <c r="AJ150" i="56"/>
  <c r="AI150" i="56"/>
  <c r="AJ149" i="56"/>
  <c r="AI149" i="56"/>
  <c r="AJ148" i="56"/>
  <c r="AI148" i="56"/>
  <c r="AJ147" i="56"/>
  <c r="AI147" i="56"/>
  <c r="AJ146" i="56"/>
  <c r="AI146" i="56"/>
  <c r="AJ145" i="56"/>
  <c r="AI145" i="56"/>
  <c r="AJ144" i="56"/>
  <c r="AI144" i="56"/>
  <c r="AJ143" i="56"/>
  <c r="AI143" i="56"/>
  <c r="AJ142" i="56"/>
  <c r="AI142" i="56"/>
  <c r="AJ141" i="56"/>
  <c r="AI141" i="56"/>
  <c r="AJ140" i="56"/>
  <c r="AI140" i="56"/>
  <c r="AJ139" i="56"/>
  <c r="AI139" i="56"/>
  <c r="AJ138" i="56"/>
  <c r="AI138" i="56"/>
  <c r="AJ137" i="56"/>
  <c r="AI137" i="56"/>
  <c r="AJ136" i="56"/>
  <c r="AI136" i="56"/>
  <c r="AJ135" i="56"/>
  <c r="AI135" i="56"/>
  <c r="AJ134" i="56"/>
  <c r="AI134" i="56"/>
  <c r="AJ133" i="56"/>
  <c r="AI133" i="56"/>
  <c r="AJ132" i="56"/>
  <c r="AI132" i="56"/>
  <c r="AJ131" i="56"/>
  <c r="AI131" i="56"/>
  <c r="AJ130" i="56"/>
  <c r="AI130" i="56"/>
  <c r="AJ129" i="56"/>
  <c r="AI129" i="56"/>
  <c r="AJ128" i="56"/>
  <c r="AI128" i="56"/>
  <c r="AJ127" i="56"/>
  <c r="AI127" i="56"/>
  <c r="AJ126" i="56"/>
  <c r="AI126" i="56"/>
  <c r="AJ125" i="56"/>
  <c r="AI125" i="56"/>
  <c r="AJ124" i="56"/>
  <c r="AI124" i="56"/>
  <c r="AJ123" i="56"/>
  <c r="AI123" i="56"/>
  <c r="AJ122" i="56"/>
  <c r="AI122" i="56"/>
  <c r="AJ121" i="56"/>
  <c r="AI121" i="56"/>
  <c r="AJ120" i="56"/>
  <c r="AI120" i="56"/>
  <c r="AJ119" i="56"/>
  <c r="AI119" i="56"/>
  <c r="AJ118" i="56"/>
  <c r="AI118" i="56"/>
  <c r="AJ117" i="56"/>
  <c r="AI117" i="56"/>
  <c r="AJ116" i="56"/>
  <c r="AI116" i="56"/>
  <c r="AJ115" i="56"/>
  <c r="AI115" i="56"/>
  <c r="AJ114" i="56"/>
  <c r="AI114" i="56"/>
  <c r="AJ113" i="56"/>
  <c r="AI113" i="56"/>
  <c r="AJ112" i="56"/>
  <c r="AI112" i="56"/>
  <c r="AJ111" i="56"/>
  <c r="AI111" i="56"/>
  <c r="AJ110" i="56"/>
  <c r="AI110" i="56"/>
  <c r="AJ109" i="56"/>
  <c r="AI109" i="56"/>
  <c r="AJ108" i="56"/>
  <c r="AI108" i="56"/>
  <c r="AJ107" i="56"/>
  <c r="AI107" i="56"/>
  <c r="AJ106" i="56"/>
  <c r="AI106" i="56"/>
  <c r="AJ105" i="56"/>
  <c r="AI105" i="56"/>
  <c r="AJ104" i="56"/>
  <c r="AI104" i="56"/>
  <c r="AJ103" i="56"/>
  <c r="AI103" i="56"/>
  <c r="AJ102" i="56"/>
  <c r="AI102" i="56"/>
  <c r="AJ101" i="56"/>
  <c r="AI101" i="56"/>
  <c r="AJ100" i="56"/>
  <c r="AI100" i="56"/>
  <c r="AJ99" i="56"/>
  <c r="AI99" i="56"/>
  <c r="AJ98" i="56"/>
  <c r="AI98" i="56"/>
  <c r="AJ97" i="56"/>
  <c r="AI97" i="56"/>
  <c r="AJ96" i="56"/>
  <c r="AI96" i="56"/>
  <c r="AJ95" i="56"/>
  <c r="AI95" i="56"/>
  <c r="AJ94" i="56"/>
  <c r="AI94" i="56"/>
  <c r="AJ93" i="56"/>
  <c r="AI93" i="56"/>
  <c r="AJ92" i="56"/>
  <c r="AI92" i="56"/>
  <c r="AJ91" i="56"/>
  <c r="AI91" i="56"/>
  <c r="AJ90" i="56"/>
  <c r="AI90" i="56"/>
  <c r="AJ89" i="56"/>
  <c r="AI89" i="56"/>
  <c r="AJ88" i="56"/>
  <c r="AI88" i="56"/>
  <c r="AJ87" i="56"/>
  <c r="AI87" i="56"/>
  <c r="AJ86" i="56"/>
  <c r="AI86" i="56"/>
  <c r="AJ85" i="56"/>
  <c r="AI85" i="56"/>
  <c r="AJ84" i="56"/>
  <c r="AI84" i="56"/>
  <c r="AJ83" i="56"/>
  <c r="AI83" i="56"/>
  <c r="AJ82" i="56"/>
  <c r="AI82" i="56"/>
  <c r="AJ81" i="56"/>
  <c r="AI81" i="56"/>
  <c r="AJ80" i="56"/>
  <c r="AI80" i="56"/>
  <c r="AJ79" i="56"/>
  <c r="AI79" i="56"/>
  <c r="AJ78" i="56"/>
  <c r="AI78" i="56"/>
  <c r="AJ77" i="56"/>
  <c r="AI77" i="56"/>
  <c r="AJ76" i="56"/>
  <c r="AI76" i="56"/>
  <c r="AJ75" i="56"/>
  <c r="AI75" i="56"/>
  <c r="AJ74" i="56"/>
  <c r="AI74" i="56"/>
  <c r="AJ73" i="56"/>
  <c r="AI73" i="56"/>
  <c r="AJ72" i="56"/>
  <c r="AI72" i="56"/>
  <c r="AJ71" i="56"/>
  <c r="AI71" i="56"/>
  <c r="AJ70" i="56"/>
  <c r="AI70" i="56"/>
  <c r="AJ69" i="56"/>
  <c r="AI69" i="56"/>
  <c r="AJ68" i="56"/>
  <c r="AI68" i="56"/>
  <c r="AJ67" i="56"/>
  <c r="AI67" i="56"/>
  <c r="AJ66" i="56"/>
  <c r="AI66" i="56"/>
  <c r="AJ65" i="56"/>
  <c r="AI65" i="56"/>
  <c r="AJ64" i="56"/>
  <c r="AI64" i="56"/>
  <c r="AJ63" i="56"/>
  <c r="AI63" i="56"/>
  <c r="AJ62" i="56"/>
  <c r="AI62" i="56"/>
  <c r="AJ61" i="56"/>
  <c r="AI61" i="56"/>
  <c r="AJ60" i="56"/>
  <c r="AI60" i="56"/>
  <c r="AJ59" i="56"/>
  <c r="AI59" i="56"/>
  <c r="AJ58" i="56"/>
  <c r="AI58" i="56"/>
  <c r="AJ57" i="56"/>
  <c r="AI57" i="56"/>
  <c r="AJ56" i="56"/>
  <c r="AI56" i="56"/>
  <c r="AJ55" i="56"/>
  <c r="AI55" i="56"/>
  <c r="AJ54" i="56"/>
  <c r="AI54" i="56"/>
  <c r="AJ53" i="56"/>
  <c r="AI53" i="56"/>
  <c r="AJ52" i="56"/>
  <c r="AI52" i="56"/>
  <c r="AJ51" i="56"/>
  <c r="AI51" i="56"/>
  <c r="AJ50" i="56"/>
  <c r="AI50" i="56"/>
  <c r="AJ49" i="56"/>
  <c r="AI49" i="56"/>
  <c r="AJ48" i="56"/>
  <c r="AI48" i="56"/>
  <c r="AJ47" i="56"/>
  <c r="AI47" i="56"/>
  <c r="AJ46" i="56"/>
  <c r="AI46" i="56"/>
  <c r="AJ45" i="56"/>
  <c r="AI45" i="56"/>
  <c r="AJ44" i="56"/>
  <c r="AI44" i="56"/>
  <c r="AJ43" i="56"/>
  <c r="AI43" i="56"/>
  <c r="AJ42" i="56"/>
  <c r="AI42" i="56"/>
  <c r="AJ41" i="56"/>
  <c r="AI41" i="56"/>
  <c r="AJ40" i="56"/>
  <c r="AI40" i="56"/>
  <c r="AJ39" i="56"/>
  <c r="AI39" i="56"/>
  <c r="AJ38" i="56"/>
  <c r="AI38" i="56"/>
  <c r="AJ37" i="56"/>
  <c r="AI37" i="56"/>
  <c r="AJ36" i="56"/>
  <c r="AI36" i="56"/>
  <c r="AJ35" i="56"/>
  <c r="AI35" i="56"/>
  <c r="AJ34" i="56"/>
  <c r="AI34" i="56"/>
  <c r="AJ33" i="56"/>
  <c r="AI33" i="56"/>
  <c r="AJ32" i="56"/>
  <c r="AI32" i="56"/>
  <c r="AJ31" i="56"/>
  <c r="AI31" i="56"/>
  <c r="AJ30" i="56"/>
  <c r="AI30" i="56"/>
  <c r="AJ29" i="56"/>
  <c r="AI29" i="56"/>
  <c r="AJ28" i="56"/>
  <c r="AI28" i="56"/>
  <c r="AJ27" i="56"/>
  <c r="AI27" i="56"/>
  <c r="AJ26" i="56"/>
  <c r="AI26" i="56"/>
  <c r="AJ25" i="56"/>
  <c r="AI25" i="56"/>
  <c r="AJ24" i="56"/>
  <c r="AI24" i="56"/>
  <c r="AJ23" i="56"/>
  <c r="AI23" i="56"/>
  <c r="AJ22" i="56"/>
  <c r="AI22" i="56"/>
  <c r="AJ21" i="56"/>
  <c r="AI21" i="56"/>
  <c r="AJ20" i="56"/>
  <c r="AI20" i="56"/>
  <c r="AJ19" i="56"/>
  <c r="AI19" i="56"/>
  <c r="AJ18" i="56"/>
  <c r="AI18" i="56"/>
  <c r="AJ17" i="56"/>
  <c r="AI17" i="56"/>
  <c r="AJ16" i="56"/>
  <c r="AI16" i="56"/>
  <c r="X405" i="56"/>
  <c r="W405" i="56"/>
  <c r="X404" i="56"/>
  <c r="W404" i="56"/>
  <c r="X403" i="56"/>
  <c r="W403" i="56"/>
  <c r="X402" i="56"/>
  <c r="W402" i="56"/>
  <c r="X401" i="56"/>
  <c r="W401" i="56"/>
  <c r="X400" i="56"/>
  <c r="W400" i="56"/>
  <c r="X399" i="56"/>
  <c r="W399" i="56"/>
  <c r="X398" i="56"/>
  <c r="W398" i="56"/>
  <c r="X397" i="56"/>
  <c r="W397" i="56"/>
  <c r="X396" i="56"/>
  <c r="W396" i="56"/>
  <c r="X395" i="56"/>
  <c r="W395" i="56"/>
  <c r="X394" i="56"/>
  <c r="W394" i="56"/>
  <c r="X393" i="56"/>
  <c r="W393" i="56"/>
  <c r="X392" i="56"/>
  <c r="W392" i="56"/>
  <c r="X391" i="56"/>
  <c r="W391" i="56"/>
  <c r="X390" i="56"/>
  <c r="W390" i="56"/>
  <c r="X389" i="56"/>
  <c r="W389" i="56"/>
  <c r="X388" i="56"/>
  <c r="W388" i="56"/>
  <c r="X387" i="56"/>
  <c r="W387" i="56"/>
  <c r="X386" i="56"/>
  <c r="W386" i="56"/>
  <c r="X385" i="56"/>
  <c r="W385" i="56"/>
  <c r="X384" i="56"/>
  <c r="W384" i="56"/>
  <c r="X383" i="56"/>
  <c r="W383" i="56"/>
  <c r="X382" i="56"/>
  <c r="W382" i="56"/>
  <c r="X381" i="56"/>
  <c r="W381" i="56"/>
  <c r="X380" i="56"/>
  <c r="W380" i="56"/>
  <c r="X379" i="56"/>
  <c r="W379" i="56"/>
  <c r="X378" i="56"/>
  <c r="W378" i="56"/>
  <c r="X377" i="56"/>
  <c r="W377" i="56"/>
  <c r="X376" i="56"/>
  <c r="W376" i="56"/>
  <c r="X375" i="56"/>
  <c r="W375" i="56"/>
  <c r="X374" i="56"/>
  <c r="W374" i="56"/>
  <c r="X373" i="56"/>
  <c r="W373" i="56"/>
  <c r="X372" i="56"/>
  <c r="W372" i="56"/>
  <c r="X371" i="56"/>
  <c r="W371" i="56"/>
  <c r="X370" i="56"/>
  <c r="W370" i="56"/>
  <c r="X369" i="56"/>
  <c r="W369" i="56"/>
  <c r="X368" i="56"/>
  <c r="W368" i="56"/>
  <c r="X367" i="56"/>
  <c r="W367" i="56"/>
  <c r="X366" i="56"/>
  <c r="W366" i="56"/>
  <c r="X365" i="56"/>
  <c r="W365" i="56"/>
  <c r="X364" i="56"/>
  <c r="W364" i="56"/>
  <c r="X363" i="56"/>
  <c r="W363" i="56"/>
  <c r="X362" i="56"/>
  <c r="W362" i="56"/>
  <c r="X361" i="56"/>
  <c r="W361" i="56"/>
  <c r="X360" i="56"/>
  <c r="W360" i="56"/>
  <c r="X359" i="56"/>
  <c r="W359" i="56"/>
  <c r="X358" i="56"/>
  <c r="W358" i="56"/>
  <c r="X357" i="56"/>
  <c r="W357" i="56"/>
  <c r="X356" i="56"/>
  <c r="W356" i="56"/>
  <c r="X355" i="56"/>
  <c r="W355" i="56"/>
  <c r="X354" i="56"/>
  <c r="W354" i="56"/>
  <c r="X353" i="56"/>
  <c r="W353" i="56"/>
  <c r="X352" i="56"/>
  <c r="W352" i="56"/>
  <c r="X351" i="56"/>
  <c r="W351" i="56"/>
  <c r="X350" i="56"/>
  <c r="W350" i="56"/>
  <c r="X349" i="56"/>
  <c r="W349" i="56"/>
  <c r="X348" i="56"/>
  <c r="W348" i="56"/>
  <c r="X347" i="56"/>
  <c r="W347" i="56"/>
  <c r="X346" i="56"/>
  <c r="W346" i="56"/>
  <c r="X345" i="56"/>
  <c r="W345" i="56"/>
  <c r="X344" i="56"/>
  <c r="W344" i="56"/>
  <c r="X343" i="56"/>
  <c r="W343" i="56"/>
  <c r="X342" i="56"/>
  <c r="W342" i="56"/>
  <c r="X341" i="56"/>
  <c r="W341" i="56"/>
  <c r="X340" i="56"/>
  <c r="W340" i="56"/>
  <c r="X339" i="56"/>
  <c r="W339" i="56"/>
  <c r="X338" i="56"/>
  <c r="W338" i="56"/>
  <c r="X337" i="56"/>
  <c r="W337" i="56"/>
  <c r="X336" i="56"/>
  <c r="W336" i="56"/>
  <c r="X335" i="56"/>
  <c r="W335" i="56"/>
  <c r="X334" i="56"/>
  <c r="W334" i="56"/>
  <c r="X333" i="56"/>
  <c r="W333" i="56"/>
  <c r="X332" i="56"/>
  <c r="W332" i="56"/>
  <c r="X331" i="56"/>
  <c r="W331" i="56"/>
  <c r="X330" i="56"/>
  <c r="W330" i="56"/>
  <c r="X329" i="56"/>
  <c r="W329" i="56"/>
  <c r="X328" i="56"/>
  <c r="W328" i="56"/>
  <c r="X327" i="56"/>
  <c r="W327" i="56"/>
  <c r="X326" i="56"/>
  <c r="W326" i="56"/>
  <c r="X325" i="56"/>
  <c r="W325" i="56"/>
  <c r="X324" i="56"/>
  <c r="W324" i="56"/>
  <c r="X323" i="56"/>
  <c r="W323" i="56"/>
  <c r="X322" i="56"/>
  <c r="W322" i="56"/>
  <c r="X321" i="56"/>
  <c r="W321" i="56"/>
  <c r="X320" i="56"/>
  <c r="W320" i="56"/>
  <c r="X319" i="56"/>
  <c r="W319" i="56"/>
  <c r="X318" i="56"/>
  <c r="W318" i="56"/>
  <c r="X317" i="56"/>
  <c r="W317" i="56"/>
  <c r="X316" i="56"/>
  <c r="W316" i="56"/>
  <c r="X315" i="56"/>
  <c r="W315" i="56"/>
  <c r="X314" i="56"/>
  <c r="W314" i="56"/>
  <c r="X313" i="56"/>
  <c r="W313" i="56"/>
  <c r="X312" i="56"/>
  <c r="W312" i="56"/>
  <c r="X311" i="56"/>
  <c r="W311" i="56"/>
  <c r="X310" i="56"/>
  <c r="W310" i="56"/>
  <c r="X309" i="56"/>
  <c r="W309" i="56"/>
  <c r="X308" i="56"/>
  <c r="W308" i="56"/>
  <c r="X307" i="56"/>
  <c r="W307" i="56"/>
  <c r="X306" i="56"/>
  <c r="W306" i="56"/>
  <c r="X305" i="56"/>
  <c r="W305" i="56"/>
  <c r="X304" i="56"/>
  <c r="W304" i="56"/>
  <c r="X303" i="56"/>
  <c r="W303" i="56"/>
  <c r="X302" i="56"/>
  <c r="W302" i="56"/>
  <c r="X301" i="56"/>
  <c r="W301" i="56"/>
  <c r="X300" i="56"/>
  <c r="W300" i="56"/>
  <c r="X299" i="56"/>
  <c r="W299" i="56"/>
  <c r="X298" i="56"/>
  <c r="W298" i="56"/>
  <c r="X297" i="56"/>
  <c r="W297" i="56"/>
  <c r="X296" i="56"/>
  <c r="W296" i="56"/>
  <c r="X295" i="56"/>
  <c r="W295" i="56"/>
  <c r="X294" i="56"/>
  <c r="W294" i="56"/>
  <c r="X293" i="56"/>
  <c r="W293" i="56"/>
  <c r="X292" i="56"/>
  <c r="W292" i="56"/>
  <c r="X291" i="56"/>
  <c r="W291" i="56"/>
  <c r="X290" i="56"/>
  <c r="W290" i="56"/>
  <c r="X289" i="56"/>
  <c r="W289" i="56"/>
  <c r="X288" i="56"/>
  <c r="W288" i="56"/>
  <c r="X287" i="56"/>
  <c r="W287" i="56"/>
  <c r="X286" i="56"/>
  <c r="W286" i="56"/>
  <c r="X285" i="56"/>
  <c r="W285" i="56"/>
  <c r="X284" i="56"/>
  <c r="W284" i="56"/>
  <c r="X283" i="56"/>
  <c r="W283" i="56"/>
  <c r="X282" i="56"/>
  <c r="W282" i="56"/>
  <c r="X281" i="56"/>
  <c r="W281" i="56"/>
  <c r="X280" i="56"/>
  <c r="W280" i="56"/>
  <c r="X279" i="56"/>
  <c r="W279" i="56"/>
  <c r="X278" i="56"/>
  <c r="W278" i="56"/>
  <c r="X277" i="56"/>
  <c r="W277" i="56"/>
  <c r="X276" i="56"/>
  <c r="W276" i="56"/>
  <c r="X275" i="56"/>
  <c r="W275" i="56"/>
  <c r="X274" i="56"/>
  <c r="W274" i="56"/>
  <c r="X273" i="56"/>
  <c r="W273" i="56"/>
  <c r="X272" i="56"/>
  <c r="W272" i="56"/>
  <c r="X271" i="56"/>
  <c r="W271" i="56"/>
  <c r="X270" i="56"/>
  <c r="W270" i="56"/>
  <c r="X269" i="56"/>
  <c r="W269" i="56"/>
  <c r="X268" i="56"/>
  <c r="W268" i="56"/>
  <c r="X267" i="56"/>
  <c r="W267" i="56"/>
  <c r="X266" i="56"/>
  <c r="W266" i="56"/>
  <c r="X265" i="56"/>
  <c r="W265" i="56"/>
  <c r="X264" i="56"/>
  <c r="W264" i="56"/>
  <c r="X263" i="56"/>
  <c r="W263" i="56"/>
  <c r="X262" i="56"/>
  <c r="W262" i="56"/>
  <c r="X261" i="56"/>
  <c r="W261" i="56"/>
  <c r="X260" i="56"/>
  <c r="W260" i="56"/>
  <c r="X259" i="56"/>
  <c r="W259" i="56"/>
  <c r="X258" i="56"/>
  <c r="W258" i="56"/>
  <c r="X257" i="56"/>
  <c r="W257" i="56"/>
  <c r="X256" i="56"/>
  <c r="W256" i="56"/>
  <c r="X255" i="56"/>
  <c r="W255" i="56"/>
  <c r="X254" i="56"/>
  <c r="W254" i="56"/>
  <c r="X253" i="56"/>
  <c r="W253" i="56"/>
  <c r="X252" i="56"/>
  <c r="W252" i="56"/>
  <c r="X251" i="56"/>
  <c r="W251" i="56"/>
  <c r="X250" i="56"/>
  <c r="W250" i="56"/>
  <c r="X249" i="56"/>
  <c r="W249" i="56"/>
  <c r="X248" i="56"/>
  <c r="W248" i="56"/>
  <c r="X247" i="56"/>
  <c r="W247" i="56"/>
  <c r="X246" i="56"/>
  <c r="W246" i="56"/>
  <c r="X245" i="56"/>
  <c r="W245" i="56"/>
  <c r="X244" i="56"/>
  <c r="W244" i="56"/>
  <c r="X243" i="56"/>
  <c r="W243" i="56"/>
  <c r="X242" i="56"/>
  <c r="W242" i="56"/>
  <c r="X241" i="56"/>
  <c r="W241" i="56"/>
  <c r="X240" i="56"/>
  <c r="W240" i="56"/>
  <c r="X239" i="56"/>
  <c r="W239" i="56"/>
  <c r="X238" i="56"/>
  <c r="W238" i="56"/>
  <c r="X237" i="56"/>
  <c r="W237" i="56"/>
  <c r="X236" i="56"/>
  <c r="W236" i="56"/>
  <c r="X235" i="56"/>
  <c r="W235" i="56"/>
  <c r="X234" i="56"/>
  <c r="W234" i="56"/>
  <c r="X233" i="56"/>
  <c r="W233" i="56"/>
  <c r="X232" i="56"/>
  <c r="W232" i="56"/>
  <c r="X231" i="56"/>
  <c r="W231" i="56"/>
  <c r="X230" i="56"/>
  <c r="W230" i="56"/>
  <c r="X229" i="56"/>
  <c r="W229" i="56"/>
  <c r="X228" i="56"/>
  <c r="W228" i="56"/>
  <c r="X227" i="56"/>
  <c r="W227" i="56"/>
  <c r="X226" i="56"/>
  <c r="W226" i="56"/>
  <c r="X225" i="56"/>
  <c r="W225" i="56"/>
  <c r="X224" i="56"/>
  <c r="W224" i="56"/>
  <c r="X223" i="56"/>
  <c r="W223" i="56"/>
  <c r="X222" i="56"/>
  <c r="W222" i="56"/>
  <c r="X221" i="56"/>
  <c r="W221" i="56"/>
  <c r="X220" i="56"/>
  <c r="W220" i="56"/>
  <c r="X219" i="56"/>
  <c r="W219" i="56"/>
  <c r="X218" i="56"/>
  <c r="W218" i="56"/>
  <c r="X217" i="56"/>
  <c r="W217" i="56"/>
  <c r="X216" i="56"/>
  <c r="W216" i="56"/>
  <c r="X215" i="56"/>
  <c r="W215" i="56"/>
  <c r="X214" i="56"/>
  <c r="W214" i="56"/>
  <c r="X213" i="56"/>
  <c r="W213" i="56"/>
  <c r="X212" i="56"/>
  <c r="W212" i="56"/>
  <c r="X211" i="56"/>
  <c r="W211" i="56"/>
  <c r="X210" i="56"/>
  <c r="W210" i="56"/>
  <c r="X209" i="56"/>
  <c r="W209" i="56"/>
  <c r="X208" i="56"/>
  <c r="W208" i="56"/>
  <c r="X207" i="56"/>
  <c r="W207" i="56"/>
  <c r="X206" i="56"/>
  <c r="W206" i="56"/>
  <c r="X205" i="56"/>
  <c r="W205" i="56"/>
  <c r="X204" i="56"/>
  <c r="W204" i="56"/>
  <c r="X203" i="56"/>
  <c r="W203" i="56"/>
  <c r="X202" i="56"/>
  <c r="W202" i="56"/>
  <c r="X201" i="56"/>
  <c r="W201" i="56"/>
  <c r="X200" i="56"/>
  <c r="W200" i="56"/>
  <c r="X199" i="56"/>
  <c r="W199" i="56"/>
  <c r="X198" i="56"/>
  <c r="W198" i="56"/>
  <c r="X197" i="56"/>
  <c r="W197" i="56"/>
  <c r="X196" i="56"/>
  <c r="W196" i="56"/>
  <c r="X195" i="56"/>
  <c r="W195" i="56"/>
  <c r="X194" i="56"/>
  <c r="W194" i="56"/>
  <c r="X193" i="56"/>
  <c r="W193" i="56"/>
  <c r="X192" i="56"/>
  <c r="W192" i="56"/>
  <c r="X191" i="56"/>
  <c r="W191" i="56"/>
  <c r="X190" i="56"/>
  <c r="W190" i="56"/>
  <c r="X189" i="56"/>
  <c r="W189" i="56"/>
  <c r="X188" i="56"/>
  <c r="W188" i="56"/>
  <c r="X187" i="56"/>
  <c r="W187" i="56"/>
  <c r="X186" i="56"/>
  <c r="W186" i="56"/>
  <c r="X185" i="56"/>
  <c r="W185" i="56"/>
  <c r="X184" i="56"/>
  <c r="W184" i="56"/>
  <c r="X183" i="56"/>
  <c r="W183" i="56"/>
  <c r="X182" i="56"/>
  <c r="W182" i="56"/>
  <c r="X181" i="56"/>
  <c r="W181" i="56"/>
  <c r="X180" i="56"/>
  <c r="W180" i="56"/>
  <c r="X179" i="56"/>
  <c r="W179" i="56"/>
  <c r="X178" i="56"/>
  <c r="W178" i="56"/>
  <c r="X177" i="56"/>
  <c r="W177" i="56"/>
  <c r="X176" i="56"/>
  <c r="W176" i="56"/>
  <c r="X175" i="56"/>
  <c r="W175" i="56"/>
  <c r="X174" i="56"/>
  <c r="W174" i="56"/>
  <c r="X173" i="56"/>
  <c r="W173" i="56"/>
  <c r="X172" i="56"/>
  <c r="W172" i="56"/>
  <c r="X171" i="56"/>
  <c r="W171" i="56"/>
  <c r="X170" i="56"/>
  <c r="W170" i="56"/>
  <c r="X169" i="56"/>
  <c r="W169" i="56"/>
  <c r="X168" i="56"/>
  <c r="W168" i="56"/>
  <c r="X167" i="56"/>
  <c r="W167" i="56"/>
  <c r="X166" i="56"/>
  <c r="W166" i="56"/>
  <c r="X165" i="56"/>
  <c r="W165" i="56"/>
  <c r="X164" i="56"/>
  <c r="W164" i="56"/>
  <c r="X163" i="56"/>
  <c r="W163" i="56"/>
  <c r="X162" i="56"/>
  <c r="W162" i="56"/>
  <c r="X161" i="56"/>
  <c r="W161" i="56"/>
  <c r="X160" i="56"/>
  <c r="W160" i="56"/>
  <c r="X159" i="56"/>
  <c r="W159" i="56"/>
  <c r="X158" i="56"/>
  <c r="W158" i="56"/>
  <c r="X157" i="56"/>
  <c r="W157" i="56"/>
  <c r="X156" i="56"/>
  <c r="W156" i="56"/>
  <c r="X155" i="56"/>
  <c r="W155" i="56"/>
  <c r="X154" i="56"/>
  <c r="W154" i="56"/>
  <c r="X153" i="56"/>
  <c r="W153" i="56"/>
  <c r="X152" i="56"/>
  <c r="W152" i="56"/>
  <c r="X151" i="56"/>
  <c r="W151" i="56"/>
  <c r="X150" i="56"/>
  <c r="W150" i="56"/>
  <c r="X149" i="56"/>
  <c r="W149" i="56"/>
  <c r="X148" i="56"/>
  <c r="W148" i="56"/>
  <c r="X147" i="56"/>
  <c r="W147" i="56"/>
  <c r="X146" i="56"/>
  <c r="W146" i="56"/>
  <c r="X145" i="56"/>
  <c r="W145" i="56"/>
  <c r="X144" i="56"/>
  <c r="W144" i="56"/>
  <c r="X143" i="56"/>
  <c r="W143" i="56"/>
  <c r="X142" i="56"/>
  <c r="W142" i="56"/>
  <c r="X141" i="56"/>
  <c r="W141" i="56"/>
  <c r="X140" i="56"/>
  <c r="W140" i="56"/>
  <c r="X139" i="56"/>
  <c r="W139" i="56"/>
  <c r="X138" i="56"/>
  <c r="W138" i="56"/>
  <c r="X137" i="56"/>
  <c r="W137" i="56"/>
  <c r="X136" i="56"/>
  <c r="W136" i="56"/>
  <c r="X135" i="56"/>
  <c r="W135" i="56"/>
  <c r="X134" i="56"/>
  <c r="W134" i="56"/>
  <c r="X133" i="56"/>
  <c r="W133" i="56"/>
  <c r="X132" i="56"/>
  <c r="W132" i="56"/>
  <c r="X131" i="56"/>
  <c r="W131" i="56"/>
  <c r="X130" i="56"/>
  <c r="W130" i="56"/>
  <c r="X129" i="56"/>
  <c r="W129" i="56"/>
  <c r="X128" i="56"/>
  <c r="W128" i="56"/>
  <c r="X127" i="56"/>
  <c r="W127" i="56"/>
  <c r="X126" i="56"/>
  <c r="W126" i="56"/>
  <c r="X125" i="56"/>
  <c r="W125" i="56"/>
  <c r="X124" i="56"/>
  <c r="W124" i="56"/>
  <c r="X123" i="56"/>
  <c r="W123" i="56"/>
  <c r="X122" i="56"/>
  <c r="W122" i="56"/>
  <c r="X121" i="56"/>
  <c r="W121" i="56"/>
  <c r="X120" i="56"/>
  <c r="W120" i="56"/>
  <c r="X119" i="56"/>
  <c r="W119" i="56"/>
  <c r="X118" i="56"/>
  <c r="W118" i="56"/>
  <c r="X117" i="56"/>
  <c r="W117" i="56"/>
  <c r="X116" i="56"/>
  <c r="W116" i="56"/>
  <c r="X115" i="56"/>
  <c r="W115" i="56"/>
  <c r="X114" i="56"/>
  <c r="W114" i="56"/>
  <c r="X113" i="56"/>
  <c r="W113" i="56"/>
  <c r="X112" i="56"/>
  <c r="W112" i="56"/>
  <c r="X111" i="56"/>
  <c r="W111" i="56"/>
  <c r="X110" i="56"/>
  <c r="W110" i="56"/>
  <c r="X109" i="56"/>
  <c r="W109" i="56"/>
  <c r="X108" i="56"/>
  <c r="W108" i="56"/>
  <c r="X107" i="56"/>
  <c r="W107" i="56"/>
  <c r="X106" i="56"/>
  <c r="W106" i="56"/>
  <c r="X105" i="56"/>
  <c r="W105" i="56"/>
  <c r="X104" i="56"/>
  <c r="W104" i="56"/>
  <c r="X103" i="56"/>
  <c r="W103" i="56"/>
  <c r="X102" i="56"/>
  <c r="W102" i="56"/>
  <c r="X101" i="56"/>
  <c r="W101" i="56"/>
  <c r="X100" i="56"/>
  <c r="W100" i="56"/>
  <c r="X99" i="56"/>
  <c r="W99" i="56"/>
  <c r="X98" i="56"/>
  <c r="W98" i="56"/>
  <c r="X97" i="56"/>
  <c r="W97" i="56"/>
  <c r="X96" i="56"/>
  <c r="W96" i="56"/>
  <c r="X95" i="56"/>
  <c r="W95" i="56"/>
  <c r="X94" i="56"/>
  <c r="W94" i="56"/>
  <c r="X93" i="56"/>
  <c r="W93" i="56"/>
  <c r="X92" i="56"/>
  <c r="W92" i="56"/>
  <c r="X91" i="56"/>
  <c r="W91" i="56"/>
  <c r="X90" i="56"/>
  <c r="W90" i="56"/>
  <c r="X89" i="56"/>
  <c r="W89" i="56"/>
  <c r="X88" i="56"/>
  <c r="W88" i="56"/>
  <c r="X87" i="56"/>
  <c r="W87" i="56"/>
  <c r="X86" i="56"/>
  <c r="W86" i="56"/>
  <c r="X85" i="56"/>
  <c r="W85" i="56"/>
  <c r="X84" i="56"/>
  <c r="W84" i="56"/>
  <c r="X83" i="56"/>
  <c r="W83" i="56"/>
  <c r="X82" i="56"/>
  <c r="W82" i="56"/>
  <c r="X81" i="56"/>
  <c r="W81" i="56"/>
  <c r="X80" i="56"/>
  <c r="W80" i="56"/>
  <c r="X79" i="56"/>
  <c r="W79" i="56"/>
  <c r="X78" i="56"/>
  <c r="W78" i="56"/>
  <c r="X77" i="56"/>
  <c r="W77" i="56"/>
  <c r="X76" i="56"/>
  <c r="W76" i="56"/>
  <c r="X75" i="56"/>
  <c r="W75" i="56"/>
  <c r="X74" i="56"/>
  <c r="W74" i="56"/>
  <c r="X73" i="56"/>
  <c r="W73" i="56"/>
  <c r="X72" i="56"/>
  <c r="W72" i="56"/>
  <c r="X71" i="56"/>
  <c r="W71" i="56"/>
  <c r="X70" i="56"/>
  <c r="W70" i="56"/>
  <c r="X69" i="56"/>
  <c r="W69" i="56"/>
  <c r="X68" i="56"/>
  <c r="W68" i="56"/>
  <c r="X67" i="56"/>
  <c r="W67" i="56"/>
  <c r="X66" i="56"/>
  <c r="W66" i="56"/>
  <c r="X65" i="56"/>
  <c r="W65" i="56"/>
  <c r="X64" i="56"/>
  <c r="W64" i="56"/>
  <c r="X63" i="56"/>
  <c r="W63" i="56"/>
  <c r="X62" i="56"/>
  <c r="W62" i="56"/>
  <c r="X61" i="56"/>
  <c r="W61" i="56"/>
  <c r="X60" i="56"/>
  <c r="W60" i="56"/>
  <c r="X59" i="56"/>
  <c r="W59" i="56"/>
  <c r="X58" i="56"/>
  <c r="W58" i="56"/>
  <c r="X57" i="56"/>
  <c r="W57" i="56"/>
  <c r="X56" i="56"/>
  <c r="W56" i="56"/>
  <c r="X55" i="56"/>
  <c r="W55" i="56"/>
  <c r="X54" i="56"/>
  <c r="W54" i="56"/>
  <c r="X53" i="56"/>
  <c r="W53" i="56"/>
  <c r="X52" i="56"/>
  <c r="W52" i="56"/>
  <c r="X51" i="56"/>
  <c r="W51" i="56"/>
  <c r="X50" i="56"/>
  <c r="W50" i="56"/>
  <c r="X49" i="56"/>
  <c r="W49" i="56"/>
  <c r="X48" i="56"/>
  <c r="W48" i="56"/>
  <c r="X47" i="56"/>
  <c r="W47" i="56"/>
  <c r="X46" i="56"/>
  <c r="W46" i="56"/>
  <c r="X45" i="56"/>
  <c r="W45" i="56"/>
  <c r="X44" i="56"/>
  <c r="W44" i="56"/>
  <c r="X43" i="56"/>
  <c r="W43" i="56"/>
  <c r="X42" i="56"/>
  <c r="W42" i="56"/>
  <c r="X41" i="56"/>
  <c r="W41" i="56"/>
  <c r="X40" i="56"/>
  <c r="W40" i="56"/>
  <c r="X39" i="56"/>
  <c r="W39" i="56"/>
  <c r="X38" i="56"/>
  <c r="W38" i="56"/>
  <c r="X37" i="56"/>
  <c r="W37" i="56"/>
  <c r="X36" i="56"/>
  <c r="W36" i="56"/>
  <c r="X35" i="56"/>
  <c r="W35" i="56"/>
  <c r="X34" i="56"/>
  <c r="W34" i="56"/>
  <c r="X33" i="56"/>
  <c r="W33" i="56"/>
  <c r="X32" i="56"/>
  <c r="W32" i="56"/>
  <c r="X31" i="56"/>
  <c r="W31" i="56"/>
  <c r="X30" i="56"/>
  <c r="W30" i="56"/>
  <c r="X29" i="56"/>
  <c r="W29" i="56"/>
  <c r="X28" i="56"/>
  <c r="W28" i="56"/>
  <c r="X27" i="56"/>
  <c r="W27" i="56"/>
  <c r="X26" i="56"/>
  <c r="W26" i="56"/>
  <c r="X25" i="56"/>
  <c r="W25" i="56"/>
  <c r="X24" i="56"/>
  <c r="W24" i="56"/>
  <c r="X23" i="56"/>
  <c r="W23" i="56"/>
  <c r="X22" i="56"/>
  <c r="W22" i="56"/>
  <c r="X21" i="56"/>
  <c r="W21" i="56"/>
  <c r="X20" i="56"/>
  <c r="W20" i="56"/>
  <c r="X19" i="56"/>
  <c r="W19" i="56"/>
  <c r="X18" i="56"/>
  <c r="W18" i="56"/>
  <c r="X17" i="56"/>
  <c r="W17" i="56"/>
  <c r="X16" i="56"/>
  <c r="W16" i="56"/>
  <c r="L405" i="56"/>
  <c r="K405" i="56"/>
  <c r="L404" i="56"/>
  <c r="K404" i="56"/>
  <c r="L403" i="56"/>
  <c r="K403" i="56"/>
  <c r="L402" i="56"/>
  <c r="K402" i="56"/>
  <c r="L401" i="56"/>
  <c r="K401" i="56"/>
  <c r="L400" i="56"/>
  <c r="K400" i="56"/>
  <c r="L399" i="56"/>
  <c r="K399" i="56"/>
  <c r="L398" i="56"/>
  <c r="K398" i="56"/>
  <c r="L397" i="56"/>
  <c r="K397" i="56"/>
  <c r="L396" i="56"/>
  <c r="K396" i="56"/>
  <c r="L395" i="56"/>
  <c r="K395" i="56"/>
  <c r="L394" i="56"/>
  <c r="K394" i="56"/>
  <c r="L393" i="56"/>
  <c r="K393" i="56"/>
  <c r="L392" i="56"/>
  <c r="K392" i="56"/>
  <c r="L391" i="56"/>
  <c r="K391" i="56"/>
  <c r="L390" i="56"/>
  <c r="K390" i="56"/>
  <c r="L389" i="56"/>
  <c r="K389" i="56"/>
  <c r="L388" i="56"/>
  <c r="K388" i="56"/>
  <c r="L387" i="56"/>
  <c r="K387" i="56"/>
  <c r="L386" i="56"/>
  <c r="K386" i="56"/>
  <c r="L385" i="56"/>
  <c r="K385" i="56"/>
  <c r="L384" i="56"/>
  <c r="K384" i="56"/>
  <c r="L383" i="56"/>
  <c r="K383" i="56"/>
  <c r="L382" i="56"/>
  <c r="K382" i="56"/>
  <c r="L381" i="56"/>
  <c r="K381" i="56"/>
  <c r="L380" i="56"/>
  <c r="K380" i="56"/>
  <c r="L379" i="56"/>
  <c r="K379" i="56"/>
  <c r="L378" i="56"/>
  <c r="K378" i="56"/>
  <c r="L377" i="56"/>
  <c r="K377" i="56"/>
  <c r="L376" i="56"/>
  <c r="K376" i="56"/>
  <c r="L375" i="56"/>
  <c r="K375" i="56"/>
  <c r="L374" i="56"/>
  <c r="K374" i="56"/>
  <c r="L373" i="56"/>
  <c r="K373" i="56"/>
  <c r="L372" i="56"/>
  <c r="K372" i="56"/>
  <c r="L371" i="56"/>
  <c r="K371" i="56"/>
  <c r="L370" i="56"/>
  <c r="K370" i="56"/>
  <c r="L369" i="56"/>
  <c r="K369" i="56"/>
  <c r="L368" i="56"/>
  <c r="K368" i="56"/>
  <c r="L367" i="56"/>
  <c r="K367" i="56"/>
  <c r="L366" i="56"/>
  <c r="K366" i="56"/>
  <c r="L365" i="56"/>
  <c r="K365" i="56"/>
  <c r="L364" i="56"/>
  <c r="K364" i="56"/>
  <c r="L363" i="56"/>
  <c r="K363" i="56"/>
  <c r="L362" i="56"/>
  <c r="K362" i="56"/>
  <c r="L361" i="56"/>
  <c r="K361" i="56"/>
  <c r="L360" i="56"/>
  <c r="K360" i="56"/>
  <c r="L359" i="56"/>
  <c r="K359" i="56"/>
  <c r="L358" i="56"/>
  <c r="K358" i="56"/>
  <c r="L357" i="56"/>
  <c r="K357" i="56"/>
  <c r="L356" i="56"/>
  <c r="K356" i="56"/>
  <c r="L355" i="56"/>
  <c r="K355" i="56"/>
  <c r="L354" i="56"/>
  <c r="K354" i="56"/>
  <c r="L353" i="56"/>
  <c r="K353" i="56"/>
  <c r="L352" i="56"/>
  <c r="K352" i="56"/>
  <c r="L351" i="56"/>
  <c r="K351" i="56"/>
  <c r="L350" i="56"/>
  <c r="K350" i="56"/>
  <c r="L349" i="56"/>
  <c r="K349" i="56"/>
  <c r="L348" i="56"/>
  <c r="K348" i="56"/>
  <c r="L347" i="56"/>
  <c r="K347" i="56"/>
  <c r="L346" i="56"/>
  <c r="K346" i="56"/>
  <c r="L345" i="56"/>
  <c r="K345" i="56"/>
  <c r="L344" i="56"/>
  <c r="K344" i="56"/>
  <c r="L343" i="56"/>
  <c r="K343" i="56"/>
  <c r="L342" i="56"/>
  <c r="K342" i="56"/>
  <c r="L341" i="56"/>
  <c r="K341" i="56"/>
  <c r="L340" i="56"/>
  <c r="K340" i="56"/>
  <c r="L339" i="56"/>
  <c r="K339" i="56"/>
  <c r="L338" i="56"/>
  <c r="K338" i="56"/>
  <c r="L337" i="56"/>
  <c r="K337" i="56"/>
  <c r="L336" i="56"/>
  <c r="K336" i="56"/>
  <c r="L335" i="56"/>
  <c r="K335" i="56"/>
  <c r="L334" i="56"/>
  <c r="K334" i="56"/>
  <c r="L333" i="56"/>
  <c r="K333" i="56"/>
  <c r="L332" i="56"/>
  <c r="K332" i="56"/>
  <c r="L331" i="56"/>
  <c r="K331" i="56"/>
  <c r="L330" i="56"/>
  <c r="K330" i="56"/>
  <c r="L329" i="56"/>
  <c r="K329" i="56"/>
  <c r="L328" i="56"/>
  <c r="K328" i="56"/>
  <c r="L327" i="56"/>
  <c r="K327" i="56"/>
  <c r="L326" i="56"/>
  <c r="K326" i="56"/>
  <c r="L325" i="56"/>
  <c r="K325" i="56"/>
  <c r="L324" i="56"/>
  <c r="K324" i="56"/>
  <c r="L323" i="56"/>
  <c r="K323" i="56"/>
  <c r="L322" i="56"/>
  <c r="K322" i="56"/>
  <c r="L321" i="56"/>
  <c r="K321" i="56"/>
  <c r="L320" i="56"/>
  <c r="K320" i="56"/>
  <c r="L319" i="56"/>
  <c r="K319" i="56"/>
  <c r="L318" i="56"/>
  <c r="K318" i="56"/>
  <c r="L317" i="56"/>
  <c r="K317" i="56"/>
  <c r="L316" i="56"/>
  <c r="K316" i="56"/>
  <c r="L315" i="56"/>
  <c r="K315" i="56"/>
  <c r="L314" i="56"/>
  <c r="K314" i="56"/>
  <c r="L313" i="56"/>
  <c r="K313" i="56"/>
  <c r="L312" i="56"/>
  <c r="K312" i="56"/>
  <c r="L311" i="56"/>
  <c r="K311" i="56"/>
  <c r="L310" i="56"/>
  <c r="K310" i="56"/>
  <c r="L309" i="56"/>
  <c r="K309" i="56"/>
  <c r="L308" i="56"/>
  <c r="K308" i="56"/>
  <c r="L307" i="56"/>
  <c r="K307" i="56"/>
  <c r="L306" i="56"/>
  <c r="K306" i="56"/>
  <c r="L305" i="56"/>
  <c r="K305" i="56"/>
  <c r="L304" i="56"/>
  <c r="K304" i="56"/>
  <c r="L303" i="56"/>
  <c r="K303" i="56"/>
  <c r="L302" i="56"/>
  <c r="K302" i="56"/>
  <c r="L301" i="56"/>
  <c r="K301" i="56"/>
  <c r="L300" i="56"/>
  <c r="K300" i="56"/>
  <c r="L299" i="56"/>
  <c r="K299" i="56"/>
  <c r="L298" i="56"/>
  <c r="K298" i="56"/>
  <c r="L297" i="56"/>
  <c r="K297" i="56"/>
  <c r="L296" i="56"/>
  <c r="K296" i="56"/>
  <c r="L295" i="56"/>
  <c r="K295" i="56"/>
  <c r="L294" i="56"/>
  <c r="K294" i="56"/>
  <c r="L293" i="56"/>
  <c r="K293" i="56"/>
  <c r="L292" i="56"/>
  <c r="K292" i="56"/>
  <c r="L291" i="56"/>
  <c r="K291" i="56"/>
  <c r="L290" i="56"/>
  <c r="K290" i="56"/>
  <c r="L289" i="56"/>
  <c r="K289" i="56"/>
  <c r="L288" i="56"/>
  <c r="K288" i="56"/>
  <c r="L287" i="56"/>
  <c r="K287" i="56"/>
  <c r="L286" i="56"/>
  <c r="K286" i="56"/>
  <c r="L285" i="56"/>
  <c r="K285" i="56"/>
  <c r="L284" i="56"/>
  <c r="K284" i="56"/>
  <c r="L283" i="56"/>
  <c r="K283" i="56"/>
  <c r="L282" i="56"/>
  <c r="K282" i="56"/>
  <c r="L281" i="56"/>
  <c r="K281" i="56"/>
  <c r="L280" i="56"/>
  <c r="K280" i="56"/>
  <c r="L279" i="56"/>
  <c r="K279" i="56"/>
  <c r="L278" i="56"/>
  <c r="K278" i="56"/>
  <c r="L277" i="56"/>
  <c r="K277" i="56"/>
  <c r="L276" i="56"/>
  <c r="K276" i="56"/>
  <c r="L275" i="56"/>
  <c r="K275" i="56"/>
  <c r="L274" i="56"/>
  <c r="K274" i="56"/>
  <c r="L273" i="56"/>
  <c r="K273" i="56"/>
  <c r="L272" i="56"/>
  <c r="K272" i="56"/>
  <c r="L271" i="56"/>
  <c r="K271" i="56"/>
  <c r="L270" i="56"/>
  <c r="K270" i="56"/>
  <c r="L269" i="56"/>
  <c r="K269" i="56"/>
  <c r="L268" i="56"/>
  <c r="K268" i="56"/>
  <c r="L267" i="56"/>
  <c r="K267" i="56"/>
  <c r="L266" i="56"/>
  <c r="K266" i="56"/>
  <c r="L265" i="56"/>
  <c r="K265" i="56"/>
  <c r="L264" i="56"/>
  <c r="K264" i="56"/>
  <c r="L263" i="56"/>
  <c r="K263" i="56"/>
  <c r="L262" i="56"/>
  <c r="K262" i="56"/>
  <c r="L261" i="56"/>
  <c r="K261" i="56"/>
  <c r="L260" i="56"/>
  <c r="K260" i="56"/>
  <c r="L259" i="56"/>
  <c r="K259" i="56"/>
  <c r="L258" i="56"/>
  <c r="K258" i="56"/>
  <c r="L257" i="56"/>
  <c r="K257" i="56"/>
  <c r="L256" i="56"/>
  <c r="K256" i="56"/>
  <c r="L255" i="56"/>
  <c r="K255" i="56"/>
  <c r="L254" i="56"/>
  <c r="K254" i="56"/>
  <c r="L253" i="56"/>
  <c r="K253" i="56"/>
  <c r="L252" i="56"/>
  <c r="K252" i="56"/>
  <c r="L251" i="56"/>
  <c r="K251" i="56"/>
  <c r="L250" i="56"/>
  <c r="K250" i="56"/>
  <c r="L249" i="56"/>
  <c r="K249" i="56"/>
  <c r="L248" i="56"/>
  <c r="K248" i="56"/>
  <c r="L247" i="56"/>
  <c r="K247" i="56"/>
  <c r="L246" i="56"/>
  <c r="K246" i="56"/>
  <c r="L245" i="56"/>
  <c r="K245" i="56"/>
  <c r="L244" i="56"/>
  <c r="K244" i="56"/>
  <c r="L243" i="56"/>
  <c r="K243" i="56"/>
  <c r="L242" i="56"/>
  <c r="K242" i="56"/>
  <c r="L241" i="56"/>
  <c r="K241" i="56"/>
  <c r="L240" i="56"/>
  <c r="K240" i="56"/>
  <c r="L239" i="56"/>
  <c r="K239" i="56"/>
  <c r="L238" i="56"/>
  <c r="K238" i="56"/>
  <c r="L237" i="56"/>
  <c r="K237" i="56"/>
  <c r="L236" i="56"/>
  <c r="K236" i="56"/>
  <c r="L235" i="56"/>
  <c r="K235" i="56"/>
  <c r="L234" i="56"/>
  <c r="K234" i="56"/>
  <c r="L233" i="56"/>
  <c r="K233" i="56"/>
  <c r="L232" i="56"/>
  <c r="K232" i="56"/>
  <c r="L231" i="56"/>
  <c r="K231" i="56"/>
  <c r="L230" i="56"/>
  <c r="K230" i="56"/>
  <c r="L229" i="56"/>
  <c r="K229" i="56"/>
  <c r="L228" i="56"/>
  <c r="K228" i="56"/>
  <c r="L227" i="56"/>
  <c r="K227" i="56"/>
  <c r="L226" i="56"/>
  <c r="K226" i="56"/>
  <c r="L225" i="56"/>
  <c r="K225" i="56"/>
  <c r="L224" i="56"/>
  <c r="K224" i="56"/>
  <c r="L223" i="56"/>
  <c r="K223" i="56"/>
  <c r="L222" i="56"/>
  <c r="K222" i="56"/>
  <c r="L221" i="56"/>
  <c r="K221" i="56"/>
  <c r="L220" i="56"/>
  <c r="K220" i="56"/>
  <c r="L219" i="56"/>
  <c r="K219" i="56"/>
  <c r="L218" i="56"/>
  <c r="K218" i="56"/>
  <c r="L217" i="56"/>
  <c r="K217" i="56"/>
  <c r="L216" i="56"/>
  <c r="K216" i="56"/>
  <c r="L215" i="56"/>
  <c r="K215" i="56"/>
  <c r="L214" i="56"/>
  <c r="K214" i="56"/>
  <c r="L213" i="56"/>
  <c r="K213" i="56"/>
  <c r="L212" i="56"/>
  <c r="K212" i="56"/>
  <c r="L211" i="56"/>
  <c r="K211" i="56"/>
  <c r="L210" i="56"/>
  <c r="K210" i="56"/>
  <c r="L209" i="56"/>
  <c r="K209" i="56"/>
  <c r="L208" i="56"/>
  <c r="K208" i="56"/>
  <c r="L207" i="56"/>
  <c r="K207" i="56"/>
  <c r="L206" i="56"/>
  <c r="K206" i="56"/>
  <c r="L205" i="56"/>
  <c r="K205" i="56"/>
  <c r="L204" i="56"/>
  <c r="K204" i="56"/>
  <c r="L203" i="56"/>
  <c r="K203" i="56"/>
  <c r="L202" i="56"/>
  <c r="K202" i="56"/>
  <c r="L201" i="56"/>
  <c r="K201" i="56"/>
  <c r="L200" i="56"/>
  <c r="K200" i="56"/>
  <c r="L199" i="56"/>
  <c r="K199" i="56"/>
  <c r="L198" i="56"/>
  <c r="K198" i="56"/>
  <c r="L197" i="56"/>
  <c r="K197" i="56"/>
  <c r="L196" i="56"/>
  <c r="K196" i="56"/>
  <c r="L195" i="56"/>
  <c r="K195" i="56"/>
  <c r="L194" i="56"/>
  <c r="K194" i="56"/>
  <c r="L193" i="56"/>
  <c r="K193" i="56"/>
  <c r="L192" i="56"/>
  <c r="K192" i="56"/>
  <c r="L191" i="56"/>
  <c r="K191" i="56"/>
  <c r="L190" i="56"/>
  <c r="K190" i="56"/>
  <c r="L189" i="56"/>
  <c r="K189" i="56"/>
  <c r="L188" i="56"/>
  <c r="K188" i="56"/>
  <c r="L187" i="56"/>
  <c r="K187" i="56"/>
  <c r="L186" i="56"/>
  <c r="K186" i="56"/>
  <c r="L185" i="56"/>
  <c r="K185" i="56"/>
  <c r="L184" i="56"/>
  <c r="K184" i="56"/>
  <c r="L183" i="56"/>
  <c r="K183" i="56"/>
  <c r="L182" i="56"/>
  <c r="K182" i="56"/>
  <c r="L181" i="56"/>
  <c r="K181" i="56"/>
  <c r="L180" i="56"/>
  <c r="K180" i="56"/>
  <c r="L179" i="56"/>
  <c r="K179" i="56"/>
  <c r="L178" i="56"/>
  <c r="K178" i="56"/>
  <c r="L177" i="56"/>
  <c r="K177" i="56"/>
  <c r="L176" i="56"/>
  <c r="K176" i="56"/>
  <c r="L175" i="56"/>
  <c r="K175" i="56"/>
  <c r="L174" i="56"/>
  <c r="K174" i="56"/>
  <c r="L173" i="56"/>
  <c r="K173" i="56"/>
  <c r="L172" i="56"/>
  <c r="K172" i="56"/>
  <c r="L171" i="56"/>
  <c r="K171" i="56"/>
  <c r="L170" i="56"/>
  <c r="K170" i="56"/>
  <c r="L169" i="56"/>
  <c r="K169" i="56"/>
  <c r="L168" i="56"/>
  <c r="K168" i="56"/>
  <c r="L167" i="56"/>
  <c r="K167" i="56"/>
  <c r="L166" i="56"/>
  <c r="K166" i="56"/>
  <c r="L165" i="56"/>
  <c r="K165" i="56"/>
  <c r="L164" i="56"/>
  <c r="K164" i="56"/>
  <c r="L163" i="56"/>
  <c r="K163" i="56"/>
  <c r="L162" i="56"/>
  <c r="K162" i="56"/>
  <c r="L161" i="56"/>
  <c r="K161" i="56"/>
  <c r="L160" i="56"/>
  <c r="K160" i="56"/>
  <c r="L159" i="56"/>
  <c r="K159" i="56"/>
  <c r="L158" i="56"/>
  <c r="K158" i="56"/>
  <c r="L157" i="56"/>
  <c r="K157" i="56"/>
  <c r="L156" i="56"/>
  <c r="K156" i="56"/>
  <c r="L155" i="56"/>
  <c r="K155" i="56"/>
  <c r="L154" i="56"/>
  <c r="K154" i="56"/>
  <c r="L153" i="56"/>
  <c r="K153" i="56"/>
  <c r="L152" i="56"/>
  <c r="K152" i="56"/>
  <c r="L151" i="56"/>
  <c r="K151" i="56"/>
  <c r="L150" i="56"/>
  <c r="K150" i="56"/>
  <c r="L149" i="56"/>
  <c r="K149" i="56"/>
  <c r="L148" i="56"/>
  <c r="K148" i="56"/>
  <c r="L147" i="56"/>
  <c r="K147" i="56"/>
  <c r="L146" i="56"/>
  <c r="K146" i="56"/>
  <c r="L145" i="56"/>
  <c r="K145" i="56"/>
  <c r="L144" i="56"/>
  <c r="K144" i="56"/>
  <c r="L143" i="56"/>
  <c r="K143" i="56"/>
  <c r="L142" i="56"/>
  <c r="K142" i="56"/>
  <c r="L141" i="56"/>
  <c r="K141" i="56"/>
  <c r="L140" i="56"/>
  <c r="K140" i="56"/>
  <c r="L139" i="56"/>
  <c r="K139" i="56"/>
  <c r="L138" i="56"/>
  <c r="K138" i="56"/>
  <c r="L137" i="56"/>
  <c r="K137" i="56"/>
  <c r="L136" i="56"/>
  <c r="K136" i="56"/>
  <c r="L135" i="56"/>
  <c r="K135" i="56"/>
  <c r="L134" i="56"/>
  <c r="K134" i="56"/>
  <c r="L133" i="56"/>
  <c r="K133" i="56"/>
  <c r="L132" i="56"/>
  <c r="K132" i="56"/>
  <c r="L131" i="56"/>
  <c r="K131" i="56"/>
  <c r="L130" i="56"/>
  <c r="K130" i="56"/>
  <c r="L129" i="56"/>
  <c r="K129" i="56"/>
  <c r="L128" i="56"/>
  <c r="K128" i="56"/>
  <c r="L127" i="56"/>
  <c r="K127" i="56"/>
  <c r="L126" i="56"/>
  <c r="K126" i="56"/>
  <c r="L125" i="56"/>
  <c r="K125" i="56"/>
  <c r="L124" i="56"/>
  <c r="K124" i="56"/>
  <c r="L123" i="56"/>
  <c r="K123" i="56"/>
  <c r="L122" i="56"/>
  <c r="K122" i="56"/>
  <c r="L121" i="56"/>
  <c r="K121" i="56"/>
  <c r="L120" i="56"/>
  <c r="K120" i="56"/>
  <c r="L119" i="56"/>
  <c r="K119" i="56"/>
  <c r="L118" i="56"/>
  <c r="K118" i="56"/>
  <c r="L117" i="56"/>
  <c r="K117" i="56"/>
  <c r="L116" i="56"/>
  <c r="K116" i="56"/>
  <c r="L115" i="56"/>
  <c r="K115" i="56"/>
  <c r="L114" i="56"/>
  <c r="K114" i="56"/>
  <c r="L113" i="56"/>
  <c r="K113" i="56"/>
  <c r="L112" i="56"/>
  <c r="K112" i="56"/>
  <c r="L111" i="56"/>
  <c r="K111" i="56"/>
  <c r="L110" i="56"/>
  <c r="K110" i="56"/>
  <c r="L109" i="56"/>
  <c r="K109" i="56"/>
  <c r="L108" i="56"/>
  <c r="K108" i="56"/>
  <c r="L107" i="56"/>
  <c r="K107" i="56"/>
  <c r="L106" i="56"/>
  <c r="K106" i="56"/>
  <c r="L105" i="56"/>
  <c r="K105" i="56"/>
  <c r="L104" i="56"/>
  <c r="K104" i="56"/>
  <c r="L103" i="56"/>
  <c r="K103" i="56"/>
  <c r="L102" i="56"/>
  <c r="K102" i="56"/>
  <c r="L101" i="56"/>
  <c r="K101" i="56"/>
  <c r="L100" i="56"/>
  <c r="K100" i="56"/>
  <c r="L99" i="56"/>
  <c r="K99" i="56"/>
  <c r="L98" i="56"/>
  <c r="K98" i="56"/>
  <c r="L97" i="56"/>
  <c r="K97" i="56"/>
  <c r="L96" i="56"/>
  <c r="K96" i="56"/>
  <c r="L95" i="56"/>
  <c r="K95" i="56"/>
  <c r="L94" i="56"/>
  <c r="K94" i="56"/>
  <c r="L93" i="56"/>
  <c r="K93" i="56"/>
  <c r="L92" i="56"/>
  <c r="K92" i="56"/>
  <c r="L91" i="56"/>
  <c r="K91" i="56"/>
  <c r="L90" i="56"/>
  <c r="K90" i="56"/>
  <c r="L89" i="56"/>
  <c r="K89" i="56"/>
  <c r="L88" i="56"/>
  <c r="K88" i="56"/>
  <c r="L87" i="56"/>
  <c r="K87" i="56"/>
  <c r="L86" i="56"/>
  <c r="K86" i="56"/>
  <c r="L85" i="56"/>
  <c r="K85" i="56"/>
  <c r="L84" i="56"/>
  <c r="K84" i="56"/>
  <c r="L83" i="56"/>
  <c r="K83" i="56"/>
  <c r="L82" i="56"/>
  <c r="K82" i="56"/>
  <c r="L81" i="56"/>
  <c r="K81" i="56"/>
  <c r="L80" i="56"/>
  <c r="K80" i="56"/>
  <c r="L79" i="56"/>
  <c r="K79" i="56"/>
  <c r="L78" i="56"/>
  <c r="K78" i="56"/>
  <c r="L77" i="56"/>
  <c r="K77" i="56"/>
  <c r="L76" i="56"/>
  <c r="K76" i="56"/>
  <c r="L75" i="56"/>
  <c r="K75" i="56"/>
  <c r="L74" i="56"/>
  <c r="K74" i="56"/>
  <c r="L73" i="56"/>
  <c r="K73" i="56"/>
  <c r="L72" i="56"/>
  <c r="K72" i="56"/>
  <c r="L71" i="56"/>
  <c r="K71" i="56"/>
  <c r="L70" i="56"/>
  <c r="K70" i="56"/>
  <c r="L69" i="56"/>
  <c r="K69" i="56"/>
  <c r="L68" i="56"/>
  <c r="K68" i="56"/>
  <c r="L67" i="56"/>
  <c r="K67" i="56"/>
  <c r="L66" i="56"/>
  <c r="K66" i="56"/>
  <c r="L65" i="56"/>
  <c r="K65" i="56"/>
  <c r="L64" i="56"/>
  <c r="K64" i="56"/>
  <c r="L63" i="56"/>
  <c r="K63" i="56"/>
  <c r="L62" i="56"/>
  <c r="K62" i="56"/>
  <c r="L61" i="56"/>
  <c r="K61" i="56"/>
  <c r="L60" i="56"/>
  <c r="K60" i="56"/>
  <c r="L59" i="56"/>
  <c r="K59" i="56"/>
  <c r="L58" i="56"/>
  <c r="K58" i="56"/>
  <c r="L57" i="56"/>
  <c r="K57" i="56"/>
  <c r="L56" i="56"/>
  <c r="K56" i="56"/>
  <c r="L55" i="56"/>
  <c r="K55" i="56"/>
  <c r="L54" i="56"/>
  <c r="K54" i="56"/>
  <c r="L53" i="56"/>
  <c r="K53" i="56"/>
  <c r="L52" i="56"/>
  <c r="K52" i="56"/>
  <c r="L51" i="56"/>
  <c r="K51" i="56"/>
  <c r="L50" i="56"/>
  <c r="K50" i="56"/>
  <c r="L49" i="56"/>
  <c r="K49" i="56"/>
  <c r="L48" i="56"/>
  <c r="K48" i="56"/>
  <c r="L47" i="56"/>
  <c r="K47" i="56"/>
  <c r="L46" i="56"/>
  <c r="K46" i="56"/>
  <c r="L45" i="56"/>
  <c r="K45" i="56"/>
  <c r="L44" i="56"/>
  <c r="K44" i="56"/>
  <c r="L43" i="56"/>
  <c r="K43" i="56"/>
  <c r="L42" i="56"/>
  <c r="K42" i="56"/>
  <c r="L41" i="56"/>
  <c r="K41" i="56"/>
  <c r="L40" i="56"/>
  <c r="K40" i="56"/>
  <c r="L39" i="56"/>
  <c r="K39" i="56"/>
  <c r="L38" i="56"/>
  <c r="K38" i="56"/>
  <c r="L37" i="56"/>
  <c r="K37" i="56"/>
  <c r="L36" i="56"/>
  <c r="K36" i="56"/>
  <c r="L35" i="56"/>
  <c r="K35" i="56"/>
  <c r="L34" i="56"/>
  <c r="K34" i="56"/>
  <c r="L33" i="56"/>
  <c r="K33" i="56"/>
  <c r="L32" i="56"/>
  <c r="K32" i="56"/>
  <c r="L31" i="56"/>
  <c r="K31" i="56"/>
  <c r="L30" i="56"/>
  <c r="K30" i="56"/>
  <c r="L29" i="56"/>
  <c r="K29" i="56"/>
  <c r="L28" i="56"/>
  <c r="K28" i="56"/>
  <c r="L27" i="56"/>
  <c r="K27" i="56"/>
  <c r="L26" i="56"/>
  <c r="K26" i="56"/>
  <c r="L25" i="56"/>
  <c r="K25" i="56"/>
  <c r="L24" i="56"/>
  <c r="K24" i="56"/>
  <c r="L23" i="56"/>
  <c r="K23" i="56"/>
  <c r="L22" i="56"/>
  <c r="K22" i="56"/>
  <c r="L21" i="56"/>
  <c r="K21" i="56"/>
  <c r="L20" i="56"/>
  <c r="K20" i="56"/>
  <c r="L19" i="56"/>
  <c r="K19" i="56"/>
  <c r="L18" i="56"/>
  <c r="K18" i="56"/>
  <c r="L17" i="56"/>
  <c r="K17" i="56"/>
  <c r="L16" i="56"/>
  <c r="K16" i="56"/>
  <c r="AF176" i="1"/>
  <c r="AF291" i="1"/>
  <c r="AF214" i="1"/>
  <c r="AF213" i="1"/>
  <c r="B405" i="56"/>
  <c r="B404" i="56"/>
  <c r="B403" i="56"/>
  <c r="B402" i="56"/>
  <c r="B401" i="56"/>
  <c r="B400" i="56"/>
  <c r="B399" i="56"/>
  <c r="B398" i="56"/>
  <c r="B397" i="56"/>
  <c r="B396" i="56"/>
  <c r="B395" i="56"/>
  <c r="B394" i="56"/>
  <c r="B393" i="56"/>
  <c r="B392" i="56"/>
  <c r="B391" i="56"/>
  <c r="B390" i="56"/>
  <c r="B389" i="56"/>
  <c r="B388" i="56"/>
  <c r="B387" i="56"/>
  <c r="B386" i="56"/>
  <c r="B385" i="56"/>
  <c r="B384" i="56"/>
  <c r="B383" i="56"/>
  <c r="B382" i="56"/>
  <c r="B381" i="56"/>
  <c r="B380" i="56"/>
  <c r="B379" i="56"/>
  <c r="B378" i="56"/>
  <c r="B377" i="56"/>
  <c r="B376" i="56"/>
  <c r="B375" i="56"/>
  <c r="B374" i="56"/>
  <c r="B373" i="56"/>
  <c r="B372" i="56"/>
  <c r="B371" i="56"/>
  <c r="B370" i="56"/>
  <c r="B369" i="56"/>
  <c r="B368" i="56"/>
  <c r="B367" i="56"/>
  <c r="B366" i="56"/>
  <c r="B365" i="56"/>
  <c r="B364" i="56"/>
  <c r="B363" i="56"/>
  <c r="B362" i="56"/>
  <c r="B361" i="56"/>
  <c r="B360" i="56"/>
  <c r="B359" i="56"/>
  <c r="B358" i="56"/>
  <c r="B357" i="56"/>
  <c r="B356" i="56"/>
  <c r="B355" i="56"/>
  <c r="B354" i="56"/>
  <c r="B353" i="56"/>
  <c r="B352" i="56"/>
  <c r="B351" i="56"/>
  <c r="B350" i="56"/>
  <c r="B349" i="56"/>
  <c r="B348" i="56"/>
  <c r="B347" i="56"/>
  <c r="B346" i="56"/>
  <c r="B345" i="56"/>
  <c r="B344" i="56"/>
  <c r="B343" i="56"/>
  <c r="B342" i="56"/>
  <c r="B341" i="56"/>
  <c r="B340" i="56"/>
  <c r="B339" i="56"/>
  <c r="B338" i="56"/>
  <c r="B337" i="56"/>
  <c r="B336" i="56"/>
  <c r="B335" i="56"/>
  <c r="B334" i="56"/>
  <c r="B333" i="56"/>
  <c r="B332" i="56"/>
  <c r="B331" i="56"/>
  <c r="B330" i="56"/>
  <c r="B329" i="56"/>
  <c r="B328" i="56"/>
  <c r="B327" i="56"/>
  <c r="B326" i="56"/>
  <c r="B325" i="56"/>
  <c r="B324" i="56"/>
  <c r="B323" i="56"/>
  <c r="B322" i="56"/>
  <c r="B321" i="56"/>
  <c r="B320" i="56"/>
  <c r="B319" i="56"/>
  <c r="B318" i="56"/>
  <c r="B317" i="56"/>
  <c r="B316" i="56"/>
  <c r="B315" i="56"/>
  <c r="B314" i="56"/>
  <c r="B313" i="56"/>
  <c r="B312" i="56"/>
  <c r="B311" i="56"/>
  <c r="B310" i="56"/>
  <c r="B309" i="56"/>
  <c r="B308" i="56"/>
  <c r="B307" i="56"/>
  <c r="B306" i="56"/>
  <c r="B305" i="56"/>
  <c r="B304" i="56"/>
  <c r="B303" i="56"/>
  <c r="B302" i="56"/>
  <c r="B301" i="56"/>
  <c r="B300" i="56"/>
  <c r="B299" i="56"/>
  <c r="B298" i="56"/>
  <c r="B297" i="56"/>
  <c r="B296" i="56"/>
  <c r="B295" i="56"/>
  <c r="B294" i="56"/>
  <c r="B293" i="56"/>
  <c r="B292" i="56"/>
  <c r="B291" i="56"/>
  <c r="B290" i="56"/>
  <c r="B289" i="56"/>
  <c r="B288" i="56"/>
  <c r="B287" i="56"/>
  <c r="B286" i="56"/>
  <c r="B285" i="56"/>
  <c r="B284" i="56"/>
  <c r="B283" i="56"/>
  <c r="B282" i="56"/>
  <c r="B281" i="56"/>
  <c r="B280" i="56"/>
  <c r="B279" i="56"/>
  <c r="B278" i="56"/>
  <c r="B277" i="56"/>
  <c r="B276" i="56"/>
  <c r="B275" i="56"/>
  <c r="B274" i="56"/>
  <c r="B273" i="56"/>
  <c r="B272" i="56"/>
  <c r="B271" i="56"/>
  <c r="B270" i="56"/>
  <c r="B269" i="56"/>
  <c r="B268" i="56"/>
  <c r="B267" i="56"/>
  <c r="B266" i="56"/>
  <c r="B265" i="56"/>
  <c r="B264" i="56"/>
  <c r="B263" i="56"/>
  <c r="B262" i="56"/>
  <c r="B261" i="56"/>
  <c r="B260" i="56"/>
  <c r="B259" i="56"/>
  <c r="B258" i="56"/>
  <c r="B257" i="56"/>
  <c r="B256" i="56"/>
  <c r="B255" i="56"/>
  <c r="B254" i="56"/>
  <c r="B253" i="56"/>
  <c r="B252" i="56"/>
  <c r="B251" i="56"/>
  <c r="B250" i="56"/>
  <c r="B249" i="56"/>
  <c r="B248" i="56"/>
  <c r="B247" i="56"/>
  <c r="B246" i="56"/>
  <c r="B245" i="56"/>
  <c r="B244" i="56"/>
  <c r="B243" i="56"/>
  <c r="B242" i="56"/>
  <c r="B241" i="56"/>
  <c r="B240" i="56"/>
  <c r="B239" i="56"/>
  <c r="B238" i="56"/>
  <c r="B237" i="56"/>
  <c r="B236" i="56"/>
  <c r="B235" i="56"/>
  <c r="B234" i="56"/>
  <c r="B233" i="56"/>
  <c r="B232" i="56"/>
  <c r="B231" i="56"/>
  <c r="B230" i="56"/>
  <c r="B229" i="56"/>
  <c r="B228" i="56"/>
  <c r="B227" i="56"/>
  <c r="B226" i="56"/>
  <c r="B225" i="56"/>
  <c r="B224" i="56"/>
  <c r="B223" i="56"/>
  <c r="B222" i="56"/>
  <c r="B221" i="56"/>
  <c r="B220" i="56"/>
  <c r="B219" i="56"/>
  <c r="B218" i="56"/>
  <c r="B217" i="56"/>
  <c r="B216" i="56"/>
  <c r="B215" i="56"/>
  <c r="B214" i="56"/>
  <c r="B213" i="56"/>
  <c r="B212" i="56"/>
  <c r="B211" i="56"/>
  <c r="B210" i="56"/>
  <c r="B209" i="56"/>
  <c r="B208" i="56"/>
  <c r="B207" i="56"/>
  <c r="B206" i="56"/>
  <c r="B205" i="56"/>
  <c r="B204" i="56"/>
  <c r="B203" i="56"/>
  <c r="B202" i="56"/>
  <c r="B201" i="56"/>
  <c r="B200" i="56"/>
  <c r="B199" i="56"/>
  <c r="B198" i="56"/>
  <c r="B197" i="56"/>
  <c r="B196" i="56"/>
  <c r="B195" i="56"/>
  <c r="B194" i="56"/>
  <c r="B193" i="56"/>
  <c r="B192" i="56"/>
  <c r="B191" i="56"/>
  <c r="B190" i="56"/>
  <c r="B189" i="56"/>
  <c r="B188" i="56"/>
  <c r="B187" i="56"/>
  <c r="B186" i="56"/>
  <c r="B185" i="56"/>
  <c r="B184" i="56"/>
  <c r="B183" i="56"/>
  <c r="B182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B166" i="56"/>
  <c r="B165" i="56"/>
  <c r="B164" i="56"/>
  <c r="B163" i="56"/>
  <c r="B162" i="56"/>
  <c r="B161" i="56"/>
  <c r="B160" i="56"/>
  <c r="B159" i="56"/>
  <c r="B158" i="56"/>
  <c r="B157" i="56"/>
  <c r="B156" i="56"/>
  <c r="B155" i="56"/>
  <c r="B154" i="56"/>
  <c r="B153" i="56"/>
  <c r="B152" i="56"/>
  <c r="B151" i="56"/>
  <c r="B150" i="56"/>
  <c r="B149" i="56"/>
  <c r="B148" i="56"/>
  <c r="B147" i="56"/>
  <c r="B146" i="56"/>
  <c r="B145" i="56"/>
  <c r="B144" i="56"/>
  <c r="B143" i="56"/>
  <c r="B142" i="56"/>
  <c r="B141" i="56"/>
  <c r="B140" i="56"/>
  <c r="B139" i="56"/>
  <c r="B138" i="56"/>
  <c r="B137" i="56"/>
  <c r="B136" i="56"/>
  <c r="B135" i="56"/>
  <c r="B134" i="56"/>
  <c r="B133" i="56"/>
  <c r="B132" i="56"/>
  <c r="B131" i="56"/>
  <c r="B130" i="56"/>
  <c r="B129" i="56"/>
  <c r="B128" i="56"/>
  <c r="B127" i="56"/>
  <c r="B126" i="56"/>
  <c r="B125" i="56"/>
  <c r="B124" i="56"/>
  <c r="B123" i="56"/>
  <c r="B122" i="56"/>
  <c r="B121" i="56"/>
  <c r="B120" i="56"/>
  <c r="B119" i="56"/>
  <c r="B118" i="56"/>
  <c r="B117" i="56"/>
  <c r="B116" i="56"/>
  <c r="B115" i="56"/>
  <c r="B114" i="56"/>
  <c r="B113" i="56"/>
  <c r="B112" i="56"/>
  <c r="B111" i="56"/>
  <c r="B110" i="56"/>
  <c r="B109" i="56"/>
  <c r="B108" i="56"/>
  <c r="B107" i="56"/>
  <c r="B106" i="56"/>
  <c r="B105" i="56"/>
  <c r="B104" i="56"/>
  <c r="B103" i="56"/>
  <c r="B102" i="56"/>
  <c r="B101" i="56"/>
  <c r="B100" i="56"/>
  <c r="B99" i="56"/>
  <c r="B98" i="56"/>
  <c r="B97" i="56"/>
  <c r="B96" i="56"/>
  <c r="B95" i="56"/>
  <c r="B94" i="56"/>
  <c r="B93" i="56"/>
  <c r="B92" i="56"/>
  <c r="B91" i="56"/>
  <c r="B90" i="56"/>
  <c r="B89" i="56"/>
  <c r="B88" i="56"/>
  <c r="B87" i="56"/>
  <c r="B86" i="56"/>
  <c r="B85" i="56"/>
  <c r="B84" i="56"/>
  <c r="B83" i="56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8" i="56"/>
  <c r="B67" i="56"/>
  <c r="B66" i="56"/>
  <c r="B65" i="56"/>
  <c r="B64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A8" i="56"/>
  <c r="C46" i="5"/>
  <c r="C32" i="5"/>
  <c r="C47" i="5"/>
  <c r="C56" i="5"/>
  <c r="C55" i="5"/>
  <c r="C54" i="5"/>
  <c r="C53" i="5"/>
  <c r="C52" i="5"/>
  <c r="C51" i="5"/>
  <c r="C50" i="5"/>
  <c r="C49" i="5"/>
  <c r="C48" i="5"/>
  <c r="T33" i="1"/>
  <c r="T58" i="1"/>
  <c r="T62" i="1"/>
  <c r="T82" i="1"/>
  <c r="T97" i="1"/>
  <c r="T105" i="1"/>
  <c r="T108" i="1"/>
  <c r="T114" i="1"/>
  <c r="T122" i="1"/>
  <c r="T137" i="1"/>
  <c r="T140" i="1"/>
  <c r="T150" i="1"/>
  <c r="T151" i="1"/>
  <c r="T173" i="1"/>
  <c r="T175" i="1"/>
  <c r="T186" i="1"/>
  <c r="T201" i="1"/>
  <c r="T212" i="1"/>
  <c r="T228" i="1"/>
  <c r="T230" i="1"/>
  <c r="T239" i="1"/>
  <c r="T247" i="1"/>
  <c r="T273" i="1"/>
  <c r="T282" i="1"/>
  <c r="T286" i="1"/>
  <c r="T299" i="1"/>
  <c r="T303" i="1"/>
  <c r="T312" i="1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2" i="54"/>
  <c r="B123" i="54"/>
  <c r="B124" i="54"/>
  <c r="B125" i="54"/>
  <c r="B126" i="54"/>
  <c r="B127" i="54"/>
  <c r="B128" i="54"/>
  <c r="B129" i="54"/>
  <c r="B130" i="54"/>
  <c r="B131" i="54"/>
  <c r="B132" i="54"/>
  <c r="B133" i="54"/>
  <c r="B134" i="54"/>
  <c r="B135" i="54"/>
  <c r="B136" i="54"/>
  <c r="B137" i="54"/>
  <c r="B138" i="54"/>
  <c r="B139" i="54"/>
  <c r="B140" i="54"/>
  <c r="B141" i="54"/>
  <c r="B142" i="54"/>
  <c r="B143" i="54"/>
  <c r="B144" i="54"/>
  <c r="B145" i="54"/>
  <c r="B146" i="54"/>
  <c r="B147" i="54"/>
  <c r="B148" i="54"/>
  <c r="B149" i="54"/>
  <c r="B150" i="54"/>
  <c r="B151" i="54"/>
  <c r="B152" i="54"/>
  <c r="B153" i="54"/>
  <c r="B154" i="54"/>
  <c r="B155" i="54"/>
  <c r="B156" i="54"/>
  <c r="B157" i="54"/>
  <c r="B158" i="54"/>
  <c r="B159" i="54"/>
  <c r="B160" i="54"/>
  <c r="B161" i="54"/>
  <c r="B162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B175" i="54"/>
  <c r="B176" i="54"/>
  <c r="B177" i="54"/>
  <c r="B17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B239" i="54"/>
  <c r="B240" i="54"/>
  <c r="B241" i="54"/>
  <c r="B242" i="54"/>
  <c r="B243" i="54"/>
  <c r="B244" i="54"/>
  <c r="B245" i="54"/>
  <c r="B246" i="54"/>
  <c r="B247" i="54"/>
  <c r="B248" i="54"/>
  <c r="B249" i="54"/>
  <c r="B250" i="54"/>
  <c r="B251" i="54"/>
  <c r="B252" i="54"/>
  <c r="B253" i="54"/>
  <c r="B254" i="54"/>
  <c r="B255" i="54"/>
  <c r="B256" i="54"/>
  <c r="B257" i="54"/>
  <c r="B258" i="54"/>
  <c r="B259" i="54"/>
  <c r="B260" i="54"/>
  <c r="B261" i="54"/>
  <c r="B262" i="54"/>
  <c r="B263" i="54"/>
  <c r="B264" i="54"/>
  <c r="B265" i="54"/>
  <c r="B266" i="54"/>
  <c r="B267" i="54"/>
  <c r="B268" i="54"/>
  <c r="B269" i="54"/>
  <c r="B270" i="54"/>
  <c r="B271" i="54"/>
  <c r="B272" i="54"/>
  <c r="B273" i="54"/>
  <c r="B274" i="54"/>
  <c r="B275" i="54"/>
  <c r="B276" i="54"/>
  <c r="B277" i="54"/>
  <c r="B278" i="54"/>
  <c r="B279" i="54"/>
  <c r="B280" i="54"/>
  <c r="B281" i="54"/>
  <c r="B282" i="54"/>
  <c r="B283" i="54"/>
  <c r="B284" i="54"/>
  <c r="B285" i="54"/>
  <c r="B286" i="54"/>
  <c r="B287" i="54"/>
  <c r="B288" i="54"/>
  <c r="B289" i="54"/>
  <c r="B290" i="54"/>
  <c r="B291" i="54"/>
  <c r="B292" i="54"/>
  <c r="B293" i="54"/>
  <c r="B294" i="54"/>
  <c r="B295" i="54"/>
  <c r="B296" i="54"/>
  <c r="B297" i="54"/>
  <c r="B298" i="54"/>
  <c r="B299" i="54"/>
  <c r="B300" i="54"/>
  <c r="B301" i="54"/>
  <c r="B302" i="54"/>
  <c r="B303" i="54"/>
  <c r="B304" i="54"/>
  <c r="B305" i="54"/>
  <c r="B306" i="54"/>
  <c r="B307" i="54"/>
  <c r="B308" i="54"/>
  <c r="B309" i="54"/>
  <c r="B310" i="54"/>
  <c r="B311" i="54"/>
  <c r="B312" i="54"/>
  <c r="B313" i="54"/>
  <c r="B314" i="54"/>
  <c r="B315" i="54"/>
  <c r="B316" i="54"/>
  <c r="B317" i="54"/>
  <c r="B318" i="54"/>
  <c r="B319" i="54"/>
  <c r="B320" i="54"/>
  <c r="B321" i="54"/>
  <c r="B322" i="54"/>
  <c r="B323" i="54"/>
  <c r="B324" i="54"/>
  <c r="B325" i="54"/>
  <c r="B326" i="54"/>
  <c r="B327" i="54"/>
  <c r="B328" i="54"/>
  <c r="B329" i="54"/>
  <c r="B330" i="54"/>
  <c r="B331" i="54"/>
  <c r="B332" i="54"/>
  <c r="B333" i="54"/>
  <c r="B334" i="54"/>
  <c r="B335" i="54"/>
  <c r="B336" i="54"/>
  <c r="B337" i="54"/>
  <c r="B338" i="54"/>
  <c r="B339" i="54"/>
  <c r="B340" i="54"/>
  <c r="B341" i="54"/>
  <c r="B342" i="54"/>
  <c r="B343" i="54"/>
  <c r="B344" i="54"/>
  <c r="B345" i="54"/>
  <c r="B346" i="54"/>
  <c r="B347" i="54"/>
  <c r="B348" i="54"/>
  <c r="B349" i="54"/>
  <c r="B350" i="54"/>
  <c r="B351" i="54"/>
  <c r="B352" i="54"/>
  <c r="B353" i="54"/>
  <c r="B354" i="54"/>
  <c r="B355" i="54"/>
  <c r="B356" i="54"/>
  <c r="B357" i="54"/>
  <c r="B358" i="54"/>
  <c r="B359" i="54"/>
  <c r="B360" i="54"/>
  <c r="B361" i="54"/>
  <c r="B362" i="54"/>
  <c r="B363" i="54"/>
  <c r="B364" i="54"/>
  <c r="B365" i="54"/>
  <c r="B366" i="54"/>
  <c r="B367" i="54"/>
  <c r="B368" i="54"/>
  <c r="B369" i="54"/>
  <c r="B370" i="54"/>
  <c r="B371" i="54"/>
  <c r="B372" i="54"/>
  <c r="B373" i="54"/>
  <c r="B374" i="54"/>
  <c r="B375" i="54"/>
  <c r="B376" i="54"/>
  <c r="B377" i="54"/>
  <c r="B378" i="54"/>
  <c r="B379" i="54"/>
  <c r="B380" i="54"/>
  <c r="B381" i="54"/>
  <c r="B382" i="54"/>
  <c r="B383" i="54"/>
  <c r="B384" i="54"/>
  <c r="B385" i="54"/>
  <c r="B386" i="54"/>
  <c r="B387" i="54"/>
  <c r="B388" i="54"/>
  <c r="B389" i="54"/>
  <c r="B390" i="54"/>
  <c r="B391" i="54"/>
  <c r="B392" i="54"/>
  <c r="B393" i="54"/>
  <c r="B394" i="54"/>
  <c r="B395" i="54"/>
  <c r="B396" i="54"/>
  <c r="B397" i="54"/>
  <c r="B398" i="54"/>
  <c r="B399" i="54"/>
  <c r="B400" i="54"/>
  <c r="B401" i="54"/>
  <c r="B402" i="54"/>
  <c r="B403" i="54"/>
  <c r="B404" i="54"/>
  <c r="B405" i="54"/>
  <c r="AX16" i="54"/>
  <c r="AX17" i="54"/>
  <c r="AX18" i="54"/>
  <c r="AX19" i="54"/>
  <c r="AX20" i="54"/>
  <c r="AX21" i="54"/>
  <c r="AX22" i="54"/>
  <c r="AX23" i="54"/>
  <c r="AX24" i="54"/>
  <c r="AX25" i="54"/>
  <c r="AX26" i="54"/>
  <c r="AX27" i="54"/>
  <c r="AX28" i="54"/>
  <c r="AX29" i="54"/>
  <c r="AX30" i="54"/>
  <c r="AX31" i="54"/>
  <c r="AX32" i="54"/>
  <c r="AX33" i="54"/>
  <c r="AX34" i="54"/>
  <c r="AX35" i="54"/>
  <c r="AX36" i="54"/>
  <c r="AX37" i="54"/>
  <c r="AX38" i="54"/>
  <c r="AX39" i="54"/>
  <c r="AX40" i="54"/>
  <c r="AX41" i="54"/>
  <c r="AX42" i="54"/>
  <c r="AX43" i="54"/>
  <c r="AX44" i="54"/>
  <c r="AX45" i="54"/>
  <c r="AX46" i="54"/>
  <c r="AX47" i="54"/>
  <c r="AX48" i="54"/>
  <c r="AX49" i="54"/>
  <c r="AX50" i="54"/>
  <c r="AX51" i="54"/>
  <c r="AX52" i="54"/>
  <c r="AX53" i="54"/>
  <c r="AX54" i="54"/>
  <c r="AX55" i="54"/>
  <c r="AX56" i="54"/>
  <c r="AX57" i="54"/>
  <c r="AX58" i="54"/>
  <c r="AX59" i="54"/>
  <c r="AX60" i="54"/>
  <c r="AX61" i="54"/>
  <c r="AX62" i="54"/>
  <c r="AX63" i="54"/>
  <c r="AX64" i="54"/>
  <c r="AX65" i="54"/>
  <c r="AX66" i="54"/>
  <c r="AX67" i="54"/>
  <c r="AX68" i="54"/>
  <c r="AX69" i="54"/>
  <c r="AX70" i="54"/>
  <c r="AX71" i="54"/>
  <c r="AX72" i="54"/>
  <c r="AX73" i="54"/>
  <c r="AX74" i="54"/>
  <c r="AX75" i="54"/>
  <c r="AX76" i="54"/>
  <c r="AX77" i="54"/>
  <c r="AX78" i="54"/>
  <c r="AX79" i="54"/>
  <c r="AX80" i="54"/>
  <c r="AX81" i="54"/>
  <c r="AX82" i="54"/>
  <c r="AX83" i="54"/>
  <c r="AX84" i="54"/>
  <c r="AX85" i="54"/>
  <c r="AX86" i="54"/>
  <c r="AX87" i="54"/>
  <c r="AX88" i="54"/>
  <c r="AX89" i="54"/>
  <c r="AX90" i="54"/>
  <c r="AX91" i="54"/>
  <c r="AX92" i="54"/>
  <c r="AX93" i="54"/>
  <c r="AX94" i="54"/>
  <c r="AX95" i="54"/>
  <c r="AX96" i="54"/>
  <c r="AX97" i="54"/>
  <c r="AX98" i="54"/>
  <c r="AX99" i="54"/>
  <c r="AX100" i="54"/>
  <c r="AX101" i="54"/>
  <c r="AX102" i="54"/>
  <c r="AX103" i="54"/>
  <c r="AX104" i="54"/>
  <c r="AX105" i="54"/>
  <c r="AX106" i="54"/>
  <c r="AX107" i="54"/>
  <c r="AX108" i="54"/>
  <c r="AX109" i="54"/>
  <c r="AX110" i="54"/>
  <c r="AX111" i="54"/>
  <c r="AX112" i="54"/>
  <c r="AX113" i="54"/>
  <c r="AX114" i="54"/>
  <c r="AX115" i="54"/>
  <c r="AX116" i="54"/>
  <c r="AX117" i="54"/>
  <c r="AX118" i="54"/>
  <c r="AX119" i="54"/>
  <c r="AX120" i="54"/>
  <c r="AX121" i="54"/>
  <c r="AX122" i="54"/>
  <c r="AX123" i="54"/>
  <c r="AX124" i="54"/>
  <c r="AX125" i="54"/>
  <c r="AX126" i="54"/>
  <c r="AX127" i="54"/>
  <c r="AX128" i="54"/>
  <c r="AX129" i="54"/>
  <c r="AX130" i="54"/>
  <c r="AX131" i="54"/>
  <c r="AX132" i="54"/>
  <c r="AX133" i="54"/>
  <c r="AX134" i="54"/>
  <c r="AX135" i="54"/>
  <c r="AX136" i="54"/>
  <c r="AX137" i="54"/>
  <c r="AX138" i="54"/>
  <c r="AX139" i="54"/>
  <c r="AX140" i="54"/>
  <c r="AX141" i="54"/>
  <c r="AX142" i="54"/>
  <c r="AX143" i="54"/>
  <c r="AX144" i="54"/>
  <c r="AX145" i="54"/>
  <c r="AX146" i="54"/>
  <c r="AX147" i="54"/>
  <c r="AX148" i="54"/>
  <c r="AX149" i="54"/>
  <c r="AX150" i="54"/>
  <c r="AX151" i="54"/>
  <c r="AX152" i="54"/>
  <c r="AX153" i="54"/>
  <c r="AX154" i="54"/>
  <c r="AX155" i="54"/>
  <c r="AX156" i="54"/>
  <c r="AX157" i="54"/>
  <c r="AX158" i="54"/>
  <c r="AX159" i="54"/>
  <c r="AX160" i="54"/>
  <c r="AX161" i="54"/>
  <c r="AX162" i="54"/>
  <c r="AX163" i="54"/>
  <c r="AX164" i="54"/>
  <c r="AX165" i="54"/>
  <c r="AX166" i="54"/>
  <c r="AX167" i="54"/>
  <c r="AX168" i="54"/>
  <c r="AX169" i="54"/>
  <c r="AX170" i="54"/>
  <c r="AX171" i="54"/>
  <c r="AX172" i="54"/>
  <c r="AX173" i="54"/>
  <c r="AX174" i="54"/>
  <c r="AX175" i="54"/>
  <c r="AX176" i="54"/>
  <c r="AX177" i="54"/>
  <c r="AX178" i="54"/>
  <c r="AX179" i="54"/>
  <c r="AX180" i="54"/>
  <c r="AX181" i="54"/>
  <c r="AX182" i="54"/>
  <c r="AX183" i="54"/>
  <c r="AX184" i="54"/>
  <c r="AX185" i="54"/>
  <c r="AX186" i="54"/>
  <c r="AX187" i="54"/>
  <c r="AX188" i="54"/>
  <c r="AX189" i="54"/>
  <c r="AX190" i="54"/>
  <c r="AX191" i="54"/>
  <c r="AX192" i="54"/>
  <c r="AX193" i="54"/>
  <c r="AX194" i="54"/>
  <c r="AX195" i="54"/>
  <c r="AX196" i="54"/>
  <c r="AX197" i="54"/>
  <c r="AX198" i="54"/>
  <c r="AX199" i="54"/>
  <c r="AX200" i="54"/>
  <c r="AX201" i="54"/>
  <c r="AX202" i="54"/>
  <c r="AX203" i="54"/>
  <c r="AX204" i="54"/>
  <c r="AX205" i="54"/>
  <c r="AX206" i="54"/>
  <c r="AX207" i="54"/>
  <c r="AX208" i="54"/>
  <c r="AX209" i="54"/>
  <c r="AX210" i="54"/>
  <c r="AX211" i="54"/>
  <c r="AX212" i="54"/>
  <c r="AX213" i="54"/>
  <c r="AX214" i="54"/>
  <c r="AX215" i="54"/>
  <c r="AX216" i="54"/>
  <c r="AX217" i="54"/>
  <c r="AX218" i="54"/>
  <c r="AX219" i="54"/>
  <c r="AX220" i="54"/>
  <c r="AX221" i="54"/>
  <c r="AX222" i="54"/>
  <c r="AX223" i="54"/>
  <c r="AX224" i="54"/>
  <c r="AX225" i="54"/>
  <c r="AX226" i="54"/>
  <c r="AX227" i="54"/>
  <c r="AX228" i="54"/>
  <c r="AX229" i="54"/>
  <c r="AX230" i="54"/>
  <c r="AX231" i="54"/>
  <c r="AX232" i="54"/>
  <c r="AX233" i="54"/>
  <c r="AX234" i="54"/>
  <c r="AX235" i="54"/>
  <c r="AX236" i="54"/>
  <c r="AX237" i="54"/>
  <c r="AX238" i="54"/>
  <c r="AX239" i="54"/>
  <c r="AX240" i="54"/>
  <c r="AX241" i="54"/>
  <c r="AX242" i="54"/>
  <c r="AX243" i="54"/>
  <c r="AX244" i="54"/>
  <c r="AX245" i="54"/>
  <c r="AX246" i="54"/>
  <c r="AX247" i="54"/>
  <c r="AX248" i="54"/>
  <c r="AX249" i="54"/>
  <c r="AX250" i="54"/>
  <c r="AX251" i="54"/>
  <c r="AX252" i="54"/>
  <c r="AX253" i="54"/>
  <c r="AX254" i="54"/>
  <c r="AX255" i="54"/>
  <c r="AX256" i="54"/>
  <c r="AX257" i="54"/>
  <c r="AX258" i="54"/>
  <c r="AX259" i="54"/>
  <c r="AX260" i="54"/>
  <c r="AX261" i="54"/>
  <c r="AX262" i="54"/>
  <c r="AX263" i="54"/>
  <c r="AX264" i="54"/>
  <c r="AX265" i="54"/>
  <c r="AX266" i="54"/>
  <c r="AX267" i="54"/>
  <c r="AX268" i="54"/>
  <c r="AX269" i="54"/>
  <c r="AX270" i="54"/>
  <c r="AX271" i="54"/>
  <c r="AX272" i="54"/>
  <c r="AX273" i="54"/>
  <c r="AX274" i="54"/>
  <c r="AX275" i="54"/>
  <c r="AX276" i="54"/>
  <c r="AX277" i="54"/>
  <c r="AX278" i="54"/>
  <c r="AX279" i="54"/>
  <c r="AX280" i="54"/>
  <c r="AX281" i="54"/>
  <c r="AX282" i="54"/>
  <c r="AX283" i="54"/>
  <c r="AX284" i="54"/>
  <c r="AX285" i="54"/>
  <c r="AX286" i="54"/>
  <c r="AX287" i="54"/>
  <c r="AX288" i="54"/>
  <c r="AX289" i="54"/>
  <c r="AX290" i="54"/>
  <c r="AX291" i="54"/>
  <c r="AX292" i="54"/>
  <c r="AX293" i="54"/>
  <c r="AX294" i="54"/>
  <c r="AX295" i="54"/>
  <c r="AX296" i="54"/>
  <c r="AX297" i="54"/>
  <c r="AX298" i="54"/>
  <c r="AX299" i="54"/>
  <c r="AX300" i="54"/>
  <c r="AX301" i="54"/>
  <c r="AX302" i="54"/>
  <c r="AX303" i="54"/>
  <c r="AX304" i="54"/>
  <c r="AX305" i="54"/>
  <c r="AX306" i="54"/>
  <c r="AX307" i="54"/>
  <c r="AX308" i="54"/>
  <c r="AX309" i="54"/>
  <c r="AX310" i="54"/>
  <c r="AX311" i="54"/>
  <c r="AX312" i="54"/>
  <c r="AX313" i="54"/>
  <c r="AX314" i="54"/>
  <c r="AX315" i="54"/>
  <c r="AX316" i="54"/>
  <c r="AX317" i="54"/>
  <c r="AX318" i="54"/>
  <c r="AX319" i="54"/>
  <c r="AX320" i="54"/>
  <c r="AX321" i="54"/>
  <c r="AX322" i="54"/>
  <c r="AX323" i="54"/>
  <c r="AX324" i="54"/>
  <c r="AX325" i="54"/>
  <c r="AX326" i="54"/>
  <c r="AX327" i="54"/>
  <c r="AX328" i="54"/>
  <c r="AX329" i="54"/>
  <c r="AX330" i="54"/>
  <c r="AX331" i="54"/>
  <c r="AX332" i="54"/>
  <c r="AX333" i="54"/>
  <c r="AX334" i="54"/>
  <c r="AX335" i="54"/>
  <c r="AX336" i="54"/>
  <c r="AX337" i="54"/>
  <c r="AX338" i="54"/>
  <c r="AX339" i="54"/>
  <c r="AX340" i="54"/>
  <c r="AX341" i="54"/>
  <c r="AX342" i="54"/>
  <c r="AX343" i="54"/>
  <c r="AX344" i="54"/>
  <c r="AX345" i="54"/>
  <c r="AX346" i="54"/>
  <c r="AX347" i="54"/>
  <c r="AX348" i="54"/>
  <c r="AX349" i="54"/>
  <c r="AX350" i="54"/>
  <c r="AX351" i="54"/>
  <c r="AX352" i="54"/>
  <c r="AX353" i="54"/>
  <c r="AX354" i="54"/>
  <c r="AX355" i="54"/>
  <c r="AX356" i="54"/>
  <c r="AX357" i="54"/>
  <c r="AX358" i="54"/>
  <c r="AX359" i="54"/>
  <c r="AX360" i="54"/>
  <c r="AX361" i="54"/>
  <c r="AX362" i="54"/>
  <c r="AX363" i="54"/>
  <c r="AX364" i="54"/>
  <c r="AX365" i="54"/>
  <c r="AX366" i="54"/>
  <c r="AX367" i="54"/>
  <c r="AX368" i="54"/>
  <c r="AX369" i="54"/>
  <c r="AX370" i="54"/>
  <c r="AX371" i="54"/>
  <c r="AX372" i="54"/>
  <c r="AX373" i="54"/>
  <c r="AX374" i="54"/>
  <c r="AX375" i="54"/>
  <c r="AX376" i="54"/>
  <c r="AX377" i="54"/>
  <c r="AX378" i="54"/>
  <c r="AX379" i="54"/>
  <c r="AX380" i="54"/>
  <c r="AX381" i="54"/>
  <c r="AX382" i="54"/>
  <c r="AX383" i="54"/>
  <c r="AX384" i="54"/>
  <c r="AX385" i="54"/>
  <c r="AX386" i="54"/>
  <c r="AX387" i="54"/>
  <c r="AX388" i="54"/>
  <c r="AX389" i="54"/>
  <c r="AX390" i="54"/>
  <c r="AX391" i="54"/>
  <c r="AX392" i="54"/>
  <c r="AX393" i="54"/>
  <c r="AX394" i="54"/>
  <c r="AX395" i="54"/>
  <c r="AX396" i="54"/>
  <c r="AX397" i="54"/>
  <c r="AX398" i="54"/>
  <c r="AX399" i="54"/>
  <c r="AX400" i="54"/>
  <c r="AX401" i="54"/>
  <c r="AX402" i="54"/>
  <c r="AX403" i="54"/>
  <c r="AX404" i="54"/>
  <c r="AX405" i="54"/>
  <c r="AN16" i="54"/>
  <c r="AN17" i="54"/>
  <c r="AN18" i="54"/>
  <c r="AN19" i="54"/>
  <c r="AN20" i="54"/>
  <c r="AN21" i="54"/>
  <c r="AN22" i="54"/>
  <c r="AN23" i="54"/>
  <c r="AN24" i="54"/>
  <c r="AN25" i="54"/>
  <c r="AN26" i="54"/>
  <c r="AN27" i="54"/>
  <c r="AN28" i="54"/>
  <c r="AN29" i="54"/>
  <c r="AN30" i="54"/>
  <c r="AN31" i="54"/>
  <c r="AN32" i="54"/>
  <c r="AN33" i="54"/>
  <c r="AN34" i="54"/>
  <c r="AN35" i="54"/>
  <c r="AN36" i="54"/>
  <c r="AN37" i="54"/>
  <c r="AN38" i="54"/>
  <c r="AN39" i="54"/>
  <c r="AN40" i="54"/>
  <c r="AN41" i="54"/>
  <c r="AN42" i="54"/>
  <c r="AN43" i="54"/>
  <c r="AN44" i="54"/>
  <c r="AN45" i="54"/>
  <c r="AN46" i="54"/>
  <c r="AN47" i="54"/>
  <c r="AN48" i="54"/>
  <c r="AN49" i="54"/>
  <c r="AN50" i="54"/>
  <c r="AN51" i="54"/>
  <c r="AN52" i="54"/>
  <c r="AN53" i="54"/>
  <c r="AN54" i="54"/>
  <c r="AN55" i="54"/>
  <c r="AN56" i="54"/>
  <c r="AN57" i="54"/>
  <c r="AN58" i="54"/>
  <c r="AN59" i="54"/>
  <c r="AN60" i="54"/>
  <c r="AN61" i="54"/>
  <c r="AN62" i="54"/>
  <c r="AN63" i="54"/>
  <c r="AN64" i="54"/>
  <c r="AN65" i="54"/>
  <c r="AN66" i="54"/>
  <c r="AN67" i="54"/>
  <c r="AN68" i="54"/>
  <c r="AN69" i="54"/>
  <c r="AN70" i="54"/>
  <c r="AN71" i="54"/>
  <c r="AN72" i="54"/>
  <c r="AN73" i="54"/>
  <c r="AN74" i="54"/>
  <c r="AN75" i="54"/>
  <c r="AN76" i="54"/>
  <c r="AN77" i="54"/>
  <c r="AN78" i="54"/>
  <c r="AN79" i="54"/>
  <c r="AN80" i="54"/>
  <c r="AN81" i="54"/>
  <c r="AN82" i="54"/>
  <c r="AN83" i="54"/>
  <c r="AN84" i="54"/>
  <c r="AN85" i="54"/>
  <c r="AN86" i="54"/>
  <c r="AN87" i="54"/>
  <c r="AN88" i="54"/>
  <c r="AN89" i="54"/>
  <c r="AN90" i="54"/>
  <c r="AN91" i="54"/>
  <c r="AN92" i="54"/>
  <c r="AN93" i="54"/>
  <c r="AN94" i="54"/>
  <c r="AN95" i="54"/>
  <c r="AN96" i="54"/>
  <c r="AN97" i="54"/>
  <c r="AN98" i="54"/>
  <c r="AN99" i="54"/>
  <c r="AN100" i="54"/>
  <c r="AN101" i="54"/>
  <c r="AN102" i="54"/>
  <c r="AN103" i="54"/>
  <c r="AN104" i="54"/>
  <c r="AN105" i="54"/>
  <c r="AN106" i="54"/>
  <c r="AN107" i="54"/>
  <c r="AN108" i="54"/>
  <c r="AN109" i="54"/>
  <c r="AN110" i="54"/>
  <c r="AN111" i="54"/>
  <c r="AN112" i="54"/>
  <c r="AN113" i="54"/>
  <c r="AN114" i="54"/>
  <c r="AN115" i="54"/>
  <c r="AN116" i="54"/>
  <c r="AN117" i="54"/>
  <c r="AN118" i="54"/>
  <c r="AN119" i="54"/>
  <c r="AN120" i="54"/>
  <c r="AN121" i="54"/>
  <c r="AN122" i="54"/>
  <c r="AN123" i="54"/>
  <c r="AN124" i="54"/>
  <c r="AN125" i="54"/>
  <c r="AN126" i="54"/>
  <c r="AN127" i="54"/>
  <c r="AN128" i="54"/>
  <c r="AN129" i="54"/>
  <c r="AN130" i="54"/>
  <c r="AN131" i="54"/>
  <c r="AN132" i="54"/>
  <c r="AN133" i="54"/>
  <c r="AN134" i="54"/>
  <c r="AN135" i="54"/>
  <c r="AN136" i="54"/>
  <c r="AN137" i="54"/>
  <c r="AN138" i="54"/>
  <c r="AN139" i="54"/>
  <c r="AN140" i="54"/>
  <c r="AN141" i="54"/>
  <c r="AN142" i="54"/>
  <c r="AN143" i="54"/>
  <c r="AN144" i="54"/>
  <c r="AN145" i="54"/>
  <c r="AN146" i="54"/>
  <c r="AN147" i="54"/>
  <c r="AN148" i="54"/>
  <c r="AN149" i="54"/>
  <c r="AN150" i="54"/>
  <c r="AN151" i="54"/>
  <c r="AN152" i="54"/>
  <c r="AN153" i="54"/>
  <c r="AN154" i="54"/>
  <c r="AN155" i="54"/>
  <c r="AN156" i="54"/>
  <c r="AN157" i="54"/>
  <c r="AN158" i="54"/>
  <c r="AN159" i="54"/>
  <c r="AN160" i="54"/>
  <c r="AN161" i="54"/>
  <c r="AN162" i="54"/>
  <c r="AN163" i="54"/>
  <c r="AN164" i="54"/>
  <c r="AN165" i="54"/>
  <c r="AN166" i="54"/>
  <c r="AN167" i="54"/>
  <c r="AN168" i="54"/>
  <c r="AN169" i="54"/>
  <c r="AN170" i="54"/>
  <c r="AN171" i="54"/>
  <c r="AN172" i="54"/>
  <c r="AN173" i="54"/>
  <c r="AN174" i="54"/>
  <c r="AN175" i="54"/>
  <c r="AN176" i="54"/>
  <c r="AN177" i="54"/>
  <c r="AN178" i="54"/>
  <c r="AN179" i="54"/>
  <c r="AN180" i="54"/>
  <c r="AN181" i="54"/>
  <c r="AN182" i="54"/>
  <c r="AN183" i="54"/>
  <c r="AN184" i="54"/>
  <c r="AN185" i="54"/>
  <c r="AN186" i="54"/>
  <c r="AN187" i="54"/>
  <c r="AN188" i="54"/>
  <c r="AN189" i="54"/>
  <c r="AN190" i="54"/>
  <c r="AN191" i="54"/>
  <c r="AN192" i="54"/>
  <c r="AN193" i="54"/>
  <c r="AN194" i="54"/>
  <c r="AN195" i="54"/>
  <c r="AN196" i="54"/>
  <c r="AN197" i="54"/>
  <c r="AN198" i="54"/>
  <c r="AN199" i="54"/>
  <c r="AN200" i="54"/>
  <c r="AN201" i="54"/>
  <c r="AN202" i="54"/>
  <c r="AN203" i="54"/>
  <c r="AN204" i="54"/>
  <c r="AN205" i="54"/>
  <c r="AN206" i="54"/>
  <c r="AN207" i="54"/>
  <c r="AN208" i="54"/>
  <c r="AN209" i="54"/>
  <c r="AN210" i="54"/>
  <c r="AN211" i="54"/>
  <c r="AN212" i="54"/>
  <c r="AN213" i="54"/>
  <c r="AN214" i="54"/>
  <c r="AN215" i="54"/>
  <c r="AN216" i="54"/>
  <c r="AN217" i="54"/>
  <c r="AN218" i="54"/>
  <c r="AN219" i="54"/>
  <c r="AN220" i="54"/>
  <c r="AN221" i="54"/>
  <c r="AN222" i="54"/>
  <c r="AN223" i="54"/>
  <c r="AN224" i="54"/>
  <c r="AN225" i="54"/>
  <c r="AN226" i="54"/>
  <c r="AN227" i="54"/>
  <c r="AN228" i="54"/>
  <c r="AN229" i="54"/>
  <c r="AN230" i="54"/>
  <c r="AN231" i="54"/>
  <c r="AN232" i="54"/>
  <c r="AN233" i="54"/>
  <c r="AN234" i="54"/>
  <c r="AN235" i="54"/>
  <c r="AN236" i="54"/>
  <c r="AN237" i="54"/>
  <c r="AN238" i="54"/>
  <c r="AN239" i="54"/>
  <c r="AN240" i="54"/>
  <c r="AN241" i="54"/>
  <c r="AN242" i="54"/>
  <c r="AN243" i="54"/>
  <c r="AN244" i="54"/>
  <c r="AN245" i="54"/>
  <c r="AN246" i="54"/>
  <c r="AN247" i="54"/>
  <c r="AN248" i="54"/>
  <c r="AN249" i="54"/>
  <c r="AN250" i="54"/>
  <c r="AN251" i="54"/>
  <c r="AN252" i="54"/>
  <c r="AN253" i="54"/>
  <c r="AN254" i="54"/>
  <c r="AN255" i="54"/>
  <c r="AN256" i="54"/>
  <c r="AN257" i="54"/>
  <c r="AN258" i="54"/>
  <c r="AN259" i="54"/>
  <c r="AN260" i="54"/>
  <c r="AN261" i="54"/>
  <c r="AN262" i="54"/>
  <c r="AN263" i="54"/>
  <c r="AN264" i="54"/>
  <c r="AN265" i="54"/>
  <c r="AN266" i="54"/>
  <c r="AN267" i="54"/>
  <c r="AN268" i="54"/>
  <c r="AN269" i="54"/>
  <c r="AN270" i="54"/>
  <c r="AN271" i="54"/>
  <c r="AN272" i="54"/>
  <c r="AN273" i="54"/>
  <c r="AN274" i="54"/>
  <c r="AN275" i="54"/>
  <c r="AN276" i="54"/>
  <c r="AN277" i="54"/>
  <c r="AN278" i="54"/>
  <c r="AN279" i="54"/>
  <c r="AN280" i="54"/>
  <c r="AN281" i="54"/>
  <c r="AN282" i="54"/>
  <c r="AN283" i="54"/>
  <c r="AN284" i="54"/>
  <c r="AN285" i="54"/>
  <c r="AN286" i="54"/>
  <c r="AN287" i="54"/>
  <c r="AN288" i="54"/>
  <c r="AN289" i="54"/>
  <c r="AN290" i="54"/>
  <c r="AN291" i="54"/>
  <c r="AN292" i="54"/>
  <c r="AN293" i="54"/>
  <c r="AN294" i="54"/>
  <c r="AN295" i="54"/>
  <c r="AN296" i="54"/>
  <c r="AN297" i="54"/>
  <c r="AN298" i="54"/>
  <c r="AN299" i="54"/>
  <c r="AN300" i="54"/>
  <c r="AN301" i="54"/>
  <c r="AN302" i="54"/>
  <c r="AN303" i="54"/>
  <c r="AN304" i="54"/>
  <c r="AN305" i="54"/>
  <c r="AN306" i="54"/>
  <c r="AN307" i="54"/>
  <c r="AN308" i="54"/>
  <c r="AN309" i="54"/>
  <c r="AN310" i="54"/>
  <c r="AN311" i="54"/>
  <c r="AN312" i="54"/>
  <c r="AN313" i="54"/>
  <c r="AN314" i="54"/>
  <c r="AN315" i="54"/>
  <c r="AN316" i="54"/>
  <c r="AN317" i="54"/>
  <c r="AN318" i="54"/>
  <c r="AN319" i="54"/>
  <c r="AN320" i="54"/>
  <c r="AN321" i="54"/>
  <c r="AN322" i="54"/>
  <c r="AN323" i="54"/>
  <c r="AN324" i="54"/>
  <c r="AN325" i="54"/>
  <c r="AN326" i="54"/>
  <c r="AN327" i="54"/>
  <c r="AN328" i="54"/>
  <c r="AN329" i="54"/>
  <c r="AN330" i="54"/>
  <c r="AN331" i="54"/>
  <c r="AN332" i="54"/>
  <c r="AN333" i="54"/>
  <c r="AN334" i="54"/>
  <c r="AN335" i="54"/>
  <c r="AN336" i="54"/>
  <c r="AN337" i="54"/>
  <c r="AN338" i="54"/>
  <c r="AN339" i="54"/>
  <c r="AN340" i="54"/>
  <c r="AN341" i="54"/>
  <c r="AN342" i="54"/>
  <c r="AN343" i="54"/>
  <c r="AN344" i="54"/>
  <c r="AN345" i="54"/>
  <c r="AN346" i="54"/>
  <c r="AN347" i="54"/>
  <c r="AN348" i="54"/>
  <c r="AN349" i="54"/>
  <c r="AN350" i="54"/>
  <c r="AN351" i="54"/>
  <c r="AN352" i="54"/>
  <c r="AN353" i="54"/>
  <c r="AN354" i="54"/>
  <c r="AN355" i="54"/>
  <c r="AN356" i="54"/>
  <c r="AN357" i="54"/>
  <c r="AN358" i="54"/>
  <c r="AN359" i="54"/>
  <c r="AN360" i="54"/>
  <c r="AN361" i="54"/>
  <c r="AN362" i="54"/>
  <c r="AN363" i="54"/>
  <c r="AN364" i="54"/>
  <c r="AN365" i="54"/>
  <c r="AN366" i="54"/>
  <c r="AN367" i="54"/>
  <c r="AN368" i="54"/>
  <c r="AN369" i="54"/>
  <c r="AN370" i="54"/>
  <c r="AN371" i="54"/>
  <c r="AN372" i="54"/>
  <c r="AN373" i="54"/>
  <c r="AN374" i="54"/>
  <c r="AN375" i="54"/>
  <c r="AN376" i="54"/>
  <c r="AN377" i="54"/>
  <c r="AN378" i="54"/>
  <c r="AN379" i="54"/>
  <c r="AN380" i="54"/>
  <c r="AN381" i="54"/>
  <c r="AN382" i="54"/>
  <c r="AN383" i="54"/>
  <c r="AN384" i="54"/>
  <c r="AN385" i="54"/>
  <c r="AN386" i="54"/>
  <c r="AN387" i="54"/>
  <c r="AN388" i="54"/>
  <c r="AN389" i="54"/>
  <c r="AN390" i="54"/>
  <c r="AN391" i="54"/>
  <c r="AN392" i="54"/>
  <c r="AN393" i="54"/>
  <c r="AN394" i="54"/>
  <c r="AN395" i="54"/>
  <c r="AN396" i="54"/>
  <c r="AN397" i="54"/>
  <c r="AN398" i="54"/>
  <c r="AN399" i="54"/>
  <c r="AN400" i="54"/>
  <c r="AN401" i="54"/>
  <c r="AN402" i="54"/>
  <c r="AN403" i="54"/>
  <c r="AN404" i="54"/>
  <c r="AN405" i="54"/>
  <c r="AD16" i="54"/>
  <c r="AD17" i="54"/>
  <c r="AD18" i="54"/>
  <c r="AD19" i="54"/>
  <c r="AD20" i="54"/>
  <c r="AD21" i="54"/>
  <c r="AD22" i="54"/>
  <c r="AD23" i="54"/>
  <c r="AD24" i="54"/>
  <c r="AD25" i="54"/>
  <c r="AD26" i="54"/>
  <c r="AD27" i="54"/>
  <c r="AD28" i="54"/>
  <c r="AD29" i="54"/>
  <c r="AD30" i="54"/>
  <c r="AD31" i="54"/>
  <c r="AD32" i="54"/>
  <c r="AD33" i="54"/>
  <c r="AD34" i="54"/>
  <c r="AD35" i="54"/>
  <c r="AD36" i="54"/>
  <c r="AD37" i="54"/>
  <c r="AD38" i="54"/>
  <c r="AD39" i="54"/>
  <c r="AD40" i="54"/>
  <c r="AD41" i="54"/>
  <c r="AD42" i="54"/>
  <c r="AD43" i="54"/>
  <c r="AD44" i="54"/>
  <c r="AD45" i="54"/>
  <c r="AD46" i="54"/>
  <c r="AD47" i="54"/>
  <c r="AD48" i="54"/>
  <c r="AD49" i="54"/>
  <c r="AD50" i="54"/>
  <c r="AD51" i="54"/>
  <c r="AD52" i="54"/>
  <c r="AD53" i="54"/>
  <c r="AD54" i="54"/>
  <c r="AD55" i="54"/>
  <c r="AD56" i="54"/>
  <c r="AD57" i="54"/>
  <c r="AD58" i="54"/>
  <c r="AD59" i="54"/>
  <c r="AD60" i="54"/>
  <c r="AD61" i="54"/>
  <c r="AD62" i="54"/>
  <c r="AD63" i="54"/>
  <c r="AD64" i="54"/>
  <c r="AD65" i="54"/>
  <c r="AD66" i="54"/>
  <c r="AD67" i="54"/>
  <c r="AD68" i="54"/>
  <c r="AD69" i="54"/>
  <c r="AD70" i="54"/>
  <c r="AD71" i="54"/>
  <c r="AD72" i="54"/>
  <c r="AD73" i="54"/>
  <c r="AD74" i="54"/>
  <c r="AD75" i="54"/>
  <c r="AD76" i="54"/>
  <c r="AD77" i="54"/>
  <c r="AD78" i="54"/>
  <c r="AD79" i="54"/>
  <c r="AD80" i="54"/>
  <c r="AD81" i="54"/>
  <c r="AD82" i="54"/>
  <c r="AD83" i="54"/>
  <c r="AD84" i="54"/>
  <c r="AD85" i="54"/>
  <c r="AD86" i="54"/>
  <c r="AD87" i="54"/>
  <c r="AD88" i="54"/>
  <c r="AD89" i="54"/>
  <c r="AD90" i="54"/>
  <c r="AD91" i="54"/>
  <c r="AD92" i="54"/>
  <c r="AD93" i="54"/>
  <c r="AD94" i="54"/>
  <c r="AD95" i="54"/>
  <c r="AD96" i="54"/>
  <c r="AD97" i="54"/>
  <c r="AD98" i="54"/>
  <c r="AD99" i="54"/>
  <c r="AD100" i="54"/>
  <c r="AD101" i="54"/>
  <c r="AD102" i="54"/>
  <c r="AD103" i="54"/>
  <c r="AD104" i="54"/>
  <c r="AD105" i="54"/>
  <c r="AD106" i="54"/>
  <c r="AD107" i="54"/>
  <c r="AD108" i="54"/>
  <c r="AD109" i="54"/>
  <c r="AD110" i="54"/>
  <c r="AD111" i="54"/>
  <c r="AD112" i="54"/>
  <c r="AD113" i="54"/>
  <c r="AD114" i="54"/>
  <c r="AD115" i="54"/>
  <c r="AD116" i="54"/>
  <c r="AD117" i="54"/>
  <c r="AD118" i="54"/>
  <c r="AD119" i="54"/>
  <c r="AD120" i="54"/>
  <c r="AD121" i="54"/>
  <c r="AD122" i="54"/>
  <c r="AD123" i="54"/>
  <c r="AD124" i="54"/>
  <c r="AD125" i="54"/>
  <c r="AD126" i="54"/>
  <c r="AD127" i="54"/>
  <c r="AD128" i="54"/>
  <c r="AD129" i="54"/>
  <c r="AD130" i="54"/>
  <c r="AD131" i="54"/>
  <c r="AD132" i="54"/>
  <c r="AD133" i="54"/>
  <c r="AD134" i="54"/>
  <c r="AD135" i="54"/>
  <c r="AD136" i="54"/>
  <c r="AD137" i="54"/>
  <c r="AD138" i="54"/>
  <c r="AD139" i="54"/>
  <c r="AD140" i="54"/>
  <c r="AD141" i="54"/>
  <c r="AD142" i="54"/>
  <c r="AD143" i="54"/>
  <c r="AD144" i="54"/>
  <c r="AD145" i="54"/>
  <c r="AD146" i="54"/>
  <c r="AD147" i="54"/>
  <c r="AD148" i="54"/>
  <c r="AD149" i="54"/>
  <c r="AD150" i="54"/>
  <c r="AD151" i="54"/>
  <c r="AD152" i="54"/>
  <c r="AD153" i="54"/>
  <c r="AD154" i="54"/>
  <c r="AD155" i="54"/>
  <c r="AD156" i="54"/>
  <c r="AD157" i="54"/>
  <c r="AD158" i="54"/>
  <c r="AD159" i="54"/>
  <c r="AD160" i="54"/>
  <c r="AD161" i="54"/>
  <c r="AD162" i="54"/>
  <c r="AD163" i="54"/>
  <c r="AD164" i="54"/>
  <c r="AD165" i="54"/>
  <c r="AD166" i="54"/>
  <c r="AD167" i="54"/>
  <c r="AD168" i="54"/>
  <c r="AD169" i="54"/>
  <c r="AD170" i="54"/>
  <c r="AD171" i="54"/>
  <c r="AD172" i="54"/>
  <c r="AD173" i="54"/>
  <c r="AD174" i="54"/>
  <c r="AD175" i="54"/>
  <c r="AD176" i="54"/>
  <c r="AD177" i="54"/>
  <c r="AD178" i="54"/>
  <c r="AD179" i="54"/>
  <c r="AD180" i="54"/>
  <c r="AD181" i="54"/>
  <c r="AD182" i="54"/>
  <c r="AD183" i="54"/>
  <c r="AD184" i="54"/>
  <c r="AD185" i="54"/>
  <c r="AD186" i="54"/>
  <c r="AD187" i="54"/>
  <c r="AD188" i="54"/>
  <c r="AD189" i="54"/>
  <c r="AD190" i="54"/>
  <c r="AD191" i="54"/>
  <c r="AD192" i="54"/>
  <c r="AD193" i="54"/>
  <c r="AD194" i="54"/>
  <c r="AD195" i="54"/>
  <c r="AD196" i="54"/>
  <c r="AD197" i="54"/>
  <c r="AD198" i="54"/>
  <c r="AD199" i="54"/>
  <c r="AD200" i="54"/>
  <c r="AD201" i="54"/>
  <c r="AD202" i="54"/>
  <c r="AD203" i="54"/>
  <c r="AD204" i="54"/>
  <c r="AD205" i="54"/>
  <c r="AD206" i="54"/>
  <c r="AD207" i="54"/>
  <c r="AD208" i="54"/>
  <c r="AD209" i="54"/>
  <c r="AD210" i="54"/>
  <c r="AD211" i="54"/>
  <c r="AD212" i="54"/>
  <c r="AD213" i="54"/>
  <c r="AD214" i="54"/>
  <c r="AD215" i="54"/>
  <c r="AD216" i="54"/>
  <c r="AD217" i="54"/>
  <c r="AD218" i="54"/>
  <c r="AD219" i="54"/>
  <c r="AD220" i="54"/>
  <c r="AD221" i="54"/>
  <c r="AD222" i="54"/>
  <c r="AD223" i="54"/>
  <c r="AD224" i="54"/>
  <c r="AD225" i="54"/>
  <c r="AD226" i="54"/>
  <c r="AD227" i="54"/>
  <c r="AD228" i="54"/>
  <c r="AD229" i="54"/>
  <c r="AD230" i="54"/>
  <c r="AD231" i="54"/>
  <c r="AD232" i="54"/>
  <c r="AD233" i="54"/>
  <c r="AD234" i="54"/>
  <c r="AD235" i="54"/>
  <c r="AD236" i="54"/>
  <c r="AD237" i="54"/>
  <c r="AD238" i="54"/>
  <c r="AD239" i="54"/>
  <c r="AD240" i="54"/>
  <c r="AD241" i="54"/>
  <c r="AD242" i="54"/>
  <c r="AD243" i="54"/>
  <c r="AD244" i="54"/>
  <c r="AD245" i="54"/>
  <c r="AD246" i="54"/>
  <c r="AD247" i="54"/>
  <c r="AD248" i="54"/>
  <c r="AD249" i="54"/>
  <c r="AD250" i="54"/>
  <c r="AD251" i="54"/>
  <c r="AD252" i="54"/>
  <c r="AD253" i="54"/>
  <c r="AD254" i="54"/>
  <c r="AD255" i="54"/>
  <c r="AD256" i="54"/>
  <c r="AD257" i="54"/>
  <c r="AD258" i="54"/>
  <c r="AD259" i="54"/>
  <c r="AD260" i="54"/>
  <c r="AD261" i="54"/>
  <c r="AD262" i="54"/>
  <c r="AD263" i="54"/>
  <c r="AD264" i="54"/>
  <c r="AD265" i="54"/>
  <c r="AD266" i="54"/>
  <c r="AD267" i="54"/>
  <c r="AD268" i="54"/>
  <c r="AD269" i="54"/>
  <c r="AD270" i="54"/>
  <c r="AD271" i="54"/>
  <c r="AD272" i="54"/>
  <c r="AD273" i="54"/>
  <c r="AD274" i="54"/>
  <c r="AD275" i="54"/>
  <c r="AD276" i="54"/>
  <c r="AD277" i="54"/>
  <c r="AD278" i="54"/>
  <c r="AD279" i="54"/>
  <c r="AD280" i="54"/>
  <c r="AD281" i="54"/>
  <c r="AD282" i="54"/>
  <c r="AD283" i="54"/>
  <c r="AD284" i="54"/>
  <c r="AD285" i="54"/>
  <c r="AD286" i="54"/>
  <c r="AD287" i="54"/>
  <c r="AD288" i="54"/>
  <c r="AD289" i="54"/>
  <c r="AD290" i="54"/>
  <c r="AD291" i="54"/>
  <c r="AD292" i="54"/>
  <c r="AD293" i="54"/>
  <c r="AD294" i="54"/>
  <c r="AD295" i="54"/>
  <c r="AD296" i="54"/>
  <c r="AD297" i="54"/>
  <c r="AD298" i="54"/>
  <c r="AD299" i="54"/>
  <c r="AD300" i="54"/>
  <c r="AD301" i="54"/>
  <c r="AD302" i="54"/>
  <c r="AD303" i="54"/>
  <c r="AD304" i="54"/>
  <c r="AD305" i="54"/>
  <c r="AD306" i="54"/>
  <c r="AD307" i="54"/>
  <c r="AD308" i="54"/>
  <c r="AD309" i="54"/>
  <c r="AD310" i="54"/>
  <c r="AD311" i="54"/>
  <c r="AD312" i="54"/>
  <c r="AD313" i="54"/>
  <c r="AD314" i="54"/>
  <c r="AD315" i="54"/>
  <c r="AD316" i="54"/>
  <c r="AD317" i="54"/>
  <c r="AD318" i="54"/>
  <c r="AD319" i="54"/>
  <c r="AD320" i="54"/>
  <c r="AD321" i="54"/>
  <c r="AD322" i="54"/>
  <c r="AD323" i="54"/>
  <c r="AD324" i="54"/>
  <c r="AD325" i="54"/>
  <c r="AD326" i="54"/>
  <c r="AD327" i="54"/>
  <c r="AD328" i="54"/>
  <c r="AD329" i="54"/>
  <c r="AD330" i="54"/>
  <c r="AD331" i="54"/>
  <c r="AD332" i="54"/>
  <c r="AD333" i="54"/>
  <c r="AD334" i="54"/>
  <c r="AD335" i="54"/>
  <c r="AD336" i="54"/>
  <c r="AD337" i="54"/>
  <c r="AD338" i="54"/>
  <c r="AD339" i="54"/>
  <c r="AD340" i="54"/>
  <c r="AD341" i="54"/>
  <c r="AD342" i="54"/>
  <c r="AD343" i="54"/>
  <c r="AD344" i="54"/>
  <c r="AD345" i="54"/>
  <c r="AD346" i="54"/>
  <c r="AD347" i="54"/>
  <c r="AD348" i="54"/>
  <c r="AD349" i="54"/>
  <c r="AD350" i="54"/>
  <c r="AD351" i="54"/>
  <c r="AD352" i="54"/>
  <c r="AD353" i="54"/>
  <c r="AD354" i="54"/>
  <c r="AD355" i="54"/>
  <c r="AD356" i="54"/>
  <c r="AD357" i="54"/>
  <c r="AD358" i="54"/>
  <c r="AD359" i="54"/>
  <c r="AD360" i="54"/>
  <c r="AD361" i="54"/>
  <c r="AD362" i="54"/>
  <c r="AD363" i="54"/>
  <c r="AD364" i="54"/>
  <c r="AD365" i="54"/>
  <c r="AD366" i="54"/>
  <c r="AD367" i="54"/>
  <c r="AD368" i="54"/>
  <c r="AD369" i="54"/>
  <c r="AD370" i="54"/>
  <c r="AD371" i="54"/>
  <c r="AD372" i="54"/>
  <c r="AD373" i="54"/>
  <c r="AD374" i="54"/>
  <c r="AD375" i="54"/>
  <c r="AD376" i="54"/>
  <c r="AD377" i="54"/>
  <c r="AD378" i="54"/>
  <c r="AD379" i="54"/>
  <c r="AD380" i="54"/>
  <c r="AD381" i="54"/>
  <c r="AD382" i="54"/>
  <c r="AD383" i="54"/>
  <c r="AD384" i="54"/>
  <c r="AD385" i="54"/>
  <c r="AD386" i="54"/>
  <c r="AD387" i="54"/>
  <c r="AD388" i="54"/>
  <c r="AD389" i="54"/>
  <c r="AD390" i="54"/>
  <c r="AD391" i="54"/>
  <c r="AD392" i="54"/>
  <c r="AD393" i="54"/>
  <c r="AD394" i="54"/>
  <c r="AD395" i="54"/>
  <c r="AD396" i="54"/>
  <c r="AD397" i="54"/>
  <c r="AD398" i="54"/>
  <c r="AD399" i="54"/>
  <c r="AD400" i="54"/>
  <c r="AD401" i="54"/>
  <c r="AD402" i="54"/>
  <c r="AD403" i="54"/>
  <c r="AD404" i="54"/>
  <c r="AD405" i="54"/>
  <c r="T405" i="54"/>
  <c r="T404" i="54"/>
  <c r="T403" i="54"/>
  <c r="T402" i="54"/>
  <c r="T401" i="54"/>
  <c r="T400" i="54"/>
  <c r="T399" i="54"/>
  <c r="T398" i="54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280" i="54"/>
  <c r="T279" i="54"/>
  <c r="T278" i="54"/>
  <c r="T277" i="54"/>
  <c r="T276" i="54"/>
  <c r="T275" i="54"/>
  <c r="T274" i="54"/>
  <c r="T273" i="54"/>
  <c r="T272" i="54"/>
  <c r="T271" i="54"/>
  <c r="T270" i="54"/>
  <c r="T269" i="54"/>
  <c r="T268" i="54"/>
  <c r="T267" i="54"/>
  <c r="T266" i="54"/>
  <c r="T265" i="54"/>
  <c r="T264" i="54"/>
  <c r="T263" i="54"/>
  <c r="T262" i="54"/>
  <c r="T261" i="54"/>
  <c r="T260" i="54"/>
  <c r="T259" i="54"/>
  <c r="T258" i="54"/>
  <c r="T257" i="54"/>
  <c r="T256" i="54"/>
  <c r="T255" i="54"/>
  <c r="T254" i="54"/>
  <c r="T253" i="54"/>
  <c r="T252" i="54"/>
  <c r="T251" i="54"/>
  <c r="T250" i="54"/>
  <c r="T249" i="54"/>
  <c r="T248" i="54"/>
  <c r="T247" i="54"/>
  <c r="T246" i="54"/>
  <c r="T245" i="54"/>
  <c r="T244" i="54"/>
  <c r="T243" i="54"/>
  <c r="T242" i="54"/>
  <c r="T241" i="54"/>
  <c r="T240" i="54"/>
  <c r="T239" i="54"/>
  <c r="T238" i="54"/>
  <c r="T237" i="54"/>
  <c r="T236" i="54"/>
  <c r="T235" i="54"/>
  <c r="T234" i="54"/>
  <c r="T233" i="54"/>
  <c r="T232" i="54"/>
  <c r="T23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T215" i="54"/>
  <c r="T214" i="54"/>
  <c r="T213" i="54"/>
  <c r="T212" i="54"/>
  <c r="T211" i="54"/>
  <c r="T210" i="54"/>
  <c r="T209" i="54"/>
  <c r="T208" i="54"/>
  <c r="T207" i="54"/>
  <c r="T206" i="54"/>
  <c r="T205" i="54"/>
  <c r="T204" i="54"/>
  <c r="T203" i="54"/>
  <c r="T202" i="54"/>
  <c r="T201" i="54"/>
  <c r="T200" i="54"/>
  <c r="T199" i="54"/>
  <c r="T198" i="54"/>
  <c r="T197" i="54"/>
  <c r="T196" i="54"/>
  <c r="T195" i="54"/>
  <c r="T194" i="54"/>
  <c r="T193" i="54"/>
  <c r="T192" i="54"/>
  <c r="T191" i="54"/>
  <c r="T190" i="54"/>
  <c r="T189" i="54"/>
  <c r="T188" i="54"/>
  <c r="T187" i="54"/>
  <c r="T186" i="54"/>
  <c r="T185" i="54"/>
  <c r="T184" i="54"/>
  <c r="T183" i="54"/>
  <c r="T182" i="54"/>
  <c r="T181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60" i="54"/>
  <c r="T159" i="54"/>
  <c r="T158" i="54"/>
  <c r="T157" i="54"/>
  <c r="T156" i="54"/>
  <c r="T155" i="54"/>
  <c r="T154" i="54"/>
  <c r="T153" i="54"/>
  <c r="T152" i="54"/>
  <c r="T151" i="54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A8" i="54"/>
  <c r="AX11" i="54" l="1"/>
  <c r="AD11" i="54"/>
  <c r="T11" i="54"/>
  <c r="AN11" i="54"/>
  <c r="K11" i="56"/>
  <c r="W11" i="56"/>
  <c r="L11" i="56"/>
  <c r="AI11" i="56"/>
  <c r="X11" i="56"/>
  <c r="AJ11" i="56"/>
  <c r="J11" i="54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J343" i="4" l="1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322" i="4"/>
  <c r="D321" i="4"/>
  <c r="AI322" i="1" l="1"/>
  <c r="AI320" i="1"/>
  <c r="AI314" i="1"/>
  <c r="AI313" i="1"/>
  <c r="AI309" i="1"/>
  <c r="AI307" i="1"/>
  <c r="AI301" i="1"/>
  <c r="AI300" i="1"/>
  <c r="AI296" i="1"/>
  <c r="AI294" i="1"/>
  <c r="AI288" i="1"/>
  <c r="AI287" i="1"/>
  <c r="AI283" i="1"/>
  <c r="AI281" i="1"/>
  <c r="AI275" i="1"/>
  <c r="AI274" i="1"/>
  <c r="AI270" i="1"/>
  <c r="AI268" i="1"/>
  <c r="AI262" i="1"/>
  <c r="AI261" i="1"/>
  <c r="AI257" i="1"/>
  <c r="AI255" i="1"/>
  <c r="AI249" i="1"/>
  <c r="AI248" i="1"/>
  <c r="AI244" i="1"/>
  <c r="AI242" i="1"/>
  <c r="AI236" i="1"/>
  <c r="AI235" i="1"/>
  <c r="AI231" i="1"/>
  <c r="AI229" i="1"/>
  <c r="AI223" i="1"/>
  <c r="AI222" i="1"/>
  <c r="AI218" i="1"/>
  <c r="AI216" i="1"/>
  <c r="AI210" i="1"/>
  <c r="AI209" i="1"/>
  <c r="AI205" i="1"/>
  <c r="AI203" i="1"/>
  <c r="AI197" i="1"/>
  <c r="AI196" i="1"/>
  <c r="AI192" i="1"/>
  <c r="AI190" i="1"/>
  <c r="AI184" i="1"/>
  <c r="AI183" i="1"/>
  <c r="AI179" i="1"/>
  <c r="AI177" i="1"/>
  <c r="AI171" i="1"/>
  <c r="AI170" i="1"/>
  <c r="AE279" i="1"/>
  <c r="AE278" i="1"/>
  <c r="AE277" i="1"/>
  <c r="AE296" i="1"/>
  <c r="AE295" i="1"/>
  <c r="AE294" i="1"/>
  <c r="AE293" i="1"/>
  <c r="AE292" i="1"/>
  <c r="AE290" i="1"/>
  <c r="AE288" i="1"/>
  <c r="AE287" i="1"/>
  <c r="AG287" i="1" l="1"/>
  <c r="AH287" i="1"/>
  <c r="AH288" i="1"/>
  <c r="AG288" i="1"/>
  <c r="AF290" i="1"/>
  <c r="AH290" i="1"/>
  <c r="AG290" i="1"/>
  <c r="AH292" i="1"/>
  <c r="AG292" i="1"/>
  <c r="AF292" i="1"/>
  <c r="AH293" i="1"/>
  <c r="AG293" i="1"/>
  <c r="AF293" i="1"/>
  <c r="AH294" i="1"/>
  <c r="AG294" i="1"/>
  <c r="AG295" i="1"/>
  <c r="AF295" i="1"/>
  <c r="AH295" i="1"/>
  <c r="AH296" i="1"/>
  <c r="AG296" i="1"/>
  <c r="AG277" i="1"/>
  <c r="AF277" i="1"/>
  <c r="AH277" i="1"/>
  <c r="AH278" i="1"/>
  <c r="AG278" i="1"/>
  <c r="AF278" i="1"/>
  <c r="AH279" i="1"/>
  <c r="AG279" i="1"/>
  <c r="AF279" i="1"/>
  <c r="CD323" i="1" l="1"/>
  <c r="CC323" i="1"/>
  <c r="CD322" i="1"/>
  <c r="CC322" i="1"/>
  <c r="CD321" i="1"/>
  <c r="CC321" i="1"/>
  <c r="CD320" i="1"/>
  <c r="CC320" i="1"/>
  <c r="CD319" i="1"/>
  <c r="CC319" i="1"/>
  <c r="CD318" i="1"/>
  <c r="CC318" i="1"/>
  <c r="CD317" i="1"/>
  <c r="CC317" i="1"/>
  <c r="CD316" i="1"/>
  <c r="CC316" i="1"/>
  <c r="CD315" i="1"/>
  <c r="CC315" i="1"/>
  <c r="CD314" i="1"/>
  <c r="CC314" i="1"/>
  <c r="CD313" i="1"/>
  <c r="CC313" i="1"/>
  <c r="CD312" i="1"/>
  <c r="CC312" i="1"/>
  <c r="CD311" i="1"/>
  <c r="CC311" i="1"/>
  <c r="CD310" i="1"/>
  <c r="CC310" i="1"/>
  <c r="CD309" i="1"/>
  <c r="CC309" i="1"/>
  <c r="CD308" i="1"/>
  <c r="CC308" i="1"/>
  <c r="CD307" i="1"/>
  <c r="CC307" i="1"/>
  <c r="CD306" i="1"/>
  <c r="CC306" i="1"/>
  <c r="CD305" i="1"/>
  <c r="CC305" i="1"/>
  <c r="CD304" i="1"/>
  <c r="CC304" i="1"/>
  <c r="CD303" i="1"/>
  <c r="CC303" i="1"/>
  <c r="CD302" i="1"/>
  <c r="CC302" i="1"/>
  <c r="CD301" i="1"/>
  <c r="CC301" i="1"/>
  <c r="CD300" i="1"/>
  <c r="CC300" i="1"/>
  <c r="CD299" i="1"/>
  <c r="CC299" i="1"/>
  <c r="CD298" i="1"/>
  <c r="CC298" i="1"/>
  <c r="CD297" i="1"/>
  <c r="CC297" i="1"/>
  <c r="CD296" i="1"/>
  <c r="CC296" i="1"/>
  <c r="CD295" i="1"/>
  <c r="CC295" i="1"/>
  <c r="CD294" i="1"/>
  <c r="CC294" i="1"/>
  <c r="CD293" i="1"/>
  <c r="CC293" i="1"/>
  <c r="CD292" i="1"/>
  <c r="CC292" i="1"/>
  <c r="CD291" i="1"/>
  <c r="CC291" i="1"/>
  <c r="CD290" i="1"/>
  <c r="CC290" i="1"/>
  <c r="CD289" i="1"/>
  <c r="CC289" i="1"/>
  <c r="CD288" i="1"/>
  <c r="CC288" i="1"/>
  <c r="CD287" i="1"/>
  <c r="CC287" i="1"/>
  <c r="CD286" i="1"/>
  <c r="CC286" i="1"/>
  <c r="CD285" i="1"/>
  <c r="CC285" i="1"/>
  <c r="CD284" i="1"/>
  <c r="CC284" i="1"/>
  <c r="CD283" i="1"/>
  <c r="CC283" i="1"/>
  <c r="CD282" i="1"/>
  <c r="CC282" i="1"/>
  <c r="CD281" i="1"/>
  <c r="CC281" i="1"/>
  <c r="CD280" i="1"/>
  <c r="CC280" i="1"/>
  <c r="CD279" i="1"/>
  <c r="CC279" i="1"/>
  <c r="CD278" i="1"/>
  <c r="CC278" i="1"/>
  <c r="CD277" i="1"/>
  <c r="CC277" i="1"/>
  <c r="CD276" i="1"/>
  <c r="CC276" i="1"/>
  <c r="CD275" i="1"/>
  <c r="CC275" i="1"/>
  <c r="CD274" i="1"/>
  <c r="CC274" i="1"/>
  <c r="CD273" i="1"/>
  <c r="CC273" i="1"/>
  <c r="CD272" i="1"/>
  <c r="CC272" i="1"/>
  <c r="CD271" i="1"/>
  <c r="CC271" i="1"/>
  <c r="CD270" i="1"/>
  <c r="CC270" i="1"/>
  <c r="CD269" i="1"/>
  <c r="CC269" i="1"/>
  <c r="CD268" i="1"/>
  <c r="CC268" i="1"/>
  <c r="CD267" i="1"/>
  <c r="CC267" i="1"/>
  <c r="CD266" i="1"/>
  <c r="CC266" i="1"/>
  <c r="CD265" i="1"/>
  <c r="CC265" i="1"/>
  <c r="CD264" i="1"/>
  <c r="CC264" i="1"/>
  <c r="CD263" i="1"/>
  <c r="CC263" i="1"/>
  <c r="CD262" i="1"/>
  <c r="CC262" i="1"/>
  <c r="CD261" i="1"/>
  <c r="CC261" i="1"/>
  <c r="CD260" i="1"/>
  <c r="CC260" i="1"/>
  <c r="CD259" i="1"/>
  <c r="CC259" i="1"/>
  <c r="CD258" i="1"/>
  <c r="CC258" i="1"/>
  <c r="CD257" i="1"/>
  <c r="CC257" i="1"/>
  <c r="CD256" i="1"/>
  <c r="CC256" i="1"/>
  <c r="CD255" i="1"/>
  <c r="CC255" i="1"/>
  <c r="CD254" i="1"/>
  <c r="CC254" i="1"/>
  <c r="CD253" i="1"/>
  <c r="CC253" i="1"/>
  <c r="CD252" i="1"/>
  <c r="CC252" i="1"/>
  <c r="CD251" i="1"/>
  <c r="CC251" i="1"/>
  <c r="CD250" i="1"/>
  <c r="CC250" i="1"/>
  <c r="CD249" i="1"/>
  <c r="CC249" i="1"/>
  <c r="CD248" i="1"/>
  <c r="CC248" i="1"/>
  <c r="CD247" i="1"/>
  <c r="CC247" i="1"/>
  <c r="CD246" i="1"/>
  <c r="CC246" i="1"/>
  <c r="CD245" i="1"/>
  <c r="CC245" i="1"/>
  <c r="CD244" i="1"/>
  <c r="CC244" i="1"/>
  <c r="CD243" i="1"/>
  <c r="CC243" i="1"/>
  <c r="CD242" i="1"/>
  <c r="CC242" i="1"/>
  <c r="CD241" i="1"/>
  <c r="CC241" i="1"/>
  <c r="CD240" i="1"/>
  <c r="CC240" i="1"/>
  <c r="CD239" i="1"/>
  <c r="CC239" i="1"/>
  <c r="CD238" i="1"/>
  <c r="CC238" i="1"/>
  <c r="CD237" i="1"/>
  <c r="CC237" i="1"/>
  <c r="CD236" i="1"/>
  <c r="CC236" i="1"/>
  <c r="CD235" i="1"/>
  <c r="CC235" i="1"/>
  <c r="CD234" i="1"/>
  <c r="CC234" i="1"/>
  <c r="CD233" i="1"/>
  <c r="CC233" i="1"/>
  <c r="CD232" i="1"/>
  <c r="CC232" i="1"/>
  <c r="CD231" i="1"/>
  <c r="CC231" i="1"/>
  <c r="CD230" i="1"/>
  <c r="CC230" i="1"/>
  <c r="CD229" i="1"/>
  <c r="CC229" i="1"/>
  <c r="CD228" i="1"/>
  <c r="CC228" i="1"/>
  <c r="CD227" i="1"/>
  <c r="CC227" i="1"/>
  <c r="CD226" i="1"/>
  <c r="CC226" i="1"/>
  <c r="CD225" i="1"/>
  <c r="CC225" i="1"/>
  <c r="CD224" i="1"/>
  <c r="CC224" i="1"/>
  <c r="CD223" i="1"/>
  <c r="CC223" i="1"/>
  <c r="CD222" i="1"/>
  <c r="CC222" i="1"/>
  <c r="CD221" i="1"/>
  <c r="CC221" i="1"/>
  <c r="CD220" i="1"/>
  <c r="CC220" i="1"/>
  <c r="CD219" i="1"/>
  <c r="CC219" i="1"/>
  <c r="CD218" i="1"/>
  <c r="CC218" i="1"/>
  <c r="CD217" i="1"/>
  <c r="CC217" i="1"/>
  <c r="CD216" i="1"/>
  <c r="CC216" i="1"/>
  <c r="CD215" i="1"/>
  <c r="CC215" i="1"/>
  <c r="CD214" i="1"/>
  <c r="CC214" i="1"/>
  <c r="CD213" i="1"/>
  <c r="CC213" i="1"/>
  <c r="CD212" i="1"/>
  <c r="CC212" i="1"/>
  <c r="CD211" i="1"/>
  <c r="CC211" i="1"/>
  <c r="CD210" i="1"/>
  <c r="CC210" i="1"/>
  <c r="CD209" i="1"/>
  <c r="CC209" i="1"/>
  <c r="CD208" i="1"/>
  <c r="CC208" i="1"/>
  <c r="CD207" i="1"/>
  <c r="CC207" i="1"/>
  <c r="CD206" i="1"/>
  <c r="CC206" i="1"/>
  <c r="CD205" i="1"/>
  <c r="CC205" i="1"/>
  <c r="CD204" i="1"/>
  <c r="CC204" i="1"/>
  <c r="CD203" i="1"/>
  <c r="CC203" i="1"/>
  <c r="CD202" i="1"/>
  <c r="CC202" i="1"/>
  <c r="CD201" i="1"/>
  <c r="CC201" i="1"/>
  <c r="CD200" i="1"/>
  <c r="CC200" i="1"/>
  <c r="CD199" i="1"/>
  <c r="CC199" i="1"/>
  <c r="CD198" i="1"/>
  <c r="CC198" i="1"/>
  <c r="CD197" i="1"/>
  <c r="CC197" i="1"/>
  <c r="CD196" i="1"/>
  <c r="CC196" i="1"/>
  <c r="CD195" i="1"/>
  <c r="CC195" i="1"/>
  <c r="CD194" i="1"/>
  <c r="CC194" i="1"/>
  <c r="CD193" i="1"/>
  <c r="CC193" i="1"/>
  <c r="CD192" i="1"/>
  <c r="CC192" i="1"/>
  <c r="CD191" i="1"/>
  <c r="CC191" i="1"/>
  <c r="CD190" i="1"/>
  <c r="CC190" i="1"/>
  <c r="CD189" i="1"/>
  <c r="CC189" i="1"/>
  <c r="CD188" i="1"/>
  <c r="CC188" i="1"/>
  <c r="CD187" i="1"/>
  <c r="CC187" i="1"/>
  <c r="CD186" i="1"/>
  <c r="CC186" i="1"/>
  <c r="CD185" i="1"/>
  <c r="CC185" i="1"/>
  <c r="CD184" i="1"/>
  <c r="CC184" i="1"/>
  <c r="CD183" i="1"/>
  <c r="CC183" i="1"/>
  <c r="CD182" i="1"/>
  <c r="CC182" i="1"/>
  <c r="CD181" i="1"/>
  <c r="CC181" i="1"/>
  <c r="CD180" i="1"/>
  <c r="CC180" i="1"/>
  <c r="CD179" i="1"/>
  <c r="CC179" i="1"/>
  <c r="CD178" i="1"/>
  <c r="CC178" i="1"/>
  <c r="CD177" i="1"/>
  <c r="CC177" i="1"/>
  <c r="CD176" i="1"/>
  <c r="CC176" i="1"/>
  <c r="CD175" i="1"/>
  <c r="CC175" i="1"/>
  <c r="CD174" i="1"/>
  <c r="CC174" i="1"/>
  <c r="CD173" i="1"/>
  <c r="CC173" i="1"/>
  <c r="CD172" i="1"/>
  <c r="CC172" i="1"/>
  <c r="CD171" i="1"/>
  <c r="CC171" i="1"/>
  <c r="CD170" i="1"/>
  <c r="CC170" i="1"/>
  <c r="CD169" i="1"/>
  <c r="CC169" i="1"/>
  <c r="CD168" i="1"/>
  <c r="CC168" i="1"/>
  <c r="Y322" i="1" l="1"/>
  <c r="Y320" i="1"/>
  <c r="Y314" i="1"/>
  <c r="Y313" i="1"/>
  <c r="Y309" i="1"/>
  <c r="Y307" i="1"/>
  <c r="Y301" i="1"/>
  <c r="Y300" i="1"/>
  <c r="Y296" i="1"/>
  <c r="Y294" i="1"/>
  <c r="Y288" i="1"/>
  <c r="Y287" i="1"/>
  <c r="Y283" i="1"/>
  <c r="Y281" i="1"/>
  <c r="Y275" i="1"/>
  <c r="Y274" i="1"/>
  <c r="Y270" i="1"/>
  <c r="Y268" i="1"/>
  <c r="Y262" i="1"/>
  <c r="Y261" i="1"/>
  <c r="Y257" i="1"/>
  <c r="Y255" i="1"/>
  <c r="Y249" i="1"/>
  <c r="Y248" i="1"/>
  <c r="Y244" i="1"/>
  <c r="Y242" i="1"/>
  <c r="Y236" i="1"/>
  <c r="Y235" i="1"/>
  <c r="Y231" i="1"/>
  <c r="Y229" i="1"/>
  <c r="Y223" i="1"/>
  <c r="Y222" i="1"/>
  <c r="Y218" i="1"/>
  <c r="Y216" i="1"/>
  <c r="Y210" i="1"/>
  <c r="Y209" i="1"/>
  <c r="Y205" i="1"/>
  <c r="Y203" i="1"/>
  <c r="Y197" i="1"/>
  <c r="Y196" i="1"/>
  <c r="Y192" i="1"/>
  <c r="Y190" i="1"/>
  <c r="Y184" i="1"/>
  <c r="Y183" i="1"/>
  <c r="Y179" i="1"/>
  <c r="Y177" i="1"/>
  <c r="Y171" i="1"/>
  <c r="Y170" i="1"/>
  <c r="S315" i="1"/>
  <c r="S308" i="1"/>
  <c r="S305" i="1"/>
  <c r="S280" i="1"/>
  <c r="S279" i="1"/>
  <c r="S267" i="1"/>
  <c r="S266" i="1"/>
  <c r="S254" i="1"/>
  <c r="S253" i="1"/>
  <c r="S238" i="1"/>
  <c r="S225" i="1"/>
  <c r="S221" i="1"/>
  <c r="S211" i="1"/>
  <c r="S204" i="1"/>
  <c r="S182" i="1"/>
  <c r="S169" i="1"/>
  <c r="S180" i="1"/>
  <c r="S179" i="1"/>
  <c r="S178" i="1"/>
  <c r="S177" i="1"/>
  <c r="S176" i="1"/>
  <c r="S174" i="1"/>
  <c r="S172" i="1"/>
  <c r="S171" i="1"/>
  <c r="S170" i="1"/>
  <c r="V171" i="1" l="1"/>
  <c r="U171" i="1"/>
  <c r="V172" i="1"/>
  <c r="U172" i="1"/>
  <c r="T172" i="1"/>
  <c r="V178" i="1"/>
  <c r="U178" i="1"/>
  <c r="T178" i="1"/>
  <c r="U182" i="1"/>
  <c r="T182" i="1"/>
  <c r="V182" i="1"/>
  <c r="V221" i="1"/>
  <c r="U221" i="1"/>
  <c r="T221" i="1"/>
  <c r="V254" i="1"/>
  <c r="U254" i="1"/>
  <c r="T254" i="1"/>
  <c r="U280" i="1"/>
  <c r="V280" i="1"/>
  <c r="T280" i="1"/>
  <c r="U170" i="1"/>
  <c r="V170" i="1"/>
  <c r="U174" i="1"/>
  <c r="T174" i="1"/>
  <c r="V174" i="1"/>
  <c r="V179" i="1"/>
  <c r="U179" i="1"/>
  <c r="T204" i="1"/>
  <c r="V204" i="1"/>
  <c r="U204" i="1"/>
  <c r="V225" i="1"/>
  <c r="T225" i="1"/>
  <c r="U225" i="1"/>
  <c r="V266" i="1"/>
  <c r="U266" i="1"/>
  <c r="T266" i="1"/>
  <c r="V305" i="1"/>
  <c r="T305" i="1"/>
  <c r="U305" i="1"/>
  <c r="U176" i="1"/>
  <c r="T176" i="1"/>
  <c r="V176" i="1"/>
  <c r="U180" i="1"/>
  <c r="T180" i="1"/>
  <c r="V180" i="1"/>
  <c r="V211" i="1"/>
  <c r="U211" i="1"/>
  <c r="T211" i="1"/>
  <c r="V238" i="1"/>
  <c r="T238" i="1"/>
  <c r="U238" i="1"/>
  <c r="U267" i="1"/>
  <c r="T267" i="1"/>
  <c r="V267" i="1"/>
  <c r="U308" i="1"/>
  <c r="V308" i="1"/>
  <c r="T308" i="1"/>
  <c r="V177" i="1"/>
  <c r="U177" i="1"/>
  <c r="V169" i="1"/>
  <c r="U169" i="1"/>
  <c r="T169" i="1"/>
  <c r="V253" i="1"/>
  <c r="U253" i="1"/>
  <c r="T253" i="1"/>
  <c r="V279" i="1"/>
  <c r="T279" i="1"/>
  <c r="U279" i="1"/>
  <c r="U315" i="1"/>
  <c r="V315" i="1"/>
  <c r="T315" i="1"/>
  <c r="S40" i="1"/>
  <c r="V40" i="1" l="1"/>
  <c r="U40" i="1"/>
  <c r="T40" i="1"/>
  <c r="X40" i="1"/>
  <c r="W40" i="1"/>
  <c r="S167" i="1" l="1"/>
  <c r="AK157" i="1"/>
  <c r="AJ157" i="1"/>
  <c r="AI157" i="1"/>
  <c r="AE157" i="1"/>
  <c r="S157" i="1"/>
  <c r="D157" i="1"/>
  <c r="C157" i="1"/>
  <c r="AK165" i="1"/>
  <c r="AJ165" i="1"/>
  <c r="AI165" i="1"/>
  <c r="AE165" i="1"/>
  <c r="S165" i="1"/>
  <c r="D165" i="1"/>
  <c r="C165" i="1"/>
  <c r="AK161" i="1"/>
  <c r="AJ161" i="1"/>
  <c r="AI161" i="1"/>
  <c r="AE161" i="1"/>
  <c r="S161" i="1"/>
  <c r="D161" i="1"/>
  <c r="C161" i="1"/>
  <c r="S134" i="1"/>
  <c r="S138" i="1"/>
  <c r="AC323" i="1"/>
  <c r="AB323" i="1"/>
  <c r="AC322" i="1"/>
  <c r="AB322" i="1"/>
  <c r="AC321" i="1"/>
  <c r="AB321" i="1"/>
  <c r="AC320" i="1"/>
  <c r="AB320" i="1"/>
  <c r="AC319" i="1"/>
  <c r="AB319" i="1"/>
  <c r="AC318" i="1"/>
  <c r="AB318" i="1"/>
  <c r="AC317" i="1"/>
  <c r="AB317" i="1"/>
  <c r="AC316" i="1"/>
  <c r="AB316" i="1"/>
  <c r="AC315" i="1"/>
  <c r="AB315" i="1"/>
  <c r="AC314" i="1"/>
  <c r="AB314" i="1"/>
  <c r="AC313" i="1"/>
  <c r="AB313" i="1"/>
  <c r="AC312" i="1"/>
  <c r="AB312" i="1"/>
  <c r="AC311" i="1"/>
  <c r="AB311" i="1"/>
  <c r="AC310" i="1"/>
  <c r="AB310" i="1"/>
  <c r="AC309" i="1"/>
  <c r="AB309" i="1"/>
  <c r="AC308" i="1"/>
  <c r="AB308" i="1"/>
  <c r="AC307" i="1"/>
  <c r="AB307" i="1"/>
  <c r="AC306" i="1"/>
  <c r="AB306" i="1"/>
  <c r="AC305" i="1"/>
  <c r="AB305" i="1"/>
  <c r="AC304" i="1"/>
  <c r="AB304" i="1"/>
  <c r="AC303" i="1"/>
  <c r="AB303" i="1"/>
  <c r="AC302" i="1"/>
  <c r="AB302" i="1"/>
  <c r="AC301" i="1"/>
  <c r="AB301" i="1"/>
  <c r="AC300" i="1"/>
  <c r="AB300" i="1"/>
  <c r="AC299" i="1"/>
  <c r="AB299" i="1"/>
  <c r="AC298" i="1"/>
  <c r="AB298" i="1"/>
  <c r="AC297" i="1"/>
  <c r="AB297" i="1"/>
  <c r="AC296" i="1"/>
  <c r="AB296" i="1"/>
  <c r="AC295" i="1"/>
  <c r="AB295" i="1"/>
  <c r="AC294" i="1"/>
  <c r="AB294" i="1"/>
  <c r="AC293" i="1"/>
  <c r="AB293" i="1"/>
  <c r="AC292" i="1"/>
  <c r="AB292" i="1"/>
  <c r="AC291" i="1"/>
  <c r="AB291" i="1"/>
  <c r="AC290" i="1"/>
  <c r="AB290" i="1"/>
  <c r="AC289" i="1"/>
  <c r="AB289" i="1"/>
  <c r="AC288" i="1"/>
  <c r="AB288" i="1"/>
  <c r="AC287" i="1"/>
  <c r="AB287" i="1"/>
  <c r="AC286" i="1"/>
  <c r="AB286" i="1"/>
  <c r="AC285" i="1"/>
  <c r="AB285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71" i="1"/>
  <c r="AB271" i="1"/>
  <c r="AC270" i="1"/>
  <c r="AB270" i="1"/>
  <c r="AC269" i="1"/>
  <c r="AB269" i="1"/>
  <c r="AC268" i="1"/>
  <c r="AB268" i="1"/>
  <c r="AC267" i="1"/>
  <c r="AB267" i="1"/>
  <c r="AC266" i="1"/>
  <c r="AB266" i="1"/>
  <c r="AC265" i="1"/>
  <c r="AB265" i="1"/>
  <c r="AC264" i="1"/>
  <c r="AB264" i="1"/>
  <c r="AC263" i="1"/>
  <c r="AB263" i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84" i="1"/>
  <c r="AB284" i="1"/>
  <c r="AC283" i="1"/>
  <c r="AB283" i="1"/>
  <c r="AC282" i="1"/>
  <c r="AB282" i="1"/>
  <c r="AC281" i="1"/>
  <c r="AB281" i="1"/>
  <c r="AC280" i="1"/>
  <c r="AB280" i="1"/>
  <c r="AC279" i="1"/>
  <c r="AB279" i="1"/>
  <c r="AC278" i="1"/>
  <c r="AB278" i="1"/>
  <c r="AC277" i="1"/>
  <c r="AB277" i="1"/>
  <c r="AC276" i="1"/>
  <c r="AB276" i="1"/>
  <c r="AC275" i="1"/>
  <c r="AB275" i="1"/>
  <c r="AC274" i="1"/>
  <c r="AB274" i="1"/>
  <c r="AC273" i="1"/>
  <c r="AB273" i="1"/>
  <c r="AC272" i="1"/>
  <c r="AB272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Y154" i="1"/>
  <c r="Y152" i="1"/>
  <c r="Y146" i="1"/>
  <c r="Y145" i="1"/>
  <c r="Y141" i="1"/>
  <c r="Y139" i="1"/>
  <c r="Y133" i="1"/>
  <c r="Y132" i="1"/>
  <c r="Y128" i="1"/>
  <c r="Y126" i="1"/>
  <c r="Y120" i="1"/>
  <c r="Y119" i="1"/>
  <c r="Y115" i="1"/>
  <c r="Y113" i="1"/>
  <c r="Y107" i="1"/>
  <c r="Y106" i="1"/>
  <c r="Y102" i="1"/>
  <c r="Y100" i="1"/>
  <c r="Y94" i="1"/>
  <c r="Y93" i="1"/>
  <c r="Y89" i="1"/>
  <c r="Y87" i="1"/>
  <c r="Y81" i="1"/>
  <c r="Y80" i="1"/>
  <c r="Y76" i="1"/>
  <c r="Y74" i="1"/>
  <c r="Y68" i="1"/>
  <c r="Y67" i="1"/>
  <c r="Y63" i="1"/>
  <c r="Y61" i="1"/>
  <c r="Y55" i="1"/>
  <c r="Y54" i="1"/>
  <c r="Y50" i="1"/>
  <c r="Y48" i="1"/>
  <c r="Y42" i="1"/>
  <c r="Y41" i="1"/>
  <c r="Y37" i="1"/>
  <c r="Y35" i="1"/>
  <c r="Y29" i="1"/>
  <c r="Y28" i="1"/>
  <c r="Y24" i="1"/>
  <c r="Y22" i="1"/>
  <c r="Y16" i="1"/>
  <c r="Y15" i="1"/>
  <c r="S101" i="1"/>
  <c r="S86" i="1"/>
  <c r="S53" i="1"/>
  <c r="S57" i="1"/>
  <c r="S48" i="1"/>
  <c r="S47" i="1"/>
  <c r="S45" i="1"/>
  <c r="S43" i="1"/>
  <c r="S42" i="1"/>
  <c r="S36" i="1"/>
  <c r="S149" i="1"/>
  <c r="S155" i="1"/>
  <c r="S154" i="1"/>
  <c r="S153" i="1"/>
  <c r="S152" i="1"/>
  <c r="S148" i="1"/>
  <c r="S147" i="1"/>
  <c r="S146" i="1"/>
  <c r="S145" i="1"/>
  <c r="S144" i="1"/>
  <c r="S143" i="1"/>
  <c r="S141" i="1"/>
  <c r="S139" i="1"/>
  <c r="S136" i="1"/>
  <c r="S135" i="1"/>
  <c r="S124" i="1"/>
  <c r="S119" i="1"/>
  <c r="S117" i="1"/>
  <c r="S129" i="1"/>
  <c r="S128" i="1"/>
  <c r="S126" i="1"/>
  <c r="S125" i="1"/>
  <c r="S123" i="1"/>
  <c r="S120" i="1"/>
  <c r="S111" i="1"/>
  <c r="S22" i="1"/>
  <c r="S21" i="1"/>
  <c r="S19" i="1"/>
  <c r="S18" i="1"/>
  <c r="S17" i="1"/>
  <c r="S25" i="1"/>
  <c r="S24" i="1"/>
  <c r="S16" i="1"/>
  <c r="S15" i="1"/>
  <c r="S14" i="1"/>
  <c r="AF161" i="1" l="1"/>
  <c r="AH161" i="1"/>
  <c r="AG161" i="1"/>
  <c r="AF165" i="1"/>
  <c r="AH165" i="1"/>
  <c r="AG165" i="1"/>
  <c r="AH157" i="1"/>
  <c r="AG157" i="1"/>
  <c r="AF157" i="1"/>
  <c r="V19" i="1"/>
  <c r="U19" i="1"/>
  <c r="X19" i="1"/>
  <c r="T19" i="1"/>
  <c r="W19" i="1"/>
  <c r="X111" i="1"/>
  <c r="T111" i="1"/>
  <c r="V111" i="1"/>
  <c r="W111" i="1"/>
  <c r="U111" i="1"/>
  <c r="V126" i="1"/>
  <c r="X126" i="1"/>
  <c r="W126" i="1"/>
  <c r="U126" i="1"/>
  <c r="W117" i="1"/>
  <c r="U117" i="1"/>
  <c r="X117" i="1"/>
  <c r="V117" i="1"/>
  <c r="T117" i="1"/>
  <c r="U136" i="1"/>
  <c r="W136" i="1"/>
  <c r="X136" i="1"/>
  <c r="V136" i="1"/>
  <c r="T136" i="1"/>
  <c r="V144" i="1"/>
  <c r="U144" i="1"/>
  <c r="X144" i="1"/>
  <c r="T144" i="1"/>
  <c r="W144" i="1"/>
  <c r="V148" i="1"/>
  <c r="U148" i="1"/>
  <c r="X148" i="1"/>
  <c r="T148" i="1"/>
  <c r="W148" i="1"/>
  <c r="W155" i="1"/>
  <c r="V155" i="1"/>
  <c r="U155" i="1"/>
  <c r="X155" i="1"/>
  <c r="T155" i="1"/>
  <c r="W43" i="1"/>
  <c r="V43" i="1"/>
  <c r="U43" i="1"/>
  <c r="T43" i="1"/>
  <c r="X43" i="1"/>
  <c r="V57" i="1"/>
  <c r="U57" i="1"/>
  <c r="X57" i="1"/>
  <c r="W57" i="1"/>
  <c r="T57" i="1"/>
  <c r="X165" i="1"/>
  <c r="T165" i="1"/>
  <c r="W165" i="1"/>
  <c r="V165" i="1"/>
  <c r="U165" i="1"/>
  <c r="V167" i="1"/>
  <c r="U167" i="1"/>
  <c r="X167" i="1"/>
  <c r="T167" i="1"/>
  <c r="W167" i="1"/>
  <c r="V25" i="1"/>
  <c r="W25" i="1"/>
  <c r="U25" i="1"/>
  <c r="X25" i="1"/>
  <c r="T25" i="1"/>
  <c r="X21" i="1"/>
  <c r="T21" i="1"/>
  <c r="W21" i="1"/>
  <c r="V21" i="1"/>
  <c r="U21" i="1"/>
  <c r="X120" i="1"/>
  <c r="V120" i="1"/>
  <c r="W120" i="1"/>
  <c r="U120" i="1"/>
  <c r="U119" i="1"/>
  <c r="W119" i="1"/>
  <c r="X119" i="1"/>
  <c r="V119" i="1"/>
  <c r="V139" i="1"/>
  <c r="X139" i="1"/>
  <c r="U139" i="1"/>
  <c r="W139" i="1"/>
  <c r="U145" i="1"/>
  <c r="X145" i="1"/>
  <c r="W145" i="1"/>
  <c r="V145" i="1"/>
  <c r="V152" i="1"/>
  <c r="U152" i="1"/>
  <c r="X152" i="1"/>
  <c r="W152" i="1"/>
  <c r="U149" i="1"/>
  <c r="X149" i="1"/>
  <c r="T149" i="1"/>
  <c r="W149" i="1"/>
  <c r="V149" i="1"/>
  <c r="U45" i="1"/>
  <c r="X45" i="1"/>
  <c r="T45" i="1"/>
  <c r="V45" i="1"/>
  <c r="W45" i="1"/>
  <c r="V53" i="1"/>
  <c r="U53" i="1"/>
  <c r="T53" i="1"/>
  <c r="W53" i="1"/>
  <c r="X53" i="1"/>
  <c r="W138" i="1"/>
  <c r="U138" i="1"/>
  <c r="X138" i="1"/>
  <c r="V138" i="1"/>
  <c r="T138" i="1"/>
  <c r="X161" i="1"/>
  <c r="T161" i="1"/>
  <c r="W161" i="1"/>
  <c r="V161" i="1"/>
  <c r="U161" i="1"/>
  <c r="W14" i="1"/>
  <c r="V14" i="1"/>
  <c r="T14" i="1"/>
  <c r="U14" i="1"/>
  <c r="X14" i="1"/>
  <c r="V15" i="1"/>
  <c r="U15" i="1"/>
  <c r="W15" i="1"/>
  <c r="X15" i="1"/>
  <c r="X17" i="1"/>
  <c r="T17" i="1"/>
  <c r="W17" i="1"/>
  <c r="U17" i="1"/>
  <c r="V17" i="1"/>
  <c r="W22" i="1"/>
  <c r="V22" i="1"/>
  <c r="U22" i="1"/>
  <c r="X22" i="1"/>
  <c r="U123" i="1"/>
  <c r="W123" i="1"/>
  <c r="X123" i="1"/>
  <c r="V123" i="1"/>
  <c r="T123" i="1"/>
  <c r="X128" i="1"/>
  <c r="V128" i="1"/>
  <c r="W128" i="1"/>
  <c r="U128" i="1"/>
  <c r="X124" i="1"/>
  <c r="T124" i="1"/>
  <c r="V124" i="1"/>
  <c r="U124" i="1"/>
  <c r="W124" i="1"/>
  <c r="X141" i="1"/>
  <c r="W141" i="1"/>
  <c r="V141" i="1"/>
  <c r="U141" i="1"/>
  <c r="X146" i="1"/>
  <c r="W146" i="1"/>
  <c r="V146" i="1"/>
  <c r="U146" i="1"/>
  <c r="U153" i="1"/>
  <c r="X153" i="1"/>
  <c r="T153" i="1"/>
  <c r="W153" i="1"/>
  <c r="V153" i="1"/>
  <c r="X36" i="1"/>
  <c r="T36" i="1"/>
  <c r="W36" i="1"/>
  <c r="V36" i="1"/>
  <c r="U36" i="1"/>
  <c r="W47" i="1"/>
  <c r="V47" i="1"/>
  <c r="X47" i="1"/>
  <c r="U47" i="1"/>
  <c r="T47" i="1"/>
  <c r="W86" i="1"/>
  <c r="V86" i="1"/>
  <c r="U86" i="1"/>
  <c r="X86" i="1"/>
  <c r="T86" i="1"/>
  <c r="W134" i="1"/>
  <c r="U134" i="1"/>
  <c r="T134" i="1"/>
  <c r="X134" i="1"/>
  <c r="V134" i="1"/>
  <c r="W24" i="1"/>
  <c r="V24" i="1"/>
  <c r="U24" i="1"/>
  <c r="X24" i="1"/>
  <c r="U16" i="1"/>
  <c r="X16" i="1"/>
  <c r="W16" i="1"/>
  <c r="V16" i="1"/>
  <c r="W18" i="1"/>
  <c r="V18" i="1"/>
  <c r="X18" i="1"/>
  <c r="U18" i="1"/>
  <c r="T18" i="1"/>
  <c r="W125" i="1"/>
  <c r="U125" i="1"/>
  <c r="X125" i="1"/>
  <c r="V125" i="1"/>
  <c r="T125" i="1"/>
  <c r="W129" i="1"/>
  <c r="U129" i="1"/>
  <c r="T129" i="1"/>
  <c r="X129" i="1"/>
  <c r="V129" i="1"/>
  <c r="V135" i="1"/>
  <c r="X135" i="1"/>
  <c r="T135" i="1"/>
  <c r="W135" i="1"/>
  <c r="U135" i="1"/>
  <c r="W143" i="1"/>
  <c r="V143" i="1"/>
  <c r="U143" i="1"/>
  <c r="X143" i="1"/>
  <c r="T143" i="1"/>
  <c r="W147" i="1"/>
  <c r="V147" i="1"/>
  <c r="U147" i="1"/>
  <c r="X147" i="1"/>
  <c r="T147" i="1"/>
  <c r="X154" i="1"/>
  <c r="W154" i="1"/>
  <c r="V154" i="1"/>
  <c r="U154" i="1"/>
  <c r="X42" i="1"/>
  <c r="W42" i="1"/>
  <c r="U42" i="1"/>
  <c r="V42" i="1"/>
  <c r="V48" i="1"/>
  <c r="U48" i="1"/>
  <c r="X48" i="1"/>
  <c r="W48" i="1"/>
  <c r="V101" i="1"/>
  <c r="X101" i="1"/>
  <c r="T101" i="1"/>
  <c r="W101" i="1"/>
  <c r="U101" i="1"/>
  <c r="U157" i="1"/>
  <c r="X157" i="1"/>
  <c r="T157" i="1"/>
  <c r="W157" i="1"/>
  <c r="V157" i="1"/>
  <c r="AL157" i="1"/>
  <c r="AL165" i="1"/>
  <c r="AL161" i="1"/>
  <c r="AC103" i="24" l="1"/>
  <c r="AC102" i="24"/>
  <c r="AB103" i="24"/>
  <c r="AA103" i="24"/>
  <c r="AB102" i="24"/>
  <c r="AA102" i="24"/>
  <c r="AE103" i="24" l="1"/>
  <c r="AD102" i="24"/>
  <c r="AD103" i="24"/>
  <c r="AE102" i="24"/>
  <c r="AB15" i="24" l="1"/>
  <c r="AB24" i="24"/>
  <c r="AB36" i="24"/>
  <c r="AB50" i="24"/>
  <c r="AB72" i="24"/>
  <c r="AB85" i="24"/>
  <c r="AB88" i="24"/>
  <c r="AB108" i="24"/>
  <c r="AB120" i="24"/>
  <c r="AB134" i="24"/>
  <c r="AB153" i="24"/>
  <c r="AB168" i="24"/>
  <c r="AB181" i="24"/>
  <c r="AB195" i="24"/>
  <c r="AB209" i="24"/>
  <c r="AB223" i="24"/>
  <c r="AB237" i="24"/>
  <c r="AB251" i="24"/>
  <c r="AB265" i="24"/>
  <c r="AB279" i="24"/>
  <c r="AB293" i="24"/>
  <c r="AB307" i="24"/>
  <c r="AB321" i="24"/>
  <c r="AB335" i="24"/>
  <c r="AB350" i="24"/>
  <c r="AB364" i="24"/>
  <c r="AB379" i="24"/>
  <c r="AB394" i="24"/>
  <c r="AB409" i="24"/>
  <c r="AB424" i="24"/>
  <c r="AB439" i="24"/>
  <c r="AB454" i="24"/>
  <c r="AB469" i="24"/>
  <c r="AB484" i="24"/>
  <c r="AB497" i="24"/>
  <c r="AB510" i="24"/>
  <c r="AB524" i="24"/>
  <c r="AB537" i="24"/>
  <c r="AB552" i="24"/>
  <c r="AB567" i="24"/>
  <c r="AB582" i="24"/>
  <c r="AB597" i="24"/>
  <c r="AB612" i="24"/>
  <c r="AB627" i="24"/>
  <c r="AB642" i="24"/>
  <c r="AB657" i="24"/>
  <c r="AB672" i="24"/>
  <c r="AB686" i="24"/>
  <c r="AB700" i="24"/>
  <c r="AB714" i="24"/>
  <c r="AB728" i="24"/>
  <c r="AB742" i="24"/>
  <c r="AB756" i="24"/>
  <c r="AB770" i="24"/>
  <c r="AB25" i="24"/>
  <c r="AB37" i="24"/>
  <c r="AB51" i="24"/>
  <c r="AB67" i="24"/>
  <c r="AB73" i="24"/>
  <c r="AB86" i="24"/>
  <c r="AB89" i="24"/>
  <c r="AB109" i="24"/>
  <c r="AB121" i="24"/>
  <c r="AB135" i="24"/>
  <c r="AB154" i="24"/>
  <c r="AB169" i="24"/>
  <c r="AB182" i="24"/>
  <c r="AB196" i="24"/>
  <c r="AB210" i="24"/>
  <c r="AB224" i="24"/>
  <c r="AB238" i="24"/>
  <c r="AB252" i="24"/>
  <c r="AB266" i="24"/>
  <c r="AB280" i="24"/>
  <c r="AB294" i="24"/>
  <c r="AB308" i="24"/>
  <c r="AB322" i="24"/>
  <c r="AB336" i="24"/>
  <c r="AB351" i="24"/>
  <c r="AB365" i="24"/>
  <c r="AB380" i="24"/>
  <c r="AB395" i="24"/>
  <c r="AB410" i="24"/>
  <c r="AB425" i="24"/>
  <c r="AB440" i="24"/>
  <c r="AB455" i="24"/>
  <c r="AB470" i="24"/>
  <c r="AB511" i="24"/>
  <c r="AB538" i="24"/>
  <c r="AB553" i="24"/>
  <c r="AB568" i="24"/>
  <c r="AB583" i="24"/>
  <c r="AB598" i="24"/>
  <c r="AB613" i="24"/>
  <c r="AB628" i="24"/>
  <c r="AB643" i="24"/>
  <c r="AB658" i="24"/>
  <c r="AB673" i="24"/>
  <c r="AB687" i="24"/>
  <c r="AB701" i="24"/>
  <c r="AB715" i="24"/>
  <c r="AB729" i="24"/>
  <c r="AB743" i="24"/>
  <c r="AB757" i="24"/>
  <c r="AB771" i="24"/>
  <c r="AB26" i="24"/>
  <c r="AB38" i="24"/>
  <c r="AB52" i="24"/>
  <c r="AB74" i="24"/>
  <c r="AB90" i="24"/>
  <c r="AB110" i="24"/>
  <c r="AB122" i="24"/>
  <c r="AB136" i="24"/>
  <c r="AB155" i="24"/>
  <c r="AB170" i="24"/>
  <c r="AB183" i="24"/>
  <c r="AB197" i="24"/>
  <c r="AB211" i="24"/>
  <c r="AB225" i="24"/>
  <c r="AB239" i="24"/>
  <c r="AB253" i="24"/>
  <c r="AB267" i="24"/>
  <c r="AB281" i="24"/>
  <c r="AB295" i="24"/>
  <c r="AB309" i="24"/>
  <c r="AB323" i="24"/>
  <c r="AB337" i="24"/>
  <c r="AB352" i="24"/>
  <c r="AB366" i="24"/>
  <c r="AB381" i="24"/>
  <c r="AB396" i="24"/>
  <c r="AB411" i="24"/>
  <c r="AB426" i="24"/>
  <c r="AB441" i="24"/>
  <c r="AB456" i="24"/>
  <c r="AB471" i="24"/>
  <c r="AB485" i="24"/>
  <c r="AB498" i="24"/>
  <c r="AB512" i="24"/>
  <c r="AB525" i="24"/>
  <c r="AB539" i="24"/>
  <c r="AB554" i="24"/>
  <c r="AB569" i="24"/>
  <c r="AB584" i="24"/>
  <c r="AB599" i="24"/>
  <c r="AB614" i="24"/>
  <c r="AB629" i="24"/>
  <c r="AB644" i="24"/>
  <c r="AB659" i="24"/>
  <c r="AB674" i="24"/>
  <c r="AB688" i="24"/>
  <c r="AB702" i="24"/>
  <c r="AB716" i="24"/>
  <c r="AB730" i="24"/>
  <c r="AB744" i="24"/>
  <c r="AB758" i="24"/>
  <c r="AB772" i="24"/>
  <c r="AB16" i="24"/>
  <c r="AB27" i="24"/>
  <c r="AB39" i="24"/>
  <c r="AB53" i="24"/>
  <c r="AB75" i="24"/>
  <c r="AB91" i="24"/>
  <c r="AB111" i="24"/>
  <c r="AB123" i="24"/>
  <c r="AB137" i="24"/>
  <c r="AB147" i="24"/>
  <c r="AB156" i="24"/>
  <c r="AB171" i="24"/>
  <c r="AB184" i="24"/>
  <c r="AB198" i="24"/>
  <c r="AB212" i="24"/>
  <c r="AB226" i="24"/>
  <c r="AB240" i="24"/>
  <c r="AB254" i="24"/>
  <c r="AB268" i="24"/>
  <c r="AB282" i="24"/>
  <c r="AB296" i="24"/>
  <c r="AB310" i="24"/>
  <c r="AB324" i="24"/>
  <c r="AB338" i="24"/>
  <c r="AB353" i="24"/>
  <c r="AB367" i="24"/>
  <c r="AB382" i="24"/>
  <c r="AB397" i="24"/>
  <c r="AB412" i="24"/>
  <c r="AB427" i="24"/>
  <c r="AB442" i="24"/>
  <c r="AB457" i="24"/>
  <c r="AB472" i="24"/>
  <c r="AB486" i="24"/>
  <c r="AB499" i="24"/>
  <c r="AB513" i="24"/>
  <c r="AB526" i="24"/>
  <c r="AB540" i="24"/>
  <c r="AB555" i="24"/>
  <c r="AB570" i="24"/>
  <c r="AB585" i="24"/>
  <c r="AB600" i="24"/>
  <c r="AB615" i="24"/>
  <c r="AB630" i="24"/>
  <c r="AB645" i="24"/>
  <c r="AB660" i="24"/>
  <c r="AB675" i="24"/>
  <c r="AB689" i="24"/>
  <c r="AB703" i="24"/>
  <c r="AB717" i="24"/>
  <c r="AB731" i="24"/>
  <c r="AB745" i="24"/>
  <c r="AB759" i="24"/>
  <c r="AB773" i="24"/>
  <c r="AB17" i="24"/>
  <c r="AB28" i="24"/>
  <c r="AB40" i="24"/>
  <c r="AB54" i="24"/>
  <c r="AB68" i="24"/>
  <c r="AB76" i="24"/>
  <c r="AB92" i="24"/>
  <c r="AB112" i="24"/>
  <c r="AB124" i="24"/>
  <c r="AB138" i="24"/>
  <c r="AB148" i="24"/>
  <c r="AB157" i="24"/>
  <c r="AB172" i="24"/>
  <c r="AB185" i="24"/>
  <c r="AB199" i="24"/>
  <c r="AB213" i="24"/>
  <c r="AB227" i="24"/>
  <c r="AB241" i="24"/>
  <c r="AB255" i="24"/>
  <c r="AB269" i="24"/>
  <c r="AB283" i="24"/>
  <c r="AB297" i="24"/>
  <c r="AB311" i="24"/>
  <c r="AB325" i="24"/>
  <c r="AB339" i="24"/>
  <c r="AB354" i="24"/>
  <c r="AB368" i="24"/>
  <c r="AB383" i="24"/>
  <c r="AB398" i="24"/>
  <c r="AB413" i="24"/>
  <c r="AB428" i="24"/>
  <c r="AB443" i="24"/>
  <c r="AB458" i="24"/>
  <c r="AB473" i="24"/>
  <c r="AB487" i="24"/>
  <c r="AB500" i="24"/>
  <c r="AB514" i="24"/>
  <c r="AB527" i="24"/>
  <c r="AB541" i="24"/>
  <c r="AB556" i="24"/>
  <c r="AB571" i="24"/>
  <c r="AB586" i="24"/>
  <c r="AB601" i="24"/>
  <c r="AB616" i="24"/>
  <c r="AB631" i="24"/>
  <c r="AB646" i="24"/>
  <c r="AB661" i="24"/>
  <c r="AB676" i="24"/>
  <c r="AB690" i="24"/>
  <c r="AB704" i="24"/>
  <c r="AB718" i="24"/>
  <c r="AB732" i="24"/>
  <c r="AB746" i="24"/>
  <c r="AB760" i="24"/>
  <c r="AB774" i="24"/>
  <c r="AB18" i="24"/>
  <c r="AB41" i="24"/>
  <c r="AB42" i="24"/>
  <c r="AB63" i="24"/>
  <c r="AB64" i="24"/>
  <c r="AB77" i="24"/>
  <c r="AB93" i="24"/>
  <c r="AB94" i="24"/>
  <c r="AB125" i="24"/>
  <c r="AB126" i="24"/>
  <c r="AB158" i="24"/>
  <c r="AB159" i="24"/>
  <c r="AB173" i="24"/>
  <c r="AB186" i="24"/>
  <c r="AB187" i="24"/>
  <c r="AB19" i="24"/>
  <c r="AB29" i="24"/>
  <c r="AB43" i="24"/>
  <c r="AB55" i="24"/>
  <c r="AB65" i="24"/>
  <c r="AB78" i="24"/>
  <c r="AB87" i="24"/>
  <c r="AB95" i="24"/>
  <c r="AB113" i="24"/>
  <c r="AB127" i="24"/>
  <c r="AB139" i="24"/>
  <c r="AB149" i="24"/>
  <c r="AB160" i="24"/>
  <c r="AB174" i="24"/>
  <c r="AB188" i="24"/>
  <c r="AB200" i="24"/>
  <c r="AB214" i="24"/>
  <c r="AB228" i="24"/>
  <c r="AB242" i="24"/>
  <c r="AB256" i="24"/>
  <c r="AB270" i="24"/>
  <c r="AB284" i="24"/>
  <c r="AB298" i="24"/>
  <c r="AB312" i="24"/>
  <c r="AB326" i="24"/>
  <c r="AB340" i="24"/>
  <c r="AB355" i="24"/>
  <c r="AB369" i="24"/>
  <c r="AB384" i="24"/>
  <c r="AB399" i="24"/>
  <c r="AB414" i="24"/>
  <c r="AB429" i="24"/>
  <c r="AB444" i="24"/>
  <c r="AB459" i="24"/>
  <c r="AB474" i="24"/>
  <c r="AB488" i="24"/>
  <c r="AB501" i="24"/>
  <c r="AB515" i="24"/>
  <c r="AB528" i="24"/>
  <c r="AB542" i="24"/>
  <c r="AB557" i="24"/>
  <c r="AB572" i="24"/>
  <c r="AB587" i="24"/>
  <c r="AB602" i="24"/>
  <c r="AB617" i="24"/>
  <c r="AB632" i="24"/>
  <c r="AB647" i="24"/>
  <c r="AB662" i="24"/>
  <c r="AB677" i="24"/>
  <c r="AB691" i="24"/>
  <c r="AB705" i="24"/>
  <c r="AB719" i="24"/>
  <c r="AB733" i="24"/>
  <c r="AB747" i="24"/>
  <c r="AB761" i="24"/>
  <c r="AB775" i="24"/>
  <c r="AB20" i="24"/>
  <c r="AB30" i="24"/>
  <c r="AB44" i="24"/>
  <c r="AB56" i="24"/>
  <c r="AB57" i="24"/>
  <c r="AB79" i="24"/>
  <c r="AB96" i="24"/>
  <c r="AB114" i="24"/>
  <c r="AB128" i="24"/>
  <c r="AB140" i="24"/>
  <c r="AB141" i="24"/>
  <c r="AB161" i="24"/>
  <c r="AB175" i="24"/>
  <c r="AB189" i="24"/>
  <c r="AB201" i="24"/>
  <c r="AB341" i="24"/>
  <c r="AB356" i="24"/>
  <c r="AB370" i="24"/>
  <c r="AB385" i="24"/>
  <c r="AB400" i="24"/>
  <c r="AB415" i="24"/>
  <c r="AB430" i="24"/>
  <c r="AB445" i="24"/>
  <c r="AB460" i="24"/>
  <c r="AB475" i="24"/>
  <c r="AB489" i="24"/>
  <c r="AB502" i="24"/>
  <c r="AB516" i="24"/>
  <c r="AB529" i="24"/>
  <c r="AB543" i="24"/>
  <c r="AB558" i="24"/>
  <c r="AB573" i="24"/>
  <c r="AB588" i="24"/>
  <c r="AB603" i="24"/>
  <c r="AB618" i="24"/>
  <c r="AB633" i="24"/>
  <c r="AB648" i="24"/>
  <c r="AB663" i="24"/>
  <c r="AB678" i="24"/>
  <c r="AB720" i="24"/>
  <c r="AB734" i="24"/>
  <c r="AB748" i="24"/>
  <c r="AB762" i="24"/>
  <c r="AB776" i="24"/>
  <c r="AB21" i="24"/>
  <c r="AB31" i="24"/>
  <c r="AB45" i="24"/>
  <c r="AB58" i="24"/>
  <c r="AB66" i="24"/>
  <c r="AB80" i="24"/>
  <c r="AB97" i="24"/>
  <c r="AB115" i="24"/>
  <c r="AB129" i="24"/>
  <c r="AB142" i="24"/>
  <c r="AB150" i="24"/>
  <c r="AB162" i="24"/>
  <c r="AB176" i="24"/>
  <c r="AB190" i="24"/>
  <c r="AB202" i="24"/>
  <c r="AB203" i="24"/>
  <c r="AB204" i="24"/>
  <c r="AB215" i="24"/>
  <c r="AB216" i="24"/>
  <c r="AB217" i="24"/>
  <c r="AB229" i="24"/>
  <c r="AB230" i="24"/>
  <c r="AB231" i="24"/>
  <c r="AB243" i="24"/>
  <c r="AB244" i="24"/>
  <c r="AB245" i="24"/>
  <c r="AB257" i="24"/>
  <c r="AB258" i="24"/>
  <c r="AB259" i="24"/>
  <c r="AB271" i="24"/>
  <c r="AB272" i="24"/>
  <c r="AB273" i="24"/>
  <c r="AB285" i="24"/>
  <c r="AB286" i="24"/>
  <c r="AB287" i="24"/>
  <c r="AB299" i="24"/>
  <c r="AB300" i="24"/>
  <c r="AB301" i="24"/>
  <c r="AB313" i="24"/>
  <c r="AB314" i="24"/>
  <c r="AB315" i="24"/>
  <c r="AB327" i="24"/>
  <c r="AB328" i="24"/>
  <c r="AB329" i="24"/>
  <c r="AB342" i="24"/>
  <c r="AB343" i="24"/>
  <c r="AB344" i="24"/>
  <c r="AB357" i="24"/>
  <c r="AB358" i="24"/>
  <c r="AB359" i="24"/>
  <c r="AB371" i="24"/>
  <c r="AB372" i="24"/>
  <c r="AB373" i="24"/>
  <c r="AB386" i="24"/>
  <c r="AB387" i="24"/>
  <c r="AB388" i="24"/>
  <c r="AB401" i="24"/>
  <c r="AB402" i="24"/>
  <c r="AB403" i="24"/>
  <c r="AB416" i="24"/>
  <c r="AB417" i="24"/>
  <c r="AB418" i="24"/>
  <c r="AB431" i="24"/>
  <c r="AB432" i="24"/>
  <c r="AB433" i="24"/>
  <c r="AB446" i="24"/>
  <c r="AB447" i="24"/>
  <c r="AB448" i="24"/>
  <c r="AB461" i="24"/>
  <c r="AB462" i="24"/>
  <c r="AB463" i="24"/>
  <c r="AB476" i="24"/>
  <c r="AB477" i="24"/>
  <c r="AB478" i="24"/>
  <c r="AB490" i="24"/>
  <c r="AB491" i="24"/>
  <c r="AB503" i="24"/>
  <c r="AB504" i="24"/>
  <c r="AB517" i="24"/>
  <c r="AB518" i="24"/>
  <c r="AB519" i="24"/>
  <c r="AB530" i="24"/>
  <c r="AB531" i="24"/>
  <c r="AB544" i="24"/>
  <c r="AB545" i="24"/>
  <c r="AB546" i="24"/>
  <c r="AB559" i="24"/>
  <c r="AB560" i="24"/>
  <c r="AB561" i="24"/>
  <c r="AB574" i="24"/>
  <c r="AB575" i="24"/>
  <c r="AB576" i="24"/>
  <c r="AB589" i="24"/>
  <c r="AB590" i="24"/>
  <c r="AB591" i="24"/>
  <c r="AB604" i="24"/>
  <c r="AB605" i="24"/>
  <c r="AB606" i="24"/>
  <c r="AB619" i="24"/>
  <c r="AB620" i="24"/>
  <c r="AB621" i="24"/>
  <c r="AB634" i="24"/>
  <c r="AB635" i="24"/>
  <c r="AB636" i="24"/>
  <c r="AB649" i="24"/>
  <c r="AB650" i="24"/>
  <c r="AB651" i="24"/>
  <c r="AB664" i="24"/>
  <c r="AB665" i="24"/>
  <c r="AB666" i="24"/>
  <c r="AB679" i="24"/>
  <c r="AB680" i="24"/>
  <c r="AB681" i="24"/>
  <c r="AB692" i="24"/>
  <c r="AB693" i="24"/>
  <c r="AB694" i="24"/>
  <c r="AB706" i="24"/>
  <c r="AB707" i="24"/>
  <c r="AB708" i="24"/>
  <c r="AB721" i="24"/>
  <c r="AB722" i="24"/>
  <c r="AB723" i="24"/>
  <c r="AB735" i="24"/>
  <c r="AB736" i="24"/>
  <c r="AB737" i="24"/>
  <c r="AB749" i="24"/>
  <c r="AB750" i="24"/>
  <c r="AB751" i="24"/>
  <c r="AB763" i="24"/>
  <c r="AB764" i="24"/>
  <c r="AB765" i="24"/>
  <c r="AB777" i="24"/>
  <c r="AB778" i="24"/>
  <c r="AB779" i="24"/>
  <c r="AB22" i="24"/>
  <c r="AB32" i="24"/>
  <c r="AB46" i="24"/>
  <c r="AB59" i="24"/>
  <c r="AB81" i="24"/>
  <c r="AB98" i="24"/>
  <c r="AB116" i="24"/>
  <c r="AB130" i="24"/>
  <c r="AB143" i="24"/>
  <c r="AB151" i="24"/>
  <c r="AB163" i="24"/>
  <c r="AB177" i="24"/>
  <c r="AB191" i="24"/>
  <c r="AB218" i="24"/>
  <c r="AB232" i="24"/>
  <c r="AB246" i="24"/>
  <c r="AB260" i="24"/>
  <c r="AB274" i="24"/>
  <c r="AB288" i="24"/>
  <c r="AB302" i="24"/>
  <c r="AB316" i="24"/>
  <c r="AB330" i="24"/>
  <c r="AB345" i="24"/>
  <c r="AB374" i="24"/>
  <c r="AB389" i="24"/>
  <c r="AB404" i="24"/>
  <c r="AB419" i="24"/>
  <c r="AB434" i="24"/>
  <c r="AB449" i="24"/>
  <c r="AB464" i="24"/>
  <c r="AB479" i="24"/>
  <c r="AB492" i="24"/>
  <c r="AB505" i="24"/>
  <c r="AB532" i="24"/>
  <c r="AB547" i="24"/>
  <c r="AB562" i="24"/>
  <c r="AB577" i="24"/>
  <c r="AB592" i="24"/>
  <c r="AB607" i="24"/>
  <c r="AB622" i="24"/>
  <c r="AB637" i="24"/>
  <c r="AB652" i="24"/>
  <c r="AB667" i="24"/>
  <c r="AB695" i="24"/>
  <c r="AB709" i="24"/>
  <c r="AB23" i="24"/>
  <c r="AB33" i="24"/>
  <c r="AB47" i="24"/>
  <c r="AB60" i="24"/>
  <c r="AB69" i="24"/>
  <c r="AB70" i="24"/>
  <c r="AB71" i="24"/>
  <c r="AB82" i="24"/>
  <c r="AB99" i="24"/>
  <c r="AB117" i="24"/>
  <c r="AB131" i="24"/>
  <c r="AB144" i="24"/>
  <c r="AB152" i="24"/>
  <c r="AB164" i="24"/>
  <c r="AB178" i="24"/>
  <c r="AB192" i="24"/>
  <c r="AB205" i="24"/>
  <c r="AB219" i="24"/>
  <c r="AB233" i="24"/>
  <c r="AB247" i="24"/>
  <c r="AB261" i="24"/>
  <c r="AB275" i="24"/>
  <c r="AB289" i="24"/>
  <c r="AB303" i="24"/>
  <c r="AB317" i="24"/>
  <c r="AB331" i="24"/>
  <c r="AB346" i="24"/>
  <c r="AB360" i="24"/>
  <c r="AB375" i="24"/>
  <c r="AB390" i="24"/>
  <c r="AB405" i="24"/>
  <c r="AB420" i="24"/>
  <c r="AB435" i="24"/>
  <c r="AB450" i="24"/>
  <c r="AB465" i="24"/>
  <c r="AB480" i="24"/>
  <c r="AB493" i="24"/>
  <c r="AB506" i="24"/>
  <c r="AB520" i="24"/>
  <c r="AB533" i="24"/>
  <c r="AB548" i="24"/>
  <c r="AB563" i="24"/>
  <c r="AB578" i="24"/>
  <c r="AB593" i="24"/>
  <c r="AB608" i="24"/>
  <c r="AB623" i="24"/>
  <c r="AB638" i="24"/>
  <c r="AB653" i="24"/>
  <c r="AB668" i="24"/>
  <c r="AB682" i="24"/>
  <c r="AB696" i="24"/>
  <c r="AB710" i="24"/>
  <c r="AB724" i="24"/>
  <c r="AB738" i="24"/>
  <c r="AB752" i="24"/>
  <c r="AB766" i="24"/>
  <c r="AB780" i="24"/>
  <c r="AB34" i="24"/>
  <c r="AB48" i="24"/>
  <c r="AB61" i="24"/>
  <c r="AB83" i="24"/>
  <c r="AB100" i="24"/>
  <c r="AB118" i="24"/>
  <c r="AB132" i="24"/>
  <c r="AB145" i="24"/>
  <c r="AB165" i="24"/>
  <c r="AB179" i="24"/>
  <c r="AB193" i="24"/>
  <c r="AB206" i="24"/>
  <c r="AB220" i="24"/>
  <c r="AB234" i="24"/>
  <c r="AB248" i="24"/>
  <c r="AB262" i="24"/>
  <c r="AB276" i="24"/>
  <c r="AB290" i="24"/>
  <c r="AB304" i="24"/>
  <c r="AB318" i="24"/>
  <c r="AB332" i="24"/>
  <c r="AB347" i="24"/>
  <c r="AB361" i="24"/>
  <c r="AB376" i="24"/>
  <c r="AB391" i="24"/>
  <c r="AB406" i="24"/>
  <c r="AB421" i="24"/>
  <c r="AB436" i="24"/>
  <c r="AB451" i="24"/>
  <c r="AB466" i="24"/>
  <c r="AB481" i="24"/>
  <c r="AB494" i="24"/>
  <c r="AB507" i="24"/>
  <c r="AB521" i="24"/>
  <c r="AB534" i="24"/>
  <c r="AB549" i="24"/>
  <c r="AB564" i="24"/>
  <c r="AB579" i="24"/>
  <c r="AB594" i="24"/>
  <c r="AB609" i="24"/>
  <c r="AB624" i="24"/>
  <c r="AB639" i="24"/>
  <c r="AB654" i="24"/>
  <c r="AB669" i="24"/>
  <c r="AB683" i="24"/>
  <c r="AB697" i="24"/>
  <c r="AB711" i="24"/>
  <c r="AB725" i="24"/>
  <c r="AB739" i="24"/>
  <c r="AB753" i="24"/>
  <c r="AB767" i="24"/>
  <c r="AB781" i="24"/>
  <c r="AB35" i="24"/>
  <c r="AB49" i="24"/>
  <c r="AB62" i="24"/>
  <c r="AB84" i="24"/>
  <c r="AB101" i="24"/>
  <c r="AB119" i="24"/>
  <c r="AB133" i="24"/>
  <c r="AB146" i="24"/>
  <c r="AB166" i="24"/>
  <c r="AB180" i="24"/>
  <c r="AB194" i="24"/>
  <c r="AB207" i="24"/>
  <c r="AB208" i="24"/>
  <c r="AB221" i="24"/>
  <c r="AB222" i="24"/>
  <c r="AB235" i="24"/>
  <c r="AB236" i="24"/>
  <c r="AB249" i="24"/>
  <c r="AB250" i="24"/>
  <c r="AB263" i="24"/>
  <c r="AB264" i="24"/>
  <c r="AB277" i="24"/>
  <c r="AB278" i="24"/>
  <c r="AB291" i="24"/>
  <c r="AB292" i="24"/>
  <c r="AB305" i="24"/>
  <c r="AB306" i="24"/>
  <c r="AB319" i="24"/>
  <c r="AB320" i="24"/>
  <c r="AB333" i="24"/>
  <c r="AB334" i="24"/>
  <c r="AB348" i="24"/>
  <c r="AB349" i="24"/>
  <c r="AB362" i="24"/>
  <c r="AB363" i="24"/>
  <c r="AB377" i="24"/>
  <c r="AB378" i="24"/>
  <c r="AB392" i="24"/>
  <c r="AB393" i="24"/>
  <c r="AB407" i="24"/>
  <c r="AB408" i="24"/>
  <c r="AB422" i="24"/>
  <c r="AB423" i="24"/>
  <c r="AB437" i="24"/>
  <c r="AB438" i="24"/>
  <c r="AB452" i="24"/>
  <c r="AB453" i="24"/>
  <c r="AB467" i="24"/>
  <c r="AB468" i="24"/>
  <c r="AB482" i="24"/>
  <c r="AB483" i="24"/>
  <c r="AB495" i="24"/>
  <c r="AB496" i="24"/>
  <c r="AB508" i="24"/>
  <c r="AB509" i="24"/>
  <c r="AB522" i="24"/>
  <c r="AB523" i="24"/>
  <c r="AB535" i="24"/>
  <c r="AB536" i="24"/>
  <c r="AB550" i="24"/>
  <c r="AB551" i="24"/>
  <c r="AB565" i="24"/>
  <c r="AB566" i="24"/>
  <c r="AB580" i="24"/>
  <c r="AB581" i="24"/>
  <c r="AB595" i="24"/>
  <c r="AB596" i="24"/>
  <c r="AB610" i="24"/>
  <c r="AB611" i="24"/>
  <c r="AB625" i="24"/>
  <c r="AB626" i="24"/>
  <c r="AB640" i="24"/>
  <c r="AB641" i="24"/>
  <c r="AB655" i="24"/>
  <c r="AB656" i="24"/>
  <c r="AB670" i="24"/>
  <c r="AB671" i="24"/>
  <c r="AB684" i="24"/>
  <c r="AB685" i="24"/>
  <c r="AB698" i="24"/>
  <c r="AB699" i="24"/>
  <c r="AB712" i="24"/>
  <c r="AB713" i="24"/>
  <c r="AB726" i="24"/>
  <c r="AB727" i="24"/>
  <c r="AB740" i="24"/>
  <c r="AB741" i="24"/>
  <c r="AB754" i="24"/>
  <c r="AB755" i="24"/>
  <c r="AB768" i="24"/>
  <c r="AB769" i="24"/>
  <c r="AB782" i="24"/>
  <c r="AB783" i="24"/>
  <c r="AB167" i="24"/>
  <c r="AB104" i="24"/>
  <c r="AB105" i="24"/>
  <c r="AB106" i="24"/>
  <c r="AB107" i="24"/>
  <c r="AA15" i="24"/>
  <c r="AA24" i="24"/>
  <c r="AA36" i="24"/>
  <c r="AA50" i="24"/>
  <c r="AA72" i="24"/>
  <c r="AA85" i="24"/>
  <c r="AA88" i="24"/>
  <c r="AA108" i="24"/>
  <c r="AA120" i="24"/>
  <c r="AA134" i="24"/>
  <c r="AA153" i="24"/>
  <c r="AA168" i="24"/>
  <c r="AA181" i="24"/>
  <c r="AA195" i="24"/>
  <c r="AA209" i="24"/>
  <c r="AA223" i="24"/>
  <c r="AA237" i="24"/>
  <c r="AA251" i="24"/>
  <c r="AA265" i="24"/>
  <c r="AA279" i="24"/>
  <c r="AA293" i="24"/>
  <c r="AA307" i="24"/>
  <c r="AA321" i="24"/>
  <c r="AA335" i="24"/>
  <c r="AA350" i="24"/>
  <c r="AA364" i="24"/>
  <c r="AA379" i="24"/>
  <c r="AA394" i="24"/>
  <c r="AA409" i="24"/>
  <c r="AA424" i="24"/>
  <c r="AA439" i="24"/>
  <c r="AA454" i="24"/>
  <c r="AA469" i="24"/>
  <c r="AA484" i="24"/>
  <c r="AA497" i="24"/>
  <c r="AA510" i="24"/>
  <c r="AA524" i="24"/>
  <c r="AA537" i="24"/>
  <c r="AA552" i="24"/>
  <c r="AA567" i="24"/>
  <c r="AA582" i="24"/>
  <c r="AA597" i="24"/>
  <c r="AA612" i="24"/>
  <c r="AA627" i="24"/>
  <c r="AA642" i="24"/>
  <c r="AA657" i="24"/>
  <c r="AA672" i="24"/>
  <c r="AA686" i="24"/>
  <c r="AA700" i="24"/>
  <c r="AA714" i="24"/>
  <c r="AA728" i="24"/>
  <c r="AA742" i="24"/>
  <c r="AA756" i="24"/>
  <c r="AA770" i="24"/>
  <c r="AA25" i="24"/>
  <c r="AA37" i="24"/>
  <c r="AA51" i="24"/>
  <c r="AA67" i="24"/>
  <c r="AA73" i="24"/>
  <c r="AA86" i="24"/>
  <c r="AA89" i="24"/>
  <c r="AA109" i="24"/>
  <c r="AA121" i="24"/>
  <c r="AA135" i="24"/>
  <c r="AA154" i="24"/>
  <c r="AA169" i="24"/>
  <c r="AA182" i="24"/>
  <c r="AA196" i="24"/>
  <c r="AA210" i="24"/>
  <c r="AA224" i="24"/>
  <c r="AA238" i="24"/>
  <c r="AA252" i="24"/>
  <c r="AA266" i="24"/>
  <c r="AA280" i="24"/>
  <c r="AA294" i="24"/>
  <c r="AA308" i="24"/>
  <c r="AA322" i="24"/>
  <c r="AA336" i="24"/>
  <c r="AA351" i="24"/>
  <c r="AA365" i="24"/>
  <c r="AA380" i="24"/>
  <c r="AA395" i="24"/>
  <c r="AA410" i="24"/>
  <c r="AA425" i="24"/>
  <c r="AA440" i="24"/>
  <c r="AA455" i="24"/>
  <c r="AA470" i="24"/>
  <c r="AA511" i="24"/>
  <c r="AA538" i="24"/>
  <c r="AA553" i="24"/>
  <c r="AA568" i="24"/>
  <c r="AA583" i="24"/>
  <c r="AA598" i="24"/>
  <c r="AA613" i="24"/>
  <c r="AA628" i="24"/>
  <c r="AA643" i="24"/>
  <c r="AA658" i="24"/>
  <c r="AA673" i="24"/>
  <c r="AA687" i="24"/>
  <c r="AA701" i="24"/>
  <c r="AA715" i="24"/>
  <c r="AA729" i="24"/>
  <c r="AA743" i="24"/>
  <c r="AA757" i="24"/>
  <c r="AA771" i="24"/>
  <c r="AA26" i="24"/>
  <c r="AA38" i="24"/>
  <c r="AA52" i="24"/>
  <c r="AA74" i="24"/>
  <c r="AA90" i="24"/>
  <c r="AA110" i="24"/>
  <c r="AA122" i="24"/>
  <c r="AA136" i="24"/>
  <c r="AA155" i="24"/>
  <c r="AA170" i="24"/>
  <c r="AA183" i="24"/>
  <c r="AA197" i="24"/>
  <c r="AA211" i="24"/>
  <c r="AA225" i="24"/>
  <c r="AA239" i="24"/>
  <c r="AA253" i="24"/>
  <c r="AA267" i="24"/>
  <c r="AA281" i="24"/>
  <c r="AA295" i="24"/>
  <c r="AA309" i="24"/>
  <c r="AA323" i="24"/>
  <c r="AA337" i="24"/>
  <c r="AA352" i="24"/>
  <c r="AA366" i="24"/>
  <c r="AA381" i="24"/>
  <c r="AA396" i="24"/>
  <c r="AA411" i="24"/>
  <c r="AA426" i="24"/>
  <c r="AA441" i="24"/>
  <c r="AA456" i="24"/>
  <c r="AA471" i="24"/>
  <c r="AA485" i="24"/>
  <c r="AA498" i="24"/>
  <c r="AA512" i="24"/>
  <c r="AA525" i="24"/>
  <c r="AA539" i="24"/>
  <c r="AA554" i="24"/>
  <c r="AA569" i="24"/>
  <c r="AA584" i="24"/>
  <c r="AA599" i="24"/>
  <c r="AA614" i="24"/>
  <c r="AA629" i="24"/>
  <c r="AA644" i="24"/>
  <c r="AA659" i="24"/>
  <c r="AA674" i="24"/>
  <c r="AA688" i="24"/>
  <c r="AA702" i="24"/>
  <c r="AA716" i="24"/>
  <c r="AA730" i="24"/>
  <c r="AA744" i="24"/>
  <c r="AA758" i="24"/>
  <c r="AA772" i="24"/>
  <c r="AA16" i="24"/>
  <c r="AA27" i="24"/>
  <c r="AA39" i="24"/>
  <c r="AA53" i="24"/>
  <c r="AA75" i="24"/>
  <c r="AA91" i="24"/>
  <c r="AA111" i="24"/>
  <c r="AA123" i="24"/>
  <c r="AA137" i="24"/>
  <c r="AA147" i="24"/>
  <c r="AA156" i="24"/>
  <c r="AA171" i="24"/>
  <c r="AA184" i="24"/>
  <c r="AA198" i="24"/>
  <c r="AA212" i="24"/>
  <c r="AA226" i="24"/>
  <c r="AA240" i="24"/>
  <c r="AA254" i="24"/>
  <c r="AA268" i="24"/>
  <c r="AA282" i="24"/>
  <c r="AA296" i="24"/>
  <c r="AA310" i="24"/>
  <c r="AA324" i="24"/>
  <c r="AA338" i="24"/>
  <c r="AA353" i="24"/>
  <c r="AA367" i="24"/>
  <c r="AA382" i="24"/>
  <c r="AA397" i="24"/>
  <c r="AA412" i="24"/>
  <c r="AA427" i="24"/>
  <c r="AA442" i="24"/>
  <c r="AA457" i="24"/>
  <c r="AA472" i="24"/>
  <c r="AA486" i="24"/>
  <c r="AA499" i="24"/>
  <c r="AA513" i="24"/>
  <c r="AA526" i="24"/>
  <c r="AA540" i="24"/>
  <c r="AA555" i="24"/>
  <c r="AA570" i="24"/>
  <c r="AA585" i="24"/>
  <c r="AA600" i="24"/>
  <c r="AA615" i="24"/>
  <c r="AA630" i="24"/>
  <c r="AA645" i="24"/>
  <c r="AA660" i="24"/>
  <c r="AA675" i="24"/>
  <c r="AA689" i="24"/>
  <c r="AA703" i="24"/>
  <c r="AA717" i="24"/>
  <c r="AA731" i="24"/>
  <c r="AA745" i="24"/>
  <c r="AA759" i="24"/>
  <c r="AA773" i="24"/>
  <c r="AA17" i="24"/>
  <c r="AA28" i="24"/>
  <c r="AA40" i="24"/>
  <c r="AA54" i="24"/>
  <c r="AA68" i="24"/>
  <c r="AA76" i="24"/>
  <c r="AA92" i="24"/>
  <c r="AA112" i="24"/>
  <c r="AA124" i="24"/>
  <c r="AA138" i="24"/>
  <c r="AA148" i="24"/>
  <c r="AA157" i="24"/>
  <c r="AA172" i="24"/>
  <c r="AA185" i="24"/>
  <c r="AA199" i="24"/>
  <c r="AA213" i="24"/>
  <c r="AA227" i="24"/>
  <c r="AA241" i="24"/>
  <c r="AA255" i="24"/>
  <c r="AA269" i="24"/>
  <c r="AA283" i="24"/>
  <c r="AA297" i="24"/>
  <c r="AA311" i="24"/>
  <c r="AA325" i="24"/>
  <c r="AA339" i="24"/>
  <c r="AA354" i="24"/>
  <c r="AA368" i="24"/>
  <c r="AA383" i="24"/>
  <c r="AA398" i="24"/>
  <c r="AA413" i="24"/>
  <c r="AA428" i="24"/>
  <c r="AA443" i="24"/>
  <c r="AA458" i="24"/>
  <c r="AA473" i="24"/>
  <c r="AA487" i="24"/>
  <c r="AA500" i="24"/>
  <c r="AA514" i="24"/>
  <c r="AA527" i="24"/>
  <c r="AA541" i="24"/>
  <c r="AA556" i="24"/>
  <c r="AA571" i="24"/>
  <c r="AA586" i="24"/>
  <c r="AA601" i="24"/>
  <c r="AA616" i="24"/>
  <c r="AA631" i="24"/>
  <c r="AA646" i="24"/>
  <c r="AA661" i="24"/>
  <c r="AA676" i="24"/>
  <c r="AA690" i="24"/>
  <c r="AA704" i="24"/>
  <c r="AA718" i="24"/>
  <c r="AA732" i="24"/>
  <c r="AA746" i="24"/>
  <c r="AA760" i="24"/>
  <c r="AA774" i="24"/>
  <c r="AA18" i="24"/>
  <c r="AA41" i="24"/>
  <c r="AA42" i="24"/>
  <c r="AA63" i="24"/>
  <c r="AA64" i="24"/>
  <c r="AA77" i="24"/>
  <c r="AA93" i="24"/>
  <c r="AA94" i="24"/>
  <c r="AA125" i="24"/>
  <c r="AA126" i="24"/>
  <c r="AA158" i="24"/>
  <c r="AA159" i="24"/>
  <c r="AA173" i="24"/>
  <c r="AA186" i="24"/>
  <c r="AA187" i="24"/>
  <c r="AA19" i="24"/>
  <c r="AA29" i="24"/>
  <c r="AA43" i="24"/>
  <c r="AA55" i="24"/>
  <c r="AA65" i="24"/>
  <c r="AA78" i="24"/>
  <c r="AA87" i="24"/>
  <c r="AA95" i="24"/>
  <c r="AA113" i="24"/>
  <c r="AA127" i="24"/>
  <c r="AA139" i="24"/>
  <c r="AA149" i="24"/>
  <c r="AA160" i="24"/>
  <c r="AA174" i="24"/>
  <c r="AA188" i="24"/>
  <c r="AA200" i="24"/>
  <c r="AA214" i="24"/>
  <c r="AA228" i="24"/>
  <c r="AA242" i="24"/>
  <c r="AA256" i="24"/>
  <c r="AA270" i="24"/>
  <c r="AA284" i="24"/>
  <c r="AA298" i="24"/>
  <c r="AA312" i="24"/>
  <c r="AA326" i="24"/>
  <c r="AA340" i="24"/>
  <c r="AA355" i="24"/>
  <c r="AA369" i="24"/>
  <c r="AA384" i="24"/>
  <c r="AA399" i="24"/>
  <c r="AA414" i="24"/>
  <c r="AA429" i="24"/>
  <c r="AA444" i="24"/>
  <c r="AA459" i="24"/>
  <c r="AA474" i="24"/>
  <c r="AA488" i="24"/>
  <c r="AA501" i="24"/>
  <c r="AA515" i="24"/>
  <c r="AA528" i="24"/>
  <c r="AA542" i="24"/>
  <c r="AA557" i="24"/>
  <c r="AA572" i="24"/>
  <c r="AA587" i="24"/>
  <c r="AA602" i="24"/>
  <c r="AA617" i="24"/>
  <c r="AA632" i="24"/>
  <c r="AA647" i="24"/>
  <c r="AA662" i="24"/>
  <c r="AA677" i="24"/>
  <c r="AA691" i="24"/>
  <c r="AA705" i="24"/>
  <c r="AA719" i="24"/>
  <c r="AA733" i="24"/>
  <c r="AA747" i="24"/>
  <c r="AA761" i="24"/>
  <c r="AA775" i="24"/>
  <c r="AA20" i="24"/>
  <c r="AA30" i="24"/>
  <c r="AA44" i="24"/>
  <c r="AA56" i="24"/>
  <c r="AA57" i="24"/>
  <c r="AA79" i="24"/>
  <c r="AA96" i="24"/>
  <c r="AA114" i="24"/>
  <c r="AA128" i="24"/>
  <c r="AA140" i="24"/>
  <c r="AA141" i="24"/>
  <c r="AA161" i="24"/>
  <c r="AA175" i="24"/>
  <c r="AA189" i="24"/>
  <c r="AA201" i="24"/>
  <c r="AA341" i="24"/>
  <c r="AA356" i="24"/>
  <c r="AA370" i="24"/>
  <c r="AA385" i="24"/>
  <c r="AA400" i="24"/>
  <c r="AA415" i="24"/>
  <c r="AA430" i="24"/>
  <c r="AA445" i="24"/>
  <c r="AA460" i="24"/>
  <c r="AA475" i="24"/>
  <c r="AA489" i="24"/>
  <c r="AA502" i="24"/>
  <c r="AA516" i="24"/>
  <c r="AA529" i="24"/>
  <c r="AA543" i="24"/>
  <c r="AA558" i="24"/>
  <c r="AA573" i="24"/>
  <c r="AA588" i="24"/>
  <c r="AA603" i="24"/>
  <c r="AA618" i="24"/>
  <c r="AA633" i="24"/>
  <c r="AA648" i="24"/>
  <c r="AA663" i="24"/>
  <c r="AA678" i="24"/>
  <c r="AA720" i="24"/>
  <c r="AA734" i="24"/>
  <c r="AA748" i="24"/>
  <c r="AA762" i="24"/>
  <c r="AA776" i="24"/>
  <c r="AA21" i="24"/>
  <c r="AA31" i="24"/>
  <c r="AA45" i="24"/>
  <c r="AA58" i="24"/>
  <c r="AA66" i="24"/>
  <c r="AA80" i="24"/>
  <c r="AA97" i="24"/>
  <c r="AA115" i="24"/>
  <c r="AA129" i="24"/>
  <c r="AA142" i="24"/>
  <c r="AA150" i="24"/>
  <c r="AA162" i="24"/>
  <c r="AA176" i="24"/>
  <c r="AA190" i="24"/>
  <c r="AA202" i="24"/>
  <c r="AA203" i="24"/>
  <c r="AA204" i="24"/>
  <c r="AA215" i="24"/>
  <c r="AA216" i="24"/>
  <c r="AA217" i="24"/>
  <c r="AA229" i="24"/>
  <c r="AA230" i="24"/>
  <c r="AA231" i="24"/>
  <c r="AA243" i="24"/>
  <c r="AA244" i="24"/>
  <c r="AA245" i="24"/>
  <c r="AA257" i="24"/>
  <c r="AA258" i="24"/>
  <c r="AA259" i="24"/>
  <c r="AA271" i="24"/>
  <c r="AA272" i="24"/>
  <c r="AA273" i="24"/>
  <c r="AA285" i="24"/>
  <c r="AA286" i="24"/>
  <c r="AA287" i="24"/>
  <c r="AA299" i="24"/>
  <c r="AA300" i="24"/>
  <c r="AA301" i="24"/>
  <c r="AA313" i="24"/>
  <c r="AA314" i="24"/>
  <c r="AA315" i="24"/>
  <c r="AA327" i="24"/>
  <c r="AA328" i="24"/>
  <c r="AA329" i="24"/>
  <c r="AA342" i="24"/>
  <c r="AA343" i="24"/>
  <c r="AA344" i="24"/>
  <c r="AA357" i="24"/>
  <c r="AA358" i="24"/>
  <c r="AA359" i="24"/>
  <c r="AA371" i="24"/>
  <c r="AA372" i="24"/>
  <c r="AA373" i="24"/>
  <c r="AA386" i="24"/>
  <c r="AA387" i="24"/>
  <c r="AA388" i="24"/>
  <c r="AA401" i="24"/>
  <c r="AA402" i="24"/>
  <c r="AA403" i="24"/>
  <c r="AA416" i="24"/>
  <c r="AA417" i="24"/>
  <c r="AA418" i="24"/>
  <c r="AA431" i="24"/>
  <c r="AA432" i="24"/>
  <c r="AA433" i="24"/>
  <c r="AA446" i="24"/>
  <c r="AA447" i="24"/>
  <c r="AA448" i="24"/>
  <c r="AA461" i="24"/>
  <c r="AA462" i="24"/>
  <c r="AA463" i="24"/>
  <c r="AA476" i="24"/>
  <c r="AA477" i="24"/>
  <c r="AA478" i="24"/>
  <c r="AA490" i="24"/>
  <c r="AA491" i="24"/>
  <c r="AA503" i="24"/>
  <c r="AA504" i="24"/>
  <c r="AA517" i="24"/>
  <c r="AA518" i="24"/>
  <c r="AA519" i="24"/>
  <c r="AA530" i="24"/>
  <c r="AA531" i="24"/>
  <c r="AA544" i="24"/>
  <c r="AA545" i="24"/>
  <c r="AA546" i="24"/>
  <c r="AA559" i="24"/>
  <c r="AA560" i="24"/>
  <c r="AA561" i="24"/>
  <c r="AA574" i="24"/>
  <c r="AA575" i="24"/>
  <c r="AA576" i="24"/>
  <c r="AA589" i="24"/>
  <c r="AA590" i="24"/>
  <c r="AA591" i="24"/>
  <c r="AA604" i="24"/>
  <c r="AA605" i="24"/>
  <c r="AA606" i="24"/>
  <c r="AA619" i="24"/>
  <c r="AA620" i="24"/>
  <c r="AA621" i="24"/>
  <c r="AA634" i="24"/>
  <c r="AA635" i="24"/>
  <c r="AA636" i="24"/>
  <c r="AA649" i="24"/>
  <c r="AA650" i="24"/>
  <c r="AA651" i="24"/>
  <c r="AA664" i="24"/>
  <c r="AA665" i="24"/>
  <c r="AA666" i="24"/>
  <c r="AA679" i="24"/>
  <c r="AA680" i="24"/>
  <c r="AA681" i="24"/>
  <c r="AA692" i="24"/>
  <c r="AA693" i="24"/>
  <c r="AA694" i="24"/>
  <c r="AA706" i="24"/>
  <c r="AA707" i="24"/>
  <c r="AA708" i="24"/>
  <c r="AA721" i="24"/>
  <c r="AA722" i="24"/>
  <c r="AA723" i="24"/>
  <c r="AA735" i="24"/>
  <c r="AA736" i="24"/>
  <c r="AA737" i="24"/>
  <c r="AA749" i="24"/>
  <c r="AA750" i="24"/>
  <c r="AA751" i="24"/>
  <c r="AA763" i="24"/>
  <c r="AA764" i="24"/>
  <c r="AA765" i="24"/>
  <c r="AA777" i="24"/>
  <c r="AA778" i="24"/>
  <c r="AA779" i="24"/>
  <c r="AA22" i="24"/>
  <c r="AA32" i="24"/>
  <c r="AA46" i="24"/>
  <c r="AA59" i="24"/>
  <c r="AA81" i="24"/>
  <c r="AA98" i="24"/>
  <c r="AA116" i="24"/>
  <c r="AA130" i="24"/>
  <c r="AA143" i="24"/>
  <c r="AA151" i="24"/>
  <c r="AA163" i="24"/>
  <c r="AA177" i="24"/>
  <c r="AA191" i="24"/>
  <c r="AA218" i="24"/>
  <c r="AA232" i="24"/>
  <c r="AA246" i="24"/>
  <c r="AA260" i="24"/>
  <c r="AA274" i="24"/>
  <c r="AA288" i="24"/>
  <c r="AA302" i="24"/>
  <c r="AA316" i="24"/>
  <c r="AA330" i="24"/>
  <c r="AA345" i="24"/>
  <c r="AA374" i="24"/>
  <c r="AA389" i="24"/>
  <c r="AA404" i="24"/>
  <c r="AA419" i="24"/>
  <c r="AA434" i="24"/>
  <c r="AA449" i="24"/>
  <c r="AA464" i="24"/>
  <c r="AA479" i="24"/>
  <c r="AA492" i="24"/>
  <c r="AA505" i="24"/>
  <c r="AA532" i="24"/>
  <c r="AA547" i="24"/>
  <c r="AA562" i="24"/>
  <c r="AA577" i="24"/>
  <c r="AA592" i="24"/>
  <c r="AA607" i="24"/>
  <c r="AA622" i="24"/>
  <c r="AA637" i="24"/>
  <c r="AA652" i="24"/>
  <c r="AA667" i="24"/>
  <c r="AA695" i="24"/>
  <c r="AA709" i="24"/>
  <c r="AA23" i="24"/>
  <c r="AA33" i="24"/>
  <c r="AA47" i="24"/>
  <c r="AA60" i="24"/>
  <c r="AA69" i="24"/>
  <c r="AA70" i="24"/>
  <c r="AA71" i="24"/>
  <c r="AA82" i="24"/>
  <c r="AA99" i="24"/>
  <c r="AA117" i="24"/>
  <c r="AA131" i="24"/>
  <c r="AA144" i="24"/>
  <c r="AA152" i="24"/>
  <c r="AA164" i="24"/>
  <c r="AA178" i="24"/>
  <c r="AA192" i="24"/>
  <c r="AA205" i="24"/>
  <c r="AA219" i="24"/>
  <c r="AA233" i="24"/>
  <c r="AA247" i="24"/>
  <c r="AA261" i="24"/>
  <c r="AA275" i="24"/>
  <c r="AA289" i="24"/>
  <c r="AA303" i="24"/>
  <c r="AA317" i="24"/>
  <c r="AA331" i="24"/>
  <c r="AA346" i="24"/>
  <c r="AA360" i="24"/>
  <c r="AA375" i="24"/>
  <c r="AA390" i="24"/>
  <c r="AA405" i="24"/>
  <c r="AA420" i="24"/>
  <c r="AA435" i="24"/>
  <c r="AA450" i="24"/>
  <c r="AA465" i="24"/>
  <c r="AA480" i="24"/>
  <c r="AA493" i="24"/>
  <c r="AA506" i="24"/>
  <c r="AA520" i="24"/>
  <c r="AA533" i="24"/>
  <c r="AA548" i="24"/>
  <c r="AA563" i="24"/>
  <c r="AA578" i="24"/>
  <c r="AA593" i="24"/>
  <c r="AA608" i="24"/>
  <c r="AA623" i="24"/>
  <c r="AA638" i="24"/>
  <c r="AA653" i="24"/>
  <c r="AA668" i="24"/>
  <c r="AA682" i="24"/>
  <c r="AA696" i="24"/>
  <c r="AA710" i="24"/>
  <c r="AA724" i="24"/>
  <c r="AA738" i="24"/>
  <c r="AA752" i="24"/>
  <c r="AA766" i="24"/>
  <c r="AA780" i="24"/>
  <c r="AA34" i="24"/>
  <c r="AA48" i="24"/>
  <c r="AA61" i="24"/>
  <c r="AA83" i="24"/>
  <c r="AA100" i="24"/>
  <c r="AA118" i="24"/>
  <c r="AA132" i="24"/>
  <c r="AA145" i="24"/>
  <c r="AA165" i="24"/>
  <c r="AA179" i="24"/>
  <c r="AA193" i="24"/>
  <c r="AA206" i="24"/>
  <c r="AA220" i="24"/>
  <c r="AA234" i="24"/>
  <c r="AA248" i="24"/>
  <c r="AA262" i="24"/>
  <c r="AA276" i="24"/>
  <c r="AA290" i="24"/>
  <c r="AA304" i="24"/>
  <c r="AA318" i="24"/>
  <c r="AA332" i="24"/>
  <c r="AA347" i="24"/>
  <c r="AA361" i="24"/>
  <c r="AA376" i="24"/>
  <c r="AA391" i="24"/>
  <c r="AA406" i="24"/>
  <c r="AA421" i="24"/>
  <c r="AA436" i="24"/>
  <c r="AA451" i="24"/>
  <c r="AA466" i="24"/>
  <c r="AA481" i="24"/>
  <c r="AA494" i="24"/>
  <c r="AA507" i="24"/>
  <c r="AA521" i="24"/>
  <c r="AA534" i="24"/>
  <c r="AA549" i="24"/>
  <c r="AA564" i="24"/>
  <c r="AA579" i="24"/>
  <c r="AA594" i="24"/>
  <c r="AA609" i="24"/>
  <c r="AA624" i="24"/>
  <c r="AA639" i="24"/>
  <c r="AA654" i="24"/>
  <c r="AA669" i="24"/>
  <c r="AA683" i="24"/>
  <c r="AA697" i="24"/>
  <c r="AA711" i="24"/>
  <c r="AA725" i="24"/>
  <c r="AA739" i="24"/>
  <c r="AA753" i="24"/>
  <c r="AA767" i="24"/>
  <c r="AA781" i="24"/>
  <c r="AA35" i="24"/>
  <c r="AA49" i="24"/>
  <c r="AA62" i="24"/>
  <c r="AA84" i="24"/>
  <c r="AA101" i="24"/>
  <c r="AA119" i="24"/>
  <c r="AA133" i="24"/>
  <c r="AA146" i="24"/>
  <c r="AA166" i="24"/>
  <c r="AA180" i="24"/>
  <c r="AA194" i="24"/>
  <c r="AA207" i="24"/>
  <c r="AA208" i="24"/>
  <c r="AA221" i="24"/>
  <c r="AA222" i="24"/>
  <c r="AA235" i="24"/>
  <c r="AA236" i="24"/>
  <c r="AA249" i="24"/>
  <c r="AA250" i="24"/>
  <c r="AA263" i="24"/>
  <c r="AA264" i="24"/>
  <c r="AA277" i="24"/>
  <c r="AA278" i="24"/>
  <c r="AA291" i="24"/>
  <c r="AA292" i="24"/>
  <c r="AA305" i="24"/>
  <c r="AA306" i="24"/>
  <c r="AA319" i="24"/>
  <c r="AA320" i="24"/>
  <c r="AA333" i="24"/>
  <c r="AA334" i="24"/>
  <c r="AA348" i="24"/>
  <c r="AA349" i="24"/>
  <c r="AA362" i="24"/>
  <c r="AA363" i="24"/>
  <c r="AA377" i="24"/>
  <c r="AA378" i="24"/>
  <c r="AA392" i="24"/>
  <c r="AA393" i="24"/>
  <c r="AA407" i="24"/>
  <c r="AA408" i="24"/>
  <c r="AA422" i="24"/>
  <c r="AA423" i="24"/>
  <c r="AA437" i="24"/>
  <c r="AA438" i="24"/>
  <c r="AA452" i="24"/>
  <c r="AA453" i="24"/>
  <c r="AA467" i="24"/>
  <c r="AA468" i="24"/>
  <c r="AA482" i="24"/>
  <c r="AA483" i="24"/>
  <c r="AA495" i="24"/>
  <c r="AA496" i="24"/>
  <c r="AA508" i="24"/>
  <c r="AA509" i="24"/>
  <c r="AA522" i="24"/>
  <c r="AA523" i="24"/>
  <c r="AA535" i="24"/>
  <c r="AA536" i="24"/>
  <c r="AA550" i="24"/>
  <c r="AA551" i="24"/>
  <c r="AA565" i="24"/>
  <c r="AA566" i="24"/>
  <c r="AA580" i="24"/>
  <c r="AA581" i="24"/>
  <c r="AA595" i="24"/>
  <c r="AA596" i="24"/>
  <c r="AA610" i="24"/>
  <c r="AA611" i="24"/>
  <c r="AA625" i="24"/>
  <c r="AA626" i="24"/>
  <c r="AA640" i="24"/>
  <c r="AA641" i="24"/>
  <c r="AA655" i="24"/>
  <c r="AA656" i="24"/>
  <c r="AA670" i="24"/>
  <c r="AA671" i="24"/>
  <c r="AA684" i="24"/>
  <c r="AA685" i="24"/>
  <c r="AA698" i="24"/>
  <c r="AA699" i="24"/>
  <c r="AA712" i="24"/>
  <c r="AA713" i="24"/>
  <c r="AA726" i="24"/>
  <c r="AA727" i="24"/>
  <c r="AA740" i="24"/>
  <c r="AA741" i="24"/>
  <c r="AA754" i="24"/>
  <c r="AA755" i="24"/>
  <c r="AA768" i="24"/>
  <c r="AA769" i="24"/>
  <c r="AA782" i="24"/>
  <c r="AA783" i="24"/>
  <c r="AA167" i="24"/>
  <c r="AA104" i="24"/>
  <c r="AA105" i="24"/>
  <c r="AA106" i="24"/>
  <c r="AA107" i="24"/>
  <c r="AK129" i="1" l="1"/>
  <c r="AJ129" i="1"/>
  <c r="AI129" i="1"/>
  <c r="AE129" i="1"/>
  <c r="D129" i="1"/>
  <c r="C129" i="1"/>
  <c r="AK128" i="1"/>
  <c r="AJ128" i="1"/>
  <c r="AI128" i="1"/>
  <c r="AE128" i="1"/>
  <c r="D128" i="1"/>
  <c r="C128" i="1"/>
  <c r="AK127" i="1"/>
  <c r="AJ127" i="1"/>
  <c r="AI127" i="1"/>
  <c r="AE127" i="1"/>
  <c r="D127" i="1"/>
  <c r="C127" i="1"/>
  <c r="AK126" i="1"/>
  <c r="AJ126" i="1"/>
  <c r="AI126" i="1"/>
  <c r="AE126" i="1"/>
  <c r="D126" i="1"/>
  <c r="C126" i="1"/>
  <c r="AK125" i="1"/>
  <c r="AJ125" i="1"/>
  <c r="AI125" i="1"/>
  <c r="AE125" i="1"/>
  <c r="D125" i="1"/>
  <c r="C125" i="1"/>
  <c r="AK124" i="1"/>
  <c r="AJ124" i="1"/>
  <c r="AI124" i="1"/>
  <c r="AE124" i="1"/>
  <c r="D124" i="1"/>
  <c r="C124" i="1"/>
  <c r="AK123" i="1"/>
  <c r="AJ123" i="1"/>
  <c r="AI123" i="1"/>
  <c r="AE123" i="1"/>
  <c r="D123" i="1"/>
  <c r="C123" i="1"/>
  <c r="AK122" i="1"/>
  <c r="AJ122" i="1"/>
  <c r="AI122" i="1"/>
  <c r="AE122" i="1"/>
  <c r="D122" i="1"/>
  <c r="C122" i="1"/>
  <c r="AK121" i="1"/>
  <c r="AJ121" i="1"/>
  <c r="AI121" i="1"/>
  <c r="AE121" i="1"/>
  <c r="D121" i="1"/>
  <c r="C121" i="1"/>
  <c r="AK120" i="1"/>
  <c r="AJ120" i="1"/>
  <c r="AI120" i="1"/>
  <c r="AE120" i="1"/>
  <c r="D120" i="1"/>
  <c r="C120" i="1"/>
  <c r="AK119" i="1"/>
  <c r="AJ119" i="1"/>
  <c r="AI119" i="1"/>
  <c r="AE119" i="1"/>
  <c r="D119" i="1"/>
  <c r="C119" i="1"/>
  <c r="AK118" i="1"/>
  <c r="AJ118" i="1"/>
  <c r="AI118" i="1"/>
  <c r="AE118" i="1"/>
  <c r="D118" i="1"/>
  <c r="C118" i="1"/>
  <c r="AK117" i="1"/>
  <c r="AJ117" i="1"/>
  <c r="AI117" i="1"/>
  <c r="AE117" i="1"/>
  <c r="D117" i="1"/>
  <c r="C117" i="1"/>
  <c r="AG117" i="1" l="1"/>
  <c r="AF117" i="1"/>
  <c r="AH117" i="1"/>
  <c r="AH118" i="1"/>
  <c r="AG118" i="1"/>
  <c r="AF118" i="1"/>
  <c r="AH119" i="1"/>
  <c r="AG119" i="1"/>
  <c r="AF119" i="1"/>
  <c r="AF120" i="1"/>
  <c r="AH120" i="1"/>
  <c r="AG120" i="1"/>
  <c r="AG121" i="1"/>
  <c r="AF121" i="1"/>
  <c r="AH121" i="1"/>
  <c r="AH122" i="1"/>
  <c r="AG122" i="1"/>
  <c r="AF122" i="1"/>
  <c r="AH123" i="1"/>
  <c r="AG123" i="1"/>
  <c r="AF123" i="1"/>
  <c r="AF124" i="1"/>
  <c r="AH124" i="1"/>
  <c r="AG124" i="1"/>
  <c r="AG125" i="1"/>
  <c r="AF125" i="1"/>
  <c r="AH125" i="1"/>
  <c r="AH126" i="1"/>
  <c r="AG126" i="1"/>
  <c r="AF126" i="1"/>
  <c r="AH127" i="1"/>
  <c r="AG127" i="1"/>
  <c r="AF127" i="1"/>
  <c r="AF128" i="1"/>
  <c r="AH128" i="1"/>
  <c r="AG128" i="1"/>
  <c r="AG129" i="1"/>
  <c r="AF129" i="1"/>
  <c r="AH129" i="1"/>
  <c r="AL129" i="1"/>
  <c r="AL117" i="1"/>
  <c r="AL126" i="1"/>
  <c r="AL120" i="1"/>
  <c r="AL123" i="1"/>
  <c r="AL124" i="1"/>
  <c r="AL118" i="1"/>
  <c r="AL121" i="1"/>
  <c r="AL127" i="1"/>
  <c r="AL128" i="1"/>
  <c r="AL122" i="1"/>
  <c r="AL125" i="1"/>
  <c r="AL119" i="1"/>
  <c r="AM126" i="1"/>
  <c r="AC107" i="24"/>
  <c r="AD107" i="24" s="1"/>
  <c r="AC106" i="24"/>
  <c r="AD106" i="24" s="1"/>
  <c r="AC105" i="24"/>
  <c r="AD105" i="24" s="1"/>
  <c r="AC104" i="24"/>
  <c r="AD104" i="24" s="1"/>
  <c r="AC167" i="24"/>
  <c r="AD167" i="24" s="1"/>
  <c r="Q167" i="24"/>
  <c r="Q104" i="24"/>
  <c r="Q105" i="24"/>
  <c r="Q106" i="24"/>
  <c r="Q107" i="24"/>
  <c r="Q102" i="24"/>
  <c r="Q103" i="24"/>
  <c r="I167" i="24"/>
  <c r="I104" i="24"/>
  <c r="I105" i="24"/>
  <c r="I106" i="24"/>
  <c r="I107" i="24"/>
  <c r="I102" i="24"/>
  <c r="I103" i="24"/>
  <c r="AE167" i="24" l="1"/>
  <c r="AE105" i="24"/>
  <c r="AE107" i="24"/>
  <c r="AE106" i="24"/>
  <c r="AE104" i="24"/>
  <c r="AC141" i="24" l="1"/>
  <c r="AD141" i="24" s="1"/>
  <c r="AC146" i="24"/>
  <c r="AD146" i="24" s="1"/>
  <c r="AC145" i="24"/>
  <c r="AD145" i="24" s="1"/>
  <c r="AC144" i="24"/>
  <c r="AD144" i="24" s="1"/>
  <c r="AC143" i="24"/>
  <c r="AD143" i="24" s="1"/>
  <c r="AC142" i="24"/>
  <c r="AD142" i="24" s="1"/>
  <c r="AC140" i="24"/>
  <c r="AD140" i="24" s="1"/>
  <c r="AC139" i="24"/>
  <c r="AD139" i="24" s="1"/>
  <c r="AC138" i="24"/>
  <c r="AD138" i="24" s="1"/>
  <c r="AC137" i="24"/>
  <c r="AD137" i="24" s="1"/>
  <c r="AC136" i="24"/>
  <c r="AD136" i="24" s="1"/>
  <c r="AC135" i="24"/>
  <c r="AD135" i="24" s="1"/>
  <c r="AC134" i="24"/>
  <c r="AD134" i="24" s="1"/>
  <c r="AE143" i="24" l="1"/>
  <c r="AE134" i="24"/>
  <c r="AE138" i="24"/>
  <c r="AE141" i="24"/>
  <c r="AE145" i="24"/>
  <c r="AE135" i="24"/>
  <c r="AE137" i="24"/>
  <c r="AE142" i="24"/>
  <c r="AE136" i="24"/>
  <c r="AE144" i="24"/>
  <c r="AE146" i="24"/>
  <c r="AE139" i="24"/>
  <c r="AE140" i="24"/>
  <c r="AC152" i="24" l="1"/>
  <c r="AD152" i="24" s="1"/>
  <c r="AC151" i="24"/>
  <c r="AD151" i="24" s="1"/>
  <c r="AC150" i="24"/>
  <c r="AD150" i="24" s="1"/>
  <c r="AC149" i="24"/>
  <c r="AD149" i="24" s="1"/>
  <c r="AC148" i="24"/>
  <c r="AD148" i="24" s="1"/>
  <c r="AC147" i="24"/>
  <c r="AD147" i="24" s="1"/>
  <c r="AC117" i="24"/>
  <c r="AD117" i="24" s="1"/>
  <c r="AC119" i="24"/>
  <c r="AD119" i="24" s="1"/>
  <c r="AC118" i="24"/>
  <c r="AD118" i="24" s="1"/>
  <c r="AC116" i="24"/>
  <c r="AD116" i="24" s="1"/>
  <c r="AC115" i="24"/>
  <c r="AD115" i="24" s="1"/>
  <c r="AC114" i="24"/>
  <c r="AD114" i="24" s="1"/>
  <c r="AC113" i="24"/>
  <c r="AD113" i="24" s="1"/>
  <c r="AC112" i="24"/>
  <c r="AD112" i="24" s="1"/>
  <c r="AC111" i="24"/>
  <c r="AD111" i="24" s="1"/>
  <c r="AC110" i="24"/>
  <c r="AD110" i="24" s="1"/>
  <c r="AC109" i="24"/>
  <c r="AD109" i="24" s="1"/>
  <c r="AC108" i="24"/>
  <c r="AD108" i="24" s="1"/>
  <c r="AC159" i="24"/>
  <c r="AD159" i="24" s="1"/>
  <c r="AC158" i="24"/>
  <c r="AD158" i="24" s="1"/>
  <c r="AC166" i="24"/>
  <c r="AD166" i="24" s="1"/>
  <c r="AC165" i="24"/>
  <c r="AD165" i="24" s="1"/>
  <c r="AC164" i="24"/>
  <c r="AD164" i="24" s="1"/>
  <c r="AC163" i="24"/>
  <c r="AD163" i="24" s="1"/>
  <c r="AC162" i="24"/>
  <c r="AD162" i="24" s="1"/>
  <c r="AC161" i="24"/>
  <c r="AD161" i="24" s="1"/>
  <c r="AC160" i="24"/>
  <c r="AD160" i="24" s="1"/>
  <c r="AC157" i="24"/>
  <c r="AD157" i="24" s="1"/>
  <c r="AC156" i="24"/>
  <c r="AD156" i="24" s="1"/>
  <c r="AC155" i="24"/>
  <c r="AD155" i="24" s="1"/>
  <c r="AC154" i="24"/>
  <c r="AD154" i="24" s="1"/>
  <c r="AC153" i="24"/>
  <c r="AD153" i="24" s="1"/>
  <c r="AC126" i="24"/>
  <c r="AD126" i="24" s="1"/>
  <c r="AC125" i="24"/>
  <c r="AD125" i="24" s="1"/>
  <c r="AC133" i="24"/>
  <c r="AD133" i="24" s="1"/>
  <c r="AC132" i="24"/>
  <c r="AD132" i="24" s="1"/>
  <c r="AC131" i="24"/>
  <c r="AD131" i="24" s="1"/>
  <c r="AC130" i="24"/>
  <c r="AD130" i="24" s="1"/>
  <c r="AC129" i="24"/>
  <c r="AD129" i="24" s="1"/>
  <c r="AC128" i="24"/>
  <c r="AD128" i="24" s="1"/>
  <c r="AC127" i="24"/>
  <c r="AD127" i="24" s="1"/>
  <c r="AC124" i="24"/>
  <c r="AD124" i="24" s="1"/>
  <c r="AC123" i="24"/>
  <c r="AD123" i="24" s="1"/>
  <c r="AC122" i="24"/>
  <c r="AD122" i="24" s="1"/>
  <c r="AC121" i="24"/>
  <c r="AD121" i="24" s="1"/>
  <c r="AC120" i="24"/>
  <c r="AD120" i="24" s="1"/>
  <c r="AC173" i="24"/>
  <c r="AD173" i="24" s="1"/>
  <c r="AC180" i="24"/>
  <c r="AD180" i="24" s="1"/>
  <c r="AC179" i="24"/>
  <c r="AD179" i="24" s="1"/>
  <c r="AC178" i="24"/>
  <c r="AD178" i="24" s="1"/>
  <c r="AC177" i="24"/>
  <c r="AD177" i="24" s="1"/>
  <c r="AC176" i="24"/>
  <c r="AD176" i="24" s="1"/>
  <c r="AC175" i="24"/>
  <c r="AD175" i="24" s="1"/>
  <c r="AC174" i="24"/>
  <c r="AD174" i="24" s="1"/>
  <c r="AC172" i="24"/>
  <c r="AD172" i="24" s="1"/>
  <c r="AC171" i="24"/>
  <c r="AD171" i="24" s="1"/>
  <c r="AC170" i="24"/>
  <c r="AD170" i="24" s="1"/>
  <c r="AC169" i="24"/>
  <c r="AD169" i="24" s="1"/>
  <c r="AC168" i="24"/>
  <c r="AD168" i="24" s="1"/>
  <c r="AC187" i="24"/>
  <c r="AD187" i="24" s="1"/>
  <c r="AC186" i="24"/>
  <c r="AD186" i="24" s="1"/>
  <c r="AC194" i="24"/>
  <c r="AD194" i="24" s="1"/>
  <c r="AC193" i="24"/>
  <c r="AD193" i="24" s="1"/>
  <c r="AC192" i="24"/>
  <c r="AD192" i="24" s="1"/>
  <c r="AC191" i="24"/>
  <c r="AD191" i="24" s="1"/>
  <c r="AC190" i="24"/>
  <c r="AD190" i="24" s="1"/>
  <c r="AC189" i="24"/>
  <c r="AD189" i="24" s="1"/>
  <c r="AC188" i="24"/>
  <c r="AD188" i="24" s="1"/>
  <c r="AC185" i="24"/>
  <c r="AD185" i="24" s="1"/>
  <c r="AC184" i="24"/>
  <c r="AD184" i="24" s="1"/>
  <c r="AC183" i="24"/>
  <c r="AD183" i="24" s="1"/>
  <c r="AC182" i="24"/>
  <c r="AD182" i="24" s="1"/>
  <c r="AC181" i="24"/>
  <c r="AD181" i="24" s="1"/>
  <c r="Q152" i="24"/>
  <c r="Q151" i="24"/>
  <c r="Q150" i="24"/>
  <c r="Q149" i="24"/>
  <c r="Q148" i="24"/>
  <c r="Q147" i="24"/>
  <c r="Q117" i="24"/>
  <c r="Q119" i="24"/>
  <c r="Q118" i="24"/>
  <c r="Q116" i="24"/>
  <c r="Q115" i="24"/>
  <c r="Q114" i="24"/>
  <c r="Q113" i="24"/>
  <c r="Q112" i="24"/>
  <c r="Q111" i="24"/>
  <c r="Q110" i="24"/>
  <c r="Q109" i="24"/>
  <c r="Q108" i="24"/>
  <c r="Q159" i="24"/>
  <c r="Q158" i="24"/>
  <c r="Q166" i="24"/>
  <c r="Q165" i="24"/>
  <c r="Q164" i="24"/>
  <c r="Q163" i="24"/>
  <c r="Q162" i="24"/>
  <c r="Q161" i="24"/>
  <c r="Q160" i="24"/>
  <c r="Q157" i="24"/>
  <c r="Q156" i="24"/>
  <c r="Q155" i="24"/>
  <c r="Q154" i="24"/>
  <c r="Q153" i="24"/>
  <c r="Q126" i="24"/>
  <c r="Q125" i="24"/>
  <c r="Q133" i="24"/>
  <c r="Q132" i="24"/>
  <c r="Q131" i="24"/>
  <c r="Q130" i="24"/>
  <c r="Q129" i="24"/>
  <c r="Q128" i="24"/>
  <c r="Q127" i="24"/>
  <c r="Q124" i="24"/>
  <c r="Q123" i="24"/>
  <c r="Q122" i="24"/>
  <c r="Q121" i="24"/>
  <c r="Q120" i="24"/>
  <c r="Q173" i="24"/>
  <c r="Q180" i="24"/>
  <c r="Q179" i="24"/>
  <c r="Q178" i="24"/>
  <c r="Q177" i="24"/>
  <c r="Q176" i="24"/>
  <c r="Q175" i="24"/>
  <c r="Q174" i="24"/>
  <c r="Q172" i="24"/>
  <c r="Q171" i="24"/>
  <c r="Q170" i="24"/>
  <c r="Q169" i="24"/>
  <c r="Q168" i="24"/>
  <c r="Q187" i="24"/>
  <c r="Q186" i="24"/>
  <c r="Q194" i="24"/>
  <c r="Q193" i="24"/>
  <c r="Q192" i="24"/>
  <c r="Q191" i="24"/>
  <c r="Q190" i="24"/>
  <c r="Q189" i="24"/>
  <c r="Q188" i="24"/>
  <c r="Q185" i="24"/>
  <c r="Q184" i="24"/>
  <c r="Q183" i="24"/>
  <c r="Q182" i="24"/>
  <c r="Q181" i="24"/>
  <c r="I152" i="24"/>
  <c r="I151" i="24"/>
  <c r="I150" i="24"/>
  <c r="I149" i="24"/>
  <c r="I148" i="24"/>
  <c r="I147" i="24"/>
  <c r="I117" i="24"/>
  <c r="I119" i="24"/>
  <c r="I118" i="24"/>
  <c r="I116" i="24"/>
  <c r="I115" i="24"/>
  <c r="I114" i="24"/>
  <c r="I113" i="24"/>
  <c r="I112" i="24"/>
  <c r="I111" i="24"/>
  <c r="I110" i="24"/>
  <c r="I109" i="24"/>
  <c r="I108" i="24"/>
  <c r="I159" i="24"/>
  <c r="I158" i="24"/>
  <c r="I166" i="24"/>
  <c r="I165" i="24"/>
  <c r="I164" i="24"/>
  <c r="I163" i="24"/>
  <c r="I162" i="24"/>
  <c r="I161" i="24"/>
  <c r="I160" i="24"/>
  <c r="I157" i="24"/>
  <c r="I156" i="24"/>
  <c r="I155" i="24"/>
  <c r="I154" i="24"/>
  <c r="I153" i="24"/>
  <c r="I126" i="24"/>
  <c r="I125" i="24"/>
  <c r="I133" i="24"/>
  <c r="I132" i="24"/>
  <c r="I131" i="24"/>
  <c r="I130" i="24"/>
  <c r="I129" i="24"/>
  <c r="I128" i="24"/>
  <c r="I127" i="24"/>
  <c r="I124" i="24"/>
  <c r="I123" i="24"/>
  <c r="I122" i="24"/>
  <c r="I121" i="24"/>
  <c r="I120" i="24"/>
  <c r="I173" i="24"/>
  <c r="I180" i="24"/>
  <c r="I179" i="24"/>
  <c r="I178" i="24"/>
  <c r="I177" i="24"/>
  <c r="I176" i="24"/>
  <c r="I175" i="24"/>
  <c r="I174" i="24"/>
  <c r="I172" i="24"/>
  <c r="I171" i="24"/>
  <c r="I170" i="24"/>
  <c r="I169" i="24"/>
  <c r="I168" i="24"/>
  <c r="I187" i="24"/>
  <c r="I186" i="24"/>
  <c r="I194" i="24"/>
  <c r="I193" i="24"/>
  <c r="I192" i="24"/>
  <c r="I191" i="24"/>
  <c r="I190" i="24"/>
  <c r="I189" i="24"/>
  <c r="I188" i="24"/>
  <c r="I185" i="24"/>
  <c r="I184" i="24"/>
  <c r="I183" i="24"/>
  <c r="I182" i="24"/>
  <c r="I181" i="24"/>
  <c r="AE183" i="24" l="1"/>
  <c r="AE189" i="24"/>
  <c r="AE171" i="24"/>
  <c r="AE132" i="24"/>
  <c r="AE162" i="24"/>
  <c r="AE108" i="24"/>
  <c r="AE110" i="24"/>
  <c r="AE114" i="24"/>
  <c r="AE119" i="24"/>
  <c r="AE149" i="24"/>
  <c r="AE174" i="24"/>
  <c r="AE176" i="24"/>
  <c r="AE128" i="24"/>
  <c r="AE164" i="24"/>
  <c r="AE166" i="24"/>
  <c r="AE187" i="24"/>
  <c r="AE168" i="24"/>
  <c r="AE170" i="24"/>
  <c r="AE180" i="24"/>
  <c r="AE155" i="24"/>
  <c r="AE161" i="24"/>
  <c r="AE151" i="24"/>
  <c r="AE194" i="24"/>
  <c r="AE178" i="24"/>
  <c r="AE122" i="24"/>
  <c r="AE153" i="24"/>
  <c r="AE157" i="24"/>
  <c r="AE159" i="24"/>
  <c r="AE185" i="24"/>
  <c r="AE130" i="24"/>
  <c r="AE115" i="24"/>
  <c r="AE118" i="24"/>
  <c r="AE182" i="24"/>
  <c r="AE191" i="24"/>
  <c r="AE193" i="24"/>
  <c r="AE173" i="24"/>
  <c r="AE121" i="24"/>
  <c r="AE123" i="24"/>
  <c r="AE127" i="24"/>
  <c r="AE125" i="24"/>
  <c r="AE156" i="24"/>
  <c r="AE184" i="24"/>
  <c r="AE188" i="24"/>
  <c r="AE186" i="24"/>
  <c r="AE172" i="24"/>
  <c r="AE175" i="24"/>
  <c r="AE120" i="24"/>
  <c r="AE129" i="24"/>
  <c r="AE131" i="24"/>
  <c r="AE154" i="24"/>
  <c r="AE163" i="24"/>
  <c r="AE165" i="24"/>
  <c r="AE112" i="24"/>
  <c r="AE117" i="24"/>
  <c r="AE148" i="24"/>
  <c r="AE181" i="24"/>
  <c r="AE190" i="24"/>
  <c r="AE192" i="24"/>
  <c r="AE169" i="24"/>
  <c r="AE177" i="24"/>
  <c r="AE179" i="24"/>
  <c r="AE124" i="24"/>
  <c r="AE133" i="24"/>
  <c r="AE126" i="24"/>
  <c r="AE160" i="24"/>
  <c r="AE158" i="24"/>
  <c r="AE109" i="24"/>
  <c r="AE116" i="24"/>
  <c r="AE150" i="24"/>
  <c r="AE152" i="24"/>
  <c r="AE111" i="24"/>
  <c r="AE113" i="24"/>
  <c r="AE147" i="24"/>
  <c r="D20" i="49" l="1"/>
  <c r="D18" i="49"/>
  <c r="E13" i="49" l="1"/>
  <c r="D13" i="49"/>
  <c r="C13" i="49"/>
  <c r="AC783" i="24" l="1"/>
  <c r="AD783" i="24" s="1"/>
  <c r="AC782" i="24"/>
  <c r="AD782" i="24" s="1"/>
  <c r="AC769" i="24"/>
  <c r="AD769" i="24" s="1"/>
  <c r="AC768" i="24"/>
  <c r="AD768" i="24" s="1"/>
  <c r="AC755" i="24"/>
  <c r="AD755" i="24" s="1"/>
  <c r="AC754" i="24"/>
  <c r="AD754" i="24" s="1"/>
  <c r="AC741" i="24"/>
  <c r="AD741" i="24" s="1"/>
  <c r="AC740" i="24"/>
  <c r="AD740" i="24" s="1"/>
  <c r="AC727" i="24"/>
  <c r="AD727" i="24" s="1"/>
  <c r="AC726" i="24"/>
  <c r="AD726" i="24" s="1"/>
  <c r="AC713" i="24"/>
  <c r="AD713" i="24" s="1"/>
  <c r="AC712" i="24"/>
  <c r="AD712" i="24" s="1"/>
  <c r="AC699" i="24"/>
  <c r="AD699" i="24" s="1"/>
  <c r="AC698" i="24"/>
  <c r="AD698" i="24" s="1"/>
  <c r="AC685" i="24"/>
  <c r="AD685" i="24" s="1"/>
  <c r="AC684" i="24"/>
  <c r="AD684" i="24" s="1"/>
  <c r="AC671" i="24"/>
  <c r="AD671" i="24" s="1"/>
  <c r="AC670" i="24"/>
  <c r="AD670" i="24" s="1"/>
  <c r="AC656" i="24"/>
  <c r="AD656" i="24" s="1"/>
  <c r="AC655" i="24"/>
  <c r="AD655" i="24" s="1"/>
  <c r="AC641" i="24"/>
  <c r="AD641" i="24" s="1"/>
  <c r="AC640" i="24"/>
  <c r="AD640" i="24" s="1"/>
  <c r="AC626" i="24"/>
  <c r="AD626" i="24" s="1"/>
  <c r="AC625" i="24"/>
  <c r="AD625" i="24" s="1"/>
  <c r="AC611" i="24"/>
  <c r="AD611" i="24" s="1"/>
  <c r="AC610" i="24"/>
  <c r="AD610" i="24" s="1"/>
  <c r="AC596" i="24"/>
  <c r="AD596" i="24" s="1"/>
  <c r="AC595" i="24"/>
  <c r="AD595" i="24" s="1"/>
  <c r="AC581" i="24"/>
  <c r="AD581" i="24" s="1"/>
  <c r="AC580" i="24"/>
  <c r="AD580" i="24" s="1"/>
  <c r="AC566" i="24"/>
  <c r="AD566" i="24" s="1"/>
  <c r="AC565" i="24"/>
  <c r="AD565" i="24" s="1"/>
  <c r="AC551" i="24"/>
  <c r="AD551" i="24" s="1"/>
  <c r="AC550" i="24"/>
  <c r="AD550" i="24" s="1"/>
  <c r="AC536" i="24"/>
  <c r="AD536" i="24" s="1"/>
  <c r="AC535" i="24"/>
  <c r="AD535" i="24" s="1"/>
  <c r="AC523" i="24"/>
  <c r="AD523" i="24" s="1"/>
  <c r="AC522" i="24"/>
  <c r="AD522" i="24" s="1"/>
  <c r="AC509" i="24"/>
  <c r="AD509" i="24" s="1"/>
  <c r="AC508" i="24"/>
  <c r="AD508" i="24" s="1"/>
  <c r="AC496" i="24"/>
  <c r="AD496" i="24" s="1"/>
  <c r="AC495" i="24"/>
  <c r="AD495" i="24" s="1"/>
  <c r="AC483" i="24"/>
  <c r="AD483" i="24" s="1"/>
  <c r="AC482" i="24"/>
  <c r="AD482" i="24" s="1"/>
  <c r="AC468" i="24"/>
  <c r="AD468" i="24" s="1"/>
  <c r="AC467" i="24"/>
  <c r="AD467" i="24" s="1"/>
  <c r="AC453" i="24"/>
  <c r="AD453" i="24" s="1"/>
  <c r="AC452" i="24"/>
  <c r="AD452" i="24" s="1"/>
  <c r="AC438" i="24"/>
  <c r="AD438" i="24" s="1"/>
  <c r="AC437" i="24"/>
  <c r="AD437" i="24" s="1"/>
  <c r="AC423" i="24"/>
  <c r="AD423" i="24" s="1"/>
  <c r="AC422" i="24"/>
  <c r="AD422" i="24" s="1"/>
  <c r="AC408" i="24"/>
  <c r="AD408" i="24" s="1"/>
  <c r="AC407" i="24"/>
  <c r="AD407" i="24" s="1"/>
  <c r="AC393" i="24"/>
  <c r="AD393" i="24" s="1"/>
  <c r="AC392" i="24"/>
  <c r="AD392" i="24" s="1"/>
  <c r="AC378" i="24"/>
  <c r="AD378" i="24" s="1"/>
  <c r="AC377" i="24"/>
  <c r="AD377" i="24" s="1"/>
  <c r="AC363" i="24"/>
  <c r="AD363" i="24" s="1"/>
  <c r="AC362" i="24"/>
  <c r="AD362" i="24" s="1"/>
  <c r="AC349" i="24"/>
  <c r="AD349" i="24" s="1"/>
  <c r="AC348" i="24"/>
  <c r="AD348" i="24" s="1"/>
  <c r="AC334" i="24"/>
  <c r="AD334" i="24" s="1"/>
  <c r="AC333" i="24"/>
  <c r="AD333" i="24" s="1"/>
  <c r="AC320" i="24"/>
  <c r="AD320" i="24" s="1"/>
  <c r="AC319" i="24"/>
  <c r="AD319" i="24" s="1"/>
  <c r="AC306" i="24"/>
  <c r="AD306" i="24" s="1"/>
  <c r="AC305" i="24"/>
  <c r="AD305" i="24" s="1"/>
  <c r="AC292" i="24"/>
  <c r="AD292" i="24" s="1"/>
  <c r="AC291" i="24"/>
  <c r="AD291" i="24" s="1"/>
  <c r="AC278" i="24"/>
  <c r="AD278" i="24" s="1"/>
  <c r="AC277" i="24"/>
  <c r="AD277" i="24" s="1"/>
  <c r="AC264" i="24"/>
  <c r="AD264" i="24" s="1"/>
  <c r="AC263" i="24"/>
  <c r="AD263" i="24" s="1"/>
  <c r="AC250" i="24"/>
  <c r="AD250" i="24" s="1"/>
  <c r="AC249" i="24"/>
  <c r="AD249" i="24" s="1"/>
  <c r="AC236" i="24"/>
  <c r="AD236" i="24" s="1"/>
  <c r="AC235" i="24"/>
  <c r="AD235" i="24" s="1"/>
  <c r="AC222" i="24"/>
  <c r="AD222" i="24" s="1"/>
  <c r="AC221" i="24"/>
  <c r="AD221" i="24" s="1"/>
  <c r="AC208" i="24"/>
  <c r="AD208" i="24" s="1"/>
  <c r="AC207" i="24"/>
  <c r="AD207" i="24" s="1"/>
  <c r="AC35" i="24"/>
  <c r="AD35" i="24" s="1"/>
  <c r="AC101" i="24"/>
  <c r="AD101" i="24" s="1"/>
  <c r="AC62" i="24"/>
  <c r="AD62" i="24" s="1"/>
  <c r="AC49" i="24"/>
  <c r="AD49" i="24" s="1"/>
  <c r="AC84" i="24"/>
  <c r="AD84" i="24" s="1"/>
  <c r="AC781" i="24"/>
  <c r="AD781" i="24" s="1"/>
  <c r="AC767" i="24"/>
  <c r="AD767" i="24" s="1"/>
  <c r="AC753" i="24"/>
  <c r="AD753" i="24" s="1"/>
  <c r="AC739" i="24"/>
  <c r="AD739" i="24" s="1"/>
  <c r="AC725" i="24"/>
  <c r="AD725" i="24" s="1"/>
  <c r="AC711" i="24"/>
  <c r="AD711" i="24" s="1"/>
  <c r="AC697" i="24"/>
  <c r="AD697" i="24" s="1"/>
  <c r="AC683" i="24"/>
  <c r="AD683" i="24" s="1"/>
  <c r="AC669" i="24"/>
  <c r="AD669" i="24" s="1"/>
  <c r="AC654" i="24"/>
  <c r="AD654" i="24" s="1"/>
  <c r="AC639" i="24"/>
  <c r="AD639" i="24" s="1"/>
  <c r="AC624" i="24"/>
  <c r="AD624" i="24" s="1"/>
  <c r="AC609" i="24"/>
  <c r="AD609" i="24" s="1"/>
  <c r="AC594" i="24"/>
  <c r="AD594" i="24" s="1"/>
  <c r="AC579" i="24"/>
  <c r="AD579" i="24" s="1"/>
  <c r="AC564" i="24"/>
  <c r="AD564" i="24" s="1"/>
  <c r="AC549" i="24"/>
  <c r="AD549" i="24" s="1"/>
  <c r="AC534" i="24"/>
  <c r="AD534" i="24" s="1"/>
  <c r="AC521" i="24"/>
  <c r="AD521" i="24" s="1"/>
  <c r="AC507" i="24"/>
  <c r="AD507" i="24" s="1"/>
  <c r="AC494" i="24"/>
  <c r="AD494" i="24" s="1"/>
  <c r="AC481" i="24"/>
  <c r="AD481" i="24" s="1"/>
  <c r="AC466" i="24"/>
  <c r="AD466" i="24" s="1"/>
  <c r="AC451" i="24"/>
  <c r="AD451" i="24" s="1"/>
  <c r="AC436" i="24"/>
  <c r="AD436" i="24" s="1"/>
  <c r="AC421" i="24"/>
  <c r="AD421" i="24" s="1"/>
  <c r="AC406" i="24"/>
  <c r="AD406" i="24" s="1"/>
  <c r="AC391" i="24"/>
  <c r="AD391" i="24" s="1"/>
  <c r="AC376" i="24"/>
  <c r="AD376" i="24" s="1"/>
  <c r="AC361" i="24"/>
  <c r="AD361" i="24" s="1"/>
  <c r="AC347" i="24"/>
  <c r="AD347" i="24" s="1"/>
  <c r="AC332" i="24"/>
  <c r="AD332" i="24" s="1"/>
  <c r="AC318" i="24"/>
  <c r="AD318" i="24" s="1"/>
  <c r="AC304" i="24"/>
  <c r="AD304" i="24" s="1"/>
  <c r="AC290" i="24"/>
  <c r="AD290" i="24" s="1"/>
  <c r="AC276" i="24"/>
  <c r="AD276" i="24" s="1"/>
  <c r="AC262" i="24"/>
  <c r="AD262" i="24" s="1"/>
  <c r="AC248" i="24"/>
  <c r="AD248" i="24" s="1"/>
  <c r="AC234" i="24"/>
  <c r="AD234" i="24" s="1"/>
  <c r="AC220" i="24"/>
  <c r="AD220" i="24" s="1"/>
  <c r="AC206" i="24"/>
  <c r="AD206" i="24" s="1"/>
  <c r="AC34" i="24"/>
  <c r="AD34" i="24" s="1"/>
  <c r="AC100" i="24"/>
  <c r="AD100" i="24" s="1"/>
  <c r="AC61" i="24"/>
  <c r="AD61" i="24" s="1"/>
  <c r="AC48" i="24"/>
  <c r="AD48" i="24" s="1"/>
  <c r="AC83" i="24"/>
  <c r="AD83" i="24" s="1"/>
  <c r="AC780" i="24"/>
  <c r="AD780" i="24" s="1"/>
  <c r="AC766" i="24"/>
  <c r="AD766" i="24" s="1"/>
  <c r="AC752" i="24"/>
  <c r="AD752" i="24" s="1"/>
  <c r="AC738" i="24"/>
  <c r="AD738" i="24" s="1"/>
  <c r="AC724" i="24"/>
  <c r="AD724" i="24" s="1"/>
  <c r="AC710" i="24"/>
  <c r="AD710" i="24" s="1"/>
  <c r="AC696" i="24"/>
  <c r="AD696" i="24" s="1"/>
  <c r="AC682" i="24"/>
  <c r="AD682" i="24" s="1"/>
  <c r="AC668" i="24"/>
  <c r="AD668" i="24" s="1"/>
  <c r="AC653" i="24"/>
  <c r="AD653" i="24" s="1"/>
  <c r="AC638" i="24"/>
  <c r="AD638" i="24" s="1"/>
  <c r="AC623" i="24"/>
  <c r="AD623" i="24" s="1"/>
  <c r="AC608" i="24"/>
  <c r="AD608" i="24" s="1"/>
  <c r="AC593" i="24"/>
  <c r="AD593" i="24" s="1"/>
  <c r="AC578" i="24"/>
  <c r="AD578" i="24" s="1"/>
  <c r="AC563" i="24"/>
  <c r="AD563" i="24" s="1"/>
  <c r="AC548" i="24"/>
  <c r="AD548" i="24" s="1"/>
  <c r="AC533" i="24"/>
  <c r="AD533" i="24" s="1"/>
  <c r="AC520" i="24"/>
  <c r="AD520" i="24" s="1"/>
  <c r="AC506" i="24"/>
  <c r="AD506" i="24" s="1"/>
  <c r="AC493" i="24"/>
  <c r="AD493" i="24" s="1"/>
  <c r="AC480" i="24"/>
  <c r="AD480" i="24" s="1"/>
  <c r="AC465" i="24"/>
  <c r="AD465" i="24" s="1"/>
  <c r="AC450" i="24"/>
  <c r="AD450" i="24" s="1"/>
  <c r="AC435" i="24"/>
  <c r="AD435" i="24" s="1"/>
  <c r="AC420" i="24"/>
  <c r="AD420" i="24" s="1"/>
  <c r="AC405" i="24"/>
  <c r="AD405" i="24" s="1"/>
  <c r="AC390" i="24"/>
  <c r="AD390" i="24" s="1"/>
  <c r="AC375" i="24"/>
  <c r="AD375" i="24" s="1"/>
  <c r="AC360" i="24"/>
  <c r="AD360" i="24" s="1"/>
  <c r="AC346" i="24"/>
  <c r="AD346" i="24" s="1"/>
  <c r="AC331" i="24"/>
  <c r="AD331" i="24" s="1"/>
  <c r="AC317" i="24"/>
  <c r="AD317" i="24" s="1"/>
  <c r="AC303" i="24"/>
  <c r="AD303" i="24" s="1"/>
  <c r="AC289" i="24"/>
  <c r="AD289" i="24" s="1"/>
  <c r="AC275" i="24"/>
  <c r="AD275" i="24" s="1"/>
  <c r="AC261" i="24"/>
  <c r="AD261" i="24" s="1"/>
  <c r="AC247" i="24"/>
  <c r="AD247" i="24" s="1"/>
  <c r="AC233" i="24"/>
  <c r="AD233" i="24" s="1"/>
  <c r="AC219" i="24"/>
  <c r="AD219" i="24" s="1"/>
  <c r="AC205" i="24"/>
  <c r="AD205" i="24" s="1"/>
  <c r="AC71" i="24"/>
  <c r="AD71" i="24" s="1"/>
  <c r="AC70" i="24"/>
  <c r="AD70" i="24" s="1"/>
  <c r="AC69" i="24"/>
  <c r="AD69" i="24" s="1"/>
  <c r="AC33" i="24"/>
  <c r="AD33" i="24" s="1"/>
  <c r="AC99" i="24"/>
  <c r="AD99" i="24" s="1"/>
  <c r="AC60" i="24"/>
  <c r="AD60" i="24" s="1"/>
  <c r="AC47" i="24"/>
  <c r="AD47" i="24" s="1"/>
  <c r="AC82" i="24"/>
  <c r="AD82" i="24" s="1"/>
  <c r="AC23" i="24"/>
  <c r="AD23" i="24" s="1"/>
  <c r="AC709" i="24"/>
  <c r="AD709" i="24" s="1"/>
  <c r="AC695" i="24"/>
  <c r="AD695" i="24" s="1"/>
  <c r="AC667" i="24"/>
  <c r="AD667" i="24" s="1"/>
  <c r="AC652" i="24"/>
  <c r="AD652" i="24" s="1"/>
  <c r="AC637" i="24"/>
  <c r="AD637" i="24" s="1"/>
  <c r="AC622" i="24"/>
  <c r="AD622" i="24" s="1"/>
  <c r="AC607" i="24"/>
  <c r="AD607" i="24" s="1"/>
  <c r="AC592" i="24"/>
  <c r="AD592" i="24" s="1"/>
  <c r="AC577" i="24"/>
  <c r="AD577" i="24" s="1"/>
  <c r="AC562" i="24"/>
  <c r="AD562" i="24" s="1"/>
  <c r="AC547" i="24"/>
  <c r="AD547" i="24" s="1"/>
  <c r="AC532" i="24"/>
  <c r="AD532" i="24" s="1"/>
  <c r="AC505" i="24"/>
  <c r="AD505" i="24" s="1"/>
  <c r="AC492" i="24"/>
  <c r="AD492" i="24" s="1"/>
  <c r="AC479" i="24"/>
  <c r="AD479" i="24" s="1"/>
  <c r="AC464" i="24"/>
  <c r="AD464" i="24" s="1"/>
  <c r="AC449" i="24"/>
  <c r="AD449" i="24" s="1"/>
  <c r="AC434" i="24"/>
  <c r="AD434" i="24" s="1"/>
  <c r="AC419" i="24"/>
  <c r="AD419" i="24" s="1"/>
  <c r="AC404" i="24"/>
  <c r="AD404" i="24" s="1"/>
  <c r="AC389" i="24"/>
  <c r="AD389" i="24" s="1"/>
  <c r="AC374" i="24"/>
  <c r="AD374" i="24" s="1"/>
  <c r="AC345" i="24"/>
  <c r="AD345" i="24" s="1"/>
  <c r="AC330" i="24"/>
  <c r="AD330" i="24" s="1"/>
  <c r="AC316" i="24"/>
  <c r="AD316" i="24" s="1"/>
  <c r="AC302" i="24"/>
  <c r="AD302" i="24" s="1"/>
  <c r="AC288" i="24"/>
  <c r="AD288" i="24" s="1"/>
  <c r="AC274" i="24"/>
  <c r="AD274" i="24" s="1"/>
  <c r="AC260" i="24"/>
  <c r="AD260" i="24" s="1"/>
  <c r="AC246" i="24"/>
  <c r="AD246" i="24" s="1"/>
  <c r="AC232" i="24"/>
  <c r="AD232" i="24" s="1"/>
  <c r="AC218" i="24"/>
  <c r="AD218" i="24" s="1"/>
  <c r="AC32" i="24"/>
  <c r="AD32" i="24" s="1"/>
  <c r="AC98" i="24"/>
  <c r="AD98" i="24" s="1"/>
  <c r="AC59" i="24"/>
  <c r="AD59" i="24" s="1"/>
  <c r="AC46" i="24"/>
  <c r="AD46" i="24" s="1"/>
  <c r="AC81" i="24"/>
  <c r="AD81" i="24" s="1"/>
  <c r="AC22" i="24"/>
  <c r="AD22" i="24" s="1"/>
  <c r="AC779" i="24"/>
  <c r="AD779" i="24" s="1"/>
  <c r="AC778" i="24"/>
  <c r="AD778" i="24" s="1"/>
  <c r="AC777" i="24"/>
  <c r="AD777" i="24" s="1"/>
  <c r="AC765" i="24"/>
  <c r="AD765" i="24" s="1"/>
  <c r="AC764" i="24"/>
  <c r="AD764" i="24" s="1"/>
  <c r="AC763" i="24"/>
  <c r="AD763" i="24" s="1"/>
  <c r="AC751" i="24"/>
  <c r="AD751" i="24" s="1"/>
  <c r="AC750" i="24"/>
  <c r="AD750" i="24" s="1"/>
  <c r="AC749" i="24"/>
  <c r="AD749" i="24" s="1"/>
  <c r="AC737" i="24"/>
  <c r="AD737" i="24" s="1"/>
  <c r="AC736" i="24"/>
  <c r="AD736" i="24" s="1"/>
  <c r="AC735" i="24"/>
  <c r="AD735" i="24" s="1"/>
  <c r="AC723" i="24"/>
  <c r="AD723" i="24" s="1"/>
  <c r="AC722" i="24"/>
  <c r="AD722" i="24" s="1"/>
  <c r="AC721" i="24"/>
  <c r="AD721" i="24" s="1"/>
  <c r="AC708" i="24"/>
  <c r="AD708" i="24" s="1"/>
  <c r="AC707" i="24"/>
  <c r="AD707" i="24" s="1"/>
  <c r="AC706" i="24"/>
  <c r="AD706" i="24" s="1"/>
  <c r="AC694" i="24"/>
  <c r="AD694" i="24" s="1"/>
  <c r="AC693" i="24"/>
  <c r="AD693" i="24" s="1"/>
  <c r="AC692" i="24"/>
  <c r="AD692" i="24" s="1"/>
  <c r="AC681" i="24"/>
  <c r="AD681" i="24" s="1"/>
  <c r="AC680" i="24"/>
  <c r="AD680" i="24" s="1"/>
  <c r="AC679" i="24"/>
  <c r="AD679" i="24" s="1"/>
  <c r="AC666" i="24"/>
  <c r="AD666" i="24" s="1"/>
  <c r="AC665" i="24"/>
  <c r="AD665" i="24" s="1"/>
  <c r="AC664" i="24"/>
  <c r="AD664" i="24" s="1"/>
  <c r="AC651" i="24"/>
  <c r="AD651" i="24" s="1"/>
  <c r="AC650" i="24"/>
  <c r="AD650" i="24" s="1"/>
  <c r="AC649" i="24"/>
  <c r="AD649" i="24" s="1"/>
  <c r="AC636" i="24"/>
  <c r="AD636" i="24" s="1"/>
  <c r="AC635" i="24"/>
  <c r="AD635" i="24" s="1"/>
  <c r="AC634" i="24"/>
  <c r="AD634" i="24" s="1"/>
  <c r="AC621" i="24"/>
  <c r="AD621" i="24" s="1"/>
  <c r="AC620" i="24"/>
  <c r="AD620" i="24" s="1"/>
  <c r="AC619" i="24"/>
  <c r="AD619" i="24" s="1"/>
  <c r="AC606" i="24"/>
  <c r="AD606" i="24" s="1"/>
  <c r="AC605" i="24"/>
  <c r="AD605" i="24" s="1"/>
  <c r="AC604" i="24"/>
  <c r="AD604" i="24" s="1"/>
  <c r="AC591" i="24"/>
  <c r="AD591" i="24" s="1"/>
  <c r="AC590" i="24"/>
  <c r="AD590" i="24" s="1"/>
  <c r="AC589" i="24"/>
  <c r="AD589" i="24" s="1"/>
  <c r="AC576" i="24"/>
  <c r="AD576" i="24" s="1"/>
  <c r="AC575" i="24"/>
  <c r="AD575" i="24" s="1"/>
  <c r="AC574" i="24"/>
  <c r="AD574" i="24" s="1"/>
  <c r="AC561" i="24"/>
  <c r="AD561" i="24" s="1"/>
  <c r="AC560" i="24"/>
  <c r="AD560" i="24" s="1"/>
  <c r="AC559" i="24"/>
  <c r="AD559" i="24" s="1"/>
  <c r="AC546" i="24"/>
  <c r="AD546" i="24" s="1"/>
  <c r="AC545" i="24"/>
  <c r="AD545" i="24" s="1"/>
  <c r="AC544" i="24"/>
  <c r="AD544" i="24" s="1"/>
  <c r="AC531" i="24"/>
  <c r="AD531" i="24" s="1"/>
  <c r="AC530" i="24"/>
  <c r="AD530" i="24" s="1"/>
  <c r="AC519" i="24"/>
  <c r="AD519" i="24" s="1"/>
  <c r="AC518" i="24"/>
  <c r="AD518" i="24" s="1"/>
  <c r="AC517" i="24"/>
  <c r="AD517" i="24" s="1"/>
  <c r="AC504" i="24"/>
  <c r="AD504" i="24" s="1"/>
  <c r="AC503" i="24"/>
  <c r="AD503" i="24" s="1"/>
  <c r="AC491" i="24"/>
  <c r="AD491" i="24" s="1"/>
  <c r="AC490" i="24"/>
  <c r="AD490" i="24" s="1"/>
  <c r="AC478" i="24"/>
  <c r="AD478" i="24" s="1"/>
  <c r="AC477" i="24"/>
  <c r="AD477" i="24" s="1"/>
  <c r="AC476" i="24"/>
  <c r="AD476" i="24" s="1"/>
  <c r="AC463" i="24"/>
  <c r="AD463" i="24" s="1"/>
  <c r="AC462" i="24"/>
  <c r="AD462" i="24" s="1"/>
  <c r="AC461" i="24"/>
  <c r="AD461" i="24" s="1"/>
  <c r="AC448" i="24"/>
  <c r="AD448" i="24" s="1"/>
  <c r="AC447" i="24"/>
  <c r="AD447" i="24" s="1"/>
  <c r="AC446" i="24"/>
  <c r="AD446" i="24" s="1"/>
  <c r="AC433" i="24"/>
  <c r="AD433" i="24" s="1"/>
  <c r="AC432" i="24"/>
  <c r="AD432" i="24" s="1"/>
  <c r="AC431" i="24"/>
  <c r="AD431" i="24" s="1"/>
  <c r="AC418" i="24"/>
  <c r="AD418" i="24" s="1"/>
  <c r="AC417" i="24"/>
  <c r="AD417" i="24" s="1"/>
  <c r="AC416" i="24"/>
  <c r="AD416" i="24" s="1"/>
  <c r="AC403" i="24"/>
  <c r="AD403" i="24" s="1"/>
  <c r="AC402" i="24"/>
  <c r="AD402" i="24" s="1"/>
  <c r="AC401" i="24"/>
  <c r="AD401" i="24" s="1"/>
  <c r="AC388" i="24"/>
  <c r="AD388" i="24" s="1"/>
  <c r="AC387" i="24"/>
  <c r="AD387" i="24" s="1"/>
  <c r="AC386" i="24"/>
  <c r="AD386" i="24" s="1"/>
  <c r="AC373" i="24"/>
  <c r="AD373" i="24" s="1"/>
  <c r="AC372" i="24"/>
  <c r="AD372" i="24" s="1"/>
  <c r="AC371" i="24"/>
  <c r="AD371" i="24" s="1"/>
  <c r="AC359" i="24"/>
  <c r="AD359" i="24" s="1"/>
  <c r="AC358" i="24"/>
  <c r="AD358" i="24" s="1"/>
  <c r="AC357" i="24"/>
  <c r="AD357" i="24" s="1"/>
  <c r="AC344" i="24"/>
  <c r="AD344" i="24" s="1"/>
  <c r="AC343" i="24"/>
  <c r="AD343" i="24" s="1"/>
  <c r="AC342" i="24"/>
  <c r="AD342" i="24" s="1"/>
  <c r="AC329" i="24"/>
  <c r="AD329" i="24" s="1"/>
  <c r="AC328" i="24"/>
  <c r="AD328" i="24" s="1"/>
  <c r="AC327" i="24"/>
  <c r="AD327" i="24" s="1"/>
  <c r="AC315" i="24"/>
  <c r="AD315" i="24" s="1"/>
  <c r="AC314" i="24"/>
  <c r="AD314" i="24" s="1"/>
  <c r="AC313" i="24"/>
  <c r="AD313" i="24" s="1"/>
  <c r="AC301" i="24"/>
  <c r="AD301" i="24" s="1"/>
  <c r="AC300" i="24"/>
  <c r="AD300" i="24" s="1"/>
  <c r="AC299" i="24"/>
  <c r="AD299" i="24" s="1"/>
  <c r="AC287" i="24"/>
  <c r="AD287" i="24" s="1"/>
  <c r="AC286" i="24"/>
  <c r="AD286" i="24" s="1"/>
  <c r="AC285" i="24"/>
  <c r="AD285" i="24" s="1"/>
  <c r="AC273" i="24"/>
  <c r="AD273" i="24" s="1"/>
  <c r="AC272" i="24"/>
  <c r="AD272" i="24" s="1"/>
  <c r="AC271" i="24"/>
  <c r="AD271" i="24" s="1"/>
  <c r="AC259" i="24"/>
  <c r="AD259" i="24" s="1"/>
  <c r="AC258" i="24"/>
  <c r="AD258" i="24" s="1"/>
  <c r="AC257" i="24"/>
  <c r="AD257" i="24" s="1"/>
  <c r="AC245" i="24"/>
  <c r="AD245" i="24" s="1"/>
  <c r="AC244" i="24"/>
  <c r="AD244" i="24" s="1"/>
  <c r="AC243" i="24"/>
  <c r="AD243" i="24" s="1"/>
  <c r="AC231" i="24"/>
  <c r="AD231" i="24" s="1"/>
  <c r="AC230" i="24"/>
  <c r="AD230" i="24" s="1"/>
  <c r="AC229" i="24"/>
  <c r="AD229" i="24" s="1"/>
  <c r="AC217" i="24"/>
  <c r="AD217" i="24" s="1"/>
  <c r="AC216" i="24"/>
  <c r="AD216" i="24" s="1"/>
  <c r="AC215" i="24"/>
  <c r="AD215" i="24" s="1"/>
  <c r="AC204" i="24"/>
  <c r="AD204" i="24" s="1"/>
  <c r="AC203" i="24"/>
  <c r="AD203" i="24" s="1"/>
  <c r="AC202" i="24"/>
  <c r="AD202" i="24" s="1"/>
  <c r="AC66" i="24"/>
  <c r="AD66" i="24" s="1"/>
  <c r="AC31" i="24"/>
  <c r="AD31" i="24" s="1"/>
  <c r="AC97" i="24"/>
  <c r="AD97" i="24" s="1"/>
  <c r="AC58" i="24"/>
  <c r="AD58" i="24" s="1"/>
  <c r="AC45" i="24"/>
  <c r="AD45" i="24" s="1"/>
  <c r="AC80" i="24"/>
  <c r="AD80" i="24" s="1"/>
  <c r="AC21" i="24"/>
  <c r="AD21" i="24" s="1"/>
  <c r="AC776" i="24"/>
  <c r="AD776" i="24" s="1"/>
  <c r="AC762" i="24"/>
  <c r="AD762" i="24" s="1"/>
  <c r="AC748" i="24"/>
  <c r="AD748" i="24" s="1"/>
  <c r="AC734" i="24"/>
  <c r="AD734" i="24" s="1"/>
  <c r="AC720" i="24"/>
  <c r="AD720" i="24" s="1"/>
  <c r="AC678" i="24"/>
  <c r="AD678" i="24" s="1"/>
  <c r="AC663" i="24"/>
  <c r="AD663" i="24" s="1"/>
  <c r="AC648" i="24"/>
  <c r="AD648" i="24" s="1"/>
  <c r="AC633" i="24"/>
  <c r="AD633" i="24" s="1"/>
  <c r="AC618" i="24"/>
  <c r="AD618" i="24" s="1"/>
  <c r="AC603" i="24"/>
  <c r="AD603" i="24" s="1"/>
  <c r="AC588" i="24"/>
  <c r="AD588" i="24" s="1"/>
  <c r="AC573" i="24"/>
  <c r="AD573" i="24" s="1"/>
  <c r="AC558" i="24"/>
  <c r="AD558" i="24" s="1"/>
  <c r="AC543" i="24"/>
  <c r="AD543" i="24" s="1"/>
  <c r="AC529" i="24"/>
  <c r="AD529" i="24" s="1"/>
  <c r="AC516" i="24"/>
  <c r="AD516" i="24" s="1"/>
  <c r="AC502" i="24"/>
  <c r="AD502" i="24" s="1"/>
  <c r="AC489" i="24"/>
  <c r="AD489" i="24" s="1"/>
  <c r="AC475" i="24"/>
  <c r="AD475" i="24" s="1"/>
  <c r="AC460" i="24"/>
  <c r="AD460" i="24" s="1"/>
  <c r="AC445" i="24"/>
  <c r="AD445" i="24" s="1"/>
  <c r="AC430" i="24"/>
  <c r="AD430" i="24" s="1"/>
  <c r="AC415" i="24"/>
  <c r="AD415" i="24" s="1"/>
  <c r="AC400" i="24"/>
  <c r="AD400" i="24" s="1"/>
  <c r="AC385" i="24"/>
  <c r="AD385" i="24" s="1"/>
  <c r="AC370" i="24"/>
  <c r="AD370" i="24" s="1"/>
  <c r="AC356" i="24"/>
  <c r="AD356" i="24" s="1"/>
  <c r="AC341" i="24"/>
  <c r="AD341" i="24" s="1"/>
  <c r="AC201" i="24"/>
  <c r="AD201" i="24" s="1"/>
  <c r="AC30" i="24"/>
  <c r="AD30" i="24" s="1"/>
  <c r="AC96" i="24"/>
  <c r="AD96" i="24" s="1"/>
  <c r="AC57" i="24"/>
  <c r="AD57" i="24" s="1"/>
  <c r="AC56" i="24"/>
  <c r="AD56" i="24" s="1"/>
  <c r="AC44" i="24"/>
  <c r="AD44" i="24" s="1"/>
  <c r="AC79" i="24"/>
  <c r="AD79" i="24" s="1"/>
  <c r="AC20" i="24"/>
  <c r="AD20" i="24" s="1"/>
  <c r="AC775" i="24"/>
  <c r="AD775" i="24" s="1"/>
  <c r="AC761" i="24"/>
  <c r="AD761" i="24" s="1"/>
  <c r="AC747" i="24"/>
  <c r="AD747" i="24" s="1"/>
  <c r="AC733" i="24"/>
  <c r="AD733" i="24" s="1"/>
  <c r="AC719" i="24"/>
  <c r="AD719" i="24" s="1"/>
  <c r="AC705" i="24"/>
  <c r="AD705" i="24" s="1"/>
  <c r="AC691" i="24"/>
  <c r="AD691" i="24" s="1"/>
  <c r="AC677" i="24"/>
  <c r="AD677" i="24" s="1"/>
  <c r="AC662" i="24"/>
  <c r="AD662" i="24" s="1"/>
  <c r="AC647" i="24"/>
  <c r="AD647" i="24" s="1"/>
  <c r="AC632" i="24"/>
  <c r="AD632" i="24" s="1"/>
  <c r="AC617" i="24"/>
  <c r="AD617" i="24" s="1"/>
  <c r="AC602" i="24"/>
  <c r="AD602" i="24" s="1"/>
  <c r="AC587" i="24"/>
  <c r="AD587" i="24" s="1"/>
  <c r="AC572" i="24"/>
  <c r="AD572" i="24" s="1"/>
  <c r="AC557" i="24"/>
  <c r="AD557" i="24" s="1"/>
  <c r="AC542" i="24"/>
  <c r="AD542" i="24" s="1"/>
  <c r="AC528" i="24"/>
  <c r="AD528" i="24" s="1"/>
  <c r="AC515" i="24"/>
  <c r="AD515" i="24" s="1"/>
  <c r="AC501" i="24"/>
  <c r="AD501" i="24" s="1"/>
  <c r="AC488" i="24"/>
  <c r="AD488" i="24" s="1"/>
  <c r="AC474" i="24"/>
  <c r="AD474" i="24" s="1"/>
  <c r="AC459" i="24"/>
  <c r="AD459" i="24" s="1"/>
  <c r="AC444" i="24"/>
  <c r="AD444" i="24" s="1"/>
  <c r="AC429" i="24"/>
  <c r="AD429" i="24" s="1"/>
  <c r="AC414" i="24"/>
  <c r="AD414" i="24" s="1"/>
  <c r="AC399" i="24"/>
  <c r="AD399" i="24" s="1"/>
  <c r="AC384" i="24"/>
  <c r="AD384" i="24" s="1"/>
  <c r="AC369" i="24"/>
  <c r="AD369" i="24" s="1"/>
  <c r="AC355" i="24"/>
  <c r="AD355" i="24" s="1"/>
  <c r="AC340" i="24"/>
  <c r="AD340" i="24" s="1"/>
  <c r="AC326" i="24"/>
  <c r="AD326" i="24" s="1"/>
  <c r="AC312" i="24"/>
  <c r="AD312" i="24" s="1"/>
  <c r="AC298" i="24"/>
  <c r="AD298" i="24" s="1"/>
  <c r="AC284" i="24"/>
  <c r="AD284" i="24" s="1"/>
  <c r="AC270" i="24"/>
  <c r="AD270" i="24" s="1"/>
  <c r="AC256" i="24"/>
  <c r="AD256" i="24" s="1"/>
  <c r="AC242" i="24"/>
  <c r="AD242" i="24" s="1"/>
  <c r="AC228" i="24"/>
  <c r="AD228" i="24" s="1"/>
  <c r="AC214" i="24"/>
  <c r="AD214" i="24" s="1"/>
  <c r="AC200" i="24"/>
  <c r="AD200" i="24" s="1"/>
  <c r="AC65" i="24"/>
  <c r="AD65" i="24" s="1"/>
  <c r="AC87" i="24"/>
  <c r="AD87" i="24" s="1"/>
  <c r="AC29" i="24"/>
  <c r="AD29" i="24" s="1"/>
  <c r="AC95" i="24"/>
  <c r="AD95" i="24" s="1"/>
  <c r="AC55" i="24"/>
  <c r="AD55" i="24" s="1"/>
  <c r="AC43" i="24"/>
  <c r="AD43" i="24" s="1"/>
  <c r="AC78" i="24"/>
  <c r="AD78" i="24" s="1"/>
  <c r="AC19" i="24"/>
  <c r="AD19" i="24" s="1"/>
  <c r="AC64" i="24"/>
  <c r="AD64" i="24" s="1"/>
  <c r="AC63" i="24"/>
  <c r="AD63" i="24" s="1"/>
  <c r="AC94" i="24"/>
  <c r="AD94" i="24" s="1"/>
  <c r="AC93" i="24"/>
  <c r="AD93" i="24" s="1"/>
  <c r="AC42" i="24"/>
  <c r="AD42" i="24" s="1"/>
  <c r="AC41" i="24"/>
  <c r="AD41" i="24" s="1"/>
  <c r="AC77" i="24"/>
  <c r="AD77" i="24" s="1"/>
  <c r="AC18" i="24"/>
  <c r="AD18" i="24" s="1"/>
  <c r="AC774" i="24"/>
  <c r="AD774" i="24" s="1"/>
  <c r="AC760" i="24"/>
  <c r="AD760" i="24" s="1"/>
  <c r="AC746" i="24"/>
  <c r="AD746" i="24" s="1"/>
  <c r="AC732" i="24"/>
  <c r="AD732" i="24" s="1"/>
  <c r="AC718" i="24"/>
  <c r="AD718" i="24" s="1"/>
  <c r="AC704" i="24"/>
  <c r="AD704" i="24" s="1"/>
  <c r="AC690" i="24"/>
  <c r="AD690" i="24" s="1"/>
  <c r="AC676" i="24"/>
  <c r="AD676" i="24" s="1"/>
  <c r="AC661" i="24"/>
  <c r="AD661" i="24" s="1"/>
  <c r="AC646" i="24"/>
  <c r="AD646" i="24" s="1"/>
  <c r="AC631" i="24"/>
  <c r="AD631" i="24" s="1"/>
  <c r="AC616" i="24"/>
  <c r="AD616" i="24" s="1"/>
  <c r="AC601" i="24"/>
  <c r="AD601" i="24" s="1"/>
  <c r="AC586" i="24"/>
  <c r="AD586" i="24" s="1"/>
  <c r="AC571" i="24"/>
  <c r="AD571" i="24" s="1"/>
  <c r="AC556" i="24"/>
  <c r="AD556" i="24" s="1"/>
  <c r="AC541" i="24"/>
  <c r="AD541" i="24" s="1"/>
  <c r="AC527" i="24"/>
  <c r="AD527" i="24" s="1"/>
  <c r="AC514" i="24"/>
  <c r="AD514" i="24" s="1"/>
  <c r="AC500" i="24"/>
  <c r="AD500" i="24" s="1"/>
  <c r="AC487" i="24"/>
  <c r="AD487" i="24" s="1"/>
  <c r="AC473" i="24"/>
  <c r="AD473" i="24" s="1"/>
  <c r="AC458" i="24"/>
  <c r="AD458" i="24" s="1"/>
  <c r="AC443" i="24"/>
  <c r="AD443" i="24" s="1"/>
  <c r="AC428" i="24"/>
  <c r="AD428" i="24" s="1"/>
  <c r="AC413" i="24"/>
  <c r="AD413" i="24" s="1"/>
  <c r="AC398" i="24"/>
  <c r="AD398" i="24" s="1"/>
  <c r="AC383" i="24"/>
  <c r="AD383" i="24" s="1"/>
  <c r="AC368" i="24"/>
  <c r="AD368" i="24" s="1"/>
  <c r="AC354" i="24"/>
  <c r="AD354" i="24" s="1"/>
  <c r="AC339" i="24"/>
  <c r="AD339" i="24" s="1"/>
  <c r="AC325" i="24"/>
  <c r="AD325" i="24" s="1"/>
  <c r="AC311" i="24"/>
  <c r="AD311" i="24" s="1"/>
  <c r="AC297" i="24"/>
  <c r="AD297" i="24" s="1"/>
  <c r="AC283" i="24"/>
  <c r="AD283" i="24" s="1"/>
  <c r="AC269" i="24"/>
  <c r="AD269" i="24" s="1"/>
  <c r="AC255" i="24"/>
  <c r="AD255" i="24" s="1"/>
  <c r="AC241" i="24"/>
  <c r="AD241" i="24" s="1"/>
  <c r="AC227" i="24"/>
  <c r="AD227" i="24" s="1"/>
  <c r="AC213" i="24"/>
  <c r="AD213" i="24" s="1"/>
  <c r="AC199" i="24"/>
  <c r="AD199" i="24" s="1"/>
  <c r="AC68" i="24"/>
  <c r="AD68" i="24" s="1"/>
  <c r="AC28" i="24"/>
  <c r="AD28" i="24" s="1"/>
  <c r="AC92" i="24"/>
  <c r="AD92" i="24" s="1"/>
  <c r="AC54" i="24"/>
  <c r="AD54" i="24" s="1"/>
  <c r="AC40" i="24"/>
  <c r="AD40" i="24" s="1"/>
  <c r="AC76" i="24"/>
  <c r="AD76" i="24" s="1"/>
  <c r="AC17" i="24"/>
  <c r="AD17" i="24" s="1"/>
  <c r="AC773" i="24"/>
  <c r="AD773" i="24" s="1"/>
  <c r="AC759" i="24"/>
  <c r="AD759" i="24" s="1"/>
  <c r="AC745" i="24"/>
  <c r="AD745" i="24" s="1"/>
  <c r="AC731" i="24"/>
  <c r="AD731" i="24" s="1"/>
  <c r="AC717" i="24"/>
  <c r="AD717" i="24" s="1"/>
  <c r="AC703" i="24"/>
  <c r="AD703" i="24" s="1"/>
  <c r="AC689" i="24"/>
  <c r="AD689" i="24" s="1"/>
  <c r="AC675" i="24"/>
  <c r="AD675" i="24" s="1"/>
  <c r="AC660" i="24"/>
  <c r="AD660" i="24" s="1"/>
  <c r="AC645" i="24"/>
  <c r="AD645" i="24" s="1"/>
  <c r="AC630" i="24"/>
  <c r="AD630" i="24" s="1"/>
  <c r="AC615" i="24"/>
  <c r="AD615" i="24" s="1"/>
  <c r="AC600" i="24"/>
  <c r="AD600" i="24" s="1"/>
  <c r="AC585" i="24"/>
  <c r="AD585" i="24" s="1"/>
  <c r="AC570" i="24"/>
  <c r="AD570" i="24" s="1"/>
  <c r="AC555" i="24"/>
  <c r="AD555" i="24" s="1"/>
  <c r="AC540" i="24"/>
  <c r="AD540" i="24" s="1"/>
  <c r="AC526" i="24"/>
  <c r="AD526" i="24" s="1"/>
  <c r="AC513" i="24"/>
  <c r="AD513" i="24" s="1"/>
  <c r="AC499" i="24"/>
  <c r="AD499" i="24" s="1"/>
  <c r="AC486" i="24"/>
  <c r="AD486" i="24" s="1"/>
  <c r="AC472" i="24"/>
  <c r="AD472" i="24" s="1"/>
  <c r="AC457" i="24"/>
  <c r="AD457" i="24" s="1"/>
  <c r="AC442" i="24"/>
  <c r="AD442" i="24" s="1"/>
  <c r="AC427" i="24"/>
  <c r="AD427" i="24" s="1"/>
  <c r="AC412" i="24"/>
  <c r="AD412" i="24" s="1"/>
  <c r="AC397" i="24"/>
  <c r="AD397" i="24" s="1"/>
  <c r="AC382" i="24"/>
  <c r="AD382" i="24" s="1"/>
  <c r="AC367" i="24"/>
  <c r="AD367" i="24" s="1"/>
  <c r="AC353" i="24"/>
  <c r="AD353" i="24" s="1"/>
  <c r="AC338" i="24"/>
  <c r="AD338" i="24" s="1"/>
  <c r="AC324" i="24"/>
  <c r="AD324" i="24" s="1"/>
  <c r="AC310" i="24"/>
  <c r="AD310" i="24" s="1"/>
  <c r="AC296" i="24"/>
  <c r="AD296" i="24" s="1"/>
  <c r="AC282" i="24"/>
  <c r="AD282" i="24" s="1"/>
  <c r="AC268" i="24"/>
  <c r="AD268" i="24" s="1"/>
  <c r="AC254" i="24"/>
  <c r="AD254" i="24" s="1"/>
  <c r="AC240" i="24"/>
  <c r="AD240" i="24" s="1"/>
  <c r="AC226" i="24"/>
  <c r="AD226" i="24" s="1"/>
  <c r="AC212" i="24"/>
  <c r="AD212" i="24" s="1"/>
  <c r="AC198" i="24"/>
  <c r="AD198" i="24" s="1"/>
  <c r="AC27" i="24"/>
  <c r="AD27" i="24" s="1"/>
  <c r="AC91" i="24"/>
  <c r="AD91" i="24" s="1"/>
  <c r="AC53" i="24"/>
  <c r="AD53" i="24" s="1"/>
  <c r="AC39" i="24"/>
  <c r="AD39" i="24" s="1"/>
  <c r="AC75" i="24"/>
  <c r="AD75" i="24" s="1"/>
  <c r="AC16" i="24"/>
  <c r="AD16" i="24" s="1"/>
  <c r="AC772" i="24"/>
  <c r="AD772" i="24" s="1"/>
  <c r="AC758" i="24"/>
  <c r="AD758" i="24" s="1"/>
  <c r="AC744" i="24"/>
  <c r="AD744" i="24" s="1"/>
  <c r="AC730" i="24"/>
  <c r="AD730" i="24" s="1"/>
  <c r="AC716" i="24"/>
  <c r="AD716" i="24" s="1"/>
  <c r="AC702" i="24"/>
  <c r="AD702" i="24" s="1"/>
  <c r="AC688" i="24"/>
  <c r="AD688" i="24" s="1"/>
  <c r="AC674" i="24"/>
  <c r="AD674" i="24" s="1"/>
  <c r="AC659" i="24"/>
  <c r="AD659" i="24" s="1"/>
  <c r="AC644" i="24"/>
  <c r="AD644" i="24" s="1"/>
  <c r="AC629" i="24"/>
  <c r="AD629" i="24" s="1"/>
  <c r="AC614" i="24"/>
  <c r="AD614" i="24" s="1"/>
  <c r="AC599" i="24"/>
  <c r="AD599" i="24" s="1"/>
  <c r="AC584" i="24"/>
  <c r="AD584" i="24" s="1"/>
  <c r="AC569" i="24"/>
  <c r="AD569" i="24" s="1"/>
  <c r="AC554" i="24"/>
  <c r="AD554" i="24" s="1"/>
  <c r="AC539" i="24"/>
  <c r="AD539" i="24" s="1"/>
  <c r="AC525" i="24"/>
  <c r="AD525" i="24" s="1"/>
  <c r="AC512" i="24"/>
  <c r="AD512" i="24" s="1"/>
  <c r="AC498" i="24"/>
  <c r="AD498" i="24" s="1"/>
  <c r="AC485" i="24"/>
  <c r="AD485" i="24" s="1"/>
  <c r="AC471" i="24"/>
  <c r="AD471" i="24" s="1"/>
  <c r="AC456" i="24"/>
  <c r="AD456" i="24" s="1"/>
  <c r="AC441" i="24"/>
  <c r="AD441" i="24" s="1"/>
  <c r="AC426" i="24"/>
  <c r="AD426" i="24" s="1"/>
  <c r="AC411" i="24"/>
  <c r="AD411" i="24" s="1"/>
  <c r="AC396" i="24"/>
  <c r="AD396" i="24" s="1"/>
  <c r="AC381" i="24"/>
  <c r="AD381" i="24" s="1"/>
  <c r="AC366" i="24"/>
  <c r="AD366" i="24" s="1"/>
  <c r="AC352" i="24"/>
  <c r="AD352" i="24" s="1"/>
  <c r="AC337" i="24"/>
  <c r="AD337" i="24" s="1"/>
  <c r="AC323" i="24"/>
  <c r="AD323" i="24" s="1"/>
  <c r="AC309" i="24"/>
  <c r="AD309" i="24" s="1"/>
  <c r="AC295" i="24"/>
  <c r="AD295" i="24" s="1"/>
  <c r="AC281" i="24"/>
  <c r="AD281" i="24" s="1"/>
  <c r="AC267" i="24"/>
  <c r="AD267" i="24" s="1"/>
  <c r="AC253" i="24"/>
  <c r="AD253" i="24" s="1"/>
  <c r="AC239" i="24"/>
  <c r="AD239" i="24" s="1"/>
  <c r="AC225" i="24"/>
  <c r="AD225" i="24" s="1"/>
  <c r="AC211" i="24"/>
  <c r="AD211" i="24" s="1"/>
  <c r="AC197" i="24"/>
  <c r="AD197" i="24" s="1"/>
  <c r="AC26" i="24"/>
  <c r="AD26" i="24" s="1"/>
  <c r="AC90" i="24"/>
  <c r="AD90" i="24" s="1"/>
  <c r="AC52" i="24"/>
  <c r="AD52" i="24" s="1"/>
  <c r="AC38" i="24"/>
  <c r="AD38" i="24" s="1"/>
  <c r="AC74" i="24"/>
  <c r="AD74" i="24" s="1"/>
  <c r="AC771" i="24"/>
  <c r="AD771" i="24" s="1"/>
  <c r="AC757" i="24"/>
  <c r="AD757" i="24" s="1"/>
  <c r="AC743" i="24"/>
  <c r="AD743" i="24" s="1"/>
  <c r="AC729" i="24"/>
  <c r="AD729" i="24" s="1"/>
  <c r="AC715" i="24"/>
  <c r="AD715" i="24" s="1"/>
  <c r="AC701" i="24"/>
  <c r="AD701" i="24" s="1"/>
  <c r="AC687" i="24"/>
  <c r="AD687" i="24" s="1"/>
  <c r="AC673" i="24"/>
  <c r="AD673" i="24" s="1"/>
  <c r="AC658" i="24"/>
  <c r="AD658" i="24" s="1"/>
  <c r="AC643" i="24"/>
  <c r="AD643" i="24" s="1"/>
  <c r="AC628" i="24"/>
  <c r="AD628" i="24" s="1"/>
  <c r="AC613" i="24"/>
  <c r="AD613" i="24" s="1"/>
  <c r="AC598" i="24"/>
  <c r="AD598" i="24" s="1"/>
  <c r="AC583" i="24"/>
  <c r="AD583" i="24" s="1"/>
  <c r="AC568" i="24"/>
  <c r="AD568" i="24" s="1"/>
  <c r="AC553" i="24"/>
  <c r="AD553" i="24" s="1"/>
  <c r="AC538" i="24"/>
  <c r="AD538" i="24" s="1"/>
  <c r="AC511" i="24"/>
  <c r="AD511" i="24" s="1"/>
  <c r="AC470" i="24"/>
  <c r="AD470" i="24" s="1"/>
  <c r="AC455" i="24"/>
  <c r="AD455" i="24" s="1"/>
  <c r="AC440" i="24"/>
  <c r="AD440" i="24" s="1"/>
  <c r="AC425" i="24"/>
  <c r="AD425" i="24" s="1"/>
  <c r="AC410" i="24"/>
  <c r="AD410" i="24" s="1"/>
  <c r="AC395" i="24"/>
  <c r="AD395" i="24" s="1"/>
  <c r="AC380" i="24"/>
  <c r="AD380" i="24" s="1"/>
  <c r="AC365" i="24"/>
  <c r="AD365" i="24" s="1"/>
  <c r="AC351" i="24"/>
  <c r="AD351" i="24" s="1"/>
  <c r="AC336" i="24"/>
  <c r="AD336" i="24" s="1"/>
  <c r="AC322" i="24"/>
  <c r="AD322" i="24" s="1"/>
  <c r="AC308" i="24"/>
  <c r="AD308" i="24" s="1"/>
  <c r="AC294" i="24"/>
  <c r="AD294" i="24" s="1"/>
  <c r="AC280" i="24"/>
  <c r="AD280" i="24" s="1"/>
  <c r="AC266" i="24"/>
  <c r="AD266" i="24" s="1"/>
  <c r="AC252" i="24"/>
  <c r="AD252" i="24" s="1"/>
  <c r="AC238" i="24"/>
  <c r="AD238" i="24" s="1"/>
  <c r="AC224" i="24"/>
  <c r="AD224" i="24" s="1"/>
  <c r="AC210" i="24"/>
  <c r="AD210" i="24" s="1"/>
  <c r="AC196" i="24"/>
  <c r="AD196" i="24" s="1"/>
  <c r="AC67" i="24"/>
  <c r="AD67" i="24" s="1"/>
  <c r="AC86" i="24"/>
  <c r="AD86" i="24" s="1"/>
  <c r="AC25" i="24"/>
  <c r="AD25" i="24" s="1"/>
  <c r="AC89" i="24"/>
  <c r="AD89" i="24" s="1"/>
  <c r="AC51" i="24"/>
  <c r="AD51" i="24" s="1"/>
  <c r="AC37" i="24"/>
  <c r="AD37" i="24" s="1"/>
  <c r="AC73" i="24"/>
  <c r="AD73" i="24" s="1"/>
  <c r="AC770" i="24"/>
  <c r="AD770" i="24" s="1"/>
  <c r="AC756" i="24"/>
  <c r="AD756" i="24" s="1"/>
  <c r="AC742" i="24"/>
  <c r="AD742" i="24" s="1"/>
  <c r="AC728" i="24"/>
  <c r="AD728" i="24" s="1"/>
  <c r="AC714" i="24"/>
  <c r="AD714" i="24" s="1"/>
  <c r="AC700" i="24"/>
  <c r="AD700" i="24" s="1"/>
  <c r="AC686" i="24"/>
  <c r="AD686" i="24" s="1"/>
  <c r="AC672" i="24"/>
  <c r="AD672" i="24" s="1"/>
  <c r="AC657" i="24"/>
  <c r="AD657" i="24" s="1"/>
  <c r="AC642" i="24"/>
  <c r="AD642" i="24" s="1"/>
  <c r="AC627" i="24"/>
  <c r="AD627" i="24" s="1"/>
  <c r="AC612" i="24"/>
  <c r="AD612" i="24" s="1"/>
  <c r="AC597" i="24"/>
  <c r="AD597" i="24" s="1"/>
  <c r="AC582" i="24"/>
  <c r="AD582" i="24" s="1"/>
  <c r="AC567" i="24"/>
  <c r="AD567" i="24" s="1"/>
  <c r="AC552" i="24"/>
  <c r="AD552" i="24" s="1"/>
  <c r="AC537" i="24"/>
  <c r="AD537" i="24" s="1"/>
  <c r="AC524" i="24"/>
  <c r="AD524" i="24" s="1"/>
  <c r="AC510" i="24"/>
  <c r="AD510" i="24" s="1"/>
  <c r="AC497" i="24"/>
  <c r="AD497" i="24" s="1"/>
  <c r="AC484" i="24"/>
  <c r="AD484" i="24" s="1"/>
  <c r="AC469" i="24"/>
  <c r="AD469" i="24" s="1"/>
  <c r="AC454" i="24"/>
  <c r="AD454" i="24" s="1"/>
  <c r="AC439" i="24"/>
  <c r="AD439" i="24" s="1"/>
  <c r="AC424" i="24"/>
  <c r="AD424" i="24" s="1"/>
  <c r="AC409" i="24"/>
  <c r="AD409" i="24" s="1"/>
  <c r="AC394" i="24"/>
  <c r="AD394" i="24" s="1"/>
  <c r="AC379" i="24"/>
  <c r="AD379" i="24" s="1"/>
  <c r="AC364" i="24"/>
  <c r="AD364" i="24" s="1"/>
  <c r="AC350" i="24"/>
  <c r="AD350" i="24" s="1"/>
  <c r="AC335" i="24"/>
  <c r="AD335" i="24" s="1"/>
  <c r="AC321" i="24"/>
  <c r="AD321" i="24" s="1"/>
  <c r="AC307" i="24"/>
  <c r="AD307" i="24" s="1"/>
  <c r="AC293" i="24"/>
  <c r="AD293" i="24" s="1"/>
  <c r="AC279" i="24"/>
  <c r="AD279" i="24" s="1"/>
  <c r="AC265" i="24"/>
  <c r="AD265" i="24" s="1"/>
  <c r="AC251" i="24"/>
  <c r="AD251" i="24" s="1"/>
  <c r="AC237" i="24"/>
  <c r="AD237" i="24" s="1"/>
  <c r="AC223" i="24"/>
  <c r="AD223" i="24" s="1"/>
  <c r="AC209" i="24"/>
  <c r="AD209" i="24" s="1"/>
  <c r="AC195" i="24"/>
  <c r="AD195" i="24" s="1"/>
  <c r="AC85" i="24"/>
  <c r="AD85" i="24" s="1"/>
  <c r="AC24" i="24"/>
  <c r="AD24" i="24" s="1"/>
  <c r="AC88" i="24"/>
  <c r="AD88" i="24" s="1"/>
  <c r="AC50" i="24"/>
  <c r="AD50" i="24" s="1"/>
  <c r="AC36" i="24"/>
  <c r="AD36" i="24" s="1"/>
  <c r="AC72" i="24"/>
  <c r="AD72" i="24" s="1"/>
  <c r="AC15" i="24"/>
  <c r="AD15" i="24" s="1"/>
  <c r="AE95" i="24" l="1"/>
  <c r="AE89" i="24"/>
  <c r="AE94" i="24"/>
  <c r="AE99" i="24"/>
  <c r="AE97" i="24"/>
  <c r="AE92" i="24"/>
  <c r="AE96" i="24"/>
  <c r="AE98" i="24"/>
  <c r="AE90" i="24"/>
  <c r="AE101" i="24"/>
  <c r="AE91" i="24"/>
  <c r="AE100" i="24"/>
  <c r="AE93" i="24"/>
  <c r="AE88" i="24"/>
  <c r="D323" i="1" l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4" i="1"/>
  <c r="D163" i="1"/>
  <c r="D162" i="1"/>
  <c r="D160" i="1"/>
  <c r="D159" i="1"/>
  <c r="D158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F167" i="60" l="1" a="1"/>
  <c r="F167" i="60" s="1"/>
  <c r="AH163" i="60" a="1"/>
  <c r="AH163" i="60" s="1"/>
  <c r="AA160" i="60" a="1"/>
  <c r="AA160" i="60" s="1"/>
  <c r="T157" i="60" a="1"/>
  <c r="T157" i="60" s="1"/>
  <c r="AH156" i="60" a="1"/>
  <c r="AH156" i="60" s="1"/>
  <c r="F156" i="60" a="1"/>
  <c r="F156" i="60" s="1"/>
  <c r="M155" i="60" a="1"/>
  <c r="M155" i="60" s="1"/>
  <c r="T154" i="60" a="1"/>
  <c r="T154" i="60" s="1"/>
  <c r="M152" i="60" a="1"/>
  <c r="M152" i="60" s="1"/>
  <c r="T151" i="60" a="1"/>
  <c r="T151" i="60" s="1"/>
  <c r="AA150" i="60" a="1"/>
  <c r="AA150" i="60" s="1"/>
  <c r="AH149" i="60" a="1"/>
  <c r="AH149" i="60" s="1"/>
  <c r="F149" i="60" a="1"/>
  <c r="F149" i="60" s="1"/>
  <c r="M145" i="60" a="1"/>
  <c r="M145" i="60" s="1"/>
  <c r="T144" i="60" a="1"/>
  <c r="T144" i="60" s="1"/>
  <c r="T169" i="60" a="1"/>
  <c r="T169" i="60" s="1"/>
  <c r="M166" i="60" a="1"/>
  <c r="M166" i="60" s="1"/>
  <c r="F163" i="60" a="1"/>
  <c r="F163" i="60" s="1"/>
  <c r="AH159" i="60" a="1"/>
  <c r="AH159" i="60" s="1"/>
  <c r="AA156" i="60" a="1"/>
  <c r="AA156" i="60" s="1"/>
  <c r="AH155" i="60" a="1"/>
  <c r="AH155" i="60" s="1"/>
  <c r="F155" i="60" a="1"/>
  <c r="F155" i="60" s="1"/>
  <c r="M154" i="60" a="1"/>
  <c r="M154" i="60" s="1"/>
  <c r="AA153" i="60" a="1"/>
  <c r="AA153" i="60" s="1"/>
  <c r="M153" i="60" a="1"/>
  <c r="M153" i="60" s="1"/>
  <c r="AH152" i="60" a="1"/>
  <c r="AH152" i="60" s="1"/>
  <c r="F152" i="60" a="1"/>
  <c r="F152" i="60" s="1"/>
  <c r="M151" i="60" a="1"/>
  <c r="M151" i="60" s="1"/>
  <c r="T150" i="60" a="1"/>
  <c r="T150" i="60" s="1"/>
  <c r="AA149" i="60" a="1"/>
  <c r="AA149" i="60" s="1"/>
  <c r="AA147" i="60" a="1"/>
  <c r="AA147" i="60" s="1"/>
  <c r="M147" i="60" a="1"/>
  <c r="M147" i="60" s="1"/>
  <c r="AA146" i="60" a="1"/>
  <c r="AA146" i="60" s="1"/>
  <c r="M146" i="60" a="1"/>
  <c r="M146" i="60" s="1"/>
  <c r="AH145" i="60" a="1"/>
  <c r="AH145" i="60" s="1"/>
  <c r="F145" i="60" a="1"/>
  <c r="F145" i="60" s="1"/>
  <c r="M144" i="60" a="1"/>
  <c r="M144" i="60" s="1"/>
  <c r="AA164" i="60" a="1"/>
  <c r="AA164" i="60" s="1"/>
  <c r="M158" i="60" a="1"/>
  <c r="M158" i="60" s="1"/>
  <c r="AA155" i="60" a="1"/>
  <c r="AA155" i="60" s="1"/>
  <c r="F154" i="60" a="1"/>
  <c r="F154" i="60" s="1"/>
  <c r="AH151" i="60" a="1"/>
  <c r="AH151" i="60" s="1"/>
  <c r="M150" i="60" a="1"/>
  <c r="M150" i="60" s="1"/>
  <c r="T147" i="60" a="1"/>
  <c r="T147" i="60" s="1"/>
  <c r="T146" i="60" a="1"/>
  <c r="T146" i="60" s="1"/>
  <c r="T145" i="60" a="1"/>
  <c r="T145" i="60" s="1"/>
  <c r="AA168" i="60" a="1"/>
  <c r="AA168" i="60" s="1"/>
  <c r="M162" i="60" a="1"/>
  <c r="M162" i="60" s="1"/>
  <c r="T155" i="60" a="1"/>
  <c r="T155" i="60" s="1"/>
  <c r="AH153" i="60" a="1"/>
  <c r="AH153" i="60" s="1"/>
  <c r="F153" i="60" a="1"/>
  <c r="F153" i="60" s="1"/>
  <c r="AA151" i="60" a="1"/>
  <c r="AA151" i="60" s="1"/>
  <c r="F150" i="60" a="1"/>
  <c r="F150" i="60" s="1"/>
  <c r="F147" i="60" a="1"/>
  <c r="F147" i="60" s="1"/>
  <c r="AH144" i="60" a="1"/>
  <c r="AH144" i="60" s="1"/>
  <c r="T165" i="60" a="1"/>
  <c r="T165" i="60" s="1"/>
  <c r="AA154" i="60" a="1"/>
  <c r="AA154" i="60" s="1"/>
  <c r="T152" i="60" a="1"/>
  <c r="T152" i="60" s="1"/>
  <c r="M149" i="60" a="1"/>
  <c r="M149" i="60" s="1"/>
  <c r="AH146" i="60" a="1"/>
  <c r="AH146" i="60" s="1"/>
  <c r="AQ146" i="60" s="1"/>
  <c r="AA144" i="60" a="1"/>
  <c r="AA144" i="60" s="1"/>
  <c r="M143" i="60" a="1"/>
  <c r="M143" i="60" s="1"/>
  <c r="T142" i="60" a="1"/>
  <c r="T142" i="60" s="1"/>
  <c r="AA141" i="60" a="1"/>
  <c r="AA141" i="60" s="1"/>
  <c r="AH140" i="60" a="1"/>
  <c r="AH140" i="60" s="1"/>
  <c r="F140" i="60" a="1"/>
  <c r="F140" i="60" s="1"/>
  <c r="M139" i="60" a="1"/>
  <c r="M139" i="60" s="1"/>
  <c r="T138" i="60" a="1"/>
  <c r="T138" i="60" s="1"/>
  <c r="AA137" i="60" a="1"/>
  <c r="AA137" i="60" s="1"/>
  <c r="AH136" i="60" a="1"/>
  <c r="AH136" i="60" s="1"/>
  <c r="F136" i="60" a="1"/>
  <c r="F136" i="60" s="1"/>
  <c r="T134" i="60" a="1"/>
  <c r="T134" i="60" s="1"/>
  <c r="AA133" i="60" a="1"/>
  <c r="AA133" i="60" s="1"/>
  <c r="AH132" i="60" a="1"/>
  <c r="AH132" i="60" s="1"/>
  <c r="F132" i="60" a="1"/>
  <c r="F132" i="60" s="1"/>
  <c r="M131" i="60" a="1"/>
  <c r="M131" i="60" s="1"/>
  <c r="T156" i="60" a="1"/>
  <c r="T156" i="60" s="1"/>
  <c r="F151" i="60" a="1"/>
  <c r="F151" i="60" s="1"/>
  <c r="F144" i="60" a="1"/>
  <c r="F144" i="60" s="1"/>
  <c r="AH143" i="60" a="1"/>
  <c r="AH143" i="60" s="1"/>
  <c r="F143" i="60" a="1"/>
  <c r="F143" i="60" s="1"/>
  <c r="M142" i="60" a="1"/>
  <c r="M142" i="60" s="1"/>
  <c r="T141" i="60" a="1"/>
  <c r="T141" i="60" s="1"/>
  <c r="AA140" i="60" a="1"/>
  <c r="AA140" i="60" s="1"/>
  <c r="AH139" i="60" a="1"/>
  <c r="AH139" i="60" s="1"/>
  <c r="F139" i="60" a="1"/>
  <c r="F139" i="60" s="1"/>
  <c r="M138" i="60" a="1"/>
  <c r="M138" i="60" s="1"/>
  <c r="T137" i="60" a="1"/>
  <c r="T137" i="60" s="1"/>
  <c r="AA136" i="60" a="1"/>
  <c r="AA136" i="60" s="1"/>
  <c r="M134" i="60" a="1"/>
  <c r="M134" i="60" s="1"/>
  <c r="T133" i="60" a="1"/>
  <c r="T133" i="60" s="1"/>
  <c r="AA132" i="60" a="1"/>
  <c r="AA132" i="60" s="1"/>
  <c r="AH131" i="60" a="1"/>
  <c r="AH131" i="60" s="1"/>
  <c r="F131" i="60" a="1"/>
  <c r="F131" i="60" s="1"/>
  <c r="F159" i="60" a="1"/>
  <c r="F159" i="60" s="1"/>
  <c r="M156" i="60" a="1"/>
  <c r="M156" i="60" s="1"/>
  <c r="T153" i="60" a="1"/>
  <c r="T153" i="60" s="1"/>
  <c r="AH150" i="60" a="1"/>
  <c r="AH150" i="60" s="1"/>
  <c r="AH147" i="60" a="1"/>
  <c r="AH147" i="60" s="1"/>
  <c r="F146" i="60" a="1"/>
  <c r="F146" i="60" s="1"/>
  <c r="AA143" i="60" a="1"/>
  <c r="AA143" i="60" s="1"/>
  <c r="AH142" i="60" a="1"/>
  <c r="AH142" i="60" s="1"/>
  <c r="F142" i="60" a="1"/>
  <c r="F142" i="60" s="1"/>
  <c r="M141" i="60" a="1"/>
  <c r="M141" i="60" s="1"/>
  <c r="T140" i="60" a="1"/>
  <c r="T140" i="60" s="1"/>
  <c r="AA139" i="60" a="1"/>
  <c r="AA139" i="60" s="1"/>
  <c r="AH138" i="60" a="1"/>
  <c r="AH138" i="60" s="1"/>
  <c r="F138" i="60" a="1"/>
  <c r="F138" i="60" s="1"/>
  <c r="M137" i="60" a="1"/>
  <c r="M137" i="60" s="1"/>
  <c r="T136" i="60" a="1"/>
  <c r="T136" i="60" s="1"/>
  <c r="AH134" i="60" a="1"/>
  <c r="AH134" i="60" s="1"/>
  <c r="F134" i="60" a="1"/>
  <c r="F134" i="60" s="1"/>
  <c r="M133" i="60" a="1"/>
  <c r="M133" i="60" s="1"/>
  <c r="T132" i="60" a="1"/>
  <c r="T132" i="60" s="1"/>
  <c r="AA131" i="60" a="1"/>
  <c r="AA131" i="60" s="1"/>
  <c r="T149" i="60" a="1"/>
  <c r="T149" i="60" s="1"/>
  <c r="F141" i="60" a="1"/>
  <c r="F141" i="60" s="1"/>
  <c r="AH137" i="60" a="1"/>
  <c r="AH137" i="60" s="1"/>
  <c r="AA134" i="60" a="1"/>
  <c r="AA134" i="60" s="1"/>
  <c r="T131" i="60" a="1"/>
  <c r="T131" i="60" s="1"/>
  <c r="M130" i="60" a="1"/>
  <c r="M130" i="60" s="1"/>
  <c r="T129" i="60" a="1"/>
  <c r="T129" i="60" s="1"/>
  <c r="AA128" i="60" a="1"/>
  <c r="AA128" i="60" s="1"/>
  <c r="AH127" i="60" a="1"/>
  <c r="AH127" i="60" s="1"/>
  <c r="F127" i="60" a="1"/>
  <c r="F127" i="60" s="1"/>
  <c r="M126" i="60" a="1"/>
  <c r="M126" i="60" s="1"/>
  <c r="T125" i="60" a="1"/>
  <c r="T125" i="60" s="1"/>
  <c r="AA124" i="60" a="1"/>
  <c r="AA124" i="60" s="1"/>
  <c r="AH123" i="60" a="1"/>
  <c r="AH123" i="60" s="1"/>
  <c r="F123" i="60" a="1"/>
  <c r="F123" i="60" s="1"/>
  <c r="T121" i="60" a="1"/>
  <c r="T121" i="60" s="1"/>
  <c r="AA120" i="60" a="1"/>
  <c r="AA120" i="60" s="1"/>
  <c r="AH119" i="60" a="1"/>
  <c r="AH119" i="60" s="1"/>
  <c r="F119" i="60" a="1"/>
  <c r="F119" i="60" s="1"/>
  <c r="M118" i="60" a="1"/>
  <c r="M118" i="60" s="1"/>
  <c r="AH117" i="60" a="1"/>
  <c r="AH117" i="60" s="1"/>
  <c r="F117" i="60" a="1"/>
  <c r="F117" i="60" s="1"/>
  <c r="M116" i="60" a="1"/>
  <c r="M116" i="60" s="1"/>
  <c r="T115" i="60" a="1"/>
  <c r="T115" i="60" s="1"/>
  <c r="AA114" i="60" a="1"/>
  <c r="AA114" i="60" s="1"/>
  <c r="AH113" i="60" a="1"/>
  <c r="AH113" i="60" s="1"/>
  <c r="F113" i="60" a="1"/>
  <c r="F113" i="60" s="1"/>
  <c r="M112" i="60" a="1"/>
  <c r="M112" i="60" s="1"/>
  <c r="T143" i="60" a="1"/>
  <c r="T143" i="60" s="1"/>
  <c r="M140" i="60" a="1"/>
  <c r="M140" i="60" s="1"/>
  <c r="F137" i="60" a="1"/>
  <c r="F137" i="60" s="1"/>
  <c r="AH133" i="60" a="1"/>
  <c r="AH133" i="60" s="1"/>
  <c r="AQ133" i="60" s="1"/>
  <c r="AH130" i="60" a="1"/>
  <c r="AH130" i="60" s="1"/>
  <c r="F130" i="60" a="1"/>
  <c r="F130" i="60" s="1"/>
  <c r="M129" i="60" a="1"/>
  <c r="M129" i="60" s="1"/>
  <c r="T128" i="60" a="1"/>
  <c r="T128" i="60" s="1"/>
  <c r="AA127" i="60" a="1"/>
  <c r="AA127" i="60" s="1"/>
  <c r="AH126" i="60" a="1"/>
  <c r="AH126" i="60" s="1"/>
  <c r="F126" i="60" a="1"/>
  <c r="F126" i="60" s="1"/>
  <c r="M125" i="60" a="1"/>
  <c r="M125" i="60" s="1"/>
  <c r="T124" i="60" a="1"/>
  <c r="T124" i="60" s="1"/>
  <c r="AA123" i="60" a="1"/>
  <c r="AA123" i="60" s="1"/>
  <c r="M121" i="60" a="1"/>
  <c r="M121" i="60" s="1"/>
  <c r="T120" i="60" a="1"/>
  <c r="T120" i="60" s="1"/>
  <c r="AA119" i="60" a="1"/>
  <c r="AA119" i="60" s="1"/>
  <c r="AH118" i="60" a="1"/>
  <c r="AH118" i="60" s="1"/>
  <c r="F118" i="60" a="1"/>
  <c r="F118" i="60" s="1"/>
  <c r="AA117" i="60" a="1"/>
  <c r="AA117" i="60" s="1"/>
  <c r="AH116" i="60" a="1"/>
  <c r="AH116" i="60" s="1"/>
  <c r="F116" i="60" a="1"/>
  <c r="F116" i="60" s="1"/>
  <c r="M115" i="60" a="1"/>
  <c r="M115" i="60" s="1"/>
  <c r="T114" i="60" a="1"/>
  <c r="T114" i="60" s="1"/>
  <c r="AA113" i="60" a="1"/>
  <c r="AA113" i="60" s="1"/>
  <c r="AH112" i="60" a="1"/>
  <c r="AH112" i="60" s="1"/>
  <c r="F112" i="60" a="1"/>
  <c r="F112" i="60" s="1"/>
  <c r="M111" i="60" a="1"/>
  <c r="M111" i="60" s="1"/>
  <c r="T110" i="60" a="1"/>
  <c r="T110" i="60" s="1"/>
  <c r="AH108" i="60" a="1"/>
  <c r="AH108" i="60" s="1"/>
  <c r="F108" i="60" a="1"/>
  <c r="F108" i="60" s="1"/>
  <c r="M107" i="60" a="1"/>
  <c r="M107" i="60" s="1"/>
  <c r="T106" i="60" a="1"/>
  <c r="T106" i="60" s="1"/>
  <c r="AA105" i="60" a="1"/>
  <c r="AA105" i="60" s="1"/>
  <c r="AH167" i="60" a="1"/>
  <c r="AH167" i="60" s="1"/>
  <c r="AH154" i="60" a="1"/>
  <c r="AH154" i="60" s="1"/>
  <c r="AQ154" i="60" s="1"/>
  <c r="AA142" i="60" a="1"/>
  <c r="AA142" i="60" s="1"/>
  <c r="T139" i="60" a="1"/>
  <c r="T139" i="60" s="1"/>
  <c r="M136" i="60" a="1"/>
  <c r="M136" i="60" s="1"/>
  <c r="F133" i="60" a="1"/>
  <c r="F133" i="60" s="1"/>
  <c r="AA130" i="60" a="1"/>
  <c r="AA130" i="60" s="1"/>
  <c r="AH129" i="60" a="1"/>
  <c r="AH129" i="60" s="1"/>
  <c r="F129" i="60" a="1"/>
  <c r="F129" i="60" s="1"/>
  <c r="M128" i="60" a="1"/>
  <c r="M128" i="60" s="1"/>
  <c r="T127" i="60" a="1"/>
  <c r="T127" i="60" s="1"/>
  <c r="AA126" i="60" a="1"/>
  <c r="AA126" i="60" s="1"/>
  <c r="AH125" i="60" a="1"/>
  <c r="AH125" i="60" s="1"/>
  <c r="F125" i="60" a="1"/>
  <c r="F125" i="60" s="1"/>
  <c r="M124" i="60" a="1"/>
  <c r="M124" i="60" s="1"/>
  <c r="T123" i="60" a="1"/>
  <c r="T123" i="60" s="1"/>
  <c r="AH121" i="60" a="1"/>
  <c r="AH121" i="60" s="1"/>
  <c r="F121" i="60" a="1"/>
  <c r="F121" i="60" s="1"/>
  <c r="M120" i="60" a="1"/>
  <c r="M120" i="60" s="1"/>
  <c r="T119" i="60" a="1"/>
  <c r="T119" i="60" s="1"/>
  <c r="AA118" i="60" a="1"/>
  <c r="AA118" i="60" s="1"/>
  <c r="T117" i="60" a="1"/>
  <c r="T117" i="60" s="1"/>
  <c r="AA116" i="60" a="1"/>
  <c r="AA116" i="60" s="1"/>
  <c r="AH115" i="60" a="1"/>
  <c r="AH115" i="60" s="1"/>
  <c r="F115" i="60" a="1"/>
  <c r="F115" i="60" s="1"/>
  <c r="M114" i="60" a="1"/>
  <c r="M114" i="60" s="1"/>
  <c r="T113" i="60" a="1"/>
  <c r="T113" i="60" s="1"/>
  <c r="AA112" i="60" a="1"/>
  <c r="AA112" i="60" s="1"/>
  <c r="AH111" i="60" a="1"/>
  <c r="AH111" i="60" s="1"/>
  <c r="F111" i="60" a="1"/>
  <c r="F111" i="60" s="1"/>
  <c r="M110" i="60" a="1"/>
  <c r="M110" i="60" s="1"/>
  <c r="AA108" i="60" a="1"/>
  <c r="AA108" i="60" s="1"/>
  <c r="AH107" i="60" a="1"/>
  <c r="AH107" i="60" s="1"/>
  <c r="F107" i="60" a="1"/>
  <c r="F107" i="60" s="1"/>
  <c r="M106" i="60" a="1"/>
  <c r="M106" i="60" s="1"/>
  <c r="T105" i="60" a="1"/>
  <c r="T105" i="60" s="1"/>
  <c r="AA152" i="60" a="1"/>
  <c r="AA152" i="60" s="1"/>
  <c r="AA145" i="60" a="1"/>
  <c r="AA145" i="60" s="1"/>
  <c r="AH141" i="60" a="1"/>
  <c r="AH141" i="60" s="1"/>
  <c r="AA138" i="60" a="1"/>
  <c r="AA138" i="60" s="1"/>
  <c r="M132" i="60" a="1"/>
  <c r="M132" i="60" s="1"/>
  <c r="AA129" i="60" a="1"/>
  <c r="AA129" i="60" s="1"/>
  <c r="T126" i="60" a="1"/>
  <c r="T126" i="60" s="1"/>
  <c r="M123" i="60" a="1"/>
  <c r="M123" i="60" s="1"/>
  <c r="F120" i="60" a="1"/>
  <c r="F120" i="60" s="1"/>
  <c r="M117" i="60" a="1"/>
  <c r="M117" i="60" s="1"/>
  <c r="F114" i="60" a="1"/>
  <c r="F114" i="60" s="1"/>
  <c r="T111" i="60" a="1"/>
  <c r="T111" i="60" s="1"/>
  <c r="T107" i="60" a="1"/>
  <c r="T107" i="60" s="1"/>
  <c r="AH105" i="60" a="1"/>
  <c r="AH105" i="60" s="1"/>
  <c r="AH104" i="60" a="1"/>
  <c r="AH104" i="60" s="1"/>
  <c r="F104" i="60" a="1"/>
  <c r="F104" i="60" s="1"/>
  <c r="M103" i="60" a="1"/>
  <c r="M103" i="60" s="1"/>
  <c r="T102" i="60" a="1"/>
  <c r="T102" i="60" s="1"/>
  <c r="AA101" i="60" a="1"/>
  <c r="AA101" i="60" s="1"/>
  <c r="AH100" i="60" a="1"/>
  <c r="AH100" i="60" s="1"/>
  <c r="F100" i="60" a="1"/>
  <c r="F100" i="60" s="1"/>
  <c r="M99" i="60" a="1"/>
  <c r="M99" i="60" s="1"/>
  <c r="T98" i="60" a="1"/>
  <c r="T98" i="60" s="1"/>
  <c r="AA97" i="60" a="1"/>
  <c r="AA97" i="60" s="1"/>
  <c r="M95" i="60" a="1"/>
  <c r="M95" i="60" s="1"/>
  <c r="T94" i="60" a="1"/>
  <c r="T94" i="60" s="1"/>
  <c r="AA93" i="60" a="1"/>
  <c r="AA93" i="60" s="1"/>
  <c r="AH92" i="60" a="1"/>
  <c r="AH92" i="60" s="1"/>
  <c r="F92" i="60" a="1"/>
  <c r="F92" i="60" s="1"/>
  <c r="T91" i="60" a="1"/>
  <c r="T91" i="60" s="1"/>
  <c r="AA90" i="60" a="1"/>
  <c r="AA90" i="60" s="1"/>
  <c r="T89" i="60" a="1"/>
  <c r="T89" i="60" s="1"/>
  <c r="AH128" i="60" a="1"/>
  <c r="AH128" i="60" s="1"/>
  <c r="AA125" i="60" a="1"/>
  <c r="AA125" i="60" s="1"/>
  <c r="M119" i="60" a="1"/>
  <c r="M119" i="60" s="1"/>
  <c r="T116" i="60" a="1"/>
  <c r="T116" i="60" s="1"/>
  <c r="M113" i="60" a="1"/>
  <c r="M113" i="60" s="1"/>
  <c r="AH110" i="60" a="1"/>
  <c r="AH110" i="60" s="1"/>
  <c r="T108" i="60" a="1"/>
  <c r="T108" i="60" s="1"/>
  <c r="AH106" i="60" a="1"/>
  <c r="AH106" i="60" s="1"/>
  <c r="M105" i="60" a="1"/>
  <c r="M105" i="60" s="1"/>
  <c r="AA104" i="60" a="1"/>
  <c r="AA104" i="60" s="1"/>
  <c r="AH103" i="60" a="1"/>
  <c r="AH103" i="60" s="1"/>
  <c r="F103" i="60" a="1"/>
  <c r="F103" i="60" s="1"/>
  <c r="M102" i="60" a="1"/>
  <c r="M102" i="60" s="1"/>
  <c r="T101" i="60" a="1"/>
  <c r="T101" i="60" s="1"/>
  <c r="AA100" i="60" a="1"/>
  <c r="AA100" i="60" s="1"/>
  <c r="AH99" i="60" a="1"/>
  <c r="AH99" i="60" s="1"/>
  <c r="F99" i="60" a="1"/>
  <c r="F99" i="60" s="1"/>
  <c r="M98" i="60" a="1"/>
  <c r="M98" i="60" s="1"/>
  <c r="T97" i="60" a="1"/>
  <c r="T97" i="60" s="1"/>
  <c r="AH95" i="60" a="1"/>
  <c r="AH95" i="60" s="1"/>
  <c r="F95" i="60" a="1"/>
  <c r="F95" i="60" s="1"/>
  <c r="M94" i="60" a="1"/>
  <c r="M94" i="60" s="1"/>
  <c r="T93" i="60" a="1"/>
  <c r="T93" i="60" s="1"/>
  <c r="AA92" i="60" a="1"/>
  <c r="AA92" i="60" s="1"/>
  <c r="F128" i="60" a="1"/>
  <c r="F128" i="60" s="1"/>
  <c r="AH124" i="60" a="1"/>
  <c r="AH124" i="60" s="1"/>
  <c r="AA121" i="60" a="1"/>
  <c r="AA121" i="60" s="1"/>
  <c r="T118" i="60" a="1"/>
  <c r="T118" i="60" s="1"/>
  <c r="AA115" i="60" a="1"/>
  <c r="AA115" i="60" s="1"/>
  <c r="T112" i="60" a="1"/>
  <c r="T112" i="60" s="1"/>
  <c r="AA110" i="60" a="1"/>
  <c r="AA110" i="60" s="1"/>
  <c r="M108" i="60" a="1"/>
  <c r="M108" i="60" s="1"/>
  <c r="AA106" i="60" a="1"/>
  <c r="AA106" i="60" s="1"/>
  <c r="F105" i="60" a="1"/>
  <c r="F105" i="60" s="1"/>
  <c r="T104" i="60" a="1"/>
  <c r="T104" i="60" s="1"/>
  <c r="AA103" i="60" a="1"/>
  <c r="AA103" i="60" s="1"/>
  <c r="AH102" i="60" a="1"/>
  <c r="AH102" i="60" s="1"/>
  <c r="F102" i="60" a="1"/>
  <c r="F102" i="60" s="1"/>
  <c r="M101" i="60" a="1"/>
  <c r="M101" i="60" s="1"/>
  <c r="T100" i="60" a="1"/>
  <c r="T100" i="60" s="1"/>
  <c r="AA99" i="60" a="1"/>
  <c r="AA99" i="60" s="1"/>
  <c r="AH98" i="60" a="1"/>
  <c r="AH98" i="60" s="1"/>
  <c r="F98" i="60" a="1"/>
  <c r="F98" i="60" s="1"/>
  <c r="M97" i="60" a="1"/>
  <c r="M97" i="60" s="1"/>
  <c r="AA95" i="60" a="1"/>
  <c r="AA95" i="60" s="1"/>
  <c r="AH94" i="60" a="1"/>
  <c r="AH94" i="60" s="1"/>
  <c r="F94" i="60" a="1"/>
  <c r="F94" i="60" s="1"/>
  <c r="M93" i="60" a="1"/>
  <c r="M93" i="60" s="1"/>
  <c r="T92" i="60" a="1"/>
  <c r="T92" i="60" s="1"/>
  <c r="T130" i="60" a="1"/>
  <c r="T130" i="60" s="1"/>
  <c r="M127" i="60" a="1"/>
  <c r="M127" i="60" s="1"/>
  <c r="F124" i="60" a="1"/>
  <c r="F124" i="60" s="1"/>
  <c r="AH120" i="60" a="1"/>
  <c r="AH120" i="60" s="1"/>
  <c r="AQ120" i="60" s="1"/>
  <c r="AH114" i="60" a="1"/>
  <c r="AH114" i="60" s="1"/>
  <c r="AA111" i="60" a="1"/>
  <c r="AA111" i="60" s="1"/>
  <c r="F110" i="60" a="1"/>
  <c r="F110" i="60" s="1"/>
  <c r="AA107" i="60" a="1"/>
  <c r="AA107" i="60" s="1"/>
  <c r="F106" i="60" a="1"/>
  <c r="F106" i="60" s="1"/>
  <c r="M104" i="60" a="1"/>
  <c r="M104" i="60" s="1"/>
  <c r="F101" i="60" a="1"/>
  <c r="F101" i="60" s="1"/>
  <c r="AH97" i="60" a="1"/>
  <c r="AH97" i="60" s="1"/>
  <c r="AA94" i="60" a="1"/>
  <c r="AA94" i="60" s="1"/>
  <c r="M91" i="60" a="1"/>
  <c r="M91" i="60" s="1"/>
  <c r="T90" i="60" a="1"/>
  <c r="T90" i="60" s="1"/>
  <c r="AA89" i="60" a="1"/>
  <c r="AA89" i="60" s="1"/>
  <c r="AA88" i="60" a="1"/>
  <c r="AA88" i="60" s="1"/>
  <c r="AH87" i="60" a="1"/>
  <c r="AH87" i="60" s="1"/>
  <c r="F87" i="60" a="1"/>
  <c r="F87" i="60" s="1"/>
  <c r="T86" i="60" a="1"/>
  <c r="T86" i="60" s="1"/>
  <c r="M85" i="60" a="1"/>
  <c r="M85" i="60" s="1"/>
  <c r="T84" i="60" a="1"/>
  <c r="T84" i="60" s="1"/>
  <c r="AH82" i="60" a="1"/>
  <c r="AH82" i="60" s="1"/>
  <c r="F82" i="60" a="1"/>
  <c r="F82" i="60" s="1"/>
  <c r="T81" i="60" a="1"/>
  <c r="T81" i="60" s="1"/>
  <c r="M80" i="60" a="1"/>
  <c r="M80" i="60" s="1"/>
  <c r="T79" i="60" a="1"/>
  <c r="T79" i="60" s="1"/>
  <c r="M78" i="60" a="1"/>
  <c r="M78" i="60" s="1"/>
  <c r="T77" i="60" a="1"/>
  <c r="T77" i="60" s="1"/>
  <c r="AA76" i="60" a="1"/>
  <c r="AA76" i="60" s="1"/>
  <c r="AH75" i="60" a="1"/>
  <c r="AH75" i="60" s="1"/>
  <c r="F75" i="60" a="1"/>
  <c r="F75" i="60" s="1"/>
  <c r="M74" i="60" a="1"/>
  <c r="M74" i="60" s="1"/>
  <c r="T73" i="60" a="1"/>
  <c r="T73" i="60" s="1"/>
  <c r="AA72" i="60" a="1"/>
  <c r="AA72" i="60" s="1"/>
  <c r="AH71" i="60" a="1"/>
  <c r="AH71" i="60" s="1"/>
  <c r="F71" i="60" a="1"/>
  <c r="F71" i="60" s="1"/>
  <c r="T69" i="60" a="1"/>
  <c r="T69" i="60" s="1"/>
  <c r="AA68" i="60" a="1"/>
  <c r="AA68" i="60" s="1"/>
  <c r="AH67" i="60" a="1"/>
  <c r="AH67" i="60" s="1"/>
  <c r="F67" i="60" a="1"/>
  <c r="F67" i="60" s="1"/>
  <c r="M66" i="60" a="1"/>
  <c r="M66" i="60" s="1"/>
  <c r="T103" i="60" a="1"/>
  <c r="T103" i="60" s="1"/>
  <c r="M100" i="60" a="1"/>
  <c r="M100" i="60" s="1"/>
  <c r="F97" i="60" a="1"/>
  <c r="F97" i="60" s="1"/>
  <c r="AH93" i="60" a="1"/>
  <c r="AH93" i="60" s="1"/>
  <c r="F91" i="60" a="1"/>
  <c r="F91" i="60" s="1"/>
  <c r="M90" i="60" a="1"/>
  <c r="M90" i="60" s="1"/>
  <c r="M89" i="60" a="1"/>
  <c r="M89" i="60" s="1"/>
  <c r="T88" i="60" a="1"/>
  <c r="T88" i="60" s="1"/>
  <c r="AA87" i="60" a="1"/>
  <c r="AA87" i="60" s="1"/>
  <c r="AH86" i="60" a="1"/>
  <c r="AH86" i="60" s="1"/>
  <c r="AH85" i="60" a="1"/>
  <c r="AH85" i="60" s="1"/>
  <c r="F85" i="60" a="1"/>
  <c r="F85" i="60" s="1"/>
  <c r="M84" i="60" a="1"/>
  <c r="M84" i="60" s="1"/>
  <c r="AA82" i="60" a="1"/>
  <c r="AA82" i="60" s="1"/>
  <c r="AH81" i="60" a="1"/>
  <c r="AH81" i="60" s="1"/>
  <c r="AH80" i="60" a="1"/>
  <c r="AH80" i="60" s="1"/>
  <c r="F80" i="60" a="1"/>
  <c r="F80" i="60" s="1"/>
  <c r="M79" i="60" a="1"/>
  <c r="M79" i="60" s="1"/>
  <c r="AH78" i="60" a="1"/>
  <c r="AH78" i="60" s="1"/>
  <c r="F78" i="60" a="1"/>
  <c r="F78" i="60" s="1"/>
  <c r="M77" i="60" a="1"/>
  <c r="M77" i="60" s="1"/>
  <c r="T76" i="60" a="1"/>
  <c r="T76" i="60" s="1"/>
  <c r="AA75" i="60" a="1"/>
  <c r="AA75" i="60" s="1"/>
  <c r="AH74" i="60" a="1"/>
  <c r="AH74" i="60" s="1"/>
  <c r="F74" i="60" a="1"/>
  <c r="F74" i="60" s="1"/>
  <c r="M73" i="60" a="1"/>
  <c r="M73" i="60" s="1"/>
  <c r="T72" i="60" a="1"/>
  <c r="T72" i="60" s="1"/>
  <c r="AA71" i="60" a="1"/>
  <c r="AA71" i="60" s="1"/>
  <c r="M69" i="60" a="1"/>
  <c r="M69" i="60" s="1"/>
  <c r="T68" i="60" a="1"/>
  <c r="T68" i="60" s="1"/>
  <c r="AA67" i="60" a="1"/>
  <c r="AA67" i="60" s="1"/>
  <c r="AH66" i="60" a="1"/>
  <c r="AH66" i="60" s="1"/>
  <c r="F66" i="60" a="1"/>
  <c r="F66" i="60" s="1"/>
  <c r="AA102" i="60" a="1"/>
  <c r="AA102" i="60" s="1"/>
  <c r="T99" i="60" a="1"/>
  <c r="T99" i="60" s="1"/>
  <c r="F93" i="60" a="1"/>
  <c r="F93" i="60" s="1"/>
  <c r="AH91" i="60" a="1"/>
  <c r="AH91" i="60" s="1"/>
  <c r="AH90" i="60" a="1"/>
  <c r="AH90" i="60" s="1"/>
  <c r="F90" i="60" a="1"/>
  <c r="F90" i="60" s="1"/>
  <c r="F89" i="60" a="1"/>
  <c r="F89" i="60" s="1"/>
  <c r="M88" i="60" a="1"/>
  <c r="M88" i="60" s="1"/>
  <c r="T87" i="60" a="1"/>
  <c r="T87" i="60" s="1"/>
  <c r="M86" i="60" a="1"/>
  <c r="M86" i="60" s="1"/>
  <c r="AA85" i="60" a="1"/>
  <c r="AA85" i="60" s="1"/>
  <c r="AH84" i="60" a="1"/>
  <c r="AH84" i="60" s="1"/>
  <c r="F84" i="60" a="1"/>
  <c r="F84" i="60" s="1"/>
  <c r="T82" i="60" a="1"/>
  <c r="T82" i="60" s="1"/>
  <c r="M81" i="60" a="1"/>
  <c r="M81" i="60" s="1"/>
  <c r="AA80" i="60" a="1"/>
  <c r="AA80" i="60" s="1"/>
  <c r="AH79" i="60" a="1"/>
  <c r="AH79" i="60" s="1"/>
  <c r="F79" i="60" a="1"/>
  <c r="F79" i="60" s="1"/>
  <c r="AA78" i="60" a="1"/>
  <c r="AA78" i="60" s="1"/>
  <c r="AH77" i="60" a="1"/>
  <c r="AH77" i="60" s="1"/>
  <c r="F77" i="60" a="1"/>
  <c r="F77" i="60" s="1"/>
  <c r="M76" i="60" a="1"/>
  <c r="M76" i="60" s="1"/>
  <c r="T75" i="60" a="1"/>
  <c r="T75" i="60" s="1"/>
  <c r="AA74" i="60" a="1"/>
  <c r="AA74" i="60" s="1"/>
  <c r="AH73" i="60" a="1"/>
  <c r="AH73" i="60" s="1"/>
  <c r="F73" i="60" a="1"/>
  <c r="F73" i="60" s="1"/>
  <c r="M72" i="60" a="1"/>
  <c r="M72" i="60" s="1"/>
  <c r="T71" i="60" a="1"/>
  <c r="T71" i="60" s="1"/>
  <c r="AH69" i="60" a="1"/>
  <c r="AH69" i="60" s="1"/>
  <c r="F69" i="60" a="1"/>
  <c r="F69" i="60" s="1"/>
  <c r="M68" i="60" a="1"/>
  <c r="M68" i="60" s="1"/>
  <c r="T67" i="60" a="1"/>
  <c r="T67" i="60" s="1"/>
  <c r="AA66" i="60" a="1"/>
  <c r="AA66" i="60" s="1"/>
  <c r="AH101" i="60" a="1"/>
  <c r="AH101" i="60" s="1"/>
  <c r="AA98" i="60" a="1"/>
  <c r="AA98" i="60" s="1"/>
  <c r="T95" i="60" a="1"/>
  <c r="T95" i="60" s="1"/>
  <c r="M92" i="60" a="1"/>
  <c r="M92" i="60" s="1"/>
  <c r="AA91" i="60" a="1"/>
  <c r="AA91" i="60" s="1"/>
  <c r="AH89" i="60" a="1"/>
  <c r="AH89" i="60" s="1"/>
  <c r="AH88" i="60" a="1"/>
  <c r="AH88" i="60" s="1"/>
  <c r="F88" i="60" a="1"/>
  <c r="F88" i="60" s="1"/>
  <c r="M87" i="60" a="1"/>
  <c r="M87" i="60" s="1"/>
  <c r="AA86" i="60" a="1"/>
  <c r="AA86" i="60" s="1"/>
  <c r="F86" i="60" a="1"/>
  <c r="F86" i="60" s="1"/>
  <c r="T85" i="60" a="1"/>
  <c r="T85" i="60" s="1"/>
  <c r="AA84" i="60" a="1"/>
  <c r="AA84" i="60" s="1"/>
  <c r="M82" i="60" a="1"/>
  <c r="M82" i="60" s="1"/>
  <c r="AA81" i="60" a="1"/>
  <c r="AA81" i="60" s="1"/>
  <c r="F81" i="60" a="1"/>
  <c r="F81" i="60" s="1"/>
  <c r="T80" i="60" a="1"/>
  <c r="T80" i="60" s="1"/>
  <c r="AA79" i="60" a="1"/>
  <c r="AA79" i="60" s="1"/>
  <c r="F76" i="60" a="1"/>
  <c r="F76" i="60" s="1"/>
  <c r="AH72" i="60" a="1"/>
  <c r="AH72" i="60" s="1"/>
  <c r="AA69" i="60" a="1"/>
  <c r="AA69" i="60" s="1"/>
  <c r="T66" i="60" a="1"/>
  <c r="T66" i="60" s="1"/>
  <c r="AH65" i="60" a="1"/>
  <c r="AH65" i="60" s="1"/>
  <c r="F65" i="60" a="1"/>
  <c r="F65" i="60" s="1"/>
  <c r="M64" i="60" a="1"/>
  <c r="M64" i="60" s="1"/>
  <c r="T63" i="60" a="1"/>
  <c r="T63" i="60" s="1"/>
  <c r="AA62" i="60" a="1"/>
  <c r="AA62" i="60" s="1"/>
  <c r="AH61" i="60" a="1"/>
  <c r="AH61" i="60" s="1"/>
  <c r="F61" i="60" a="1"/>
  <c r="F61" i="60" s="1"/>
  <c r="M60" i="60" a="1"/>
  <c r="M60" i="60" s="1"/>
  <c r="T59" i="60" a="1"/>
  <c r="T59" i="60" s="1"/>
  <c r="AA58" i="60" a="1"/>
  <c r="AA58" i="60" s="1"/>
  <c r="M56" i="60" a="1"/>
  <c r="M56" i="60" s="1"/>
  <c r="T55" i="60" a="1"/>
  <c r="T55" i="60" s="1"/>
  <c r="AA54" i="60" a="1"/>
  <c r="AA54" i="60" s="1"/>
  <c r="AH53" i="60" a="1"/>
  <c r="AH53" i="60" s="1"/>
  <c r="F53" i="60" a="1"/>
  <c r="F53" i="60" s="1"/>
  <c r="AA52" i="60" a="1"/>
  <c r="AA52" i="60" s="1"/>
  <c r="AH51" i="60" a="1"/>
  <c r="AH51" i="60" s="1"/>
  <c r="F51" i="60" a="1"/>
  <c r="F51" i="60" s="1"/>
  <c r="M50" i="60" a="1"/>
  <c r="M50" i="60" s="1"/>
  <c r="T49" i="60" a="1"/>
  <c r="T49" i="60" s="1"/>
  <c r="AA48" i="60" a="1"/>
  <c r="AA48" i="60" s="1"/>
  <c r="AH47" i="60" a="1"/>
  <c r="AH47" i="60" s="1"/>
  <c r="F47" i="60" a="1"/>
  <c r="F47" i="60" s="1"/>
  <c r="M46" i="60" a="1"/>
  <c r="M46" i="60" s="1"/>
  <c r="T45" i="60" a="1"/>
  <c r="T45" i="60" s="1"/>
  <c r="AH43" i="60" a="1"/>
  <c r="AH43" i="60" s="1"/>
  <c r="F43" i="60" a="1"/>
  <c r="F43" i="60" s="1"/>
  <c r="M42" i="60" a="1"/>
  <c r="M42" i="60" s="1"/>
  <c r="T41" i="60" a="1"/>
  <c r="T41" i="60" s="1"/>
  <c r="AA40" i="60" a="1"/>
  <c r="AA40" i="60" s="1"/>
  <c r="T78" i="60" a="1"/>
  <c r="T78" i="60" s="1"/>
  <c r="M75" i="60" a="1"/>
  <c r="M75" i="60" s="1"/>
  <c r="F72" i="60" a="1"/>
  <c r="F72" i="60" s="1"/>
  <c r="AH68" i="60" a="1"/>
  <c r="AH68" i="60" s="1"/>
  <c r="AA65" i="60" a="1"/>
  <c r="AA65" i="60" s="1"/>
  <c r="AH64" i="60" a="1"/>
  <c r="AH64" i="60" s="1"/>
  <c r="F64" i="60" a="1"/>
  <c r="F64" i="60" s="1"/>
  <c r="M63" i="60" a="1"/>
  <c r="M63" i="60" s="1"/>
  <c r="T62" i="60" a="1"/>
  <c r="T62" i="60" s="1"/>
  <c r="AA61" i="60" a="1"/>
  <c r="AA61" i="60" s="1"/>
  <c r="AH60" i="60" a="1"/>
  <c r="AH60" i="60" s="1"/>
  <c r="F60" i="60" a="1"/>
  <c r="F60" i="60" s="1"/>
  <c r="M59" i="60" a="1"/>
  <c r="M59" i="60" s="1"/>
  <c r="T58" i="60" a="1"/>
  <c r="T58" i="60" s="1"/>
  <c r="AH56" i="60" a="1"/>
  <c r="AH56" i="60" s="1"/>
  <c r="F56" i="60" a="1"/>
  <c r="F56" i="60" s="1"/>
  <c r="M55" i="60" a="1"/>
  <c r="M55" i="60" s="1"/>
  <c r="T54" i="60" a="1"/>
  <c r="T54" i="60" s="1"/>
  <c r="AA53" i="60" a="1"/>
  <c r="AA53" i="60" s="1"/>
  <c r="T52" i="60" a="1"/>
  <c r="T52" i="60" s="1"/>
  <c r="AA51" i="60" a="1"/>
  <c r="AA51" i="60" s="1"/>
  <c r="AH50" i="60" a="1"/>
  <c r="AH50" i="60" s="1"/>
  <c r="F50" i="60" a="1"/>
  <c r="F50" i="60" s="1"/>
  <c r="M49" i="60" a="1"/>
  <c r="M49" i="60" s="1"/>
  <c r="T48" i="60" a="1"/>
  <c r="T48" i="60" s="1"/>
  <c r="AA47" i="60" a="1"/>
  <c r="AA47" i="60" s="1"/>
  <c r="AH46" i="60" a="1"/>
  <c r="AH46" i="60" s="1"/>
  <c r="F46" i="60" a="1"/>
  <c r="F46" i="60" s="1"/>
  <c r="M45" i="60" a="1"/>
  <c r="M45" i="60" s="1"/>
  <c r="AA43" i="60" a="1"/>
  <c r="AA43" i="60" s="1"/>
  <c r="AH42" i="60" a="1"/>
  <c r="AH42" i="60" s="1"/>
  <c r="F42" i="60" a="1"/>
  <c r="F42" i="60" s="1"/>
  <c r="M41" i="60" a="1"/>
  <c r="M41" i="60" s="1"/>
  <c r="T40" i="60" a="1"/>
  <c r="T40" i="60" s="1"/>
  <c r="AA77" i="60" a="1"/>
  <c r="AA77" i="60" s="1"/>
  <c r="T74" i="60" a="1"/>
  <c r="T74" i="60" s="1"/>
  <c r="M71" i="60" a="1"/>
  <c r="M71" i="60" s="1"/>
  <c r="F68" i="60" a="1"/>
  <c r="F68" i="60" s="1"/>
  <c r="T65" i="60" a="1"/>
  <c r="T65" i="60" s="1"/>
  <c r="AA64" i="60" a="1"/>
  <c r="AA64" i="60" s="1"/>
  <c r="AH63" i="60" a="1"/>
  <c r="AH63" i="60" s="1"/>
  <c r="F63" i="60" a="1"/>
  <c r="F63" i="60" s="1"/>
  <c r="M62" i="60" a="1"/>
  <c r="M62" i="60" s="1"/>
  <c r="T61" i="60" a="1"/>
  <c r="T61" i="60" s="1"/>
  <c r="AA60" i="60" a="1"/>
  <c r="AA60" i="60" s="1"/>
  <c r="AH59" i="60" a="1"/>
  <c r="AH59" i="60" s="1"/>
  <c r="F59" i="60" a="1"/>
  <c r="F59" i="60" s="1"/>
  <c r="M58" i="60" a="1"/>
  <c r="M58" i="60" s="1"/>
  <c r="AA56" i="60" a="1"/>
  <c r="AA56" i="60" s="1"/>
  <c r="AH55" i="60" a="1"/>
  <c r="AH55" i="60" s="1"/>
  <c r="F55" i="60" a="1"/>
  <c r="F55" i="60" s="1"/>
  <c r="M54" i="60" a="1"/>
  <c r="M54" i="60" s="1"/>
  <c r="T53" i="60" a="1"/>
  <c r="T53" i="60" s="1"/>
  <c r="M52" i="60" a="1"/>
  <c r="M52" i="60" s="1"/>
  <c r="T51" i="60" a="1"/>
  <c r="T51" i="60" s="1"/>
  <c r="AA50" i="60" a="1"/>
  <c r="AA50" i="60" s="1"/>
  <c r="AH49" i="60" a="1"/>
  <c r="AH49" i="60" s="1"/>
  <c r="F49" i="60" a="1"/>
  <c r="F49" i="60" s="1"/>
  <c r="M48" i="60" a="1"/>
  <c r="M48" i="60" s="1"/>
  <c r="T47" i="60" a="1"/>
  <c r="T47" i="60" s="1"/>
  <c r="AA46" i="60" a="1"/>
  <c r="AA46" i="60" s="1"/>
  <c r="AH45" i="60" a="1"/>
  <c r="AH45" i="60" s="1"/>
  <c r="F45" i="60" a="1"/>
  <c r="F45" i="60" s="1"/>
  <c r="T43" i="60" a="1"/>
  <c r="T43" i="60" s="1"/>
  <c r="AA42" i="60" a="1"/>
  <c r="AA42" i="60" s="1"/>
  <c r="AH41" i="60" a="1"/>
  <c r="AH41" i="60" s="1"/>
  <c r="F41" i="60" a="1"/>
  <c r="F41" i="60" s="1"/>
  <c r="M40" i="60" a="1"/>
  <c r="M40" i="60" s="1"/>
  <c r="AH76" i="60" a="1"/>
  <c r="AH76" i="60" s="1"/>
  <c r="AQ76" i="60" s="1"/>
  <c r="AA73" i="60" a="1"/>
  <c r="AA73" i="60" s="1"/>
  <c r="M67" i="60" a="1"/>
  <c r="M67" i="60" s="1"/>
  <c r="M65" i="60" a="1"/>
  <c r="M65" i="60" s="1"/>
  <c r="T64" i="60" a="1"/>
  <c r="T64" i="60" s="1"/>
  <c r="AA63" i="60" a="1"/>
  <c r="AA63" i="60" s="1"/>
  <c r="AH62" i="60" a="1"/>
  <c r="AH62" i="60" s="1"/>
  <c r="F62" i="60" a="1"/>
  <c r="F62" i="60" s="1"/>
  <c r="M61" i="60" a="1"/>
  <c r="M61" i="60" s="1"/>
  <c r="T60" i="60" a="1"/>
  <c r="T60" i="60" s="1"/>
  <c r="AA59" i="60" a="1"/>
  <c r="AA59" i="60" s="1"/>
  <c r="AH58" i="60" a="1"/>
  <c r="AH58" i="60" s="1"/>
  <c r="F58" i="60" a="1"/>
  <c r="F58" i="60" s="1"/>
  <c r="T56" i="60" a="1"/>
  <c r="T56" i="60" s="1"/>
  <c r="AA55" i="60" a="1"/>
  <c r="AA55" i="60" s="1"/>
  <c r="AH54" i="60" a="1"/>
  <c r="AH54" i="60" s="1"/>
  <c r="F54" i="60" a="1"/>
  <c r="F54" i="60" s="1"/>
  <c r="M53" i="60" a="1"/>
  <c r="M53" i="60" s="1"/>
  <c r="AH52" i="60" a="1"/>
  <c r="AH52" i="60" s="1"/>
  <c r="F52" i="60" a="1"/>
  <c r="F52" i="60" s="1"/>
  <c r="M51" i="60" a="1"/>
  <c r="M51" i="60" s="1"/>
  <c r="T50" i="60" a="1"/>
  <c r="T50" i="60" s="1"/>
  <c r="AA49" i="60" a="1"/>
  <c r="AA49" i="60" s="1"/>
  <c r="AH48" i="60" a="1"/>
  <c r="AH48" i="60" s="1"/>
  <c r="F48" i="60" a="1"/>
  <c r="F48" i="60" s="1"/>
  <c r="M47" i="60" a="1"/>
  <c r="M47" i="60" s="1"/>
  <c r="T46" i="60" a="1"/>
  <c r="T46" i="60" s="1"/>
  <c r="AA45" i="60" a="1"/>
  <c r="AA45" i="60" s="1"/>
  <c r="M43" i="60" a="1"/>
  <c r="M43" i="60" s="1"/>
  <c r="T42" i="60" a="1"/>
  <c r="T42" i="60" s="1"/>
  <c r="AA41" i="60" a="1"/>
  <c r="AA41" i="60" s="1"/>
  <c r="AH40" i="60" a="1"/>
  <c r="AH40" i="60" s="1"/>
  <c r="F40" i="60" a="1"/>
  <c r="F40" i="60" s="1"/>
  <c r="M39" i="60" a="1"/>
  <c r="M39" i="60" s="1"/>
  <c r="T38" i="60" a="1"/>
  <c r="T38" i="60" s="1"/>
  <c r="AA37" i="60" a="1"/>
  <c r="AA37" i="60" s="1"/>
  <c r="AH36" i="60" a="1"/>
  <c r="AH36" i="60" s="1"/>
  <c r="F36" i="60" a="1"/>
  <c r="F36" i="60" s="1"/>
  <c r="M35" i="60" a="1"/>
  <c r="M35" i="60" s="1"/>
  <c r="T34" i="60" a="1"/>
  <c r="T34" i="60" s="1"/>
  <c r="AA33" i="60" a="1"/>
  <c r="AA33" i="60" s="1"/>
  <c r="AH32" i="60" a="1"/>
  <c r="AH32" i="60" s="1"/>
  <c r="F32" i="60" a="1"/>
  <c r="F32" i="60" s="1"/>
  <c r="T30" i="60" a="1"/>
  <c r="T30" i="60" s="1"/>
  <c r="AA29" i="60" a="1"/>
  <c r="AA29" i="60" s="1"/>
  <c r="AH28" i="60" a="1"/>
  <c r="AH28" i="60" s="1"/>
  <c r="F28" i="60" a="1"/>
  <c r="F28" i="60" s="1"/>
  <c r="M27" i="60" a="1"/>
  <c r="M27" i="60" s="1"/>
  <c r="AH26" i="60" a="1"/>
  <c r="AH26" i="60" s="1"/>
  <c r="F26" i="60" a="1"/>
  <c r="F26" i="60" s="1"/>
  <c r="M25" i="60" a="1"/>
  <c r="M25" i="60" s="1"/>
  <c r="T24" i="60" a="1"/>
  <c r="T24" i="60" s="1"/>
  <c r="AA23" i="60" a="1"/>
  <c r="AA23" i="60" s="1"/>
  <c r="AH22" i="60" a="1"/>
  <c r="AH22" i="60" s="1"/>
  <c r="F22" i="60" a="1"/>
  <c r="F22" i="60" s="1"/>
  <c r="M21" i="60" a="1"/>
  <c r="M21" i="60" s="1"/>
  <c r="T20" i="60" a="1"/>
  <c r="T20" i="60" s="1"/>
  <c r="AA19" i="60" a="1"/>
  <c r="AA19" i="60" s="1"/>
  <c r="M17" i="60" a="1"/>
  <c r="M17" i="60" s="1"/>
  <c r="T16" i="60" a="1"/>
  <c r="T16" i="60" s="1"/>
  <c r="AA15" i="60" a="1"/>
  <c r="AA15" i="60" s="1"/>
  <c r="AH14" i="60" a="1"/>
  <c r="AH14" i="60" s="1"/>
  <c r="F14" i="60" a="1"/>
  <c r="F14" i="60" s="1"/>
  <c r="AH39" i="60" a="1"/>
  <c r="AH39" i="60" s="1"/>
  <c r="F39" i="60" a="1"/>
  <c r="F39" i="60" s="1"/>
  <c r="M38" i="60" a="1"/>
  <c r="M38" i="60" s="1"/>
  <c r="T37" i="60" a="1"/>
  <c r="T37" i="60" s="1"/>
  <c r="AA36" i="60" a="1"/>
  <c r="AA36" i="60" s="1"/>
  <c r="AH35" i="60" a="1"/>
  <c r="AH35" i="60" s="1"/>
  <c r="F35" i="60" a="1"/>
  <c r="F35" i="60" s="1"/>
  <c r="M34" i="60" a="1"/>
  <c r="M34" i="60" s="1"/>
  <c r="T33" i="60" a="1"/>
  <c r="T33" i="60" s="1"/>
  <c r="AA32" i="60" a="1"/>
  <c r="AA32" i="60" s="1"/>
  <c r="M30" i="60" a="1"/>
  <c r="M30" i="60" s="1"/>
  <c r="T29" i="60" a="1"/>
  <c r="T29" i="60" s="1"/>
  <c r="AA28" i="60" a="1"/>
  <c r="AA28" i="60" s="1"/>
  <c r="AH27" i="60" a="1"/>
  <c r="AH27" i="60" s="1"/>
  <c r="F27" i="60" a="1"/>
  <c r="F27" i="60" s="1"/>
  <c r="AA26" i="60" a="1"/>
  <c r="AA26" i="60" s="1"/>
  <c r="AH25" i="60" a="1"/>
  <c r="AH25" i="60" s="1"/>
  <c r="F25" i="60" a="1"/>
  <c r="F25" i="60" s="1"/>
  <c r="M24" i="60" a="1"/>
  <c r="M24" i="60" s="1"/>
  <c r="T23" i="60" a="1"/>
  <c r="T23" i="60" s="1"/>
  <c r="AA22" i="60" a="1"/>
  <c r="AA22" i="60" s="1"/>
  <c r="AH21" i="60" a="1"/>
  <c r="AH21" i="60" s="1"/>
  <c r="F21" i="60" a="1"/>
  <c r="F21" i="60" s="1"/>
  <c r="M20" i="60" a="1"/>
  <c r="M20" i="60" s="1"/>
  <c r="T19" i="60" a="1"/>
  <c r="T19" i="60" s="1"/>
  <c r="AH17" i="60" a="1"/>
  <c r="AH17" i="60" s="1"/>
  <c r="F17" i="60" a="1"/>
  <c r="F17" i="60" s="1"/>
  <c r="M16" i="60" a="1"/>
  <c r="M16" i="60" s="1"/>
  <c r="T15" i="60" a="1"/>
  <c r="T15" i="60" s="1"/>
  <c r="AA14" i="60" a="1"/>
  <c r="AA14" i="60" s="1"/>
  <c r="M19" i="60" a="1"/>
  <c r="M19" i="60" s="1"/>
  <c r="AH16" i="60" a="1"/>
  <c r="AH16" i="60" s="1"/>
  <c r="M15" i="60" a="1"/>
  <c r="M15" i="60" s="1"/>
  <c r="AA39" i="60" a="1"/>
  <c r="AA39" i="60" s="1"/>
  <c r="AH38" i="60" a="1"/>
  <c r="AH38" i="60" s="1"/>
  <c r="F38" i="60" a="1"/>
  <c r="F38" i="60" s="1"/>
  <c r="M37" i="60" a="1"/>
  <c r="M37" i="60" s="1"/>
  <c r="T36" i="60" a="1"/>
  <c r="T36" i="60" s="1"/>
  <c r="AA35" i="60" a="1"/>
  <c r="AA35" i="60" s="1"/>
  <c r="AH34" i="60" a="1"/>
  <c r="AH34" i="60" s="1"/>
  <c r="F34" i="60" a="1"/>
  <c r="F34" i="60" s="1"/>
  <c r="M33" i="60" a="1"/>
  <c r="M33" i="60" s="1"/>
  <c r="T32" i="60" a="1"/>
  <c r="T32" i="60" s="1"/>
  <c r="AH30" i="60" a="1"/>
  <c r="AH30" i="60" s="1"/>
  <c r="F30" i="60" a="1"/>
  <c r="F30" i="60" s="1"/>
  <c r="M29" i="60" a="1"/>
  <c r="M29" i="60" s="1"/>
  <c r="T28" i="60" a="1"/>
  <c r="T28" i="60" s="1"/>
  <c r="AA27" i="60" a="1"/>
  <c r="AA27" i="60" s="1"/>
  <c r="T26" i="60" a="1"/>
  <c r="T26" i="60" s="1"/>
  <c r="AA25" i="60" a="1"/>
  <c r="AA25" i="60" s="1"/>
  <c r="AH24" i="60" a="1"/>
  <c r="AH24" i="60" s="1"/>
  <c r="F24" i="60" a="1"/>
  <c r="F24" i="60" s="1"/>
  <c r="M23" i="60" a="1"/>
  <c r="M23" i="60" s="1"/>
  <c r="T22" i="60" a="1"/>
  <c r="T22" i="60" s="1"/>
  <c r="AA21" i="60" a="1"/>
  <c r="AA21" i="60" s="1"/>
  <c r="AH20" i="60" a="1"/>
  <c r="AH20" i="60" s="1"/>
  <c r="F20" i="60" a="1"/>
  <c r="F20" i="60" s="1"/>
  <c r="AA17" i="60" a="1"/>
  <c r="AA17" i="60" s="1"/>
  <c r="F16" i="60" a="1"/>
  <c r="F16" i="60" s="1"/>
  <c r="T14" i="60" a="1"/>
  <c r="T14" i="60" s="1"/>
  <c r="T39" i="60" a="1"/>
  <c r="T39" i="60" s="1"/>
  <c r="AA38" i="60" a="1"/>
  <c r="AA38" i="60" s="1"/>
  <c r="AH37" i="60" a="1"/>
  <c r="AH37" i="60" s="1"/>
  <c r="F37" i="60" a="1"/>
  <c r="F37" i="60" s="1"/>
  <c r="M36" i="60" a="1"/>
  <c r="M36" i="60" s="1"/>
  <c r="T35" i="60" a="1"/>
  <c r="T35" i="60" s="1"/>
  <c r="AA34" i="60" a="1"/>
  <c r="AA34" i="60" s="1"/>
  <c r="AH33" i="60" a="1"/>
  <c r="AH33" i="60" s="1"/>
  <c r="F33" i="60" a="1"/>
  <c r="F33" i="60" s="1"/>
  <c r="M32" i="60" a="1"/>
  <c r="M32" i="60" s="1"/>
  <c r="AA30" i="60" a="1"/>
  <c r="AA30" i="60" s="1"/>
  <c r="AH29" i="60" a="1"/>
  <c r="AH29" i="60" s="1"/>
  <c r="F29" i="60" a="1"/>
  <c r="F29" i="60" s="1"/>
  <c r="M28" i="60" a="1"/>
  <c r="M28" i="60" s="1"/>
  <c r="T27" i="60" a="1"/>
  <c r="T27" i="60" s="1"/>
  <c r="M26" i="60" a="1"/>
  <c r="M26" i="60" s="1"/>
  <c r="T25" i="60" a="1"/>
  <c r="T25" i="60" s="1"/>
  <c r="AA24" i="60" a="1"/>
  <c r="AA24" i="60" s="1"/>
  <c r="AH23" i="60" a="1"/>
  <c r="AH23" i="60" s="1"/>
  <c r="F23" i="60" a="1"/>
  <c r="F23" i="60" s="1"/>
  <c r="M22" i="60" a="1"/>
  <c r="M22" i="60" s="1"/>
  <c r="T21" i="60" a="1"/>
  <c r="T21" i="60" s="1"/>
  <c r="AA20" i="60" a="1"/>
  <c r="AA20" i="60" s="1"/>
  <c r="AH19" i="60" a="1"/>
  <c r="AH19" i="60" s="1"/>
  <c r="F19" i="60" a="1"/>
  <c r="F19" i="60" s="1"/>
  <c r="T17" i="60" a="1"/>
  <c r="T17" i="60" s="1"/>
  <c r="AA16" i="60" a="1"/>
  <c r="AA16" i="60" s="1"/>
  <c r="AH15" i="60" a="1"/>
  <c r="AH15" i="60" s="1"/>
  <c r="F15" i="60" a="1"/>
  <c r="F15" i="60" s="1"/>
  <c r="M14" i="60" a="1"/>
  <c r="M14" i="60" s="1"/>
  <c r="AA260" i="60" a="1"/>
  <c r="AA260" i="60" s="1"/>
  <c r="AH259" i="60" a="1"/>
  <c r="AH259" i="60" s="1"/>
  <c r="F259" i="60" a="1"/>
  <c r="F259" i="60" s="1"/>
  <c r="M258" i="60" a="1"/>
  <c r="M258" i="60" s="1"/>
  <c r="T257" i="60" a="1"/>
  <c r="T257" i="60" s="1"/>
  <c r="AA256" i="60" a="1"/>
  <c r="AA256" i="60" s="1"/>
  <c r="AH255" i="60" a="1"/>
  <c r="AH255" i="60" s="1"/>
  <c r="F255" i="60" a="1"/>
  <c r="F255" i="60" s="1"/>
  <c r="M254" i="60" a="1"/>
  <c r="M254" i="60" s="1"/>
  <c r="T253" i="60" a="1"/>
  <c r="T253" i="60" s="1"/>
  <c r="AH251" i="60" a="1"/>
  <c r="AH251" i="60" s="1"/>
  <c r="F251" i="60" a="1"/>
  <c r="F251" i="60" s="1"/>
  <c r="M250" i="60" a="1"/>
  <c r="M250" i="60" s="1"/>
  <c r="T249" i="60" a="1"/>
  <c r="T249" i="60" s="1"/>
  <c r="AA248" i="60" a="1"/>
  <c r="AA248" i="60" s="1"/>
  <c r="T260" i="60" a="1"/>
  <c r="T260" i="60" s="1"/>
  <c r="AA259" i="60" a="1"/>
  <c r="AA259" i="60" s="1"/>
  <c r="AH258" i="60" a="1"/>
  <c r="AH258" i="60" s="1"/>
  <c r="F258" i="60" a="1"/>
  <c r="F258" i="60" s="1"/>
  <c r="M257" i="60" a="1"/>
  <c r="M257" i="60" s="1"/>
  <c r="T256" i="60" a="1"/>
  <c r="T256" i="60" s="1"/>
  <c r="AA255" i="60" a="1"/>
  <c r="AA255" i="60" s="1"/>
  <c r="AH254" i="60" a="1"/>
  <c r="AH254" i="60" s="1"/>
  <c r="F254" i="60" a="1"/>
  <c r="F254" i="60" s="1"/>
  <c r="M253" i="60" a="1"/>
  <c r="M253" i="60" s="1"/>
  <c r="AA251" i="60" a="1"/>
  <c r="AA251" i="60" s="1"/>
  <c r="AH250" i="60" a="1"/>
  <c r="AH250" i="60" s="1"/>
  <c r="F250" i="60" a="1"/>
  <c r="F250" i="60" s="1"/>
  <c r="M249" i="60" a="1"/>
  <c r="M249" i="60" s="1"/>
  <c r="T248" i="60" a="1"/>
  <c r="T248" i="60" s="1"/>
  <c r="M260" i="60" a="1"/>
  <c r="M260" i="60" s="1"/>
  <c r="T259" i="60" a="1"/>
  <c r="T259" i="60" s="1"/>
  <c r="AA258" i="60" a="1"/>
  <c r="AA258" i="60" s="1"/>
  <c r="AH257" i="60" a="1"/>
  <c r="AH257" i="60" s="1"/>
  <c r="F257" i="60" a="1"/>
  <c r="F257" i="60" s="1"/>
  <c r="M256" i="60" a="1"/>
  <c r="M256" i="60" s="1"/>
  <c r="T255" i="60" a="1"/>
  <c r="T255" i="60" s="1"/>
  <c r="AA254" i="60" a="1"/>
  <c r="AA254" i="60" s="1"/>
  <c r="AH253" i="60" a="1"/>
  <c r="AH253" i="60" s="1"/>
  <c r="F253" i="60" a="1"/>
  <c r="F253" i="60" s="1"/>
  <c r="T251" i="60" a="1"/>
  <c r="T251" i="60" s="1"/>
  <c r="AA250" i="60" a="1"/>
  <c r="AA250" i="60" s="1"/>
  <c r="AH249" i="60" a="1"/>
  <c r="AH249" i="60" s="1"/>
  <c r="F249" i="60" a="1"/>
  <c r="F249" i="60" s="1"/>
  <c r="M248" i="60" a="1"/>
  <c r="M248" i="60" s="1"/>
  <c r="AH260" i="60" a="1"/>
  <c r="AH260" i="60" s="1"/>
  <c r="F260" i="60" a="1"/>
  <c r="F260" i="60" s="1"/>
  <c r="M259" i="60" a="1"/>
  <c r="M259" i="60" s="1"/>
  <c r="T258" i="60" a="1"/>
  <c r="T258" i="60" s="1"/>
  <c r="AA257" i="60" a="1"/>
  <c r="AA257" i="60" s="1"/>
  <c r="AH256" i="60" a="1"/>
  <c r="AH256" i="60" s="1"/>
  <c r="F256" i="60" a="1"/>
  <c r="F256" i="60" s="1"/>
  <c r="M255" i="60" a="1"/>
  <c r="M255" i="60" s="1"/>
  <c r="T254" i="60" a="1"/>
  <c r="T254" i="60" s="1"/>
  <c r="AA253" i="60" a="1"/>
  <c r="AA253" i="60" s="1"/>
  <c r="M251" i="60" a="1"/>
  <c r="M251" i="60" s="1"/>
  <c r="T250" i="60" a="1"/>
  <c r="T250" i="60" s="1"/>
  <c r="AA249" i="60" a="1"/>
  <c r="AA249" i="60" s="1"/>
  <c r="AH248" i="60" a="1"/>
  <c r="AH248" i="60" s="1"/>
  <c r="M247" i="60" a="1"/>
  <c r="M247" i="60" s="1"/>
  <c r="T246" i="60" a="1"/>
  <c r="T246" i="60" s="1"/>
  <c r="AA245" i="60" a="1"/>
  <c r="AA245" i="60" s="1"/>
  <c r="AH244" i="60" a="1"/>
  <c r="AH244" i="60" s="1"/>
  <c r="F244" i="60" a="1"/>
  <c r="F244" i="60" s="1"/>
  <c r="M243" i="60" a="1"/>
  <c r="M243" i="60" s="1"/>
  <c r="T242" i="60" a="1"/>
  <c r="T242" i="60" s="1"/>
  <c r="AA241" i="60" a="1"/>
  <c r="AA241" i="60" s="1"/>
  <c r="AH240" i="60" a="1"/>
  <c r="AH240" i="60" s="1"/>
  <c r="F240" i="60" a="1"/>
  <c r="F240" i="60" s="1"/>
  <c r="T238" i="60" a="1"/>
  <c r="T238" i="60" s="1"/>
  <c r="AA237" i="60" a="1"/>
  <c r="AA237" i="60" s="1"/>
  <c r="AH236" i="60" a="1"/>
  <c r="AH236" i="60" s="1"/>
  <c r="F236" i="60" a="1"/>
  <c r="F236" i="60" s="1"/>
  <c r="M235" i="60" a="1"/>
  <c r="M235" i="60" s="1"/>
  <c r="AH247" i="60" a="1"/>
  <c r="AH247" i="60" s="1"/>
  <c r="F247" i="60" a="1"/>
  <c r="F247" i="60" s="1"/>
  <c r="M246" i="60" a="1"/>
  <c r="M246" i="60" s="1"/>
  <c r="T245" i="60" a="1"/>
  <c r="T245" i="60" s="1"/>
  <c r="AA244" i="60" a="1"/>
  <c r="AA244" i="60" s="1"/>
  <c r="AH243" i="60" a="1"/>
  <c r="AH243" i="60" s="1"/>
  <c r="F243" i="60" a="1"/>
  <c r="F243" i="60" s="1"/>
  <c r="M242" i="60" a="1"/>
  <c r="M242" i="60" s="1"/>
  <c r="T241" i="60" a="1"/>
  <c r="T241" i="60" s="1"/>
  <c r="AA240" i="60" a="1"/>
  <c r="AA240" i="60" s="1"/>
  <c r="M238" i="60" a="1"/>
  <c r="M238" i="60" s="1"/>
  <c r="T237" i="60" a="1"/>
  <c r="T237" i="60" s="1"/>
  <c r="AA236" i="60" a="1"/>
  <c r="AA236" i="60" s="1"/>
  <c r="AH235" i="60" a="1"/>
  <c r="AH235" i="60" s="1"/>
  <c r="F235" i="60" a="1"/>
  <c r="F235" i="60" s="1"/>
  <c r="AA247" i="60" a="1"/>
  <c r="AA247" i="60" s="1"/>
  <c r="AH246" i="60" a="1"/>
  <c r="AH246" i="60" s="1"/>
  <c r="F246" i="60" a="1"/>
  <c r="F246" i="60" s="1"/>
  <c r="M245" i="60" a="1"/>
  <c r="M245" i="60" s="1"/>
  <c r="T244" i="60" a="1"/>
  <c r="T244" i="60" s="1"/>
  <c r="AA243" i="60" a="1"/>
  <c r="AA243" i="60" s="1"/>
  <c r="AH242" i="60" a="1"/>
  <c r="AH242" i="60" s="1"/>
  <c r="F242" i="60" a="1"/>
  <c r="F242" i="60" s="1"/>
  <c r="M241" i="60" a="1"/>
  <c r="M241" i="60" s="1"/>
  <c r="T240" i="60" a="1"/>
  <c r="T240" i="60" s="1"/>
  <c r="AH238" i="60" a="1"/>
  <c r="AH238" i="60" s="1"/>
  <c r="F238" i="60" a="1"/>
  <c r="F238" i="60" s="1"/>
  <c r="M237" i="60" a="1"/>
  <c r="M237" i="60" s="1"/>
  <c r="T236" i="60" a="1"/>
  <c r="T236" i="60" s="1"/>
  <c r="AA235" i="60" a="1"/>
  <c r="AA235" i="60" s="1"/>
  <c r="AH245" i="60" a="1"/>
  <c r="AH245" i="60" s="1"/>
  <c r="AA242" i="60" a="1"/>
  <c r="AA242" i="60" s="1"/>
  <c r="M236" i="60" a="1"/>
  <c r="M236" i="60" s="1"/>
  <c r="AH234" i="60" a="1"/>
  <c r="AH234" i="60" s="1"/>
  <c r="F234" i="60" a="1"/>
  <c r="F234" i="60" s="1"/>
  <c r="M233" i="60" a="1"/>
  <c r="M233" i="60" s="1"/>
  <c r="T232" i="60" a="1"/>
  <c r="T232" i="60" s="1"/>
  <c r="AA231" i="60" a="1"/>
  <c r="AA231" i="60" s="1"/>
  <c r="AH230" i="60" a="1"/>
  <c r="AH230" i="60" s="1"/>
  <c r="F230" i="60" a="1"/>
  <c r="F230" i="60" s="1"/>
  <c r="M229" i="60" a="1"/>
  <c r="M229" i="60" s="1"/>
  <c r="T228" i="60" a="1"/>
  <c r="T228" i="60" s="1"/>
  <c r="AA227" i="60" a="1"/>
  <c r="AA227" i="60" s="1"/>
  <c r="M225" i="60" a="1"/>
  <c r="M225" i="60" s="1"/>
  <c r="T224" i="60" a="1"/>
  <c r="T224" i="60" s="1"/>
  <c r="AA223" i="60" a="1"/>
  <c r="AA223" i="60" s="1"/>
  <c r="AH222" i="60" a="1"/>
  <c r="AH222" i="60" s="1"/>
  <c r="F222" i="60" a="1"/>
  <c r="F222" i="60" s="1"/>
  <c r="F245" i="60" a="1"/>
  <c r="F245" i="60" s="1"/>
  <c r="AH241" i="60" a="1"/>
  <c r="AH241" i="60" s="1"/>
  <c r="AA238" i="60" a="1"/>
  <c r="AA238" i="60" s="1"/>
  <c r="T235" i="60" a="1"/>
  <c r="T235" i="60" s="1"/>
  <c r="AA234" i="60" a="1"/>
  <c r="AA234" i="60" s="1"/>
  <c r="T247" i="60" a="1"/>
  <c r="T247" i="60" s="1"/>
  <c r="M244" i="60" a="1"/>
  <c r="M244" i="60" s="1"/>
  <c r="F241" i="60" a="1"/>
  <c r="F241" i="60" s="1"/>
  <c r="AH237" i="60" a="1"/>
  <c r="AH237" i="60" s="1"/>
  <c r="T234" i="60" a="1"/>
  <c r="T234" i="60" s="1"/>
  <c r="AA233" i="60" a="1"/>
  <c r="AA233" i="60" s="1"/>
  <c r="AH232" i="60" a="1"/>
  <c r="AH232" i="60" s="1"/>
  <c r="F232" i="60" a="1"/>
  <c r="F232" i="60" s="1"/>
  <c r="M231" i="60" a="1"/>
  <c r="M231" i="60" s="1"/>
  <c r="T230" i="60" a="1"/>
  <c r="T230" i="60" s="1"/>
  <c r="AA229" i="60" a="1"/>
  <c r="AA229" i="60" s="1"/>
  <c r="AH228" i="60" a="1"/>
  <c r="AH228" i="60" s="1"/>
  <c r="F228" i="60" a="1"/>
  <c r="F228" i="60" s="1"/>
  <c r="M227" i="60" a="1"/>
  <c r="M227" i="60" s="1"/>
  <c r="AA225" i="60" a="1"/>
  <c r="AA225" i="60" s="1"/>
  <c r="AH224" i="60" a="1"/>
  <c r="AH224" i="60" s="1"/>
  <c r="F224" i="60" a="1"/>
  <c r="F224" i="60" s="1"/>
  <c r="M223" i="60" a="1"/>
  <c r="M223" i="60" s="1"/>
  <c r="T222" i="60" a="1"/>
  <c r="T222" i="60" s="1"/>
  <c r="F233" i="60" a="1"/>
  <c r="F233" i="60" s="1"/>
  <c r="T231" i="60" a="1"/>
  <c r="T231" i="60" s="1"/>
  <c r="AH229" i="60" a="1"/>
  <c r="AH229" i="60" s="1"/>
  <c r="M228" i="60" a="1"/>
  <c r="M228" i="60" s="1"/>
  <c r="AA224" i="60" a="1"/>
  <c r="AA224" i="60" s="1"/>
  <c r="F223" i="60" a="1"/>
  <c r="F223" i="60" s="1"/>
  <c r="T221" i="60" a="1"/>
  <c r="T221" i="60" s="1"/>
  <c r="AA220" i="60" a="1"/>
  <c r="AA220" i="60" s="1"/>
  <c r="AH219" i="60" a="1"/>
  <c r="AH219" i="60" s="1"/>
  <c r="F219" i="60" a="1"/>
  <c r="F219" i="60" s="1"/>
  <c r="M218" i="60" a="1"/>
  <c r="M218" i="60" s="1"/>
  <c r="T217" i="60" a="1"/>
  <c r="T217" i="60" s="1"/>
  <c r="AA216" i="60" a="1"/>
  <c r="AA216" i="60" s="1"/>
  <c r="AH215" i="60" a="1"/>
  <c r="AH215" i="60" s="1"/>
  <c r="F215" i="60" a="1"/>
  <c r="F215" i="60" s="1"/>
  <c r="M214" i="60" a="1"/>
  <c r="M214" i="60" s="1"/>
  <c r="AA212" i="60" a="1"/>
  <c r="AA212" i="60" s="1"/>
  <c r="AH211" i="60" a="1"/>
  <c r="AH211" i="60" s="1"/>
  <c r="F211" i="60" a="1"/>
  <c r="F211" i="60" s="1"/>
  <c r="M210" i="60" a="1"/>
  <c r="M210" i="60" s="1"/>
  <c r="T209" i="60" a="1"/>
  <c r="T209" i="60" s="1"/>
  <c r="M208" i="60" a="1"/>
  <c r="M208" i="60" s="1"/>
  <c r="T207" i="60" a="1"/>
  <c r="T207" i="60" s="1"/>
  <c r="AA206" i="60" a="1"/>
  <c r="AA206" i="60" s="1"/>
  <c r="AH205" i="60" a="1"/>
  <c r="AH205" i="60" s="1"/>
  <c r="F205" i="60" a="1"/>
  <c r="F205" i="60" s="1"/>
  <c r="M204" i="60" a="1"/>
  <c r="M204" i="60" s="1"/>
  <c r="T203" i="60" a="1"/>
  <c r="T203" i="60" s="1"/>
  <c r="AA202" i="60" a="1"/>
  <c r="AA202" i="60" s="1"/>
  <c r="AH201" i="60" a="1"/>
  <c r="AH201" i="60" s="1"/>
  <c r="F201" i="60" a="1"/>
  <c r="F201" i="60" s="1"/>
  <c r="T199" i="60" a="1"/>
  <c r="T199" i="60" s="1"/>
  <c r="AA198" i="60" a="1"/>
  <c r="AA198" i="60" s="1"/>
  <c r="AH197" i="60" a="1"/>
  <c r="AH197" i="60" s="1"/>
  <c r="F197" i="60" a="1"/>
  <c r="F197" i="60" s="1"/>
  <c r="M196" i="60" a="1"/>
  <c r="M196" i="60" s="1"/>
  <c r="AA246" i="60" a="1"/>
  <c r="AA246" i="60" s="1"/>
  <c r="F237" i="60" a="1"/>
  <c r="F237" i="60" s="1"/>
  <c r="M234" i="60" a="1"/>
  <c r="M234" i="60" s="1"/>
  <c r="AA232" i="60" a="1"/>
  <c r="AA232" i="60" s="1"/>
  <c r="F231" i="60" a="1"/>
  <c r="F231" i="60" s="1"/>
  <c r="T229" i="60" a="1"/>
  <c r="T229" i="60" s="1"/>
  <c r="AH227" i="60" a="1"/>
  <c r="AH227" i="60" s="1"/>
  <c r="AH225" i="60" a="1"/>
  <c r="AH225" i="60" s="1"/>
  <c r="M224" i="60" a="1"/>
  <c r="M224" i="60" s="1"/>
  <c r="AA222" i="60" a="1"/>
  <c r="AA222" i="60" s="1"/>
  <c r="M221" i="60" a="1"/>
  <c r="M221" i="60" s="1"/>
  <c r="T220" i="60" a="1"/>
  <c r="T220" i="60" s="1"/>
  <c r="AA219" i="60" a="1"/>
  <c r="AA219" i="60" s="1"/>
  <c r="AH218" i="60" a="1"/>
  <c r="AH218" i="60" s="1"/>
  <c r="F218" i="60" a="1"/>
  <c r="F218" i="60" s="1"/>
  <c r="M217" i="60" a="1"/>
  <c r="M217" i="60" s="1"/>
  <c r="T216" i="60" a="1"/>
  <c r="T216" i="60" s="1"/>
  <c r="AA215" i="60" a="1"/>
  <c r="AA215" i="60" s="1"/>
  <c r="AH214" i="60" a="1"/>
  <c r="AH214" i="60" s="1"/>
  <c r="F214" i="60" a="1"/>
  <c r="F214" i="60" s="1"/>
  <c r="T212" i="60" a="1"/>
  <c r="T212" i="60" s="1"/>
  <c r="AA211" i="60" a="1"/>
  <c r="AA211" i="60" s="1"/>
  <c r="AH210" i="60" a="1"/>
  <c r="AH210" i="60" s="1"/>
  <c r="F210" i="60" a="1"/>
  <c r="F210" i="60" s="1"/>
  <c r="M209" i="60" a="1"/>
  <c r="M209" i="60" s="1"/>
  <c r="AH208" i="60" a="1"/>
  <c r="AH208" i="60" s="1"/>
  <c r="F208" i="60" a="1"/>
  <c r="F208" i="60" s="1"/>
  <c r="M207" i="60" a="1"/>
  <c r="M207" i="60" s="1"/>
  <c r="T206" i="60" a="1"/>
  <c r="T206" i="60" s="1"/>
  <c r="AA205" i="60" a="1"/>
  <c r="AA205" i="60" s="1"/>
  <c r="AH204" i="60" a="1"/>
  <c r="AH204" i="60" s="1"/>
  <c r="F204" i="60" a="1"/>
  <c r="F204" i="60" s="1"/>
  <c r="M203" i="60" a="1"/>
  <c r="M203" i="60" s="1"/>
  <c r="T202" i="60" a="1"/>
  <c r="T202" i="60" s="1"/>
  <c r="AA201" i="60" a="1"/>
  <c r="AA201" i="60" s="1"/>
  <c r="M199" i="60" a="1"/>
  <c r="M199" i="60" s="1"/>
  <c r="T198" i="60" a="1"/>
  <c r="T198" i="60" s="1"/>
  <c r="AA197" i="60" a="1"/>
  <c r="AA197" i="60" s="1"/>
  <c r="AH196" i="60" a="1"/>
  <c r="AH196" i="60" s="1"/>
  <c r="F196" i="60" a="1"/>
  <c r="F196" i="60" s="1"/>
  <c r="T243" i="60" a="1"/>
  <c r="T243" i="60" s="1"/>
  <c r="AH233" i="60" a="1"/>
  <c r="AH233" i="60" s="1"/>
  <c r="M232" i="60" a="1"/>
  <c r="M232" i="60" s="1"/>
  <c r="AA230" i="60" a="1"/>
  <c r="AA230" i="60" s="1"/>
  <c r="F229" i="60" a="1"/>
  <c r="F229" i="60" s="1"/>
  <c r="T227" i="60" a="1"/>
  <c r="T227" i="60" s="1"/>
  <c r="T225" i="60" a="1"/>
  <c r="T225" i="60" s="1"/>
  <c r="AH223" i="60" a="1"/>
  <c r="AH223" i="60" s="1"/>
  <c r="M222" i="60" a="1"/>
  <c r="M222" i="60" s="1"/>
  <c r="AH221" i="60" a="1"/>
  <c r="AH221" i="60" s="1"/>
  <c r="F221" i="60" a="1"/>
  <c r="F221" i="60" s="1"/>
  <c r="M220" i="60" a="1"/>
  <c r="M220" i="60" s="1"/>
  <c r="T219" i="60" a="1"/>
  <c r="T219" i="60" s="1"/>
  <c r="AA218" i="60" a="1"/>
  <c r="AA218" i="60" s="1"/>
  <c r="AH217" i="60" a="1"/>
  <c r="AH217" i="60" s="1"/>
  <c r="F217" i="60" a="1"/>
  <c r="F217" i="60" s="1"/>
  <c r="M216" i="60" a="1"/>
  <c r="M216" i="60" s="1"/>
  <c r="T215" i="60" a="1"/>
  <c r="T215" i="60" s="1"/>
  <c r="AA214" i="60" a="1"/>
  <c r="AA214" i="60" s="1"/>
  <c r="M212" i="60" a="1"/>
  <c r="M212" i="60" s="1"/>
  <c r="T211" i="60" a="1"/>
  <c r="T211" i="60" s="1"/>
  <c r="AA210" i="60" a="1"/>
  <c r="AA210" i="60" s="1"/>
  <c r="AH209" i="60" a="1"/>
  <c r="AH209" i="60" s="1"/>
  <c r="F209" i="60" a="1"/>
  <c r="F209" i="60" s="1"/>
  <c r="AA208" i="60" a="1"/>
  <c r="AA208" i="60" s="1"/>
  <c r="AH207" i="60" a="1"/>
  <c r="AH207" i="60" s="1"/>
  <c r="F207" i="60" a="1"/>
  <c r="F207" i="60" s="1"/>
  <c r="M206" i="60" a="1"/>
  <c r="M206" i="60" s="1"/>
  <c r="T205" i="60" a="1"/>
  <c r="T205" i="60" s="1"/>
  <c r="AA204" i="60" a="1"/>
  <c r="AA204" i="60" s="1"/>
  <c r="AH203" i="60" a="1"/>
  <c r="AH203" i="60" s="1"/>
  <c r="F203" i="60" a="1"/>
  <c r="F203" i="60" s="1"/>
  <c r="M202" i="60" a="1"/>
  <c r="M202" i="60" s="1"/>
  <c r="T201" i="60" a="1"/>
  <c r="T201" i="60" s="1"/>
  <c r="AH199" i="60" a="1"/>
  <c r="AH199" i="60" s="1"/>
  <c r="F199" i="60" a="1"/>
  <c r="F199" i="60" s="1"/>
  <c r="M198" i="60" a="1"/>
  <c r="M198" i="60" s="1"/>
  <c r="T197" i="60" a="1"/>
  <c r="T197" i="60" s="1"/>
  <c r="M230" i="60" a="1"/>
  <c r="M230" i="60" s="1"/>
  <c r="F225" i="60" a="1"/>
  <c r="F225" i="60" s="1"/>
  <c r="AA221" i="60" a="1"/>
  <c r="AA221" i="60" s="1"/>
  <c r="T218" i="60" a="1"/>
  <c r="T218" i="60" s="1"/>
  <c r="M215" i="60" a="1"/>
  <c r="M215" i="60" s="1"/>
  <c r="F212" i="60" a="1"/>
  <c r="F212" i="60" s="1"/>
  <c r="F206" i="60" a="1"/>
  <c r="F206" i="60" s="1"/>
  <c r="AH202" i="60" a="1"/>
  <c r="AH202" i="60" s="1"/>
  <c r="AA199" i="60" a="1"/>
  <c r="AA199" i="60" s="1"/>
  <c r="AA196" i="60" a="1"/>
  <c r="AA196" i="60" s="1"/>
  <c r="AA195" i="60" a="1"/>
  <c r="AA195" i="60" s="1"/>
  <c r="AH194" i="60" a="1"/>
  <c r="AH194" i="60" s="1"/>
  <c r="F194" i="60" a="1"/>
  <c r="F194" i="60" s="1"/>
  <c r="M193" i="60" a="1"/>
  <c r="M193" i="60" s="1"/>
  <c r="T192" i="60" a="1"/>
  <c r="T192" i="60" s="1"/>
  <c r="AA191" i="60" a="1"/>
  <c r="AA191" i="60" s="1"/>
  <c r="AH190" i="60" a="1"/>
  <c r="AH190" i="60" s="1"/>
  <c r="F190" i="60" a="1"/>
  <c r="F190" i="60" s="1"/>
  <c r="M189" i="60" a="1"/>
  <c r="M189" i="60" s="1"/>
  <c r="T188" i="60" a="1"/>
  <c r="T188" i="60" s="1"/>
  <c r="AH186" i="60" a="1"/>
  <c r="AH186" i="60" s="1"/>
  <c r="F186" i="60" a="1"/>
  <c r="F186" i="60" s="1"/>
  <c r="M185" i="60" a="1"/>
  <c r="M185" i="60" s="1"/>
  <c r="T184" i="60" a="1"/>
  <c r="T184" i="60" s="1"/>
  <c r="AA183" i="60" a="1"/>
  <c r="AA183" i="60" s="1"/>
  <c r="M240" i="60" a="1"/>
  <c r="M240" i="60" s="1"/>
  <c r="AA228" i="60" a="1"/>
  <c r="AA228" i="60" s="1"/>
  <c r="T223" i="60" a="1"/>
  <c r="T223" i="60" s="1"/>
  <c r="AH220" i="60" a="1"/>
  <c r="AH220" i="60" s="1"/>
  <c r="AA217" i="60" a="1"/>
  <c r="AA217" i="60" s="1"/>
  <c r="T214" i="60" a="1"/>
  <c r="T214" i="60" s="1"/>
  <c r="M211" i="60" a="1"/>
  <c r="M211" i="60" s="1"/>
  <c r="T208" i="60" a="1"/>
  <c r="T208" i="60" s="1"/>
  <c r="M205" i="60" a="1"/>
  <c r="M205" i="60" s="1"/>
  <c r="F202" i="60" a="1"/>
  <c r="F202" i="60" s="1"/>
  <c r="AH198" i="60" a="1"/>
  <c r="AH198" i="60" s="1"/>
  <c r="T196" i="60" a="1"/>
  <c r="T196" i="60" s="1"/>
  <c r="T195" i="60" a="1"/>
  <c r="T195" i="60" s="1"/>
  <c r="AA194" i="60" a="1"/>
  <c r="AA194" i="60" s="1"/>
  <c r="AH193" i="60" a="1"/>
  <c r="AH193" i="60" s="1"/>
  <c r="F193" i="60" a="1"/>
  <c r="F193" i="60" s="1"/>
  <c r="M192" i="60" a="1"/>
  <c r="M192" i="60" s="1"/>
  <c r="T191" i="60" a="1"/>
  <c r="T191" i="60" s="1"/>
  <c r="AA190" i="60" a="1"/>
  <c r="AA190" i="60" s="1"/>
  <c r="AH189" i="60" a="1"/>
  <c r="AH189" i="60" s="1"/>
  <c r="F189" i="60" a="1"/>
  <c r="F189" i="60" s="1"/>
  <c r="M188" i="60" a="1"/>
  <c r="M188" i="60" s="1"/>
  <c r="AA186" i="60" a="1"/>
  <c r="AA186" i="60" s="1"/>
  <c r="AH185" i="60" a="1"/>
  <c r="AH185" i="60" s="1"/>
  <c r="F185" i="60" a="1"/>
  <c r="F185" i="60" s="1"/>
  <c r="M184" i="60" a="1"/>
  <c r="M184" i="60" s="1"/>
  <c r="T183" i="60" a="1"/>
  <c r="T183" i="60" s="1"/>
  <c r="M182" i="60" a="1"/>
  <c r="M182" i="60" s="1"/>
  <c r="T181" i="60" a="1"/>
  <c r="T181" i="60" s="1"/>
  <c r="AA180" i="60" a="1"/>
  <c r="AA180" i="60" s="1"/>
  <c r="AH179" i="60" a="1"/>
  <c r="AH179" i="60" s="1"/>
  <c r="F179" i="60" a="1"/>
  <c r="F179" i="60" s="1"/>
  <c r="M178" i="60" a="1"/>
  <c r="M178" i="60" s="1"/>
  <c r="T177" i="60" a="1"/>
  <c r="T177" i="60" s="1"/>
  <c r="AA176" i="60" a="1"/>
  <c r="AA176" i="60" s="1"/>
  <c r="AH175" i="60" a="1"/>
  <c r="AH175" i="60" s="1"/>
  <c r="F175" i="60" a="1"/>
  <c r="F175" i="60" s="1"/>
  <c r="T173" i="60" a="1"/>
  <c r="T173" i="60" s="1"/>
  <c r="AA172" i="60" a="1"/>
  <c r="AA172" i="60" s="1"/>
  <c r="AH171" i="60" a="1"/>
  <c r="AH171" i="60" s="1"/>
  <c r="F171" i="60" a="1"/>
  <c r="F171" i="60" s="1"/>
  <c r="T233" i="60" a="1"/>
  <c r="T233" i="60" s="1"/>
  <c r="F227" i="60" a="1"/>
  <c r="F227" i="60" s="1"/>
  <c r="F220" i="60" a="1"/>
  <c r="F220" i="60" s="1"/>
  <c r="AH216" i="60" a="1"/>
  <c r="AH216" i="60" s="1"/>
  <c r="T210" i="60" a="1"/>
  <c r="T210" i="60" s="1"/>
  <c r="AA207" i="60" a="1"/>
  <c r="AA207" i="60" s="1"/>
  <c r="T204" i="60" a="1"/>
  <c r="T204" i="60" s="1"/>
  <c r="M201" i="60" a="1"/>
  <c r="M201" i="60" s="1"/>
  <c r="F198" i="60" a="1"/>
  <c r="F198" i="60" s="1"/>
  <c r="M195" i="60" a="1"/>
  <c r="M195" i="60" s="1"/>
  <c r="T194" i="60" a="1"/>
  <c r="T194" i="60" s="1"/>
  <c r="AA193" i="60" a="1"/>
  <c r="AA193" i="60" s="1"/>
  <c r="AH192" i="60" a="1"/>
  <c r="AH192" i="60" s="1"/>
  <c r="F192" i="60" a="1"/>
  <c r="F192" i="60" s="1"/>
  <c r="M191" i="60" a="1"/>
  <c r="M191" i="60" s="1"/>
  <c r="T190" i="60" a="1"/>
  <c r="T190" i="60" s="1"/>
  <c r="AA189" i="60" a="1"/>
  <c r="AA189" i="60" s="1"/>
  <c r="AH188" i="60" a="1"/>
  <c r="AH188" i="60" s="1"/>
  <c r="F188" i="60" a="1"/>
  <c r="F188" i="60" s="1"/>
  <c r="T186" i="60" a="1"/>
  <c r="T186" i="60" s="1"/>
  <c r="AA185" i="60" a="1"/>
  <c r="AA185" i="60" s="1"/>
  <c r="AH184" i="60" a="1"/>
  <c r="AH184" i="60" s="1"/>
  <c r="F184" i="60" a="1"/>
  <c r="F184" i="60" s="1"/>
  <c r="M183" i="60" a="1"/>
  <c r="M183" i="60" s="1"/>
  <c r="AH182" i="60" a="1"/>
  <c r="AH182" i="60" s="1"/>
  <c r="F182" i="60" a="1"/>
  <c r="F182" i="60" s="1"/>
  <c r="M181" i="60" a="1"/>
  <c r="M181" i="60" s="1"/>
  <c r="T180" i="60" a="1"/>
  <c r="T180" i="60" s="1"/>
  <c r="AA179" i="60" a="1"/>
  <c r="AA179" i="60" s="1"/>
  <c r="M219" i="60" a="1"/>
  <c r="M219" i="60" s="1"/>
  <c r="AA209" i="60" a="1"/>
  <c r="AA209" i="60" s="1"/>
  <c r="M197" i="60" a="1"/>
  <c r="M197" i="60" s="1"/>
  <c r="M194" i="60" a="1"/>
  <c r="M194" i="60" s="1"/>
  <c r="F191" i="60" a="1"/>
  <c r="F191" i="60" s="1"/>
  <c r="AH183" i="60" a="1"/>
  <c r="AH183" i="60" s="1"/>
  <c r="AA181" i="60" a="1"/>
  <c r="AA181" i="60" s="1"/>
  <c r="F180" i="60" a="1"/>
  <c r="F180" i="60" s="1"/>
  <c r="AA178" i="60" a="1"/>
  <c r="AA178" i="60" s="1"/>
  <c r="AA177" i="60" a="1"/>
  <c r="AA177" i="60" s="1"/>
  <c r="T176" i="60" a="1"/>
  <c r="T176" i="60" s="1"/>
  <c r="T175" i="60" a="1"/>
  <c r="T175" i="60" s="1"/>
  <c r="AA173" i="60" a="1"/>
  <c r="AA173" i="60" s="1"/>
  <c r="T172" i="60" a="1"/>
  <c r="T172" i="60" s="1"/>
  <c r="T171" i="60" a="1"/>
  <c r="T171" i="60" s="1"/>
  <c r="T170" i="60" a="1"/>
  <c r="T170" i="60" s="1"/>
  <c r="M169" i="60" a="1"/>
  <c r="M169" i="60" s="1"/>
  <c r="T168" i="60" a="1"/>
  <c r="T168" i="60" s="1"/>
  <c r="AA167" i="60" a="1"/>
  <c r="AA167" i="60" s="1"/>
  <c r="AH166" i="60" a="1"/>
  <c r="AH166" i="60" s="1"/>
  <c r="F166" i="60" a="1"/>
  <c r="F166" i="60" s="1"/>
  <c r="M165" i="60" a="1"/>
  <c r="M165" i="60" s="1"/>
  <c r="T164" i="60" a="1"/>
  <c r="T164" i="60" s="1"/>
  <c r="AA163" i="60" a="1"/>
  <c r="AA163" i="60" s="1"/>
  <c r="AH162" i="60" a="1"/>
  <c r="AH162" i="60" s="1"/>
  <c r="F162" i="60" a="1"/>
  <c r="F162" i="60" s="1"/>
  <c r="T160" i="60" a="1"/>
  <c r="T160" i="60" s="1"/>
  <c r="AA159" i="60" a="1"/>
  <c r="AA159" i="60" s="1"/>
  <c r="AH158" i="60" a="1"/>
  <c r="AH158" i="60" s="1"/>
  <c r="F158" i="60" a="1"/>
  <c r="F158" i="60" s="1"/>
  <c r="M157" i="60" a="1"/>
  <c r="M157" i="60" s="1"/>
  <c r="F216" i="60" a="1"/>
  <c r="F216" i="60" s="1"/>
  <c r="AH206" i="60" a="1"/>
  <c r="AH206" i="60" s="1"/>
  <c r="T193" i="60" a="1"/>
  <c r="T193" i="60" s="1"/>
  <c r="M190" i="60" a="1"/>
  <c r="M190" i="60" s="1"/>
  <c r="M186" i="60" a="1"/>
  <c r="M186" i="60" s="1"/>
  <c r="F183" i="60" a="1"/>
  <c r="F183" i="60" s="1"/>
  <c r="AA182" i="60" a="1"/>
  <c r="AA182" i="60" s="1"/>
  <c r="F181" i="60" a="1"/>
  <c r="F181" i="60" s="1"/>
  <c r="T179" i="60" a="1"/>
  <c r="T179" i="60" s="1"/>
  <c r="T178" i="60" a="1"/>
  <c r="T178" i="60" s="1"/>
  <c r="M177" i="60" a="1"/>
  <c r="M177" i="60" s="1"/>
  <c r="M176" i="60" a="1"/>
  <c r="M176" i="60" s="1"/>
  <c r="M175" i="60" a="1"/>
  <c r="M175" i="60" s="1"/>
  <c r="M173" i="60" a="1"/>
  <c r="M173" i="60" s="1"/>
  <c r="M172" i="60" a="1"/>
  <c r="M172" i="60" s="1"/>
  <c r="M171" i="60" a="1"/>
  <c r="M171" i="60" s="1"/>
  <c r="M170" i="60" a="1"/>
  <c r="M170" i="60" s="1"/>
  <c r="AH169" i="60" a="1"/>
  <c r="AH169" i="60" s="1"/>
  <c r="F169" i="60" a="1"/>
  <c r="F169" i="60" s="1"/>
  <c r="M168" i="60" a="1"/>
  <c r="M168" i="60" s="1"/>
  <c r="T167" i="60" a="1"/>
  <c r="T167" i="60" s="1"/>
  <c r="AA166" i="60" a="1"/>
  <c r="AA166" i="60" s="1"/>
  <c r="AH165" i="60" a="1"/>
  <c r="AH165" i="60" s="1"/>
  <c r="F165" i="60" a="1"/>
  <c r="F165" i="60" s="1"/>
  <c r="M164" i="60" a="1"/>
  <c r="M164" i="60" s="1"/>
  <c r="T163" i="60" a="1"/>
  <c r="T163" i="60" s="1"/>
  <c r="AA162" i="60" a="1"/>
  <c r="AA162" i="60" s="1"/>
  <c r="M160" i="60" a="1"/>
  <c r="M160" i="60" s="1"/>
  <c r="T159" i="60" a="1"/>
  <c r="T159" i="60" s="1"/>
  <c r="AA158" i="60" a="1"/>
  <c r="AA158" i="60" s="1"/>
  <c r="AH157" i="60" a="1"/>
  <c r="AH157" i="60" s="1"/>
  <c r="F157" i="60" a="1"/>
  <c r="F157" i="60" s="1"/>
  <c r="AA203" i="60" a="1"/>
  <c r="AA203" i="60" s="1"/>
  <c r="AH195" i="60" a="1"/>
  <c r="AH195" i="60" s="1"/>
  <c r="AA192" i="60" a="1"/>
  <c r="AA192" i="60" s="1"/>
  <c r="T189" i="60" a="1"/>
  <c r="T189" i="60" s="1"/>
  <c r="T185" i="60" a="1"/>
  <c r="T185" i="60" s="1"/>
  <c r="T182" i="60" a="1"/>
  <c r="T182" i="60" s="1"/>
  <c r="AH180" i="60" a="1"/>
  <c r="AH180" i="60" s="1"/>
  <c r="M179" i="60" a="1"/>
  <c r="M179" i="60" s="1"/>
  <c r="F178" i="60" a="1"/>
  <c r="F178" i="60" s="1"/>
  <c r="F177" i="60" a="1"/>
  <c r="F177" i="60" s="1"/>
  <c r="F176" i="60" a="1"/>
  <c r="F176" i="60" s="1"/>
  <c r="F173" i="60" a="1"/>
  <c r="F173" i="60" s="1"/>
  <c r="F172" i="60" a="1"/>
  <c r="F172" i="60" s="1"/>
  <c r="AH170" i="60" a="1"/>
  <c r="AH170" i="60" s="1"/>
  <c r="F170" i="60" a="1"/>
  <c r="F170" i="60" s="1"/>
  <c r="AA169" i="60" a="1"/>
  <c r="AA169" i="60" s="1"/>
  <c r="AH168" i="60" a="1"/>
  <c r="AH168" i="60" s="1"/>
  <c r="F168" i="60" a="1"/>
  <c r="F168" i="60" s="1"/>
  <c r="M167" i="60" a="1"/>
  <c r="M167" i="60" s="1"/>
  <c r="T166" i="60" a="1"/>
  <c r="T166" i="60" s="1"/>
  <c r="AA165" i="60" a="1"/>
  <c r="AA165" i="60" s="1"/>
  <c r="AH164" i="60" a="1"/>
  <c r="AH164" i="60" s="1"/>
  <c r="F164" i="60" a="1"/>
  <c r="F164" i="60" s="1"/>
  <c r="M163" i="60" a="1"/>
  <c r="M163" i="60" s="1"/>
  <c r="T162" i="60" a="1"/>
  <c r="T162" i="60" s="1"/>
  <c r="AH160" i="60" a="1"/>
  <c r="AH160" i="60" s="1"/>
  <c r="F160" i="60" a="1"/>
  <c r="F160" i="60" s="1"/>
  <c r="M159" i="60" a="1"/>
  <c r="M159" i="60" s="1"/>
  <c r="T158" i="60" a="1"/>
  <c r="T158" i="60" s="1"/>
  <c r="AA157" i="60" a="1"/>
  <c r="AA157" i="60" s="1"/>
  <c r="F248" i="60" a="1"/>
  <c r="F248" i="60" s="1"/>
  <c r="AH231" i="60" a="1"/>
  <c r="AH231" i="60" s="1"/>
  <c r="AQ231" i="60" s="1"/>
  <c r="AH212" i="60" a="1"/>
  <c r="AH212" i="60" s="1"/>
  <c r="AQ212" i="60" s="1"/>
  <c r="F195" i="60" a="1"/>
  <c r="F195" i="60" s="1"/>
  <c r="AH191" i="60" a="1"/>
  <c r="AH191" i="60" s="1"/>
  <c r="AA188" i="60" a="1"/>
  <c r="AA188" i="60" s="1"/>
  <c r="AA184" i="60" a="1"/>
  <c r="AA184" i="60" s="1"/>
  <c r="AH181" i="60" a="1"/>
  <c r="AH181" i="60" s="1"/>
  <c r="M180" i="60" a="1"/>
  <c r="M180" i="60" s="1"/>
  <c r="AH178" i="60" a="1"/>
  <c r="AH178" i="60" s="1"/>
  <c r="AH177" i="60" a="1"/>
  <c r="AH177" i="60" s="1"/>
  <c r="AH176" i="60" a="1"/>
  <c r="AH176" i="60" s="1"/>
  <c r="AA175" i="60" a="1"/>
  <c r="AA175" i="60" s="1"/>
  <c r="AH173" i="60" a="1"/>
  <c r="AH173" i="60" s="1"/>
  <c r="AH172" i="60" a="1"/>
  <c r="AH172" i="60" s="1"/>
  <c r="AA171" i="60" a="1"/>
  <c r="AA171" i="60" s="1"/>
  <c r="AA170" i="60" a="1"/>
  <c r="AA170" i="60" s="1"/>
  <c r="AH403" i="60" a="1"/>
  <c r="AH403" i="60" s="1"/>
  <c r="T403" i="60" a="1"/>
  <c r="T403" i="60" s="1"/>
  <c r="F403" i="60" a="1"/>
  <c r="F403" i="60" s="1"/>
  <c r="T402" i="60" a="1"/>
  <c r="T402" i="60" s="1"/>
  <c r="M400" i="60" a="1"/>
  <c r="M400" i="60" s="1"/>
  <c r="AA399" i="60" a="1"/>
  <c r="AA399" i="60" s="1"/>
  <c r="M399" i="60" a="1"/>
  <c r="M399" i="60" s="1"/>
  <c r="AH398" i="60" a="1"/>
  <c r="AH398" i="60" s="1"/>
  <c r="F398" i="60" a="1"/>
  <c r="F398" i="60" s="1"/>
  <c r="AA396" i="60" a="1"/>
  <c r="AA396" i="60" s="1"/>
  <c r="AA393" i="60" a="1"/>
  <c r="AA393" i="60" s="1"/>
  <c r="AH392" i="60" a="1"/>
  <c r="AH392" i="60" s="1"/>
  <c r="T392" i="60" a="1"/>
  <c r="T392" i="60" s="1"/>
  <c r="F392" i="60" a="1"/>
  <c r="F392" i="60" s="1"/>
  <c r="T391" i="60" a="1"/>
  <c r="T391" i="60" s="1"/>
  <c r="T390" i="60" a="1"/>
  <c r="T390" i="60" s="1"/>
  <c r="AA389" i="60" a="1"/>
  <c r="AA389" i="60" s="1"/>
  <c r="AH388" i="60" a="1"/>
  <c r="AH388" i="60" s="1"/>
  <c r="F388" i="60" a="1"/>
  <c r="F388" i="60" s="1"/>
  <c r="M387" i="60" a="1"/>
  <c r="M387" i="60" s="1"/>
  <c r="T386" i="60" a="1"/>
  <c r="T386" i="60" s="1"/>
  <c r="AA385" i="60" a="1"/>
  <c r="AA385" i="60" s="1"/>
  <c r="AH384" i="60" a="1"/>
  <c r="AH384" i="60" s="1"/>
  <c r="F384" i="60" a="1"/>
  <c r="F384" i="60" s="1"/>
  <c r="M383" i="60" a="1"/>
  <c r="M383" i="60" s="1"/>
  <c r="AA381" i="60" a="1"/>
  <c r="AA381" i="60" s="1"/>
  <c r="AH380" i="60" a="1"/>
  <c r="AH380" i="60" s="1"/>
  <c r="F380" i="60" a="1"/>
  <c r="F380" i="60" s="1"/>
  <c r="M379" i="60" a="1"/>
  <c r="M379" i="60" s="1"/>
  <c r="T378" i="60" a="1"/>
  <c r="T378" i="60" s="1"/>
  <c r="M402" i="60" a="1"/>
  <c r="M402" i="60" s="1"/>
  <c r="AA401" i="60" a="1"/>
  <c r="AA401" i="60" s="1"/>
  <c r="M401" i="60" a="1"/>
  <c r="M401" i="60" s="1"/>
  <c r="AH400" i="60" a="1"/>
  <c r="AH400" i="60" s="1"/>
  <c r="F400" i="60" a="1"/>
  <c r="F400" i="60" s="1"/>
  <c r="AA398" i="60" a="1"/>
  <c r="AA398" i="60" s="1"/>
  <c r="AH397" i="60" a="1"/>
  <c r="AH397" i="60" s="1"/>
  <c r="T397" i="60" a="1"/>
  <c r="T397" i="60" s="1"/>
  <c r="F397" i="60" a="1"/>
  <c r="F397" i="60" s="1"/>
  <c r="T396" i="60" a="1"/>
  <c r="T396" i="60" s="1"/>
  <c r="AH394" i="60" a="1"/>
  <c r="AH394" i="60" s="1"/>
  <c r="T394" i="60" a="1"/>
  <c r="T394" i="60" s="1"/>
  <c r="F394" i="60" a="1"/>
  <c r="F394" i="60" s="1"/>
  <c r="T393" i="60" a="1"/>
  <c r="T393" i="60" s="1"/>
  <c r="M391" i="60" a="1"/>
  <c r="M391" i="60" s="1"/>
  <c r="M390" i="60" a="1"/>
  <c r="M390" i="60" s="1"/>
  <c r="T389" i="60" a="1"/>
  <c r="T389" i="60" s="1"/>
  <c r="AA388" i="60" a="1"/>
  <c r="AA388" i="60" s="1"/>
  <c r="AH387" i="60" a="1"/>
  <c r="AH387" i="60" s="1"/>
  <c r="F387" i="60" a="1"/>
  <c r="F387" i="60" s="1"/>
  <c r="M386" i="60" a="1"/>
  <c r="M386" i="60" s="1"/>
  <c r="T385" i="60" a="1"/>
  <c r="T385" i="60" s="1"/>
  <c r="AA384" i="60" a="1"/>
  <c r="AA384" i="60" s="1"/>
  <c r="AH383" i="60" a="1"/>
  <c r="AH383" i="60" s="1"/>
  <c r="F383" i="60" a="1"/>
  <c r="F383" i="60" s="1"/>
  <c r="T381" i="60" a="1"/>
  <c r="T381" i="60" s="1"/>
  <c r="AA380" i="60" a="1"/>
  <c r="AA380" i="60" s="1"/>
  <c r="AH379" i="60" a="1"/>
  <c r="AH379" i="60" s="1"/>
  <c r="F379" i="60" a="1"/>
  <c r="F379" i="60" s="1"/>
  <c r="M378" i="60" a="1"/>
  <c r="M378" i="60" s="1"/>
  <c r="AA403" i="60" a="1"/>
  <c r="AA403" i="60" s="1"/>
  <c r="M403" i="60" a="1"/>
  <c r="M403" i="60" s="1"/>
  <c r="AH402" i="60" a="1"/>
  <c r="AH402" i="60" s="1"/>
  <c r="F402" i="60" a="1"/>
  <c r="F402" i="60" s="1"/>
  <c r="AA400" i="60" a="1"/>
  <c r="AA400" i="60" s="1"/>
  <c r="AH399" i="60" a="1"/>
  <c r="AH399" i="60" s="1"/>
  <c r="T399" i="60" a="1"/>
  <c r="T399" i="60" s="1"/>
  <c r="F399" i="60" a="1"/>
  <c r="F399" i="60" s="1"/>
  <c r="T398" i="60" a="1"/>
  <c r="T398" i="60" s="1"/>
  <c r="M396" i="60" a="1"/>
  <c r="M396" i="60" s="1"/>
  <c r="M393" i="60" a="1"/>
  <c r="M393" i="60" s="1"/>
  <c r="AA392" i="60" a="1"/>
  <c r="AA392" i="60" s="1"/>
  <c r="M392" i="60" a="1"/>
  <c r="M392" i="60" s="1"/>
  <c r="AH391" i="60" a="1"/>
  <c r="AH391" i="60" s="1"/>
  <c r="F391" i="60" a="1"/>
  <c r="F391" i="60" s="1"/>
  <c r="AH390" i="60" a="1"/>
  <c r="AH390" i="60" s="1"/>
  <c r="F390" i="60" a="1"/>
  <c r="F390" i="60" s="1"/>
  <c r="M389" i="60" a="1"/>
  <c r="M389" i="60" s="1"/>
  <c r="T388" i="60" a="1"/>
  <c r="T388" i="60" s="1"/>
  <c r="AA387" i="60" a="1"/>
  <c r="AA387" i="60" s="1"/>
  <c r="AH386" i="60" a="1"/>
  <c r="AH386" i="60" s="1"/>
  <c r="F386" i="60" a="1"/>
  <c r="F386" i="60" s="1"/>
  <c r="M385" i="60" a="1"/>
  <c r="M385" i="60" s="1"/>
  <c r="T384" i="60" a="1"/>
  <c r="T384" i="60" s="1"/>
  <c r="AA383" i="60" a="1"/>
  <c r="AA383" i="60" s="1"/>
  <c r="M381" i="60" a="1"/>
  <c r="M381" i="60" s="1"/>
  <c r="T380" i="60" a="1"/>
  <c r="T380" i="60" s="1"/>
  <c r="AA379" i="60" a="1"/>
  <c r="AA379" i="60" s="1"/>
  <c r="AH378" i="60" a="1"/>
  <c r="AH378" i="60" s="1"/>
  <c r="F378" i="60" a="1"/>
  <c r="F378" i="60" s="1"/>
  <c r="AA402" i="60" a="1"/>
  <c r="AA402" i="60" s="1"/>
  <c r="AH401" i="60" a="1"/>
  <c r="AH401" i="60" s="1"/>
  <c r="T401" i="60" a="1"/>
  <c r="T401" i="60" s="1"/>
  <c r="F401" i="60" a="1"/>
  <c r="F401" i="60" s="1"/>
  <c r="T400" i="60" a="1"/>
  <c r="T400" i="60" s="1"/>
  <c r="M398" i="60" a="1"/>
  <c r="M398" i="60" s="1"/>
  <c r="AA397" i="60" a="1"/>
  <c r="AA397" i="60" s="1"/>
  <c r="M397" i="60" a="1"/>
  <c r="M397" i="60" s="1"/>
  <c r="AH396" i="60" a="1"/>
  <c r="AH396" i="60" s="1"/>
  <c r="F396" i="60" a="1"/>
  <c r="F396" i="60" s="1"/>
  <c r="AA394" i="60" a="1"/>
  <c r="AA394" i="60" s="1"/>
  <c r="M394" i="60" a="1"/>
  <c r="M394" i="60" s="1"/>
  <c r="AH393" i="60" a="1"/>
  <c r="AH393" i="60" s="1"/>
  <c r="F393" i="60" a="1"/>
  <c r="F393" i="60" s="1"/>
  <c r="AA391" i="60" a="1"/>
  <c r="AA391" i="60" s="1"/>
  <c r="AA390" i="60" a="1"/>
  <c r="AA390" i="60" s="1"/>
  <c r="AH389" i="60" a="1"/>
  <c r="AH389" i="60" s="1"/>
  <c r="F389" i="60" a="1"/>
  <c r="F389" i="60" s="1"/>
  <c r="M388" i="60" a="1"/>
  <c r="M388" i="60" s="1"/>
  <c r="T387" i="60" a="1"/>
  <c r="T387" i="60" s="1"/>
  <c r="AA386" i="60" a="1"/>
  <c r="AA386" i="60" s="1"/>
  <c r="AH385" i="60" a="1"/>
  <c r="AH385" i="60" s="1"/>
  <c r="F385" i="60" a="1"/>
  <c r="F385" i="60" s="1"/>
  <c r="M384" i="60" a="1"/>
  <c r="M384" i="60" s="1"/>
  <c r="T383" i="60" a="1"/>
  <c r="T383" i="60" s="1"/>
  <c r="AH381" i="60" a="1"/>
  <c r="AH381" i="60" s="1"/>
  <c r="F381" i="60" a="1"/>
  <c r="F381" i="60" s="1"/>
  <c r="M380" i="60" a="1"/>
  <c r="M380" i="60" s="1"/>
  <c r="T379" i="60" a="1"/>
  <c r="T379" i="60" s="1"/>
  <c r="AA378" i="60" a="1"/>
  <c r="AA378" i="60" s="1"/>
  <c r="T377" i="60" a="1"/>
  <c r="T377" i="60" s="1"/>
  <c r="AA376" i="60" a="1"/>
  <c r="AA376" i="60" s="1"/>
  <c r="AH375" i="60" a="1"/>
  <c r="AH375" i="60" s="1"/>
  <c r="F375" i="60" a="1"/>
  <c r="F375" i="60" s="1"/>
  <c r="M374" i="60" a="1"/>
  <c r="M374" i="60" s="1"/>
  <c r="T373" i="60" a="1"/>
  <c r="T373" i="60" s="1"/>
  <c r="AA372" i="60" a="1"/>
  <c r="AA372" i="60" s="1"/>
  <c r="AH371" i="60" a="1"/>
  <c r="AH371" i="60" s="1"/>
  <c r="F371" i="60" a="1"/>
  <c r="F371" i="60" s="1"/>
  <c r="M370" i="60" a="1"/>
  <c r="M370" i="60" s="1"/>
  <c r="AA368" i="60" a="1"/>
  <c r="AA368" i="60" s="1"/>
  <c r="AH367" i="60" a="1"/>
  <c r="AH367" i="60" s="1"/>
  <c r="F367" i="60" a="1"/>
  <c r="F367" i="60" s="1"/>
  <c r="M366" i="60" a="1"/>
  <c r="M366" i="60" s="1"/>
  <c r="T365" i="60" a="1"/>
  <c r="T365" i="60" s="1"/>
  <c r="M364" i="60" a="1"/>
  <c r="M364" i="60" s="1"/>
  <c r="T363" i="60" a="1"/>
  <c r="T363" i="60" s="1"/>
  <c r="AA362" i="60" a="1"/>
  <c r="AA362" i="60" s="1"/>
  <c r="AH361" i="60" a="1"/>
  <c r="AH361" i="60" s="1"/>
  <c r="F361" i="60" a="1"/>
  <c r="F361" i="60" s="1"/>
  <c r="M360" i="60" a="1"/>
  <c r="M360" i="60" s="1"/>
  <c r="T359" i="60" a="1"/>
  <c r="T359" i="60" s="1"/>
  <c r="AA358" i="60" a="1"/>
  <c r="AA358" i="60" s="1"/>
  <c r="AH357" i="60" a="1"/>
  <c r="AH357" i="60" s="1"/>
  <c r="F357" i="60" a="1"/>
  <c r="F357" i="60" s="1"/>
  <c r="T355" i="60" a="1"/>
  <c r="T355" i="60" s="1"/>
  <c r="AA354" i="60" a="1"/>
  <c r="AA354" i="60" s="1"/>
  <c r="AH353" i="60" a="1"/>
  <c r="AH353" i="60" s="1"/>
  <c r="F353" i="60" a="1"/>
  <c r="F353" i="60" s="1"/>
  <c r="M352" i="60" a="1"/>
  <c r="M352" i="60" s="1"/>
  <c r="AH351" i="60" a="1"/>
  <c r="AH351" i="60" s="1"/>
  <c r="F351" i="60" a="1"/>
  <c r="F351" i="60" s="1"/>
  <c r="M350" i="60" a="1"/>
  <c r="M350" i="60" s="1"/>
  <c r="T349" i="60" a="1"/>
  <c r="T349" i="60" s="1"/>
  <c r="AA348" i="60" a="1"/>
  <c r="AA348" i="60" s="1"/>
  <c r="AH347" i="60" a="1"/>
  <c r="AH347" i="60" s="1"/>
  <c r="F347" i="60" a="1"/>
  <c r="F347" i="60" s="1"/>
  <c r="M346" i="60" a="1"/>
  <c r="M346" i="60" s="1"/>
  <c r="AA345" i="60" a="1"/>
  <c r="AA345" i="60" s="1"/>
  <c r="AH344" i="60" a="1"/>
  <c r="AH344" i="60" s="1"/>
  <c r="M344" i="60" a="1"/>
  <c r="M344" i="60" s="1"/>
  <c r="AH342" i="60" a="1"/>
  <c r="AH342" i="60" s="1"/>
  <c r="T342" i="60" a="1"/>
  <c r="T342" i="60" s="1"/>
  <c r="F342" i="60" a="1"/>
  <c r="F342" i="60" s="1"/>
  <c r="T341" i="60" a="1"/>
  <c r="T341" i="60" s="1"/>
  <c r="M339" i="60" a="1"/>
  <c r="M339" i="60" s="1"/>
  <c r="T338" i="60" a="1"/>
  <c r="T338" i="60" s="1"/>
  <c r="AA337" i="60" a="1"/>
  <c r="AA337" i="60" s="1"/>
  <c r="AH336" i="60" a="1"/>
  <c r="AH336" i="60" s="1"/>
  <c r="F336" i="60" a="1"/>
  <c r="F336" i="60" s="1"/>
  <c r="T335" i="60" a="1"/>
  <c r="T335" i="60" s="1"/>
  <c r="AA334" i="60" a="1"/>
  <c r="AA334" i="60" s="1"/>
  <c r="AH333" i="60" a="1"/>
  <c r="AH333" i="60" s="1"/>
  <c r="F333" i="60" a="1"/>
  <c r="F333" i="60" s="1"/>
  <c r="T332" i="60" a="1"/>
  <c r="T332" i="60" s="1"/>
  <c r="AH331" i="60" a="1"/>
  <c r="AH331" i="60" s="1"/>
  <c r="F331" i="60" a="1"/>
  <c r="F331" i="60" s="1"/>
  <c r="F329" i="60" a="1"/>
  <c r="F329" i="60" s="1"/>
  <c r="M328" i="60" a="1"/>
  <c r="M328" i="60" s="1"/>
  <c r="T327" i="60" a="1"/>
  <c r="T327" i="60" s="1"/>
  <c r="AA326" i="60" a="1"/>
  <c r="AA326" i="60" s="1"/>
  <c r="M377" i="60" a="1"/>
  <c r="M377" i="60" s="1"/>
  <c r="T376" i="60" a="1"/>
  <c r="T376" i="60" s="1"/>
  <c r="AA375" i="60" a="1"/>
  <c r="AA375" i="60" s="1"/>
  <c r="AH374" i="60" a="1"/>
  <c r="AH374" i="60" s="1"/>
  <c r="F374" i="60" a="1"/>
  <c r="F374" i="60" s="1"/>
  <c r="M373" i="60" a="1"/>
  <c r="M373" i="60" s="1"/>
  <c r="T372" i="60" a="1"/>
  <c r="T372" i="60" s="1"/>
  <c r="AA371" i="60" a="1"/>
  <c r="AA371" i="60" s="1"/>
  <c r="AH370" i="60" a="1"/>
  <c r="AH370" i="60" s="1"/>
  <c r="F370" i="60" a="1"/>
  <c r="F370" i="60" s="1"/>
  <c r="T368" i="60" a="1"/>
  <c r="T368" i="60" s="1"/>
  <c r="AA367" i="60" a="1"/>
  <c r="AA367" i="60" s="1"/>
  <c r="AH366" i="60" a="1"/>
  <c r="AH366" i="60" s="1"/>
  <c r="F366" i="60" a="1"/>
  <c r="F366" i="60" s="1"/>
  <c r="M365" i="60" a="1"/>
  <c r="M365" i="60" s="1"/>
  <c r="AH364" i="60" a="1"/>
  <c r="AH364" i="60" s="1"/>
  <c r="F364" i="60" a="1"/>
  <c r="F364" i="60" s="1"/>
  <c r="M363" i="60" a="1"/>
  <c r="M363" i="60" s="1"/>
  <c r="T362" i="60" a="1"/>
  <c r="T362" i="60" s="1"/>
  <c r="AA361" i="60" a="1"/>
  <c r="AA361" i="60" s="1"/>
  <c r="AH360" i="60" a="1"/>
  <c r="AH360" i="60" s="1"/>
  <c r="F360" i="60" a="1"/>
  <c r="F360" i="60" s="1"/>
  <c r="M359" i="60" a="1"/>
  <c r="M359" i="60" s="1"/>
  <c r="T358" i="60" a="1"/>
  <c r="T358" i="60" s="1"/>
  <c r="AA357" i="60" a="1"/>
  <c r="AA357" i="60" s="1"/>
  <c r="M355" i="60" a="1"/>
  <c r="M355" i="60" s="1"/>
  <c r="T354" i="60" a="1"/>
  <c r="T354" i="60" s="1"/>
  <c r="AA353" i="60" a="1"/>
  <c r="AA353" i="60" s="1"/>
  <c r="AH352" i="60" a="1"/>
  <c r="AH352" i="60" s="1"/>
  <c r="F352" i="60" a="1"/>
  <c r="F352" i="60" s="1"/>
  <c r="AA351" i="60" a="1"/>
  <c r="AA351" i="60" s="1"/>
  <c r="AH350" i="60" a="1"/>
  <c r="AH350" i="60" s="1"/>
  <c r="F350" i="60" a="1"/>
  <c r="F350" i="60" s="1"/>
  <c r="M349" i="60" a="1"/>
  <c r="M349" i="60" s="1"/>
  <c r="T348" i="60" a="1"/>
  <c r="T348" i="60" s="1"/>
  <c r="AA347" i="60" a="1"/>
  <c r="AA347" i="60" s="1"/>
  <c r="AH346" i="60" a="1"/>
  <c r="AH346" i="60" s="1"/>
  <c r="T345" i="60" a="1"/>
  <c r="T345" i="60" s="1"/>
  <c r="AA344" i="60" a="1"/>
  <c r="AA344" i="60" s="1"/>
  <c r="M341" i="60" a="1"/>
  <c r="M341" i="60" s="1"/>
  <c r="AA340" i="60" a="1"/>
  <c r="AA340" i="60" s="1"/>
  <c r="M340" i="60" a="1"/>
  <c r="M340" i="60" s="1"/>
  <c r="AH339" i="60" a="1"/>
  <c r="AH339" i="60" s="1"/>
  <c r="F339" i="60" a="1"/>
  <c r="F339" i="60" s="1"/>
  <c r="M338" i="60" a="1"/>
  <c r="M338" i="60" s="1"/>
  <c r="T337" i="60" a="1"/>
  <c r="T337" i="60" s="1"/>
  <c r="AA336" i="60" a="1"/>
  <c r="AA336" i="60" s="1"/>
  <c r="M335" i="60" a="1"/>
  <c r="M335" i="60" s="1"/>
  <c r="T334" i="60" a="1"/>
  <c r="T334" i="60" s="1"/>
  <c r="AA333" i="60" a="1"/>
  <c r="AA333" i="60" s="1"/>
  <c r="AH332" i="60" a="1"/>
  <c r="AH332" i="60" s="1"/>
  <c r="M332" i="60" a="1"/>
  <c r="M332" i="60" s="1"/>
  <c r="AA331" i="60" a="1"/>
  <c r="AA331" i="60" s="1"/>
  <c r="T329" i="60" a="1"/>
  <c r="T329" i="60" s="1"/>
  <c r="AH328" i="60" a="1"/>
  <c r="AH328" i="60" s="1"/>
  <c r="F328" i="60" a="1"/>
  <c r="F328" i="60" s="1"/>
  <c r="M327" i="60" a="1"/>
  <c r="M327" i="60" s="1"/>
  <c r="T326" i="60" a="1"/>
  <c r="T326" i="60" s="1"/>
  <c r="AH377" i="60" a="1"/>
  <c r="AH377" i="60" s="1"/>
  <c r="F377" i="60" a="1"/>
  <c r="F377" i="60" s="1"/>
  <c r="M376" i="60" a="1"/>
  <c r="M376" i="60" s="1"/>
  <c r="T375" i="60" a="1"/>
  <c r="T375" i="60" s="1"/>
  <c r="AA374" i="60" a="1"/>
  <c r="AA374" i="60" s="1"/>
  <c r="AH373" i="60" a="1"/>
  <c r="AH373" i="60" s="1"/>
  <c r="F373" i="60" a="1"/>
  <c r="F373" i="60" s="1"/>
  <c r="M372" i="60" a="1"/>
  <c r="M372" i="60" s="1"/>
  <c r="T371" i="60" a="1"/>
  <c r="T371" i="60" s="1"/>
  <c r="AA370" i="60" a="1"/>
  <c r="AA370" i="60" s="1"/>
  <c r="M368" i="60" a="1"/>
  <c r="M368" i="60" s="1"/>
  <c r="T367" i="60" a="1"/>
  <c r="T367" i="60" s="1"/>
  <c r="AA366" i="60" a="1"/>
  <c r="AA366" i="60" s="1"/>
  <c r="AH365" i="60" a="1"/>
  <c r="AH365" i="60" s="1"/>
  <c r="F365" i="60" a="1"/>
  <c r="F365" i="60" s="1"/>
  <c r="AA364" i="60" a="1"/>
  <c r="AA364" i="60" s="1"/>
  <c r="AH363" i="60" a="1"/>
  <c r="AH363" i="60" s="1"/>
  <c r="F363" i="60" a="1"/>
  <c r="F363" i="60" s="1"/>
  <c r="M362" i="60" a="1"/>
  <c r="M362" i="60" s="1"/>
  <c r="T361" i="60" a="1"/>
  <c r="T361" i="60" s="1"/>
  <c r="AA360" i="60" a="1"/>
  <c r="AA360" i="60" s="1"/>
  <c r="AH359" i="60" a="1"/>
  <c r="AH359" i="60" s="1"/>
  <c r="F359" i="60" a="1"/>
  <c r="F359" i="60" s="1"/>
  <c r="M358" i="60" a="1"/>
  <c r="M358" i="60" s="1"/>
  <c r="T357" i="60" a="1"/>
  <c r="T357" i="60" s="1"/>
  <c r="AH355" i="60" a="1"/>
  <c r="AH355" i="60" s="1"/>
  <c r="F355" i="60" a="1"/>
  <c r="F355" i="60" s="1"/>
  <c r="M354" i="60" a="1"/>
  <c r="M354" i="60" s="1"/>
  <c r="T353" i="60" a="1"/>
  <c r="T353" i="60" s="1"/>
  <c r="AA352" i="60" a="1"/>
  <c r="AA352" i="60" s="1"/>
  <c r="T351" i="60" a="1"/>
  <c r="T351" i="60" s="1"/>
  <c r="AA350" i="60" a="1"/>
  <c r="AA350" i="60" s="1"/>
  <c r="AH349" i="60" a="1"/>
  <c r="AH349" i="60" s="1"/>
  <c r="F349" i="60" a="1"/>
  <c r="F349" i="60" s="1"/>
  <c r="M348" i="60" a="1"/>
  <c r="M348" i="60" s="1"/>
  <c r="T347" i="60" a="1"/>
  <c r="T347" i="60" s="1"/>
  <c r="AA346" i="60" a="1"/>
  <c r="AA346" i="60" s="1"/>
  <c r="F346" i="60" a="1"/>
  <c r="F346" i="60" s="1"/>
  <c r="M345" i="60" a="1"/>
  <c r="M345" i="60" s="1"/>
  <c r="F344" i="60" a="1"/>
  <c r="F344" i="60" s="1"/>
  <c r="AA342" i="60" a="1"/>
  <c r="AA342" i="60" s="1"/>
  <c r="M342" i="60" a="1"/>
  <c r="M342" i="60" s="1"/>
  <c r="AH341" i="60" a="1"/>
  <c r="AH341" i="60" s="1"/>
  <c r="F341" i="60" a="1"/>
  <c r="F341" i="60" s="1"/>
  <c r="AA339" i="60" a="1"/>
  <c r="AA339" i="60" s="1"/>
  <c r="AH338" i="60" a="1"/>
  <c r="AH338" i="60" s="1"/>
  <c r="F338" i="60" a="1"/>
  <c r="F338" i="60" s="1"/>
  <c r="M337" i="60" a="1"/>
  <c r="M337" i="60" s="1"/>
  <c r="T336" i="60" a="1"/>
  <c r="T336" i="60" s="1"/>
  <c r="AH335" i="60" a="1"/>
  <c r="AH335" i="60" s="1"/>
  <c r="F335" i="60" a="1"/>
  <c r="F335" i="60" s="1"/>
  <c r="M334" i="60" a="1"/>
  <c r="M334" i="60" s="1"/>
  <c r="T333" i="60" a="1"/>
  <c r="T333" i="60" s="1"/>
  <c r="AA332" i="60" a="1"/>
  <c r="AA332" i="60" s="1"/>
  <c r="T331" i="60" a="1"/>
  <c r="T331" i="60" s="1"/>
  <c r="AH329" i="60" a="1"/>
  <c r="AH329" i="60" s="1"/>
  <c r="M329" i="60" a="1"/>
  <c r="M329" i="60" s="1"/>
  <c r="AA328" i="60" a="1"/>
  <c r="AA328" i="60" s="1"/>
  <c r="AH327" i="60" a="1"/>
  <c r="AH327" i="60" s="1"/>
  <c r="F327" i="60" a="1"/>
  <c r="F327" i="60" s="1"/>
  <c r="M326" i="60" a="1"/>
  <c r="M326" i="60" s="1"/>
  <c r="AA377" i="60" a="1"/>
  <c r="AA377" i="60" s="1"/>
  <c r="AH376" i="60" a="1"/>
  <c r="AH376" i="60" s="1"/>
  <c r="F376" i="60" a="1"/>
  <c r="F376" i="60" s="1"/>
  <c r="M375" i="60" a="1"/>
  <c r="M375" i="60" s="1"/>
  <c r="T374" i="60" a="1"/>
  <c r="T374" i="60" s="1"/>
  <c r="AA373" i="60" a="1"/>
  <c r="AA373" i="60" s="1"/>
  <c r="AH372" i="60" a="1"/>
  <c r="AH372" i="60" s="1"/>
  <c r="F372" i="60" a="1"/>
  <c r="F372" i="60" s="1"/>
  <c r="M371" i="60" a="1"/>
  <c r="M371" i="60" s="1"/>
  <c r="T370" i="60" a="1"/>
  <c r="T370" i="60" s="1"/>
  <c r="AH368" i="60" a="1"/>
  <c r="AH368" i="60" s="1"/>
  <c r="F368" i="60" a="1"/>
  <c r="F368" i="60" s="1"/>
  <c r="M367" i="60" a="1"/>
  <c r="M367" i="60" s="1"/>
  <c r="T366" i="60" a="1"/>
  <c r="T366" i="60" s="1"/>
  <c r="AA365" i="60" a="1"/>
  <c r="AA365" i="60" s="1"/>
  <c r="T364" i="60" a="1"/>
  <c r="T364" i="60" s="1"/>
  <c r="AA363" i="60" a="1"/>
  <c r="AA363" i="60" s="1"/>
  <c r="AH362" i="60" a="1"/>
  <c r="AH362" i="60" s="1"/>
  <c r="F362" i="60" a="1"/>
  <c r="F362" i="60" s="1"/>
  <c r="M361" i="60" a="1"/>
  <c r="M361" i="60" s="1"/>
  <c r="T360" i="60" a="1"/>
  <c r="T360" i="60" s="1"/>
  <c r="AA359" i="60" a="1"/>
  <c r="AA359" i="60" s="1"/>
  <c r="AH358" i="60" a="1"/>
  <c r="AH358" i="60" s="1"/>
  <c r="AQ358" i="60" s="1"/>
  <c r="F358" i="60" a="1"/>
  <c r="F358" i="60" s="1"/>
  <c r="M357" i="60" a="1"/>
  <c r="M357" i="60" s="1"/>
  <c r="AA355" i="60" a="1"/>
  <c r="AA355" i="60" s="1"/>
  <c r="AH354" i="60" a="1"/>
  <c r="AH354" i="60" s="1"/>
  <c r="F354" i="60" a="1"/>
  <c r="F354" i="60" s="1"/>
  <c r="M353" i="60" a="1"/>
  <c r="M353" i="60" s="1"/>
  <c r="T352" i="60" a="1"/>
  <c r="T352" i="60" s="1"/>
  <c r="M351" i="60" a="1"/>
  <c r="M351" i="60" s="1"/>
  <c r="T350" i="60" a="1"/>
  <c r="T350" i="60" s="1"/>
  <c r="AA349" i="60" a="1"/>
  <c r="AA349" i="60" s="1"/>
  <c r="AH348" i="60" a="1"/>
  <c r="AH348" i="60" s="1"/>
  <c r="AQ348" i="60" s="1"/>
  <c r="F348" i="60" a="1"/>
  <c r="F348" i="60" s="1"/>
  <c r="M347" i="60" a="1"/>
  <c r="M347" i="60" s="1"/>
  <c r="T346" i="60" a="1"/>
  <c r="T346" i="60" s="1"/>
  <c r="AH345" i="60" a="1"/>
  <c r="AH345" i="60" s="1"/>
  <c r="AQ345" i="60" s="1"/>
  <c r="F345" i="60" a="1"/>
  <c r="F345" i="60" s="1"/>
  <c r="T344" i="60" a="1"/>
  <c r="T344" i="60" s="1"/>
  <c r="AA341" i="60" a="1"/>
  <c r="AA341" i="60" s="1"/>
  <c r="AH340" i="60" a="1"/>
  <c r="AH340" i="60" s="1"/>
  <c r="T340" i="60" a="1"/>
  <c r="T340" i="60" s="1"/>
  <c r="F340" i="60" a="1"/>
  <c r="F340" i="60" s="1"/>
  <c r="T339" i="60" a="1"/>
  <c r="T339" i="60" s="1"/>
  <c r="AA338" i="60" a="1"/>
  <c r="AA338" i="60" s="1"/>
  <c r="AH337" i="60" a="1"/>
  <c r="AH337" i="60" s="1"/>
  <c r="F337" i="60" a="1"/>
  <c r="F337" i="60" s="1"/>
  <c r="M336" i="60" a="1"/>
  <c r="M336" i="60" s="1"/>
  <c r="AA335" i="60" a="1"/>
  <c r="AA335" i="60" s="1"/>
  <c r="AH334" i="60" a="1"/>
  <c r="AH334" i="60" s="1"/>
  <c r="F334" i="60" a="1"/>
  <c r="F334" i="60" s="1"/>
  <c r="M333" i="60" a="1"/>
  <c r="M333" i="60" s="1"/>
  <c r="F332" i="60" a="1"/>
  <c r="F332" i="60" s="1"/>
  <c r="M331" i="60" a="1"/>
  <c r="M331" i="60" s="1"/>
  <c r="AA329" i="60" a="1"/>
  <c r="AA329" i="60" s="1"/>
  <c r="T328" i="60" a="1"/>
  <c r="T328" i="60" s="1"/>
  <c r="AA327" i="60" a="1"/>
  <c r="AA327" i="60" s="1"/>
  <c r="AH326" i="60" a="1"/>
  <c r="AH326" i="60" s="1"/>
  <c r="F326" i="60" a="1"/>
  <c r="F326" i="60" s="1"/>
  <c r="AH325" i="60" a="1"/>
  <c r="AH325" i="60" s="1"/>
  <c r="F325" i="60" a="1"/>
  <c r="F325" i="60" s="1"/>
  <c r="M324" i="60" a="1"/>
  <c r="M324" i="60" s="1"/>
  <c r="T323" i="60" a="1"/>
  <c r="T323" i="60" s="1"/>
  <c r="AA322" i="60" a="1"/>
  <c r="AA322" i="60" s="1"/>
  <c r="AH321" i="60" a="1"/>
  <c r="AH321" i="60" s="1"/>
  <c r="F321" i="60" a="1"/>
  <c r="F321" i="60" s="1"/>
  <c r="M320" i="60" a="1"/>
  <c r="M320" i="60" s="1"/>
  <c r="T319" i="60" a="1"/>
  <c r="T319" i="60" s="1"/>
  <c r="AA318" i="60" a="1"/>
  <c r="AA318" i="60" s="1"/>
  <c r="M316" i="60" a="1"/>
  <c r="M316" i="60" s="1"/>
  <c r="T315" i="60" a="1"/>
  <c r="T315" i="60" s="1"/>
  <c r="AA314" i="60" a="1"/>
  <c r="AA314" i="60" s="1"/>
  <c r="AH313" i="60" a="1"/>
  <c r="AH313" i="60" s="1"/>
  <c r="F313" i="60" a="1"/>
  <c r="F313" i="60" s="1"/>
  <c r="T312" i="60" a="1"/>
  <c r="T312" i="60" s="1"/>
  <c r="AA311" i="60" a="1"/>
  <c r="AA311" i="60" s="1"/>
  <c r="AH310" i="60" a="1"/>
  <c r="AH310" i="60" s="1"/>
  <c r="F310" i="60" a="1"/>
  <c r="F310" i="60" s="1"/>
  <c r="M309" i="60" a="1"/>
  <c r="M309" i="60" s="1"/>
  <c r="T308" i="60" a="1"/>
  <c r="T308" i="60" s="1"/>
  <c r="AA307" i="60" a="1"/>
  <c r="AA307" i="60" s="1"/>
  <c r="AH306" i="60" a="1"/>
  <c r="AH306" i="60" s="1"/>
  <c r="F306" i="60" a="1"/>
  <c r="F306" i="60" s="1"/>
  <c r="M305" i="60" a="1"/>
  <c r="M305" i="60" s="1"/>
  <c r="AA303" i="60" a="1"/>
  <c r="AA303" i="60" s="1"/>
  <c r="AH302" i="60" a="1"/>
  <c r="AH302" i="60" s="1"/>
  <c r="F302" i="60" a="1"/>
  <c r="F302" i="60" s="1"/>
  <c r="M301" i="60" a="1"/>
  <c r="M301" i="60" s="1"/>
  <c r="T300" i="60" a="1"/>
  <c r="T300" i="60" s="1"/>
  <c r="M299" i="60" a="1"/>
  <c r="M299" i="60" s="1"/>
  <c r="T298" i="60" a="1"/>
  <c r="T298" i="60" s="1"/>
  <c r="AA297" i="60" a="1"/>
  <c r="AA297" i="60" s="1"/>
  <c r="AH296" i="60" a="1"/>
  <c r="AH296" i="60" s="1"/>
  <c r="F296" i="60" a="1"/>
  <c r="F296" i="60" s="1"/>
  <c r="M295" i="60" a="1"/>
  <c r="M295" i="60" s="1"/>
  <c r="T294" i="60" a="1"/>
  <c r="T294" i="60" s="1"/>
  <c r="AA293" i="60" a="1"/>
  <c r="AA293" i="60" s="1"/>
  <c r="AH292" i="60" a="1"/>
  <c r="AH292" i="60" s="1"/>
  <c r="F292" i="60" a="1"/>
  <c r="F292" i="60" s="1"/>
  <c r="T290" i="60" a="1"/>
  <c r="T290" i="60" s="1"/>
  <c r="AA289" i="60" a="1"/>
  <c r="AA289" i="60" s="1"/>
  <c r="AH288" i="60" a="1"/>
  <c r="AH288" i="60" s="1"/>
  <c r="F288" i="60" a="1"/>
  <c r="F288" i="60" s="1"/>
  <c r="M287" i="60" a="1"/>
  <c r="M287" i="60" s="1"/>
  <c r="AH286" i="60" a="1"/>
  <c r="AH286" i="60" s="1"/>
  <c r="F286" i="60" a="1"/>
  <c r="F286" i="60" s="1"/>
  <c r="M285" i="60" a="1"/>
  <c r="M285" i="60" s="1"/>
  <c r="T284" i="60" a="1"/>
  <c r="T284" i="60" s="1"/>
  <c r="AA283" i="60" a="1"/>
  <c r="AA283" i="60" s="1"/>
  <c r="AH282" i="60" a="1"/>
  <c r="AH282" i="60" s="1"/>
  <c r="F282" i="60" a="1"/>
  <c r="F282" i="60" s="1"/>
  <c r="M281" i="60" a="1"/>
  <c r="M281" i="60" s="1"/>
  <c r="T280" i="60" a="1"/>
  <c r="T280" i="60" s="1"/>
  <c r="AA279" i="60" a="1"/>
  <c r="AA279" i="60" s="1"/>
  <c r="M277" i="60" a="1"/>
  <c r="M277" i="60" s="1"/>
  <c r="T276" i="60" a="1"/>
  <c r="T276" i="60" s="1"/>
  <c r="AA275" i="60" a="1"/>
  <c r="AA275" i="60" s="1"/>
  <c r="AH274" i="60" a="1"/>
  <c r="AH274" i="60" s="1"/>
  <c r="F274" i="60" a="1"/>
  <c r="F274" i="60" s="1"/>
  <c r="T273" i="60" a="1"/>
  <c r="T273" i="60" s="1"/>
  <c r="AA272" i="60" a="1"/>
  <c r="AA272" i="60" s="1"/>
  <c r="AH271" i="60" a="1"/>
  <c r="AH271" i="60" s="1"/>
  <c r="F271" i="60" a="1"/>
  <c r="F271" i="60" s="1"/>
  <c r="M270" i="60" a="1"/>
  <c r="M270" i="60" s="1"/>
  <c r="T269" i="60" a="1"/>
  <c r="T269" i="60" s="1"/>
  <c r="AA268" i="60" a="1"/>
  <c r="AA268" i="60" s="1"/>
  <c r="AH267" i="60" a="1"/>
  <c r="AH267" i="60" s="1"/>
  <c r="F267" i="60" a="1"/>
  <c r="F267" i="60" s="1"/>
  <c r="M266" i="60" a="1"/>
  <c r="M266" i="60" s="1"/>
  <c r="AA264" i="60" a="1"/>
  <c r="AA264" i="60" s="1"/>
  <c r="AH263" i="60" a="1"/>
  <c r="AH263" i="60" s="1"/>
  <c r="F263" i="60" a="1"/>
  <c r="F263" i="60" s="1"/>
  <c r="M262" i="60" a="1"/>
  <c r="M262" i="60" s="1"/>
  <c r="T261" i="60" a="1"/>
  <c r="T261" i="60" s="1"/>
  <c r="AA325" i="60" a="1"/>
  <c r="AA325" i="60" s="1"/>
  <c r="AH324" i="60" a="1"/>
  <c r="AH324" i="60" s="1"/>
  <c r="F324" i="60" a="1"/>
  <c r="F324" i="60" s="1"/>
  <c r="M323" i="60" a="1"/>
  <c r="M323" i="60" s="1"/>
  <c r="T322" i="60" a="1"/>
  <c r="T322" i="60" s="1"/>
  <c r="AA321" i="60" a="1"/>
  <c r="AA321" i="60" s="1"/>
  <c r="AH320" i="60" a="1"/>
  <c r="AH320" i="60" s="1"/>
  <c r="F320" i="60" a="1"/>
  <c r="F320" i="60" s="1"/>
  <c r="M319" i="60" a="1"/>
  <c r="M319" i="60" s="1"/>
  <c r="T318" i="60" a="1"/>
  <c r="T318" i="60" s="1"/>
  <c r="AH316" i="60" a="1"/>
  <c r="AH316" i="60" s="1"/>
  <c r="F316" i="60" a="1"/>
  <c r="F316" i="60" s="1"/>
  <c r="M315" i="60" a="1"/>
  <c r="M315" i="60" s="1"/>
  <c r="T314" i="60" a="1"/>
  <c r="T314" i="60" s="1"/>
  <c r="AA313" i="60" a="1"/>
  <c r="AA313" i="60" s="1"/>
  <c r="M312" i="60" a="1"/>
  <c r="M312" i="60" s="1"/>
  <c r="T311" i="60" a="1"/>
  <c r="T311" i="60" s="1"/>
  <c r="AA310" i="60" a="1"/>
  <c r="AA310" i="60" s="1"/>
  <c r="AH309" i="60" a="1"/>
  <c r="AH309" i="60" s="1"/>
  <c r="F309" i="60" a="1"/>
  <c r="F309" i="60" s="1"/>
  <c r="M308" i="60" a="1"/>
  <c r="M308" i="60" s="1"/>
  <c r="T307" i="60" a="1"/>
  <c r="T307" i="60" s="1"/>
  <c r="AA306" i="60" a="1"/>
  <c r="AA306" i="60" s="1"/>
  <c r="AH305" i="60" a="1"/>
  <c r="AH305" i="60" s="1"/>
  <c r="F305" i="60" a="1"/>
  <c r="F305" i="60" s="1"/>
  <c r="T303" i="60" a="1"/>
  <c r="T303" i="60" s="1"/>
  <c r="AA302" i="60" a="1"/>
  <c r="AA302" i="60" s="1"/>
  <c r="AH301" i="60" a="1"/>
  <c r="AH301" i="60" s="1"/>
  <c r="F301" i="60" a="1"/>
  <c r="F301" i="60" s="1"/>
  <c r="M300" i="60" a="1"/>
  <c r="M300" i="60" s="1"/>
  <c r="AH299" i="60" a="1"/>
  <c r="AH299" i="60" s="1"/>
  <c r="F299" i="60" a="1"/>
  <c r="F299" i="60" s="1"/>
  <c r="M298" i="60" a="1"/>
  <c r="M298" i="60" s="1"/>
  <c r="T297" i="60" a="1"/>
  <c r="T297" i="60" s="1"/>
  <c r="AA296" i="60" a="1"/>
  <c r="AA296" i="60" s="1"/>
  <c r="AH295" i="60" a="1"/>
  <c r="AH295" i="60" s="1"/>
  <c r="F295" i="60" a="1"/>
  <c r="F295" i="60" s="1"/>
  <c r="M294" i="60" a="1"/>
  <c r="M294" i="60" s="1"/>
  <c r="T293" i="60" a="1"/>
  <c r="T293" i="60" s="1"/>
  <c r="AA292" i="60" a="1"/>
  <c r="AA292" i="60" s="1"/>
  <c r="M290" i="60" a="1"/>
  <c r="M290" i="60" s="1"/>
  <c r="T289" i="60" a="1"/>
  <c r="T289" i="60" s="1"/>
  <c r="AA288" i="60" a="1"/>
  <c r="AA288" i="60" s="1"/>
  <c r="AH287" i="60" a="1"/>
  <c r="AH287" i="60" s="1"/>
  <c r="F287" i="60" a="1"/>
  <c r="F287" i="60" s="1"/>
  <c r="AA286" i="60" a="1"/>
  <c r="AA286" i="60" s="1"/>
  <c r="AH285" i="60" a="1"/>
  <c r="AH285" i="60" s="1"/>
  <c r="F285" i="60" a="1"/>
  <c r="F285" i="60" s="1"/>
  <c r="M284" i="60" a="1"/>
  <c r="M284" i="60" s="1"/>
  <c r="T283" i="60" a="1"/>
  <c r="T283" i="60" s="1"/>
  <c r="AA282" i="60" a="1"/>
  <c r="AA282" i="60" s="1"/>
  <c r="AH281" i="60" a="1"/>
  <c r="AH281" i="60" s="1"/>
  <c r="F281" i="60" a="1"/>
  <c r="F281" i="60" s="1"/>
  <c r="M280" i="60" a="1"/>
  <c r="M280" i="60" s="1"/>
  <c r="T279" i="60" a="1"/>
  <c r="T279" i="60" s="1"/>
  <c r="AH277" i="60" a="1"/>
  <c r="AH277" i="60" s="1"/>
  <c r="F277" i="60" a="1"/>
  <c r="F277" i="60" s="1"/>
  <c r="M276" i="60" a="1"/>
  <c r="M276" i="60" s="1"/>
  <c r="T275" i="60" a="1"/>
  <c r="T275" i="60" s="1"/>
  <c r="AA274" i="60" a="1"/>
  <c r="AA274" i="60" s="1"/>
  <c r="M273" i="60" a="1"/>
  <c r="M273" i="60" s="1"/>
  <c r="T272" i="60" a="1"/>
  <c r="T272" i="60" s="1"/>
  <c r="AA271" i="60" a="1"/>
  <c r="AA271" i="60" s="1"/>
  <c r="AH270" i="60" a="1"/>
  <c r="AH270" i="60" s="1"/>
  <c r="F270" i="60" a="1"/>
  <c r="F270" i="60" s="1"/>
  <c r="M269" i="60" a="1"/>
  <c r="M269" i="60" s="1"/>
  <c r="T268" i="60" a="1"/>
  <c r="T268" i="60" s="1"/>
  <c r="AA267" i="60" a="1"/>
  <c r="AA267" i="60" s="1"/>
  <c r="AH266" i="60" a="1"/>
  <c r="AH266" i="60" s="1"/>
  <c r="F266" i="60" a="1"/>
  <c r="F266" i="60" s="1"/>
  <c r="T264" i="60" a="1"/>
  <c r="T264" i="60" s="1"/>
  <c r="AA263" i="60" a="1"/>
  <c r="AA263" i="60" s="1"/>
  <c r="AH262" i="60" a="1"/>
  <c r="AH262" i="60" s="1"/>
  <c r="F262" i="60" a="1"/>
  <c r="F262" i="60" s="1"/>
  <c r="M261" i="60" a="1"/>
  <c r="M261" i="60" s="1"/>
  <c r="T325" i="60" a="1"/>
  <c r="T325" i="60" s="1"/>
  <c r="AA324" i="60" a="1"/>
  <c r="AA324" i="60" s="1"/>
  <c r="AH323" i="60" a="1"/>
  <c r="AH323" i="60" s="1"/>
  <c r="F323" i="60" a="1"/>
  <c r="F323" i="60" s="1"/>
  <c r="M322" i="60" a="1"/>
  <c r="M322" i="60" s="1"/>
  <c r="T321" i="60" a="1"/>
  <c r="T321" i="60" s="1"/>
  <c r="AA320" i="60" a="1"/>
  <c r="AA320" i="60" s="1"/>
  <c r="AH319" i="60" a="1"/>
  <c r="AH319" i="60" s="1"/>
  <c r="F319" i="60" a="1"/>
  <c r="F319" i="60" s="1"/>
  <c r="M318" i="60" a="1"/>
  <c r="M318" i="60" s="1"/>
  <c r="AA316" i="60" a="1"/>
  <c r="AA316" i="60" s="1"/>
  <c r="AH315" i="60" a="1"/>
  <c r="AH315" i="60" s="1"/>
  <c r="F315" i="60" a="1"/>
  <c r="F315" i="60" s="1"/>
  <c r="M314" i="60" a="1"/>
  <c r="M314" i="60" s="1"/>
  <c r="T313" i="60" a="1"/>
  <c r="T313" i="60" s="1"/>
  <c r="AH312" i="60" a="1"/>
  <c r="AH312" i="60" s="1"/>
  <c r="F312" i="60" a="1"/>
  <c r="F312" i="60" s="1"/>
  <c r="M311" i="60" a="1"/>
  <c r="M311" i="60" s="1"/>
  <c r="T310" i="60" a="1"/>
  <c r="T310" i="60" s="1"/>
  <c r="AA309" i="60" a="1"/>
  <c r="AA309" i="60" s="1"/>
  <c r="AH308" i="60" a="1"/>
  <c r="AH308" i="60" s="1"/>
  <c r="F308" i="60" a="1"/>
  <c r="F308" i="60" s="1"/>
  <c r="M307" i="60" a="1"/>
  <c r="M307" i="60" s="1"/>
  <c r="T306" i="60" a="1"/>
  <c r="T306" i="60" s="1"/>
  <c r="AA305" i="60" a="1"/>
  <c r="AA305" i="60" s="1"/>
  <c r="M303" i="60" a="1"/>
  <c r="M303" i="60" s="1"/>
  <c r="T302" i="60" a="1"/>
  <c r="T302" i="60" s="1"/>
  <c r="AA301" i="60" a="1"/>
  <c r="AA301" i="60" s="1"/>
  <c r="AH300" i="60" a="1"/>
  <c r="AH300" i="60" s="1"/>
  <c r="F300" i="60" a="1"/>
  <c r="F300" i="60" s="1"/>
  <c r="AA299" i="60" a="1"/>
  <c r="AA299" i="60" s="1"/>
  <c r="AH298" i="60" a="1"/>
  <c r="AH298" i="60" s="1"/>
  <c r="F298" i="60" a="1"/>
  <c r="F298" i="60" s="1"/>
  <c r="M297" i="60" a="1"/>
  <c r="M297" i="60" s="1"/>
  <c r="T296" i="60" a="1"/>
  <c r="T296" i="60" s="1"/>
  <c r="AA295" i="60" a="1"/>
  <c r="AA295" i="60" s="1"/>
  <c r="AH294" i="60" a="1"/>
  <c r="AH294" i="60" s="1"/>
  <c r="F294" i="60" a="1"/>
  <c r="F294" i="60" s="1"/>
  <c r="M293" i="60" a="1"/>
  <c r="M293" i="60" s="1"/>
  <c r="T292" i="60" a="1"/>
  <c r="T292" i="60" s="1"/>
  <c r="AH290" i="60" a="1"/>
  <c r="AH290" i="60" s="1"/>
  <c r="F290" i="60" a="1"/>
  <c r="F290" i="60" s="1"/>
  <c r="M289" i="60" a="1"/>
  <c r="M289" i="60" s="1"/>
  <c r="T288" i="60" a="1"/>
  <c r="T288" i="60" s="1"/>
  <c r="AA287" i="60" a="1"/>
  <c r="AA287" i="60" s="1"/>
  <c r="T286" i="60" a="1"/>
  <c r="T286" i="60" s="1"/>
  <c r="AA285" i="60" a="1"/>
  <c r="AA285" i="60" s="1"/>
  <c r="AH284" i="60" a="1"/>
  <c r="AH284" i="60" s="1"/>
  <c r="F284" i="60" a="1"/>
  <c r="F284" i="60" s="1"/>
  <c r="M283" i="60" a="1"/>
  <c r="M283" i="60" s="1"/>
  <c r="T282" i="60" a="1"/>
  <c r="T282" i="60" s="1"/>
  <c r="AA281" i="60" a="1"/>
  <c r="AA281" i="60" s="1"/>
  <c r="AH280" i="60" a="1"/>
  <c r="AH280" i="60" s="1"/>
  <c r="F280" i="60" a="1"/>
  <c r="F280" i="60" s="1"/>
  <c r="M279" i="60" a="1"/>
  <c r="M279" i="60" s="1"/>
  <c r="AA277" i="60" a="1"/>
  <c r="AA277" i="60" s="1"/>
  <c r="AH276" i="60" a="1"/>
  <c r="AH276" i="60" s="1"/>
  <c r="F276" i="60" a="1"/>
  <c r="F276" i="60" s="1"/>
  <c r="M275" i="60" a="1"/>
  <c r="M275" i="60" s="1"/>
  <c r="T274" i="60" a="1"/>
  <c r="T274" i="60" s="1"/>
  <c r="AH273" i="60" a="1"/>
  <c r="AH273" i="60" s="1"/>
  <c r="F273" i="60" a="1"/>
  <c r="F273" i="60" s="1"/>
  <c r="M272" i="60" a="1"/>
  <c r="M272" i="60" s="1"/>
  <c r="T271" i="60" a="1"/>
  <c r="T271" i="60" s="1"/>
  <c r="AA270" i="60" a="1"/>
  <c r="AA270" i="60" s="1"/>
  <c r="AH269" i="60" a="1"/>
  <c r="AH269" i="60" s="1"/>
  <c r="F269" i="60" a="1"/>
  <c r="F269" i="60" s="1"/>
  <c r="M268" i="60" a="1"/>
  <c r="M268" i="60" s="1"/>
  <c r="T267" i="60" a="1"/>
  <c r="T267" i="60" s="1"/>
  <c r="AA266" i="60" a="1"/>
  <c r="AA266" i="60" s="1"/>
  <c r="M264" i="60" a="1"/>
  <c r="M264" i="60" s="1"/>
  <c r="T263" i="60" a="1"/>
  <c r="T263" i="60" s="1"/>
  <c r="AA262" i="60" a="1"/>
  <c r="AA262" i="60" s="1"/>
  <c r="AH261" i="60" a="1"/>
  <c r="AH261" i="60" s="1"/>
  <c r="F261" i="60" a="1"/>
  <c r="F261" i="60" s="1"/>
  <c r="M325" i="60" a="1"/>
  <c r="M325" i="60" s="1"/>
  <c r="T324" i="60" a="1"/>
  <c r="T324" i="60" s="1"/>
  <c r="AA323" i="60" a="1"/>
  <c r="AA323" i="60" s="1"/>
  <c r="AH322" i="60" a="1"/>
  <c r="AH322" i="60" s="1"/>
  <c r="F322" i="60" a="1"/>
  <c r="F322" i="60" s="1"/>
  <c r="M321" i="60" a="1"/>
  <c r="M321" i="60" s="1"/>
  <c r="T320" i="60" a="1"/>
  <c r="T320" i="60" s="1"/>
  <c r="AA319" i="60" a="1"/>
  <c r="AA319" i="60" s="1"/>
  <c r="AH318" i="60" a="1"/>
  <c r="AH318" i="60" s="1"/>
  <c r="F318" i="60" a="1"/>
  <c r="F318" i="60" s="1"/>
  <c r="T316" i="60" a="1"/>
  <c r="T316" i="60" s="1"/>
  <c r="AA315" i="60" a="1"/>
  <c r="AA315" i="60" s="1"/>
  <c r="AH314" i="60" a="1"/>
  <c r="AH314" i="60" s="1"/>
  <c r="F314" i="60" a="1"/>
  <c r="F314" i="60" s="1"/>
  <c r="M313" i="60" a="1"/>
  <c r="M313" i="60" s="1"/>
  <c r="AA312" i="60" a="1"/>
  <c r="AA312" i="60" s="1"/>
  <c r="AH311" i="60" a="1"/>
  <c r="AH311" i="60" s="1"/>
  <c r="F311" i="60" a="1"/>
  <c r="F311" i="60" s="1"/>
  <c r="M310" i="60" a="1"/>
  <c r="M310" i="60" s="1"/>
  <c r="T309" i="60" a="1"/>
  <c r="T309" i="60" s="1"/>
  <c r="AA308" i="60" a="1"/>
  <c r="AA308" i="60" s="1"/>
  <c r="AH307" i="60" a="1"/>
  <c r="AH307" i="60" s="1"/>
  <c r="F307" i="60" a="1"/>
  <c r="F307" i="60" s="1"/>
  <c r="M306" i="60" a="1"/>
  <c r="M306" i="60" s="1"/>
  <c r="T305" i="60" a="1"/>
  <c r="T305" i="60" s="1"/>
  <c r="AH303" i="60" a="1"/>
  <c r="AH303" i="60" s="1"/>
  <c r="F303" i="60" a="1"/>
  <c r="F303" i="60" s="1"/>
  <c r="M302" i="60" a="1"/>
  <c r="M302" i="60" s="1"/>
  <c r="T301" i="60" a="1"/>
  <c r="T301" i="60" s="1"/>
  <c r="AA300" i="60" a="1"/>
  <c r="AA300" i="60" s="1"/>
  <c r="T299" i="60" a="1"/>
  <c r="T299" i="60" s="1"/>
  <c r="AA298" i="60" a="1"/>
  <c r="AA298" i="60" s="1"/>
  <c r="AH297" i="60" a="1"/>
  <c r="AH297" i="60" s="1"/>
  <c r="F297" i="60" a="1"/>
  <c r="F297" i="60" s="1"/>
  <c r="M296" i="60" a="1"/>
  <c r="M296" i="60" s="1"/>
  <c r="T295" i="60" a="1"/>
  <c r="T295" i="60" s="1"/>
  <c r="AA294" i="60" a="1"/>
  <c r="AA294" i="60" s="1"/>
  <c r="AH293" i="60" a="1"/>
  <c r="AH293" i="60" s="1"/>
  <c r="F293" i="60" a="1"/>
  <c r="F293" i="60" s="1"/>
  <c r="M292" i="60" a="1"/>
  <c r="M292" i="60" s="1"/>
  <c r="AA290" i="60" a="1"/>
  <c r="AA290" i="60" s="1"/>
  <c r="AH289" i="60" a="1"/>
  <c r="AH289" i="60" s="1"/>
  <c r="F289" i="60" a="1"/>
  <c r="F289" i="60" s="1"/>
  <c r="M288" i="60" a="1"/>
  <c r="M288" i="60" s="1"/>
  <c r="T287" i="60" a="1"/>
  <c r="T287" i="60" s="1"/>
  <c r="M286" i="60" a="1"/>
  <c r="M286" i="60" s="1"/>
  <c r="T285" i="60" a="1"/>
  <c r="T285" i="60" s="1"/>
  <c r="AA284" i="60" a="1"/>
  <c r="AA284" i="60" s="1"/>
  <c r="AH283" i="60" a="1"/>
  <c r="AH283" i="60" s="1"/>
  <c r="F283" i="60" a="1"/>
  <c r="F283" i="60" s="1"/>
  <c r="M282" i="60" a="1"/>
  <c r="M282" i="60" s="1"/>
  <c r="T281" i="60" a="1"/>
  <c r="T281" i="60" s="1"/>
  <c r="AA280" i="60" a="1"/>
  <c r="AA280" i="60" s="1"/>
  <c r="AH279" i="60" a="1"/>
  <c r="AH279" i="60" s="1"/>
  <c r="F279" i="60" a="1"/>
  <c r="F279" i="60" s="1"/>
  <c r="T277" i="60" a="1"/>
  <c r="T277" i="60" s="1"/>
  <c r="AA276" i="60" a="1"/>
  <c r="AA276" i="60" s="1"/>
  <c r="AH275" i="60" a="1"/>
  <c r="AH275" i="60" s="1"/>
  <c r="F275" i="60" a="1"/>
  <c r="F275" i="60" s="1"/>
  <c r="M274" i="60" a="1"/>
  <c r="M274" i="60" s="1"/>
  <c r="AA273" i="60" a="1"/>
  <c r="AA273" i="60" s="1"/>
  <c r="AH272" i="60" a="1"/>
  <c r="AH272" i="60" s="1"/>
  <c r="F272" i="60" a="1"/>
  <c r="F272" i="60" s="1"/>
  <c r="M271" i="60" a="1"/>
  <c r="M271" i="60" s="1"/>
  <c r="T270" i="60" a="1"/>
  <c r="T270" i="60" s="1"/>
  <c r="AA269" i="60" a="1"/>
  <c r="AA269" i="60" s="1"/>
  <c r="AH268" i="60" a="1"/>
  <c r="AH268" i="60" s="1"/>
  <c r="F268" i="60" a="1"/>
  <c r="F268" i="60" s="1"/>
  <c r="M267" i="60" a="1"/>
  <c r="M267" i="60" s="1"/>
  <c r="T266" i="60" a="1"/>
  <c r="T266" i="60" s="1"/>
  <c r="AH264" i="60" a="1"/>
  <c r="AH264" i="60" s="1"/>
  <c r="F264" i="60" a="1"/>
  <c r="F264" i="60" s="1"/>
  <c r="M263" i="60" a="1"/>
  <c r="M263" i="60" s="1"/>
  <c r="T262" i="60" a="1"/>
  <c r="T262" i="60" s="1"/>
  <c r="AA261" i="60" a="1"/>
  <c r="AA261" i="60" s="1"/>
  <c r="H31" i="54"/>
  <c r="H39" i="54"/>
  <c r="H45" i="54"/>
  <c r="H67" i="54"/>
  <c r="H83" i="54"/>
  <c r="H91" i="54"/>
  <c r="H97" i="54"/>
  <c r="H119" i="54"/>
  <c r="H135" i="54"/>
  <c r="H143" i="54"/>
  <c r="H149" i="54"/>
  <c r="H171" i="54"/>
  <c r="H18" i="54"/>
  <c r="H26" i="54"/>
  <c r="H32" i="54"/>
  <c r="H54" i="54"/>
  <c r="H70" i="54"/>
  <c r="H78" i="54"/>
  <c r="H84" i="54"/>
  <c r="H106" i="54"/>
  <c r="H122" i="54"/>
  <c r="H130" i="54"/>
  <c r="H136" i="54"/>
  <c r="H158" i="54"/>
  <c r="H174" i="54"/>
  <c r="H182" i="54"/>
  <c r="H188" i="54"/>
  <c r="H210" i="54"/>
  <c r="H19" i="54"/>
  <c r="H41" i="54"/>
  <c r="H57" i="54"/>
  <c r="H65" i="54"/>
  <c r="H71" i="54"/>
  <c r="H93" i="54"/>
  <c r="H109" i="54"/>
  <c r="H117" i="54"/>
  <c r="H123" i="54"/>
  <c r="H145" i="54"/>
  <c r="H161" i="54"/>
  <c r="H169" i="54"/>
  <c r="H175" i="54"/>
  <c r="H197" i="54"/>
  <c r="H213" i="54"/>
  <c r="H44" i="54"/>
  <c r="H80" i="54"/>
  <c r="H156" i="54"/>
  <c r="H201" i="54"/>
  <c r="H223" i="54"/>
  <c r="H239" i="54"/>
  <c r="H247" i="54"/>
  <c r="H253" i="54"/>
  <c r="H275" i="54"/>
  <c r="H291" i="54"/>
  <c r="H299" i="54"/>
  <c r="H305" i="54"/>
  <c r="H327" i="54"/>
  <c r="H343" i="54"/>
  <c r="H351" i="54"/>
  <c r="H357" i="54"/>
  <c r="H379" i="54"/>
  <c r="H395" i="54"/>
  <c r="H403" i="54"/>
  <c r="H28" i="54"/>
  <c r="H104" i="54"/>
  <c r="H162" i="54"/>
  <c r="H184" i="54"/>
  <c r="H226" i="54"/>
  <c r="H234" i="54"/>
  <c r="H240" i="54"/>
  <c r="H262" i="54"/>
  <c r="H278" i="54"/>
  <c r="H286" i="54"/>
  <c r="H292" i="54"/>
  <c r="H314" i="54"/>
  <c r="H330" i="54"/>
  <c r="H338" i="54"/>
  <c r="H52" i="54"/>
  <c r="H110" i="54"/>
  <c r="H148" i="54"/>
  <c r="H187" i="54"/>
  <c r="H195" i="54"/>
  <c r="H221" i="54"/>
  <c r="H227" i="54"/>
  <c r="H249" i="54"/>
  <c r="H265" i="54"/>
  <c r="H273" i="54"/>
  <c r="H279" i="54"/>
  <c r="H301" i="54"/>
  <c r="H317" i="54"/>
  <c r="H325" i="54"/>
  <c r="H331" i="54"/>
  <c r="H353" i="54"/>
  <c r="H369" i="54"/>
  <c r="H377" i="54"/>
  <c r="H383" i="54"/>
  <c r="H405" i="54"/>
  <c r="H58" i="54"/>
  <c r="H200" i="54"/>
  <c r="H214" i="54"/>
  <c r="H252" i="54"/>
  <c r="H288" i="54"/>
  <c r="H356" i="54"/>
  <c r="H364" i="54"/>
  <c r="H392" i="54"/>
  <c r="H208" i="54"/>
  <c r="H236" i="54"/>
  <c r="H312" i="54"/>
  <c r="H366" i="54"/>
  <c r="H396" i="54"/>
  <c r="H260" i="54"/>
  <c r="H318" i="54"/>
  <c r="H370" i="54"/>
  <c r="H96" i="54"/>
  <c r="H382" i="54"/>
  <c r="H304" i="54"/>
  <c r="H340" i="54"/>
  <c r="H390" i="54"/>
  <c r="H132" i="54"/>
  <c r="H266" i="54"/>
  <c r="H344" i="54"/>
  <c r="AH403" i="56" a="1"/>
  <c r="AH403" i="56" s="1"/>
  <c r="AH399" i="56" a="1"/>
  <c r="AH399" i="56" s="1"/>
  <c r="AH395" i="56" a="1"/>
  <c r="AH395" i="56" s="1"/>
  <c r="AH392" i="56" a="1"/>
  <c r="AH392" i="56" s="1"/>
  <c r="AH388" i="56" a="1"/>
  <c r="AH388" i="56" s="1"/>
  <c r="AH380" i="56" a="1"/>
  <c r="AH380" i="56" s="1"/>
  <c r="AH378" i="56" a="1"/>
  <c r="AH378" i="56" s="1"/>
  <c r="AH374" i="56" a="1"/>
  <c r="AH374" i="56" s="1"/>
  <c r="AH370" i="56" a="1"/>
  <c r="AH370" i="56" s="1"/>
  <c r="AH365" i="56" a="1"/>
  <c r="AH365" i="56" s="1"/>
  <c r="AH361" i="56" a="1"/>
  <c r="AH361" i="56" s="1"/>
  <c r="AH357" i="56" a="1"/>
  <c r="AH357" i="56" s="1"/>
  <c r="AH352" i="56" a="1"/>
  <c r="AH352" i="56" s="1"/>
  <c r="AH341" i="56" a="1"/>
  <c r="AH341" i="56" s="1"/>
  <c r="AH337" i="56" a="1"/>
  <c r="AH337" i="56" s="1"/>
  <c r="AH333" i="56" a="1"/>
  <c r="AH333" i="56" s="1"/>
  <c r="AH329" i="56" a="1"/>
  <c r="AH329" i="56" s="1"/>
  <c r="AH326" i="56" a="1"/>
  <c r="AH326" i="56" s="1"/>
  <c r="AH323" i="56" a="1"/>
  <c r="AH323" i="56" s="1"/>
  <c r="AH320" i="56" a="1"/>
  <c r="AH320" i="56" s="1"/>
  <c r="AH317" i="56" a="1"/>
  <c r="AH317" i="56" s="1"/>
  <c r="AH313" i="56" a="1"/>
  <c r="AH313" i="56" s="1"/>
  <c r="AH309" i="56" a="1"/>
  <c r="AH309" i="56" s="1"/>
  <c r="AH303" i="56" a="1"/>
  <c r="AH303" i="56" s="1"/>
  <c r="AH298" i="56" a="1"/>
  <c r="AH298" i="56" s="1"/>
  <c r="AH294" i="56" a="1"/>
  <c r="AH294" i="56" s="1"/>
  <c r="AH290" i="56" a="1"/>
  <c r="AH290" i="56" s="1"/>
  <c r="AH288" i="56" a="1"/>
  <c r="AH288" i="56" s="1"/>
  <c r="AH284" i="56" a="1"/>
  <c r="AH284" i="56" s="1"/>
  <c r="AH276" i="56" a="1"/>
  <c r="AH276" i="56" s="1"/>
  <c r="AH274" i="56" a="1"/>
  <c r="AH274" i="56" s="1"/>
  <c r="AH271" i="56" a="1"/>
  <c r="AH271" i="56" s="1"/>
  <c r="AH263" i="56" a="1"/>
  <c r="AH263" i="56" s="1"/>
  <c r="AH260" i="56" a="1"/>
  <c r="AH260" i="56" s="1"/>
  <c r="AH256" i="56" a="1"/>
  <c r="AH256" i="56" s="1"/>
  <c r="AH252" i="56" a="1"/>
  <c r="AH252" i="56" s="1"/>
  <c r="AH247" i="56" a="1"/>
  <c r="AH247" i="56" s="1"/>
  <c r="AH243" i="56" a="1"/>
  <c r="AH243" i="56" s="1"/>
  <c r="AH239" i="56" a="1"/>
  <c r="AH239" i="56" s="1"/>
  <c r="AH233" i="56" a="1"/>
  <c r="AH233" i="56" s="1"/>
  <c r="AH229" i="56" a="1"/>
  <c r="AH229" i="56" s="1"/>
  <c r="AH226" i="56" a="1"/>
  <c r="AH226" i="56" s="1"/>
  <c r="AH221" i="56" a="1"/>
  <c r="AH221" i="56" s="1"/>
  <c r="AH218" i="56" a="1"/>
  <c r="AH218" i="56" s="1"/>
  <c r="AH212" i="56" a="1"/>
  <c r="AH212" i="56" s="1"/>
  <c r="AH207" i="56" a="1"/>
  <c r="AH207" i="56" s="1"/>
  <c r="AH204" i="56" a="1"/>
  <c r="AH204" i="56" s="1"/>
  <c r="AH201" i="56" a="1"/>
  <c r="AH201" i="56" s="1"/>
  <c r="AH194" i="56" a="1"/>
  <c r="AH194" i="56" s="1"/>
  <c r="AH187" i="56" a="1"/>
  <c r="AH187" i="56" s="1"/>
  <c r="AH402" i="56" a="1"/>
  <c r="AH402" i="56" s="1"/>
  <c r="AH398" i="56" a="1"/>
  <c r="AH398" i="56" s="1"/>
  <c r="AH394" i="56" a="1"/>
  <c r="AH394" i="56" s="1"/>
  <c r="AH391" i="56" a="1"/>
  <c r="AH391" i="56" s="1"/>
  <c r="AH387" i="56" a="1"/>
  <c r="AH387" i="56" s="1"/>
  <c r="AH383" i="56" a="1"/>
  <c r="AH383" i="56" s="1"/>
  <c r="AH377" i="56" a="1"/>
  <c r="AH377" i="56" s="1"/>
  <c r="AH373" i="56" a="1"/>
  <c r="AH373" i="56" s="1"/>
  <c r="AH369" i="56" a="1"/>
  <c r="AH369" i="56" s="1"/>
  <c r="AH364" i="56" a="1"/>
  <c r="AH364" i="56" s="1"/>
  <c r="AH360" i="56" a="1"/>
  <c r="AH360" i="56" s="1"/>
  <c r="AH356" i="56" a="1"/>
  <c r="AH356" i="56" s="1"/>
  <c r="AH351" i="56" a="1"/>
  <c r="AH351" i="56" s="1"/>
  <c r="AH348" i="56" a="1"/>
  <c r="AH348" i="56" s="1"/>
  <c r="AH344" i="56" a="1"/>
  <c r="AH344" i="56" s="1"/>
  <c r="AH340" i="56" a="1"/>
  <c r="AH340" i="56" s="1"/>
  <c r="AH336" i="56" a="1"/>
  <c r="AH336" i="56" s="1"/>
  <c r="AH328" i="56" a="1"/>
  <c r="AH328" i="56" s="1"/>
  <c r="AH325" i="56" a="1"/>
  <c r="AH325" i="56" s="1"/>
  <c r="AH322" i="56" a="1"/>
  <c r="AH322" i="56" s="1"/>
  <c r="AH316" i="56" a="1"/>
  <c r="AH316" i="56" s="1"/>
  <c r="AH312" i="56" a="1"/>
  <c r="AH312" i="56" s="1"/>
  <c r="AH302" i="56" a="1"/>
  <c r="AH302" i="56" s="1"/>
  <c r="AH301" i="56" a="1"/>
  <c r="AH301" i="56" s="1"/>
  <c r="AH297" i="56" a="1"/>
  <c r="AH297" i="56" s="1"/>
  <c r="AH289" i="56" a="1"/>
  <c r="AH289" i="56" s="1"/>
  <c r="AH287" i="56" a="1"/>
  <c r="AH287" i="56" s="1"/>
  <c r="AH283" i="56" a="1"/>
  <c r="AH283" i="56" s="1"/>
  <c r="AH279" i="56" a="1"/>
  <c r="AH279" i="56" s="1"/>
  <c r="AH273" i="56" a="1"/>
  <c r="AH273" i="56" s="1"/>
  <c r="AH270" i="56" a="1"/>
  <c r="AH270" i="56" s="1"/>
  <c r="AH266" i="56" a="1"/>
  <c r="AH266" i="56" s="1"/>
  <c r="AH259" i="56" a="1"/>
  <c r="AH259" i="56" s="1"/>
  <c r="AH255" i="56" a="1"/>
  <c r="AH255" i="56" s="1"/>
  <c r="AH251" i="56" a="1"/>
  <c r="AH251" i="56" s="1"/>
  <c r="AH246" i="56" a="1"/>
  <c r="AH246" i="56" s="1"/>
  <c r="AH242" i="56" a="1"/>
  <c r="AH242" i="56" s="1"/>
  <c r="AH238" i="56" a="1"/>
  <c r="AH238" i="56" s="1"/>
  <c r="AH236" i="56" a="1"/>
  <c r="AH236" i="56" s="1"/>
  <c r="AH232" i="56" a="1"/>
  <c r="AH232" i="56" s="1"/>
  <c r="AH225" i="56" a="1"/>
  <c r="AH225" i="56" s="1"/>
  <c r="AH223" i="56" a="1"/>
  <c r="AH223" i="56" s="1"/>
  <c r="AH220" i="56" a="1"/>
  <c r="AH220" i="56" s="1"/>
  <c r="AH217" i="56" a="1"/>
  <c r="AH217" i="56" s="1"/>
  <c r="AH214" i="56" a="1"/>
  <c r="AH214" i="56" s="1"/>
  <c r="AH211" i="56" a="1"/>
  <c r="AH211" i="56" s="1"/>
  <c r="AH210" i="56" a="1"/>
  <c r="AH210" i="56" s="1"/>
  <c r="AH206" i="56" a="1"/>
  <c r="AH206" i="56" s="1"/>
  <c r="AH200" i="56" a="1"/>
  <c r="AH200" i="56" s="1"/>
  <c r="AH197" i="56" a="1"/>
  <c r="AH197" i="56" s="1"/>
  <c r="AH193" i="56" a="1"/>
  <c r="AH193" i="56" s="1"/>
  <c r="AH190" i="56" a="1"/>
  <c r="AH190" i="56" s="1"/>
  <c r="AH186" i="56" a="1"/>
  <c r="AH186" i="56" s="1"/>
  <c r="AH401" i="56" a="1"/>
  <c r="AH401" i="56" s="1"/>
  <c r="AH393" i="56" a="1"/>
  <c r="AH393" i="56" s="1"/>
  <c r="AH390" i="56" a="1"/>
  <c r="AH390" i="56" s="1"/>
  <c r="AH382" i="56" a="1"/>
  <c r="AH382" i="56" s="1"/>
  <c r="AH376" i="56" a="1"/>
  <c r="AH376" i="56" s="1"/>
  <c r="AH368" i="56" a="1"/>
  <c r="AH368" i="56" s="1"/>
  <c r="AH363" i="56" a="1"/>
  <c r="AH363" i="56" s="1"/>
  <c r="AH355" i="56" a="1"/>
  <c r="AH355" i="56" s="1"/>
  <c r="AH350" i="56" a="1"/>
  <c r="AH350" i="56" s="1"/>
  <c r="AH343" i="56" a="1"/>
  <c r="AH343" i="56" s="1"/>
  <c r="AH339" i="56" a="1"/>
  <c r="AH339" i="56" s="1"/>
  <c r="AH331" i="56" a="1"/>
  <c r="AH331" i="56" s="1"/>
  <c r="AH327" i="56" a="1"/>
  <c r="AH327" i="56" s="1"/>
  <c r="AH311" i="56" a="1"/>
  <c r="AH311" i="56" s="1"/>
  <c r="AH305" i="56" a="1"/>
  <c r="AH305" i="56" s="1"/>
  <c r="AH300" i="56" a="1"/>
  <c r="AH300" i="56" s="1"/>
  <c r="AH292" i="56" a="1"/>
  <c r="AH292" i="56" s="1"/>
  <c r="AH282" i="56" a="1"/>
  <c r="AH282" i="56" s="1"/>
  <c r="AH400" i="56" a="1"/>
  <c r="AH400" i="56" s="1"/>
  <c r="AH389" i="56" a="1"/>
  <c r="AH389" i="56" s="1"/>
  <c r="AH381" i="56" a="1"/>
  <c r="AH381" i="56" s="1"/>
  <c r="AH375" i="56" a="1"/>
  <c r="AH375" i="56" s="1"/>
  <c r="AH367" i="56" a="1"/>
  <c r="AH367" i="56" s="1"/>
  <c r="AH362" i="56" a="1"/>
  <c r="AH362" i="56" s="1"/>
  <c r="AH354" i="56" a="1"/>
  <c r="AH354" i="56" s="1"/>
  <c r="AH349" i="56" a="1"/>
  <c r="AH349" i="56" s="1"/>
  <c r="AH342" i="56" a="1"/>
  <c r="AH342" i="56" s="1"/>
  <c r="AH338" i="56" a="1"/>
  <c r="AH338" i="56" s="1"/>
  <c r="AH330" i="56" a="1"/>
  <c r="AH330" i="56" s="1"/>
  <c r="AH321" i="56" a="1"/>
  <c r="AH321" i="56" s="1"/>
  <c r="AH315" i="56" a="1"/>
  <c r="AH315" i="56" s="1"/>
  <c r="AH310" i="56" a="1"/>
  <c r="AH310" i="56" s="1"/>
  <c r="AH304" i="56" a="1"/>
  <c r="AH304" i="56" s="1"/>
  <c r="AH299" i="56" a="1"/>
  <c r="AH299" i="56" s="1"/>
  <c r="AH291" i="56" a="1"/>
  <c r="AH291" i="56" s="1"/>
  <c r="AH405" i="56" a="1"/>
  <c r="AH405" i="56" s="1"/>
  <c r="AH386" i="56" a="1"/>
  <c r="AH386" i="56" s="1"/>
  <c r="AH372" i="56" a="1"/>
  <c r="AH372" i="56" s="1"/>
  <c r="AH359" i="56" a="1"/>
  <c r="AH359" i="56" s="1"/>
  <c r="AH347" i="56" a="1"/>
  <c r="AH347" i="56" s="1"/>
  <c r="AH335" i="56" a="1"/>
  <c r="AH335" i="56" s="1"/>
  <c r="AH318" i="56" a="1"/>
  <c r="AH318" i="56" s="1"/>
  <c r="AH308" i="56" a="1"/>
  <c r="AH308" i="56" s="1"/>
  <c r="AH296" i="56" a="1"/>
  <c r="AH296" i="56" s="1"/>
  <c r="AH286" i="56" a="1"/>
  <c r="AH286" i="56" s="1"/>
  <c r="AH278" i="56" a="1"/>
  <c r="AH278" i="56" s="1"/>
  <c r="AH404" i="56" a="1"/>
  <c r="AH404" i="56" s="1"/>
  <c r="AH379" i="56" a="1"/>
  <c r="AH379" i="56" s="1"/>
  <c r="AH353" i="56" a="1"/>
  <c r="AH353" i="56" s="1"/>
  <c r="AH307" i="56" a="1"/>
  <c r="AH307" i="56" s="1"/>
  <c r="AH285" i="56" a="1"/>
  <c r="AH285" i="56" s="1"/>
  <c r="AH264" i="56" a="1"/>
  <c r="AH264" i="56" s="1"/>
  <c r="AH261" i="56" a="1"/>
  <c r="AH261" i="56" s="1"/>
  <c r="AH253" i="56" a="1"/>
  <c r="AH253" i="56" s="1"/>
  <c r="AH248" i="56" a="1"/>
  <c r="AH248" i="56" s="1"/>
  <c r="AH240" i="56" a="1"/>
  <c r="AH240" i="56" s="1"/>
  <c r="AH230" i="56" a="1"/>
  <c r="AH230" i="56" s="1"/>
  <c r="AH219" i="56" a="1"/>
  <c r="AH219" i="56" s="1"/>
  <c r="AH213" i="56" a="1"/>
  <c r="AH213" i="56" s="1"/>
  <c r="AH208" i="56" a="1"/>
  <c r="AH208" i="56" s="1"/>
  <c r="AH191" i="56" a="1"/>
  <c r="AH191" i="56" s="1"/>
  <c r="AH182" i="56" a="1"/>
  <c r="AH182" i="56" s="1"/>
  <c r="AH178" i="56" a="1"/>
  <c r="AH178" i="56" s="1"/>
  <c r="AH174" i="56" a="1"/>
  <c r="AH174" i="56" s="1"/>
  <c r="AH170" i="56" a="1"/>
  <c r="AH170" i="56" s="1"/>
  <c r="AH167" i="56" a="1"/>
  <c r="AH167" i="56" s="1"/>
  <c r="AH160" i="56" a="1"/>
  <c r="AH160" i="56" s="1"/>
  <c r="AH156" i="56" a="1"/>
  <c r="AH156" i="56" s="1"/>
  <c r="AH153" i="56" a="1"/>
  <c r="AH153" i="56" s="1"/>
  <c r="AH149" i="56" a="1"/>
  <c r="AH149" i="56" s="1"/>
  <c r="AH145" i="56" a="1"/>
  <c r="AH145" i="56" s="1"/>
  <c r="AH141" i="56" a="1"/>
  <c r="AH141" i="56" s="1"/>
  <c r="AH138" i="56" a="1"/>
  <c r="AH138" i="56" s="1"/>
  <c r="AH134" i="56" a="1"/>
  <c r="AH134" i="56" s="1"/>
  <c r="AH131" i="56" a="1"/>
  <c r="AH131" i="56" s="1"/>
  <c r="AH127" i="56" a="1"/>
  <c r="AH127" i="56" s="1"/>
  <c r="AH120" i="56" a="1"/>
  <c r="AH120" i="56" s="1"/>
  <c r="AH116" i="56" a="1"/>
  <c r="AH116" i="56" s="1"/>
  <c r="AH112" i="56" a="1"/>
  <c r="AH112" i="56" s="1"/>
  <c r="AH105" i="56" a="1"/>
  <c r="AH105" i="56" s="1"/>
  <c r="AH94" i="56" a="1"/>
  <c r="AH94" i="56" s="1"/>
  <c r="AH91" i="56" a="1"/>
  <c r="AH91" i="56" s="1"/>
  <c r="AH87" i="56" a="1"/>
  <c r="AH87" i="56" s="1"/>
  <c r="AH83" i="56" a="1"/>
  <c r="AH83" i="56" s="1"/>
  <c r="AH76" i="56" a="1"/>
  <c r="AH76" i="56" s="1"/>
  <c r="AH69" i="56" a="1"/>
  <c r="AH69" i="56" s="1"/>
  <c r="AH65" i="56" a="1"/>
  <c r="AH65" i="56" s="1"/>
  <c r="AH62" i="56" a="1"/>
  <c r="AH62" i="56" s="1"/>
  <c r="AH58" i="56" a="1"/>
  <c r="AH58" i="56" s="1"/>
  <c r="AH396" i="56" a="1"/>
  <c r="AH396" i="56" s="1"/>
  <c r="AH346" i="56" a="1"/>
  <c r="AH346" i="56" s="1"/>
  <c r="AH324" i="56" a="1"/>
  <c r="AH324" i="56" s="1"/>
  <c r="AH281" i="56" a="1"/>
  <c r="AH281" i="56" s="1"/>
  <c r="AH269" i="56" a="1"/>
  <c r="AH269" i="56" s="1"/>
  <c r="AH258" i="56" a="1"/>
  <c r="AH258" i="56" s="1"/>
  <c r="AH250" i="56" a="1"/>
  <c r="AH250" i="56" s="1"/>
  <c r="AH245" i="56" a="1"/>
  <c r="AH245" i="56" s="1"/>
  <c r="AH237" i="56" a="1"/>
  <c r="AH237" i="56" s="1"/>
  <c r="AH235" i="56" a="1"/>
  <c r="AH235" i="56" s="1"/>
  <c r="AH227" i="56" a="1"/>
  <c r="AH227" i="56" s="1"/>
  <c r="AH222" i="56" a="1"/>
  <c r="AH222" i="56" s="1"/>
  <c r="AH216" i="56" a="1"/>
  <c r="AH216" i="56" s="1"/>
  <c r="AH199" i="56" a="1"/>
  <c r="AH199" i="56" s="1"/>
  <c r="AH196" i="56" a="1"/>
  <c r="AH196" i="56" s="1"/>
  <c r="AH184" i="56" a="1"/>
  <c r="AH184" i="56" s="1"/>
  <c r="AH181" i="56" a="1"/>
  <c r="AH181" i="56" s="1"/>
  <c r="AH177" i="56" a="1"/>
  <c r="AH177" i="56" s="1"/>
  <c r="AH173" i="56" a="1"/>
  <c r="AH173" i="56" s="1"/>
  <c r="AH169" i="56" a="1"/>
  <c r="AH169" i="56" s="1"/>
  <c r="AH166" i="56" a="1"/>
  <c r="AH166" i="56" s="1"/>
  <c r="AH162" i="56" a="1"/>
  <c r="AH162" i="56" s="1"/>
  <c r="AH159" i="56" a="1"/>
  <c r="AH159" i="56" s="1"/>
  <c r="AH155" i="56" a="1"/>
  <c r="AH155" i="56" s="1"/>
  <c r="AH152" i="56" a="1"/>
  <c r="AH152" i="56" s="1"/>
  <c r="AH148" i="56" a="1"/>
  <c r="AH148" i="56" s="1"/>
  <c r="AH144" i="56" a="1"/>
  <c r="AH144" i="56" s="1"/>
  <c r="AH140" i="56" a="1"/>
  <c r="AH140" i="56" s="1"/>
  <c r="AH133" i="56" a="1"/>
  <c r="AH133" i="56" s="1"/>
  <c r="AH130" i="56" a="1"/>
  <c r="AH130" i="56" s="1"/>
  <c r="AH126" i="56" a="1"/>
  <c r="AH126" i="56" s="1"/>
  <c r="AH123" i="56" a="1"/>
  <c r="AH123" i="56" s="1"/>
  <c r="AH119" i="56" a="1"/>
  <c r="AH119" i="56" s="1"/>
  <c r="AH115" i="56" a="1"/>
  <c r="AH115" i="56" s="1"/>
  <c r="AH108" i="56" a="1"/>
  <c r="AH108" i="56" s="1"/>
  <c r="AH104" i="56" a="1"/>
  <c r="AH104" i="56" s="1"/>
  <c r="AH101" i="56" a="1"/>
  <c r="AH101" i="56" s="1"/>
  <c r="AH97" i="56" a="1"/>
  <c r="AH97" i="56" s="1"/>
  <c r="AH90" i="56" a="1"/>
  <c r="AH90" i="56" s="1"/>
  <c r="AH86" i="56" a="1"/>
  <c r="AH86" i="56" s="1"/>
  <c r="AH82" i="56" a="1"/>
  <c r="AH82" i="56" s="1"/>
  <c r="AH79" i="56" a="1"/>
  <c r="AH79" i="56" s="1"/>
  <c r="AH75" i="56" a="1"/>
  <c r="AH75" i="56" s="1"/>
  <c r="AH68" i="56" a="1"/>
  <c r="AH68" i="56" s="1"/>
  <c r="AH61" i="56" a="1"/>
  <c r="AH61" i="56" s="1"/>
  <c r="AH57" i="56" a="1"/>
  <c r="AH57" i="56" s="1"/>
  <c r="AH52" i="56" a="1"/>
  <c r="AH52" i="56" s="1"/>
  <c r="AH48" i="56" a="1"/>
  <c r="AH48" i="56" s="1"/>
  <c r="AH44" i="56" a="1"/>
  <c r="AH44" i="56" s="1"/>
  <c r="AH366" i="56" a="1"/>
  <c r="AH366" i="56" s="1"/>
  <c r="AH295" i="56" a="1"/>
  <c r="AH295" i="56" s="1"/>
  <c r="AH277" i="56" a="1"/>
  <c r="AH277" i="56" s="1"/>
  <c r="AH275" i="56" a="1"/>
  <c r="AH275" i="56" s="1"/>
  <c r="AH268" i="56" a="1"/>
  <c r="AH268" i="56" s="1"/>
  <c r="AH257" i="56" a="1"/>
  <c r="AH257" i="56" s="1"/>
  <c r="AH244" i="56" a="1"/>
  <c r="AH244" i="56" s="1"/>
  <c r="AH234" i="56" a="1"/>
  <c r="AH234" i="56" s="1"/>
  <c r="AH205" i="56" a="1"/>
  <c r="AH205" i="56" s="1"/>
  <c r="AH198" i="56" a="1"/>
  <c r="AH198" i="56" s="1"/>
  <c r="AH195" i="56" a="1"/>
  <c r="AH195" i="56" s="1"/>
  <c r="AH188" i="56" a="1"/>
  <c r="AH188" i="56" s="1"/>
  <c r="AH180" i="56" a="1"/>
  <c r="AH180" i="56" s="1"/>
  <c r="AH172" i="56" a="1"/>
  <c r="AH172" i="56" s="1"/>
  <c r="AH165" i="56" a="1"/>
  <c r="AH165" i="56" s="1"/>
  <c r="AH161" i="56" a="1"/>
  <c r="AH161" i="56" s="1"/>
  <c r="AH158" i="56" a="1"/>
  <c r="AH158" i="56" s="1"/>
  <c r="AH154" i="56" a="1"/>
  <c r="AH154" i="56" s="1"/>
  <c r="AH151" i="56" a="1"/>
  <c r="AH151" i="56" s="1"/>
  <c r="AH147" i="56" a="1"/>
  <c r="AH147" i="56" s="1"/>
  <c r="AH143" i="56" a="1"/>
  <c r="AH143" i="56" s="1"/>
  <c r="AH139" i="56" a="1"/>
  <c r="AH139" i="56" s="1"/>
  <c r="AH136" i="56" a="1"/>
  <c r="AH136" i="56" s="1"/>
  <c r="AH132" i="56" a="1"/>
  <c r="AH132" i="56" s="1"/>
  <c r="AH129" i="56" a="1"/>
  <c r="AH129" i="56" s="1"/>
  <c r="AH125" i="56" a="1"/>
  <c r="AH125" i="56" s="1"/>
  <c r="AH122" i="56" a="1"/>
  <c r="AH122" i="56" s="1"/>
  <c r="AH118" i="56" a="1"/>
  <c r="AH118" i="56" s="1"/>
  <c r="AH114" i="56" a="1"/>
  <c r="AH114" i="56" s="1"/>
  <c r="AH110" i="56" a="1"/>
  <c r="AH110" i="56" s="1"/>
  <c r="AH107" i="56" a="1"/>
  <c r="AH107" i="56" s="1"/>
  <c r="AH103" i="56" a="1"/>
  <c r="AH103" i="56" s="1"/>
  <c r="AH100" i="56" a="1"/>
  <c r="AH100" i="56" s="1"/>
  <c r="AH96" i="56" a="1"/>
  <c r="AH96" i="56" s="1"/>
  <c r="AH93" i="56" a="1"/>
  <c r="AH93" i="56" s="1"/>
  <c r="AH89" i="56" a="1"/>
  <c r="AH89" i="56" s="1"/>
  <c r="AH81" i="56" a="1"/>
  <c r="AH81" i="56" s="1"/>
  <c r="AH78" i="56" a="1"/>
  <c r="AH78" i="56" s="1"/>
  <c r="AH74" i="56" a="1"/>
  <c r="AH74" i="56" s="1"/>
  <c r="AH71" i="56" a="1"/>
  <c r="AH71" i="56" s="1"/>
  <c r="AH67" i="56" a="1"/>
  <c r="AH67" i="56" s="1"/>
  <c r="AH64" i="56" a="1"/>
  <c r="AH64" i="56" s="1"/>
  <c r="AH60" i="56" a="1"/>
  <c r="AH60" i="56" s="1"/>
  <c r="AH56" i="56" a="1"/>
  <c r="AH56" i="56" s="1"/>
  <c r="AH51" i="56" a="1"/>
  <c r="AH51" i="56" s="1"/>
  <c r="AH47" i="56" a="1"/>
  <c r="AH47" i="56" s="1"/>
  <c r="AH43" i="56" a="1"/>
  <c r="AH43" i="56" s="1"/>
  <c r="AH38" i="56" a="1"/>
  <c r="AH38" i="56" s="1"/>
  <c r="AH34" i="56" a="1"/>
  <c r="AH34" i="56" s="1"/>
  <c r="AH30" i="56" a="1"/>
  <c r="AH30" i="56" s="1"/>
  <c r="AH24" i="56" a="1"/>
  <c r="AH24" i="56" s="1"/>
  <c r="AH16" i="56" a="1"/>
  <c r="AH16" i="56" s="1"/>
  <c r="AH385" i="56" a="1"/>
  <c r="AH385" i="56" s="1"/>
  <c r="AH334" i="56" a="1"/>
  <c r="AH334" i="56" s="1"/>
  <c r="AH314" i="56" a="1"/>
  <c r="AH314" i="56" s="1"/>
  <c r="AH272" i="56" a="1"/>
  <c r="AH272" i="56" s="1"/>
  <c r="AH249" i="56" a="1"/>
  <c r="AH249" i="56" s="1"/>
  <c r="AH224" i="56" a="1"/>
  <c r="AH224" i="56" s="1"/>
  <c r="AH209" i="56" a="1"/>
  <c r="AH209" i="56" s="1"/>
  <c r="AH185" i="56" a="1"/>
  <c r="AH185" i="56" s="1"/>
  <c r="AH179" i="56" a="1"/>
  <c r="AH179" i="56" s="1"/>
  <c r="AH168" i="56" a="1"/>
  <c r="AH168" i="56" s="1"/>
  <c r="AH157" i="56" a="1"/>
  <c r="AH157" i="56" s="1"/>
  <c r="AH121" i="56" a="1"/>
  <c r="AH121" i="56" s="1"/>
  <c r="AH109" i="56" a="1"/>
  <c r="AH109" i="56" s="1"/>
  <c r="AH99" i="56" a="1"/>
  <c r="AH99" i="56" s="1"/>
  <c r="AH88" i="56" a="1"/>
  <c r="AH88" i="56" s="1"/>
  <c r="AH77" i="56" a="1"/>
  <c r="AH77" i="56" s="1"/>
  <c r="AH66" i="56" a="1"/>
  <c r="AH66" i="56" s="1"/>
  <c r="AH49" i="56" a="1"/>
  <c r="AH49" i="56" s="1"/>
  <c r="AH39" i="56" a="1"/>
  <c r="AH39" i="56" s="1"/>
  <c r="AH25" i="56" a="1"/>
  <c r="AH25" i="56" s="1"/>
  <c r="AH19" i="56" a="1"/>
  <c r="AH19" i="56" s="1"/>
  <c r="AH265" i="56" a="1"/>
  <c r="AH265" i="56" s="1"/>
  <c r="AH203" i="56" a="1"/>
  <c r="AH203" i="56" s="1"/>
  <c r="AH175" i="56" a="1"/>
  <c r="AH175" i="56" s="1"/>
  <c r="AH164" i="56" a="1"/>
  <c r="AH164" i="56" s="1"/>
  <c r="AH142" i="56" a="1"/>
  <c r="AH142" i="56" s="1"/>
  <c r="AH95" i="56" a="1"/>
  <c r="AH95" i="56" s="1"/>
  <c r="AH84" i="56" a="1"/>
  <c r="AH84" i="56" s="1"/>
  <c r="AH73" i="56" a="1"/>
  <c r="AH73" i="56" s="1"/>
  <c r="AH63" i="56" a="1"/>
  <c r="AH63" i="56" s="1"/>
  <c r="AH54" i="56" a="1"/>
  <c r="AH54" i="56" s="1"/>
  <c r="AH37" i="56" a="1"/>
  <c r="AH37" i="56" s="1"/>
  <c r="AH32" i="56" a="1"/>
  <c r="AH32" i="56" s="1"/>
  <c r="AH28" i="56" a="1"/>
  <c r="AH28" i="56" s="1"/>
  <c r="AH23" i="56" a="1"/>
  <c r="AH23" i="56" s="1"/>
  <c r="AH18" i="56" a="1"/>
  <c r="AH18" i="56" s="1"/>
  <c r="AH262" i="56" a="1"/>
  <c r="AH262" i="56" s="1"/>
  <c r="AH128" i="56" a="1"/>
  <c r="AH128" i="56" s="1"/>
  <c r="AH117" i="56" a="1"/>
  <c r="AH117" i="56" s="1"/>
  <c r="AH106" i="56" a="1"/>
  <c r="AH106" i="56" s="1"/>
  <c r="AH70" i="56" a="1"/>
  <c r="AH70" i="56" s="1"/>
  <c r="AH53" i="56" a="1"/>
  <c r="AH53" i="56" s="1"/>
  <c r="AH45" i="56" a="1"/>
  <c r="AH45" i="56" s="1"/>
  <c r="AH41" i="56" a="1"/>
  <c r="AH41" i="56" s="1"/>
  <c r="AH36" i="56" a="1"/>
  <c r="AH36" i="56" s="1"/>
  <c r="AH31" i="56" a="1"/>
  <c r="AH31" i="56" s="1"/>
  <c r="AH27" i="56" a="1"/>
  <c r="AH27" i="56" s="1"/>
  <c r="AH22" i="56" a="1"/>
  <c r="AH22" i="56" s="1"/>
  <c r="AH17" i="56" a="1"/>
  <c r="AH17" i="56" s="1"/>
  <c r="AH183" i="56" a="1"/>
  <c r="AH183" i="56" s="1"/>
  <c r="AH113" i="56" a="1"/>
  <c r="AH113" i="56" s="1"/>
  <c r="AH29" i="56" a="1"/>
  <c r="AH29" i="56" s="1"/>
  <c r="AH21" i="56" a="1"/>
  <c r="AH21" i="56" s="1"/>
  <c r="V402" i="56" a="1"/>
  <c r="V402" i="56" s="1"/>
  <c r="V398" i="56" a="1"/>
  <c r="V398" i="56" s="1"/>
  <c r="V394" i="56" a="1"/>
  <c r="V394" i="56" s="1"/>
  <c r="V391" i="56" a="1"/>
  <c r="V391" i="56" s="1"/>
  <c r="V387" i="56" a="1"/>
  <c r="V387" i="56" s="1"/>
  <c r="V383" i="56" a="1"/>
  <c r="V383" i="56" s="1"/>
  <c r="V376" i="56" a="1"/>
  <c r="V376" i="56" s="1"/>
  <c r="V372" i="56" a="1"/>
  <c r="V372" i="56" s="1"/>
  <c r="V368" i="56" a="1"/>
  <c r="V368" i="56" s="1"/>
  <c r="V365" i="56" a="1"/>
  <c r="V365" i="56" s="1"/>
  <c r="V361" i="56" a="1"/>
  <c r="V361" i="56" s="1"/>
  <c r="V357" i="56" a="1"/>
  <c r="V357" i="56" s="1"/>
  <c r="V354" i="56" a="1"/>
  <c r="V354" i="56" s="1"/>
  <c r="V352" i="56" a="1"/>
  <c r="V352" i="56" s="1"/>
  <c r="V341" i="56" a="1"/>
  <c r="V341" i="56" s="1"/>
  <c r="V340" i="56" a="1"/>
  <c r="V340" i="56" s="1"/>
  <c r="V336" i="56" a="1"/>
  <c r="V336" i="56" s="1"/>
  <c r="V328" i="56" a="1"/>
  <c r="V328" i="56" s="1"/>
  <c r="V323" i="56" a="1"/>
  <c r="V323" i="56" s="1"/>
  <c r="V315" i="56" a="1"/>
  <c r="V315" i="56" s="1"/>
  <c r="V312" i="56" a="1"/>
  <c r="V312" i="56" s="1"/>
  <c r="V309" i="56" a="1"/>
  <c r="V309" i="56" s="1"/>
  <c r="V305" i="56" a="1"/>
  <c r="V305" i="56" s="1"/>
  <c r="V299" i="56" a="1"/>
  <c r="V299" i="56" s="1"/>
  <c r="V295" i="56" a="1"/>
  <c r="V295" i="56" s="1"/>
  <c r="V291" i="56" a="1"/>
  <c r="V291" i="56" s="1"/>
  <c r="V286" i="56" a="1"/>
  <c r="V286" i="56" s="1"/>
  <c r="V282" i="56" a="1"/>
  <c r="V282" i="56" s="1"/>
  <c r="V278" i="56" a="1"/>
  <c r="V278" i="56" s="1"/>
  <c r="V272" i="56" a="1"/>
  <c r="V272" i="56" s="1"/>
  <c r="V268" i="56" a="1"/>
  <c r="V268" i="56" s="1"/>
  <c r="V265" i="56" a="1"/>
  <c r="V265" i="56" s="1"/>
  <c r="V260" i="56" a="1"/>
  <c r="V260" i="56" s="1"/>
  <c r="V256" i="56" a="1"/>
  <c r="V256" i="56" s="1"/>
  <c r="V252" i="56" a="1"/>
  <c r="V252" i="56" s="1"/>
  <c r="V249" i="56" a="1"/>
  <c r="V249" i="56" s="1"/>
  <c r="V245" i="56" a="1"/>
  <c r="V245" i="56" s="1"/>
  <c r="V237" i="56" a="1"/>
  <c r="V237" i="56" s="1"/>
  <c r="V231" i="56" a="1"/>
  <c r="V231" i="56" s="1"/>
  <c r="V227" i="56" a="1"/>
  <c r="V227" i="56" s="1"/>
  <c r="V221" i="56" a="1"/>
  <c r="V221" i="56" s="1"/>
  <c r="V217" i="56" a="1"/>
  <c r="V217" i="56" s="1"/>
  <c r="V213" i="56" a="1"/>
  <c r="V213" i="56" s="1"/>
  <c r="V207" i="56" a="1"/>
  <c r="V207" i="56" s="1"/>
  <c r="V203" i="56" a="1"/>
  <c r="V203" i="56" s="1"/>
  <c r="V199" i="56" a="1"/>
  <c r="V199" i="56" s="1"/>
  <c r="V194" i="56" a="1"/>
  <c r="V194" i="56" s="1"/>
  <c r="V190" i="56" a="1"/>
  <c r="V190" i="56" s="1"/>
  <c r="V186" i="56" a="1"/>
  <c r="V186" i="56" s="1"/>
  <c r="V184" i="56" a="1"/>
  <c r="V184" i="56" s="1"/>
  <c r="V180" i="56" a="1"/>
  <c r="V180" i="56" s="1"/>
  <c r="V172" i="56" a="1"/>
  <c r="V172" i="56" s="1"/>
  <c r="V170" i="56" a="1"/>
  <c r="V170" i="56" s="1"/>
  <c r="V166" i="56" a="1"/>
  <c r="V166" i="56" s="1"/>
  <c r="V162" i="56" a="1"/>
  <c r="V162" i="56" s="1"/>
  <c r="V155" i="56" a="1"/>
  <c r="V155" i="56" s="1"/>
  <c r="V151" i="56" a="1"/>
  <c r="V151" i="56" s="1"/>
  <c r="V147" i="56" a="1"/>
  <c r="V147" i="56" s="1"/>
  <c r="V142" i="56" a="1"/>
  <c r="V142" i="56" s="1"/>
  <c r="V138" i="56" a="1"/>
  <c r="V138" i="56" s="1"/>
  <c r="V134" i="56" a="1"/>
  <c r="V134" i="56" s="1"/>
  <c r="V129" i="56" a="1"/>
  <c r="V129" i="56" s="1"/>
  <c r="V125" i="56" a="1"/>
  <c r="V125" i="56" s="1"/>
  <c r="V121" i="56" a="1"/>
  <c r="V121" i="56" s="1"/>
  <c r="V116" i="56" a="1"/>
  <c r="V116" i="56" s="1"/>
  <c r="V113" i="56" a="1"/>
  <c r="V113" i="56" s="1"/>
  <c r="V109" i="56" a="1"/>
  <c r="V109" i="56" s="1"/>
  <c r="V103" i="56" a="1"/>
  <c r="V103" i="56" s="1"/>
  <c r="V100" i="56" a="1"/>
  <c r="V100" i="56" s="1"/>
  <c r="V96" i="56" a="1"/>
  <c r="V96" i="56" s="1"/>
  <c r="V90" i="56" a="1"/>
  <c r="V90" i="56" s="1"/>
  <c r="V87" i="56" a="1"/>
  <c r="V87" i="56" s="1"/>
  <c r="V83" i="56" a="1"/>
  <c r="V83" i="56" s="1"/>
  <c r="V77" i="56" a="1"/>
  <c r="V77" i="56" s="1"/>
  <c r="V73" i="56" a="1"/>
  <c r="V73" i="56" s="1"/>
  <c r="V69" i="56" a="1"/>
  <c r="V69" i="56" s="1"/>
  <c r="V64" i="56" a="1"/>
  <c r="V64" i="56" s="1"/>
  <c r="V60" i="56" a="1"/>
  <c r="V60" i="56" s="1"/>
  <c r="V56" i="56" a="1"/>
  <c r="V56" i="56" s="1"/>
  <c r="V51" i="56" a="1"/>
  <c r="V51" i="56" s="1"/>
  <c r="V47" i="56" a="1"/>
  <c r="V47" i="56" s="1"/>
  <c r="V43" i="56" a="1"/>
  <c r="V43" i="56" s="1"/>
  <c r="V40" i="56" a="1"/>
  <c r="V40" i="56" s="1"/>
  <c r="V36" i="56" a="1"/>
  <c r="V36" i="56" s="1"/>
  <c r="V32" i="56" a="1"/>
  <c r="V32" i="56" s="1"/>
  <c r="V25" i="56" a="1"/>
  <c r="V25" i="56" s="1"/>
  <c r="V21" i="56" a="1"/>
  <c r="V21" i="56" s="1"/>
  <c r="V17" i="56" a="1"/>
  <c r="V17" i="56" s="1"/>
  <c r="I396" i="56"/>
  <c r="I383" i="56"/>
  <c r="I370" i="56"/>
  <c r="I357" i="56"/>
  <c r="I344" i="56"/>
  <c r="I331" i="56"/>
  <c r="I318" i="56"/>
  <c r="I305" i="56"/>
  <c r="I292" i="56"/>
  <c r="I279" i="56"/>
  <c r="I266" i="56"/>
  <c r="I253" i="56"/>
  <c r="I240" i="56"/>
  <c r="I227" i="56"/>
  <c r="I214" i="56"/>
  <c r="I201" i="56"/>
  <c r="I188" i="56"/>
  <c r="I175" i="56"/>
  <c r="I162" i="56"/>
  <c r="I149" i="56"/>
  <c r="I136" i="56"/>
  <c r="I123" i="56"/>
  <c r="I110" i="56"/>
  <c r="I97" i="56"/>
  <c r="I84" i="56"/>
  <c r="AH231" i="56" a="1"/>
  <c r="AH231" i="56" s="1"/>
  <c r="AH80" i="56" a="1"/>
  <c r="AH80" i="56" s="1"/>
  <c r="AH55" i="56" a="1"/>
  <c r="AH55" i="56" s="1"/>
  <c r="V405" i="56" a="1"/>
  <c r="V405" i="56" s="1"/>
  <c r="V401" i="56" a="1"/>
  <c r="V401" i="56" s="1"/>
  <c r="V393" i="56" a="1"/>
  <c r="V393" i="56" s="1"/>
  <c r="V390" i="56" a="1"/>
  <c r="V390" i="56" s="1"/>
  <c r="V386" i="56" a="1"/>
  <c r="V386" i="56" s="1"/>
  <c r="V382" i="56" a="1"/>
  <c r="V382" i="56" s="1"/>
  <c r="V379" i="56" a="1"/>
  <c r="V379" i="56" s="1"/>
  <c r="V375" i="56" a="1"/>
  <c r="V375" i="56" s="1"/>
  <c r="V367" i="56" a="1"/>
  <c r="V367" i="56" s="1"/>
  <c r="V364" i="56" a="1"/>
  <c r="V364" i="56" s="1"/>
  <c r="V360" i="56" a="1"/>
  <c r="V360" i="56" s="1"/>
  <c r="V351" i="56" a="1"/>
  <c r="V351" i="56" s="1"/>
  <c r="V348" i="56" a="1"/>
  <c r="V348" i="56" s="1"/>
  <c r="V344" i="56" a="1"/>
  <c r="V344" i="56" s="1"/>
  <c r="V339" i="56" a="1"/>
  <c r="V339" i="56" s="1"/>
  <c r="V335" i="56" a="1"/>
  <c r="V335" i="56" s="1"/>
  <c r="V331" i="56" a="1"/>
  <c r="V331" i="56" s="1"/>
  <c r="V326" i="56" a="1"/>
  <c r="V326" i="56" s="1"/>
  <c r="V322" i="56" a="1"/>
  <c r="V322" i="56" s="1"/>
  <c r="V318" i="56" a="1"/>
  <c r="V318" i="56" s="1"/>
  <c r="V308" i="56" a="1"/>
  <c r="V308" i="56" s="1"/>
  <c r="V304" i="56" a="1"/>
  <c r="V304" i="56" s="1"/>
  <c r="V298" i="56" a="1"/>
  <c r="V298" i="56" s="1"/>
  <c r="V294" i="56" a="1"/>
  <c r="V294" i="56" s="1"/>
  <c r="V290" i="56" a="1"/>
  <c r="V290" i="56" s="1"/>
  <c r="V285" i="56" a="1"/>
  <c r="V285" i="56" s="1"/>
  <c r="V281" i="56" a="1"/>
  <c r="V281" i="56" s="1"/>
  <c r="V277" i="56" a="1"/>
  <c r="V277" i="56" s="1"/>
  <c r="V275" i="56" a="1"/>
  <c r="V275" i="56" s="1"/>
  <c r="V271" i="56" a="1"/>
  <c r="V271" i="56" s="1"/>
  <c r="V264" i="56" a="1"/>
  <c r="V264" i="56" s="1"/>
  <c r="V259" i="56" a="1"/>
  <c r="V259" i="56" s="1"/>
  <c r="V255" i="56" a="1"/>
  <c r="V255" i="56" s="1"/>
  <c r="V251" i="56" a="1"/>
  <c r="V251" i="56" s="1"/>
  <c r="V248" i="56" a="1"/>
  <c r="V248" i="56" s="1"/>
  <c r="V244" i="56" a="1"/>
  <c r="V244" i="56" s="1"/>
  <c r="V240" i="56" a="1"/>
  <c r="V240" i="56" s="1"/>
  <c r="V234" i="56" a="1"/>
  <c r="V234" i="56" s="1"/>
  <c r="V230" i="56" a="1"/>
  <c r="V230" i="56" s="1"/>
  <c r="V226" i="56" a="1"/>
  <c r="V226" i="56" s="1"/>
  <c r="V220" i="56" a="1"/>
  <c r="V220" i="56" s="1"/>
  <c r="V216" i="56" a="1"/>
  <c r="V216" i="56" s="1"/>
  <c r="V212" i="56" a="1"/>
  <c r="V212" i="56" s="1"/>
  <c r="V210" i="56" a="1"/>
  <c r="V210" i="56" s="1"/>
  <c r="V206" i="56" a="1"/>
  <c r="V206" i="56" s="1"/>
  <c r="V198" i="56" a="1"/>
  <c r="V198" i="56" s="1"/>
  <c r="V197" i="56" a="1"/>
  <c r="V197" i="56" s="1"/>
  <c r="V193" i="56" a="1"/>
  <c r="V193" i="56" s="1"/>
  <c r="V185" i="56" a="1"/>
  <c r="V185" i="56" s="1"/>
  <c r="V183" i="56" a="1"/>
  <c r="V183" i="56" s="1"/>
  <c r="V179" i="56" a="1"/>
  <c r="V179" i="56" s="1"/>
  <c r="V175" i="56" a="1"/>
  <c r="V175" i="56" s="1"/>
  <c r="V169" i="56" a="1"/>
  <c r="V169" i="56" s="1"/>
  <c r="V165" i="56" a="1"/>
  <c r="V165" i="56" s="1"/>
  <c r="V161" i="56" a="1"/>
  <c r="V161" i="56" s="1"/>
  <c r="V158" i="56" a="1"/>
  <c r="V158" i="56" s="1"/>
  <c r="V154" i="56" a="1"/>
  <c r="V154" i="56" s="1"/>
  <c r="V145" i="56" a="1"/>
  <c r="V145" i="56" s="1"/>
  <c r="V141" i="56" a="1"/>
  <c r="V141" i="56" s="1"/>
  <c r="V133" i="56" a="1"/>
  <c r="V133" i="56" s="1"/>
  <c r="V132" i="56" a="1"/>
  <c r="V132" i="56" s="1"/>
  <c r="V128" i="56" a="1"/>
  <c r="V128" i="56" s="1"/>
  <c r="V120" i="56" a="1"/>
  <c r="V120" i="56" s="1"/>
  <c r="V119" i="56" a="1"/>
  <c r="V119" i="56" s="1"/>
  <c r="V112" i="56" a="1"/>
  <c r="V112" i="56" s="1"/>
  <c r="V108" i="56" a="1"/>
  <c r="V108" i="56" s="1"/>
  <c r="V106" i="56" a="1"/>
  <c r="V106" i="56" s="1"/>
  <c r="V99" i="56" a="1"/>
  <c r="V99" i="56" s="1"/>
  <c r="V95" i="56" a="1"/>
  <c r="V95" i="56" s="1"/>
  <c r="V93" i="56" a="1"/>
  <c r="V93" i="56" s="1"/>
  <c r="V86" i="56" a="1"/>
  <c r="V86" i="56" s="1"/>
  <c r="V82" i="56" a="1"/>
  <c r="V82" i="56" s="1"/>
  <c r="V80" i="56" a="1"/>
  <c r="V80" i="56" s="1"/>
  <c r="V76" i="56" a="1"/>
  <c r="V76" i="56" s="1"/>
  <c r="V68" i="56" a="1"/>
  <c r="V68" i="56" s="1"/>
  <c r="V67" i="56" a="1"/>
  <c r="V67" i="56" s="1"/>
  <c r="V63" i="56" a="1"/>
  <c r="V63" i="56" s="1"/>
  <c r="V55" i="56" a="1"/>
  <c r="V55" i="56" s="1"/>
  <c r="V54" i="56" a="1"/>
  <c r="V54" i="56" s="1"/>
  <c r="V50" i="56" a="1"/>
  <c r="V50" i="56" s="1"/>
  <c r="V42" i="56" a="1"/>
  <c r="V42" i="56" s="1"/>
  <c r="AH192" i="56" a="1"/>
  <c r="AH192" i="56" s="1"/>
  <c r="AH135" i="56" a="1"/>
  <c r="AH135" i="56" s="1"/>
  <c r="AH92" i="56" a="1"/>
  <c r="AH92" i="56" s="1"/>
  <c r="AH50" i="56" a="1"/>
  <c r="AH50" i="56" s="1"/>
  <c r="AH40" i="56" a="1"/>
  <c r="AH40" i="56" s="1"/>
  <c r="V404" i="56" a="1"/>
  <c r="V404" i="56" s="1"/>
  <c r="V400" i="56" a="1"/>
  <c r="V400" i="56" s="1"/>
  <c r="V396" i="56" a="1"/>
  <c r="V396" i="56" s="1"/>
  <c r="V389" i="56" a="1"/>
  <c r="V389" i="56" s="1"/>
  <c r="V385" i="56" a="1"/>
  <c r="V385" i="56" s="1"/>
  <c r="V381" i="56" a="1"/>
  <c r="V381" i="56" s="1"/>
  <c r="V378" i="56" a="1"/>
  <c r="V378" i="56" s="1"/>
  <c r="V374" i="56" a="1"/>
  <c r="V374" i="56" s="1"/>
  <c r="V370" i="56" a="1"/>
  <c r="V370" i="56" s="1"/>
  <c r="V363" i="56" a="1"/>
  <c r="V363" i="56" s="1"/>
  <c r="V359" i="56" a="1"/>
  <c r="V359" i="56" s="1"/>
  <c r="V356" i="56" a="1"/>
  <c r="V356" i="56" s="1"/>
  <c r="V350" i="56" a="1"/>
  <c r="V350" i="56" s="1"/>
  <c r="V347" i="56" a="1"/>
  <c r="V347" i="56" s="1"/>
  <c r="V343" i="56" a="1"/>
  <c r="V343" i="56" s="1"/>
  <c r="V338" i="56" a="1"/>
  <c r="V338" i="56" s="1"/>
  <c r="V334" i="56" a="1"/>
  <c r="V334" i="56" s="1"/>
  <c r="V330" i="56" a="1"/>
  <c r="V330" i="56" s="1"/>
  <c r="V325" i="56" a="1"/>
  <c r="V325" i="56" s="1"/>
  <c r="V321" i="56" a="1"/>
  <c r="V321" i="56" s="1"/>
  <c r="V317" i="56" a="1"/>
  <c r="V317" i="56" s="1"/>
  <c r="V314" i="56" a="1"/>
  <c r="V314" i="56" s="1"/>
  <c r="V311" i="56" a="1"/>
  <c r="V311" i="56" s="1"/>
  <c r="V307" i="56" a="1"/>
  <c r="V307" i="56" s="1"/>
  <c r="V303" i="56" a="1"/>
  <c r="V303" i="56" s="1"/>
  <c r="V301" i="56" a="1"/>
  <c r="V301" i="56" s="1"/>
  <c r="V297" i="56" a="1"/>
  <c r="V297" i="56" s="1"/>
  <c r="V289" i="56" a="1"/>
  <c r="V289" i="56" s="1"/>
  <c r="V288" i="56" a="1"/>
  <c r="V288" i="56" s="1"/>
  <c r="V284" i="56" a="1"/>
  <c r="V284" i="56" s="1"/>
  <c r="V276" i="56" a="1"/>
  <c r="V276" i="56" s="1"/>
  <c r="V274" i="56" a="1"/>
  <c r="V274" i="56" s="1"/>
  <c r="V270" i="56" a="1"/>
  <c r="V270" i="56" s="1"/>
  <c r="V263" i="56" a="1"/>
  <c r="V263" i="56" s="1"/>
  <c r="V262" i="56" a="1"/>
  <c r="V262" i="56" s="1"/>
  <c r="V258" i="56" a="1"/>
  <c r="V258" i="56" s="1"/>
  <c r="V250" i="56" a="1"/>
  <c r="V250" i="56" s="1"/>
  <c r="V247" i="56" a="1"/>
  <c r="V247" i="56" s="1"/>
  <c r="V243" i="56" a="1"/>
  <c r="V243" i="56" s="1"/>
  <c r="V239" i="56" a="1"/>
  <c r="V239" i="56" s="1"/>
  <c r="V236" i="56" a="1"/>
  <c r="V236" i="56" s="1"/>
  <c r="V233" i="56" a="1"/>
  <c r="V233" i="56" s="1"/>
  <c r="V229" i="56" a="1"/>
  <c r="V229" i="56" s="1"/>
  <c r="V225" i="56" a="1"/>
  <c r="V225" i="56" s="1"/>
  <c r="V223" i="56" a="1"/>
  <c r="V223" i="56" s="1"/>
  <c r="V219" i="56" a="1"/>
  <c r="V219" i="56" s="1"/>
  <c r="V211" i="56" a="1"/>
  <c r="V211" i="56" s="1"/>
  <c r="V209" i="56" a="1"/>
  <c r="V209" i="56" s="1"/>
  <c r="V205" i="56" a="1"/>
  <c r="V205" i="56" s="1"/>
  <c r="V201" i="56" a="1"/>
  <c r="V201" i="56" s="1"/>
  <c r="V196" i="56" a="1"/>
  <c r="V196" i="56" s="1"/>
  <c r="V192" i="56" a="1"/>
  <c r="V192" i="56" s="1"/>
  <c r="V188" i="56" a="1"/>
  <c r="V188" i="56" s="1"/>
  <c r="V182" i="56" a="1"/>
  <c r="V182" i="56" s="1"/>
  <c r="V178" i="56" a="1"/>
  <c r="V178" i="56" s="1"/>
  <c r="V174" i="56" a="1"/>
  <c r="V174" i="56" s="1"/>
  <c r="V171" i="56" a="1"/>
  <c r="V171" i="56" s="1"/>
  <c r="V168" i="56" a="1"/>
  <c r="V168" i="56" s="1"/>
  <c r="V164" i="56" a="1"/>
  <c r="V164" i="56" s="1"/>
  <c r="V160" i="56" a="1"/>
  <c r="V160" i="56" s="1"/>
  <c r="V157" i="56" a="1"/>
  <c r="V157" i="56" s="1"/>
  <c r="V153" i="56" a="1"/>
  <c r="V153" i="56" s="1"/>
  <c r="V149" i="56" a="1"/>
  <c r="V149" i="56" s="1"/>
  <c r="V146" i="56" a="1"/>
  <c r="V146" i="56" s="1"/>
  <c r="V144" i="56" a="1"/>
  <c r="V144" i="56" s="1"/>
  <c r="V140" i="56" a="1"/>
  <c r="V140" i="56" s="1"/>
  <c r="V136" i="56" a="1"/>
  <c r="V136" i="56" s="1"/>
  <c r="V131" i="56" a="1"/>
  <c r="V131" i="56" s="1"/>
  <c r="V127" i="56" a="1"/>
  <c r="V127" i="56" s="1"/>
  <c r="V123" i="56" a="1"/>
  <c r="V123" i="56" s="1"/>
  <c r="V118" i="56" a="1"/>
  <c r="V118" i="56" s="1"/>
  <c r="V115" i="56" a="1"/>
  <c r="V115" i="56" s="1"/>
  <c r="V107" i="56" a="1"/>
  <c r="V107" i="56" s="1"/>
  <c r="V105" i="56" a="1"/>
  <c r="V105" i="56" s="1"/>
  <c r="V102" i="56" a="1"/>
  <c r="V102" i="56" s="1"/>
  <c r="V94" i="56" a="1"/>
  <c r="V94" i="56" s="1"/>
  <c r="V92" i="56" a="1"/>
  <c r="V92" i="56" s="1"/>
  <c r="V89" i="56" a="1"/>
  <c r="V89" i="56" s="1"/>
  <c r="V81" i="56" a="1"/>
  <c r="V81" i="56" s="1"/>
  <c r="V79" i="56" a="1"/>
  <c r="V79" i="56" s="1"/>
  <c r="V75" i="56" a="1"/>
  <c r="V75" i="56" s="1"/>
  <c r="V71" i="56" a="1"/>
  <c r="V71" i="56" s="1"/>
  <c r="V66" i="56" a="1"/>
  <c r="V66" i="56" s="1"/>
  <c r="V62" i="56" a="1"/>
  <c r="V62" i="56" s="1"/>
  <c r="V58" i="56" a="1"/>
  <c r="V58" i="56" s="1"/>
  <c r="V53" i="56" a="1"/>
  <c r="V53" i="56" s="1"/>
  <c r="V49" i="56" a="1"/>
  <c r="V49" i="56" s="1"/>
  <c r="V45" i="56" a="1"/>
  <c r="V45" i="56" s="1"/>
  <c r="V38" i="56" a="1"/>
  <c r="V38" i="56" s="1"/>
  <c r="V34" i="56" a="1"/>
  <c r="V34" i="56" s="1"/>
  <c r="V30" i="56" a="1"/>
  <c r="V30" i="56" s="1"/>
  <c r="V27" i="56" a="1"/>
  <c r="V27" i="56" s="1"/>
  <c r="V23" i="56" a="1"/>
  <c r="V23" i="56" s="1"/>
  <c r="V19" i="56" a="1"/>
  <c r="V19" i="56" s="1"/>
  <c r="I405" i="56"/>
  <c r="I403" i="56"/>
  <c r="I395" i="56"/>
  <c r="I392" i="56"/>
  <c r="I390" i="56"/>
  <c r="I382" i="56"/>
  <c r="AH171" i="56" a="1"/>
  <c r="AH171" i="56" s="1"/>
  <c r="AH146" i="56" a="1"/>
  <c r="AH146" i="56" s="1"/>
  <c r="AH102" i="56" a="1"/>
  <c r="AH102" i="56" s="1"/>
  <c r="AH42" i="56" a="1"/>
  <c r="AH42" i="56" s="1"/>
  <c r="AH35" i="56" a="1"/>
  <c r="AH35" i="56" s="1"/>
  <c r="AH26" i="56" a="1"/>
  <c r="AH26" i="56" s="1"/>
  <c r="V403" i="56" a="1"/>
  <c r="V403" i="56" s="1"/>
  <c r="V388" i="56" a="1"/>
  <c r="V388" i="56" s="1"/>
  <c r="V373" i="56" a="1"/>
  <c r="V373" i="56" s="1"/>
  <c r="V346" i="56" a="1"/>
  <c r="V346" i="56" s="1"/>
  <c r="V333" i="56" a="1"/>
  <c r="V333" i="56" s="1"/>
  <c r="V320" i="56" a="1"/>
  <c r="V320" i="56" s="1"/>
  <c r="V292" i="56" a="1"/>
  <c r="V292" i="56" s="1"/>
  <c r="V279" i="56" a="1"/>
  <c r="V279" i="56" s="1"/>
  <c r="V266" i="56" a="1"/>
  <c r="V266" i="56" s="1"/>
  <c r="V253" i="56" a="1"/>
  <c r="V253" i="56" s="1"/>
  <c r="V238" i="56" a="1"/>
  <c r="V238" i="56" s="1"/>
  <c r="V224" i="56" a="1"/>
  <c r="V224" i="56" s="1"/>
  <c r="V156" i="56" a="1"/>
  <c r="V156" i="56" s="1"/>
  <c r="V143" i="56" a="1"/>
  <c r="V143" i="56" s="1"/>
  <c r="V130" i="56" a="1"/>
  <c r="V130" i="56" s="1"/>
  <c r="V117" i="56" a="1"/>
  <c r="V117" i="56" s="1"/>
  <c r="V104" i="56" a="1"/>
  <c r="V104" i="56" s="1"/>
  <c r="V91" i="56" a="1"/>
  <c r="V91" i="56" s="1"/>
  <c r="V78" i="56" a="1"/>
  <c r="V78" i="56" s="1"/>
  <c r="V65" i="56" a="1"/>
  <c r="V65" i="56" s="1"/>
  <c r="V52" i="56" a="1"/>
  <c r="V52" i="56" s="1"/>
  <c r="V41" i="56" a="1"/>
  <c r="V41" i="56" s="1"/>
  <c r="V26" i="56" a="1"/>
  <c r="V26" i="56" s="1"/>
  <c r="V18" i="56" a="1"/>
  <c r="V18" i="56" s="1"/>
  <c r="H403" i="56"/>
  <c r="H395" i="56"/>
  <c r="H392" i="56"/>
  <c r="H370" i="56"/>
  <c r="H366" i="56"/>
  <c r="I353" i="56"/>
  <c r="H351" i="56"/>
  <c r="H343" i="56"/>
  <c r="I338" i="56"/>
  <c r="I330" i="56"/>
  <c r="H318" i="56"/>
  <c r="H314" i="56"/>
  <c r="I301" i="56"/>
  <c r="H299" i="56"/>
  <c r="H291" i="56"/>
  <c r="I286" i="56"/>
  <c r="I278" i="56"/>
  <c r="H266" i="56"/>
  <c r="H262" i="56"/>
  <c r="I249" i="56"/>
  <c r="H247" i="56"/>
  <c r="H239" i="56"/>
  <c r="I234" i="56"/>
  <c r="I226" i="56"/>
  <c r="H214" i="56"/>
  <c r="H210" i="56"/>
  <c r="I197" i="56"/>
  <c r="H195" i="56"/>
  <c r="H187" i="56"/>
  <c r="I182" i="56"/>
  <c r="I174" i="56"/>
  <c r="H162" i="56"/>
  <c r="H158" i="56"/>
  <c r="I145" i="56"/>
  <c r="H143" i="56"/>
  <c r="H135" i="56"/>
  <c r="I130" i="56"/>
  <c r="I122" i="56"/>
  <c r="H110" i="56"/>
  <c r="H106" i="56"/>
  <c r="I93" i="56"/>
  <c r="H91" i="56"/>
  <c r="H83" i="56"/>
  <c r="H71" i="56"/>
  <c r="H58" i="56"/>
  <c r="H45" i="56"/>
  <c r="H32" i="56"/>
  <c r="H19" i="56"/>
  <c r="V399" i="56" a="1"/>
  <c r="V399" i="56" s="1"/>
  <c r="V369" i="56" a="1"/>
  <c r="V369" i="56" s="1"/>
  <c r="V355" i="56" a="1"/>
  <c r="V355" i="56" s="1"/>
  <c r="V342" i="56" a="1"/>
  <c r="V342" i="56" s="1"/>
  <c r="V329" i="56" a="1"/>
  <c r="V329" i="56" s="1"/>
  <c r="V316" i="56" a="1"/>
  <c r="V316" i="56" s="1"/>
  <c r="V302" i="56" a="1"/>
  <c r="V302" i="56" s="1"/>
  <c r="V235" i="56" a="1"/>
  <c r="V235" i="56" s="1"/>
  <c r="V222" i="56" a="1"/>
  <c r="V222" i="56" s="1"/>
  <c r="V208" i="56" a="1"/>
  <c r="V208" i="56" s="1"/>
  <c r="V195" i="56" a="1"/>
  <c r="V195" i="56" s="1"/>
  <c r="V181" i="56" a="1"/>
  <c r="V181" i="56" s="1"/>
  <c r="V167" i="56" a="1"/>
  <c r="V167" i="56" s="1"/>
  <c r="V152" i="56" a="1"/>
  <c r="V152" i="56" s="1"/>
  <c r="V139" i="56" a="1"/>
  <c r="V139" i="56" s="1"/>
  <c r="V126" i="56" a="1"/>
  <c r="V126" i="56" s="1"/>
  <c r="V114" i="56" a="1"/>
  <c r="V114" i="56" s="1"/>
  <c r="V101" i="56" a="1"/>
  <c r="V101" i="56" s="1"/>
  <c r="V88" i="56" a="1"/>
  <c r="V88" i="56" s="1"/>
  <c r="V74" i="56" a="1"/>
  <c r="V74" i="56" s="1"/>
  <c r="V61" i="56" a="1"/>
  <c r="V61" i="56" s="1"/>
  <c r="V48" i="56" a="1"/>
  <c r="V48" i="56" s="1"/>
  <c r="V39" i="56" a="1"/>
  <c r="V39" i="56" s="1"/>
  <c r="V31" i="56" a="1"/>
  <c r="V31" i="56" s="1"/>
  <c r="V24" i="56" a="1"/>
  <c r="V24" i="56" s="1"/>
  <c r="V16" i="56" a="1"/>
  <c r="V16" i="56" s="1"/>
  <c r="H383" i="56"/>
  <c r="I377" i="56"/>
  <c r="I369" i="56"/>
  <c r="H357" i="56"/>
  <c r="H353" i="56"/>
  <c r="I340" i="56"/>
  <c r="H338" i="56"/>
  <c r="H330" i="56"/>
  <c r="I325" i="56"/>
  <c r="I317" i="56"/>
  <c r="H305" i="56"/>
  <c r="H301" i="56"/>
  <c r="I288" i="56"/>
  <c r="H286" i="56"/>
  <c r="H278" i="56"/>
  <c r="I273" i="56"/>
  <c r="I265" i="56"/>
  <c r="H253" i="56"/>
  <c r="H249" i="56"/>
  <c r="I236" i="56"/>
  <c r="H234" i="56"/>
  <c r="H226" i="56"/>
  <c r="I221" i="56"/>
  <c r="I213" i="56"/>
  <c r="H201" i="56"/>
  <c r="H197" i="56"/>
  <c r="I184" i="56"/>
  <c r="H182" i="56"/>
  <c r="H174" i="56"/>
  <c r="I169" i="56"/>
  <c r="I161" i="56"/>
  <c r="H149" i="56"/>
  <c r="H145" i="56"/>
  <c r="I132" i="56"/>
  <c r="H130" i="56"/>
  <c r="H122" i="56"/>
  <c r="I117" i="56"/>
  <c r="I109" i="56"/>
  <c r="H97" i="56"/>
  <c r="H93" i="56"/>
  <c r="I80" i="56"/>
  <c r="I78" i="56"/>
  <c r="I70" i="56"/>
  <c r="I67" i="56"/>
  <c r="I65" i="56"/>
  <c r="I57" i="56"/>
  <c r="I54" i="56"/>
  <c r="I52" i="56"/>
  <c r="I44" i="56"/>
  <c r="I41" i="56"/>
  <c r="I39" i="56"/>
  <c r="I31" i="56"/>
  <c r="I28" i="56"/>
  <c r="I26" i="56"/>
  <c r="I18" i="56"/>
  <c r="V395" i="56" a="1"/>
  <c r="V395" i="56" s="1"/>
  <c r="V380" i="56" a="1"/>
  <c r="V380" i="56" s="1"/>
  <c r="V366" i="56" a="1"/>
  <c r="V366" i="56" s="1"/>
  <c r="V353" i="56" a="1"/>
  <c r="V353" i="56" s="1"/>
  <c r="V327" i="56" a="1"/>
  <c r="V327" i="56" s="1"/>
  <c r="V313" i="56" a="1"/>
  <c r="V313" i="56" s="1"/>
  <c r="V300" i="56" a="1"/>
  <c r="V300" i="56" s="1"/>
  <c r="V287" i="56" a="1"/>
  <c r="V287" i="56" s="1"/>
  <c r="V273" i="56" a="1"/>
  <c r="V273" i="56" s="1"/>
  <c r="V261" i="56" a="1"/>
  <c r="V261" i="56" s="1"/>
  <c r="V246" i="56" a="1"/>
  <c r="V246" i="56" s="1"/>
  <c r="V232" i="56" a="1"/>
  <c r="V232" i="56" s="1"/>
  <c r="V218" i="56" a="1"/>
  <c r="V218" i="56" s="1"/>
  <c r="V204" i="56" a="1"/>
  <c r="V204" i="56" s="1"/>
  <c r="V191" i="56" a="1"/>
  <c r="V191" i="56" s="1"/>
  <c r="V177" i="56" a="1"/>
  <c r="V177" i="56" s="1"/>
  <c r="V148" i="56" a="1"/>
  <c r="V148" i="56" s="1"/>
  <c r="V135" i="56" a="1"/>
  <c r="V135" i="56" s="1"/>
  <c r="V122" i="56" a="1"/>
  <c r="V122" i="56" s="1"/>
  <c r="V110" i="56" a="1"/>
  <c r="V110" i="56" s="1"/>
  <c r="V97" i="56" a="1"/>
  <c r="V97" i="56" s="1"/>
  <c r="V84" i="56" a="1"/>
  <c r="V84" i="56" s="1"/>
  <c r="V70" i="56" a="1"/>
  <c r="V70" i="56" s="1"/>
  <c r="V57" i="56" a="1"/>
  <c r="V57" i="56" s="1"/>
  <c r="V44" i="56" a="1"/>
  <c r="V44" i="56" s="1"/>
  <c r="V37" i="56" a="1"/>
  <c r="V37" i="56" s="1"/>
  <c r="V29" i="56" a="1"/>
  <c r="V29" i="56" s="1"/>
  <c r="V22" i="56" a="1"/>
  <c r="V22" i="56" s="1"/>
  <c r="H405" i="56"/>
  <c r="H390" i="56"/>
  <c r="H382" i="56"/>
  <c r="I379" i="56"/>
  <c r="H377" i="56"/>
  <c r="H369" i="56"/>
  <c r="I364" i="56"/>
  <c r="I356" i="56"/>
  <c r="H344" i="56"/>
  <c r="H340" i="56"/>
  <c r="I327" i="56"/>
  <c r="H325" i="56"/>
  <c r="H317" i="56"/>
  <c r="I312" i="56"/>
  <c r="I304" i="56"/>
  <c r="H292" i="56"/>
  <c r="H288" i="56"/>
  <c r="I275" i="56"/>
  <c r="H273" i="56"/>
  <c r="H265" i="56"/>
  <c r="I260" i="56"/>
  <c r="I252" i="56"/>
  <c r="H240" i="56"/>
  <c r="H236" i="56"/>
  <c r="I223" i="56"/>
  <c r="H221" i="56"/>
  <c r="H213" i="56"/>
  <c r="I208" i="56"/>
  <c r="I200" i="56"/>
  <c r="H188" i="56"/>
  <c r="H184" i="56"/>
  <c r="I171" i="56"/>
  <c r="H169" i="56"/>
  <c r="H161" i="56"/>
  <c r="I156" i="56"/>
  <c r="I148" i="56"/>
  <c r="H136" i="56"/>
  <c r="H132" i="56"/>
  <c r="I119" i="56"/>
  <c r="H117" i="56"/>
  <c r="H109" i="56"/>
  <c r="I104" i="56"/>
  <c r="I96" i="56"/>
  <c r="H84" i="56"/>
  <c r="H80" i="56"/>
  <c r="H78" i="56"/>
  <c r="H70" i="56"/>
  <c r="H67" i="56"/>
  <c r="H65" i="56"/>
  <c r="H57" i="56"/>
  <c r="H54" i="56"/>
  <c r="H52" i="56"/>
  <c r="H44" i="56"/>
  <c r="H41" i="56"/>
  <c r="H39" i="56"/>
  <c r="H31" i="56"/>
  <c r="H28" i="56"/>
  <c r="H26" i="56"/>
  <c r="H18" i="56"/>
  <c r="V377" i="56" a="1"/>
  <c r="V377" i="56" s="1"/>
  <c r="V324" i="56" a="1"/>
  <c r="V324" i="56" s="1"/>
  <c r="V269" i="56" a="1"/>
  <c r="V269" i="56" s="1"/>
  <c r="V214" i="56" a="1"/>
  <c r="V214" i="56" s="1"/>
  <c r="V159" i="56" a="1"/>
  <c r="V159" i="56" s="1"/>
  <c r="V28" i="56" a="1"/>
  <c r="V28" i="56" s="1"/>
  <c r="I366" i="56"/>
  <c r="H356" i="56"/>
  <c r="H327" i="56"/>
  <c r="I247" i="56"/>
  <c r="H227" i="56"/>
  <c r="H208" i="56"/>
  <c r="I187" i="56"/>
  <c r="I158" i="56"/>
  <c r="H148" i="56"/>
  <c r="H119" i="56"/>
  <c r="I71" i="56"/>
  <c r="I19" i="56"/>
  <c r="V310" i="56" a="1"/>
  <c r="V310" i="56" s="1"/>
  <c r="V35" i="56" a="1"/>
  <c r="V35" i="56" s="1"/>
  <c r="H379" i="56"/>
  <c r="I239" i="56"/>
  <c r="H200" i="56"/>
  <c r="V392" i="56" a="1"/>
  <c r="V392" i="56" s="1"/>
  <c r="V337" i="56" a="1"/>
  <c r="V337" i="56" s="1"/>
  <c r="V283" i="56" a="1"/>
  <c r="V283" i="56" s="1"/>
  <c r="V173" i="56" a="1"/>
  <c r="V173" i="56" s="1"/>
  <c r="H364" i="56"/>
  <c r="I343" i="56"/>
  <c r="I314" i="56"/>
  <c r="H304" i="56"/>
  <c r="H275" i="56"/>
  <c r="I195" i="56"/>
  <c r="H175" i="56"/>
  <c r="H156" i="56"/>
  <c r="I135" i="56"/>
  <c r="I106" i="56"/>
  <c r="H96" i="56"/>
  <c r="I32" i="56"/>
  <c r="V362" i="56" a="1"/>
  <c r="V362" i="56" s="1"/>
  <c r="V257" i="56" a="1"/>
  <c r="V257" i="56" s="1"/>
  <c r="V200" i="56" a="1"/>
  <c r="V200" i="56" s="1"/>
  <c r="I299" i="56"/>
  <c r="H279" i="56"/>
  <c r="I210" i="56"/>
  <c r="H171" i="56"/>
  <c r="I91" i="56"/>
  <c r="I58" i="56"/>
  <c r="V349" i="56" a="1"/>
  <c r="V349" i="56" s="1"/>
  <c r="V296" i="56" a="1"/>
  <c r="V296" i="56" s="1"/>
  <c r="V242" i="56" a="1"/>
  <c r="V242" i="56" s="1"/>
  <c r="V187" i="56" a="1"/>
  <c r="V187" i="56" s="1"/>
  <c r="H396" i="56"/>
  <c r="I351" i="56"/>
  <c r="H331" i="56"/>
  <c r="H312" i="56"/>
  <c r="I291" i="56"/>
  <c r="I262" i="56"/>
  <c r="H252" i="56"/>
  <c r="H223" i="56"/>
  <c r="I143" i="56"/>
  <c r="H123" i="56"/>
  <c r="H104" i="56"/>
  <c r="I83" i="56"/>
  <c r="I45" i="56"/>
  <c r="H260" i="56"/>
  <c r="J402" i="56" a="1"/>
  <c r="J402" i="56" s="1"/>
  <c r="J398" i="56" a="1"/>
  <c r="J398" i="56" s="1"/>
  <c r="J394" i="56" a="1"/>
  <c r="J394" i="56" s="1"/>
  <c r="J391" i="56" a="1"/>
  <c r="J391" i="56" s="1"/>
  <c r="J387" i="56" a="1"/>
  <c r="J387" i="56" s="1"/>
  <c r="J383" i="56" a="1"/>
  <c r="J383" i="56" s="1"/>
  <c r="J376" i="56" a="1"/>
  <c r="J376" i="56" s="1"/>
  <c r="J372" i="56" a="1"/>
  <c r="J372" i="56" s="1"/>
  <c r="J368" i="56" a="1"/>
  <c r="J368" i="56" s="1"/>
  <c r="J365" i="56" a="1"/>
  <c r="J365" i="56" s="1"/>
  <c r="J361" i="56" a="1"/>
  <c r="J361" i="56" s="1"/>
  <c r="J357" i="56" a="1"/>
  <c r="J357" i="56" s="1"/>
  <c r="J354" i="56" a="1"/>
  <c r="J354" i="56" s="1"/>
  <c r="J352" i="56" a="1"/>
  <c r="J352" i="56" s="1"/>
  <c r="J348" i="56" a="1"/>
  <c r="J348" i="56" s="1"/>
  <c r="J344" i="56" a="1"/>
  <c r="J344" i="56" s="1"/>
  <c r="J339" i="56" a="1"/>
  <c r="J339" i="56" s="1"/>
  <c r="J335" i="56" a="1"/>
  <c r="J335" i="56" s="1"/>
  <c r="J331" i="56" a="1"/>
  <c r="J331" i="56" s="1"/>
  <c r="J324" i="56" a="1"/>
  <c r="J324" i="56" s="1"/>
  <c r="J320" i="56" a="1"/>
  <c r="J320" i="56" s="1"/>
  <c r="J316" i="56" a="1"/>
  <c r="J316" i="56" s="1"/>
  <c r="J314" i="56" a="1"/>
  <c r="J314" i="56" s="1"/>
  <c r="J310" i="56" a="1"/>
  <c r="J310" i="56" s="1"/>
  <c r="J302" i="56" a="1"/>
  <c r="J302" i="56" s="1"/>
  <c r="J301" i="56" a="1"/>
  <c r="J301" i="56" s="1"/>
  <c r="J297" i="56" a="1"/>
  <c r="J297" i="56" s="1"/>
  <c r="J294" i="56" a="1"/>
  <c r="J294" i="56" s="1"/>
  <c r="J290" i="56" a="1"/>
  <c r="J290" i="56" s="1"/>
  <c r="J288" i="56" a="1"/>
  <c r="J288" i="56" s="1"/>
  <c r="J284" i="56" a="1"/>
  <c r="J284" i="56" s="1"/>
  <c r="J405" i="56" a="1"/>
  <c r="J405" i="56" s="1"/>
  <c r="J401" i="56" a="1"/>
  <c r="J401" i="56" s="1"/>
  <c r="J393" i="56" a="1"/>
  <c r="J393" i="56" s="1"/>
  <c r="J390" i="56" a="1"/>
  <c r="J390" i="56" s="1"/>
  <c r="J386" i="56" a="1"/>
  <c r="J386" i="56" s="1"/>
  <c r="J382" i="56" a="1"/>
  <c r="J382" i="56" s="1"/>
  <c r="J379" i="56" a="1"/>
  <c r="J379" i="56" s="1"/>
  <c r="J375" i="56" a="1"/>
  <c r="J375" i="56" s="1"/>
  <c r="J367" i="56" a="1"/>
  <c r="J367" i="56" s="1"/>
  <c r="J364" i="56" a="1"/>
  <c r="J364" i="56" s="1"/>
  <c r="J360" i="56" a="1"/>
  <c r="J360" i="56" s="1"/>
  <c r="J356" i="56" a="1"/>
  <c r="J356" i="56" s="1"/>
  <c r="J351" i="56" a="1"/>
  <c r="J351" i="56" s="1"/>
  <c r="J347" i="56" a="1"/>
  <c r="J347" i="56" s="1"/>
  <c r="J343" i="56" a="1"/>
  <c r="J343" i="56" s="1"/>
  <c r="J338" i="56" a="1"/>
  <c r="J338" i="56" s="1"/>
  <c r="J334" i="56" a="1"/>
  <c r="J334" i="56" s="1"/>
  <c r="J330" i="56" a="1"/>
  <c r="J330" i="56" s="1"/>
  <c r="J327" i="56" a="1"/>
  <c r="J327" i="56" s="1"/>
  <c r="J323" i="56" a="1"/>
  <c r="J323" i="56" s="1"/>
  <c r="J315" i="56" a="1"/>
  <c r="J315" i="56" s="1"/>
  <c r="J313" i="56" a="1"/>
  <c r="J313" i="56" s="1"/>
  <c r="J309" i="56" a="1"/>
  <c r="J309" i="56" s="1"/>
  <c r="J305" i="56" a="1"/>
  <c r="J305" i="56" s="1"/>
  <c r="J300" i="56" a="1"/>
  <c r="J300" i="56" s="1"/>
  <c r="J296" i="56" a="1"/>
  <c r="J296" i="56" s="1"/>
  <c r="J289" i="56" a="1"/>
  <c r="J289" i="56" s="1"/>
  <c r="J287" i="56" a="1"/>
  <c r="J287" i="56" s="1"/>
  <c r="J283" i="56" a="1"/>
  <c r="J283" i="56" s="1"/>
  <c r="J404" i="56" a="1"/>
  <c r="J404" i="56" s="1"/>
  <c r="J400" i="56" a="1"/>
  <c r="J400" i="56" s="1"/>
  <c r="J396" i="56" a="1"/>
  <c r="J396" i="56" s="1"/>
  <c r="J389" i="56" a="1"/>
  <c r="J389" i="56" s="1"/>
  <c r="J385" i="56" a="1"/>
  <c r="J385" i="56" s="1"/>
  <c r="J381" i="56" a="1"/>
  <c r="J381" i="56" s="1"/>
  <c r="J378" i="56" a="1"/>
  <c r="J378" i="56" s="1"/>
  <c r="J374" i="56" a="1"/>
  <c r="J374" i="56" s="1"/>
  <c r="J370" i="56" a="1"/>
  <c r="J370" i="56" s="1"/>
  <c r="J363" i="56" a="1"/>
  <c r="J363" i="56" s="1"/>
  <c r="J359" i="56" a="1"/>
  <c r="J359" i="56" s="1"/>
  <c r="J350" i="56" a="1"/>
  <c r="J350" i="56" s="1"/>
  <c r="J346" i="56" a="1"/>
  <c r="J346" i="56" s="1"/>
  <c r="J342" i="56" a="1"/>
  <c r="J342" i="56" s="1"/>
  <c r="J337" i="56" a="1"/>
  <c r="J337" i="56" s="1"/>
  <c r="J333" i="56" a="1"/>
  <c r="J333" i="56" s="1"/>
  <c r="J329" i="56" a="1"/>
  <c r="J329" i="56" s="1"/>
  <c r="J326" i="56" a="1"/>
  <c r="J326" i="56" s="1"/>
  <c r="J322" i="56" a="1"/>
  <c r="J322" i="56" s="1"/>
  <c r="J318" i="56" a="1"/>
  <c r="J318" i="56" s="1"/>
  <c r="J312" i="56" a="1"/>
  <c r="J312" i="56" s="1"/>
  <c r="J308" i="56" a="1"/>
  <c r="J308" i="56" s="1"/>
  <c r="J304" i="56" a="1"/>
  <c r="J304" i="56" s="1"/>
  <c r="J299" i="56" a="1"/>
  <c r="J299" i="56" s="1"/>
  <c r="J292" i="56" a="1"/>
  <c r="J292" i="56" s="1"/>
  <c r="J403" i="56" a="1"/>
  <c r="J403" i="56" s="1"/>
  <c r="J399" i="56" a="1"/>
  <c r="J399" i="56" s="1"/>
  <c r="J395" i="56" a="1"/>
  <c r="J395" i="56" s="1"/>
  <c r="J392" i="56" a="1"/>
  <c r="J392" i="56" s="1"/>
  <c r="J388" i="56" a="1"/>
  <c r="J388" i="56" s="1"/>
  <c r="J380" i="56" a="1"/>
  <c r="J380" i="56" s="1"/>
  <c r="J377" i="56" a="1"/>
  <c r="J377" i="56" s="1"/>
  <c r="J373" i="56" a="1"/>
  <c r="J373" i="56" s="1"/>
  <c r="J369" i="56" a="1"/>
  <c r="J369" i="56" s="1"/>
  <c r="J366" i="56" a="1"/>
  <c r="J366" i="56" s="1"/>
  <c r="J362" i="56" a="1"/>
  <c r="J362" i="56" s="1"/>
  <c r="J355" i="56" a="1"/>
  <c r="J355" i="56" s="1"/>
  <c r="J353" i="56" a="1"/>
  <c r="J353" i="56" s="1"/>
  <c r="J349" i="56" a="1"/>
  <c r="J349" i="56" s="1"/>
  <c r="J341" i="56" a="1"/>
  <c r="J341" i="56" s="1"/>
  <c r="J340" i="56" a="1"/>
  <c r="J340" i="56" s="1"/>
  <c r="J336" i="56" a="1"/>
  <c r="J336" i="56" s="1"/>
  <c r="J328" i="56" a="1"/>
  <c r="J328" i="56" s="1"/>
  <c r="J325" i="56" a="1"/>
  <c r="J325" i="56" s="1"/>
  <c r="J321" i="56" a="1"/>
  <c r="J321" i="56" s="1"/>
  <c r="J317" i="56" a="1"/>
  <c r="J317" i="56" s="1"/>
  <c r="J311" i="56" a="1"/>
  <c r="J311" i="56" s="1"/>
  <c r="J307" i="56" a="1"/>
  <c r="J307" i="56" s="1"/>
  <c r="J303" i="56" a="1"/>
  <c r="J303" i="56" s="1"/>
  <c r="J298" i="56" a="1"/>
  <c r="J298" i="56" s="1"/>
  <c r="J295" i="56" a="1"/>
  <c r="J295" i="56" s="1"/>
  <c r="J291" i="56" a="1"/>
  <c r="J291" i="56" s="1"/>
  <c r="J285" i="56" a="1"/>
  <c r="J285" i="56" s="1"/>
  <c r="J282" i="56" a="1"/>
  <c r="J282" i="56" s="1"/>
  <c r="J276" i="56" a="1"/>
  <c r="J276" i="56" s="1"/>
  <c r="J274" i="56" a="1"/>
  <c r="J274" i="56" s="1"/>
  <c r="J270" i="56" a="1"/>
  <c r="J270" i="56" s="1"/>
  <c r="J266" i="56" a="1"/>
  <c r="J266" i="56" s="1"/>
  <c r="J263" i="56" a="1"/>
  <c r="J263" i="56" s="1"/>
  <c r="J262" i="56" a="1"/>
  <c r="J262" i="56" s="1"/>
  <c r="J258" i="56" a="1"/>
  <c r="J258" i="56" s="1"/>
  <c r="J250" i="56" a="1"/>
  <c r="J250" i="56" s="1"/>
  <c r="J248" i="56" a="1"/>
  <c r="J248" i="56" s="1"/>
  <c r="J245" i="56" a="1"/>
  <c r="J245" i="56" s="1"/>
  <c r="J237" i="56" a="1"/>
  <c r="J237" i="56" s="1"/>
  <c r="J236" i="56" a="1"/>
  <c r="J236" i="56" s="1"/>
  <c r="J232" i="56" a="1"/>
  <c r="J232" i="56" s="1"/>
  <c r="J224" i="56" a="1"/>
  <c r="J224" i="56" s="1"/>
  <c r="J223" i="56" a="1"/>
  <c r="J223" i="56" s="1"/>
  <c r="J219" i="56" a="1"/>
  <c r="J219" i="56" s="1"/>
  <c r="J211" i="56" a="1"/>
  <c r="J211" i="56" s="1"/>
  <c r="J206" i="56" a="1"/>
  <c r="J206" i="56" s="1"/>
  <c r="J198" i="56" a="1"/>
  <c r="J198" i="56" s="1"/>
  <c r="J197" i="56" a="1"/>
  <c r="J197" i="56" s="1"/>
  <c r="J193" i="56" a="1"/>
  <c r="J193" i="56" s="1"/>
  <c r="J185" i="56" a="1"/>
  <c r="J185" i="56" s="1"/>
  <c r="J184" i="56" a="1"/>
  <c r="J184" i="56" s="1"/>
  <c r="J180" i="56" a="1"/>
  <c r="J180" i="56" s="1"/>
  <c r="J172" i="56" a="1"/>
  <c r="J172" i="56" s="1"/>
  <c r="J170" i="56" a="1"/>
  <c r="J170" i="56" s="1"/>
  <c r="J166" i="56" a="1"/>
  <c r="J166" i="56" s="1"/>
  <c r="J159" i="56" a="1"/>
  <c r="J159" i="56" s="1"/>
  <c r="J157" i="56" a="1"/>
  <c r="J157" i="56" s="1"/>
  <c r="J153" i="56" a="1"/>
  <c r="J153" i="56" s="1"/>
  <c r="J149" i="56" a="1"/>
  <c r="J149" i="56" s="1"/>
  <c r="J143" i="56" a="1"/>
  <c r="J143" i="56" s="1"/>
  <c r="J139" i="56" a="1"/>
  <c r="J139" i="56" s="1"/>
  <c r="J135" i="56" a="1"/>
  <c r="J135" i="56" s="1"/>
  <c r="J130" i="56" a="1"/>
  <c r="J130" i="56" s="1"/>
  <c r="J126" i="56" a="1"/>
  <c r="J126" i="56" s="1"/>
  <c r="J122" i="56" a="1"/>
  <c r="J122" i="56" s="1"/>
  <c r="J116" i="56" a="1"/>
  <c r="J116" i="56" s="1"/>
  <c r="J112" i="56" a="1"/>
  <c r="J112" i="56" s="1"/>
  <c r="J108" i="56" a="1"/>
  <c r="J108" i="56" s="1"/>
  <c r="J106" i="56" a="1"/>
  <c r="J106" i="56" s="1"/>
  <c r="J102" i="56" a="1"/>
  <c r="J102" i="56" s="1"/>
  <c r="J94" i="56" a="1"/>
  <c r="J94" i="56" s="1"/>
  <c r="J286" i="56" a="1"/>
  <c r="J286" i="56" s="1"/>
  <c r="J279" i="56" a="1"/>
  <c r="J279" i="56" s="1"/>
  <c r="J273" i="56" a="1"/>
  <c r="J273" i="56" s="1"/>
  <c r="J269" i="56" a="1"/>
  <c r="J269" i="56" s="1"/>
  <c r="J261" i="56" a="1"/>
  <c r="J261" i="56" s="1"/>
  <c r="J257" i="56" a="1"/>
  <c r="J257" i="56" s="1"/>
  <c r="J253" i="56" a="1"/>
  <c r="J253" i="56" s="1"/>
  <c r="J244" i="56" a="1"/>
  <c r="J244" i="56" s="1"/>
  <c r="J240" i="56" a="1"/>
  <c r="J240" i="56" s="1"/>
  <c r="J235" i="56" a="1"/>
  <c r="J235" i="56" s="1"/>
  <c r="J231" i="56" a="1"/>
  <c r="J231" i="56" s="1"/>
  <c r="J227" i="56" a="1"/>
  <c r="J227" i="56" s="1"/>
  <c r="J222" i="56" a="1"/>
  <c r="J222" i="56" s="1"/>
  <c r="J218" i="56" a="1"/>
  <c r="J218" i="56" s="1"/>
  <c r="J214" i="56" a="1"/>
  <c r="J214" i="56" s="1"/>
  <c r="J209" i="56" a="1"/>
  <c r="J209" i="56" s="1"/>
  <c r="J205" i="56" a="1"/>
  <c r="J205" i="56" s="1"/>
  <c r="J201" i="56" a="1"/>
  <c r="J201" i="56" s="1"/>
  <c r="J196" i="56" a="1"/>
  <c r="J196" i="56" s="1"/>
  <c r="J192" i="56" a="1"/>
  <c r="J192" i="56" s="1"/>
  <c r="J188" i="56" a="1"/>
  <c r="J188" i="56" s="1"/>
  <c r="J183" i="56" a="1"/>
  <c r="J183" i="56" s="1"/>
  <c r="J179" i="56" a="1"/>
  <c r="J179" i="56" s="1"/>
  <c r="J175" i="56" a="1"/>
  <c r="J175" i="56" s="1"/>
  <c r="J169" i="56" a="1"/>
  <c r="J169" i="56" s="1"/>
  <c r="J165" i="56" a="1"/>
  <c r="J165" i="56" s="1"/>
  <c r="J162" i="56" a="1"/>
  <c r="J162" i="56" s="1"/>
  <c r="J156" i="56" a="1"/>
  <c r="J156" i="56" s="1"/>
  <c r="J152" i="56" a="1"/>
  <c r="J152" i="56" s="1"/>
  <c r="J148" i="56" a="1"/>
  <c r="J148" i="56" s="1"/>
  <c r="J142" i="56" a="1"/>
  <c r="J142" i="56" s="1"/>
  <c r="J138" i="56" a="1"/>
  <c r="J138" i="56" s="1"/>
  <c r="J129" i="56" a="1"/>
  <c r="J129" i="56" s="1"/>
  <c r="J125" i="56" a="1"/>
  <c r="J125" i="56" s="1"/>
  <c r="J121" i="56" a="1"/>
  <c r="J121" i="56" s="1"/>
  <c r="J119" i="56" a="1"/>
  <c r="J119" i="56" s="1"/>
  <c r="J115" i="56" a="1"/>
  <c r="J115" i="56" s="1"/>
  <c r="J107" i="56" a="1"/>
  <c r="J107" i="56" s="1"/>
  <c r="J105" i="56" a="1"/>
  <c r="J105" i="56" s="1"/>
  <c r="J101" i="56" a="1"/>
  <c r="J101" i="56" s="1"/>
  <c r="J97" i="56" a="1"/>
  <c r="J97" i="56" s="1"/>
  <c r="J278" i="56" a="1"/>
  <c r="J278" i="56" s="1"/>
  <c r="J272" i="56" a="1"/>
  <c r="J272" i="56" s="1"/>
  <c r="J268" i="56" a="1"/>
  <c r="J268" i="56" s="1"/>
  <c r="J265" i="56" a="1"/>
  <c r="J265" i="56" s="1"/>
  <c r="J260" i="56" a="1"/>
  <c r="J260" i="56" s="1"/>
  <c r="J256" i="56" a="1"/>
  <c r="J256" i="56" s="1"/>
  <c r="J252" i="56" a="1"/>
  <c r="J252" i="56" s="1"/>
  <c r="J247" i="56" a="1"/>
  <c r="J247" i="56" s="1"/>
  <c r="J243" i="56" a="1"/>
  <c r="J243" i="56" s="1"/>
  <c r="J239" i="56" a="1"/>
  <c r="J239" i="56" s="1"/>
  <c r="J234" i="56" a="1"/>
  <c r="J234" i="56" s="1"/>
  <c r="J230" i="56" a="1"/>
  <c r="J230" i="56" s="1"/>
  <c r="J226" i="56" a="1"/>
  <c r="J226" i="56" s="1"/>
  <c r="J221" i="56" a="1"/>
  <c r="J221" i="56" s="1"/>
  <c r="J217" i="56" a="1"/>
  <c r="J217" i="56" s="1"/>
  <c r="J213" i="56" a="1"/>
  <c r="J213" i="56" s="1"/>
  <c r="J208" i="56" a="1"/>
  <c r="J208" i="56" s="1"/>
  <c r="J204" i="56" a="1"/>
  <c r="J204" i="56" s="1"/>
  <c r="J200" i="56" a="1"/>
  <c r="J200" i="56" s="1"/>
  <c r="J195" i="56" a="1"/>
  <c r="J195" i="56" s="1"/>
  <c r="J191" i="56" a="1"/>
  <c r="J191" i="56" s="1"/>
  <c r="J187" i="56" a="1"/>
  <c r="J187" i="56" s="1"/>
  <c r="J182" i="56" a="1"/>
  <c r="J182" i="56" s="1"/>
  <c r="J178" i="56" a="1"/>
  <c r="J178" i="56" s="1"/>
  <c r="J174" i="56" a="1"/>
  <c r="J174" i="56" s="1"/>
  <c r="J168" i="56" a="1"/>
  <c r="J168" i="56" s="1"/>
  <c r="J161" i="56" a="1"/>
  <c r="J161" i="56" s="1"/>
  <c r="J155" i="56" a="1"/>
  <c r="J155" i="56" s="1"/>
  <c r="J151" i="56" a="1"/>
  <c r="J151" i="56" s="1"/>
  <c r="J147" i="56" a="1"/>
  <c r="J147" i="56" s="1"/>
  <c r="J145" i="56" a="1"/>
  <c r="J145" i="56" s="1"/>
  <c r="J141" i="56" a="1"/>
  <c r="J141" i="56" s="1"/>
  <c r="J134" i="56" a="1"/>
  <c r="J134" i="56" s="1"/>
  <c r="J281" i="56" a="1"/>
  <c r="J281" i="56" s="1"/>
  <c r="J277" i="56" a="1"/>
  <c r="J277" i="56" s="1"/>
  <c r="J275" i="56" a="1"/>
  <c r="J275" i="56" s="1"/>
  <c r="J271" i="56" a="1"/>
  <c r="J271" i="56" s="1"/>
  <c r="J264" i="56" a="1"/>
  <c r="J264" i="56" s="1"/>
  <c r="J259" i="56" a="1"/>
  <c r="J259" i="56" s="1"/>
  <c r="J255" i="56" a="1"/>
  <c r="J255" i="56" s="1"/>
  <c r="J251" i="56" a="1"/>
  <c r="J251" i="56" s="1"/>
  <c r="J249" i="56" a="1"/>
  <c r="J249" i="56" s="1"/>
  <c r="J246" i="56" a="1"/>
  <c r="J246" i="56" s="1"/>
  <c r="J242" i="56" a="1"/>
  <c r="J242" i="56" s="1"/>
  <c r="J238" i="56" a="1"/>
  <c r="J238" i="56" s="1"/>
  <c r="J233" i="56" a="1"/>
  <c r="J233" i="56" s="1"/>
  <c r="J229" i="56" a="1"/>
  <c r="J229" i="56" s="1"/>
  <c r="J225" i="56" a="1"/>
  <c r="J225" i="56" s="1"/>
  <c r="J220" i="56" a="1"/>
  <c r="J220" i="56" s="1"/>
  <c r="J216" i="56" a="1"/>
  <c r="J216" i="56" s="1"/>
  <c r="J212" i="56" a="1"/>
  <c r="J212" i="56" s="1"/>
  <c r="J210" i="56" a="1"/>
  <c r="J210" i="56" s="1"/>
  <c r="J207" i="56" a="1"/>
  <c r="J207" i="56" s="1"/>
  <c r="J203" i="56" a="1"/>
  <c r="J203" i="56" s="1"/>
  <c r="J199" i="56" a="1"/>
  <c r="J199" i="56" s="1"/>
  <c r="J194" i="56" a="1"/>
  <c r="J194" i="56" s="1"/>
  <c r="J190" i="56" a="1"/>
  <c r="J190" i="56" s="1"/>
  <c r="J186" i="56" a="1"/>
  <c r="J186" i="56" s="1"/>
  <c r="J181" i="56" a="1"/>
  <c r="J181" i="56" s="1"/>
  <c r="J177" i="56" a="1"/>
  <c r="J177" i="56" s="1"/>
  <c r="J173" i="56" a="1"/>
  <c r="J173" i="56" s="1"/>
  <c r="J171" i="56" a="1"/>
  <c r="J171" i="56" s="1"/>
  <c r="J167" i="56" a="1"/>
  <c r="J167" i="56" s="1"/>
  <c r="J164" i="56" a="1"/>
  <c r="J164" i="56" s="1"/>
  <c r="J160" i="56" a="1"/>
  <c r="J160" i="56" s="1"/>
  <c r="J158" i="56" a="1"/>
  <c r="J158" i="56" s="1"/>
  <c r="J154" i="56" a="1"/>
  <c r="J154" i="56" s="1"/>
  <c r="J146" i="56" a="1"/>
  <c r="J146" i="56" s="1"/>
  <c r="J144" i="56" a="1"/>
  <c r="J144" i="56" s="1"/>
  <c r="J140" i="56" a="1"/>
  <c r="J140" i="56" s="1"/>
  <c r="J136" i="56" a="1"/>
  <c r="J136" i="56" s="1"/>
  <c r="J133" i="56" a="1"/>
  <c r="J133" i="56" s="1"/>
  <c r="J131" i="56" a="1"/>
  <c r="J131" i="56" s="1"/>
  <c r="J127" i="56" a="1"/>
  <c r="J127" i="56" s="1"/>
  <c r="J123" i="56" a="1"/>
  <c r="J123" i="56" s="1"/>
  <c r="J117" i="56" a="1"/>
  <c r="J117" i="56" s="1"/>
  <c r="J113" i="56" a="1"/>
  <c r="J113" i="56" s="1"/>
  <c r="J132" i="56" a="1"/>
  <c r="J132" i="56" s="1"/>
  <c r="J118" i="56" a="1"/>
  <c r="J118" i="56" s="1"/>
  <c r="J100" i="56" a="1"/>
  <c r="J100" i="56" s="1"/>
  <c r="J93" i="56" a="1"/>
  <c r="J93" i="56" s="1"/>
  <c r="J89" i="56" a="1"/>
  <c r="J89" i="56" s="1"/>
  <c r="J82" i="56" a="1"/>
  <c r="J82" i="56" s="1"/>
  <c r="J79" i="56" a="1"/>
  <c r="J79" i="56" s="1"/>
  <c r="J75" i="56" a="1"/>
  <c r="J75" i="56" s="1"/>
  <c r="J71" i="56" a="1"/>
  <c r="J71" i="56" s="1"/>
  <c r="J65" i="56" a="1"/>
  <c r="J65" i="56" s="1"/>
  <c r="J61" i="56" a="1"/>
  <c r="J61" i="56" s="1"/>
  <c r="J57" i="56" a="1"/>
  <c r="J57" i="56" s="1"/>
  <c r="J54" i="56" a="1"/>
  <c r="J54" i="56" s="1"/>
  <c r="J51" i="56" a="1"/>
  <c r="J51" i="56" s="1"/>
  <c r="J47" i="56" a="1"/>
  <c r="J47" i="56" s="1"/>
  <c r="J43" i="56" a="1"/>
  <c r="J43" i="56" s="1"/>
  <c r="J40" i="56" a="1"/>
  <c r="J40" i="56" s="1"/>
  <c r="J36" i="56" a="1"/>
  <c r="J36" i="56" s="1"/>
  <c r="J32" i="56" a="1"/>
  <c r="J32" i="56" s="1"/>
  <c r="J26" i="56" a="1"/>
  <c r="J26" i="56" s="1"/>
  <c r="J22" i="56" a="1"/>
  <c r="J22" i="56" s="1"/>
  <c r="J18" i="56" a="1"/>
  <c r="J18" i="56" s="1"/>
  <c r="J128" i="56" a="1"/>
  <c r="J128" i="56" s="1"/>
  <c r="J114" i="56" a="1"/>
  <c r="J114" i="56" s="1"/>
  <c r="J99" i="56" a="1"/>
  <c r="J99" i="56" s="1"/>
  <c r="J92" i="56" a="1"/>
  <c r="J92" i="56" s="1"/>
  <c r="J88" i="56" a="1"/>
  <c r="J88" i="56" s="1"/>
  <c r="J84" i="56" a="1"/>
  <c r="J84" i="56" s="1"/>
  <c r="J81" i="56" a="1"/>
  <c r="J81" i="56" s="1"/>
  <c r="J78" i="56" a="1"/>
  <c r="J78" i="56" s="1"/>
  <c r="J74" i="56" a="1"/>
  <c r="J74" i="56" s="1"/>
  <c r="J70" i="56" a="1"/>
  <c r="J70" i="56" s="1"/>
  <c r="J64" i="56" a="1"/>
  <c r="J64" i="56" s="1"/>
  <c r="J60" i="56" a="1"/>
  <c r="J60" i="56" s="1"/>
  <c r="J56" i="56" a="1"/>
  <c r="J56" i="56" s="1"/>
  <c r="J50" i="56" a="1"/>
  <c r="J50" i="56" s="1"/>
  <c r="J42" i="56" a="1"/>
  <c r="J42" i="56" s="1"/>
  <c r="J39" i="56" a="1"/>
  <c r="J39" i="56" s="1"/>
  <c r="J35" i="56" a="1"/>
  <c r="J35" i="56" s="1"/>
  <c r="J31" i="56" a="1"/>
  <c r="J31" i="56" s="1"/>
  <c r="J25" i="56" a="1"/>
  <c r="J25" i="56" s="1"/>
  <c r="J21" i="56" a="1"/>
  <c r="J21" i="56" s="1"/>
  <c r="J17" i="56" a="1"/>
  <c r="J17" i="56" s="1"/>
  <c r="J110" i="56" a="1"/>
  <c r="J110" i="56" s="1"/>
  <c r="J104" i="56" a="1"/>
  <c r="J104" i="56" s="1"/>
  <c r="J96" i="56" a="1"/>
  <c r="J96" i="56" s="1"/>
  <c r="J91" i="56" a="1"/>
  <c r="J91" i="56" s="1"/>
  <c r="J87" i="56" a="1"/>
  <c r="J87" i="56" s="1"/>
  <c r="J83" i="56" a="1"/>
  <c r="J83" i="56" s="1"/>
  <c r="J77" i="56" a="1"/>
  <c r="J77" i="56" s="1"/>
  <c r="J73" i="56" a="1"/>
  <c r="J73" i="56" s="1"/>
  <c r="J69" i="56" a="1"/>
  <c r="J69" i="56" s="1"/>
  <c r="J67" i="56" a="1"/>
  <c r="J67" i="56" s="1"/>
  <c r="J63" i="56" a="1"/>
  <c r="J63" i="56" s="1"/>
  <c r="J55" i="56" a="1"/>
  <c r="J55" i="56" s="1"/>
  <c r="J53" i="56" a="1"/>
  <c r="J53" i="56" s="1"/>
  <c r="J49" i="56" a="1"/>
  <c r="J49" i="56" s="1"/>
  <c r="J45" i="56" a="1"/>
  <c r="J45" i="56" s="1"/>
  <c r="J38" i="56" a="1"/>
  <c r="J38" i="56" s="1"/>
  <c r="J34" i="56" a="1"/>
  <c r="J34" i="56" s="1"/>
  <c r="J30" i="56" a="1"/>
  <c r="J30" i="56" s="1"/>
  <c r="J28" i="56" a="1"/>
  <c r="J28" i="56" s="1"/>
  <c r="J24" i="56" a="1"/>
  <c r="J24" i="56" s="1"/>
  <c r="J16" i="56" a="1"/>
  <c r="J16" i="56" s="1"/>
  <c r="J120" i="56" a="1"/>
  <c r="J120" i="56" s="1"/>
  <c r="J109" i="56" a="1"/>
  <c r="J109" i="56" s="1"/>
  <c r="J103" i="56" a="1"/>
  <c r="J103" i="56" s="1"/>
  <c r="J95" i="56" a="1"/>
  <c r="J95" i="56" s="1"/>
  <c r="J90" i="56" a="1"/>
  <c r="J90" i="56" s="1"/>
  <c r="J86" i="56" a="1"/>
  <c r="J86" i="56" s="1"/>
  <c r="J80" i="56" a="1"/>
  <c r="J80" i="56" s="1"/>
  <c r="J76" i="56" a="1"/>
  <c r="J76" i="56" s="1"/>
  <c r="J68" i="56" a="1"/>
  <c r="J68" i="56" s="1"/>
  <c r="J66" i="56" a="1"/>
  <c r="J66" i="56" s="1"/>
  <c r="J62" i="56" a="1"/>
  <c r="J62" i="56" s="1"/>
  <c r="J58" i="56" a="1"/>
  <c r="J58" i="56" s="1"/>
  <c r="J52" i="56" a="1"/>
  <c r="J52" i="56" s="1"/>
  <c r="J48" i="56" a="1"/>
  <c r="J48" i="56" s="1"/>
  <c r="J44" i="56" a="1"/>
  <c r="J44" i="56" s="1"/>
  <c r="J41" i="56" a="1"/>
  <c r="J41" i="56" s="1"/>
  <c r="J37" i="56" a="1"/>
  <c r="J37" i="56" s="1"/>
  <c r="J29" i="56" a="1"/>
  <c r="J29" i="56" s="1"/>
  <c r="J27" i="56" a="1"/>
  <c r="J27" i="56" s="1"/>
  <c r="J23" i="56" a="1"/>
  <c r="J23" i="56" s="1"/>
  <c r="J19" i="56" a="1"/>
  <c r="J19" i="56" s="1"/>
  <c r="AW403" i="54" a="1"/>
  <c r="AW403" i="54" s="1"/>
  <c r="AW399" i="54" a="1"/>
  <c r="AW399" i="54" s="1"/>
  <c r="AW395" i="54" a="1"/>
  <c r="AW395" i="54" s="1"/>
  <c r="AW390" i="54" a="1"/>
  <c r="AW390" i="54" s="1"/>
  <c r="AW386" i="54" a="1"/>
  <c r="AW386" i="54" s="1"/>
  <c r="AW382" i="54" a="1"/>
  <c r="AW382" i="54" s="1"/>
  <c r="AW377" i="54" a="1"/>
  <c r="AW377" i="54" s="1"/>
  <c r="AW373" i="54" a="1"/>
  <c r="AW373" i="54" s="1"/>
  <c r="AW369" i="54" a="1"/>
  <c r="AW369" i="54" s="1"/>
  <c r="AW365" i="54" a="1"/>
  <c r="AW365" i="54" s="1"/>
  <c r="AW361" i="54" a="1"/>
  <c r="AW361" i="54" s="1"/>
  <c r="AW357" i="54" a="1"/>
  <c r="AW357" i="54" s="1"/>
  <c r="AW351" i="54" a="1"/>
  <c r="AW351" i="54" s="1"/>
  <c r="AW347" i="54" a="1"/>
  <c r="AW347" i="54" s="1"/>
  <c r="AW343" i="54" a="1"/>
  <c r="AW343" i="54" s="1"/>
  <c r="AW340" i="54" a="1"/>
  <c r="AW340" i="54" s="1"/>
  <c r="AW336" i="54" a="1"/>
  <c r="AW336" i="54" s="1"/>
  <c r="AW333" i="54" a="1"/>
  <c r="AW333" i="54" s="1"/>
  <c r="AW329" i="54" a="1"/>
  <c r="AW329" i="54" s="1"/>
  <c r="AW402" i="54" a="1"/>
  <c r="AW402" i="54" s="1"/>
  <c r="AW398" i="54" a="1"/>
  <c r="AW398" i="54" s="1"/>
  <c r="AW394" i="54" a="1"/>
  <c r="AW394" i="54" s="1"/>
  <c r="AW389" i="54" a="1"/>
  <c r="AW389" i="54" s="1"/>
  <c r="AW385" i="54" a="1"/>
  <c r="AW385" i="54" s="1"/>
  <c r="AW381" i="54" a="1"/>
  <c r="AW381" i="54" s="1"/>
  <c r="AW376" i="54" a="1"/>
  <c r="AW376" i="54" s="1"/>
  <c r="AW372" i="54" a="1"/>
  <c r="AW372" i="54" s="1"/>
  <c r="AW368" i="54" a="1"/>
  <c r="AW368" i="54" s="1"/>
  <c r="AW364" i="54" a="1"/>
  <c r="AW364" i="54" s="1"/>
  <c r="AW360" i="54" a="1"/>
  <c r="AW360" i="54" s="1"/>
  <c r="AW356" i="54" a="1"/>
  <c r="AW356" i="54" s="1"/>
  <c r="AW350" i="54" a="1"/>
  <c r="AW350" i="54" s="1"/>
  <c r="AW346" i="54" a="1"/>
  <c r="AW346" i="54" s="1"/>
  <c r="AW342" i="54" a="1"/>
  <c r="AW342" i="54" s="1"/>
  <c r="AW339" i="54" a="1"/>
  <c r="AW339" i="54" s="1"/>
  <c r="AW328" i="54" a="1"/>
  <c r="AW328" i="54" s="1"/>
  <c r="AW405" i="54" a="1"/>
  <c r="AW405" i="54" s="1"/>
  <c r="AW401" i="54" a="1"/>
  <c r="AW401" i="54" s="1"/>
  <c r="AW393" i="54" a="1"/>
  <c r="AW393" i="54" s="1"/>
  <c r="AW392" i="54" a="1"/>
  <c r="AW392" i="54" s="1"/>
  <c r="AW388" i="54" a="1"/>
  <c r="AW388" i="54" s="1"/>
  <c r="AW380" i="54" a="1"/>
  <c r="AW380" i="54" s="1"/>
  <c r="AW379" i="54" a="1"/>
  <c r="AW379" i="54" s="1"/>
  <c r="AW375" i="54" a="1"/>
  <c r="AW375" i="54" s="1"/>
  <c r="AW367" i="54" a="1"/>
  <c r="AW367" i="54" s="1"/>
  <c r="AW363" i="54" a="1"/>
  <c r="AW363" i="54" s="1"/>
  <c r="AW359" i="54" a="1"/>
  <c r="AW359" i="54" s="1"/>
  <c r="AW355" i="54" a="1"/>
  <c r="AW355" i="54" s="1"/>
  <c r="AW353" i="54" a="1"/>
  <c r="AW353" i="54" s="1"/>
  <c r="AW349" i="54" a="1"/>
  <c r="AW349" i="54" s="1"/>
  <c r="AW341" i="54" a="1"/>
  <c r="AW341" i="54" s="1"/>
  <c r="AW338" i="54" a="1"/>
  <c r="AW338" i="54" s="1"/>
  <c r="AW335" i="54" a="1"/>
  <c r="AW335" i="54" s="1"/>
  <c r="AW331" i="54" a="1"/>
  <c r="AW331" i="54" s="1"/>
  <c r="AW400" i="54" a="1"/>
  <c r="AW400" i="54" s="1"/>
  <c r="AW383" i="54" a="1"/>
  <c r="AW383" i="54" s="1"/>
  <c r="AW366" i="54" a="1"/>
  <c r="AW366" i="54" s="1"/>
  <c r="AW352" i="54" a="1"/>
  <c r="AW352" i="54" s="1"/>
  <c r="AW337" i="54" a="1"/>
  <c r="AW337" i="54" s="1"/>
  <c r="AW327" i="54" a="1"/>
  <c r="AW327" i="54" s="1"/>
  <c r="AW323" i="54" a="1"/>
  <c r="AW323" i="54" s="1"/>
  <c r="AW315" i="54" a="1"/>
  <c r="AW315" i="54" s="1"/>
  <c r="AW313" i="54" a="1"/>
  <c r="AW313" i="54" s="1"/>
  <c r="AW309" i="54" a="1"/>
  <c r="AW309" i="54" s="1"/>
  <c r="AW305" i="54" a="1"/>
  <c r="AW305" i="54" s="1"/>
  <c r="AW299" i="54" a="1"/>
  <c r="AW299" i="54" s="1"/>
  <c r="AW295" i="54" a="1"/>
  <c r="AW295" i="54" s="1"/>
  <c r="AW291" i="54" a="1"/>
  <c r="AW291" i="54" s="1"/>
  <c r="AW288" i="54" a="1"/>
  <c r="AW288" i="54" s="1"/>
  <c r="AW284" i="54" a="1"/>
  <c r="AW284" i="54" s="1"/>
  <c r="AW281" i="54" a="1"/>
  <c r="AW281" i="54" s="1"/>
  <c r="AW277" i="54" a="1"/>
  <c r="AW277" i="54" s="1"/>
  <c r="AW273" i="54" a="1"/>
  <c r="AW273" i="54" s="1"/>
  <c r="AW270" i="54" a="1"/>
  <c r="AW270" i="54" s="1"/>
  <c r="AW266" i="54" a="1"/>
  <c r="AW266" i="54" s="1"/>
  <c r="AW263" i="54" a="1"/>
  <c r="AW263" i="54" s="1"/>
  <c r="AW261" i="54" a="1"/>
  <c r="AW261" i="54" s="1"/>
  <c r="AW257" i="54" a="1"/>
  <c r="AW257" i="54" s="1"/>
  <c r="AW253" i="54" a="1"/>
  <c r="AW253" i="54" s="1"/>
  <c r="AW249" i="54" a="1"/>
  <c r="AW249" i="54" s="1"/>
  <c r="AW245" i="54" a="1"/>
  <c r="AW245" i="54" s="1"/>
  <c r="AW237" i="54" a="1"/>
  <c r="AW237" i="54" s="1"/>
  <c r="AW233" i="54" a="1"/>
  <c r="AW233" i="54" s="1"/>
  <c r="AW229" i="54" a="1"/>
  <c r="AW229" i="54" s="1"/>
  <c r="AW225" i="54" a="1"/>
  <c r="AW225" i="54" s="1"/>
  <c r="AW221" i="54" a="1"/>
  <c r="AW221" i="54" s="1"/>
  <c r="AW217" i="54" a="1"/>
  <c r="AW217" i="54" s="1"/>
  <c r="AW213" i="54" a="1"/>
  <c r="AW213" i="54" s="1"/>
  <c r="AW210" i="54" a="1"/>
  <c r="AW210" i="54" s="1"/>
  <c r="AW203" i="54" a="1"/>
  <c r="AW203" i="54" s="1"/>
  <c r="AW199" i="54" a="1"/>
  <c r="AW199" i="54" s="1"/>
  <c r="AW195" i="54" a="1"/>
  <c r="AW195" i="54" s="1"/>
  <c r="AW191" i="54" a="1"/>
  <c r="AW191" i="54" s="1"/>
  <c r="AW187" i="54" a="1"/>
  <c r="AW187" i="54" s="1"/>
  <c r="AW183" i="54" a="1"/>
  <c r="AW183" i="54" s="1"/>
  <c r="AW179" i="54" a="1"/>
  <c r="AW179" i="54" s="1"/>
  <c r="AW175" i="54" a="1"/>
  <c r="AW175" i="54" s="1"/>
  <c r="AW170" i="54" a="1"/>
  <c r="AW170" i="54" s="1"/>
  <c r="AW167" i="54" a="1"/>
  <c r="AW167" i="54" s="1"/>
  <c r="AW159" i="54" a="1"/>
  <c r="AW159" i="54" s="1"/>
  <c r="AW158" i="54" a="1"/>
  <c r="AW158" i="54" s="1"/>
  <c r="AW154" i="54" a="1"/>
  <c r="AW154" i="54" s="1"/>
  <c r="AW147" i="54" a="1"/>
  <c r="AW147" i="54" s="1"/>
  <c r="AW142" i="54" a="1"/>
  <c r="AW142" i="54" s="1"/>
  <c r="AW138" i="54" a="1"/>
  <c r="AW138" i="54" s="1"/>
  <c r="AW134" i="54" a="1"/>
  <c r="AW134" i="54" s="1"/>
  <c r="AW129" i="54" a="1"/>
  <c r="AW129" i="54" s="1"/>
  <c r="AW126" i="54" a="1"/>
  <c r="AW126" i="54" s="1"/>
  <c r="AW123" i="54" a="1"/>
  <c r="AW123" i="54" s="1"/>
  <c r="AW116" i="54" a="1"/>
  <c r="AW116" i="54" s="1"/>
  <c r="AW112" i="54" a="1"/>
  <c r="AW112" i="54" s="1"/>
  <c r="AW108" i="54" a="1"/>
  <c r="AW108" i="54" s="1"/>
  <c r="AW106" i="54" a="1"/>
  <c r="AW106" i="54" s="1"/>
  <c r="AW102" i="54" a="1"/>
  <c r="AW102" i="54" s="1"/>
  <c r="AW94" i="54" a="1"/>
  <c r="AW94" i="54" s="1"/>
  <c r="AW88" i="54" a="1"/>
  <c r="AW88" i="54" s="1"/>
  <c r="AW84" i="54" a="1"/>
  <c r="AW84" i="54" s="1"/>
  <c r="AW396" i="54" a="1"/>
  <c r="AW396" i="54" s="1"/>
  <c r="AW378" i="54" a="1"/>
  <c r="AW378" i="54" s="1"/>
  <c r="AW362" i="54" a="1"/>
  <c r="AW362" i="54" s="1"/>
  <c r="AW348" i="54" a="1"/>
  <c r="AW348" i="54" s="1"/>
  <c r="AW334" i="54" a="1"/>
  <c r="AW334" i="54" s="1"/>
  <c r="AW326" i="54" a="1"/>
  <c r="AW326" i="54" s="1"/>
  <c r="AW322" i="54" a="1"/>
  <c r="AW322" i="54" s="1"/>
  <c r="AW318" i="54" a="1"/>
  <c r="AW318" i="54" s="1"/>
  <c r="AW312" i="54" a="1"/>
  <c r="AW312" i="54" s="1"/>
  <c r="AW308" i="54" a="1"/>
  <c r="AW308" i="54" s="1"/>
  <c r="AW304" i="54" a="1"/>
  <c r="AW304" i="54" s="1"/>
  <c r="AW301" i="54" a="1"/>
  <c r="AW301" i="54" s="1"/>
  <c r="AW298" i="54" a="1"/>
  <c r="AW298" i="54" s="1"/>
  <c r="AW294" i="54" a="1"/>
  <c r="AW294" i="54" s="1"/>
  <c r="AW290" i="54" a="1"/>
  <c r="AW290" i="54" s="1"/>
  <c r="AW287" i="54" a="1"/>
  <c r="AW287" i="54" s="1"/>
  <c r="AW283" i="54" a="1"/>
  <c r="AW283" i="54" s="1"/>
  <c r="AW276" i="54" a="1"/>
  <c r="AW276" i="54" s="1"/>
  <c r="AW272" i="54" a="1"/>
  <c r="AW272" i="54" s="1"/>
  <c r="AW269" i="54" a="1"/>
  <c r="AW269" i="54" s="1"/>
  <c r="AW265" i="54" a="1"/>
  <c r="AW265" i="54" s="1"/>
  <c r="AW260" i="54" a="1"/>
  <c r="AW260" i="54" s="1"/>
  <c r="AW256" i="54" a="1"/>
  <c r="AW256" i="54" s="1"/>
  <c r="AW252" i="54" a="1"/>
  <c r="AW252" i="54" s="1"/>
  <c r="AW248" i="54" a="1"/>
  <c r="AW248" i="54" s="1"/>
  <c r="AW244" i="54" a="1"/>
  <c r="AW244" i="54" s="1"/>
  <c r="AW240" i="54" a="1"/>
  <c r="AW240" i="54" s="1"/>
  <c r="AW236" i="54" a="1"/>
  <c r="AW236" i="54" s="1"/>
  <c r="AW232" i="54" a="1"/>
  <c r="AW232" i="54" s="1"/>
  <c r="AW224" i="54" a="1"/>
  <c r="AW224" i="54" s="1"/>
  <c r="AW220" i="54" a="1"/>
  <c r="AW220" i="54" s="1"/>
  <c r="AW216" i="54" a="1"/>
  <c r="AW216" i="54" s="1"/>
  <c r="AW212" i="54" a="1"/>
  <c r="AW212" i="54" s="1"/>
  <c r="AW209" i="54" a="1"/>
  <c r="AW209" i="54" s="1"/>
  <c r="AW206" i="54" a="1"/>
  <c r="AW206" i="54" s="1"/>
  <c r="AW198" i="54" a="1"/>
  <c r="AW198" i="54" s="1"/>
  <c r="AW194" i="54" a="1"/>
  <c r="AW194" i="54" s="1"/>
  <c r="AW190" i="54" a="1"/>
  <c r="AW190" i="54" s="1"/>
  <c r="AW186" i="54" a="1"/>
  <c r="AW186" i="54" s="1"/>
  <c r="AW182" i="54" a="1"/>
  <c r="AW182" i="54" s="1"/>
  <c r="AW178" i="54" a="1"/>
  <c r="AW178" i="54" s="1"/>
  <c r="AW174" i="54" a="1"/>
  <c r="AW174" i="54" s="1"/>
  <c r="AW169" i="54" a="1"/>
  <c r="AW169" i="54" s="1"/>
  <c r="AW166" i="54" a="1"/>
  <c r="AW166" i="54" s="1"/>
  <c r="AW162" i="54" a="1"/>
  <c r="AW162" i="54" s="1"/>
  <c r="AW157" i="54" a="1"/>
  <c r="AW157" i="54" s="1"/>
  <c r="AW153" i="54" a="1"/>
  <c r="AW153" i="54" s="1"/>
  <c r="AW146" i="54" a="1"/>
  <c r="AW146" i="54" s="1"/>
  <c r="AW145" i="54" a="1"/>
  <c r="AW145" i="54" s="1"/>
  <c r="AW141" i="54" a="1"/>
  <c r="AW141" i="54" s="1"/>
  <c r="AW133" i="54" a="1"/>
  <c r="AW133" i="54" s="1"/>
  <c r="AW132" i="54" a="1"/>
  <c r="AW132" i="54" s="1"/>
  <c r="AW128" i="54" a="1"/>
  <c r="AW128" i="54" s="1"/>
  <c r="AW125" i="54" a="1"/>
  <c r="AW125" i="54" s="1"/>
  <c r="AW122" i="54" a="1"/>
  <c r="AW122" i="54" s="1"/>
  <c r="AW119" i="54" a="1"/>
  <c r="AW119" i="54" s="1"/>
  <c r="AW115" i="54" a="1"/>
  <c r="AW115" i="54" s="1"/>
  <c r="AW107" i="54" a="1"/>
  <c r="AW107" i="54" s="1"/>
  <c r="AW105" i="54" a="1"/>
  <c r="AW105" i="54" s="1"/>
  <c r="AW101" i="54" a="1"/>
  <c r="AW101" i="54" s="1"/>
  <c r="AW97" i="54" a="1"/>
  <c r="AW97" i="54" s="1"/>
  <c r="AW91" i="54" a="1"/>
  <c r="AW91" i="54" s="1"/>
  <c r="AW87" i="54" a="1"/>
  <c r="AW87" i="54" s="1"/>
  <c r="AW83" i="54" a="1"/>
  <c r="AW83" i="54" s="1"/>
  <c r="AW391" i="54" a="1"/>
  <c r="AW391" i="54" s="1"/>
  <c r="AW374" i="54" a="1"/>
  <c r="AW374" i="54" s="1"/>
  <c r="AW344" i="54" a="1"/>
  <c r="AW344" i="54" s="1"/>
  <c r="AW330" i="54" a="1"/>
  <c r="AW330" i="54" s="1"/>
  <c r="AW325" i="54" a="1"/>
  <c r="AW325" i="54" s="1"/>
  <c r="AW321" i="54" a="1"/>
  <c r="AW321" i="54" s="1"/>
  <c r="AW317" i="54" a="1"/>
  <c r="AW317" i="54" s="1"/>
  <c r="AW311" i="54" a="1"/>
  <c r="AW311" i="54" s="1"/>
  <c r="AW307" i="54" a="1"/>
  <c r="AW307" i="54" s="1"/>
  <c r="AW303" i="54" a="1"/>
  <c r="AW303" i="54" s="1"/>
  <c r="AW300" i="54" a="1"/>
  <c r="AW300" i="54" s="1"/>
  <c r="AW297" i="54" a="1"/>
  <c r="AW297" i="54" s="1"/>
  <c r="AW289" i="54" a="1"/>
  <c r="AW289" i="54" s="1"/>
  <c r="AW286" i="54" a="1"/>
  <c r="AW286" i="54" s="1"/>
  <c r="AW282" i="54" a="1"/>
  <c r="AW282" i="54" s="1"/>
  <c r="AW279" i="54" a="1"/>
  <c r="AW279" i="54" s="1"/>
  <c r="AW275" i="54" a="1"/>
  <c r="AW275" i="54" s="1"/>
  <c r="AW268" i="54" a="1"/>
  <c r="AW268" i="54" s="1"/>
  <c r="AW264" i="54" a="1"/>
  <c r="AW264" i="54" s="1"/>
  <c r="AW259" i="54" a="1"/>
  <c r="AW259" i="54" s="1"/>
  <c r="AW255" i="54" a="1"/>
  <c r="AW255" i="54" s="1"/>
  <c r="AW251" i="54" a="1"/>
  <c r="AW251" i="54" s="1"/>
  <c r="AW247" i="54" a="1"/>
  <c r="AW247" i="54" s="1"/>
  <c r="AW243" i="54" a="1"/>
  <c r="AW243" i="54" s="1"/>
  <c r="AW239" i="54" a="1"/>
  <c r="AW239" i="54" s="1"/>
  <c r="AW235" i="54" a="1"/>
  <c r="AW235" i="54" s="1"/>
  <c r="AW231" i="54" a="1"/>
  <c r="AW231" i="54" s="1"/>
  <c r="AW227" i="54" a="1"/>
  <c r="AW227" i="54" s="1"/>
  <c r="AW223" i="54" a="1"/>
  <c r="AW223" i="54" s="1"/>
  <c r="AW219" i="54" a="1"/>
  <c r="AW219" i="54" s="1"/>
  <c r="AW211" i="54" a="1"/>
  <c r="AW211" i="54" s="1"/>
  <c r="AW208" i="54" a="1"/>
  <c r="AW208" i="54" s="1"/>
  <c r="AW205" i="54" a="1"/>
  <c r="AW205" i="54" s="1"/>
  <c r="AW201" i="54" a="1"/>
  <c r="AW201" i="54" s="1"/>
  <c r="AW197" i="54" a="1"/>
  <c r="AW197" i="54" s="1"/>
  <c r="AW193" i="54" a="1"/>
  <c r="AW193" i="54" s="1"/>
  <c r="AW185" i="54" a="1"/>
  <c r="AW185" i="54" s="1"/>
  <c r="AW181" i="54" a="1"/>
  <c r="AW181" i="54" s="1"/>
  <c r="AW177" i="54" a="1"/>
  <c r="AW177" i="54" s="1"/>
  <c r="AW173" i="54" a="1"/>
  <c r="AW173" i="54" s="1"/>
  <c r="AW165" i="54" a="1"/>
  <c r="AW165" i="54" s="1"/>
  <c r="AW161" i="54" a="1"/>
  <c r="AW161" i="54" s="1"/>
  <c r="AW156" i="54" a="1"/>
  <c r="AW156" i="54" s="1"/>
  <c r="AW152" i="54" a="1"/>
  <c r="AW152" i="54" s="1"/>
  <c r="AW149" i="54" a="1"/>
  <c r="AW149" i="54" s="1"/>
  <c r="AW144" i="54" a="1"/>
  <c r="AW144" i="54" s="1"/>
  <c r="AW140" i="54" a="1"/>
  <c r="AW140" i="54" s="1"/>
  <c r="AW136" i="54" a="1"/>
  <c r="AW136" i="54" s="1"/>
  <c r="AW131" i="54" a="1"/>
  <c r="AW131" i="54" s="1"/>
  <c r="AW127" i="54" a="1"/>
  <c r="AW127" i="54" s="1"/>
  <c r="AW121" i="54" a="1"/>
  <c r="AW121" i="54" s="1"/>
  <c r="AW118" i="54" a="1"/>
  <c r="AW118" i="54" s="1"/>
  <c r="AW114" i="54" a="1"/>
  <c r="AW114" i="54" s="1"/>
  <c r="AW110" i="54" a="1"/>
  <c r="AW110" i="54" s="1"/>
  <c r="AW104" i="54" a="1"/>
  <c r="AW104" i="54" s="1"/>
  <c r="AW100" i="54" a="1"/>
  <c r="AW100" i="54" s="1"/>
  <c r="AW96" i="54" a="1"/>
  <c r="AW96" i="54" s="1"/>
  <c r="AW93" i="54" a="1"/>
  <c r="AW93" i="54" s="1"/>
  <c r="AW90" i="54" a="1"/>
  <c r="AW90" i="54" s="1"/>
  <c r="AW86" i="54" a="1"/>
  <c r="AW86" i="54" s="1"/>
  <c r="AW314" i="54" a="1"/>
  <c r="AW314" i="54" s="1"/>
  <c r="AW285" i="54" a="1"/>
  <c r="AW285" i="54" s="1"/>
  <c r="AW271" i="54" a="1"/>
  <c r="AW271" i="54" s="1"/>
  <c r="AW258" i="54" a="1"/>
  <c r="AW258" i="54" s="1"/>
  <c r="AW242" i="54" a="1"/>
  <c r="AW242" i="54" s="1"/>
  <c r="AW226" i="54" a="1"/>
  <c r="AW226" i="54" s="1"/>
  <c r="AW196" i="54" a="1"/>
  <c r="AW196" i="54" s="1"/>
  <c r="AW180" i="54" a="1"/>
  <c r="AW180" i="54" s="1"/>
  <c r="AW164" i="54" a="1"/>
  <c r="AW164" i="54" s="1"/>
  <c r="AW148" i="54" a="1"/>
  <c r="AW148" i="54" s="1"/>
  <c r="AW120" i="54" a="1"/>
  <c r="AW120" i="54" s="1"/>
  <c r="AW109" i="54" a="1"/>
  <c r="AW109" i="54" s="1"/>
  <c r="AW95" i="54" a="1"/>
  <c r="AW95" i="54" s="1"/>
  <c r="AW82" i="54" a="1"/>
  <c r="AW82" i="54" s="1"/>
  <c r="AW79" i="54" a="1"/>
  <c r="AW79" i="54" s="1"/>
  <c r="AW75" i="54" a="1"/>
  <c r="AW75" i="54" s="1"/>
  <c r="AW71" i="54" a="1"/>
  <c r="AW71" i="54" s="1"/>
  <c r="AW67" i="54" a="1"/>
  <c r="AW67" i="54" s="1"/>
  <c r="AW63" i="54" a="1"/>
  <c r="AW63" i="54" s="1"/>
  <c r="AW55" i="54" a="1"/>
  <c r="AW55" i="54" s="1"/>
  <c r="AW51" i="54" a="1"/>
  <c r="AW51" i="54" s="1"/>
  <c r="AW47" i="54" a="1"/>
  <c r="AW47" i="54" s="1"/>
  <c r="AW43" i="54" a="1"/>
  <c r="AW43" i="54" s="1"/>
  <c r="AW38" i="54" a="1"/>
  <c r="AW38" i="54" s="1"/>
  <c r="AW34" i="54" a="1"/>
  <c r="AW34" i="54" s="1"/>
  <c r="AW30" i="54" a="1"/>
  <c r="AW30" i="54" s="1"/>
  <c r="AW26" i="54" a="1"/>
  <c r="AW26" i="54" s="1"/>
  <c r="AW23" i="54" a="1"/>
  <c r="AW23" i="54" s="1"/>
  <c r="AW19" i="54" a="1"/>
  <c r="AW19" i="54" s="1"/>
  <c r="AM21" i="54" a="1"/>
  <c r="AM21" i="54" s="1"/>
  <c r="AM24" i="54" a="1"/>
  <c r="AM24" i="54" s="1"/>
  <c r="AM27" i="54" a="1"/>
  <c r="AM27" i="54" s="1"/>
  <c r="AM30" i="54" a="1"/>
  <c r="AM30" i="54" s="1"/>
  <c r="AM34" i="54" a="1"/>
  <c r="AM34" i="54" s="1"/>
  <c r="AM37" i="54" a="1"/>
  <c r="AM37" i="54" s="1"/>
  <c r="AM41" i="54" a="1"/>
  <c r="AM41" i="54" s="1"/>
  <c r="AM45" i="54" a="1"/>
  <c r="AM45" i="54" s="1"/>
  <c r="AM48" i="54" a="1"/>
  <c r="AM48" i="54" s="1"/>
  <c r="AM52" i="54" a="1"/>
  <c r="AM52" i="54" s="1"/>
  <c r="AM56" i="54" a="1"/>
  <c r="AM56" i="54" s="1"/>
  <c r="AM63" i="54" a="1"/>
  <c r="AM63" i="54" s="1"/>
  <c r="AM66" i="54" a="1"/>
  <c r="AM66" i="54" s="1"/>
  <c r="AM70" i="54" a="1"/>
  <c r="AM70" i="54" s="1"/>
  <c r="AM74" i="54" a="1"/>
  <c r="AM74" i="54" s="1"/>
  <c r="AM78" i="54" a="1"/>
  <c r="AM78" i="54" s="1"/>
  <c r="AM83" i="54" a="1"/>
  <c r="AM83" i="54" s="1"/>
  <c r="AM86" i="54" a="1"/>
  <c r="AM86" i="54" s="1"/>
  <c r="AM90" i="54" a="1"/>
  <c r="AM90" i="54" s="1"/>
  <c r="AM96" i="54" a="1"/>
  <c r="AM96" i="54" s="1"/>
  <c r="AM99" i="54" a="1"/>
  <c r="AM99" i="54" s="1"/>
  <c r="AM102" i="54" a="1"/>
  <c r="AM102" i="54" s="1"/>
  <c r="AM106" i="54" a="1"/>
  <c r="AM106" i="54" s="1"/>
  <c r="AM107" i="54" a="1"/>
  <c r="AM107" i="54" s="1"/>
  <c r="AM114" i="54" a="1"/>
  <c r="AM114" i="54" s="1"/>
  <c r="AM118" i="54" a="1"/>
  <c r="AM118" i="54" s="1"/>
  <c r="AW324" i="54" a="1"/>
  <c r="AW324" i="54" s="1"/>
  <c r="AW310" i="54" a="1"/>
  <c r="AW310" i="54" s="1"/>
  <c r="AW296" i="54" a="1"/>
  <c r="AW296" i="54" s="1"/>
  <c r="AW238" i="54" a="1"/>
  <c r="AW238" i="54" s="1"/>
  <c r="AW222" i="54" a="1"/>
  <c r="AW222" i="54" s="1"/>
  <c r="AW207" i="54" a="1"/>
  <c r="AW207" i="54" s="1"/>
  <c r="AW192" i="54" a="1"/>
  <c r="AW192" i="54" s="1"/>
  <c r="AW160" i="54" a="1"/>
  <c r="AW160" i="54" s="1"/>
  <c r="AW143" i="54" a="1"/>
  <c r="AW143" i="54" s="1"/>
  <c r="AW130" i="54" a="1"/>
  <c r="AW130" i="54" s="1"/>
  <c r="AW92" i="54" a="1"/>
  <c r="AW92" i="54" s="1"/>
  <c r="AW81" i="54" a="1"/>
  <c r="AW81" i="54" s="1"/>
  <c r="AW78" i="54" a="1"/>
  <c r="AW78" i="54" s="1"/>
  <c r="AW74" i="54" a="1"/>
  <c r="AW74" i="54" s="1"/>
  <c r="AW70" i="54" a="1"/>
  <c r="AW70" i="54" s="1"/>
  <c r="AW66" i="54" a="1"/>
  <c r="AW66" i="54" s="1"/>
  <c r="AW62" i="54" a="1"/>
  <c r="AW62" i="54" s="1"/>
  <c r="AW58" i="54" a="1"/>
  <c r="AW58" i="54" s="1"/>
  <c r="AW54" i="54" a="1"/>
  <c r="AW54" i="54" s="1"/>
  <c r="AW50" i="54" a="1"/>
  <c r="AW50" i="54" s="1"/>
  <c r="AW42" i="54" a="1"/>
  <c r="AW42" i="54" s="1"/>
  <c r="AW41" i="54" a="1"/>
  <c r="AW41" i="54" s="1"/>
  <c r="AW37" i="54" a="1"/>
  <c r="AW37" i="54" s="1"/>
  <c r="AW22" i="54" a="1"/>
  <c r="AW22" i="54" s="1"/>
  <c r="AW18" i="54" a="1"/>
  <c r="AW18" i="54" s="1"/>
  <c r="AM18" i="54" a="1"/>
  <c r="AM18" i="54" s="1"/>
  <c r="AM22" i="54" a="1"/>
  <c r="AM22" i="54" s="1"/>
  <c r="AM25" i="54" a="1"/>
  <c r="AM25" i="54" s="1"/>
  <c r="AM28" i="54" a="1"/>
  <c r="AM28" i="54" s="1"/>
  <c r="AM31" i="54" a="1"/>
  <c r="AM31" i="54" s="1"/>
  <c r="AM35" i="54" a="1"/>
  <c r="AM35" i="54" s="1"/>
  <c r="AM38" i="54" a="1"/>
  <c r="AM38" i="54" s="1"/>
  <c r="AM42" i="54" a="1"/>
  <c r="AM42" i="54" s="1"/>
  <c r="AM49" i="54" a="1"/>
  <c r="AM49" i="54" s="1"/>
  <c r="AM53" i="54" a="1"/>
  <c r="AM53" i="54" s="1"/>
  <c r="AM57" i="54" a="1"/>
  <c r="AM57" i="54" s="1"/>
  <c r="AM60" i="54" a="1"/>
  <c r="AM60" i="54" s="1"/>
  <c r="AM67" i="54" a="1"/>
  <c r="AM67" i="54" s="1"/>
  <c r="AM71" i="54" a="1"/>
  <c r="AM71" i="54" s="1"/>
  <c r="AM75" i="54" a="1"/>
  <c r="AM75" i="54" s="1"/>
  <c r="AM79" i="54" a="1"/>
  <c r="AM79" i="54" s="1"/>
  <c r="AM87" i="54" a="1"/>
  <c r="AM87" i="54" s="1"/>
  <c r="AM91" i="54" a="1"/>
  <c r="AM91" i="54" s="1"/>
  <c r="AM97" i="54" a="1"/>
  <c r="AM97" i="54" s="1"/>
  <c r="AM100" i="54" a="1"/>
  <c r="AM100" i="54" s="1"/>
  <c r="AM103" i="54" a="1"/>
  <c r="AM103" i="54" s="1"/>
  <c r="AM108" i="54" a="1"/>
  <c r="AM108" i="54" s="1"/>
  <c r="AM112" i="54" a="1"/>
  <c r="AM112" i="54" s="1"/>
  <c r="AM115" i="54" a="1"/>
  <c r="AM115" i="54" s="1"/>
  <c r="AM119" i="54" a="1"/>
  <c r="AM119" i="54" s="1"/>
  <c r="AM120" i="54" a="1"/>
  <c r="AM120" i="54" s="1"/>
  <c r="AM128" i="54" a="1"/>
  <c r="AM128" i="54" s="1"/>
  <c r="AW320" i="54" a="1"/>
  <c r="AW320" i="54" s="1"/>
  <c r="AW292" i="54" a="1"/>
  <c r="AW292" i="54" s="1"/>
  <c r="AW278" i="54" a="1"/>
  <c r="AW278" i="54" s="1"/>
  <c r="AW250" i="54" a="1"/>
  <c r="AW250" i="54" s="1"/>
  <c r="AW234" i="54" a="1"/>
  <c r="AW234" i="54" s="1"/>
  <c r="AW218" i="54" a="1"/>
  <c r="AW218" i="54" s="1"/>
  <c r="AW204" i="54" a="1"/>
  <c r="AW204" i="54" s="1"/>
  <c r="AW188" i="54" a="1"/>
  <c r="AW188" i="54" s="1"/>
  <c r="AW172" i="54" a="1"/>
  <c r="AW172" i="54" s="1"/>
  <c r="AW171" i="54" a="1"/>
  <c r="AW171" i="54" s="1"/>
  <c r="AW155" i="54" a="1"/>
  <c r="AW155" i="54" s="1"/>
  <c r="AW139" i="54" a="1"/>
  <c r="AW139" i="54" s="1"/>
  <c r="AW117" i="54" a="1"/>
  <c r="AW117" i="54" s="1"/>
  <c r="AW103" i="54" a="1"/>
  <c r="AW103" i="54" s="1"/>
  <c r="AW89" i="54" a="1"/>
  <c r="AW89" i="54" s="1"/>
  <c r="AW77" i="54" a="1"/>
  <c r="AW77" i="54" s="1"/>
  <c r="AW73" i="54" a="1"/>
  <c r="AW73" i="54" s="1"/>
  <c r="AW69" i="54" a="1"/>
  <c r="AW69" i="54" s="1"/>
  <c r="AW65" i="54" a="1"/>
  <c r="AW65" i="54" s="1"/>
  <c r="AW61" i="54" a="1"/>
  <c r="AW61" i="54" s="1"/>
  <c r="AW57" i="54" a="1"/>
  <c r="AW57" i="54" s="1"/>
  <c r="AW53" i="54" a="1"/>
  <c r="AW53" i="54" s="1"/>
  <c r="AW49" i="54" a="1"/>
  <c r="AW49" i="54" s="1"/>
  <c r="AW45" i="54" a="1"/>
  <c r="AW45" i="54" s="1"/>
  <c r="AW40" i="54" a="1"/>
  <c r="AW40" i="54" s="1"/>
  <c r="AW36" i="54" a="1"/>
  <c r="AW36" i="54" s="1"/>
  <c r="AW32" i="54" a="1"/>
  <c r="AW32" i="54" s="1"/>
  <c r="AW29" i="54" a="1"/>
  <c r="AW29" i="54" s="1"/>
  <c r="AW28" i="54" a="1"/>
  <c r="AW28" i="54" s="1"/>
  <c r="AW25" i="54" a="1"/>
  <c r="AW25" i="54" s="1"/>
  <c r="AW21" i="54" a="1"/>
  <c r="AW21" i="54" s="1"/>
  <c r="AW17" i="54" a="1"/>
  <c r="AW17" i="54" s="1"/>
  <c r="AM16" i="54" a="1"/>
  <c r="AM16" i="54" s="1"/>
  <c r="AM19" i="54" a="1"/>
  <c r="AM19" i="54" s="1"/>
  <c r="AM23" i="54" a="1"/>
  <c r="AM23" i="54" s="1"/>
  <c r="AM32" i="54" a="1"/>
  <c r="AM32" i="54" s="1"/>
  <c r="AM39" i="54" a="1"/>
  <c r="AM39" i="54" s="1"/>
  <c r="AM43" i="54" a="1"/>
  <c r="AM43" i="54" s="1"/>
  <c r="AM50" i="54" a="1"/>
  <c r="AM50" i="54" s="1"/>
  <c r="AM55" i="54" a="1"/>
  <c r="AM55" i="54" s="1"/>
  <c r="AM58" i="54" a="1"/>
  <c r="AM58" i="54" s="1"/>
  <c r="AM61" i="54" a="1"/>
  <c r="AM61" i="54" s="1"/>
  <c r="AM64" i="54" a="1"/>
  <c r="AM64" i="54" s="1"/>
  <c r="AM68" i="54" a="1"/>
  <c r="AM68" i="54" s="1"/>
  <c r="AM76" i="54" a="1"/>
  <c r="AM76" i="54" s="1"/>
  <c r="AM80" i="54" a="1"/>
  <c r="AM80" i="54" s="1"/>
  <c r="AM81" i="54" a="1"/>
  <c r="AM81" i="54" s="1"/>
  <c r="AM84" i="54" a="1"/>
  <c r="AM84" i="54" s="1"/>
  <c r="AM88" i="54" a="1"/>
  <c r="AM88" i="54" s="1"/>
  <c r="AM92" i="54" a="1"/>
  <c r="AM92" i="54" s="1"/>
  <c r="AM94" i="54" a="1"/>
  <c r="AM94" i="54" s="1"/>
  <c r="AM101" i="54" a="1"/>
  <c r="AM101" i="54" s="1"/>
  <c r="AM104" i="54" a="1"/>
  <c r="AM104" i="54" s="1"/>
  <c r="AM109" i="54" a="1"/>
  <c r="AM109" i="54" s="1"/>
  <c r="AM113" i="54" a="1"/>
  <c r="AM113" i="54" s="1"/>
  <c r="AM116" i="54" a="1"/>
  <c r="AM116" i="54" s="1"/>
  <c r="AM121" i="54" a="1"/>
  <c r="AM121" i="54" s="1"/>
  <c r="AM125" i="54" a="1"/>
  <c r="AM125" i="54" s="1"/>
  <c r="AM129" i="54" a="1"/>
  <c r="AM129" i="54" s="1"/>
  <c r="AM132" i="54" a="1"/>
  <c r="AM132" i="54" s="1"/>
  <c r="AM133" i="54" a="1"/>
  <c r="AM133" i="54" s="1"/>
  <c r="AM141" i="54" a="1"/>
  <c r="AM141" i="54" s="1"/>
  <c r="AM145" i="54" a="1"/>
  <c r="AM145" i="54" s="1"/>
  <c r="AM148" i="54" a="1"/>
  <c r="AM148" i="54" s="1"/>
  <c r="AW404" i="54" a="1"/>
  <c r="AW404" i="54" s="1"/>
  <c r="AW68" i="54" a="1"/>
  <c r="AW68" i="54" s="1"/>
  <c r="AW52" i="54" a="1"/>
  <c r="AW52" i="54" s="1"/>
  <c r="AW39" i="54" a="1"/>
  <c r="AW39" i="54" s="1"/>
  <c r="AW16" i="54" a="1"/>
  <c r="AW16" i="54" s="1"/>
  <c r="AM26" i="54" a="1"/>
  <c r="AM26" i="54" s="1"/>
  <c r="AM29" i="54" a="1"/>
  <c r="AM29" i="54" s="1"/>
  <c r="AM47" i="54" a="1"/>
  <c r="AM47" i="54" s="1"/>
  <c r="AM65" i="54" a="1"/>
  <c r="AM65" i="54" s="1"/>
  <c r="AM73" i="54" a="1"/>
  <c r="AM73" i="54" s="1"/>
  <c r="AM110" i="54" a="1"/>
  <c r="AM110" i="54" s="1"/>
  <c r="AM127" i="54" a="1"/>
  <c r="AM127" i="54" s="1"/>
  <c r="AM138" i="54" a="1"/>
  <c r="AM138" i="54" s="1"/>
  <c r="AM143" i="54" a="1"/>
  <c r="AM143" i="54" s="1"/>
  <c r="AM147" i="54" a="1"/>
  <c r="AM147" i="54" s="1"/>
  <c r="AM152" i="54" a="1"/>
  <c r="AM152" i="54" s="1"/>
  <c r="AM156" i="54" a="1"/>
  <c r="AM156" i="54" s="1"/>
  <c r="AM160" i="54" a="1"/>
  <c r="AM160" i="54" s="1"/>
  <c r="AM164" i="54" a="1"/>
  <c r="AM164" i="54" s="1"/>
  <c r="AM168" i="54" a="1"/>
  <c r="AM168" i="54" s="1"/>
  <c r="AM172" i="54" a="1"/>
  <c r="AM172" i="54" s="1"/>
  <c r="AM180" i="54" a="1"/>
  <c r="AM180" i="54" s="1"/>
  <c r="AM184" i="54" a="1"/>
  <c r="AM184" i="54" s="1"/>
  <c r="AM187" i="54" a="1"/>
  <c r="AM187" i="54" s="1"/>
  <c r="AM191" i="54" a="1"/>
  <c r="AM191" i="54" s="1"/>
  <c r="AM195" i="54" a="1"/>
  <c r="AM195" i="54" s="1"/>
  <c r="AM201" i="54" a="1"/>
  <c r="AM201" i="54" s="1"/>
  <c r="AM205" i="54" a="1"/>
  <c r="AM205" i="54" s="1"/>
  <c r="AM209" i="54" a="1"/>
  <c r="AM209" i="54" s="1"/>
  <c r="AM216" i="54" a="1"/>
  <c r="AM216" i="54" s="1"/>
  <c r="AM220" i="54" a="1"/>
  <c r="AM220" i="54" s="1"/>
  <c r="AM225" i="54" a="1"/>
  <c r="AM225" i="54" s="1"/>
  <c r="AM229" i="54" a="1"/>
  <c r="AM229" i="54" s="1"/>
  <c r="AM236" i="54" a="1"/>
  <c r="AM236" i="54" s="1"/>
  <c r="AM237" i="54" a="1"/>
  <c r="AM237" i="54" s="1"/>
  <c r="AM245" i="54" a="1"/>
  <c r="AM245" i="54" s="1"/>
  <c r="AM249" i="54" a="1"/>
  <c r="AM249" i="54" s="1"/>
  <c r="AM252" i="54" a="1"/>
  <c r="AM252" i="54" s="1"/>
  <c r="AM255" i="54" a="1"/>
  <c r="AM255" i="54" s="1"/>
  <c r="AM259" i="54" a="1"/>
  <c r="AM259" i="54" s="1"/>
  <c r="AM266" i="54" a="1"/>
  <c r="AM266" i="54" s="1"/>
  <c r="AM270" i="54" a="1"/>
  <c r="AM270" i="54" s="1"/>
  <c r="AM274" i="54" a="1"/>
  <c r="AM274" i="54" s="1"/>
  <c r="AM279" i="54" a="1"/>
  <c r="AM279" i="54" s="1"/>
  <c r="AM283" i="54" a="1"/>
  <c r="AM283" i="54" s="1"/>
  <c r="AM287" i="54" a="1"/>
  <c r="AM287" i="54" s="1"/>
  <c r="AM291" i="54" a="1"/>
  <c r="AM291" i="54" s="1"/>
  <c r="AM295" i="54" a="1"/>
  <c r="AM295" i="54" s="1"/>
  <c r="AM299" i="54" a="1"/>
  <c r="AM299" i="54" s="1"/>
  <c r="AM303" i="54" a="1"/>
  <c r="AM303" i="54" s="1"/>
  <c r="AM307" i="54" a="1"/>
  <c r="AM307" i="54" s="1"/>
  <c r="AM311" i="54" a="1"/>
  <c r="AM311" i="54" s="1"/>
  <c r="AW387" i="54" a="1"/>
  <c r="AW387" i="54" s="1"/>
  <c r="AW184" i="54" a="1"/>
  <c r="AW184" i="54" s="1"/>
  <c r="AW168" i="54" a="1"/>
  <c r="AW168" i="54" s="1"/>
  <c r="AW151" i="54" a="1"/>
  <c r="AW151" i="54" s="1"/>
  <c r="AW135" i="54" a="1"/>
  <c r="AW135" i="54" s="1"/>
  <c r="AW113" i="54" a="1"/>
  <c r="AW113" i="54" s="1"/>
  <c r="AW99" i="54" a="1"/>
  <c r="AW99" i="54" s="1"/>
  <c r="AW80" i="54" a="1"/>
  <c r="AW80" i="54" s="1"/>
  <c r="AW64" i="54" a="1"/>
  <c r="AW64" i="54" s="1"/>
  <c r="AW48" i="54" a="1"/>
  <c r="AW48" i="54" s="1"/>
  <c r="AW35" i="54" a="1"/>
  <c r="AW35" i="54" s="1"/>
  <c r="AW27" i="54" a="1"/>
  <c r="AW27" i="54" s="1"/>
  <c r="AM17" i="54" a="1"/>
  <c r="AM17" i="54" s="1"/>
  <c r="AM51" i="54" a="1"/>
  <c r="AM51" i="54" s="1"/>
  <c r="AM77" i="54" a="1"/>
  <c r="AM77" i="54" s="1"/>
  <c r="AM89" i="54" a="1"/>
  <c r="AM89" i="54" s="1"/>
  <c r="AM122" i="54" a="1"/>
  <c r="AM122" i="54" s="1"/>
  <c r="AM130" i="54" a="1"/>
  <c r="AM130" i="54" s="1"/>
  <c r="AM134" i="54" a="1"/>
  <c r="AM134" i="54" s="1"/>
  <c r="AM139" i="54" a="1"/>
  <c r="AM139" i="54" s="1"/>
  <c r="AM144" i="54" a="1"/>
  <c r="AM144" i="54" s="1"/>
  <c r="AM149" i="54" a="1"/>
  <c r="AM149" i="54" s="1"/>
  <c r="AM153" i="54" a="1"/>
  <c r="AM153" i="54" s="1"/>
  <c r="AM157" i="54" a="1"/>
  <c r="AM157" i="54" s="1"/>
  <c r="AM161" i="54" a="1"/>
  <c r="AM161" i="54" s="1"/>
  <c r="AM165" i="54" a="1"/>
  <c r="AM165" i="54" s="1"/>
  <c r="AM169" i="54" a="1"/>
  <c r="AM169" i="54" s="1"/>
  <c r="AM173" i="54" a="1"/>
  <c r="AM173" i="54" s="1"/>
  <c r="AM177" i="54" a="1"/>
  <c r="AM177" i="54" s="1"/>
  <c r="AM181" i="54" a="1"/>
  <c r="AM181" i="54" s="1"/>
  <c r="AM188" i="54" a="1"/>
  <c r="AM188" i="54" s="1"/>
  <c r="AM192" i="54" a="1"/>
  <c r="AM192" i="54" s="1"/>
  <c r="AM196" i="54" a="1"/>
  <c r="AM196" i="54" s="1"/>
  <c r="AM198" i="54" a="1"/>
  <c r="AM198" i="54" s="1"/>
  <c r="AM206" i="54" a="1"/>
  <c r="AM206" i="54" s="1"/>
  <c r="AM210" i="54" a="1"/>
  <c r="AM210" i="54" s="1"/>
  <c r="AM213" i="54" a="1"/>
  <c r="AM213" i="54" s="1"/>
  <c r="AM217" i="54" a="1"/>
  <c r="AM217" i="54" s="1"/>
  <c r="AM221" i="54" a="1"/>
  <c r="AM221" i="54" s="1"/>
  <c r="AM226" i="54" a="1"/>
  <c r="AM226" i="54" s="1"/>
  <c r="AM230" i="54" a="1"/>
  <c r="AM230" i="54" s="1"/>
  <c r="AM233" i="54" a="1"/>
  <c r="AM233" i="54" s="1"/>
  <c r="AM238" i="54" a="1"/>
  <c r="AM238" i="54" s="1"/>
  <c r="AM242" i="54" a="1"/>
  <c r="AM242" i="54" s="1"/>
  <c r="AM246" i="54" a="1"/>
  <c r="AM246" i="54" s="1"/>
  <c r="AM256" i="54" a="1"/>
  <c r="AM256" i="54" s="1"/>
  <c r="AM260" i="54" a="1"/>
  <c r="AM260" i="54" s="1"/>
  <c r="AM263" i="54" a="1"/>
  <c r="AM263" i="54" s="1"/>
  <c r="AM271" i="54" a="1"/>
  <c r="AM271" i="54" s="1"/>
  <c r="AM275" i="54" a="1"/>
  <c r="AM275" i="54" s="1"/>
  <c r="AM276" i="54" a="1"/>
  <c r="AM276" i="54" s="1"/>
  <c r="AM284" i="54" a="1"/>
  <c r="AM284" i="54" s="1"/>
  <c r="AM288" i="54" a="1"/>
  <c r="AM288" i="54" s="1"/>
  <c r="AM292" i="54" a="1"/>
  <c r="AM292" i="54" s="1"/>
  <c r="AM296" i="54" a="1"/>
  <c r="AM296" i="54" s="1"/>
  <c r="AM300" i="54" a="1"/>
  <c r="AM300" i="54" s="1"/>
  <c r="AM304" i="54" a="1"/>
  <c r="AM304" i="54" s="1"/>
  <c r="AM308" i="54" a="1"/>
  <c r="AM308" i="54" s="1"/>
  <c r="AM312" i="54" a="1"/>
  <c r="AM312" i="54" s="1"/>
  <c r="AM316" i="54" a="1"/>
  <c r="AM316" i="54" s="1"/>
  <c r="AM320" i="54" a="1"/>
  <c r="AM320" i="54" s="1"/>
  <c r="AM324" i="54" a="1"/>
  <c r="AM324" i="54" s="1"/>
  <c r="AM328" i="54" a="1"/>
  <c r="AM328" i="54" s="1"/>
  <c r="AM336" i="54" a="1"/>
  <c r="AM336" i="54" s="1"/>
  <c r="AM340" i="54" a="1"/>
  <c r="AM340" i="54" s="1"/>
  <c r="AM341" i="54" a="1"/>
  <c r="AM341" i="54" s="1"/>
  <c r="AM351" i="54" a="1"/>
  <c r="AM351" i="54" s="1"/>
  <c r="AW370" i="54" a="1"/>
  <c r="AW370" i="54" s="1"/>
  <c r="AW274" i="54" a="1"/>
  <c r="AW274" i="54" s="1"/>
  <c r="AW262" i="54" a="1"/>
  <c r="AW262" i="54" s="1"/>
  <c r="AW246" i="54" a="1"/>
  <c r="AW246" i="54" s="1"/>
  <c r="AW230" i="54" a="1"/>
  <c r="AW230" i="54" s="1"/>
  <c r="AW214" i="54" a="1"/>
  <c r="AW214" i="54" s="1"/>
  <c r="AW200" i="54" a="1"/>
  <c r="AW200" i="54" s="1"/>
  <c r="AW76" i="54" a="1"/>
  <c r="AW76" i="54" s="1"/>
  <c r="AW60" i="54" a="1"/>
  <c r="AW60" i="54" s="1"/>
  <c r="AW44" i="54" a="1"/>
  <c r="AW44" i="54" s="1"/>
  <c r="AW31" i="54" a="1"/>
  <c r="AW31" i="54" s="1"/>
  <c r="AW24" i="54" a="1"/>
  <c r="AW24" i="54" s="1"/>
  <c r="AM36" i="54" a="1"/>
  <c r="AM36" i="54" s="1"/>
  <c r="AM54" i="54" a="1"/>
  <c r="AM54" i="54" s="1"/>
  <c r="AM93" i="54" a="1"/>
  <c r="AM93" i="54" s="1"/>
  <c r="AM105" i="54" a="1"/>
  <c r="AM105" i="54" s="1"/>
  <c r="AM117" i="54" a="1"/>
  <c r="AM117" i="54" s="1"/>
  <c r="AM123" i="54" a="1"/>
  <c r="AM123" i="54" s="1"/>
  <c r="AM131" i="54" a="1"/>
  <c r="AM131" i="54" s="1"/>
  <c r="AM135" i="54" a="1"/>
  <c r="AM135" i="54" s="1"/>
  <c r="AM140" i="54" a="1"/>
  <c r="AM140" i="54" s="1"/>
  <c r="AM154" i="54" a="1"/>
  <c r="AM154" i="54" s="1"/>
  <c r="AM158" i="54" a="1"/>
  <c r="AM158" i="54" s="1"/>
  <c r="AM162" i="54" a="1"/>
  <c r="AM162" i="54" s="1"/>
  <c r="AM166" i="54" a="1"/>
  <c r="AM166" i="54" s="1"/>
  <c r="AM170" i="54" a="1"/>
  <c r="AM170" i="54" s="1"/>
  <c r="AM174" i="54" a="1"/>
  <c r="AM174" i="54" s="1"/>
  <c r="AM178" i="54" a="1"/>
  <c r="AM178" i="54" s="1"/>
  <c r="AM182" i="54" a="1"/>
  <c r="AM182" i="54" s="1"/>
  <c r="AM185" i="54" a="1"/>
  <c r="AM185" i="54" s="1"/>
  <c r="AM193" i="54" a="1"/>
  <c r="AM193" i="54" s="1"/>
  <c r="AM197" i="54" a="1"/>
  <c r="AM197" i="54" s="1"/>
  <c r="AM199" i="54" a="1"/>
  <c r="AM199" i="54" s="1"/>
  <c r="AM203" i="54" a="1"/>
  <c r="AM203" i="54" s="1"/>
  <c r="AM207" i="54" a="1"/>
  <c r="AM207" i="54" s="1"/>
  <c r="AM211" i="54" a="1"/>
  <c r="AM211" i="54" s="1"/>
  <c r="AM214" i="54" a="1"/>
  <c r="AM214" i="54" s="1"/>
  <c r="AM218" i="54" a="1"/>
  <c r="AM218" i="54" s="1"/>
  <c r="AM222" i="54" a="1"/>
  <c r="AM222" i="54" s="1"/>
  <c r="AM227" i="54" a="1"/>
  <c r="AM227" i="54" s="1"/>
  <c r="AM231" i="54" a="1"/>
  <c r="AM231" i="54" s="1"/>
  <c r="AM234" i="54" a="1"/>
  <c r="AM234" i="54" s="1"/>
  <c r="AM239" i="54" a="1"/>
  <c r="AM239" i="54" s="1"/>
  <c r="AM243" i="54" a="1"/>
  <c r="AM243" i="54" s="1"/>
  <c r="AM247" i="54" a="1"/>
  <c r="AM247" i="54" s="1"/>
  <c r="AM250" i="54" a="1"/>
  <c r="AM250" i="54" s="1"/>
  <c r="AM253" i="54" a="1"/>
  <c r="AM253" i="54" s="1"/>
  <c r="AM257" i="54" a="1"/>
  <c r="AM257" i="54" s="1"/>
  <c r="AM261" i="54" a="1"/>
  <c r="AM261" i="54" s="1"/>
  <c r="AM264" i="54" a="1"/>
  <c r="AM264" i="54" s="1"/>
  <c r="AM268" i="54" a="1"/>
  <c r="AM268" i="54" s="1"/>
  <c r="AM272" i="54" a="1"/>
  <c r="AM272" i="54" s="1"/>
  <c r="AM277" i="54" a="1"/>
  <c r="AM277" i="54" s="1"/>
  <c r="AM281" i="54" a="1"/>
  <c r="AM281" i="54" s="1"/>
  <c r="AM285" i="54" a="1"/>
  <c r="AM285" i="54" s="1"/>
  <c r="AM289" i="54" a="1"/>
  <c r="AM289" i="54" s="1"/>
  <c r="AM297" i="54" a="1"/>
  <c r="AM297" i="54" s="1"/>
  <c r="AM301" i="54" a="1"/>
  <c r="AM301" i="54" s="1"/>
  <c r="AM305" i="54" a="1"/>
  <c r="AM305" i="54" s="1"/>
  <c r="AM309" i="54" a="1"/>
  <c r="AM309" i="54" s="1"/>
  <c r="AM313" i="54" a="1"/>
  <c r="AM313" i="54" s="1"/>
  <c r="AM62" i="54" a="1"/>
  <c r="AM62" i="54" s="1"/>
  <c r="AM69" i="54" a="1"/>
  <c r="AM69" i="54" s="1"/>
  <c r="AM82" i="54" a="1"/>
  <c r="AM82" i="54" s="1"/>
  <c r="AM95" i="54" a="1"/>
  <c r="AM95" i="54" s="1"/>
  <c r="AM146" i="54" a="1"/>
  <c r="AM146" i="54" s="1"/>
  <c r="AM179" i="54" a="1"/>
  <c r="AM179" i="54" s="1"/>
  <c r="AM194" i="54" a="1"/>
  <c r="AM194" i="54" s="1"/>
  <c r="AM208" i="54" a="1"/>
  <c r="AM208" i="54" s="1"/>
  <c r="AM223" i="54" a="1"/>
  <c r="AM223" i="54" s="1"/>
  <c r="AM224" i="54" a="1"/>
  <c r="AM224" i="54" s="1"/>
  <c r="AM240" i="54" a="1"/>
  <c r="AM240" i="54" s="1"/>
  <c r="AM269" i="54" a="1"/>
  <c r="AM269" i="54" s="1"/>
  <c r="AM286" i="54" a="1"/>
  <c r="AM286" i="54" s="1"/>
  <c r="AM302" i="54" a="1"/>
  <c r="AM302" i="54" s="1"/>
  <c r="AM325" i="54" a="1"/>
  <c r="AM325" i="54" s="1"/>
  <c r="AM330" i="54" a="1"/>
  <c r="AM330" i="54" s="1"/>
  <c r="AM335" i="54" a="1"/>
  <c r="AM335" i="54" s="1"/>
  <c r="AM342" i="54" a="1"/>
  <c r="AM342" i="54" s="1"/>
  <c r="AM347" i="54" a="1"/>
  <c r="AM347" i="54" s="1"/>
  <c r="AM354" i="54" a="1"/>
  <c r="AM354" i="54" s="1"/>
  <c r="AM362" i="54" a="1"/>
  <c r="AM362" i="54" s="1"/>
  <c r="AM366" i="54" a="1"/>
  <c r="AM366" i="54" s="1"/>
  <c r="AM367" i="54" a="1"/>
  <c r="AM367" i="54" s="1"/>
  <c r="AM374" i="54" a="1"/>
  <c r="AM374" i="54" s="1"/>
  <c r="AM377" i="54" a="1"/>
  <c r="AM377" i="54" s="1"/>
  <c r="AM381" i="54" a="1"/>
  <c r="AM381" i="54" s="1"/>
  <c r="AM385" i="54" a="1"/>
  <c r="AM385" i="54" s="1"/>
  <c r="AM392" i="54" a="1"/>
  <c r="AM392" i="54" s="1"/>
  <c r="AM396" i="54" a="1"/>
  <c r="AM396" i="54" s="1"/>
  <c r="AM399" i="54" a="1"/>
  <c r="AM399" i="54" s="1"/>
  <c r="AM403" i="54" a="1"/>
  <c r="AM403" i="54" s="1"/>
  <c r="AC405" i="54" a="1"/>
  <c r="AC405" i="54" s="1"/>
  <c r="AW354" i="54" a="1"/>
  <c r="AW354" i="54" s="1"/>
  <c r="AM136" i="54" a="1"/>
  <c r="AM136" i="54" s="1"/>
  <c r="AM151" i="54" a="1"/>
  <c r="AM151" i="54" s="1"/>
  <c r="AM167" i="54" a="1"/>
  <c r="AM167" i="54" s="1"/>
  <c r="AM183" i="54" a="1"/>
  <c r="AM183" i="54" s="1"/>
  <c r="AM212" i="54" a="1"/>
  <c r="AM212" i="54" s="1"/>
  <c r="AM244" i="54" a="1"/>
  <c r="AM244" i="54" s="1"/>
  <c r="AM258" i="54" a="1"/>
  <c r="AM258" i="54" s="1"/>
  <c r="AM273" i="54" a="1"/>
  <c r="AM273" i="54" s="1"/>
  <c r="AM290" i="54" a="1"/>
  <c r="AM290" i="54" s="1"/>
  <c r="AM315" i="54" a="1"/>
  <c r="AM315" i="54" s="1"/>
  <c r="AM321" i="54" a="1"/>
  <c r="AM321" i="54" s="1"/>
  <c r="AM326" i="54" a="1"/>
  <c r="AM326" i="54" s="1"/>
  <c r="AM331" i="54" a="1"/>
  <c r="AM331" i="54" s="1"/>
  <c r="AM337" i="54" a="1"/>
  <c r="AM337" i="54" s="1"/>
  <c r="AM343" i="54" a="1"/>
  <c r="AM343" i="54" s="1"/>
  <c r="AM348" i="54" a="1"/>
  <c r="AM348" i="54" s="1"/>
  <c r="AM352" i="54" a="1"/>
  <c r="AM352" i="54" s="1"/>
  <c r="AM355" i="54" a="1"/>
  <c r="AM355" i="54" s="1"/>
  <c r="AM359" i="54" a="1"/>
  <c r="AM359" i="54" s="1"/>
  <c r="AM363" i="54" a="1"/>
  <c r="AM363" i="54" s="1"/>
  <c r="AM368" i="54" a="1"/>
  <c r="AM368" i="54" s="1"/>
  <c r="AM375" i="54" a="1"/>
  <c r="AM375" i="54" s="1"/>
  <c r="AM378" i="54" a="1"/>
  <c r="AM378" i="54" s="1"/>
  <c r="AM382" i="54" a="1"/>
  <c r="AM382" i="54" s="1"/>
  <c r="AM386" i="54" a="1"/>
  <c r="AM386" i="54" s="1"/>
  <c r="AM389" i="54" a="1"/>
  <c r="AM389" i="54" s="1"/>
  <c r="AM393" i="54" a="1"/>
  <c r="AM393" i="54" s="1"/>
  <c r="AM400" i="54" a="1"/>
  <c r="AM400" i="54" s="1"/>
  <c r="AM404" i="54" a="1"/>
  <c r="AM404" i="54" s="1"/>
  <c r="AW316" i="54" a="1"/>
  <c r="AW316" i="54" s="1"/>
  <c r="AW56" i="54" a="1"/>
  <c r="AW56" i="54" s="1"/>
  <c r="AM126" i="54" a="1"/>
  <c r="AM126" i="54" s="1"/>
  <c r="AM142" i="54" a="1"/>
  <c r="AM142" i="54" s="1"/>
  <c r="AM155" i="54" a="1"/>
  <c r="AM155" i="54" s="1"/>
  <c r="AM171" i="54" a="1"/>
  <c r="AM171" i="54" s="1"/>
  <c r="AM186" i="54" a="1"/>
  <c r="AM186" i="54" s="1"/>
  <c r="AM200" i="54" a="1"/>
  <c r="AM200" i="54" s="1"/>
  <c r="AM232" i="54" a="1"/>
  <c r="AM232" i="54" s="1"/>
  <c r="AM248" i="54" a="1"/>
  <c r="AM248" i="54" s="1"/>
  <c r="AM262" i="54" a="1"/>
  <c r="AM262" i="54" s="1"/>
  <c r="AM278" i="54" a="1"/>
  <c r="AM278" i="54" s="1"/>
  <c r="AM294" i="54" a="1"/>
  <c r="AM294" i="54" s="1"/>
  <c r="AM310" i="54" a="1"/>
  <c r="AM310" i="54" s="1"/>
  <c r="AM317" i="54" a="1"/>
  <c r="AM317" i="54" s="1"/>
  <c r="AM322" i="54" a="1"/>
  <c r="AM322" i="54" s="1"/>
  <c r="AM327" i="54" a="1"/>
  <c r="AM327" i="54" s="1"/>
  <c r="AM333" i="54" a="1"/>
  <c r="AM333" i="54" s="1"/>
  <c r="AM338" i="54" a="1"/>
  <c r="AM338" i="54" s="1"/>
  <c r="AM344" i="54" a="1"/>
  <c r="AM344" i="54" s="1"/>
  <c r="AM349" i="54" a="1"/>
  <c r="AM349" i="54" s="1"/>
  <c r="AM353" i="54" a="1"/>
  <c r="AM353" i="54" s="1"/>
  <c r="AM356" i="54" a="1"/>
  <c r="AM356" i="54" s="1"/>
  <c r="AM360" i="54" a="1"/>
  <c r="AM360" i="54" s="1"/>
  <c r="AM364" i="54" a="1"/>
  <c r="AM364" i="54" s="1"/>
  <c r="AM369" i="54" a="1"/>
  <c r="AM369" i="54" s="1"/>
  <c r="AM372" i="54" a="1"/>
  <c r="AM372" i="54" s="1"/>
  <c r="AM376" i="54" a="1"/>
  <c r="AM376" i="54" s="1"/>
  <c r="AM379" i="54" a="1"/>
  <c r="AM379" i="54" s="1"/>
  <c r="AM383" i="54" a="1"/>
  <c r="AM383" i="54" s="1"/>
  <c r="AM387" i="54" a="1"/>
  <c r="AM387" i="54" s="1"/>
  <c r="AM390" i="54" a="1"/>
  <c r="AM390" i="54" s="1"/>
  <c r="AM394" i="54" a="1"/>
  <c r="AM394" i="54" s="1"/>
  <c r="AM401" i="54" a="1"/>
  <c r="AM401" i="54" s="1"/>
  <c r="AM405" i="54" a="1"/>
  <c r="AM405" i="54" s="1"/>
  <c r="AC404" i="54" a="1"/>
  <c r="AC404" i="54" s="1"/>
  <c r="AC402" i="54" a="1"/>
  <c r="AC402" i="54" s="1"/>
  <c r="AC400" i="54" a="1"/>
  <c r="AC400" i="54" s="1"/>
  <c r="AC398" i="54" a="1"/>
  <c r="AC398" i="54" s="1"/>
  <c r="AC396" i="54" a="1"/>
  <c r="AC396" i="54" s="1"/>
  <c r="AC394" i="54" a="1"/>
  <c r="AC394" i="54" s="1"/>
  <c r="AW302" i="54" a="1"/>
  <c r="AW302" i="54" s="1"/>
  <c r="AM44" i="54" a="1"/>
  <c r="AM44" i="54" s="1"/>
  <c r="AM159" i="54" a="1"/>
  <c r="AM159" i="54" s="1"/>
  <c r="AM175" i="54" a="1"/>
  <c r="AM175" i="54" s="1"/>
  <c r="AM190" i="54" a="1"/>
  <c r="AM190" i="54" s="1"/>
  <c r="AM204" i="54" a="1"/>
  <c r="AM204" i="54" s="1"/>
  <c r="AM219" i="54" a="1"/>
  <c r="AM219" i="54" s="1"/>
  <c r="AM235" i="54" a="1"/>
  <c r="AM235" i="54" s="1"/>
  <c r="AM329" i="54" a="1"/>
  <c r="AM329" i="54" s="1"/>
  <c r="AM346" i="54" a="1"/>
  <c r="AM346" i="54" s="1"/>
  <c r="AM391" i="54" a="1"/>
  <c r="AM391" i="54" s="1"/>
  <c r="AM402" i="54" a="1"/>
  <c r="AM402" i="54" s="1"/>
  <c r="AC392" i="54" a="1"/>
  <c r="AC392" i="54" s="1"/>
  <c r="AC387" i="54" a="1"/>
  <c r="AC387" i="54" s="1"/>
  <c r="AC379" i="54" a="1"/>
  <c r="AC379" i="54" s="1"/>
  <c r="AC377" i="54" a="1"/>
  <c r="AC377" i="54" s="1"/>
  <c r="AC375" i="54" a="1"/>
  <c r="AC375" i="54" s="1"/>
  <c r="AC373" i="54" a="1"/>
  <c r="AC373" i="54" s="1"/>
  <c r="AC369" i="54" a="1"/>
  <c r="AC369" i="54" s="1"/>
  <c r="AC367" i="54" a="1"/>
  <c r="AC367" i="54" s="1"/>
  <c r="AC365" i="54" a="1"/>
  <c r="AC365" i="54" s="1"/>
  <c r="AC363" i="54" a="1"/>
  <c r="AC363" i="54" s="1"/>
  <c r="AC361" i="54" a="1"/>
  <c r="AC361" i="54" s="1"/>
  <c r="AC359" i="54" a="1"/>
  <c r="AC359" i="54" s="1"/>
  <c r="AC357" i="54" a="1"/>
  <c r="AC357" i="54" s="1"/>
  <c r="AC355" i="54" a="1"/>
  <c r="AC355" i="54" s="1"/>
  <c r="AC342" i="54" a="1"/>
  <c r="AC342" i="54" s="1"/>
  <c r="AC340" i="54" a="1"/>
  <c r="AC340" i="54" s="1"/>
  <c r="AC338" i="54" a="1"/>
  <c r="AC338" i="54" s="1"/>
  <c r="AC336" i="54" a="1"/>
  <c r="AC336" i="54" s="1"/>
  <c r="AC334" i="54" a="1"/>
  <c r="AC334" i="54" s="1"/>
  <c r="AC330" i="54" a="1"/>
  <c r="AC330" i="54" s="1"/>
  <c r="AC328" i="54" a="1"/>
  <c r="AC328" i="54" s="1"/>
  <c r="AC326" i="54" a="1"/>
  <c r="AC326" i="54" s="1"/>
  <c r="AC324" i="54" a="1"/>
  <c r="AC324" i="54" s="1"/>
  <c r="AC322" i="54" a="1"/>
  <c r="AC322" i="54" s="1"/>
  <c r="AC320" i="54" a="1"/>
  <c r="AC320" i="54" s="1"/>
  <c r="AC318" i="54" a="1"/>
  <c r="AC318" i="54" s="1"/>
  <c r="AC316" i="54" a="1"/>
  <c r="AC316" i="54" s="1"/>
  <c r="AC301" i="54" a="1"/>
  <c r="AC301" i="54" s="1"/>
  <c r="AC299" i="54" a="1"/>
  <c r="AC299" i="54" s="1"/>
  <c r="AC297" i="54" a="1"/>
  <c r="AC297" i="54" s="1"/>
  <c r="AC295" i="54" a="1"/>
  <c r="AC295" i="54" s="1"/>
  <c r="AC291" i="54" a="1"/>
  <c r="AC291" i="54" s="1"/>
  <c r="AC289" i="54" a="1"/>
  <c r="AC289" i="54" s="1"/>
  <c r="AC288" i="54" a="1"/>
  <c r="AC288" i="54" s="1"/>
  <c r="AC286" i="54" a="1"/>
  <c r="AC286" i="54" s="1"/>
  <c r="AC284" i="54" a="1"/>
  <c r="AC284" i="54" s="1"/>
  <c r="AC282" i="54" a="1"/>
  <c r="AC282" i="54" s="1"/>
  <c r="AC278" i="54" a="1"/>
  <c r="AC278" i="54" s="1"/>
  <c r="AC276" i="54" a="1"/>
  <c r="AC276" i="54" s="1"/>
  <c r="AM318" i="54" a="1"/>
  <c r="AM318" i="54" s="1"/>
  <c r="AM334" i="54" a="1"/>
  <c r="AM334" i="54" s="1"/>
  <c r="AM350" i="54" a="1"/>
  <c r="AM350" i="54" s="1"/>
  <c r="AM357" i="54" a="1"/>
  <c r="AM357" i="54" s="1"/>
  <c r="AM370" i="54" a="1"/>
  <c r="AM370" i="54" s="1"/>
  <c r="AM380" i="54" a="1"/>
  <c r="AM380" i="54" s="1"/>
  <c r="AC403" i="54" a="1"/>
  <c r="AC403" i="54" s="1"/>
  <c r="AC399" i="54" a="1"/>
  <c r="AC399" i="54" s="1"/>
  <c r="AC395" i="54" a="1"/>
  <c r="AC395" i="54" s="1"/>
  <c r="AC389" i="54" a="1"/>
  <c r="AC389" i="54" s="1"/>
  <c r="AC386" i="54" a="1"/>
  <c r="AC386" i="54" s="1"/>
  <c r="AC381" i="54" a="1"/>
  <c r="AC381" i="54" s="1"/>
  <c r="AC353" i="54" a="1"/>
  <c r="AC353" i="54" s="1"/>
  <c r="AC351" i="54" a="1"/>
  <c r="AC351" i="54" s="1"/>
  <c r="AC349" i="54" a="1"/>
  <c r="AC349" i="54" s="1"/>
  <c r="AC347" i="54" a="1"/>
  <c r="AC347" i="54" s="1"/>
  <c r="AC343" i="54" a="1"/>
  <c r="AC343" i="54" s="1"/>
  <c r="AC314" i="54" a="1"/>
  <c r="AC314" i="54" s="1"/>
  <c r="AC312" i="54" a="1"/>
  <c r="AC312" i="54" s="1"/>
  <c r="AC310" i="54" a="1"/>
  <c r="AC310" i="54" s="1"/>
  <c r="AC308" i="54" a="1"/>
  <c r="AC308" i="54" s="1"/>
  <c r="AC304" i="54" a="1"/>
  <c r="AC304" i="54" s="1"/>
  <c r="AC302" i="54" a="1"/>
  <c r="AC302" i="54" s="1"/>
  <c r="AC261" i="54" a="1"/>
  <c r="AC261" i="54" s="1"/>
  <c r="AC259" i="54" a="1"/>
  <c r="AC259" i="54" s="1"/>
  <c r="AC257" i="54" a="1"/>
  <c r="AC257" i="54" s="1"/>
  <c r="AC255" i="54" a="1"/>
  <c r="AC255" i="54" s="1"/>
  <c r="AC253" i="54" a="1"/>
  <c r="AC253" i="54" s="1"/>
  <c r="AC251" i="54" a="1"/>
  <c r="AC251" i="54" s="1"/>
  <c r="AC244" i="54" a="1"/>
  <c r="AC244" i="54" s="1"/>
  <c r="AC242" i="54" a="1"/>
  <c r="AC242" i="54" s="1"/>
  <c r="AC240" i="54" a="1"/>
  <c r="AC240" i="54" s="1"/>
  <c r="AC238" i="54" a="1"/>
  <c r="AC238" i="54" s="1"/>
  <c r="AC223" i="54" a="1"/>
  <c r="AC223" i="54" s="1"/>
  <c r="AC221" i="54" a="1"/>
  <c r="AC221" i="54" s="1"/>
  <c r="AC219" i="54" a="1"/>
  <c r="AC219" i="54" s="1"/>
  <c r="AC217" i="54" a="1"/>
  <c r="AC217" i="54" s="1"/>
  <c r="AC213" i="54" a="1"/>
  <c r="AC213" i="54" s="1"/>
  <c r="AC211" i="54" a="1"/>
  <c r="AC211" i="54" s="1"/>
  <c r="AC200" i="54" a="1"/>
  <c r="AC200" i="54" s="1"/>
  <c r="AC198" i="54" a="1"/>
  <c r="AC198" i="54" s="1"/>
  <c r="AM323" i="54" a="1"/>
  <c r="AM323" i="54" s="1"/>
  <c r="AM339" i="54" a="1"/>
  <c r="AM339" i="54" s="1"/>
  <c r="AM361" i="54" a="1"/>
  <c r="AM361" i="54" s="1"/>
  <c r="AM373" i="54" a="1"/>
  <c r="AM373" i="54" s="1"/>
  <c r="AM395" i="54" a="1"/>
  <c r="AM395" i="54" s="1"/>
  <c r="AC391" i="54" a="1"/>
  <c r="AC391" i="54" s="1"/>
  <c r="AC388" i="54" a="1"/>
  <c r="AC388" i="54" s="1"/>
  <c r="AC383" i="54" a="1"/>
  <c r="AC383" i="54" s="1"/>
  <c r="AC380" i="54" a="1"/>
  <c r="AC380" i="54" s="1"/>
  <c r="AC378" i="54" a="1"/>
  <c r="AC378" i="54" s="1"/>
  <c r="AC376" i="54" a="1"/>
  <c r="AC376" i="54" s="1"/>
  <c r="AC374" i="54" a="1"/>
  <c r="AC374" i="54" s="1"/>
  <c r="AC372" i="54" a="1"/>
  <c r="AC372" i="54" s="1"/>
  <c r="AC370" i="54" a="1"/>
  <c r="AC370" i="54" s="1"/>
  <c r="AC368" i="54" a="1"/>
  <c r="AC368" i="54" s="1"/>
  <c r="AC366" i="54" a="1"/>
  <c r="AC366" i="54" s="1"/>
  <c r="AC364" i="54" a="1"/>
  <c r="AC364" i="54" s="1"/>
  <c r="AC362" i="54" a="1"/>
  <c r="AC362" i="54" s="1"/>
  <c r="AC360" i="54" a="1"/>
  <c r="AC360" i="54" s="1"/>
  <c r="AC356" i="54" a="1"/>
  <c r="AC356" i="54" s="1"/>
  <c r="AC354" i="54" a="1"/>
  <c r="AC354" i="54" s="1"/>
  <c r="AC341" i="54" a="1"/>
  <c r="AC341" i="54" s="1"/>
  <c r="AC339" i="54" a="1"/>
  <c r="AC339" i="54" s="1"/>
  <c r="AC337" i="54" a="1"/>
  <c r="AC337" i="54" s="1"/>
  <c r="AC335" i="54" a="1"/>
  <c r="AC335" i="54" s="1"/>
  <c r="AC333" i="54" a="1"/>
  <c r="AC333" i="54" s="1"/>
  <c r="AC331" i="54" a="1"/>
  <c r="AC331" i="54" s="1"/>
  <c r="AC329" i="54" a="1"/>
  <c r="AC329" i="54" s="1"/>
  <c r="AC327" i="54" a="1"/>
  <c r="AC327" i="54" s="1"/>
  <c r="AC325" i="54" a="1"/>
  <c r="AC325" i="54" s="1"/>
  <c r="AC323" i="54" a="1"/>
  <c r="AC323" i="54" s="1"/>
  <c r="AC321" i="54" a="1"/>
  <c r="AC321" i="54" s="1"/>
  <c r="AC317" i="54" a="1"/>
  <c r="AC317" i="54" s="1"/>
  <c r="AC315" i="54" a="1"/>
  <c r="AC315" i="54" s="1"/>
  <c r="AC300" i="54" a="1"/>
  <c r="AC300" i="54" s="1"/>
  <c r="AC298" i="54" a="1"/>
  <c r="AC298" i="54" s="1"/>
  <c r="AC296" i="54" a="1"/>
  <c r="AC296" i="54" s="1"/>
  <c r="AC294" i="54" a="1"/>
  <c r="AC294" i="54" s="1"/>
  <c r="AC292" i="54" a="1"/>
  <c r="AC292" i="54" s="1"/>
  <c r="AC290" i="54" a="1"/>
  <c r="AC290" i="54" s="1"/>
  <c r="AM40" i="54" a="1"/>
  <c r="AM40" i="54" s="1"/>
  <c r="AM251" i="54" a="1"/>
  <c r="AM251" i="54" s="1"/>
  <c r="AM265" i="54" a="1"/>
  <c r="AM265" i="54" s="1"/>
  <c r="AM282" i="54" a="1"/>
  <c r="AM282" i="54" s="1"/>
  <c r="AM298" i="54" a="1"/>
  <c r="AM298" i="54" s="1"/>
  <c r="AM314" i="54" a="1"/>
  <c r="AM314" i="54" s="1"/>
  <c r="AM365" i="54" a="1"/>
  <c r="AM365" i="54" s="1"/>
  <c r="AM388" i="54" a="1"/>
  <c r="AM388" i="54" s="1"/>
  <c r="AM398" i="54" a="1"/>
  <c r="AM398" i="54" s="1"/>
  <c r="AC401" i="54" a="1"/>
  <c r="AC401" i="54" s="1"/>
  <c r="AC382" i="54" a="1"/>
  <c r="AC382" i="54" s="1"/>
  <c r="AC352" i="54" a="1"/>
  <c r="AC352" i="54" s="1"/>
  <c r="AC344" i="54" a="1"/>
  <c r="AC344" i="54" s="1"/>
  <c r="AC307" i="54" a="1"/>
  <c r="AC307" i="54" s="1"/>
  <c r="AC275" i="54" a="1"/>
  <c r="AC275" i="54" s="1"/>
  <c r="AC273" i="54" a="1"/>
  <c r="AC273" i="54" s="1"/>
  <c r="AC270" i="54" a="1"/>
  <c r="AC270" i="54" s="1"/>
  <c r="AC265" i="54" a="1"/>
  <c r="AC265" i="54" s="1"/>
  <c r="AC258" i="54" a="1"/>
  <c r="AC258" i="54" s="1"/>
  <c r="AC250" i="54" a="1"/>
  <c r="AC250" i="54" s="1"/>
  <c r="AC390" i="54" a="1"/>
  <c r="AC390" i="54" s="1"/>
  <c r="AC350" i="54" a="1"/>
  <c r="AC350" i="54" s="1"/>
  <c r="AC313" i="54" a="1"/>
  <c r="AC313" i="54" s="1"/>
  <c r="AC305" i="54" a="1"/>
  <c r="AC305" i="54" s="1"/>
  <c r="AC287" i="54" a="1"/>
  <c r="AC287" i="54" s="1"/>
  <c r="AC283" i="54" a="1"/>
  <c r="AC283" i="54" s="1"/>
  <c r="AC279" i="54" a="1"/>
  <c r="AC279" i="54" s="1"/>
  <c r="AC272" i="54" a="1"/>
  <c r="AC272" i="54" s="1"/>
  <c r="AC264" i="54" a="1"/>
  <c r="AC264" i="54" s="1"/>
  <c r="AC260" i="54" a="1"/>
  <c r="AC260" i="54" s="1"/>
  <c r="AC252" i="54" a="1"/>
  <c r="AC252" i="54" s="1"/>
  <c r="AC248" i="54" a="1"/>
  <c r="AC248" i="54" s="1"/>
  <c r="AC243" i="54" a="1"/>
  <c r="AC243" i="54" s="1"/>
  <c r="AC236" i="54" a="1"/>
  <c r="AC236" i="54" s="1"/>
  <c r="AC231" i="54" a="1"/>
  <c r="AC231" i="54" s="1"/>
  <c r="AC393" i="54" a="1"/>
  <c r="AC393" i="54" s="1"/>
  <c r="AC348" i="54" a="1"/>
  <c r="AC348" i="54" s="1"/>
  <c r="AC311" i="54" a="1"/>
  <c r="AC311" i="54" s="1"/>
  <c r="AC303" i="54" a="1"/>
  <c r="AC303" i="54" s="1"/>
  <c r="AC274" i="54" a="1"/>
  <c r="AC274" i="54" s="1"/>
  <c r="AC269" i="54" a="1"/>
  <c r="AC269" i="54" s="1"/>
  <c r="AC266" i="54" a="1"/>
  <c r="AC266" i="54" s="1"/>
  <c r="AC262" i="54" a="1"/>
  <c r="AC262" i="54" s="1"/>
  <c r="AC247" i="54" a="1"/>
  <c r="AC247" i="54" s="1"/>
  <c r="AC245" i="54" a="1"/>
  <c r="AC245" i="54" s="1"/>
  <c r="AC237" i="54" a="1"/>
  <c r="AC237" i="54" s="1"/>
  <c r="AC233" i="54" a="1"/>
  <c r="AC233" i="54" s="1"/>
  <c r="AC230" i="54" a="1"/>
  <c r="AC230" i="54" s="1"/>
  <c r="AC225" i="54" a="1"/>
  <c r="AC225" i="54" s="1"/>
  <c r="AC218" i="54" a="1"/>
  <c r="AC218" i="54" s="1"/>
  <c r="AC385" i="54" a="1"/>
  <c r="AC385" i="54" s="1"/>
  <c r="AC346" i="54" a="1"/>
  <c r="AC346" i="54" s="1"/>
  <c r="AC309" i="54" a="1"/>
  <c r="AC309" i="54" s="1"/>
  <c r="AC285" i="54" a="1"/>
  <c r="AC285" i="54" s="1"/>
  <c r="AC281" i="54" a="1"/>
  <c r="AC281" i="54" s="1"/>
  <c r="AC277" i="54" a="1"/>
  <c r="AC277" i="54" s="1"/>
  <c r="AC271" i="54" a="1"/>
  <c r="AC271" i="54" s="1"/>
  <c r="AC268" i="54" a="1"/>
  <c r="AC268" i="54" s="1"/>
  <c r="AC263" i="54" a="1"/>
  <c r="AC263" i="54" s="1"/>
  <c r="AC256" i="54" a="1"/>
  <c r="AC256" i="54" s="1"/>
  <c r="AC249" i="54" a="1"/>
  <c r="AC249" i="54" s="1"/>
  <c r="AC239" i="54" a="1"/>
  <c r="AC239" i="54" s="1"/>
  <c r="AC234" i="54" a="1"/>
  <c r="AC234" i="54" s="1"/>
  <c r="AC229" i="54" a="1"/>
  <c r="AC229" i="54" s="1"/>
  <c r="AC222" i="54" a="1"/>
  <c r="AC222" i="54" s="1"/>
  <c r="AC209" i="54" a="1"/>
  <c r="AC209" i="54" s="1"/>
  <c r="AC204" i="54" a="1"/>
  <c r="AC204" i="54" s="1"/>
  <c r="AC199" i="54" a="1"/>
  <c r="AC199" i="54" s="1"/>
  <c r="AC246" i="54" a="1"/>
  <c r="AC246" i="54" s="1"/>
  <c r="AC232" i="54" a="1"/>
  <c r="AC232" i="54" s="1"/>
  <c r="AC224" i="54" a="1"/>
  <c r="AC224" i="54" s="1"/>
  <c r="AC214" i="54" a="1"/>
  <c r="AC214" i="54" s="1"/>
  <c r="AC206" i="54" a="1"/>
  <c r="AC206" i="54" s="1"/>
  <c r="AC201" i="54" a="1"/>
  <c r="AC201" i="54" s="1"/>
  <c r="AC196" i="54" a="1"/>
  <c r="AC196" i="54" s="1"/>
  <c r="AC194" i="54" a="1"/>
  <c r="AC194" i="54" s="1"/>
  <c r="AC192" i="54" a="1"/>
  <c r="AC192" i="54" s="1"/>
  <c r="AC190" i="54" a="1"/>
  <c r="AC190" i="54" s="1"/>
  <c r="AC188" i="54" a="1"/>
  <c r="AC188" i="54" s="1"/>
  <c r="AC186" i="54" a="1"/>
  <c r="AC186" i="54" s="1"/>
  <c r="AC184" i="54" a="1"/>
  <c r="AC184" i="54" s="1"/>
  <c r="AC182" i="54" a="1"/>
  <c r="AC182" i="54" s="1"/>
  <c r="AC171" i="54" a="1"/>
  <c r="AC171" i="54" s="1"/>
  <c r="AC169" i="54" a="1"/>
  <c r="AC169" i="54" s="1"/>
  <c r="AC167" i="54" a="1"/>
  <c r="AC167" i="54" s="1"/>
  <c r="AC158" i="54" a="1"/>
  <c r="AC158" i="54" s="1"/>
  <c r="AC156" i="54" a="1"/>
  <c r="AC156" i="54" s="1"/>
  <c r="AC154" i="54" a="1"/>
  <c r="AC154" i="54" s="1"/>
  <c r="AC152" i="54" a="1"/>
  <c r="AC152" i="54" s="1"/>
  <c r="AC148" i="54" a="1"/>
  <c r="AC148" i="54" s="1"/>
  <c r="AC146" i="54" a="1"/>
  <c r="AC146" i="54" s="1"/>
  <c r="AC141" i="54" a="1"/>
  <c r="AC141" i="54" s="1"/>
  <c r="AC139" i="54" a="1"/>
  <c r="AC139" i="54" s="1"/>
  <c r="AC135" i="54" a="1"/>
  <c r="AC135" i="54" s="1"/>
  <c r="AC133" i="54" a="1"/>
  <c r="AC133" i="54" s="1"/>
  <c r="AC122" i="54" a="1"/>
  <c r="AC122" i="54" s="1"/>
  <c r="AC120" i="54" a="1"/>
  <c r="AC120" i="54" s="1"/>
  <c r="AC93" i="54" a="1"/>
  <c r="AC93" i="54" s="1"/>
  <c r="AC91" i="54" a="1"/>
  <c r="AC91" i="54" s="1"/>
  <c r="AC89" i="54" a="1"/>
  <c r="AC89" i="54" s="1"/>
  <c r="AC87" i="54" a="1"/>
  <c r="AC87" i="54" s="1"/>
  <c r="AC83" i="54" a="1"/>
  <c r="AC83" i="54" s="1"/>
  <c r="AC81" i="54" a="1"/>
  <c r="AC81" i="54" s="1"/>
  <c r="AC227" i="54" a="1"/>
  <c r="AC227" i="54" s="1"/>
  <c r="AC220" i="54" a="1"/>
  <c r="AC220" i="54" s="1"/>
  <c r="AC208" i="54" a="1"/>
  <c r="AC208" i="54" s="1"/>
  <c r="AC205" i="54" a="1"/>
  <c r="AC205" i="54" s="1"/>
  <c r="AC203" i="54" a="1"/>
  <c r="AC203" i="54" s="1"/>
  <c r="AC180" i="54" a="1"/>
  <c r="AC180" i="54" s="1"/>
  <c r="AC178" i="54" a="1"/>
  <c r="AC178" i="54" s="1"/>
  <c r="AC174" i="54" a="1"/>
  <c r="AC174" i="54" s="1"/>
  <c r="AC172" i="54" a="1"/>
  <c r="AC172" i="54" s="1"/>
  <c r="AC165" i="54" a="1"/>
  <c r="AC165" i="54" s="1"/>
  <c r="AC161" i="54" a="1"/>
  <c r="AC161" i="54" s="1"/>
  <c r="AC159" i="54" a="1"/>
  <c r="AC159" i="54" s="1"/>
  <c r="AC144" i="54" a="1"/>
  <c r="AC144" i="54" s="1"/>
  <c r="AC131" i="54" a="1"/>
  <c r="AC131" i="54" s="1"/>
  <c r="AC129" i="54" a="1"/>
  <c r="AC129" i="54" s="1"/>
  <c r="AC127" i="54" a="1"/>
  <c r="AC127" i="54" s="1"/>
  <c r="AC125" i="54" a="1"/>
  <c r="AC125" i="54" s="1"/>
  <c r="AC118" i="54" a="1"/>
  <c r="AC118" i="54" s="1"/>
  <c r="AC116" i="54" a="1"/>
  <c r="AC116" i="54" s="1"/>
  <c r="AC114" i="54" a="1"/>
  <c r="AC114" i="54" s="1"/>
  <c r="AC112" i="54" a="1"/>
  <c r="AC112" i="54" s="1"/>
  <c r="AC110" i="54" a="1"/>
  <c r="AC110" i="54" s="1"/>
  <c r="AC108" i="54" a="1"/>
  <c r="AC108" i="54" s="1"/>
  <c r="AC106" i="54" a="1"/>
  <c r="AC106" i="54" s="1"/>
  <c r="AC104" i="54" a="1"/>
  <c r="AC104" i="54" s="1"/>
  <c r="AC102" i="54" a="1"/>
  <c r="AC102" i="54" s="1"/>
  <c r="AC100" i="54" a="1"/>
  <c r="AC100" i="54" s="1"/>
  <c r="AC96" i="54" a="1"/>
  <c r="AC96" i="54" s="1"/>
  <c r="AC94" i="54" a="1"/>
  <c r="AC94" i="54" s="1"/>
  <c r="AC235" i="54" a="1"/>
  <c r="AC235" i="54" s="1"/>
  <c r="AC226" i="54" a="1"/>
  <c r="AC226" i="54" s="1"/>
  <c r="AC216" i="54" a="1"/>
  <c r="AC216" i="54" s="1"/>
  <c r="AC212" i="54" a="1"/>
  <c r="AC212" i="54" s="1"/>
  <c r="AC210" i="54" a="1"/>
  <c r="AC210" i="54" s="1"/>
  <c r="AC207" i="54" a="1"/>
  <c r="AC207" i="54" s="1"/>
  <c r="AC197" i="54" a="1"/>
  <c r="AC197" i="54" s="1"/>
  <c r="AC195" i="54" a="1"/>
  <c r="AC195" i="54" s="1"/>
  <c r="AC193" i="54" a="1"/>
  <c r="AC193" i="54" s="1"/>
  <c r="AC191" i="54" a="1"/>
  <c r="AC191" i="54" s="1"/>
  <c r="AC187" i="54" a="1"/>
  <c r="AC187" i="54" s="1"/>
  <c r="AC185" i="54" a="1"/>
  <c r="AC185" i="54" s="1"/>
  <c r="AC183" i="54" a="1"/>
  <c r="AC183" i="54" s="1"/>
  <c r="AC181" i="54" a="1"/>
  <c r="AC181" i="54" s="1"/>
  <c r="AC170" i="54" a="1"/>
  <c r="AC170" i="54" s="1"/>
  <c r="AC168" i="54" a="1"/>
  <c r="AC168" i="54" s="1"/>
  <c r="AC157" i="54" a="1"/>
  <c r="AC157" i="54" s="1"/>
  <c r="AC155" i="54" a="1"/>
  <c r="AC155" i="54" s="1"/>
  <c r="AC153" i="54" a="1"/>
  <c r="AC153" i="54" s="1"/>
  <c r="AC151" i="54" a="1"/>
  <c r="AC151" i="54" s="1"/>
  <c r="AC149" i="54" a="1"/>
  <c r="AC149" i="54" s="1"/>
  <c r="AC147" i="54" a="1"/>
  <c r="AC147" i="54" s="1"/>
  <c r="AC142" i="54" a="1"/>
  <c r="AC142" i="54" s="1"/>
  <c r="AC140" i="54" a="1"/>
  <c r="AC140" i="54" s="1"/>
  <c r="AC138" i="54" a="1"/>
  <c r="AC138" i="54" s="1"/>
  <c r="AC136" i="54" a="1"/>
  <c r="AC136" i="54" s="1"/>
  <c r="AC134" i="54" a="1"/>
  <c r="AC134" i="54" s="1"/>
  <c r="AC123" i="54" a="1"/>
  <c r="AC123" i="54" s="1"/>
  <c r="AC121" i="54" a="1"/>
  <c r="AC121" i="54" s="1"/>
  <c r="AC92" i="54" a="1"/>
  <c r="AC92" i="54" s="1"/>
  <c r="AC90" i="54" a="1"/>
  <c r="AC90" i="54" s="1"/>
  <c r="AC88" i="54" a="1"/>
  <c r="AC88" i="54" s="1"/>
  <c r="AC86" i="54" a="1"/>
  <c r="AC86" i="54" s="1"/>
  <c r="AC84" i="54" a="1"/>
  <c r="AC84" i="54" s="1"/>
  <c r="AC82" i="54" a="1"/>
  <c r="AC82" i="54" s="1"/>
  <c r="AC79" i="54" a="1"/>
  <c r="AC79" i="54" s="1"/>
  <c r="AC173" i="54" a="1"/>
  <c r="AC173" i="54" s="1"/>
  <c r="AC164" i="54" a="1"/>
  <c r="AC164" i="54" s="1"/>
  <c r="AC145" i="54" a="1"/>
  <c r="AC145" i="54" s="1"/>
  <c r="AC128" i="54" a="1"/>
  <c r="AC128" i="54" s="1"/>
  <c r="AC119" i="54" a="1"/>
  <c r="AC119" i="54" s="1"/>
  <c r="AC103" i="54" a="1"/>
  <c r="AC103" i="54" s="1"/>
  <c r="AC95" i="54" a="1"/>
  <c r="AC95" i="54" s="1"/>
  <c r="AC73" i="54" a="1"/>
  <c r="AC73" i="54" s="1"/>
  <c r="AC71" i="54" a="1"/>
  <c r="AC71" i="54" s="1"/>
  <c r="AC69" i="54" a="1"/>
  <c r="AC69" i="54" s="1"/>
  <c r="AC66" i="54" a="1"/>
  <c r="AC66" i="54" s="1"/>
  <c r="AC55" i="54" a="1"/>
  <c r="AC55" i="54" s="1"/>
  <c r="AC54" i="54" a="1"/>
  <c r="AC54" i="54" s="1"/>
  <c r="AC52" i="54" a="1"/>
  <c r="AC52" i="54" s="1"/>
  <c r="AC50" i="54" a="1"/>
  <c r="AC50" i="54" s="1"/>
  <c r="AC48" i="54" a="1"/>
  <c r="AC48" i="54" s="1"/>
  <c r="AC40" i="54" a="1"/>
  <c r="AC40" i="54" s="1"/>
  <c r="AC36" i="54" a="1"/>
  <c r="AC36" i="54" s="1"/>
  <c r="AC32" i="54" a="1"/>
  <c r="AC32" i="54" s="1"/>
  <c r="AC16" i="54" a="1"/>
  <c r="AC16" i="54" s="1"/>
  <c r="AC179" i="54" a="1"/>
  <c r="AC179" i="54" s="1"/>
  <c r="AC162" i="54" a="1"/>
  <c r="AC162" i="54" s="1"/>
  <c r="AC143" i="54" a="1"/>
  <c r="AC143" i="54" s="1"/>
  <c r="AC126" i="54" a="1"/>
  <c r="AC126" i="54" s="1"/>
  <c r="AC117" i="54" a="1"/>
  <c r="AC117" i="54" s="1"/>
  <c r="AC109" i="54" a="1"/>
  <c r="AC109" i="54" s="1"/>
  <c r="AC101" i="54" a="1"/>
  <c r="AC101" i="54" s="1"/>
  <c r="AC78" i="54" a="1"/>
  <c r="AC78" i="54" s="1"/>
  <c r="AC76" i="54" a="1"/>
  <c r="AC76" i="54" s="1"/>
  <c r="AC64" i="54" a="1"/>
  <c r="AC64" i="54" s="1"/>
  <c r="AC62" i="54" a="1"/>
  <c r="AC62" i="54" s="1"/>
  <c r="AC60" i="54" a="1"/>
  <c r="AC60" i="54" s="1"/>
  <c r="AC58" i="54" a="1"/>
  <c r="AC58" i="54" s="1"/>
  <c r="AC44" i="54" a="1"/>
  <c r="AC44" i="54" s="1"/>
  <c r="AC42" i="54" a="1"/>
  <c r="AC42" i="54" s="1"/>
  <c r="AC27" i="54" a="1"/>
  <c r="AC27" i="54" s="1"/>
  <c r="AC25" i="54" a="1"/>
  <c r="AC25" i="54" s="1"/>
  <c r="AC23" i="54" a="1"/>
  <c r="AC23" i="54" s="1"/>
  <c r="AC21" i="54" a="1"/>
  <c r="AC21" i="54" s="1"/>
  <c r="AC53" i="54" a="1"/>
  <c r="AC53" i="54" s="1"/>
  <c r="AC47" i="54" a="1"/>
  <c r="AC47" i="54" s="1"/>
  <c r="AC41" i="54" a="1"/>
  <c r="AC41" i="54" s="1"/>
  <c r="AC37" i="54" a="1"/>
  <c r="AC37" i="54" s="1"/>
  <c r="AC29" i="54" a="1"/>
  <c r="AC29" i="54" s="1"/>
  <c r="AC19" i="54" a="1"/>
  <c r="AC19" i="54" s="1"/>
  <c r="AC177" i="54" a="1"/>
  <c r="AC177" i="54" s="1"/>
  <c r="AC160" i="54" a="1"/>
  <c r="AC160" i="54" s="1"/>
  <c r="AC132" i="54" a="1"/>
  <c r="AC132" i="54" s="1"/>
  <c r="AC115" i="54" a="1"/>
  <c r="AC115" i="54" s="1"/>
  <c r="AC107" i="54" a="1"/>
  <c r="AC107" i="54" s="1"/>
  <c r="AC99" i="54" a="1"/>
  <c r="AC99" i="54" s="1"/>
  <c r="AC80" i="54" a="1"/>
  <c r="AC80" i="54" s="1"/>
  <c r="AC74" i="54" a="1"/>
  <c r="AC74" i="54" s="1"/>
  <c r="AC70" i="54" a="1"/>
  <c r="AC70" i="54" s="1"/>
  <c r="AC68" i="54" a="1"/>
  <c r="AC68" i="54" s="1"/>
  <c r="AC67" i="54" a="1"/>
  <c r="AC67" i="54" s="1"/>
  <c r="AC65" i="54" a="1"/>
  <c r="AC65" i="54" s="1"/>
  <c r="AC56" i="54" a="1"/>
  <c r="AC56" i="54" s="1"/>
  <c r="AC51" i="54" a="1"/>
  <c r="AC51" i="54" s="1"/>
  <c r="AC49" i="54" a="1"/>
  <c r="AC49" i="54" s="1"/>
  <c r="AC39" i="54" a="1"/>
  <c r="AC39" i="54" s="1"/>
  <c r="AC35" i="54" a="1"/>
  <c r="AC35" i="54" s="1"/>
  <c r="AC31" i="54" a="1"/>
  <c r="AC31" i="54" s="1"/>
  <c r="AC17" i="54" a="1"/>
  <c r="AC17" i="54" s="1"/>
  <c r="AC175" i="54" a="1"/>
  <c r="AC175" i="54" s="1"/>
  <c r="AC166" i="54" a="1"/>
  <c r="AC166" i="54" s="1"/>
  <c r="AC130" i="54" a="1"/>
  <c r="AC130" i="54" s="1"/>
  <c r="AC113" i="54" a="1"/>
  <c r="AC113" i="54" s="1"/>
  <c r="AC105" i="54" a="1"/>
  <c r="AC105" i="54" s="1"/>
  <c r="AC97" i="54" a="1"/>
  <c r="AC97" i="54" s="1"/>
  <c r="AC77" i="54" a="1"/>
  <c r="AC77" i="54" s="1"/>
  <c r="AC75" i="54" a="1"/>
  <c r="AC75" i="54" s="1"/>
  <c r="AC63" i="54" a="1"/>
  <c r="AC63" i="54" s="1"/>
  <c r="AC61" i="54" a="1"/>
  <c r="AC61" i="54" s="1"/>
  <c r="AC57" i="54" a="1"/>
  <c r="AC57" i="54" s="1"/>
  <c r="AC45" i="54" a="1"/>
  <c r="AC45" i="54" s="1"/>
  <c r="AC43" i="54" a="1"/>
  <c r="AC43" i="54" s="1"/>
  <c r="AC28" i="54" a="1"/>
  <c r="AC28" i="54" s="1"/>
  <c r="AC26" i="54" a="1"/>
  <c r="AC26" i="54" s="1"/>
  <c r="AC24" i="54" a="1"/>
  <c r="AC24" i="54" s="1"/>
  <c r="AC22" i="54" a="1"/>
  <c r="AC22" i="54" s="1"/>
  <c r="AC38" i="54" a="1"/>
  <c r="AC38" i="54" s="1"/>
  <c r="AC34" i="54" a="1"/>
  <c r="AC34" i="54" s="1"/>
  <c r="AC30" i="54" a="1"/>
  <c r="AC30" i="54" s="1"/>
  <c r="AC18" i="54" a="1"/>
  <c r="AC18" i="54" s="1"/>
  <c r="S16" i="54" a="1"/>
  <c r="S16" i="54" s="1"/>
  <c r="S24" i="54" a="1"/>
  <c r="S24" i="54" s="1"/>
  <c r="S28" i="54" a="1"/>
  <c r="S28" i="54" s="1"/>
  <c r="S30" i="54" a="1"/>
  <c r="S30" i="54" s="1"/>
  <c r="S34" i="54" a="1"/>
  <c r="S34" i="54" s="1"/>
  <c r="S38" i="54" a="1"/>
  <c r="S38" i="54" s="1"/>
  <c r="S44" i="54" a="1"/>
  <c r="S44" i="54" s="1"/>
  <c r="S48" i="54" a="1"/>
  <c r="S48" i="54" s="1"/>
  <c r="S52" i="54" a="1"/>
  <c r="S52" i="54" s="1"/>
  <c r="S55" i="54" a="1"/>
  <c r="S55" i="54" s="1"/>
  <c r="S58" i="54" a="1"/>
  <c r="S58" i="54" s="1"/>
  <c r="S61" i="54" a="1"/>
  <c r="S61" i="54" s="1"/>
  <c r="S67" i="54" a="1"/>
  <c r="S67" i="54" s="1"/>
  <c r="S69" i="54" a="1"/>
  <c r="S69" i="54" s="1"/>
  <c r="S76" i="54" a="1"/>
  <c r="S76" i="54" s="1"/>
  <c r="S79" i="54" a="1"/>
  <c r="S79" i="54" s="1"/>
  <c r="S83" i="54" a="1"/>
  <c r="S83" i="54" s="1"/>
  <c r="S87" i="54" a="1"/>
  <c r="S87" i="54" s="1"/>
  <c r="S90" i="54" a="1"/>
  <c r="S90" i="54" s="1"/>
  <c r="S94" i="54" a="1"/>
  <c r="S94" i="54" s="1"/>
  <c r="S97" i="54" a="1"/>
  <c r="S97" i="54" s="1"/>
  <c r="S103" i="54" a="1"/>
  <c r="S103" i="54" s="1"/>
  <c r="S109" i="54" a="1"/>
  <c r="S109" i="54" s="1"/>
  <c r="S112" i="54" a="1"/>
  <c r="S112" i="54" s="1"/>
  <c r="S115" i="54" a="1"/>
  <c r="S115" i="54" s="1"/>
  <c r="S127" i="54" a="1"/>
  <c r="S127" i="54" s="1"/>
  <c r="S130" i="54" a="1"/>
  <c r="S130" i="54" s="1"/>
  <c r="S135" i="54" a="1"/>
  <c r="S135" i="54" s="1"/>
  <c r="S142" i="54" a="1"/>
  <c r="S142" i="54" s="1"/>
  <c r="S145" i="54" a="1"/>
  <c r="S145" i="54" s="1"/>
  <c r="S147" i="54" a="1"/>
  <c r="S147" i="54" s="1"/>
  <c r="S154" i="54" a="1"/>
  <c r="S154" i="54" s="1"/>
  <c r="S157" i="54" a="1"/>
  <c r="S157" i="54" s="1"/>
  <c r="S159" i="54" a="1"/>
  <c r="S159" i="54" s="1"/>
  <c r="S166" i="54" a="1"/>
  <c r="S166" i="54" s="1"/>
  <c r="S169" i="54" a="1"/>
  <c r="S169" i="54" s="1"/>
  <c r="S180" i="54" a="1"/>
  <c r="S180" i="54" s="1"/>
  <c r="S183" i="54" a="1"/>
  <c r="S183" i="54" s="1"/>
  <c r="S187" i="54" a="1"/>
  <c r="S187" i="54" s="1"/>
  <c r="S194" i="54" a="1"/>
  <c r="S194" i="54" s="1"/>
  <c r="S197" i="54" a="1"/>
  <c r="S197" i="54" s="1"/>
  <c r="S17" i="54" a="1"/>
  <c r="S17" i="54" s="1"/>
  <c r="S21" i="54" a="1"/>
  <c r="S21" i="54" s="1"/>
  <c r="S25" i="54" a="1"/>
  <c r="S25" i="54" s="1"/>
  <c r="S31" i="54" a="1"/>
  <c r="S31" i="54" s="1"/>
  <c r="S35" i="54" a="1"/>
  <c r="S35" i="54" s="1"/>
  <c r="S39" i="54" a="1"/>
  <c r="S39" i="54" s="1"/>
  <c r="S45" i="54" a="1"/>
  <c r="S45" i="54" s="1"/>
  <c r="S49" i="54" a="1"/>
  <c r="S49" i="54" s="1"/>
  <c r="S53" i="54" a="1"/>
  <c r="S53" i="54" s="1"/>
  <c r="S64" i="54" a="1"/>
  <c r="S64" i="54" s="1"/>
  <c r="S73" i="54" a="1"/>
  <c r="S73" i="54" s="1"/>
  <c r="S77" i="54" a="1"/>
  <c r="S77" i="54" s="1"/>
  <c r="S80" i="54" a="1"/>
  <c r="S80" i="54" s="1"/>
  <c r="S84" i="54" a="1"/>
  <c r="S84" i="54" s="1"/>
  <c r="S91" i="54" a="1"/>
  <c r="S91" i="54" s="1"/>
  <c r="S101" i="54" a="1"/>
  <c r="S101" i="54" s="1"/>
  <c r="S104" i="54" a="1"/>
  <c r="S104" i="54" s="1"/>
  <c r="S110" i="54" a="1"/>
  <c r="S110" i="54" s="1"/>
  <c r="S116" i="54" a="1"/>
  <c r="S116" i="54" s="1"/>
  <c r="S119" i="54" a="1"/>
  <c r="S119" i="54" s="1"/>
  <c r="S121" i="54" a="1"/>
  <c r="S121" i="54" s="1"/>
  <c r="S128" i="54" a="1"/>
  <c r="S128" i="54" s="1"/>
  <c r="S131" i="54" a="1"/>
  <c r="S131" i="54" s="1"/>
  <c r="S133" i="54" a="1"/>
  <c r="S133" i="54" s="1"/>
  <c r="S136" i="54" a="1"/>
  <c r="S136" i="54" s="1"/>
  <c r="S139" i="54" a="1"/>
  <c r="S139" i="54" s="1"/>
  <c r="S148" i="54" a="1"/>
  <c r="S148" i="54" s="1"/>
  <c r="S152" i="54" a="1"/>
  <c r="S152" i="54" s="1"/>
  <c r="S155" i="54" a="1"/>
  <c r="S155" i="54" s="1"/>
  <c r="S158" i="54" a="1"/>
  <c r="S158" i="54" s="1"/>
  <c r="S160" i="54" a="1"/>
  <c r="S160" i="54" s="1"/>
  <c r="S170" i="54" a="1"/>
  <c r="S170" i="54" s="1"/>
  <c r="S173" i="54" a="1"/>
  <c r="S173" i="54" s="1"/>
  <c r="S177" i="54" a="1"/>
  <c r="S177" i="54" s="1"/>
  <c r="S184" i="54" a="1"/>
  <c r="S184" i="54" s="1"/>
  <c r="S188" i="54" a="1"/>
  <c r="S188" i="54" s="1"/>
  <c r="S191" i="54" a="1"/>
  <c r="S191" i="54" s="1"/>
  <c r="S195" i="54" a="1"/>
  <c r="S195" i="54" s="1"/>
  <c r="S18" i="54" a="1"/>
  <c r="S18" i="54" s="1"/>
  <c r="S22" i="54" a="1"/>
  <c r="S22" i="54" s="1"/>
  <c r="S26" i="54" a="1"/>
  <c r="S26" i="54" s="1"/>
  <c r="S32" i="54" a="1"/>
  <c r="S32" i="54" s="1"/>
  <c r="S36" i="54" a="1"/>
  <c r="S36" i="54" s="1"/>
  <c r="S40" i="54" a="1"/>
  <c r="S40" i="54" s="1"/>
  <c r="S42" i="54" a="1"/>
  <c r="S42" i="54" s="1"/>
  <c r="S50" i="54" a="1"/>
  <c r="S50" i="54" s="1"/>
  <c r="S54" i="54" a="1"/>
  <c r="S54" i="54" s="1"/>
  <c r="S56" i="54" a="1"/>
  <c r="S56" i="54" s="1"/>
  <c r="S62" i="54" a="1"/>
  <c r="S62" i="54" s="1"/>
  <c r="S65" i="54" a="1"/>
  <c r="S65" i="54" s="1"/>
  <c r="S70" i="54" a="1"/>
  <c r="S70" i="54" s="1"/>
  <c r="S74" i="54" a="1"/>
  <c r="S74" i="54" s="1"/>
  <c r="S81" i="54" a="1"/>
  <c r="S81" i="54" s="1"/>
  <c r="S88" i="54" a="1"/>
  <c r="S88" i="54" s="1"/>
  <c r="S92" i="54" a="1"/>
  <c r="S92" i="54" s="1"/>
  <c r="S95" i="54" a="1"/>
  <c r="S95" i="54" s="1"/>
  <c r="S99" i="54" a="1"/>
  <c r="S99" i="54" s="1"/>
  <c r="S102" i="54" a="1"/>
  <c r="S102" i="54" s="1"/>
  <c r="S105" i="54" a="1"/>
  <c r="S105" i="54" s="1"/>
  <c r="S107" i="54" a="1"/>
  <c r="S107" i="54" s="1"/>
  <c r="S113" i="54" a="1"/>
  <c r="S113" i="54" s="1"/>
  <c r="S117" i="54" a="1"/>
  <c r="S117" i="54" s="1"/>
  <c r="S122" i="54" a="1"/>
  <c r="S122" i="54" s="1"/>
  <c r="S125" i="54" a="1"/>
  <c r="S125" i="54" s="1"/>
  <c r="S132" i="54" a="1"/>
  <c r="S132" i="54" s="1"/>
  <c r="S134" i="54" a="1"/>
  <c r="S134" i="54" s="1"/>
  <c r="S140" i="54" a="1"/>
  <c r="S140" i="54" s="1"/>
  <c r="S143" i="54" a="1"/>
  <c r="S143" i="54" s="1"/>
  <c r="S153" i="54" a="1"/>
  <c r="S153" i="54" s="1"/>
  <c r="S156" i="54" a="1"/>
  <c r="S156" i="54" s="1"/>
  <c r="S161" i="54" a="1"/>
  <c r="S161" i="54" s="1"/>
  <c r="S164" i="54" a="1"/>
  <c r="S164" i="54" s="1"/>
  <c r="S167" i="54" a="1"/>
  <c r="S167" i="54" s="1"/>
  <c r="S174" i="54" a="1"/>
  <c r="S174" i="54" s="1"/>
  <c r="S178" i="54" a="1"/>
  <c r="S178" i="54" s="1"/>
  <c r="S181" i="54" a="1"/>
  <c r="S181" i="54" s="1"/>
  <c r="S185" i="54" a="1"/>
  <c r="S185" i="54" s="1"/>
  <c r="S192" i="54" a="1"/>
  <c r="S192" i="54" s="1"/>
  <c r="S196" i="54" a="1"/>
  <c r="S196" i="54" s="1"/>
  <c r="S198" i="54" a="1"/>
  <c r="S198" i="54" s="1"/>
  <c r="S204" i="54" a="1"/>
  <c r="S204" i="54" s="1"/>
  <c r="S208" i="54" a="1"/>
  <c r="S208" i="54" s="1"/>
  <c r="S212" i="54" a="1"/>
  <c r="S212" i="54" s="1"/>
  <c r="S216" i="54" a="1"/>
  <c r="S216" i="54" s="1"/>
  <c r="S222" i="54" a="1"/>
  <c r="S222" i="54" s="1"/>
  <c r="S23" i="54" a="1"/>
  <c r="S23" i="54" s="1"/>
  <c r="S41" i="54" a="1"/>
  <c r="S41" i="54" s="1"/>
  <c r="S43" i="54" a="1"/>
  <c r="S43" i="54" s="1"/>
  <c r="S60" i="54" a="1"/>
  <c r="S60" i="54" s="1"/>
  <c r="S68" i="54" a="1"/>
  <c r="S68" i="54" s="1"/>
  <c r="S93" i="54" a="1"/>
  <c r="S93" i="54" s="1"/>
  <c r="S100" i="54" a="1"/>
  <c r="S100" i="54" s="1"/>
  <c r="S118" i="54" a="1"/>
  <c r="S118" i="54" s="1"/>
  <c r="S123" i="54" a="1"/>
  <c r="S123" i="54" s="1"/>
  <c r="S141" i="54" a="1"/>
  <c r="S141" i="54" s="1"/>
  <c r="S146" i="54" a="1"/>
  <c r="S146" i="54" s="1"/>
  <c r="S162" i="54" a="1"/>
  <c r="S162" i="54" s="1"/>
  <c r="S182" i="54" a="1"/>
  <c r="S182" i="54" s="1"/>
  <c r="S193" i="54" a="1"/>
  <c r="S193" i="54" s="1"/>
  <c r="S201" i="54" a="1"/>
  <c r="S201" i="54" s="1"/>
  <c r="S206" i="54" a="1"/>
  <c r="S206" i="54" s="1"/>
  <c r="S210" i="54" a="1"/>
  <c r="S210" i="54" s="1"/>
  <c r="S214" i="54" a="1"/>
  <c r="S214" i="54" s="1"/>
  <c r="S218" i="54" a="1"/>
  <c r="S218" i="54" s="1"/>
  <c r="S226" i="54" a="1"/>
  <c r="S226" i="54" s="1"/>
  <c r="S230" i="54" a="1"/>
  <c r="S230" i="54" s="1"/>
  <c r="S236" i="54" a="1"/>
  <c r="S236" i="54" s="1"/>
  <c r="S238" i="54" a="1"/>
  <c r="S238" i="54" s="1"/>
  <c r="S244" i="54" a="1"/>
  <c r="S244" i="54" s="1"/>
  <c r="S248" i="54" a="1"/>
  <c r="S248" i="54" s="1"/>
  <c r="S250" i="54" a="1"/>
  <c r="S250" i="54" s="1"/>
  <c r="S256" i="54" a="1"/>
  <c r="S256" i="54" s="1"/>
  <c r="S259" i="54" a="1"/>
  <c r="S259" i="54" s="1"/>
  <c r="S262" i="54" a="1"/>
  <c r="S262" i="54" s="1"/>
  <c r="S264" i="54" a="1"/>
  <c r="S264" i="54" s="1"/>
  <c r="S27" i="54" a="1"/>
  <c r="S27" i="54" s="1"/>
  <c r="S29" i="54" a="1"/>
  <c r="S29" i="54" s="1"/>
  <c r="S47" i="54" a="1"/>
  <c r="S47" i="54" s="1"/>
  <c r="S63" i="54" a="1"/>
  <c r="S63" i="54" s="1"/>
  <c r="S71" i="54" a="1"/>
  <c r="S71" i="54" s="1"/>
  <c r="S82" i="54" a="1"/>
  <c r="S82" i="54" s="1"/>
  <c r="S108" i="54" a="1"/>
  <c r="S108" i="54" s="1"/>
  <c r="S126" i="54" a="1"/>
  <c r="S126" i="54" s="1"/>
  <c r="S144" i="54" a="1"/>
  <c r="S144" i="54" s="1"/>
  <c r="S149" i="54" a="1"/>
  <c r="S149" i="54" s="1"/>
  <c r="S165" i="54" a="1"/>
  <c r="S165" i="54" s="1"/>
  <c r="S172" i="54" a="1"/>
  <c r="S172" i="54" s="1"/>
  <c r="S207" i="54" a="1"/>
  <c r="S207" i="54" s="1"/>
  <c r="S219" i="54" a="1"/>
  <c r="S219" i="54" s="1"/>
  <c r="S223" i="54" a="1"/>
  <c r="S223" i="54" s="1"/>
  <c r="S224" i="54" a="1"/>
  <c r="S224" i="54" s="1"/>
  <c r="S227" i="54" a="1"/>
  <c r="S227" i="54" s="1"/>
  <c r="S233" i="54" a="1"/>
  <c r="S233" i="54" s="1"/>
  <c r="S239" i="54" a="1"/>
  <c r="S239" i="54" s="1"/>
  <c r="S242" i="54" a="1"/>
  <c r="S242" i="54" s="1"/>
  <c r="S245" i="54" a="1"/>
  <c r="S245" i="54" s="1"/>
  <c r="S253" i="54" a="1"/>
  <c r="S253" i="54" s="1"/>
  <c r="S257" i="54" a="1"/>
  <c r="S257" i="54" s="1"/>
  <c r="S260" i="54" a="1"/>
  <c r="S260" i="54" s="1"/>
  <c r="S51" i="54" a="1"/>
  <c r="S51" i="54" s="1"/>
  <c r="S66" i="54" a="1"/>
  <c r="S66" i="54" s="1"/>
  <c r="S75" i="54" a="1"/>
  <c r="S75" i="54" s="1"/>
  <c r="S86" i="54" a="1"/>
  <c r="S86" i="54" s="1"/>
  <c r="S106" i="54" a="1"/>
  <c r="S106" i="54" s="1"/>
  <c r="S129" i="54" a="1"/>
  <c r="S129" i="54" s="1"/>
  <c r="S151" i="54" a="1"/>
  <c r="S151" i="54" s="1"/>
  <c r="S168" i="54" a="1"/>
  <c r="S168" i="54" s="1"/>
  <c r="S175" i="54" a="1"/>
  <c r="S175" i="54" s="1"/>
  <c r="S186" i="54" a="1"/>
  <c r="S186" i="54" s="1"/>
  <c r="S199" i="54" a="1"/>
  <c r="S199" i="54" s="1"/>
  <c r="S203" i="54" a="1"/>
  <c r="S203" i="54" s="1"/>
  <c r="S211" i="54" a="1"/>
  <c r="S211" i="54" s="1"/>
  <c r="S220" i="54" a="1"/>
  <c r="S220" i="54" s="1"/>
  <c r="S231" i="54" a="1"/>
  <c r="S231" i="54" s="1"/>
  <c r="S234" i="54" a="1"/>
  <c r="S234" i="54" s="1"/>
  <c r="S240" i="54" a="1"/>
  <c r="S240" i="54" s="1"/>
  <c r="S246" i="54" a="1"/>
  <c r="S246" i="54" s="1"/>
  <c r="S249" i="54" a="1"/>
  <c r="S249" i="54" s="1"/>
  <c r="S251" i="54" a="1"/>
  <c r="S251" i="54" s="1"/>
  <c r="S258" i="54" a="1"/>
  <c r="S258" i="54" s="1"/>
  <c r="S266" i="54" a="1"/>
  <c r="S266" i="54" s="1"/>
  <c r="S269" i="54" a="1"/>
  <c r="S269" i="54" s="1"/>
  <c r="S272" i="54" a="1"/>
  <c r="S272" i="54" s="1"/>
  <c r="S19" i="54" a="1"/>
  <c r="S19" i="54" s="1"/>
  <c r="S37" i="54" a="1"/>
  <c r="S37" i="54" s="1"/>
  <c r="S57" i="54" a="1"/>
  <c r="S57" i="54" s="1"/>
  <c r="S78" i="54" a="1"/>
  <c r="S78" i="54" s="1"/>
  <c r="S89" i="54" a="1"/>
  <c r="S89" i="54" s="1"/>
  <c r="S96" i="54" a="1"/>
  <c r="S96" i="54" s="1"/>
  <c r="S114" i="54" a="1"/>
  <c r="S114" i="54" s="1"/>
  <c r="S120" i="54" a="1"/>
  <c r="S120" i="54" s="1"/>
  <c r="S138" i="54" a="1"/>
  <c r="S138" i="54" s="1"/>
  <c r="S171" i="54" a="1"/>
  <c r="S171" i="54" s="1"/>
  <c r="S179" i="54" a="1"/>
  <c r="S179" i="54" s="1"/>
  <c r="S190" i="54" a="1"/>
  <c r="S190" i="54" s="1"/>
  <c r="S200" i="54" a="1"/>
  <c r="S200" i="54" s="1"/>
  <c r="S205" i="54" a="1"/>
  <c r="S205" i="54" s="1"/>
  <c r="S209" i="54" a="1"/>
  <c r="S209" i="54" s="1"/>
  <c r="S213" i="54" a="1"/>
  <c r="S213" i="54" s="1"/>
  <c r="S217" i="54" a="1"/>
  <c r="S217" i="54" s="1"/>
  <c r="S221" i="54" a="1"/>
  <c r="S221" i="54" s="1"/>
  <c r="S225" i="54" a="1"/>
  <c r="S225" i="54" s="1"/>
  <c r="S229" i="54" a="1"/>
  <c r="S229" i="54" s="1"/>
  <c r="S232" i="54" a="1"/>
  <c r="S232" i="54" s="1"/>
  <c r="S235" i="54" a="1"/>
  <c r="S235" i="54" s="1"/>
  <c r="S237" i="54" a="1"/>
  <c r="S237" i="54" s="1"/>
  <c r="S243" i="54" a="1"/>
  <c r="S243" i="54" s="1"/>
  <c r="S247" i="54" a="1"/>
  <c r="S247" i="54" s="1"/>
  <c r="S252" i="54" a="1"/>
  <c r="S252" i="54" s="1"/>
  <c r="S255" i="54" a="1"/>
  <c r="S255" i="54" s="1"/>
  <c r="S261" i="54" a="1"/>
  <c r="S261" i="54" s="1"/>
  <c r="S275" i="54" a="1"/>
  <c r="S275" i="54" s="1"/>
  <c r="S277" i="54" a="1"/>
  <c r="S277" i="54" s="1"/>
  <c r="S283" i="54" a="1"/>
  <c r="S283" i="54" s="1"/>
  <c r="S291" i="54" a="1"/>
  <c r="S291" i="54" s="1"/>
  <c r="S295" i="54" a="1"/>
  <c r="S295" i="54" s="1"/>
  <c r="S298" i="54" a="1"/>
  <c r="S298" i="54" s="1"/>
  <c r="S301" i="54" a="1"/>
  <c r="S301" i="54" s="1"/>
  <c r="S303" i="54" a="1"/>
  <c r="S303" i="54" s="1"/>
  <c r="S309" i="54" a="1"/>
  <c r="S309" i="54" s="1"/>
  <c r="S313" i="54" a="1"/>
  <c r="S313" i="54" s="1"/>
  <c r="S315" i="54" a="1"/>
  <c r="S315" i="54" s="1"/>
  <c r="S318" i="54" a="1"/>
  <c r="S318" i="54" s="1"/>
  <c r="S321" i="54" a="1"/>
  <c r="S321" i="54" s="1"/>
  <c r="S327" i="54" a="1"/>
  <c r="S327" i="54" s="1"/>
  <c r="S329" i="54" a="1"/>
  <c r="S329" i="54" s="1"/>
  <c r="S333" i="54" a="1"/>
  <c r="S333" i="54" s="1"/>
  <c r="S336" i="54" a="1"/>
  <c r="S336" i="54" s="1"/>
  <c r="S339" i="54" a="1"/>
  <c r="S339" i="54" s="1"/>
  <c r="S341" i="54" a="1"/>
  <c r="S341" i="54" s="1"/>
  <c r="S347" i="54" a="1"/>
  <c r="S347" i="54" s="1"/>
  <c r="S351" i="54" a="1"/>
  <c r="S351" i="54" s="1"/>
  <c r="S361" i="54" a="1"/>
  <c r="S361" i="54" s="1"/>
  <c r="S366" i="54" a="1"/>
  <c r="S366" i="54" s="1"/>
  <c r="S368" i="54" a="1"/>
  <c r="S368" i="54" s="1"/>
  <c r="S376" i="54" a="1"/>
  <c r="S376" i="54" s="1"/>
  <c r="S379" i="54" a="1"/>
  <c r="S379" i="54" s="1"/>
  <c r="S381" i="54" a="1"/>
  <c r="S381" i="54" s="1"/>
  <c r="S386" i="54" a="1"/>
  <c r="S386" i="54" s="1"/>
  <c r="S389" i="54" a="1"/>
  <c r="S389" i="54" s="1"/>
  <c r="S395" i="54" a="1"/>
  <c r="S395" i="54" s="1"/>
  <c r="S399" i="54" a="1"/>
  <c r="S399" i="54" s="1"/>
  <c r="S403" i="54" a="1"/>
  <c r="S403" i="54" s="1"/>
  <c r="S268" i="54" a="1"/>
  <c r="S268" i="54" s="1"/>
  <c r="S271" i="54" a="1"/>
  <c r="S271" i="54" s="1"/>
  <c r="S278" i="54" a="1"/>
  <c r="S278" i="54" s="1"/>
  <c r="S284" i="54" a="1"/>
  <c r="S284" i="54" s="1"/>
  <c r="S287" i="54" a="1"/>
  <c r="S287" i="54" s="1"/>
  <c r="S289" i="54" a="1"/>
  <c r="S289" i="54" s="1"/>
  <c r="S292" i="54" a="1"/>
  <c r="S292" i="54" s="1"/>
  <c r="S296" i="54" a="1"/>
  <c r="S296" i="54" s="1"/>
  <c r="S304" i="54" a="1"/>
  <c r="S304" i="54" s="1"/>
  <c r="S307" i="54" a="1"/>
  <c r="S307" i="54" s="1"/>
  <c r="S310" i="54" a="1"/>
  <c r="S310" i="54" s="1"/>
  <c r="S314" i="54" a="1"/>
  <c r="S314" i="54" s="1"/>
  <c r="S316" i="54" a="1"/>
  <c r="S316" i="54" s="1"/>
  <c r="S322" i="54" a="1"/>
  <c r="S322" i="54" s="1"/>
  <c r="S325" i="54" a="1"/>
  <c r="S325" i="54" s="1"/>
  <c r="S330" i="54" a="1"/>
  <c r="S330" i="54" s="1"/>
  <c r="S334" i="54" a="1"/>
  <c r="S334" i="54" s="1"/>
  <c r="S340" i="54" a="1"/>
  <c r="S340" i="54" s="1"/>
  <c r="S342" i="54" a="1"/>
  <c r="S342" i="54" s="1"/>
  <c r="S348" i="54" a="1"/>
  <c r="S348" i="54" s="1"/>
  <c r="S352" i="54" a="1"/>
  <c r="S352" i="54" s="1"/>
  <c r="S356" i="54" a="1"/>
  <c r="S356" i="54" s="1"/>
  <c r="S359" i="54" a="1"/>
  <c r="S359" i="54" s="1"/>
  <c r="S364" i="54" a="1"/>
  <c r="S364" i="54" s="1"/>
  <c r="S369" i="54" a="1"/>
  <c r="S369" i="54" s="1"/>
  <c r="S374" i="54" a="1"/>
  <c r="S374" i="54" s="1"/>
  <c r="S377" i="54" a="1"/>
  <c r="S377" i="54" s="1"/>
  <c r="S387" i="54" a="1"/>
  <c r="S387" i="54" s="1"/>
  <c r="S392" i="54" a="1"/>
  <c r="S392" i="54" s="1"/>
  <c r="S396" i="54" a="1"/>
  <c r="S396" i="54" s="1"/>
  <c r="S400" i="54" a="1"/>
  <c r="S400" i="54" s="1"/>
  <c r="S404" i="54" a="1"/>
  <c r="S404" i="54" s="1"/>
  <c r="S263" i="54" a="1"/>
  <c r="S263" i="54" s="1"/>
  <c r="S273" i="54" a="1"/>
  <c r="S273" i="54" s="1"/>
  <c r="S281" i="54" a="1"/>
  <c r="S281" i="54" s="1"/>
  <c r="S285" i="54" a="1"/>
  <c r="S285" i="54" s="1"/>
  <c r="S288" i="54" a="1"/>
  <c r="S288" i="54" s="1"/>
  <c r="S290" i="54" a="1"/>
  <c r="S290" i="54" s="1"/>
  <c r="S299" i="54" a="1"/>
  <c r="S299" i="54" s="1"/>
  <c r="S305" i="54" a="1"/>
  <c r="S305" i="54" s="1"/>
  <c r="S308" i="54" a="1"/>
  <c r="S308" i="54" s="1"/>
  <c r="S311" i="54" a="1"/>
  <c r="S311" i="54" s="1"/>
  <c r="S323" i="54" a="1"/>
  <c r="S323" i="54" s="1"/>
  <c r="S326" i="54" a="1"/>
  <c r="S326" i="54" s="1"/>
  <c r="S328" i="54" a="1"/>
  <c r="S328" i="54" s="1"/>
  <c r="S331" i="54" a="1"/>
  <c r="S331" i="54" s="1"/>
  <c r="S337" i="54" a="1"/>
  <c r="S337" i="54" s="1"/>
  <c r="S343" i="54" a="1"/>
  <c r="S343" i="54" s="1"/>
  <c r="S346" i="54" a="1"/>
  <c r="S346" i="54" s="1"/>
  <c r="S349" i="54" a="1"/>
  <c r="S349" i="54" s="1"/>
  <c r="S354" i="54" a="1"/>
  <c r="S354" i="54" s="1"/>
  <c r="S357" i="54" a="1"/>
  <c r="S357" i="54" s="1"/>
  <c r="S362" i="54" a="1"/>
  <c r="S362" i="54" s="1"/>
  <c r="S365" i="54" a="1"/>
  <c r="S365" i="54" s="1"/>
  <c r="S367" i="54" a="1"/>
  <c r="S367" i="54" s="1"/>
  <c r="S372" i="54" a="1"/>
  <c r="S372" i="54" s="1"/>
  <c r="S375" i="54" a="1"/>
  <c r="S375" i="54" s="1"/>
  <c r="S382" i="54" a="1"/>
  <c r="S382" i="54" s="1"/>
  <c r="S385" i="54" a="1"/>
  <c r="S385" i="54" s="1"/>
  <c r="S390" i="54" a="1"/>
  <c r="S390" i="54" s="1"/>
  <c r="S393" i="54" a="1"/>
  <c r="S393" i="54" s="1"/>
  <c r="S401" i="54" a="1"/>
  <c r="S401" i="54" s="1"/>
  <c r="S405" i="54" a="1"/>
  <c r="S405" i="54" s="1"/>
  <c r="S265" i="54" a="1"/>
  <c r="S265" i="54" s="1"/>
  <c r="S270" i="54" a="1"/>
  <c r="S270" i="54" s="1"/>
  <c r="S274" i="54" a="1"/>
  <c r="S274" i="54" s="1"/>
  <c r="S276" i="54" a="1"/>
  <c r="S276" i="54" s="1"/>
  <c r="S279" i="54" a="1"/>
  <c r="S279" i="54" s="1"/>
  <c r="S282" i="54" a="1"/>
  <c r="S282" i="54" s="1"/>
  <c r="S286" i="54" a="1"/>
  <c r="S286" i="54" s="1"/>
  <c r="S294" i="54" a="1"/>
  <c r="S294" i="54" s="1"/>
  <c r="S297" i="54" a="1"/>
  <c r="S297" i="54" s="1"/>
  <c r="S300" i="54" a="1"/>
  <c r="S300" i="54" s="1"/>
  <c r="S302" i="54" a="1"/>
  <c r="S302" i="54" s="1"/>
  <c r="S312" i="54" a="1"/>
  <c r="S312" i="54" s="1"/>
  <c r="S317" i="54" a="1"/>
  <c r="S317" i="54" s="1"/>
  <c r="S320" i="54" a="1"/>
  <c r="S320" i="54" s="1"/>
  <c r="S324" i="54" a="1"/>
  <c r="S324" i="54" s="1"/>
  <c r="S335" i="54" a="1"/>
  <c r="S335" i="54" s="1"/>
  <c r="S338" i="54" a="1"/>
  <c r="S338" i="54" s="1"/>
  <c r="S344" i="54" a="1"/>
  <c r="S344" i="54" s="1"/>
  <c r="S350" i="54" a="1"/>
  <c r="S350" i="54" s="1"/>
  <c r="S353" i="54" a="1"/>
  <c r="S353" i="54" s="1"/>
  <c r="S355" i="54" a="1"/>
  <c r="S355" i="54" s="1"/>
  <c r="S360" i="54" a="1"/>
  <c r="S360" i="54" s="1"/>
  <c r="S363" i="54" a="1"/>
  <c r="S363" i="54" s="1"/>
  <c r="S370" i="54" a="1"/>
  <c r="S370" i="54" s="1"/>
  <c r="S373" i="54" a="1"/>
  <c r="S373" i="54" s="1"/>
  <c r="S378" i="54" a="1"/>
  <c r="S378" i="54" s="1"/>
  <c r="S380" i="54" a="1"/>
  <c r="S380" i="54" s="1"/>
  <c r="S383" i="54" a="1"/>
  <c r="S383" i="54" s="1"/>
  <c r="S388" i="54" a="1"/>
  <c r="S388" i="54" s="1"/>
  <c r="S391" i="54" a="1"/>
  <c r="S391" i="54" s="1"/>
  <c r="S394" i="54" a="1"/>
  <c r="S394" i="54" s="1"/>
  <c r="S398" i="54" a="1"/>
  <c r="S398" i="54" s="1"/>
  <c r="S402" i="54" a="1"/>
  <c r="S402" i="54" s="1"/>
  <c r="I18" i="54" a="1"/>
  <c r="I18" i="54" s="1"/>
  <c r="I22" i="54" a="1"/>
  <c r="I22" i="54" s="1"/>
  <c r="I26" i="54" a="1"/>
  <c r="I26" i="54" s="1"/>
  <c r="I32" i="54" a="1"/>
  <c r="I32" i="54" s="1"/>
  <c r="I36" i="54" a="1"/>
  <c r="I36" i="54" s="1"/>
  <c r="I40" i="54" a="1"/>
  <c r="I40" i="54" s="1"/>
  <c r="I43" i="54" a="1"/>
  <c r="I43" i="54" s="1"/>
  <c r="I50" i="54" a="1"/>
  <c r="I50" i="54" s="1"/>
  <c r="I54" i="54" a="1"/>
  <c r="I54" i="54" s="1"/>
  <c r="I56" i="54" a="1"/>
  <c r="I56" i="54" s="1"/>
  <c r="I60" i="54" a="1"/>
  <c r="I60" i="54" s="1"/>
  <c r="I64" i="54" a="1"/>
  <c r="I64" i="54" s="1"/>
  <c r="I71" i="54" a="1"/>
  <c r="I71" i="54" s="1"/>
  <c r="I74" i="54" a="1"/>
  <c r="I74" i="54" s="1"/>
  <c r="I78" i="54" a="1"/>
  <c r="I78" i="54" s="1"/>
  <c r="I83" i="54" a="1"/>
  <c r="I83" i="54" s="1"/>
  <c r="I87" i="54" a="1"/>
  <c r="I87" i="54" s="1"/>
  <c r="I90" i="54" a="1"/>
  <c r="I90" i="54" s="1"/>
  <c r="I94" i="54" a="1"/>
  <c r="I94" i="54" s="1"/>
  <c r="I101" i="54" a="1"/>
  <c r="I101" i="54" s="1"/>
  <c r="I105" i="54" a="1"/>
  <c r="I105" i="54" s="1"/>
  <c r="I109" i="54" a="1"/>
  <c r="I109" i="54" s="1"/>
  <c r="I112" i="54" a="1"/>
  <c r="I112" i="54" s="1"/>
  <c r="I116" i="54" a="1"/>
  <c r="I116" i="54" s="1"/>
  <c r="I119" i="54" a="1"/>
  <c r="I119" i="54" s="1"/>
  <c r="I123" i="54" a="1"/>
  <c r="I123" i="54" s="1"/>
  <c r="I127" i="54" a="1"/>
  <c r="I127" i="54" s="1"/>
  <c r="I130" i="54" a="1"/>
  <c r="I130" i="54" s="1"/>
  <c r="I134" i="54" a="1"/>
  <c r="I134" i="54" s="1"/>
  <c r="I141" i="54" a="1"/>
  <c r="I141" i="54" s="1"/>
  <c r="I145" i="54" a="1"/>
  <c r="I145" i="54" s="1"/>
  <c r="I148" i="54" a="1"/>
  <c r="I148" i="54" s="1"/>
  <c r="I152" i="54" a="1"/>
  <c r="I152" i="54" s="1"/>
  <c r="I154" i="54" a="1"/>
  <c r="I154" i="54" s="1"/>
  <c r="I156" i="54" a="1"/>
  <c r="I156" i="54" s="1"/>
  <c r="I158" i="54" a="1"/>
  <c r="I158" i="54" s="1"/>
  <c r="I160" i="54" a="1"/>
  <c r="I160" i="54" s="1"/>
  <c r="I167" i="54" a="1"/>
  <c r="I167" i="54" s="1"/>
  <c r="I174" i="54" a="1"/>
  <c r="I174" i="54" s="1"/>
  <c r="I178" i="54" a="1"/>
  <c r="I178" i="54" s="1"/>
  <c r="I181" i="54" a="1"/>
  <c r="I181" i="54" s="1"/>
  <c r="I185" i="54" a="1"/>
  <c r="I185" i="54" s="1"/>
  <c r="I192" i="54" a="1"/>
  <c r="I192" i="54" s="1"/>
  <c r="I196" i="54" a="1"/>
  <c r="I196" i="54" s="1"/>
  <c r="I200" i="54" a="1"/>
  <c r="I200" i="54" s="1"/>
  <c r="I203" i="54" a="1"/>
  <c r="I203" i="54" s="1"/>
  <c r="I207" i="54" a="1"/>
  <c r="I207" i="54" s="1"/>
  <c r="I210" i="54" a="1"/>
  <c r="I210" i="54" s="1"/>
  <c r="I214" i="54" a="1"/>
  <c r="I214" i="54" s="1"/>
  <c r="I218" i="54" a="1"/>
  <c r="I218" i="54" s="1"/>
  <c r="I221" i="54" a="1"/>
  <c r="I221" i="54" s="1"/>
  <c r="I225" i="54" a="1"/>
  <c r="I225" i="54" s="1"/>
  <c r="I232" i="54" a="1"/>
  <c r="I232" i="54" s="1"/>
  <c r="I236" i="54" a="1"/>
  <c r="I236" i="54" s="1"/>
  <c r="I239" i="54" a="1"/>
  <c r="I239" i="54" s="1"/>
  <c r="I243" i="54" a="1"/>
  <c r="I243" i="54" s="1"/>
  <c r="I250" i="54" a="1"/>
  <c r="I250" i="54" s="1"/>
  <c r="I257" i="54" a="1"/>
  <c r="I257" i="54" s="1"/>
  <c r="I261" i="54" a="1"/>
  <c r="I261" i="54" s="1"/>
  <c r="I265" i="54" a="1"/>
  <c r="I265" i="54" s="1"/>
  <c r="I268" i="54" a="1"/>
  <c r="I268" i="54" s="1"/>
  <c r="I272" i="54" a="1"/>
  <c r="I272" i="54" s="1"/>
  <c r="I275" i="54" a="1"/>
  <c r="I275" i="54" s="1"/>
  <c r="I276" i="54" a="1"/>
  <c r="I276" i="54" s="1"/>
  <c r="I279" i="54" a="1"/>
  <c r="I279" i="54" s="1"/>
  <c r="I283" i="54" a="1"/>
  <c r="I283" i="54" s="1"/>
  <c r="I286" i="54" a="1"/>
  <c r="I286" i="54" s="1"/>
  <c r="I290" i="54" a="1"/>
  <c r="I290" i="54" s="1"/>
  <c r="I294" i="54" a="1"/>
  <c r="I294" i="54" s="1"/>
  <c r="I297" i="54" a="1"/>
  <c r="I297" i="54" s="1"/>
  <c r="I301" i="54" a="1"/>
  <c r="I301" i="54" s="1"/>
  <c r="I308" i="54" a="1"/>
  <c r="I308" i="54" s="1"/>
  <c r="I311" i="54" a="1"/>
  <c r="I311" i="54" s="1"/>
  <c r="I317" i="54" a="1"/>
  <c r="I317" i="54" s="1"/>
  <c r="I321" i="54" a="1"/>
  <c r="I321" i="54" s="1"/>
  <c r="I325" i="54" a="1"/>
  <c r="I325" i="54" s="1"/>
  <c r="I330" i="54" a="1"/>
  <c r="I330" i="54" s="1"/>
  <c r="I333" i="54" a="1"/>
  <c r="I333" i="54" s="1"/>
  <c r="I336" i="54" a="1"/>
  <c r="I336" i="54" s="1"/>
  <c r="I349" i="54" a="1"/>
  <c r="I349" i="54" s="1"/>
  <c r="I352" i="54" a="1"/>
  <c r="I352" i="54" s="1"/>
  <c r="I355" i="54" a="1"/>
  <c r="I355" i="54" s="1"/>
  <c r="I365" i="54" a="1"/>
  <c r="I365" i="54" s="1"/>
  <c r="I367" i="54" a="1"/>
  <c r="I367" i="54" s="1"/>
  <c r="I370" i="54" a="1"/>
  <c r="I370" i="54" s="1"/>
  <c r="I377" i="54" a="1"/>
  <c r="I377" i="54" s="1"/>
  <c r="I385" i="54" a="1"/>
  <c r="I385" i="54" s="1"/>
  <c r="I388" i="54" a="1"/>
  <c r="I388" i="54" s="1"/>
  <c r="I393" i="54" a="1"/>
  <c r="I393" i="54" s="1"/>
  <c r="I396" i="54" a="1"/>
  <c r="I396" i="54" s="1"/>
  <c r="I403" i="54" a="1"/>
  <c r="I403" i="54" s="1"/>
  <c r="I19" i="54" a="1"/>
  <c r="I19" i="54" s="1"/>
  <c r="I23" i="54" a="1"/>
  <c r="I23" i="54" s="1"/>
  <c r="I29" i="54" a="1"/>
  <c r="I29" i="54" s="1"/>
  <c r="I37" i="54" a="1"/>
  <c r="I37" i="54" s="1"/>
  <c r="I41" i="54" a="1"/>
  <c r="I41" i="54" s="1"/>
  <c r="I44" i="54" a="1"/>
  <c r="I44" i="54" s="1"/>
  <c r="I47" i="54" a="1"/>
  <c r="I47" i="54" s="1"/>
  <c r="I51" i="54" a="1"/>
  <c r="I51" i="54" s="1"/>
  <c r="I57" i="54" a="1"/>
  <c r="I57" i="54" s="1"/>
  <c r="I61" i="54" a="1"/>
  <c r="I61" i="54" s="1"/>
  <c r="I65" i="54" a="1"/>
  <c r="I65" i="54" s="1"/>
  <c r="I68" i="54" a="1"/>
  <c r="I68" i="54" s="1"/>
  <c r="I75" i="54" a="1"/>
  <c r="I75" i="54" s="1"/>
  <c r="I79" i="54" a="1"/>
  <c r="I79" i="54" s="1"/>
  <c r="I81" i="54" a="1"/>
  <c r="I81" i="54" s="1"/>
  <c r="I84" i="54" a="1"/>
  <c r="I84" i="54" s="1"/>
  <c r="I88" i="54" a="1"/>
  <c r="I88" i="54" s="1"/>
  <c r="I91" i="54" a="1"/>
  <c r="I91" i="54" s="1"/>
  <c r="I95" i="54" a="1"/>
  <c r="I95" i="54" s="1"/>
  <c r="I99" i="54" a="1"/>
  <c r="I99" i="54" s="1"/>
  <c r="I102" i="54" a="1"/>
  <c r="I102" i="54" s="1"/>
  <c r="I106" i="54" a="1"/>
  <c r="I106" i="54" s="1"/>
  <c r="I113" i="54" a="1"/>
  <c r="I113" i="54" s="1"/>
  <c r="I117" i="54" a="1"/>
  <c r="I117" i="54" s="1"/>
  <c r="I120" i="54" a="1"/>
  <c r="I120" i="54" s="1"/>
  <c r="I131" i="54" a="1"/>
  <c r="I131" i="54" s="1"/>
  <c r="I135" i="54" a="1"/>
  <c r="I135" i="54" s="1"/>
  <c r="I138" i="54" a="1"/>
  <c r="I138" i="54" s="1"/>
  <c r="I142" i="54" a="1"/>
  <c r="I142" i="54" s="1"/>
  <c r="I146" i="54" a="1"/>
  <c r="I146" i="54" s="1"/>
  <c r="I161" i="54" a="1"/>
  <c r="I161" i="54" s="1"/>
  <c r="I164" i="54" a="1"/>
  <c r="I164" i="54" s="1"/>
  <c r="I168" i="54" a="1"/>
  <c r="I168" i="54" s="1"/>
  <c r="I171" i="54" a="1"/>
  <c r="I171" i="54" s="1"/>
  <c r="I172" i="54" a="1"/>
  <c r="I172" i="54" s="1"/>
  <c r="I175" i="54" a="1"/>
  <c r="I175" i="54" s="1"/>
  <c r="I179" i="54" a="1"/>
  <c r="I179" i="54" s="1"/>
  <c r="I182" i="54" a="1"/>
  <c r="I182" i="54" s="1"/>
  <c r="I186" i="54" a="1"/>
  <c r="I186" i="54" s="1"/>
  <c r="I190" i="54" a="1"/>
  <c r="I190" i="54" s="1"/>
  <c r="I193" i="54" a="1"/>
  <c r="I193" i="54" s="1"/>
  <c r="I197" i="54" a="1"/>
  <c r="I197" i="54" s="1"/>
  <c r="I204" i="54" a="1"/>
  <c r="I204" i="54" s="1"/>
  <c r="I208" i="54" a="1"/>
  <c r="I208" i="54" s="1"/>
  <c r="I211" i="54" a="1"/>
  <c r="I211" i="54" s="1"/>
  <c r="I222" i="54" a="1"/>
  <c r="I222" i="54" s="1"/>
  <c r="I226" i="54" a="1"/>
  <c r="I226" i="54" s="1"/>
  <c r="I229" i="54" a="1"/>
  <c r="I229" i="54" s="1"/>
  <c r="I233" i="54" a="1"/>
  <c r="I233" i="54" s="1"/>
  <c r="I237" i="54" a="1"/>
  <c r="I237" i="54" s="1"/>
  <c r="I240" i="54" a="1"/>
  <c r="I240" i="54" s="1"/>
  <c r="I244" i="54" a="1"/>
  <c r="I244" i="54" s="1"/>
  <c r="I247" i="54" a="1"/>
  <c r="I247" i="54" s="1"/>
  <c r="I251" i="54" a="1"/>
  <c r="I251" i="54" s="1"/>
  <c r="I255" i="54" a="1"/>
  <c r="I255" i="54" s="1"/>
  <c r="I258" i="54" a="1"/>
  <c r="I258" i="54" s="1"/>
  <c r="I262" i="54" a="1"/>
  <c r="I262" i="54" s="1"/>
  <c r="I266" i="54" a="1"/>
  <c r="I266" i="54" s="1"/>
  <c r="I269" i="54" a="1"/>
  <c r="I269" i="54" s="1"/>
  <c r="I273" i="54" a="1"/>
  <c r="I273" i="54" s="1"/>
  <c r="I284" i="54" a="1"/>
  <c r="I284" i="54" s="1"/>
  <c r="I287" i="54" a="1"/>
  <c r="I287" i="54" s="1"/>
  <c r="I291" i="54" a="1"/>
  <c r="I291" i="54" s="1"/>
  <c r="I298" i="54" a="1"/>
  <c r="I298" i="54" s="1"/>
  <c r="I302" i="54" a="1"/>
  <c r="I302" i="54" s="1"/>
  <c r="I305" i="54" a="1"/>
  <c r="I305" i="54" s="1"/>
  <c r="I312" i="54" a="1"/>
  <c r="I312" i="54" s="1"/>
  <c r="I318" i="54" a="1"/>
  <c r="I318" i="54" s="1"/>
  <c r="I322" i="54" a="1"/>
  <c r="I322" i="54" s="1"/>
  <c r="I326" i="54" a="1"/>
  <c r="I326" i="54" s="1"/>
  <c r="I331" i="54" a="1"/>
  <c r="I331" i="54" s="1"/>
  <c r="I334" i="54" a="1"/>
  <c r="I334" i="54" s="1"/>
  <c r="I337" i="54" a="1"/>
  <c r="I337" i="54" s="1"/>
  <c r="I340" i="54" a="1"/>
  <c r="I340" i="54" s="1"/>
  <c r="I342" i="54" a="1"/>
  <c r="I342" i="54" s="1"/>
  <c r="I346" i="54" a="1"/>
  <c r="I346" i="54" s="1"/>
  <c r="I353" i="54" a="1"/>
  <c r="I353" i="54" s="1"/>
  <c r="I359" i="54" a="1"/>
  <c r="I359" i="54" s="1"/>
  <c r="I362" i="54" a="1"/>
  <c r="I362" i="54" s="1"/>
  <c r="I366" i="54" a="1"/>
  <c r="I366" i="54" s="1"/>
  <c r="I368" i="54" a="1"/>
  <c r="I368" i="54" s="1"/>
  <c r="I374" i="54" a="1"/>
  <c r="I374" i="54" s="1"/>
  <c r="I378" i="54" a="1"/>
  <c r="I378" i="54" s="1"/>
  <c r="I382" i="54" a="1"/>
  <c r="I382" i="54" s="1"/>
  <c r="I386" i="54" a="1"/>
  <c r="I386" i="54" s="1"/>
  <c r="I389" i="54" a="1"/>
  <c r="I389" i="54" s="1"/>
  <c r="I392" i="54" a="1"/>
  <c r="I392" i="54" s="1"/>
  <c r="I400" i="54" a="1"/>
  <c r="I400" i="54" s="1"/>
  <c r="I404" i="54" a="1"/>
  <c r="I404" i="54" s="1"/>
  <c r="I381" i="54" a="1"/>
  <c r="I381" i="54" s="1"/>
  <c r="I395" i="54" a="1"/>
  <c r="I395" i="54" s="1"/>
  <c r="I16" i="54" a="1"/>
  <c r="I16" i="54" s="1"/>
  <c r="I24" i="54" a="1"/>
  <c r="I24" i="54" s="1"/>
  <c r="I27" i="54" a="1"/>
  <c r="I27" i="54" s="1"/>
  <c r="I30" i="54" a="1"/>
  <c r="I30" i="54" s="1"/>
  <c r="I34" i="54" a="1"/>
  <c r="I34" i="54" s="1"/>
  <c r="I38" i="54" a="1"/>
  <c r="I38" i="54" s="1"/>
  <c r="I45" i="54" a="1"/>
  <c r="I45" i="54" s="1"/>
  <c r="I48" i="54" a="1"/>
  <c r="I48" i="54" s="1"/>
  <c r="I52" i="54" a="1"/>
  <c r="I52" i="54" s="1"/>
  <c r="I58" i="54" a="1"/>
  <c r="I58" i="54" s="1"/>
  <c r="I62" i="54" a="1"/>
  <c r="I62" i="54" s="1"/>
  <c r="I66" i="54" a="1"/>
  <c r="I66" i="54" s="1"/>
  <c r="I69" i="54" a="1"/>
  <c r="I69" i="54" s="1"/>
  <c r="I76" i="54" a="1"/>
  <c r="I76" i="54" s="1"/>
  <c r="I80" i="54" a="1"/>
  <c r="I80" i="54" s="1"/>
  <c r="I89" i="54" a="1"/>
  <c r="I89" i="54" s="1"/>
  <c r="I92" i="54" a="1"/>
  <c r="I92" i="54" s="1"/>
  <c r="I96" i="54" a="1"/>
  <c r="I96" i="54" s="1"/>
  <c r="I103" i="54" a="1"/>
  <c r="I103" i="54" s="1"/>
  <c r="I107" i="54" a="1"/>
  <c r="I107" i="54" s="1"/>
  <c r="I110" i="54" a="1"/>
  <c r="I110" i="54" s="1"/>
  <c r="I114" i="54" a="1"/>
  <c r="I114" i="54" s="1"/>
  <c r="I121" i="54" a="1"/>
  <c r="I121" i="54" s="1"/>
  <c r="I125" i="54" a="1"/>
  <c r="I125" i="54" s="1"/>
  <c r="I128" i="54" a="1"/>
  <c r="I128" i="54" s="1"/>
  <c r="I132" i="54" a="1"/>
  <c r="I132" i="54" s="1"/>
  <c r="I136" i="54" a="1"/>
  <c r="I136" i="54" s="1"/>
  <c r="I139" i="54" a="1"/>
  <c r="I139" i="54" s="1"/>
  <c r="I143" i="54" a="1"/>
  <c r="I143" i="54" s="1"/>
  <c r="I147" i="54" a="1"/>
  <c r="I147" i="54" s="1"/>
  <c r="I149" i="54" a="1"/>
  <c r="I149" i="54" s="1"/>
  <c r="I151" i="54" a="1"/>
  <c r="I151" i="54" s="1"/>
  <c r="I153" i="54" a="1"/>
  <c r="I153" i="54" s="1"/>
  <c r="I155" i="54" a="1"/>
  <c r="I155" i="54" s="1"/>
  <c r="I157" i="54" a="1"/>
  <c r="I157" i="54" s="1"/>
  <c r="I162" i="54" a="1"/>
  <c r="I162" i="54" s="1"/>
  <c r="I165" i="54" a="1"/>
  <c r="I165" i="54" s="1"/>
  <c r="I169" i="54" a="1"/>
  <c r="I169" i="54" s="1"/>
  <c r="I180" i="54" a="1"/>
  <c r="I180" i="54" s="1"/>
  <c r="I183" i="54" a="1"/>
  <c r="I183" i="54" s="1"/>
  <c r="I187" i="54" a="1"/>
  <c r="I187" i="54" s="1"/>
  <c r="I194" i="54" a="1"/>
  <c r="I194" i="54" s="1"/>
  <c r="I198" i="54" a="1"/>
  <c r="I198" i="54" s="1"/>
  <c r="I201" i="54" a="1"/>
  <c r="I201" i="54" s="1"/>
  <c r="I205" i="54" a="1"/>
  <c r="I205" i="54" s="1"/>
  <c r="I212" i="54" a="1"/>
  <c r="I212" i="54" s="1"/>
  <c r="I216" i="54" a="1"/>
  <c r="I216" i="54" s="1"/>
  <c r="I219" i="54" a="1"/>
  <c r="I219" i="54" s="1"/>
  <c r="I223" i="54" a="1"/>
  <c r="I223" i="54" s="1"/>
  <c r="I227" i="54" a="1"/>
  <c r="I227" i="54" s="1"/>
  <c r="I230" i="54" a="1"/>
  <c r="I230" i="54" s="1"/>
  <c r="I234" i="54" a="1"/>
  <c r="I234" i="54" s="1"/>
  <c r="I238" i="54" a="1"/>
  <c r="I238" i="54" s="1"/>
  <c r="I245" i="54" a="1"/>
  <c r="I245" i="54" s="1"/>
  <c r="I248" i="54" a="1"/>
  <c r="I248" i="54" s="1"/>
  <c r="I252" i="54" a="1"/>
  <c r="I252" i="54" s="1"/>
  <c r="I256" i="54" a="1"/>
  <c r="I256" i="54" s="1"/>
  <c r="I259" i="54" a="1"/>
  <c r="I259" i="54" s="1"/>
  <c r="I263" i="54" a="1"/>
  <c r="I263" i="54" s="1"/>
  <c r="I270" i="54" a="1"/>
  <c r="I270" i="54" s="1"/>
  <c r="I274" i="54" a="1"/>
  <c r="I274" i="54" s="1"/>
  <c r="I277" i="54" a="1"/>
  <c r="I277" i="54" s="1"/>
  <c r="I281" i="54" a="1"/>
  <c r="I281" i="54" s="1"/>
  <c r="I288" i="54" a="1"/>
  <c r="I288" i="54" s="1"/>
  <c r="I292" i="54" a="1"/>
  <c r="I292" i="54" s="1"/>
  <c r="I295" i="54" a="1"/>
  <c r="I295" i="54" s="1"/>
  <c r="I299" i="54" a="1"/>
  <c r="I299" i="54" s="1"/>
  <c r="I303" i="54" a="1"/>
  <c r="I303" i="54" s="1"/>
  <c r="I309" i="54" a="1"/>
  <c r="I309" i="54" s="1"/>
  <c r="I313" i="54" a="1"/>
  <c r="I313" i="54" s="1"/>
  <c r="I315" i="54" a="1"/>
  <c r="I315" i="54" s="1"/>
  <c r="I323" i="54" a="1"/>
  <c r="I323" i="54" s="1"/>
  <c r="I327" i="54" a="1"/>
  <c r="I327" i="54" s="1"/>
  <c r="I328" i="54" a="1"/>
  <c r="I328" i="54" s="1"/>
  <c r="I335" i="54" a="1"/>
  <c r="I335" i="54" s="1"/>
  <c r="I338" i="54" a="1"/>
  <c r="I338" i="54" s="1"/>
  <c r="I343" i="54" a="1"/>
  <c r="I343" i="54" s="1"/>
  <c r="I347" i="54" a="1"/>
  <c r="I347" i="54" s="1"/>
  <c r="I350" i="54" a="1"/>
  <c r="I350" i="54" s="1"/>
  <c r="I356" i="54" a="1"/>
  <c r="I356" i="54" s="1"/>
  <c r="I360" i="54" a="1"/>
  <c r="I360" i="54" s="1"/>
  <c r="I363" i="54" a="1"/>
  <c r="I363" i="54" s="1"/>
  <c r="I369" i="54" a="1"/>
  <c r="I369" i="54" s="1"/>
  <c r="I372" i="54" a="1"/>
  <c r="I372" i="54" s="1"/>
  <c r="I375" i="54" a="1"/>
  <c r="I375" i="54" s="1"/>
  <c r="I379" i="54" a="1"/>
  <c r="I379" i="54" s="1"/>
  <c r="I380" i="54" a="1"/>
  <c r="I380" i="54" s="1"/>
  <c r="I383" i="54" a="1"/>
  <c r="I383" i="54" s="1"/>
  <c r="I387" i="54" a="1"/>
  <c r="I387" i="54" s="1"/>
  <c r="I390" i="54" a="1"/>
  <c r="I390" i="54" s="1"/>
  <c r="I394" i="54" a="1"/>
  <c r="I394" i="54" s="1"/>
  <c r="I398" i="54" a="1"/>
  <c r="I398" i="54" s="1"/>
  <c r="I401" i="54" a="1"/>
  <c r="I401" i="54" s="1"/>
  <c r="I405" i="54" a="1"/>
  <c r="I405" i="54" s="1"/>
  <c r="I376" i="54" a="1"/>
  <c r="I376" i="54" s="1"/>
  <c r="I399" i="54" a="1"/>
  <c r="I399" i="54" s="1"/>
  <c r="I17" i="54" a="1"/>
  <c r="I17" i="54" s="1"/>
  <c r="I21" i="54" a="1"/>
  <c r="I21" i="54" s="1"/>
  <c r="I25" i="54" a="1"/>
  <c r="I25" i="54" s="1"/>
  <c r="I28" i="54" a="1"/>
  <c r="I28" i="54" s="1"/>
  <c r="I31" i="54" a="1"/>
  <c r="I31" i="54" s="1"/>
  <c r="I35" i="54" a="1"/>
  <c r="I35" i="54" s="1"/>
  <c r="I39" i="54" a="1"/>
  <c r="I39" i="54" s="1"/>
  <c r="I42" i="54" a="1"/>
  <c r="I42" i="54" s="1"/>
  <c r="I49" i="54" a="1"/>
  <c r="I49" i="54" s="1"/>
  <c r="I53" i="54" a="1"/>
  <c r="I53" i="54" s="1"/>
  <c r="I55" i="54" a="1"/>
  <c r="I55" i="54" s="1"/>
  <c r="I63" i="54" a="1"/>
  <c r="I63" i="54" s="1"/>
  <c r="I67" i="54" a="1"/>
  <c r="I67" i="54" s="1"/>
  <c r="I70" i="54" a="1"/>
  <c r="I70" i="54" s="1"/>
  <c r="I73" i="54" a="1"/>
  <c r="I73" i="54" s="1"/>
  <c r="I77" i="54" a="1"/>
  <c r="I77" i="54" s="1"/>
  <c r="I82" i="54" a="1"/>
  <c r="I82" i="54" s="1"/>
  <c r="I86" i="54" a="1"/>
  <c r="I86" i="54" s="1"/>
  <c r="I93" i="54" a="1"/>
  <c r="I93" i="54" s="1"/>
  <c r="I97" i="54" a="1"/>
  <c r="I97" i="54" s="1"/>
  <c r="I100" i="54" a="1"/>
  <c r="I100" i="54" s="1"/>
  <c r="I104" i="54" a="1"/>
  <c r="I104" i="54" s="1"/>
  <c r="I108" i="54" a="1"/>
  <c r="I108" i="54" s="1"/>
  <c r="I115" i="54" a="1"/>
  <c r="I115" i="54" s="1"/>
  <c r="I118" i="54" a="1"/>
  <c r="I118" i="54" s="1"/>
  <c r="I122" i="54" a="1"/>
  <c r="I122" i="54" s="1"/>
  <c r="I126" i="54" a="1"/>
  <c r="I126" i="54" s="1"/>
  <c r="I129" i="54" a="1"/>
  <c r="I129" i="54" s="1"/>
  <c r="I133" i="54" a="1"/>
  <c r="I133" i="54" s="1"/>
  <c r="I140" i="54" a="1"/>
  <c r="I140" i="54" s="1"/>
  <c r="I144" i="54" a="1"/>
  <c r="I144" i="54" s="1"/>
  <c r="I159" i="54" a="1"/>
  <c r="I159" i="54" s="1"/>
  <c r="I166" i="54" a="1"/>
  <c r="I166" i="54" s="1"/>
  <c r="I170" i="54" a="1"/>
  <c r="I170" i="54" s="1"/>
  <c r="I173" i="54" a="1"/>
  <c r="I173" i="54" s="1"/>
  <c r="I177" i="54" a="1"/>
  <c r="I177" i="54" s="1"/>
  <c r="I184" i="54" a="1"/>
  <c r="I184" i="54" s="1"/>
  <c r="I188" i="54" a="1"/>
  <c r="I188" i="54" s="1"/>
  <c r="I191" i="54" a="1"/>
  <c r="I191" i="54" s="1"/>
  <c r="I195" i="54" a="1"/>
  <c r="I195" i="54" s="1"/>
  <c r="I199" i="54" a="1"/>
  <c r="I199" i="54" s="1"/>
  <c r="I206" i="54" a="1"/>
  <c r="I206" i="54" s="1"/>
  <c r="I209" i="54" a="1"/>
  <c r="I209" i="54" s="1"/>
  <c r="I213" i="54" a="1"/>
  <c r="I213" i="54" s="1"/>
  <c r="I217" i="54" a="1"/>
  <c r="I217" i="54" s="1"/>
  <c r="I220" i="54" a="1"/>
  <c r="I220" i="54" s="1"/>
  <c r="I224" i="54" a="1"/>
  <c r="I224" i="54" s="1"/>
  <c r="I231" i="54" a="1"/>
  <c r="I231" i="54" s="1"/>
  <c r="I235" i="54" a="1"/>
  <c r="I235" i="54" s="1"/>
  <c r="I242" i="54" a="1"/>
  <c r="I242" i="54" s="1"/>
  <c r="I246" i="54" a="1"/>
  <c r="I246" i="54" s="1"/>
  <c r="I249" i="54" a="1"/>
  <c r="I249" i="54" s="1"/>
  <c r="I253" i="54" a="1"/>
  <c r="I253" i="54" s="1"/>
  <c r="I260" i="54" a="1"/>
  <c r="I260" i="54" s="1"/>
  <c r="I264" i="54" a="1"/>
  <c r="I264" i="54" s="1"/>
  <c r="I271" i="54" a="1"/>
  <c r="I271" i="54" s="1"/>
  <c r="I278" i="54" a="1"/>
  <c r="I278" i="54" s="1"/>
  <c r="I282" i="54" a="1"/>
  <c r="I282" i="54" s="1"/>
  <c r="I285" i="54" a="1"/>
  <c r="I285" i="54" s="1"/>
  <c r="I289" i="54" a="1"/>
  <c r="I289" i="54" s="1"/>
  <c r="I296" i="54" a="1"/>
  <c r="I296" i="54" s="1"/>
  <c r="I300" i="54" a="1"/>
  <c r="I300" i="54" s="1"/>
  <c r="I304" i="54" a="1"/>
  <c r="I304" i="54" s="1"/>
  <c r="I307" i="54" a="1"/>
  <c r="I307" i="54" s="1"/>
  <c r="I310" i="54" a="1"/>
  <c r="I310" i="54" s="1"/>
  <c r="I314" i="54" a="1"/>
  <c r="I314" i="54" s="1"/>
  <c r="I316" i="54" a="1"/>
  <c r="I316" i="54" s="1"/>
  <c r="I320" i="54" a="1"/>
  <c r="I320" i="54" s="1"/>
  <c r="I324" i="54" a="1"/>
  <c r="I324" i="54" s="1"/>
  <c r="I329" i="54" a="1"/>
  <c r="I329" i="54" s="1"/>
  <c r="I339" i="54" a="1"/>
  <c r="I339" i="54" s="1"/>
  <c r="I341" i="54" a="1"/>
  <c r="I341" i="54" s="1"/>
  <c r="I344" i="54" a="1"/>
  <c r="I344" i="54" s="1"/>
  <c r="I348" i="54" a="1"/>
  <c r="I348" i="54" s="1"/>
  <c r="I351" i="54" a="1"/>
  <c r="I351" i="54" s="1"/>
  <c r="I354" i="54" a="1"/>
  <c r="I354" i="54" s="1"/>
  <c r="I357" i="54" a="1"/>
  <c r="I357" i="54" s="1"/>
  <c r="I361" i="54" a="1"/>
  <c r="I361" i="54" s="1"/>
  <c r="I364" i="54" a="1"/>
  <c r="I364" i="54" s="1"/>
  <c r="I373" i="54" a="1"/>
  <c r="I373" i="54" s="1"/>
  <c r="I391" i="54" a="1"/>
  <c r="I391" i="54" s="1"/>
  <c r="I402" i="54" a="1"/>
  <c r="I402" i="54" s="1"/>
  <c r="AQ303" i="60" l="1"/>
  <c r="AQ241" i="60"/>
  <c r="AQ37" i="60"/>
  <c r="AQ402" i="60"/>
  <c r="AQ264" i="60"/>
  <c r="AQ268" i="60"/>
  <c r="AQ311" i="60"/>
  <c r="AQ362" i="60"/>
  <c r="AQ191" i="60"/>
  <c r="AQ62" i="60"/>
  <c r="AQ97" i="60"/>
  <c r="AQ389" i="60"/>
  <c r="AQ207" i="60"/>
  <c r="AQ101" i="60"/>
  <c r="AQ318" i="60"/>
  <c r="AQ368" i="60"/>
  <c r="AQ372" i="60"/>
  <c r="AQ195" i="60"/>
  <c r="AQ199" i="60"/>
  <c r="AQ275" i="60"/>
  <c r="AQ314" i="60"/>
  <c r="AQ276" i="60"/>
  <c r="AQ280" i="60"/>
  <c r="AQ323" i="60"/>
  <c r="AQ281" i="60"/>
  <c r="AQ206" i="60"/>
  <c r="AQ300" i="60"/>
  <c r="AQ279" i="60"/>
  <c r="AQ277" i="60"/>
  <c r="AQ327" i="60"/>
  <c r="AQ332" i="60"/>
  <c r="AQ401" i="60"/>
  <c r="AQ340" i="60"/>
  <c r="AQ354" i="60"/>
  <c r="AQ220" i="60"/>
  <c r="AQ260" i="60"/>
  <c r="AQ253" i="60"/>
  <c r="AQ54" i="60"/>
  <c r="AQ58" i="60"/>
  <c r="AQ114" i="60"/>
  <c r="AQ124" i="60"/>
  <c r="AQ141" i="60"/>
  <c r="AQ272" i="60"/>
  <c r="AQ261" i="60"/>
  <c r="AQ283" i="60"/>
  <c r="AQ289" i="60"/>
  <c r="AQ293" i="60"/>
  <c r="AQ322" i="60"/>
  <c r="AQ284" i="60"/>
  <c r="AQ290" i="60"/>
  <c r="AQ176" i="60"/>
  <c r="AQ181" i="60"/>
  <c r="AQ164" i="60"/>
  <c r="AQ158" i="60"/>
  <c r="AQ15" i="60"/>
  <c r="AQ19" i="60"/>
  <c r="AQ90" i="60"/>
  <c r="AQ150" i="60"/>
  <c r="AQ216" i="60"/>
  <c r="AQ198" i="60"/>
  <c r="AQ248" i="60"/>
  <c r="AQ23" i="60"/>
  <c r="AQ29" i="60"/>
  <c r="AQ33" i="60"/>
  <c r="AQ52" i="60"/>
  <c r="AQ68" i="60"/>
  <c r="AQ89" i="60"/>
  <c r="AQ93" i="60"/>
  <c r="AQ134" i="60"/>
  <c r="AQ308" i="60"/>
  <c r="AQ315" i="60"/>
  <c r="AQ63" i="60"/>
  <c r="AQ72" i="60"/>
  <c r="AQ269" i="60"/>
  <c r="AQ312" i="60"/>
  <c r="AQ301" i="60"/>
  <c r="AQ305" i="60"/>
  <c r="AQ324" i="60"/>
  <c r="AQ263" i="60"/>
  <c r="AQ267" i="60"/>
  <c r="AQ288" i="60"/>
  <c r="AQ292" i="60"/>
  <c r="AQ392" i="60"/>
  <c r="AQ182" i="60"/>
  <c r="AQ273" i="60"/>
  <c r="AQ294" i="60"/>
  <c r="AQ262" i="60"/>
  <c r="AQ183" i="60"/>
  <c r="AQ297" i="60"/>
  <c r="AQ307" i="60"/>
  <c r="AQ298" i="60"/>
  <c r="AQ270" i="60"/>
  <c r="AQ287" i="60"/>
  <c r="AQ295" i="60"/>
  <c r="AQ274" i="60"/>
  <c r="AQ282" i="60"/>
  <c r="AQ310" i="60"/>
  <c r="AQ313" i="60"/>
  <c r="AQ321" i="60"/>
  <c r="AQ363" i="60"/>
  <c r="AQ319" i="60"/>
  <c r="AQ299" i="60"/>
  <c r="AQ316" i="60"/>
  <c r="AQ320" i="60"/>
  <c r="AQ286" i="60"/>
  <c r="AQ325" i="60"/>
  <c r="AQ329" i="60"/>
  <c r="AQ341" i="60"/>
  <c r="AQ365" i="60"/>
  <c r="AQ373" i="60"/>
  <c r="AQ390" i="60"/>
  <c r="AQ172" i="60"/>
  <c r="AQ177" i="60"/>
  <c r="AQ168" i="60"/>
  <c r="AQ180" i="60"/>
  <c r="AQ169" i="60"/>
  <c r="AQ166" i="60"/>
  <c r="AQ192" i="60"/>
  <c r="AQ202" i="60"/>
  <c r="AQ221" i="60"/>
  <c r="AQ223" i="60"/>
  <c r="AQ210" i="60"/>
  <c r="AQ214" i="60"/>
  <c r="AQ227" i="60"/>
  <c r="AQ197" i="60"/>
  <c r="AQ201" i="60"/>
  <c r="AQ237" i="60"/>
  <c r="AQ173" i="60"/>
  <c r="AQ178" i="60"/>
  <c r="AQ170" i="60"/>
  <c r="AQ171" i="60"/>
  <c r="AQ175" i="60"/>
  <c r="AQ186" i="60"/>
  <c r="AQ190" i="60"/>
  <c r="AQ203" i="60"/>
  <c r="AQ218" i="60"/>
  <c r="AQ205" i="60"/>
  <c r="AQ211" i="60"/>
  <c r="AQ215" i="60"/>
  <c r="AQ224" i="60"/>
  <c r="AQ228" i="60"/>
  <c r="AQ222" i="60"/>
  <c r="AQ230" i="60"/>
  <c r="AQ179" i="60"/>
  <c r="AQ185" i="60"/>
  <c r="AQ189" i="60"/>
  <c r="AQ194" i="60"/>
  <c r="AQ233" i="60"/>
  <c r="AQ196" i="60"/>
  <c r="AQ204" i="60"/>
  <c r="AQ219" i="60"/>
  <c r="AQ232" i="60"/>
  <c r="AQ234" i="60"/>
  <c r="AQ244" i="60"/>
  <c r="AQ160" i="60"/>
  <c r="AQ157" i="60"/>
  <c r="AQ165" i="60"/>
  <c r="AQ162" i="60"/>
  <c r="AQ184" i="60"/>
  <c r="AQ188" i="60"/>
  <c r="AQ193" i="60"/>
  <c r="AQ209" i="60"/>
  <c r="AQ217" i="60"/>
  <c r="AQ208" i="60"/>
  <c r="AQ225" i="60"/>
  <c r="AQ229" i="60"/>
  <c r="AQ246" i="60"/>
  <c r="AQ247" i="60"/>
  <c r="AQ256" i="60"/>
  <c r="AQ258" i="60"/>
  <c r="AQ251" i="60"/>
  <c r="AQ255" i="60"/>
  <c r="AQ20" i="60"/>
  <c r="AQ16" i="60"/>
  <c r="AQ17" i="60"/>
  <c r="AQ21" i="60"/>
  <c r="AQ26" i="60"/>
  <c r="AQ49" i="60"/>
  <c r="AQ55" i="60"/>
  <c r="AQ59" i="60"/>
  <c r="AQ42" i="60"/>
  <c r="AQ46" i="60"/>
  <c r="AQ43" i="60"/>
  <c r="AQ47" i="60"/>
  <c r="AQ84" i="60"/>
  <c r="AQ91" i="60"/>
  <c r="AQ102" i="60"/>
  <c r="AQ236" i="60"/>
  <c r="AQ240" i="60"/>
  <c r="AQ249" i="60"/>
  <c r="AQ259" i="60"/>
  <c r="AQ24" i="60"/>
  <c r="AQ30" i="60"/>
  <c r="AQ34" i="60"/>
  <c r="AQ25" i="60"/>
  <c r="AQ28" i="60"/>
  <c r="AQ32" i="60"/>
  <c r="AQ50" i="60"/>
  <c r="AQ56" i="60"/>
  <c r="AQ60" i="60"/>
  <c r="AQ51" i="60"/>
  <c r="AQ69" i="60"/>
  <c r="AQ73" i="60"/>
  <c r="AQ66" i="60"/>
  <c r="AQ74" i="60"/>
  <c r="AQ80" i="60"/>
  <c r="AQ257" i="60"/>
  <c r="AQ38" i="60"/>
  <c r="AQ27" i="60"/>
  <c r="AQ35" i="60"/>
  <c r="AQ36" i="60"/>
  <c r="AQ64" i="60"/>
  <c r="AQ53" i="60"/>
  <c r="AQ61" i="60"/>
  <c r="AQ77" i="60"/>
  <c r="AQ245" i="60"/>
  <c r="AQ238" i="60"/>
  <c r="AQ242" i="60"/>
  <c r="AQ235" i="60"/>
  <c r="AQ243" i="60"/>
  <c r="AQ250" i="60"/>
  <c r="AQ254" i="60"/>
  <c r="AQ39" i="60"/>
  <c r="AQ14" i="60"/>
  <c r="AQ22" i="60"/>
  <c r="AQ40" i="60"/>
  <c r="AQ48" i="60"/>
  <c r="AQ41" i="60"/>
  <c r="AQ45" i="60"/>
  <c r="AQ65" i="60"/>
  <c r="AQ88" i="60"/>
  <c r="AQ79" i="60"/>
  <c r="AQ110" i="60"/>
  <c r="AQ108" i="60"/>
  <c r="AQ112" i="60"/>
  <c r="AQ119" i="60"/>
  <c r="AQ123" i="60"/>
  <c r="AQ138" i="60"/>
  <c r="AQ131" i="60"/>
  <c r="AQ139" i="60"/>
  <c r="AQ153" i="60"/>
  <c r="AQ155" i="60"/>
  <c r="AQ92" i="60"/>
  <c r="AQ100" i="60"/>
  <c r="AQ107" i="60"/>
  <c r="AQ111" i="60"/>
  <c r="AQ167" i="60"/>
  <c r="AQ116" i="60"/>
  <c r="AQ127" i="60"/>
  <c r="AQ142" i="60"/>
  <c r="AQ143" i="60"/>
  <c r="AQ159" i="60"/>
  <c r="AQ156" i="60"/>
  <c r="AQ78" i="60"/>
  <c r="AQ81" i="60"/>
  <c r="AQ85" i="60"/>
  <c r="AQ67" i="60"/>
  <c r="AQ71" i="60"/>
  <c r="AQ82" i="60"/>
  <c r="AQ95" i="60"/>
  <c r="AQ99" i="60"/>
  <c r="AQ106" i="60"/>
  <c r="AQ128" i="60"/>
  <c r="AQ104" i="60"/>
  <c r="AQ105" i="60"/>
  <c r="AQ115" i="60"/>
  <c r="AQ121" i="60"/>
  <c r="AQ125" i="60"/>
  <c r="AQ118" i="60"/>
  <c r="AQ126" i="60"/>
  <c r="AQ113" i="60"/>
  <c r="AQ137" i="60"/>
  <c r="AQ147" i="60"/>
  <c r="AQ132" i="60"/>
  <c r="AQ136" i="60"/>
  <c r="AQ145" i="60"/>
  <c r="AQ149" i="60"/>
  <c r="AQ163" i="60"/>
  <c r="AQ86" i="60"/>
  <c r="AQ75" i="60"/>
  <c r="AQ87" i="60"/>
  <c r="AQ94" i="60"/>
  <c r="AQ98" i="60"/>
  <c r="AQ103" i="60"/>
  <c r="AQ129" i="60"/>
  <c r="AQ130" i="60"/>
  <c r="AQ117" i="60"/>
  <c r="AQ140" i="60"/>
  <c r="AQ144" i="60"/>
  <c r="AQ151" i="60"/>
  <c r="AQ152" i="60"/>
  <c r="AQ334" i="60"/>
  <c r="AQ339" i="60"/>
  <c r="AQ352" i="60"/>
  <c r="AQ360" i="60"/>
  <c r="AQ351" i="60"/>
  <c r="AQ378" i="60"/>
  <c r="AQ386" i="60"/>
  <c r="AQ379" i="60"/>
  <c r="AQ383" i="60"/>
  <c r="AQ394" i="60"/>
  <c r="AQ397" i="60"/>
  <c r="AQ364" i="60"/>
  <c r="AQ342" i="60"/>
  <c r="AQ353" i="60"/>
  <c r="AQ357" i="60"/>
  <c r="AQ381" i="60"/>
  <c r="AQ385" i="60"/>
  <c r="AQ387" i="60"/>
  <c r="AQ380" i="60"/>
  <c r="AQ384" i="60"/>
  <c r="AQ403" i="60"/>
  <c r="AQ377" i="60"/>
  <c r="AQ328" i="60"/>
  <c r="AQ346" i="60"/>
  <c r="AQ366" i="60"/>
  <c r="AQ370" i="60"/>
  <c r="AQ333" i="60"/>
  <c r="AQ336" i="60"/>
  <c r="AQ361" i="60"/>
  <c r="AQ367" i="60"/>
  <c r="AQ371" i="60"/>
  <c r="AQ388" i="60"/>
  <c r="AQ398" i="60"/>
  <c r="AQ266" i="60"/>
  <c r="AQ285" i="60"/>
  <c r="AQ309" i="60"/>
  <c r="AQ271" i="60"/>
  <c r="AQ296" i="60"/>
  <c r="AQ302" i="60"/>
  <c r="AQ306" i="60"/>
  <c r="AQ326" i="60"/>
  <c r="AQ337" i="60"/>
  <c r="AQ376" i="60"/>
  <c r="AQ335" i="60"/>
  <c r="AQ338" i="60"/>
  <c r="AQ349" i="60"/>
  <c r="AQ355" i="60"/>
  <c r="AQ359" i="60"/>
  <c r="AQ350" i="60"/>
  <c r="AQ374" i="60"/>
  <c r="AQ331" i="60"/>
  <c r="AQ344" i="60"/>
  <c r="AQ347" i="60"/>
  <c r="AQ375" i="60"/>
  <c r="AQ393" i="60"/>
  <c r="AQ396" i="60"/>
  <c r="AQ391" i="60"/>
  <c r="AQ399" i="60"/>
  <c r="AQ400" i="60"/>
  <c r="M123" i="56"/>
  <c r="M331" i="56"/>
  <c r="M279" i="56"/>
  <c r="M156" i="56"/>
  <c r="M200" i="56"/>
  <c r="M119" i="56"/>
  <c r="M227" i="56"/>
  <c r="M18" i="56"/>
  <c r="M39" i="56"/>
  <c r="M57" i="56"/>
  <c r="M70" i="56"/>
  <c r="M84" i="56"/>
  <c r="M136" i="56"/>
  <c r="M184" i="56"/>
  <c r="M188" i="56"/>
  <c r="M292" i="56"/>
  <c r="M344" i="56"/>
  <c r="M382" i="56"/>
  <c r="M390" i="56"/>
  <c r="M97" i="56"/>
  <c r="M130" i="56"/>
  <c r="M174" i="56"/>
  <c r="M201" i="56"/>
  <c r="M253" i="56"/>
  <c r="M305" i="56"/>
  <c r="M338" i="56"/>
  <c r="M383" i="56"/>
  <c r="M110" i="56"/>
  <c r="M214" i="56"/>
  <c r="M266" i="56"/>
  <c r="M318" i="56"/>
  <c r="M395" i="56"/>
  <c r="M171" i="56"/>
  <c r="M364" i="56"/>
  <c r="M208" i="56"/>
  <c r="M26" i="56"/>
  <c r="M65" i="56"/>
  <c r="M78" i="56"/>
  <c r="M236" i="56"/>
  <c r="M182" i="56"/>
  <c r="M226" i="56"/>
  <c r="M28" i="56"/>
  <c r="M41" i="56"/>
  <c r="M80" i="56"/>
  <c r="M288" i="56"/>
  <c r="M234" i="56"/>
  <c r="M278" i="56"/>
  <c r="M71" i="56"/>
  <c r="M403" i="56"/>
  <c r="M312" i="56"/>
  <c r="M405" i="56"/>
  <c r="M19" i="56"/>
  <c r="M187" i="56"/>
  <c r="M260" i="56"/>
  <c r="M223" i="56"/>
  <c r="M396" i="56"/>
  <c r="M379" i="56"/>
  <c r="M356" i="56"/>
  <c r="M132" i="56"/>
  <c r="M221" i="56"/>
  <c r="M240" i="56"/>
  <c r="M265" i="56"/>
  <c r="M340" i="56"/>
  <c r="M122" i="56"/>
  <c r="M197" i="56"/>
  <c r="M286" i="56"/>
  <c r="M330" i="56"/>
  <c r="M32" i="56"/>
  <c r="M58" i="56"/>
  <c r="M83" i="56"/>
  <c r="M158" i="56"/>
  <c r="M247" i="56"/>
  <c r="M291" i="56"/>
  <c r="M366" i="56"/>
  <c r="M252" i="56"/>
  <c r="M31" i="56"/>
  <c r="M44" i="56"/>
  <c r="M109" i="56"/>
  <c r="M273" i="56"/>
  <c r="M317" i="56"/>
  <c r="M149" i="56"/>
  <c r="M249" i="56"/>
  <c r="M357" i="56"/>
  <c r="M91" i="56"/>
  <c r="M135" i="56"/>
  <c r="M210" i="56"/>
  <c r="M299" i="56"/>
  <c r="M343" i="56"/>
  <c r="M96" i="56"/>
  <c r="M275" i="56"/>
  <c r="M52" i="56"/>
  <c r="M117" i="56"/>
  <c r="M161" i="56"/>
  <c r="M325" i="56"/>
  <c r="M369" i="56"/>
  <c r="M93" i="56"/>
  <c r="M301" i="56"/>
  <c r="M45" i="56"/>
  <c r="M143" i="56"/>
  <c r="M162" i="56"/>
  <c r="M262" i="56"/>
  <c r="M351" i="56"/>
  <c r="M370" i="56"/>
  <c r="M104" i="56"/>
  <c r="M175" i="56"/>
  <c r="M304" i="56"/>
  <c r="M148" i="56"/>
  <c r="M327" i="56"/>
  <c r="M54" i="56"/>
  <c r="M67" i="56"/>
  <c r="M169" i="56"/>
  <c r="M213" i="56"/>
  <c r="M377" i="56"/>
  <c r="M145" i="56"/>
  <c r="M353" i="56"/>
  <c r="M106" i="56"/>
  <c r="M195" i="56"/>
  <c r="M239" i="56"/>
  <c r="M314" i="56"/>
  <c r="M392" i="56"/>
  <c r="K344" i="54"/>
  <c r="K266" i="54"/>
  <c r="K132" i="54"/>
  <c r="K390" i="54"/>
  <c r="K340" i="54"/>
  <c r="K304" i="54"/>
  <c r="K382" i="54"/>
  <c r="K96" i="54"/>
  <c r="K370" i="54"/>
  <c r="K318" i="54"/>
  <c r="K260" i="54"/>
  <c r="K396" i="54"/>
  <c r="K366" i="54"/>
  <c r="K312" i="54"/>
  <c r="K236" i="54"/>
  <c r="K208" i="54"/>
  <c r="K392" i="54"/>
  <c r="K364" i="54"/>
  <c r="K356" i="54"/>
  <c r="K288" i="54"/>
  <c r="K252" i="54"/>
  <c r="K214" i="54"/>
  <c r="K200" i="54"/>
  <c r="K58" i="54"/>
  <c r="K405" i="54"/>
  <c r="K383" i="54"/>
  <c r="K377" i="54"/>
  <c r="K369" i="54"/>
  <c r="K353" i="54"/>
  <c r="K331" i="54"/>
  <c r="K325" i="54"/>
  <c r="K317" i="54"/>
  <c r="K301" i="54"/>
  <c r="K279" i="54"/>
  <c r="K273" i="54"/>
  <c r="K265" i="54"/>
  <c r="K249" i="54"/>
  <c r="K227" i="54"/>
  <c r="K221" i="54"/>
  <c r="K195" i="54"/>
  <c r="K187" i="54"/>
  <c r="K148" i="54"/>
  <c r="K110" i="54"/>
  <c r="K52" i="54"/>
  <c r="K338" i="54"/>
  <c r="K330" i="54"/>
  <c r="K314" i="54"/>
  <c r="K292" i="54"/>
  <c r="K286" i="54"/>
  <c r="K278" i="54"/>
  <c r="K262" i="54"/>
  <c r="K240" i="54"/>
  <c r="K234" i="54"/>
  <c r="K226" i="54"/>
  <c r="K184" i="54"/>
  <c r="K162" i="54"/>
  <c r="K104" i="54"/>
  <c r="K28" i="54"/>
  <c r="K403" i="54"/>
  <c r="K395" i="54"/>
  <c r="K379" i="54"/>
  <c r="K357" i="54"/>
  <c r="K351" i="54"/>
  <c r="K343" i="54"/>
  <c r="K327" i="54"/>
  <c r="K305" i="54"/>
  <c r="K299" i="54"/>
  <c r="K291" i="54"/>
  <c r="K275" i="54"/>
  <c r="K253" i="54"/>
  <c r="K247" i="54"/>
  <c r="K239" i="54"/>
  <c r="K223" i="54"/>
  <c r="K201" i="54"/>
  <c r="K156" i="54"/>
  <c r="K80" i="54"/>
  <c r="K44" i="54"/>
  <c r="K213" i="54"/>
  <c r="K197" i="54"/>
  <c r="K175" i="54"/>
  <c r="K169" i="54"/>
  <c r="K161" i="54"/>
  <c r="K145" i="54"/>
  <c r="K123" i="54"/>
  <c r="K117" i="54"/>
  <c r="K109" i="54"/>
  <c r="K93" i="54"/>
  <c r="K71" i="54"/>
  <c r="K65" i="54"/>
  <c r="K57" i="54"/>
  <c r="K41" i="54"/>
  <c r="K19" i="54"/>
  <c r="K210" i="54"/>
  <c r="K188" i="54"/>
  <c r="K182" i="54"/>
  <c r="K174" i="54"/>
  <c r="K158" i="54"/>
  <c r="K136" i="54"/>
  <c r="K130" i="54"/>
  <c r="K122" i="54"/>
  <c r="K106" i="54"/>
  <c r="K84" i="54"/>
  <c r="K78" i="54"/>
  <c r="K70" i="54"/>
  <c r="K54" i="54"/>
  <c r="K32" i="54"/>
  <c r="K26" i="54"/>
  <c r="K18" i="54"/>
  <c r="K171" i="54"/>
  <c r="K149" i="54"/>
  <c r="K143" i="54"/>
  <c r="K135" i="54"/>
  <c r="K119" i="54"/>
  <c r="K97" i="54"/>
  <c r="K91" i="54"/>
  <c r="K83" i="54"/>
  <c r="K67" i="54"/>
  <c r="K45" i="54"/>
  <c r="K39" i="54"/>
  <c r="K31" i="54"/>
  <c r="G65" i="60" l="1"/>
  <c r="G89" i="60"/>
  <c r="G133" i="60"/>
  <c r="G147" i="60"/>
  <c r="G30" i="60"/>
  <c r="G117" i="60"/>
  <c r="G141" i="60"/>
  <c r="G24" i="60"/>
  <c r="G68" i="60"/>
  <c r="G82" i="60"/>
  <c r="G208" i="60"/>
  <c r="G55" i="60"/>
  <c r="G69" i="60"/>
  <c r="G195" i="60"/>
  <c r="G42" i="60"/>
  <c r="G199" i="60"/>
  <c r="G325" i="60"/>
  <c r="G349" i="60"/>
  <c r="G393" i="60"/>
  <c r="G160" i="60"/>
  <c r="G312" i="60"/>
  <c r="G336" i="60"/>
  <c r="G50" i="60"/>
  <c r="G225" i="60"/>
  <c r="G351" i="60"/>
  <c r="G375" i="60"/>
  <c r="G362" i="60"/>
  <c r="G206" i="60"/>
  <c r="G394" i="60"/>
  <c r="G380" i="60"/>
  <c r="G130" i="60"/>
  <c r="G342" i="60"/>
  <c r="H390" i="60"/>
  <c r="H104" i="60"/>
  <c r="H211" i="60"/>
  <c r="H325" i="60"/>
  <c r="H102" i="60"/>
  <c r="H160" i="60"/>
  <c r="H91" i="60"/>
  <c r="H115" i="60"/>
  <c r="H341" i="60"/>
  <c r="H89" i="60"/>
  <c r="H315" i="60"/>
  <c r="H29" i="60"/>
  <c r="H245" i="60"/>
  <c r="H30" i="60"/>
  <c r="H120" i="60"/>
  <c r="H219" i="60"/>
  <c r="H394" i="60"/>
  <c r="H17" i="60"/>
  <c r="H69" i="60"/>
  <c r="H232" i="60"/>
  <c r="H26" i="60"/>
  <c r="H76" i="60"/>
  <c r="H362" i="60"/>
  <c r="H264" i="60"/>
  <c r="H336" i="60"/>
  <c r="H172" i="60"/>
  <c r="H380" i="60"/>
  <c r="H182" i="60"/>
  <c r="H55" i="60"/>
  <c r="H117" i="60"/>
  <c r="H329" i="60"/>
  <c r="G43" i="60"/>
  <c r="G76" i="60"/>
  <c r="G120" i="60"/>
  <c r="G134" i="60"/>
  <c r="G39" i="60"/>
  <c r="G63" i="60"/>
  <c r="G107" i="60"/>
  <c r="G121" i="60"/>
  <c r="G237" i="60"/>
  <c r="G251" i="60"/>
  <c r="G377" i="60"/>
  <c r="G401" i="60"/>
  <c r="G224" i="60"/>
  <c r="G238" i="60"/>
  <c r="G108" i="60"/>
  <c r="G219" i="60"/>
  <c r="I219" i="60" s="1"/>
  <c r="G263" i="60"/>
  <c r="G277" i="60"/>
  <c r="G403" i="60"/>
  <c r="G250" i="60"/>
  <c r="G234" i="60"/>
  <c r="G310" i="60"/>
  <c r="G258" i="60"/>
  <c r="G368" i="60"/>
  <c r="G94" i="60"/>
  <c r="G302" i="60"/>
  <c r="H312" i="60"/>
  <c r="H351" i="60"/>
  <c r="H167" i="60"/>
  <c r="H146" i="60"/>
  <c r="H368" i="60"/>
  <c r="H141" i="60"/>
  <c r="H367" i="60"/>
  <c r="H50" i="60"/>
  <c r="H297" i="60"/>
  <c r="H355" i="60"/>
  <c r="H271" i="60"/>
  <c r="H250" i="60"/>
  <c r="H156" i="60"/>
  <c r="H328" i="60"/>
  <c r="H338" i="60"/>
  <c r="H130" i="60"/>
  <c r="H221" i="60"/>
  <c r="H403" i="60"/>
  <c r="H286" i="60"/>
  <c r="H224" i="60"/>
  <c r="H63" i="60"/>
  <c r="H169" i="60"/>
  <c r="H212" i="60"/>
  <c r="H303" i="60"/>
  <c r="H128" i="60"/>
  <c r="H342" i="60"/>
  <c r="H134" i="60"/>
  <c r="H37" i="60"/>
  <c r="H198" i="60"/>
  <c r="H121" i="60"/>
  <c r="G29" i="60"/>
  <c r="I29" i="60" s="1"/>
  <c r="G169" i="60"/>
  <c r="G52" i="60"/>
  <c r="G37" i="60"/>
  <c r="G81" i="60"/>
  <c r="G95" i="60"/>
  <c r="G104" i="60"/>
  <c r="I104" i="60" s="1"/>
  <c r="G128" i="60"/>
  <c r="G172" i="60"/>
  <c r="G186" i="60"/>
  <c r="G91" i="60"/>
  <c r="I91" i="60" s="1"/>
  <c r="G115" i="60"/>
  <c r="I115" i="60" s="1"/>
  <c r="G159" i="60"/>
  <c r="G173" i="60"/>
  <c r="G78" i="60"/>
  <c r="G154" i="60"/>
  <c r="G221" i="60"/>
  <c r="I221" i="60" s="1"/>
  <c r="G245" i="60"/>
  <c r="I245" i="60" s="1"/>
  <c r="G289" i="60"/>
  <c r="G303" i="60"/>
  <c r="G182" i="60"/>
  <c r="I182" i="60" s="1"/>
  <c r="G232" i="60"/>
  <c r="I232" i="60" s="1"/>
  <c r="G276" i="60"/>
  <c r="G290" i="60"/>
  <c r="G185" i="60"/>
  <c r="G247" i="60"/>
  <c r="G271" i="60"/>
  <c r="G315" i="60"/>
  <c r="G329" i="60"/>
  <c r="I329" i="60" s="1"/>
  <c r="G198" i="60"/>
  <c r="G390" i="60"/>
  <c r="I390" i="60" s="1"/>
  <c r="G364" i="60"/>
  <c r="G316" i="60"/>
  <c r="G338" i="60"/>
  <c r="I338" i="60" s="1"/>
  <c r="G264" i="60"/>
  <c r="I264" i="60" s="1"/>
  <c r="H237" i="60"/>
  <c r="H143" i="60"/>
  <c r="H65" i="60"/>
  <c r="H302" i="60"/>
  <c r="H349" i="60"/>
  <c r="H43" i="60"/>
  <c r="H323" i="60"/>
  <c r="H273" i="60"/>
  <c r="H208" i="60"/>
  <c r="H247" i="60"/>
  <c r="H107" i="60"/>
  <c r="H364" i="60"/>
  <c r="H81" i="60"/>
  <c r="H284" i="60"/>
  <c r="H263" i="60"/>
  <c r="H354" i="60"/>
  <c r="H258" i="60"/>
  <c r="H310" i="60"/>
  <c r="H78" i="60"/>
  <c r="H180" i="60"/>
  <c r="H24" i="60"/>
  <c r="H393" i="60"/>
  <c r="H108" i="60"/>
  <c r="H251" i="60"/>
  <c r="H95" i="60"/>
  <c r="H290" i="60"/>
  <c r="H82" i="60"/>
  <c r="H16" i="60"/>
  <c r="H154" i="60"/>
  <c r="G16" i="60"/>
  <c r="G156" i="60"/>
  <c r="I156" i="60" s="1"/>
  <c r="G180" i="60"/>
  <c r="G17" i="60"/>
  <c r="I17" i="60" s="1"/>
  <c r="G143" i="60"/>
  <c r="I143" i="60" s="1"/>
  <c r="G167" i="60"/>
  <c r="I167" i="60" s="1"/>
  <c r="G211" i="60"/>
  <c r="I211" i="60" s="1"/>
  <c r="G273" i="60"/>
  <c r="G297" i="60"/>
  <c r="G341" i="60"/>
  <c r="I341" i="60" s="1"/>
  <c r="G355" i="60"/>
  <c r="I355" i="60" s="1"/>
  <c r="G26" i="60"/>
  <c r="I26" i="60" s="1"/>
  <c r="G102" i="60"/>
  <c r="I102" i="60" s="1"/>
  <c r="G260" i="60"/>
  <c r="G284" i="60"/>
  <c r="I284" i="60" s="1"/>
  <c r="G328" i="60"/>
  <c r="I328" i="60" s="1"/>
  <c r="G146" i="60"/>
  <c r="I146" i="60" s="1"/>
  <c r="G193" i="60"/>
  <c r="G299" i="60"/>
  <c r="G323" i="60"/>
  <c r="G367" i="60"/>
  <c r="I367" i="60" s="1"/>
  <c r="G381" i="60"/>
  <c r="G56" i="60"/>
  <c r="G212" i="60"/>
  <c r="G286" i="60"/>
  <c r="I286" i="60" s="1"/>
  <c r="G354" i="60"/>
  <c r="G388" i="60"/>
  <c r="H193" i="60"/>
  <c r="H375" i="60"/>
  <c r="H52" i="60"/>
  <c r="H173" i="60"/>
  <c r="H260" i="60"/>
  <c r="H299" i="60"/>
  <c r="H159" i="60"/>
  <c r="H94" i="60"/>
  <c r="H133" i="60"/>
  <c r="H147" i="60"/>
  <c r="H42" i="60"/>
  <c r="H289" i="60"/>
  <c r="H56" i="60"/>
  <c r="H195" i="60"/>
  <c r="H238" i="60"/>
  <c r="H377" i="60"/>
  <c r="H185" i="60"/>
  <c r="H401" i="60"/>
  <c r="H276" i="60"/>
  <c r="H39" i="60"/>
  <c r="H234" i="60"/>
  <c r="H206" i="60"/>
  <c r="H316" i="60"/>
  <c r="H381" i="60"/>
  <c r="H199" i="60"/>
  <c r="H388" i="60"/>
  <c r="H186" i="60"/>
  <c r="H68" i="60"/>
  <c r="H225" i="60"/>
  <c r="H277" i="60"/>
  <c r="I271" i="60" l="1"/>
  <c r="I198" i="60"/>
  <c r="I354" i="60"/>
  <c r="I273" i="60"/>
  <c r="I303" i="60"/>
  <c r="I37" i="60"/>
  <c r="I323" i="60"/>
  <c r="I297" i="60"/>
  <c r="I128" i="60"/>
  <c r="I315" i="60"/>
  <c r="I172" i="60"/>
  <c r="I120" i="60"/>
  <c r="I212" i="60"/>
  <c r="I180" i="60"/>
  <c r="I76" i="60"/>
  <c r="I169" i="60"/>
  <c r="I39" i="60"/>
  <c r="I42" i="60"/>
  <c r="I388" i="60"/>
  <c r="I381" i="60"/>
  <c r="I299" i="60"/>
  <c r="I193" i="60"/>
  <c r="I260" i="60"/>
  <c r="I247" i="60"/>
  <c r="I185" i="60"/>
  <c r="I290" i="60"/>
  <c r="I78" i="60"/>
  <c r="I173" i="60"/>
  <c r="I186" i="60"/>
  <c r="I81" i="60"/>
  <c r="I302" i="60"/>
  <c r="I368" i="60"/>
  <c r="I234" i="60"/>
  <c r="I277" i="60"/>
  <c r="I238" i="60"/>
  <c r="I401" i="60"/>
  <c r="I251" i="60"/>
  <c r="I121" i="60"/>
  <c r="I134" i="60"/>
  <c r="I43" i="60"/>
  <c r="I342" i="60"/>
  <c r="I380" i="60"/>
  <c r="I394" i="60"/>
  <c r="I206" i="60"/>
  <c r="I375" i="60"/>
  <c r="I225" i="60"/>
  <c r="I336" i="60"/>
  <c r="I160" i="60"/>
  <c r="I393" i="60"/>
  <c r="I349" i="60"/>
  <c r="I199" i="60"/>
  <c r="I69" i="60"/>
  <c r="I82" i="60"/>
  <c r="I117" i="60"/>
  <c r="I147" i="60"/>
  <c r="I89" i="60"/>
  <c r="I16" i="60"/>
  <c r="I50" i="60"/>
  <c r="I24" i="60"/>
  <c r="I30" i="60"/>
  <c r="I56" i="60"/>
  <c r="I316" i="60"/>
  <c r="I364" i="60"/>
  <c r="I276" i="60"/>
  <c r="I289" i="60"/>
  <c r="I154" i="60"/>
  <c r="I159" i="60"/>
  <c r="I95" i="60"/>
  <c r="I52" i="60"/>
  <c r="I94" i="60"/>
  <c r="I258" i="60"/>
  <c r="I310" i="60"/>
  <c r="I250" i="60"/>
  <c r="I403" i="60"/>
  <c r="I263" i="60"/>
  <c r="I108" i="60"/>
  <c r="I224" i="60"/>
  <c r="I377" i="60"/>
  <c r="I237" i="60"/>
  <c r="I107" i="60"/>
  <c r="I63" i="60"/>
  <c r="I130" i="60"/>
  <c r="I362" i="60"/>
  <c r="I351" i="60"/>
  <c r="I312" i="60"/>
  <c r="I325" i="60"/>
  <c r="I195" i="60"/>
  <c r="I55" i="60"/>
  <c r="I208" i="60"/>
  <c r="I68" i="60"/>
  <c r="I141" i="60"/>
  <c r="I133" i="60"/>
  <c r="I65" i="60"/>
  <c r="S310" i="1"/>
  <c r="S309" i="1"/>
  <c r="S307" i="1"/>
  <c r="S306" i="1"/>
  <c r="S304" i="1"/>
  <c r="S301" i="1"/>
  <c r="S300" i="1"/>
  <c r="S188" i="1"/>
  <c r="S31" i="1"/>
  <c r="U31" i="1" l="1"/>
  <c r="X31" i="1"/>
  <c r="T31" i="1"/>
  <c r="V31" i="1"/>
  <c r="W31" i="1"/>
  <c r="V188" i="1"/>
  <c r="U188" i="1"/>
  <c r="T188" i="1"/>
  <c r="U300" i="1"/>
  <c r="V300" i="1"/>
  <c r="V301" i="1"/>
  <c r="U301" i="1"/>
  <c r="U304" i="1"/>
  <c r="T304" i="1"/>
  <c r="V304" i="1"/>
  <c r="U306" i="1"/>
  <c r="V306" i="1"/>
  <c r="T306" i="1"/>
  <c r="V307" i="1"/>
  <c r="U307" i="1"/>
  <c r="V309" i="1"/>
  <c r="U309" i="1"/>
  <c r="U310" i="1"/>
  <c r="V310" i="1"/>
  <c r="T310" i="1"/>
  <c r="AE323" i="1" l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97" i="1"/>
  <c r="AE286" i="1"/>
  <c r="AE285" i="1"/>
  <c r="AE219" i="1"/>
  <c r="AE218" i="1"/>
  <c r="AE217" i="1"/>
  <c r="AE216" i="1"/>
  <c r="AE215" i="1"/>
  <c r="AE212" i="1"/>
  <c r="AE211" i="1"/>
  <c r="AE210" i="1"/>
  <c r="AE209" i="1"/>
  <c r="AE208" i="1"/>
  <c r="AE207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84" i="1"/>
  <c r="AE283" i="1"/>
  <c r="AE282" i="1"/>
  <c r="AE281" i="1"/>
  <c r="AE280" i="1"/>
  <c r="AE276" i="1"/>
  <c r="AE275" i="1"/>
  <c r="AE274" i="1"/>
  <c r="AE273" i="1"/>
  <c r="AE272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5" i="1"/>
  <c r="AE174" i="1"/>
  <c r="AE173" i="1"/>
  <c r="AE171" i="1"/>
  <c r="AE170" i="1"/>
  <c r="AE169" i="1"/>
  <c r="AE168" i="1"/>
  <c r="S168" i="1"/>
  <c r="S323" i="1"/>
  <c r="S322" i="1"/>
  <c r="S320" i="1"/>
  <c r="S319" i="1"/>
  <c r="S318" i="1"/>
  <c r="S317" i="1"/>
  <c r="S316" i="1"/>
  <c r="S314" i="1"/>
  <c r="S313" i="1"/>
  <c r="S311" i="1"/>
  <c r="S245" i="1"/>
  <c r="S244" i="1"/>
  <c r="S243" i="1"/>
  <c r="S242" i="1"/>
  <c r="S241" i="1"/>
  <c r="S240" i="1"/>
  <c r="S236" i="1"/>
  <c r="S235" i="1"/>
  <c r="S234" i="1"/>
  <c r="S233" i="1"/>
  <c r="S297" i="1"/>
  <c r="S296" i="1"/>
  <c r="S295" i="1"/>
  <c r="S294" i="1"/>
  <c r="S293" i="1"/>
  <c r="S292" i="1"/>
  <c r="S290" i="1"/>
  <c r="S288" i="1"/>
  <c r="S287" i="1"/>
  <c r="S285" i="1"/>
  <c r="S219" i="1"/>
  <c r="S218" i="1"/>
  <c r="S217" i="1"/>
  <c r="S216" i="1"/>
  <c r="S213" i="1"/>
  <c r="S210" i="1"/>
  <c r="S209" i="1"/>
  <c r="S207" i="1"/>
  <c r="S271" i="1"/>
  <c r="S270" i="1"/>
  <c r="S268" i="1"/>
  <c r="S265" i="1"/>
  <c r="S264" i="1"/>
  <c r="S262" i="1"/>
  <c r="S261" i="1"/>
  <c r="S260" i="1"/>
  <c r="S259" i="1"/>
  <c r="S258" i="1"/>
  <c r="S257" i="1"/>
  <c r="S256" i="1"/>
  <c r="S255" i="1"/>
  <c r="S252" i="1"/>
  <c r="S251" i="1"/>
  <c r="S250" i="1"/>
  <c r="S249" i="1"/>
  <c r="S248" i="1"/>
  <c r="S246" i="1"/>
  <c r="S298" i="1"/>
  <c r="S232" i="1"/>
  <c r="S231" i="1"/>
  <c r="S229" i="1"/>
  <c r="S227" i="1"/>
  <c r="S226" i="1"/>
  <c r="S224" i="1"/>
  <c r="S223" i="1"/>
  <c r="S222" i="1"/>
  <c r="S220" i="1"/>
  <c r="S284" i="1"/>
  <c r="S283" i="1"/>
  <c r="S281" i="1"/>
  <c r="S278" i="1"/>
  <c r="S277" i="1"/>
  <c r="S276" i="1"/>
  <c r="S275" i="1"/>
  <c r="S274" i="1"/>
  <c r="S272" i="1"/>
  <c r="S206" i="1"/>
  <c r="S205" i="1"/>
  <c r="S203" i="1"/>
  <c r="S202" i="1"/>
  <c r="S199" i="1"/>
  <c r="S198" i="1"/>
  <c r="S197" i="1"/>
  <c r="S196" i="1"/>
  <c r="S195" i="1"/>
  <c r="S194" i="1"/>
  <c r="S192" i="1"/>
  <c r="S190" i="1"/>
  <c r="S189" i="1"/>
  <c r="S187" i="1"/>
  <c r="S185" i="1"/>
  <c r="S184" i="1"/>
  <c r="S183" i="1"/>
  <c r="S181" i="1"/>
  <c r="S35" i="1"/>
  <c r="S166" i="1"/>
  <c r="S164" i="1"/>
  <c r="S163" i="1"/>
  <c r="S162" i="1"/>
  <c r="S160" i="1"/>
  <c r="S159" i="1"/>
  <c r="S158" i="1"/>
  <c r="S156" i="1"/>
  <c r="S142" i="1"/>
  <c r="S133" i="1"/>
  <c r="S132" i="1"/>
  <c r="S131" i="1"/>
  <c r="S130" i="1"/>
  <c r="S116" i="1"/>
  <c r="S115" i="1"/>
  <c r="S113" i="1"/>
  <c r="S112" i="1"/>
  <c r="S110" i="1"/>
  <c r="S109" i="1"/>
  <c r="S107" i="1"/>
  <c r="S106" i="1"/>
  <c r="S104" i="1"/>
  <c r="S103" i="1"/>
  <c r="S102" i="1"/>
  <c r="S100" i="1"/>
  <c r="S99" i="1"/>
  <c r="S95" i="1"/>
  <c r="S94" i="1"/>
  <c r="S93" i="1"/>
  <c r="S91" i="1"/>
  <c r="S90" i="1"/>
  <c r="S89" i="1"/>
  <c r="S88" i="1"/>
  <c r="S87" i="1"/>
  <c r="S85" i="1"/>
  <c r="S83" i="1"/>
  <c r="S81" i="1"/>
  <c r="S80" i="1"/>
  <c r="S79" i="1"/>
  <c r="S78" i="1"/>
  <c r="S77" i="1"/>
  <c r="S76" i="1"/>
  <c r="S75" i="1"/>
  <c r="S74" i="1"/>
  <c r="S72" i="1"/>
  <c r="S71" i="1"/>
  <c r="S70" i="1"/>
  <c r="S68" i="1"/>
  <c r="S67" i="1"/>
  <c r="S65" i="1"/>
  <c r="S64" i="1"/>
  <c r="S63" i="1"/>
  <c r="S61" i="1"/>
  <c r="S60" i="1"/>
  <c r="S59" i="1"/>
  <c r="S56" i="1"/>
  <c r="S55" i="1"/>
  <c r="S54" i="1"/>
  <c r="S52" i="1"/>
  <c r="S51" i="1"/>
  <c r="S50" i="1"/>
  <c r="S49" i="1"/>
  <c r="S46" i="1"/>
  <c r="S44" i="1"/>
  <c r="S41" i="1"/>
  <c r="S38" i="1"/>
  <c r="S37" i="1"/>
  <c r="S34" i="1"/>
  <c r="S32" i="1"/>
  <c r="S29" i="1"/>
  <c r="S28" i="1"/>
  <c r="S26" i="1"/>
  <c r="S13" i="1"/>
  <c r="AH168" i="1" l="1"/>
  <c r="AG168" i="1"/>
  <c r="AF168" i="1"/>
  <c r="AF169" i="1"/>
  <c r="AH169" i="1"/>
  <c r="AG169" i="1"/>
  <c r="AH170" i="1"/>
  <c r="AG170" i="1"/>
  <c r="AG171" i="1"/>
  <c r="AH171" i="1"/>
  <c r="AH173" i="1"/>
  <c r="AF173" i="1"/>
  <c r="AG173" i="1"/>
  <c r="AF174" i="1"/>
  <c r="AH174" i="1"/>
  <c r="AG174" i="1"/>
  <c r="AG175" i="1"/>
  <c r="AF175" i="1"/>
  <c r="AH175" i="1"/>
  <c r="AH177" i="1"/>
  <c r="AG177" i="1"/>
  <c r="AF178" i="1"/>
  <c r="AH178" i="1"/>
  <c r="AG178" i="1"/>
  <c r="AG179" i="1"/>
  <c r="AH179" i="1"/>
  <c r="AH180" i="1"/>
  <c r="AG180" i="1"/>
  <c r="AF180" i="1"/>
  <c r="AG181" i="1"/>
  <c r="AF181" i="1"/>
  <c r="AH181" i="1"/>
  <c r="AH182" i="1"/>
  <c r="AG182" i="1"/>
  <c r="AF182" i="1"/>
  <c r="AH183" i="1"/>
  <c r="AG183" i="1"/>
  <c r="AG184" i="1"/>
  <c r="AH184" i="1"/>
  <c r="AH185" i="1"/>
  <c r="AG185" i="1"/>
  <c r="AF185" i="1"/>
  <c r="AH186" i="1"/>
  <c r="AG186" i="1"/>
  <c r="AF186" i="1"/>
  <c r="AF187" i="1"/>
  <c r="AH187" i="1"/>
  <c r="AG187" i="1"/>
  <c r="AG188" i="1"/>
  <c r="AF188" i="1"/>
  <c r="AH188" i="1"/>
  <c r="AH189" i="1"/>
  <c r="AG189" i="1"/>
  <c r="AF189" i="1"/>
  <c r="AH190" i="1"/>
  <c r="AG190" i="1"/>
  <c r="AF191" i="1"/>
  <c r="AH191" i="1"/>
  <c r="AG191" i="1"/>
  <c r="AG192" i="1"/>
  <c r="AH192" i="1"/>
  <c r="AH193" i="1"/>
  <c r="AG193" i="1"/>
  <c r="AF193" i="1"/>
  <c r="AH194" i="1"/>
  <c r="AG194" i="1"/>
  <c r="AF194" i="1"/>
  <c r="AH195" i="1"/>
  <c r="AG195" i="1"/>
  <c r="AF195" i="1"/>
  <c r="AH196" i="1"/>
  <c r="AG196" i="1"/>
  <c r="AG197" i="1"/>
  <c r="AH197" i="1"/>
  <c r="AH198" i="1"/>
  <c r="AG198" i="1"/>
  <c r="AF198" i="1"/>
  <c r="AH199" i="1"/>
  <c r="AG199" i="1"/>
  <c r="AF199" i="1"/>
  <c r="AF200" i="1"/>
  <c r="AH200" i="1"/>
  <c r="AG200" i="1"/>
  <c r="AG201" i="1"/>
  <c r="AF201" i="1"/>
  <c r="AH201" i="1"/>
  <c r="AH202" i="1"/>
  <c r="AG202" i="1"/>
  <c r="AF202" i="1"/>
  <c r="AH203" i="1"/>
  <c r="AG203" i="1"/>
  <c r="AF204" i="1"/>
  <c r="AH204" i="1"/>
  <c r="AG204" i="1"/>
  <c r="AG205" i="1"/>
  <c r="AH205" i="1"/>
  <c r="AH206" i="1"/>
  <c r="AG206" i="1"/>
  <c r="AF206" i="1"/>
  <c r="AF272" i="1"/>
  <c r="AH272" i="1"/>
  <c r="AG272" i="1"/>
  <c r="AG273" i="1"/>
  <c r="AF273" i="1"/>
  <c r="AH273" i="1"/>
  <c r="AH274" i="1"/>
  <c r="AG274" i="1"/>
  <c r="AH275" i="1"/>
  <c r="AG275" i="1"/>
  <c r="AF276" i="1"/>
  <c r="AH276" i="1"/>
  <c r="AG276" i="1"/>
  <c r="AF280" i="1"/>
  <c r="AH280" i="1"/>
  <c r="AG280" i="1"/>
  <c r="AG281" i="1"/>
  <c r="AH281" i="1"/>
  <c r="AH282" i="1"/>
  <c r="AG282" i="1"/>
  <c r="AF282" i="1"/>
  <c r="AH283" i="1"/>
  <c r="AG283" i="1"/>
  <c r="AF284" i="1"/>
  <c r="AH284" i="1"/>
  <c r="AG284" i="1"/>
  <c r="AH220" i="1"/>
  <c r="AG220" i="1"/>
  <c r="AF220" i="1"/>
  <c r="AF221" i="1"/>
  <c r="AH221" i="1"/>
  <c r="AG221" i="1"/>
  <c r="AG222" i="1"/>
  <c r="AH222" i="1"/>
  <c r="AH223" i="1"/>
  <c r="AG223" i="1"/>
  <c r="AH224" i="1"/>
  <c r="AG224" i="1"/>
  <c r="AF224" i="1"/>
  <c r="AF225" i="1"/>
  <c r="AH225" i="1"/>
  <c r="AG225" i="1"/>
  <c r="AG226" i="1"/>
  <c r="AF226" i="1"/>
  <c r="AH226" i="1"/>
  <c r="AH227" i="1"/>
  <c r="AG227" i="1"/>
  <c r="AF227" i="1"/>
  <c r="AH228" i="1"/>
  <c r="AG228" i="1"/>
  <c r="AF228" i="1"/>
  <c r="AH229" i="1"/>
  <c r="AG229" i="1"/>
  <c r="AG230" i="1"/>
  <c r="AF230" i="1"/>
  <c r="AH230" i="1"/>
  <c r="AH231" i="1"/>
  <c r="AG231" i="1"/>
  <c r="AH232" i="1"/>
  <c r="AG232" i="1"/>
  <c r="AF232" i="1"/>
  <c r="AF298" i="1"/>
  <c r="AH298" i="1"/>
  <c r="AG298" i="1"/>
  <c r="AG299" i="1"/>
  <c r="AF299" i="1"/>
  <c r="AH299" i="1"/>
  <c r="AH300" i="1"/>
  <c r="AG300" i="1"/>
  <c r="AH301" i="1"/>
  <c r="AG301" i="1"/>
  <c r="AF302" i="1"/>
  <c r="AH302" i="1"/>
  <c r="AG302" i="1"/>
  <c r="AG303" i="1"/>
  <c r="AF303" i="1"/>
  <c r="AH303" i="1"/>
  <c r="AH304" i="1"/>
  <c r="AG304" i="1"/>
  <c r="AF304" i="1"/>
  <c r="AH305" i="1"/>
  <c r="AG305" i="1"/>
  <c r="AF305" i="1"/>
  <c r="AF306" i="1"/>
  <c r="AH306" i="1"/>
  <c r="AG306" i="1"/>
  <c r="AG307" i="1"/>
  <c r="AH307" i="1"/>
  <c r="AH308" i="1"/>
  <c r="AG308" i="1"/>
  <c r="AF308" i="1"/>
  <c r="AH309" i="1"/>
  <c r="AG309" i="1"/>
  <c r="AF310" i="1"/>
  <c r="AH310" i="1"/>
  <c r="AG310" i="1"/>
  <c r="AF246" i="1"/>
  <c r="AH246" i="1"/>
  <c r="AG246" i="1"/>
  <c r="AG247" i="1"/>
  <c r="AF247" i="1"/>
  <c r="AH247" i="1"/>
  <c r="AH248" i="1"/>
  <c r="AG248" i="1"/>
  <c r="AH249" i="1"/>
  <c r="AG249" i="1"/>
  <c r="AF250" i="1"/>
  <c r="AG250" i="1"/>
  <c r="AH250" i="1"/>
  <c r="AG251" i="1"/>
  <c r="AF251" i="1"/>
  <c r="AH251" i="1"/>
  <c r="AH252" i="1"/>
  <c r="AG252" i="1"/>
  <c r="AF252" i="1"/>
  <c r="AH253" i="1"/>
  <c r="AG253" i="1"/>
  <c r="AF253" i="1"/>
  <c r="AF254" i="1"/>
  <c r="AH254" i="1"/>
  <c r="AG254" i="1"/>
  <c r="AG255" i="1"/>
  <c r="AH255" i="1"/>
  <c r="AH256" i="1"/>
  <c r="AG256" i="1"/>
  <c r="AF256" i="1"/>
  <c r="AH257" i="1"/>
  <c r="AG257" i="1"/>
  <c r="AF258" i="1"/>
  <c r="AH258" i="1"/>
  <c r="AG258" i="1"/>
  <c r="AG259" i="1"/>
  <c r="AF259" i="1"/>
  <c r="AH259" i="1"/>
  <c r="AH260" i="1"/>
  <c r="AG260" i="1"/>
  <c r="AF260" i="1"/>
  <c r="AH261" i="1"/>
  <c r="AG261" i="1"/>
  <c r="AH262" i="1"/>
  <c r="AG262" i="1"/>
  <c r="AG263" i="1"/>
  <c r="AF263" i="1"/>
  <c r="AH263" i="1"/>
  <c r="AH264" i="1"/>
  <c r="AG264" i="1"/>
  <c r="AF264" i="1"/>
  <c r="AH265" i="1"/>
  <c r="AG265" i="1"/>
  <c r="AF265" i="1"/>
  <c r="AF266" i="1"/>
  <c r="AH266" i="1"/>
  <c r="AG266" i="1"/>
  <c r="AG267" i="1"/>
  <c r="AF267" i="1"/>
  <c r="AH267" i="1"/>
  <c r="AH268" i="1"/>
  <c r="AG268" i="1"/>
  <c r="AH269" i="1"/>
  <c r="AG269" i="1"/>
  <c r="AF269" i="1"/>
  <c r="AH270" i="1"/>
  <c r="AG270" i="1"/>
  <c r="AG271" i="1"/>
  <c r="AF271" i="1"/>
  <c r="AH271" i="1"/>
  <c r="AH207" i="1"/>
  <c r="AG207" i="1"/>
  <c r="AF207" i="1"/>
  <c r="AF208" i="1"/>
  <c r="AH208" i="1"/>
  <c r="AG208" i="1"/>
  <c r="AG209" i="1"/>
  <c r="AH209" i="1"/>
  <c r="AH210" i="1"/>
  <c r="AG210" i="1"/>
  <c r="AH211" i="1"/>
  <c r="AG211" i="1"/>
  <c r="AF211" i="1"/>
  <c r="AF212" i="1"/>
  <c r="AH212" i="1"/>
  <c r="AG212" i="1"/>
  <c r="AH215" i="1"/>
  <c r="AG215" i="1"/>
  <c r="AF215" i="1"/>
  <c r="AH216" i="1"/>
  <c r="AG216" i="1"/>
  <c r="AG217" i="1"/>
  <c r="AF217" i="1"/>
  <c r="AH217" i="1"/>
  <c r="AH218" i="1"/>
  <c r="AG218" i="1"/>
  <c r="AH219" i="1"/>
  <c r="AG219" i="1"/>
  <c r="AF219" i="1"/>
  <c r="AH285" i="1"/>
  <c r="AG285" i="1"/>
  <c r="AF285" i="1"/>
  <c r="AF286" i="1"/>
  <c r="AH286" i="1"/>
  <c r="AG286" i="1"/>
  <c r="AH297" i="1"/>
  <c r="AG297" i="1"/>
  <c r="AF297" i="1"/>
  <c r="AH233" i="1"/>
  <c r="AG233" i="1"/>
  <c r="AF233" i="1"/>
  <c r="AF234" i="1"/>
  <c r="AH234" i="1"/>
  <c r="AG234" i="1"/>
  <c r="AG235" i="1"/>
  <c r="AH235" i="1"/>
  <c r="AH236" i="1"/>
  <c r="AG236" i="1"/>
  <c r="AH237" i="1"/>
  <c r="AG237" i="1"/>
  <c r="AF237" i="1"/>
  <c r="AF238" i="1"/>
  <c r="AH238" i="1"/>
  <c r="AG238" i="1"/>
  <c r="AG239" i="1"/>
  <c r="AF239" i="1"/>
  <c r="AH239" i="1"/>
  <c r="AH240" i="1"/>
  <c r="AG240" i="1"/>
  <c r="AF240" i="1"/>
  <c r="AH241" i="1"/>
  <c r="AG241" i="1"/>
  <c r="AF241" i="1"/>
  <c r="AH242" i="1"/>
  <c r="AG242" i="1"/>
  <c r="AG243" i="1"/>
  <c r="AF243" i="1"/>
  <c r="AH243" i="1"/>
  <c r="AH244" i="1"/>
  <c r="AG244" i="1"/>
  <c r="AH245" i="1"/>
  <c r="AG245" i="1"/>
  <c r="AF245" i="1"/>
  <c r="AF311" i="1"/>
  <c r="AH311" i="1"/>
  <c r="AG311" i="1"/>
  <c r="AG312" i="1"/>
  <c r="AF312" i="1"/>
  <c r="AH312" i="1"/>
  <c r="AH313" i="1"/>
  <c r="AG313" i="1"/>
  <c r="AH314" i="1"/>
  <c r="AG314" i="1"/>
  <c r="AF315" i="1"/>
  <c r="AH315" i="1"/>
  <c r="AG315" i="1"/>
  <c r="AG316" i="1"/>
  <c r="AF316" i="1"/>
  <c r="AH316" i="1"/>
  <c r="AH317" i="1"/>
  <c r="AG317" i="1"/>
  <c r="AF317" i="1"/>
  <c r="AH318" i="1"/>
  <c r="AG318" i="1"/>
  <c r="AF318" i="1"/>
  <c r="AF319" i="1"/>
  <c r="AH319" i="1"/>
  <c r="AG319" i="1"/>
  <c r="AG320" i="1"/>
  <c r="AH320" i="1"/>
  <c r="AH321" i="1"/>
  <c r="AG321" i="1"/>
  <c r="AF321" i="1"/>
  <c r="AH322" i="1"/>
  <c r="AG322" i="1"/>
  <c r="AF323" i="1"/>
  <c r="AH323" i="1"/>
  <c r="AG323" i="1"/>
  <c r="X13" i="1"/>
  <c r="T13" i="1"/>
  <c r="W13" i="1"/>
  <c r="V13" i="1"/>
  <c r="U13" i="1"/>
  <c r="V26" i="1"/>
  <c r="U26" i="1"/>
  <c r="X26" i="1"/>
  <c r="W26" i="1"/>
  <c r="T26" i="1"/>
  <c r="X28" i="1"/>
  <c r="W28" i="1"/>
  <c r="V28" i="1"/>
  <c r="U28" i="1"/>
  <c r="W29" i="1"/>
  <c r="V29" i="1"/>
  <c r="X29" i="1"/>
  <c r="U29" i="1"/>
  <c r="X32" i="1"/>
  <c r="T32" i="1"/>
  <c r="W32" i="1"/>
  <c r="V32" i="1"/>
  <c r="U32" i="1"/>
  <c r="V34" i="1"/>
  <c r="U34" i="1"/>
  <c r="X34" i="1"/>
  <c r="W34" i="1"/>
  <c r="T34" i="1"/>
  <c r="W37" i="1"/>
  <c r="V37" i="1"/>
  <c r="X37" i="1"/>
  <c r="U37" i="1"/>
  <c r="V38" i="1"/>
  <c r="U38" i="1"/>
  <c r="T38" i="1"/>
  <c r="W38" i="1"/>
  <c r="X38" i="1"/>
  <c r="U41" i="1"/>
  <c r="X41" i="1"/>
  <c r="W41" i="1"/>
  <c r="V41" i="1"/>
  <c r="V44" i="1"/>
  <c r="U44" i="1"/>
  <c r="X44" i="1"/>
  <c r="W44" i="1"/>
  <c r="T44" i="1"/>
  <c r="X46" i="1"/>
  <c r="T46" i="1"/>
  <c r="W46" i="1"/>
  <c r="V46" i="1"/>
  <c r="U46" i="1"/>
  <c r="U49" i="1"/>
  <c r="X49" i="1"/>
  <c r="T49" i="1"/>
  <c r="W49" i="1"/>
  <c r="V49" i="1"/>
  <c r="X50" i="1"/>
  <c r="W50" i="1"/>
  <c r="V50" i="1"/>
  <c r="U50" i="1"/>
  <c r="W51" i="1"/>
  <c r="V51" i="1"/>
  <c r="U51" i="1"/>
  <c r="T51" i="1"/>
  <c r="X51" i="1"/>
  <c r="W52" i="1"/>
  <c r="V52" i="1"/>
  <c r="X52" i="1"/>
  <c r="U52" i="1"/>
  <c r="T52" i="1"/>
  <c r="U54" i="1"/>
  <c r="X54" i="1"/>
  <c r="W54" i="1"/>
  <c r="V54" i="1"/>
  <c r="X55" i="1"/>
  <c r="W55" i="1"/>
  <c r="V55" i="1"/>
  <c r="U55" i="1"/>
  <c r="W56" i="1"/>
  <c r="V56" i="1"/>
  <c r="U56" i="1"/>
  <c r="T56" i="1"/>
  <c r="X56" i="1"/>
  <c r="X59" i="1"/>
  <c r="T59" i="1"/>
  <c r="W59" i="1"/>
  <c r="V59" i="1"/>
  <c r="U59" i="1"/>
  <c r="W60" i="1"/>
  <c r="V60" i="1"/>
  <c r="T60" i="1"/>
  <c r="X60" i="1"/>
  <c r="U60" i="1"/>
  <c r="V61" i="1"/>
  <c r="U61" i="1"/>
  <c r="X61" i="1"/>
  <c r="W61" i="1"/>
  <c r="X63" i="1"/>
  <c r="W63" i="1"/>
  <c r="V63" i="1"/>
  <c r="U63" i="1"/>
  <c r="W64" i="1"/>
  <c r="V64" i="1"/>
  <c r="U64" i="1"/>
  <c r="X64" i="1"/>
  <c r="T64" i="1"/>
  <c r="W65" i="1"/>
  <c r="V65" i="1"/>
  <c r="U65" i="1"/>
  <c r="T65" i="1"/>
  <c r="X65" i="1"/>
  <c r="U67" i="1"/>
  <c r="X67" i="1"/>
  <c r="W67" i="1"/>
  <c r="V67" i="1"/>
  <c r="X68" i="1"/>
  <c r="W68" i="1"/>
  <c r="V68" i="1"/>
  <c r="U68" i="1"/>
  <c r="V70" i="1"/>
  <c r="U70" i="1"/>
  <c r="X70" i="1"/>
  <c r="T70" i="1"/>
  <c r="W70" i="1"/>
  <c r="U71" i="1"/>
  <c r="X71" i="1"/>
  <c r="T71" i="1"/>
  <c r="W71" i="1"/>
  <c r="V71" i="1"/>
  <c r="X72" i="1"/>
  <c r="T72" i="1"/>
  <c r="W72" i="1"/>
  <c r="V72" i="1"/>
  <c r="U72" i="1"/>
  <c r="V74" i="1"/>
  <c r="U74" i="1"/>
  <c r="X74" i="1"/>
  <c r="W74" i="1"/>
  <c r="U75" i="1"/>
  <c r="X75" i="1"/>
  <c r="T75" i="1"/>
  <c r="W75" i="1"/>
  <c r="V75" i="1"/>
  <c r="X76" i="1"/>
  <c r="W76" i="1"/>
  <c r="V76" i="1"/>
  <c r="U76" i="1"/>
  <c r="W77" i="1"/>
  <c r="V77" i="1"/>
  <c r="U77" i="1"/>
  <c r="X77" i="1"/>
  <c r="T77" i="1"/>
  <c r="W78" i="1"/>
  <c r="V78" i="1"/>
  <c r="U78" i="1"/>
  <c r="X78" i="1"/>
  <c r="T78" i="1"/>
  <c r="V79" i="1"/>
  <c r="U79" i="1"/>
  <c r="X79" i="1"/>
  <c r="T79" i="1"/>
  <c r="W79" i="1"/>
  <c r="U80" i="1"/>
  <c r="X80" i="1"/>
  <c r="W80" i="1"/>
  <c r="V80" i="1"/>
  <c r="X81" i="1"/>
  <c r="W81" i="1"/>
  <c r="V81" i="1"/>
  <c r="U81" i="1"/>
  <c r="V83" i="1"/>
  <c r="U83" i="1"/>
  <c r="X83" i="1"/>
  <c r="T83" i="1"/>
  <c r="W83" i="1"/>
  <c r="X85" i="1"/>
  <c r="T85" i="1"/>
  <c r="W85" i="1"/>
  <c r="V85" i="1"/>
  <c r="U85" i="1"/>
  <c r="V87" i="1"/>
  <c r="U87" i="1"/>
  <c r="X87" i="1"/>
  <c r="W87" i="1"/>
  <c r="U88" i="1"/>
  <c r="X88" i="1"/>
  <c r="T88" i="1"/>
  <c r="W88" i="1"/>
  <c r="V88" i="1"/>
  <c r="X89" i="1"/>
  <c r="W89" i="1"/>
  <c r="V89" i="1"/>
  <c r="U89" i="1"/>
  <c r="W90" i="1"/>
  <c r="V90" i="1"/>
  <c r="U90" i="1"/>
  <c r="T90" i="1"/>
  <c r="X90" i="1"/>
  <c r="U91" i="1"/>
  <c r="X91" i="1"/>
  <c r="T91" i="1"/>
  <c r="W91" i="1"/>
  <c r="V91" i="1"/>
  <c r="W93" i="1"/>
  <c r="V93" i="1"/>
  <c r="U93" i="1"/>
  <c r="X93" i="1"/>
  <c r="W94" i="1"/>
  <c r="V94" i="1"/>
  <c r="U94" i="1"/>
  <c r="X94" i="1"/>
  <c r="X95" i="1"/>
  <c r="T95" i="1"/>
  <c r="V95" i="1"/>
  <c r="W95" i="1"/>
  <c r="U95" i="1"/>
  <c r="W96" i="1"/>
  <c r="U96" i="1"/>
  <c r="T96" i="1"/>
  <c r="X96" i="1"/>
  <c r="V96" i="1"/>
  <c r="X99" i="1"/>
  <c r="T99" i="1"/>
  <c r="V99" i="1"/>
  <c r="W99" i="1"/>
  <c r="U99" i="1"/>
  <c r="W100" i="1"/>
  <c r="U100" i="1"/>
  <c r="V100" i="1"/>
  <c r="X100" i="1"/>
  <c r="U102" i="1"/>
  <c r="W102" i="1"/>
  <c r="X102" i="1"/>
  <c r="V102" i="1"/>
  <c r="X103" i="1"/>
  <c r="T103" i="1"/>
  <c r="V103" i="1"/>
  <c r="W103" i="1"/>
  <c r="U103" i="1"/>
  <c r="W104" i="1"/>
  <c r="U104" i="1"/>
  <c r="V104" i="1"/>
  <c r="T104" i="1"/>
  <c r="X104" i="1"/>
  <c r="U106" i="1"/>
  <c r="W106" i="1"/>
  <c r="V106" i="1"/>
  <c r="X106" i="1"/>
  <c r="X107" i="1"/>
  <c r="V107" i="1"/>
  <c r="W107" i="1"/>
  <c r="U107" i="1"/>
  <c r="V109" i="1"/>
  <c r="X109" i="1"/>
  <c r="T109" i="1"/>
  <c r="W109" i="1"/>
  <c r="U109" i="1"/>
  <c r="U110" i="1"/>
  <c r="W110" i="1"/>
  <c r="V110" i="1"/>
  <c r="T110" i="1"/>
  <c r="X110" i="1"/>
  <c r="W112" i="1"/>
  <c r="U112" i="1"/>
  <c r="T112" i="1"/>
  <c r="X112" i="1"/>
  <c r="V112" i="1"/>
  <c r="V113" i="1"/>
  <c r="X113" i="1"/>
  <c r="W113" i="1"/>
  <c r="U113" i="1"/>
  <c r="X115" i="1"/>
  <c r="V115" i="1"/>
  <c r="W115" i="1"/>
  <c r="U115" i="1"/>
  <c r="W116" i="1"/>
  <c r="U116" i="1"/>
  <c r="T116" i="1"/>
  <c r="X116" i="1"/>
  <c r="V116" i="1"/>
  <c r="W130" i="1"/>
  <c r="U130" i="1"/>
  <c r="X130" i="1"/>
  <c r="V130" i="1"/>
  <c r="T130" i="1"/>
  <c r="V131" i="1"/>
  <c r="X131" i="1"/>
  <c r="T131" i="1"/>
  <c r="W131" i="1"/>
  <c r="U131" i="1"/>
  <c r="U132" i="1"/>
  <c r="W132" i="1"/>
  <c r="V132" i="1"/>
  <c r="X132" i="1"/>
  <c r="X133" i="1"/>
  <c r="V133" i="1"/>
  <c r="W133" i="1"/>
  <c r="U133" i="1"/>
  <c r="W142" i="1"/>
  <c r="V142" i="1"/>
  <c r="U142" i="1"/>
  <c r="T142" i="1"/>
  <c r="X142" i="1"/>
  <c r="V156" i="1"/>
  <c r="U156" i="1"/>
  <c r="X156" i="1"/>
  <c r="T156" i="1"/>
  <c r="W156" i="1"/>
  <c r="X158" i="1"/>
  <c r="T158" i="1"/>
  <c r="W158" i="1"/>
  <c r="V158" i="1"/>
  <c r="U158" i="1"/>
  <c r="W159" i="1"/>
  <c r="V159" i="1"/>
  <c r="U159" i="1"/>
  <c r="X159" i="1"/>
  <c r="T159" i="1"/>
  <c r="U160" i="1"/>
  <c r="X160" i="1"/>
  <c r="T160" i="1"/>
  <c r="W160" i="1"/>
  <c r="V160" i="1"/>
  <c r="W162" i="1"/>
  <c r="V162" i="1"/>
  <c r="U162" i="1"/>
  <c r="X162" i="1"/>
  <c r="T162" i="1"/>
  <c r="V163" i="1"/>
  <c r="U163" i="1"/>
  <c r="X163" i="1"/>
  <c r="T163" i="1"/>
  <c r="W163" i="1"/>
  <c r="U164" i="1"/>
  <c r="X164" i="1"/>
  <c r="T164" i="1"/>
  <c r="W164" i="1"/>
  <c r="V164" i="1"/>
  <c r="W166" i="1"/>
  <c r="V166" i="1"/>
  <c r="U166" i="1"/>
  <c r="X166" i="1"/>
  <c r="T166" i="1"/>
  <c r="U35" i="1"/>
  <c r="X35" i="1"/>
  <c r="V35" i="1"/>
  <c r="W35" i="1"/>
  <c r="V181" i="1"/>
  <c r="U181" i="1"/>
  <c r="T181" i="1"/>
  <c r="V183" i="1"/>
  <c r="U183" i="1"/>
  <c r="V184" i="1"/>
  <c r="U184" i="1"/>
  <c r="V185" i="1"/>
  <c r="U185" i="1"/>
  <c r="T185" i="1"/>
  <c r="T187" i="1"/>
  <c r="U187" i="1"/>
  <c r="V187" i="1"/>
  <c r="V189" i="1"/>
  <c r="U189" i="1"/>
  <c r="T189" i="1"/>
  <c r="U190" i="1"/>
  <c r="V190" i="1"/>
  <c r="V192" i="1"/>
  <c r="U192" i="1"/>
  <c r="V193" i="1"/>
  <c r="U193" i="1"/>
  <c r="T193" i="1"/>
  <c r="V194" i="1"/>
  <c r="U194" i="1"/>
  <c r="T194" i="1"/>
  <c r="U195" i="1"/>
  <c r="T195" i="1"/>
  <c r="V195" i="1"/>
  <c r="V196" i="1"/>
  <c r="U196" i="1"/>
  <c r="V197" i="1"/>
  <c r="U197" i="1"/>
  <c r="V198" i="1"/>
  <c r="U198" i="1"/>
  <c r="T198" i="1"/>
  <c r="U199" i="1"/>
  <c r="T199" i="1"/>
  <c r="V199" i="1"/>
  <c r="V202" i="1"/>
  <c r="U202" i="1"/>
  <c r="T202" i="1"/>
  <c r="U203" i="1"/>
  <c r="V203" i="1"/>
  <c r="V205" i="1"/>
  <c r="U205" i="1"/>
  <c r="V206" i="1"/>
  <c r="U206" i="1"/>
  <c r="T206" i="1"/>
  <c r="U272" i="1"/>
  <c r="V272" i="1"/>
  <c r="T272" i="1"/>
  <c r="U274" i="1"/>
  <c r="V274" i="1"/>
  <c r="V275" i="1"/>
  <c r="U275" i="1"/>
  <c r="U276" i="1"/>
  <c r="T276" i="1"/>
  <c r="V276" i="1"/>
  <c r="T277" i="1"/>
  <c r="V277" i="1"/>
  <c r="U277" i="1"/>
  <c r="U278" i="1"/>
  <c r="V278" i="1"/>
  <c r="T278" i="1"/>
  <c r="V281" i="1"/>
  <c r="U281" i="1"/>
  <c r="V283" i="1"/>
  <c r="U283" i="1"/>
  <c r="U284" i="1"/>
  <c r="V284" i="1"/>
  <c r="T284" i="1"/>
  <c r="T220" i="1"/>
  <c r="U220" i="1"/>
  <c r="V220" i="1"/>
  <c r="V222" i="1"/>
  <c r="U222" i="1"/>
  <c r="U223" i="1"/>
  <c r="V223" i="1"/>
  <c r="T224" i="1"/>
  <c r="V224" i="1"/>
  <c r="U224" i="1"/>
  <c r="V226" i="1"/>
  <c r="U226" i="1"/>
  <c r="T226" i="1"/>
  <c r="U227" i="1"/>
  <c r="T227" i="1"/>
  <c r="V227" i="1"/>
  <c r="V229" i="1"/>
  <c r="U229" i="1"/>
  <c r="U231" i="1"/>
  <c r="V231" i="1"/>
  <c r="T232" i="1"/>
  <c r="V232" i="1"/>
  <c r="U232" i="1"/>
  <c r="U298" i="1"/>
  <c r="V298" i="1"/>
  <c r="T298" i="1"/>
  <c r="V246" i="1"/>
  <c r="U246" i="1"/>
  <c r="T246" i="1"/>
  <c r="V248" i="1"/>
  <c r="U248" i="1"/>
  <c r="V249" i="1"/>
  <c r="U249" i="1"/>
  <c r="V250" i="1"/>
  <c r="U250" i="1"/>
  <c r="T250" i="1"/>
  <c r="U251" i="1"/>
  <c r="T251" i="1"/>
  <c r="V251" i="1"/>
  <c r="T252" i="1"/>
  <c r="V252" i="1"/>
  <c r="U252" i="1"/>
  <c r="U255" i="1"/>
  <c r="V255" i="1"/>
  <c r="T256" i="1"/>
  <c r="V256" i="1"/>
  <c r="U256" i="1"/>
  <c r="V257" i="1"/>
  <c r="U257" i="1"/>
  <c r="V258" i="1"/>
  <c r="U258" i="1"/>
  <c r="T258" i="1"/>
  <c r="U259" i="1"/>
  <c r="T259" i="1"/>
  <c r="V259" i="1"/>
  <c r="T260" i="1"/>
  <c r="U260" i="1"/>
  <c r="V260" i="1"/>
  <c r="V261" i="1"/>
  <c r="U261" i="1"/>
  <c r="V262" i="1"/>
  <c r="U262" i="1"/>
  <c r="T264" i="1"/>
  <c r="V264" i="1"/>
  <c r="U264" i="1"/>
  <c r="V265" i="1"/>
  <c r="T265" i="1"/>
  <c r="U265" i="1"/>
  <c r="U268" i="1"/>
  <c r="V268" i="1"/>
  <c r="V270" i="1"/>
  <c r="U270" i="1"/>
  <c r="U271" i="1"/>
  <c r="T271" i="1"/>
  <c r="V271" i="1"/>
  <c r="V207" i="1"/>
  <c r="U207" i="1"/>
  <c r="T207" i="1"/>
  <c r="V209" i="1"/>
  <c r="U209" i="1"/>
  <c r="V210" i="1"/>
  <c r="U210" i="1"/>
  <c r="V213" i="1"/>
  <c r="U213" i="1"/>
  <c r="T213" i="1"/>
  <c r="V216" i="1"/>
  <c r="U216" i="1"/>
  <c r="V217" i="1"/>
  <c r="U217" i="1"/>
  <c r="T217" i="1"/>
  <c r="U218" i="1"/>
  <c r="V218" i="1"/>
  <c r="T219" i="1"/>
  <c r="V219" i="1"/>
  <c r="U219" i="1"/>
  <c r="V285" i="1"/>
  <c r="T285" i="1"/>
  <c r="U285" i="1"/>
  <c r="V287" i="1"/>
  <c r="U287" i="1"/>
  <c r="U288" i="1"/>
  <c r="V288" i="1"/>
  <c r="U290" i="1"/>
  <c r="V290" i="1"/>
  <c r="T290" i="1"/>
  <c r="U292" i="1"/>
  <c r="T292" i="1"/>
  <c r="V292" i="1"/>
  <c r="V293" i="1"/>
  <c r="T293" i="1"/>
  <c r="U293" i="1"/>
  <c r="U294" i="1"/>
  <c r="V294" i="1"/>
  <c r="T295" i="1"/>
  <c r="V295" i="1"/>
  <c r="U295" i="1"/>
  <c r="U296" i="1"/>
  <c r="V296" i="1"/>
  <c r="V297" i="1"/>
  <c r="T297" i="1"/>
  <c r="U297" i="1"/>
  <c r="T233" i="1"/>
  <c r="V233" i="1"/>
  <c r="U233" i="1"/>
  <c r="V234" i="1"/>
  <c r="U234" i="1"/>
  <c r="T234" i="1"/>
  <c r="V235" i="1"/>
  <c r="U235" i="1"/>
  <c r="U236" i="1"/>
  <c r="V236" i="1"/>
  <c r="U240" i="1"/>
  <c r="T240" i="1"/>
  <c r="V240" i="1"/>
  <c r="T241" i="1"/>
  <c r="V241" i="1"/>
  <c r="U241" i="1"/>
  <c r="V242" i="1"/>
  <c r="U242" i="1"/>
  <c r="V243" i="1"/>
  <c r="U243" i="1"/>
  <c r="T243" i="1"/>
  <c r="U244" i="1"/>
  <c r="V244" i="1"/>
  <c r="T245" i="1"/>
  <c r="V245" i="1"/>
  <c r="U245" i="1"/>
  <c r="U311" i="1"/>
  <c r="V311" i="1"/>
  <c r="T311" i="1"/>
  <c r="U313" i="1"/>
  <c r="V313" i="1"/>
  <c r="V314" i="1"/>
  <c r="U314" i="1"/>
  <c r="T316" i="1"/>
  <c r="V316" i="1"/>
  <c r="U316" i="1"/>
  <c r="U317" i="1"/>
  <c r="V317" i="1"/>
  <c r="T317" i="1"/>
  <c r="V318" i="1"/>
  <c r="T318" i="1"/>
  <c r="U318" i="1"/>
  <c r="U319" i="1"/>
  <c r="T319" i="1"/>
  <c r="V319" i="1"/>
  <c r="V320" i="1"/>
  <c r="U320" i="1"/>
  <c r="V322" i="1"/>
  <c r="U322" i="1"/>
  <c r="U323" i="1"/>
  <c r="T323" i="1"/>
  <c r="V323" i="1"/>
  <c r="V168" i="1"/>
  <c r="U168" i="1"/>
  <c r="T168" i="1"/>
  <c r="AL377" i="54" l="1"/>
  <c r="AL338" i="54"/>
  <c r="AL299" i="54"/>
  <c r="AL390" i="54"/>
  <c r="AL351" i="54"/>
  <c r="AL403" i="54"/>
  <c r="AL312" i="54"/>
  <c r="AL364" i="54"/>
  <c r="AL325" i="54"/>
  <c r="AL195" i="54"/>
  <c r="AL286" i="54"/>
  <c r="AL260" i="54"/>
  <c r="AL247" i="54"/>
  <c r="AL221" i="54"/>
  <c r="AL143" i="54"/>
  <c r="AL130" i="54"/>
  <c r="AL208" i="54"/>
  <c r="AL273" i="54"/>
  <c r="AL182" i="54"/>
  <c r="AL234" i="54"/>
  <c r="AL117" i="54"/>
  <c r="AL52" i="54"/>
  <c r="AL104" i="54"/>
  <c r="AL156" i="54"/>
  <c r="AL65" i="54"/>
  <c r="AL169" i="54"/>
  <c r="AL26" i="54"/>
  <c r="AL78" i="54"/>
  <c r="AL91" i="54"/>
  <c r="AL39" i="54"/>
  <c r="AL397" i="54"/>
  <c r="AL358" i="54"/>
  <c r="AL319" i="54"/>
  <c r="AL371" i="54"/>
  <c r="AL306" i="54"/>
  <c r="AL228" i="54"/>
  <c r="AL215" i="54"/>
  <c r="AL332" i="54"/>
  <c r="AL280" i="54"/>
  <c r="AL267" i="54"/>
  <c r="AL176" i="54"/>
  <c r="AL163" i="54"/>
  <c r="AL150" i="54"/>
  <c r="AL189" i="54"/>
  <c r="AL384" i="54"/>
  <c r="AL345" i="54"/>
  <c r="AL293" i="54"/>
  <c r="AL202" i="54"/>
  <c r="AL111" i="54"/>
  <c r="AL20" i="54"/>
  <c r="AL33" i="54"/>
  <c r="AL254" i="54"/>
  <c r="AL72" i="54"/>
  <c r="AL137" i="54"/>
  <c r="AL85" i="54"/>
  <c r="AL124" i="54"/>
  <c r="AL98" i="54"/>
  <c r="AL46" i="54"/>
  <c r="AL59" i="54"/>
  <c r="AL241" i="54"/>
  <c r="AL391" i="54"/>
  <c r="AL352" i="54"/>
  <c r="AL313" i="54"/>
  <c r="AL404" i="54"/>
  <c r="AL339" i="54"/>
  <c r="AL365" i="54"/>
  <c r="AL287" i="54"/>
  <c r="AL261" i="54"/>
  <c r="AL326" i="54"/>
  <c r="AL378" i="54"/>
  <c r="AL209" i="54"/>
  <c r="AL274" i="54"/>
  <c r="AL248" i="54"/>
  <c r="AL183" i="54"/>
  <c r="AL235" i="54"/>
  <c r="AL157" i="54"/>
  <c r="AL300" i="54"/>
  <c r="AL196" i="54"/>
  <c r="AL144" i="54"/>
  <c r="AL105" i="54"/>
  <c r="AL170" i="54"/>
  <c r="AL66" i="54"/>
  <c r="AL118" i="54"/>
  <c r="AL222" i="54"/>
  <c r="AL92" i="54"/>
  <c r="AL79" i="54"/>
  <c r="AL131" i="54"/>
  <c r="AL53" i="54"/>
  <c r="AL27" i="54"/>
  <c r="AL40" i="54"/>
  <c r="AL376" i="54"/>
  <c r="AL337" i="54"/>
  <c r="AL389" i="54"/>
  <c r="AL363" i="54"/>
  <c r="AL324" i="54"/>
  <c r="AL181" i="54"/>
  <c r="AL246" i="54"/>
  <c r="AL233" i="54"/>
  <c r="AL350" i="54"/>
  <c r="AL285" i="54"/>
  <c r="AL298" i="54"/>
  <c r="AL116" i="54"/>
  <c r="AL194" i="54"/>
  <c r="AL402" i="54"/>
  <c r="AL168" i="54"/>
  <c r="AL207" i="54"/>
  <c r="AL311" i="54"/>
  <c r="AL220" i="54"/>
  <c r="AL129" i="54"/>
  <c r="AL38" i="54"/>
  <c r="AL51" i="54"/>
  <c r="AL103" i="54"/>
  <c r="AL90" i="54"/>
  <c r="AL155" i="54"/>
  <c r="AL142" i="54"/>
  <c r="AL272" i="54"/>
  <c r="AL259" i="54"/>
  <c r="AL25" i="54"/>
  <c r="AL77" i="54"/>
  <c r="AL64" i="54"/>
  <c r="AL396" i="54"/>
  <c r="AL370" i="54"/>
  <c r="AL357" i="54"/>
  <c r="AL383" i="54"/>
  <c r="AL344" i="54"/>
  <c r="AL331" i="54"/>
  <c r="AL305" i="54"/>
  <c r="AL279" i="54"/>
  <c r="AL201" i="54"/>
  <c r="AL266" i="54"/>
  <c r="AL253" i="54"/>
  <c r="AL318" i="54"/>
  <c r="AL136" i="54"/>
  <c r="AL292" i="54"/>
  <c r="AL240" i="54"/>
  <c r="AL227" i="54"/>
  <c r="AL97" i="54"/>
  <c r="AL214" i="54"/>
  <c r="AL149" i="54"/>
  <c r="AL58" i="54"/>
  <c r="AL71" i="54"/>
  <c r="AL110" i="54"/>
  <c r="AL175" i="54"/>
  <c r="AL162" i="54"/>
  <c r="AL123" i="54"/>
  <c r="AL188" i="54"/>
  <c r="AL19" i="54"/>
  <c r="AL32" i="54"/>
  <c r="AL84" i="54"/>
  <c r="AL45" i="54"/>
  <c r="AL381" i="54"/>
  <c r="AL394" i="54"/>
  <c r="AL355" i="54"/>
  <c r="AL368" i="54"/>
  <c r="AL329" i="54"/>
  <c r="AL277" i="54"/>
  <c r="AL225" i="54"/>
  <c r="AL290" i="54"/>
  <c r="AL316" i="54"/>
  <c r="AL173" i="54"/>
  <c r="AL238" i="54"/>
  <c r="AL342" i="54"/>
  <c r="AL121" i="54"/>
  <c r="AL108" i="54"/>
  <c r="AL303" i="54"/>
  <c r="AL160" i="54"/>
  <c r="AL264" i="54"/>
  <c r="AL134" i="54"/>
  <c r="AL186" i="54"/>
  <c r="AL30" i="54"/>
  <c r="AL82" i="54"/>
  <c r="AL56" i="54"/>
  <c r="AL147" i="54"/>
  <c r="AL43" i="54"/>
  <c r="AL199" i="54"/>
  <c r="AL17" i="54"/>
  <c r="AL251" i="54"/>
  <c r="AL69" i="54"/>
  <c r="AL95" i="54"/>
  <c r="AL212" i="54"/>
  <c r="AL341" i="54"/>
  <c r="AL328" i="54"/>
  <c r="AL393" i="54"/>
  <c r="AL354" i="54"/>
  <c r="AL315" i="54"/>
  <c r="AL367" i="54"/>
  <c r="AL263" i="54"/>
  <c r="AL289" i="54"/>
  <c r="AL211" i="54"/>
  <c r="AL185" i="54"/>
  <c r="AL198" i="54"/>
  <c r="AL159" i="54"/>
  <c r="AL276" i="54"/>
  <c r="AL250" i="54"/>
  <c r="AL146" i="54"/>
  <c r="AL224" i="54"/>
  <c r="AL172" i="54"/>
  <c r="AL237" i="54"/>
  <c r="AL380" i="54"/>
  <c r="AL302" i="54"/>
  <c r="AL16" i="54"/>
  <c r="AL94" i="54"/>
  <c r="AL68" i="54"/>
  <c r="AL107" i="54"/>
  <c r="AL120" i="54"/>
  <c r="AL29" i="54"/>
  <c r="AL81" i="54"/>
  <c r="AL133" i="54"/>
  <c r="AL42" i="54"/>
  <c r="AL55" i="54"/>
  <c r="AL388" i="54"/>
  <c r="AL375" i="54"/>
  <c r="AL401" i="54"/>
  <c r="AL362" i="54"/>
  <c r="AL349" i="54"/>
  <c r="AL323" i="54"/>
  <c r="AL232" i="54"/>
  <c r="AL297" i="54"/>
  <c r="AL219" i="54"/>
  <c r="AL336" i="54"/>
  <c r="AL284" i="54"/>
  <c r="AL271" i="54"/>
  <c r="AL154" i="54"/>
  <c r="AL258" i="54"/>
  <c r="AL310" i="54"/>
  <c r="AL245" i="54"/>
  <c r="AL115" i="54"/>
  <c r="AL102" i="54"/>
  <c r="AL167" i="54"/>
  <c r="AL76" i="54"/>
  <c r="AL89" i="54"/>
  <c r="AL180" i="54"/>
  <c r="AL128" i="54"/>
  <c r="AL193" i="54"/>
  <c r="AL141" i="54"/>
  <c r="AL206" i="54"/>
  <c r="AL24" i="54"/>
  <c r="AL50" i="54"/>
  <c r="AL63" i="54"/>
  <c r="AL37" i="54"/>
  <c r="AL399" i="54"/>
  <c r="AL347" i="54"/>
  <c r="AL308" i="54"/>
  <c r="AL230" i="54"/>
  <c r="AL126" i="54"/>
  <c r="AL100" i="54"/>
  <c r="AL269" i="54"/>
  <c r="AL22" i="54"/>
  <c r="AL373" i="54"/>
  <c r="AL295" i="54"/>
  <c r="AL191" i="54"/>
  <c r="AL321" i="54"/>
  <c r="AL152" i="54"/>
  <c r="AL74" i="54"/>
  <c r="AL35" i="54"/>
  <c r="AL165" i="54"/>
  <c r="AL334" i="54"/>
  <c r="AL243" i="54"/>
  <c r="AL256" i="54"/>
  <c r="AL139" i="54"/>
  <c r="AL204" i="54"/>
  <c r="AL61" i="54"/>
  <c r="AL87" i="54"/>
  <c r="AL386" i="54"/>
  <c r="AL360" i="54"/>
  <c r="AL282" i="54"/>
  <c r="AL178" i="54"/>
  <c r="AL48" i="54"/>
  <c r="AL113" i="54"/>
  <c r="AL217" i="54"/>
  <c r="AL379" i="54"/>
  <c r="AL405" i="54"/>
  <c r="AL366" i="54"/>
  <c r="AL327" i="54"/>
  <c r="AL392" i="54"/>
  <c r="AL353" i="54"/>
  <c r="AL223" i="54"/>
  <c r="AL288" i="54"/>
  <c r="AL275" i="54"/>
  <c r="AL314" i="54"/>
  <c r="AL236" i="54"/>
  <c r="AL301" i="54"/>
  <c r="AL119" i="54"/>
  <c r="AL106" i="54"/>
  <c r="AL171" i="54"/>
  <c r="AL158" i="54"/>
  <c r="AL262" i="54"/>
  <c r="AL132" i="54"/>
  <c r="AL210" i="54"/>
  <c r="AL80" i="54"/>
  <c r="AL93" i="54"/>
  <c r="AL340" i="54"/>
  <c r="AL54" i="54"/>
  <c r="AL145" i="54"/>
  <c r="AL28" i="54"/>
  <c r="AL67" i="54"/>
  <c r="AL41" i="54"/>
  <c r="AL197" i="54"/>
  <c r="AL249" i="54"/>
  <c r="AL184" i="54"/>
  <c r="AL361" i="54"/>
  <c r="AL322" i="54"/>
  <c r="AL387" i="54"/>
  <c r="AL348" i="54"/>
  <c r="AL309" i="54"/>
  <c r="AL400" i="54"/>
  <c r="AL374" i="54"/>
  <c r="AL335" i="54"/>
  <c r="AL205" i="54"/>
  <c r="AL270" i="54"/>
  <c r="AL257" i="54"/>
  <c r="AL296" i="54"/>
  <c r="AL283" i="54"/>
  <c r="AL153" i="54"/>
  <c r="AL140" i="54"/>
  <c r="AL114" i="54"/>
  <c r="AL231" i="54"/>
  <c r="AL101" i="54"/>
  <c r="AL166" i="54"/>
  <c r="AL192" i="54"/>
  <c r="AL244" i="54"/>
  <c r="AL218" i="54"/>
  <c r="AL62" i="54"/>
  <c r="AL23" i="54"/>
  <c r="AL36" i="54"/>
  <c r="AL88" i="54"/>
  <c r="AL127" i="54"/>
  <c r="AL49" i="54"/>
  <c r="AL75" i="54"/>
  <c r="AL179" i="54"/>
  <c r="AL359" i="54"/>
  <c r="AL281" i="54"/>
  <c r="AL346" i="54"/>
  <c r="AL372" i="54"/>
  <c r="AL333" i="54"/>
  <c r="AL385" i="54"/>
  <c r="AL294" i="54"/>
  <c r="AL307" i="54"/>
  <c r="AL177" i="54"/>
  <c r="AL242" i="54"/>
  <c r="AL229" i="54"/>
  <c r="AL203" i="54"/>
  <c r="AL216" i="54"/>
  <c r="AL112" i="54"/>
  <c r="AL398" i="54"/>
  <c r="AL268" i="54"/>
  <c r="AL164" i="54"/>
  <c r="AL190" i="54"/>
  <c r="AL255" i="54"/>
  <c r="AL99" i="54"/>
  <c r="AL34" i="54"/>
  <c r="AL86" i="54"/>
  <c r="AL125" i="54"/>
  <c r="AL320" i="54"/>
  <c r="AL138" i="54"/>
  <c r="AL47" i="54"/>
  <c r="AL151" i="54"/>
  <c r="AL60" i="54"/>
  <c r="AL73" i="54"/>
  <c r="AL21" i="54"/>
  <c r="AL343" i="54"/>
  <c r="AL395" i="54"/>
  <c r="AL369" i="54"/>
  <c r="AL330" i="54"/>
  <c r="AL291" i="54"/>
  <c r="AL382" i="54"/>
  <c r="AL356" i="54"/>
  <c r="AL187" i="54"/>
  <c r="AL252" i="54"/>
  <c r="AL239" i="54"/>
  <c r="AL304" i="54"/>
  <c r="AL317" i="54"/>
  <c r="AL278" i="54"/>
  <c r="AL265" i="54"/>
  <c r="AL135" i="54"/>
  <c r="AL122" i="54"/>
  <c r="AL226" i="54"/>
  <c r="AL200" i="54"/>
  <c r="AL96" i="54"/>
  <c r="AL174" i="54"/>
  <c r="AL148" i="54"/>
  <c r="AL213" i="54"/>
  <c r="AL161" i="54"/>
  <c r="AL44" i="54"/>
  <c r="AL18" i="54"/>
  <c r="AL70" i="54"/>
  <c r="AL31" i="54"/>
  <c r="AL57" i="54"/>
  <c r="AL109" i="54"/>
  <c r="AL83" i="54"/>
  <c r="H22" i="54"/>
  <c r="H230" i="54"/>
  <c r="H347" i="54"/>
  <c r="H256" i="54"/>
  <c r="H191" i="54"/>
  <c r="H308" i="54"/>
  <c r="H282" i="54"/>
  <c r="H61" i="54"/>
  <c r="H269" i="54"/>
  <c r="H48" i="54"/>
  <c r="H360" i="54"/>
  <c r="H295" i="54"/>
  <c r="H74" i="54"/>
  <c r="H321" i="54"/>
  <c r="H87" i="54"/>
  <c r="H100" i="54"/>
  <c r="H139" i="54"/>
  <c r="H204" i="54"/>
  <c r="H126" i="54"/>
  <c r="H334" i="54"/>
  <c r="H113" i="54"/>
  <c r="H386" i="54"/>
  <c r="H35" i="54"/>
  <c r="H399" i="54"/>
  <c r="H178" i="54"/>
  <c r="H217" i="54"/>
  <c r="H165" i="54"/>
  <c r="H373" i="54"/>
  <c r="H243" i="54"/>
  <c r="H152" i="54"/>
  <c r="H59" i="54"/>
  <c r="H163" i="54"/>
  <c r="H98" i="54"/>
  <c r="H137" i="54"/>
  <c r="H267" i="54"/>
  <c r="H306" i="54"/>
  <c r="H72" i="54"/>
  <c r="H345" i="54"/>
  <c r="H358" i="54"/>
  <c r="H46" i="54"/>
  <c r="H85" i="54"/>
  <c r="H215" i="54"/>
  <c r="H254" i="54"/>
  <c r="H293" i="54"/>
  <c r="H384" i="54"/>
  <c r="H20" i="54"/>
  <c r="H280" i="54"/>
  <c r="H202" i="54"/>
  <c r="H33" i="54"/>
  <c r="H371" i="54"/>
  <c r="H176" i="54"/>
  <c r="H241" i="54"/>
  <c r="H111" i="54"/>
  <c r="H150" i="54"/>
  <c r="H189" i="54"/>
  <c r="H319" i="54"/>
  <c r="H124" i="54"/>
  <c r="H397" i="54"/>
  <c r="H332" i="54"/>
  <c r="H228" i="54"/>
  <c r="H105" i="54"/>
  <c r="H53" i="54"/>
  <c r="H40" i="54"/>
  <c r="H79" i="54"/>
  <c r="H118" i="54"/>
  <c r="H248" i="54"/>
  <c r="H287" i="54"/>
  <c r="H170" i="54"/>
  <c r="H196" i="54"/>
  <c r="H27" i="54"/>
  <c r="H365" i="54"/>
  <c r="H66" i="54"/>
  <c r="H235" i="54"/>
  <c r="H274" i="54"/>
  <c r="H378" i="54"/>
  <c r="H144" i="54"/>
  <c r="H183" i="54"/>
  <c r="H209" i="54"/>
  <c r="H313" i="54"/>
  <c r="H391" i="54"/>
  <c r="H326" i="54"/>
  <c r="H157" i="54"/>
  <c r="H92" i="54"/>
  <c r="H131" i="54"/>
  <c r="H261" i="54"/>
  <c r="H300" i="54"/>
  <c r="H339" i="54"/>
  <c r="H404" i="54"/>
  <c r="H222" i="54"/>
  <c r="H352" i="54"/>
  <c r="H115" i="54"/>
  <c r="H63" i="54"/>
  <c r="H154" i="54"/>
  <c r="H193" i="54"/>
  <c r="H323" i="54"/>
  <c r="H401" i="54"/>
  <c r="H232" i="54"/>
  <c r="H336" i="54"/>
  <c r="H388" i="54"/>
  <c r="H102" i="54"/>
  <c r="H141" i="54"/>
  <c r="H271" i="54"/>
  <c r="H310" i="54"/>
  <c r="H349" i="54"/>
  <c r="H180" i="54"/>
  <c r="H167" i="54"/>
  <c r="H50" i="54"/>
  <c r="H89" i="54"/>
  <c r="H24" i="54"/>
  <c r="H219" i="54"/>
  <c r="H258" i="54"/>
  <c r="H297" i="54"/>
  <c r="H206" i="54"/>
  <c r="H37" i="54"/>
  <c r="H375" i="54"/>
  <c r="H128" i="54"/>
  <c r="H245" i="54"/>
  <c r="H76" i="54"/>
  <c r="H362" i="54"/>
  <c r="H284" i="54"/>
  <c r="H21" i="54"/>
  <c r="H125" i="54"/>
  <c r="H60" i="54"/>
  <c r="H99" i="54"/>
  <c r="H229" i="54"/>
  <c r="H86" i="54"/>
  <c r="H268" i="54"/>
  <c r="H307" i="54"/>
  <c r="H294" i="54"/>
  <c r="H47" i="54"/>
  <c r="H385" i="54"/>
  <c r="H216" i="54"/>
  <c r="H34" i="54"/>
  <c r="H255" i="54"/>
  <c r="H164" i="54"/>
  <c r="H203" i="54"/>
  <c r="H333" i="54"/>
  <c r="H177" i="54"/>
  <c r="H190" i="54"/>
  <c r="H242" i="54"/>
  <c r="H73" i="54"/>
  <c r="H112" i="54"/>
  <c r="H151" i="54"/>
  <c r="H138" i="54"/>
  <c r="H281" i="54"/>
  <c r="H320" i="54"/>
  <c r="H359" i="54"/>
  <c r="H346" i="54"/>
  <c r="H398" i="54"/>
  <c r="H372" i="54"/>
  <c r="H77" i="54"/>
  <c r="H25" i="54"/>
  <c r="H129" i="54"/>
  <c r="H116" i="54"/>
  <c r="H155" i="54"/>
  <c r="H285" i="54"/>
  <c r="H324" i="54"/>
  <c r="H90" i="54"/>
  <c r="H363" i="54"/>
  <c r="H376" i="54"/>
  <c r="H64" i="54"/>
  <c r="H103" i="54"/>
  <c r="H233" i="54"/>
  <c r="H272" i="54"/>
  <c r="H311" i="54"/>
  <c r="H402" i="54"/>
  <c r="H298" i="54"/>
  <c r="H51" i="54"/>
  <c r="H389" i="54"/>
  <c r="H194" i="54"/>
  <c r="H220" i="54"/>
  <c r="H259" i="54"/>
  <c r="H38" i="54"/>
  <c r="H350" i="54"/>
  <c r="H168" i="54"/>
  <c r="H207" i="54"/>
  <c r="H181" i="54"/>
  <c r="H337" i="54"/>
  <c r="H142" i="54"/>
  <c r="H246" i="54"/>
  <c r="H153" i="54"/>
  <c r="H101" i="54"/>
  <c r="H49" i="54"/>
  <c r="H192" i="54"/>
  <c r="H23" i="54"/>
  <c r="H361" i="54"/>
  <c r="H231" i="54"/>
  <c r="H140" i="54"/>
  <c r="H179" i="54"/>
  <c r="H62" i="54"/>
  <c r="H309" i="54"/>
  <c r="H205" i="54"/>
  <c r="H387" i="54"/>
  <c r="H348" i="54"/>
  <c r="H88" i="54"/>
  <c r="H127" i="54"/>
  <c r="H257" i="54"/>
  <c r="H296" i="54"/>
  <c r="H166" i="54"/>
  <c r="H335" i="54"/>
  <c r="H374" i="54"/>
  <c r="H218" i="54"/>
  <c r="H36" i="54"/>
  <c r="H75" i="54"/>
  <c r="H244" i="54"/>
  <c r="H283" i="54"/>
  <c r="H270" i="54"/>
  <c r="H322" i="54"/>
  <c r="H400" i="54"/>
  <c r="H114" i="54"/>
  <c r="H107" i="54"/>
  <c r="H55" i="54"/>
  <c r="H42" i="54"/>
  <c r="H81" i="54"/>
  <c r="H68" i="54"/>
  <c r="H211" i="54"/>
  <c r="H250" i="54"/>
  <c r="H289" i="54"/>
  <c r="H172" i="54"/>
  <c r="H276" i="54"/>
  <c r="H159" i="54"/>
  <c r="H198" i="54"/>
  <c r="H29" i="54"/>
  <c r="H367" i="54"/>
  <c r="H16" i="54"/>
  <c r="H237" i="54"/>
  <c r="H328" i="54"/>
  <c r="H146" i="54"/>
  <c r="H185" i="54"/>
  <c r="H315" i="54"/>
  <c r="H393" i="54"/>
  <c r="H224" i="54"/>
  <c r="H94" i="54"/>
  <c r="H133" i="54"/>
  <c r="H120" i="54"/>
  <c r="H263" i="54"/>
  <c r="H302" i="54"/>
  <c r="H341" i="54"/>
  <c r="H380" i="54"/>
  <c r="H354" i="54"/>
  <c r="H69" i="54"/>
  <c r="H17" i="54"/>
  <c r="H43" i="54"/>
  <c r="H82" i="54"/>
  <c r="H381" i="54"/>
  <c r="H212" i="54"/>
  <c r="H251" i="54"/>
  <c r="H394" i="54"/>
  <c r="H160" i="54"/>
  <c r="H199" i="54"/>
  <c r="H329" i="54"/>
  <c r="H30" i="54"/>
  <c r="H186" i="54"/>
  <c r="H238" i="54"/>
  <c r="H342" i="54"/>
  <c r="H108" i="54"/>
  <c r="H147" i="54"/>
  <c r="H173" i="54"/>
  <c r="H277" i="54"/>
  <c r="H316" i="54"/>
  <c r="H355" i="54"/>
  <c r="H290" i="54"/>
  <c r="H134" i="54"/>
  <c r="H121" i="54"/>
  <c r="H56" i="54"/>
  <c r="H95" i="54"/>
  <c r="H225" i="54"/>
  <c r="H264" i="54"/>
  <c r="H303" i="54"/>
  <c r="H368" i="54"/>
  <c r="AF342" i="56"/>
  <c r="AF355" i="56"/>
  <c r="AF303" i="56"/>
  <c r="AF381" i="56"/>
  <c r="AF316" i="56"/>
  <c r="AF264" i="56"/>
  <c r="AF329" i="56"/>
  <c r="AF277" i="56"/>
  <c r="AF368" i="56"/>
  <c r="AF290" i="56"/>
  <c r="AF43" i="56"/>
  <c r="AF394" i="56"/>
  <c r="AF212" i="56"/>
  <c r="AF56" i="56"/>
  <c r="AF238" i="56"/>
  <c r="AF225" i="56"/>
  <c r="AF17" i="56"/>
  <c r="AF30" i="56"/>
  <c r="AF147" i="56"/>
  <c r="AF95" i="56"/>
  <c r="AF251" i="56"/>
  <c r="AF199" i="56"/>
  <c r="AF108" i="56"/>
  <c r="AF186" i="56"/>
  <c r="AF173" i="56"/>
  <c r="AF121" i="56"/>
  <c r="AF160" i="56"/>
  <c r="AF82" i="56"/>
  <c r="AF69" i="56"/>
  <c r="AF134" i="56"/>
  <c r="T326" i="56"/>
  <c r="T274" i="56"/>
  <c r="T222" i="56"/>
  <c r="T170" i="56"/>
  <c r="T66" i="56"/>
  <c r="T391" i="56"/>
  <c r="T378" i="56"/>
  <c r="T339" i="56"/>
  <c r="T287" i="56"/>
  <c r="T235" i="56"/>
  <c r="T183" i="56"/>
  <c r="T92" i="56"/>
  <c r="T352" i="56"/>
  <c r="T300" i="56"/>
  <c r="T248" i="56"/>
  <c r="T196" i="56"/>
  <c r="T144" i="56"/>
  <c r="T365" i="56"/>
  <c r="T118" i="56"/>
  <c r="T313" i="56"/>
  <c r="T261" i="56"/>
  <c r="T209" i="56"/>
  <c r="T157" i="56"/>
  <c r="T53" i="56"/>
  <c r="T40" i="56"/>
  <c r="T79" i="56"/>
  <c r="T105" i="56"/>
  <c r="T404" i="56"/>
  <c r="T27" i="56"/>
  <c r="T131" i="56"/>
  <c r="H232" i="56"/>
  <c r="H180" i="56"/>
  <c r="H336" i="56"/>
  <c r="H50" i="56"/>
  <c r="H167" i="56"/>
  <c r="H245" i="56"/>
  <c r="H141" i="56"/>
  <c r="H349" i="56"/>
  <c r="H323" i="56"/>
  <c r="H271" i="56"/>
  <c r="H128" i="56"/>
  <c r="H297" i="56"/>
  <c r="H401" i="56"/>
  <c r="H154" i="56"/>
  <c r="H102" i="56"/>
  <c r="H193" i="56"/>
  <c r="H115" i="56"/>
  <c r="H310" i="56"/>
  <c r="H219" i="56"/>
  <c r="H284" i="56"/>
  <c r="H206" i="56"/>
  <c r="H76" i="56"/>
  <c r="H24" i="56"/>
  <c r="H362" i="56"/>
  <c r="H388" i="56"/>
  <c r="H258" i="56"/>
  <c r="H375" i="56"/>
  <c r="H63" i="56"/>
  <c r="H37" i="56"/>
  <c r="H89" i="56"/>
  <c r="AF373" i="56"/>
  <c r="AF334" i="56"/>
  <c r="AF386" i="56"/>
  <c r="AF347" i="56"/>
  <c r="AF399" i="56"/>
  <c r="AF360" i="56"/>
  <c r="AF321" i="56"/>
  <c r="AF217" i="56"/>
  <c r="AF178" i="56"/>
  <c r="AF126" i="56"/>
  <c r="AF74" i="56"/>
  <c r="AF230" i="56"/>
  <c r="AF191" i="56"/>
  <c r="AF139" i="56"/>
  <c r="AF87" i="56"/>
  <c r="AF308" i="56"/>
  <c r="AF269" i="56"/>
  <c r="AF243" i="56"/>
  <c r="AF204" i="56"/>
  <c r="AF152" i="56"/>
  <c r="AF100" i="56"/>
  <c r="AF295" i="56"/>
  <c r="AF256" i="56"/>
  <c r="AF165" i="56"/>
  <c r="AF113" i="56"/>
  <c r="AF282" i="56"/>
  <c r="AF35" i="56"/>
  <c r="AF61" i="56"/>
  <c r="AF22" i="56"/>
  <c r="AF48" i="56"/>
  <c r="T393" i="56"/>
  <c r="T185" i="56"/>
  <c r="T354" i="56"/>
  <c r="T237" i="56"/>
  <c r="T367" i="56"/>
  <c r="T289" i="56"/>
  <c r="T380" i="56"/>
  <c r="T341" i="56"/>
  <c r="T133" i="56"/>
  <c r="T250" i="56"/>
  <c r="T68" i="56"/>
  <c r="T159" i="56"/>
  <c r="T42" i="56"/>
  <c r="T302" i="56"/>
  <c r="T94" i="56"/>
  <c r="T16" i="56"/>
  <c r="T211" i="56"/>
  <c r="T55" i="56"/>
  <c r="T146" i="56"/>
  <c r="T120" i="56"/>
  <c r="T29" i="56"/>
  <c r="T263" i="56"/>
  <c r="T276" i="56"/>
  <c r="T224" i="56"/>
  <c r="T198" i="56"/>
  <c r="T315" i="56"/>
  <c r="T328" i="56"/>
  <c r="T172" i="56"/>
  <c r="T81" i="56"/>
  <c r="T107" i="56"/>
  <c r="H281" i="56"/>
  <c r="H60" i="56"/>
  <c r="H398" i="56"/>
  <c r="H372" i="56"/>
  <c r="H164" i="56"/>
  <c r="H229" i="56"/>
  <c r="H73" i="56"/>
  <c r="H21" i="56"/>
  <c r="H320" i="56"/>
  <c r="H112" i="56"/>
  <c r="H359" i="56"/>
  <c r="H151" i="56"/>
  <c r="H177" i="56"/>
  <c r="H34" i="56"/>
  <c r="H268" i="56"/>
  <c r="H307" i="56"/>
  <c r="H99" i="56"/>
  <c r="H138" i="56"/>
  <c r="H333" i="56"/>
  <c r="H125" i="56"/>
  <c r="H47" i="56"/>
  <c r="H216" i="56"/>
  <c r="H255" i="56"/>
  <c r="H86" i="56"/>
  <c r="H203" i="56"/>
  <c r="H385" i="56"/>
  <c r="H242" i="56"/>
  <c r="H346" i="56"/>
  <c r="H294" i="56"/>
  <c r="H190" i="56"/>
  <c r="AF366" i="56"/>
  <c r="AF379" i="56"/>
  <c r="AF392" i="56"/>
  <c r="AF405" i="56"/>
  <c r="AF340" i="56"/>
  <c r="AF262" i="56"/>
  <c r="AF210" i="56"/>
  <c r="AF171" i="56"/>
  <c r="AF119" i="56"/>
  <c r="AF275" i="56"/>
  <c r="AF288" i="56"/>
  <c r="AF223" i="56"/>
  <c r="AF184" i="56"/>
  <c r="AF132" i="56"/>
  <c r="AF80" i="56"/>
  <c r="AF353" i="56"/>
  <c r="AF327" i="56"/>
  <c r="AF314" i="56"/>
  <c r="AF236" i="56"/>
  <c r="AF197" i="56"/>
  <c r="AF145" i="56"/>
  <c r="AF93" i="56"/>
  <c r="AF249" i="56"/>
  <c r="AF158" i="56"/>
  <c r="AF106" i="56"/>
  <c r="AF41" i="56"/>
  <c r="AF301" i="56"/>
  <c r="AF67" i="56"/>
  <c r="AF28" i="56"/>
  <c r="AF54" i="56"/>
  <c r="T311" i="56"/>
  <c r="T259" i="56"/>
  <c r="T207" i="56"/>
  <c r="T155" i="56"/>
  <c r="T51" i="56"/>
  <c r="T324" i="56"/>
  <c r="T272" i="56"/>
  <c r="T220" i="56"/>
  <c r="T168" i="56"/>
  <c r="T77" i="56"/>
  <c r="T337" i="56"/>
  <c r="T285" i="56"/>
  <c r="T233" i="56"/>
  <c r="T181" i="56"/>
  <c r="T103" i="56"/>
  <c r="T376" i="56"/>
  <c r="T363" i="56"/>
  <c r="T350" i="56"/>
  <c r="T298" i="56"/>
  <c r="T246" i="56"/>
  <c r="T194" i="56"/>
  <c r="T142" i="56"/>
  <c r="T402" i="56"/>
  <c r="T129" i="56"/>
  <c r="T389" i="56"/>
  <c r="T64" i="56"/>
  <c r="T90" i="56"/>
  <c r="T25" i="56"/>
  <c r="T116" i="56"/>
  <c r="T38" i="56"/>
  <c r="H192" i="56"/>
  <c r="H75" i="56"/>
  <c r="H23" i="56"/>
  <c r="H283" i="56"/>
  <c r="H322" i="56"/>
  <c r="H348" i="56"/>
  <c r="H140" i="56"/>
  <c r="H36" i="56"/>
  <c r="H231" i="56"/>
  <c r="H270" i="56"/>
  <c r="H296" i="56"/>
  <c r="H88" i="56"/>
  <c r="H49" i="56"/>
  <c r="H179" i="56"/>
  <c r="H218" i="56"/>
  <c r="H244" i="56"/>
  <c r="H62" i="56"/>
  <c r="H387" i="56"/>
  <c r="H335" i="56"/>
  <c r="H127" i="56"/>
  <c r="H374" i="56"/>
  <c r="H166" i="56"/>
  <c r="H114" i="56"/>
  <c r="H153" i="56"/>
  <c r="H205" i="56"/>
  <c r="H309" i="56"/>
  <c r="H257" i="56"/>
  <c r="H101" i="56"/>
  <c r="H400" i="56"/>
  <c r="H361" i="56"/>
  <c r="T383" i="56"/>
  <c r="T370" i="56"/>
  <c r="T318" i="56"/>
  <c r="T266" i="56"/>
  <c r="T214" i="56"/>
  <c r="T162" i="56"/>
  <c r="T110" i="56"/>
  <c r="T331" i="56"/>
  <c r="T279" i="56"/>
  <c r="T227" i="56"/>
  <c r="T175" i="56"/>
  <c r="T357" i="56"/>
  <c r="T344" i="56"/>
  <c r="T292" i="56"/>
  <c r="T240" i="56"/>
  <c r="T188" i="56"/>
  <c r="T136" i="56"/>
  <c r="T58" i="56"/>
  <c r="T305" i="56"/>
  <c r="T253" i="56"/>
  <c r="T201" i="56"/>
  <c r="T149" i="56"/>
  <c r="T84" i="56"/>
  <c r="T97" i="56"/>
  <c r="T396" i="56"/>
  <c r="T123" i="56"/>
  <c r="T32" i="56"/>
  <c r="T45" i="56"/>
  <c r="T71" i="56"/>
  <c r="T19" i="56"/>
  <c r="U320" i="56"/>
  <c r="U268" i="56"/>
  <c r="U216" i="56"/>
  <c r="U164" i="56"/>
  <c r="U112" i="56"/>
  <c r="U60" i="56"/>
  <c r="U359" i="56"/>
  <c r="U333" i="56"/>
  <c r="U281" i="56"/>
  <c r="U229" i="56"/>
  <c r="U177" i="56"/>
  <c r="U125" i="56"/>
  <c r="U73" i="56"/>
  <c r="U346" i="56"/>
  <c r="U294" i="56"/>
  <c r="U242" i="56"/>
  <c r="U190" i="56"/>
  <c r="U138" i="56"/>
  <c r="U86" i="56"/>
  <c r="U385" i="56"/>
  <c r="U307" i="56"/>
  <c r="U255" i="56"/>
  <c r="U203" i="56"/>
  <c r="U151" i="56"/>
  <c r="U99" i="56"/>
  <c r="U47" i="56"/>
  <c r="U372" i="56"/>
  <c r="U398" i="56"/>
  <c r="U21" i="56"/>
  <c r="U34" i="56"/>
  <c r="U313" i="56"/>
  <c r="U261" i="56"/>
  <c r="U209" i="56"/>
  <c r="U157" i="56"/>
  <c r="U105" i="56"/>
  <c r="U53" i="56"/>
  <c r="U391" i="56"/>
  <c r="U326" i="56"/>
  <c r="U274" i="56"/>
  <c r="U222" i="56"/>
  <c r="U170" i="56"/>
  <c r="U118" i="56"/>
  <c r="U66" i="56"/>
  <c r="U378" i="56"/>
  <c r="U339" i="56"/>
  <c r="U287" i="56"/>
  <c r="U235" i="56"/>
  <c r="U183" i="56"/>
  <c r="U131" i="56"/>
  <c r="U79" i="56"/>
  <c r="U365" i="56"/>
  <c r="U404" i="56"/>
  <c r="U352" i="56"/>
  <c r="U300" i="56"/>
  <c r="U248" i="56"/>
  <c r="U196" i="56"/>
  <c r="U144" i="56"/>
  <c r="U92" i="56"/>
  <c r="U40" i="56"/>
  <c r="U27" i="56"/>
  <c r="AG364" i="56"/>
  <c r="AG338" i="56"/>
  <c r="AG390" i="56"/>
  <c r="AG351" i="56"/>
  <c r="AG403" i="56"/>
  <c r="AG377" i="56"/>
  <c r="AG286" i="56"/>
  <c r="AG156" i="56"/>
  <c r="AG312" i="56"/>
  <c r="AG221" i="56"/>
  <c r="AG182" i="56"/>
  <c r="AG78" i="56"/>
  <c r="AG247" i="56"/>
  <c r="AG208" i="56"/>
  <c r="AG104" i="56"/>
  <c r="AG299" i="56"/>
  <c r="AG130" i="56"/>
  <c r="AG65" i="56"/>
  <c r="AG91" i="56"/>
  <c r="AG260" i="56"/>
  <c r="AG26" i="56"/>
  <c r="AG143" i="56"/>
  <c r="AG234" i="56"/>
  <c r="AG273" i="56"/>
  <c r="AG39" i="56"/>
  <c r="AG169" i="56"/>
  <c r="AG325" i="56"/>
  <c r="AG52" i="56"/>
  <c r="AG195" i="56"/>
  <c r="AG117" i="56"/>
  <c r="U369" i="56"/>
  <c r="U317" i="56"/>
  <c r="U265" i="56"/>
  <c r="U213" i="56"/>
  <c r="U161" i="56"/>
  <c r="U109" i="56"/>
  <c r="U57" i="56"/>
  <c r="U31" i="56"/>
  <c r="U330" i="56"/>
  <c r="U278" i="56"/>
  <c r="U226" i="56"/>
  <c r="U174" i="56"/>
  <c r="U122" i="56"/>
  <c r="U70" i="56"/>
  <c r="U343" i="56"/>
  <c r="U291" i="56"/>
  <c r="U239" i="56"/>
  <c r="U187" i="56"/>
  <c r="U135" i="56"/>
  <c r="U83" i="56"/>
  <c r="U395" i="56"/>
  <c r="U382" i="56"/>
  <c r="U304" i="56"/>
  <c r="U252" i="56"/>
  <c r="U200" i="56"/>
  <c r="U148" i="56"/>
  <c r="U96" i="56"/>
  <c r="U18" i="56"/>
  <c r="U356" i="56"/>
  <c r="U44" i="56"/>
  <c r="AG393" i="56"/>
  <c r="AG380" i="56"/>
  <c r="AG341" i="56"/>
  <c r="AG367" i="56"/>
  <c r="AG315" i="56"/>
  <c r="AG224" i="56"/>
  <c r="AG185" i="56"/>
  <c r="AG81" i="56"/>
  <c r="AG250" i="56"/>
  <c r="AG107" i="56"/>
  <c r="AG263" i="56"/>
  <c r="AG276" i="56"/>
  <c r="AG133" i="56"/>
  <c r="AG289" i="56"/>
  <c r="AG328" i="56"/>
  <c r="AG354" i="56"/>
  <c r="AG159" i="56"/>
  <c r="AG302" i="56"/>
  <c r="AG42" i="56"/>
  <c r="AG211" i="56"/>
  <c r="AG120" i="56"/>
  <c r="AG55" i="56"/>
  <c r="AG172" i="56"/>
  <c r="AG237" i="56"/>
  <c r="AG16" i="56"/>
  <c r="AG198" i="56"/>
  <c r="AG94" i="56"/>
  <c r="AG29" i="56"/>
  <c r="AG146" i="56"/>
  <c r="AG68" i="56"/>
  <c r="U342" i="56"/>
  <c r="U290" i="56"/>
  <c r="U238" i="56"/>
  <c r="U186" i="56"/>
  <c r="U134" i="56"/>
  <c r="U82" i="56"/>
  <c r="U303" i="56"/>
  <c r="U251" i="56"/>
  <c r="U199" i="56"/>
  <c r="U147" i="56"/>
  <c r="U95" i="56"/>
  <c r="U43" i="56"/>
  <c r="U316" i="56"/>
  <c r="U264" i="56"/>
  <c r="U212" i="56"/>
  <c r="U160" i="56"/>
  <c r="U108" i="56"/>
  <c r="U56" i="56"/>
  <c r="U394" i="56"/>
  <c r="U355" i="56"/>
  <c r="U329" i="56"/>
  <c r="U277" i="56"/>
  <c r="U225" i="56"/>
  <c r="U173" i="56"/>
  <c r="U121" i="56"/>
  <c r="U69" i="56"/>
  <c r="U381" i="56"/>
  <c r="U17" i="56"/>
  <c r="U30" i="56"/>
  <c r="U368" i="56"/>
  <c r="AF391" i="56"/>
  <c r="AF326" i="56"/>
  <c r="AF274" i="56"/>
  <c r="AF287" i="56"/>
  <c r="AF339" i="56"/>
  <c r="AF378" i="56"/>
  <c r="AF300" i="56"/>
  <c r="AF352" i="56"/>
  <c r="AF404" i="56"/>
  <c r="AF313" i="56"/>
  <c r="AF209" i="56"/>
  <c r="AF261" i="56"/>
  <c r="AF66" i="56"/>
  <c r="AF365" i="56"/>
  <c r="AF27" i="56"/>
  <c r="AF40" i="56"/>
  <c r="AF235" i="56"/>
  <c r="AF248" i="56"/>
  <c r="AF53" i="56"/>
  <c r="AF118" i="56"/>
  <c r="AF196" i="56"/>
  <c r="AF222" i="56"/>
  <c r="AF183" i="56"/>
  <c r="AF170" i="56"/>
  <c r="AF92" i="56"/>
  <c r="AF79" i="56"/>
  <c r="AF144" i="56"/>
  <c r="AF131" i="56"/>
  <c r="AF157" i="56"/>
  <c r="AF105" i="56"/>
  <c r="T362" i="56"/>
  <c r="T141" i="56"/>
  <c r="T128" i="56"/>
  <c r="T24" i="56"/>
  <c r="T115" i="56"/>
  <c r="T323" i="56"/>
  <c r="T102" i="56"/>
  <c r="T297" i="56"/>
  <c r="T388" i="56"/>
  <c r="T219" i="56"/>
  <c r="T271" i="56"/>
  <c r="T206" i="56"/>
  <c r="T336" i="56"/>
  <c r="T167" i="56"/>
  <c r="T401" i="56"/>
  <c r="T375" i="56"/>
  <c r="T193" i="56"/>
  <c r="T154" i="56"/>
  <c r="T284" i="56"/>
  <c r="T76" i="56"/>
  <c r="T89" i="56"/>
  <c r="T180" i="56"/>
  <c r="T245" i="56"/>
  <c r="T349" i="56"/>
  <c r="T310" i="56"/>
  <c r="T50" i="56"/>
  <c r="T232" i="56"/>
  <c r="T37" i="56"/>
  <c r="T258" i="56"/>
  <c r="T63" i="56"/>
  <c r="H321" i="56"/>
  <c r="H113" i="56"/>
  <c r="H204" i="56"/>
  <c r="H243" i="56"/>
  <c r="H269" i="56"/>
  <c r="H360" i="56"/>
  <c r="H152" i="56"/>
  <c r="H191" i="56"/>
  <c r="H217" i="56"/>
  <c r="H308" i="56"/>
  <c r="H100" i="56"/>
  <c r="H347" i="56"/>
  <c r="H139" i="56"/>
  <c r="H35" i="56"/>
  <c r="H399" i="56"/>
  <c r="H373" i="56"/>
  <c r="H165" i="56"/>
  <c r="H256" i="56"/>
  <c r="H386" i="56"/>
  <c r="H295" i="56"/>
  <c r="H87" i="56"/>
  <c r="H48" i="56"/>
  <c r="H22" i="56"/>
  <c r="H282" i="56"/>
  <c r="H74" i="56"/>
  <c r="H334" i="56"/>
  <c r="H61" i="56"/>
  <c r="H178" i="56"/>
  <c r="H230" i="56"/>
  <c r="H126" i="56"/>
  <c r="T333" i="56"/>
  <c r="T281" i="56"/>
  <c r="T229" i="56"/>
  <c r="T177" i="56"/>
  <c r="T125" i="56"/>
  <c r="T346" i="56"/>
  <c r="T294" i="56"/>
  <c r="T242" i="56"/>
  <c r="T190" i="56"/>
  <c r="T138" i="56"/>
  <c r="T47" i="56"/>
  <c r="T398" i="56"/>
  <c r="T385" i="56"/>
  <c r="T307" i="56"/>
  <c r="T255" i="56"/>
  <c r="T203" i="56"/>
  <c r="T151" i="56"/>
  <c r="T73" i="56"/>
  <c r="T320" i="56"/>
  <c r="T268" i="56"/>
  <c r="T216" i="56"/>
  <c r="T164" i="56"/>
  <c r="T372" i="56"/>
  <c r="T99" i="56"/>
  <c r="T112" i="56"/>
  <c r="T34" i="56"/>
  <c r="T359" i="56"/>
  <c r="T60" i="56"/>
  <c r="T21" i="56"/>
  <c r="T86" i="56"/>
  <c r="AF403" i="56"/>
  <c r="AF351" i="56"/>
  <c r="AF364" i="56"/>
  <c r="AF377" i="56"/>
  <c r="AF325" i="56"/>
  <c r="AF390" i="56"/>
  <c r="AF247" i="56"/>
  <c r="AF156" i="56"/>
  <c r="AF104" i="56"/>
  <c r="AF338" i="56"/>
  <c r="AF273" i="56"/>
  <c r="AF260" i="56"/>
  <c r="AF208" i="56"/>
  <c r="AF169" i="56"/>
  <c r="AF117" i="56"/>
  <c r="AF299" i="56"/>
  <c r="AF221" i="56"/>
  <c r="AF182" i="56"/>
  <c r="AF130" i="56"/>
  <c r="AF78" i="56"/>
  <c r="AF234" i="56"/>
  <c r="AF195" i="56"/>
  <c r="AF143" i="56"/>
  <c r="AF91" i="56"/>
  <c r="AF312" i="56"/>
  <c r="AF286" i="56"/>
  <c r="AF65" i="56"/>
  <c r="AF26" i="56"/>
  <c r="AF52" i="56"/>
  <c r="AF39" i="56"/>
  <c r="AF350" i="56"/>
  <c r="AF311" i="56"/>
  <c r="AF324" i="56"/>
  <c r="AF272" i="56"/>
  <c r="AF363" i="56"/>
  <c r="AF376" i="56"/>
  <c r="AF285" i="56"/>
  <c r="AF337" i="56"/>
  <c r="AF389" i="56"/>
  <c r="AF298" i="56"/>
  <c r="AF402" i="56"/>
  <c r="AF246" i="56"/>
  <c r="AF51" i="56"/>
  <c r="AF233" i="56"/>
  <c r="AF64" i="56"/>
  <c r="AF25" i="56"/>
  <c r="AF220" i="56"/>
  <c r="AF38" i="56"/>
  <c r="AF129" i="56"/>
  <c r="AF207" i="56"/>
  <c r="AF116" i="56"/>
  <c r="AF142" i="56"/>
  <c r="AF168" i="56"/>
  <c r="AF181" i="56"/>
  <c r="AF77" i="56"/>
  <c r="AF155" i="56"/>
  <c r="AF103" i="56"/>
  <c r="AF90" i="56"/>
  <c r="AF259" i="56"/>
  <c r="AF194" i="56"/>
  <c r="H202" i="56"/>
  <c r="H293" i="56"/>
  <c r="H85" i="56"/>
  <c r="H397" i="56"/>
  <c r="H332" i="56"/>
  <c r="H358" i="56"/>
  <c r="H150" i="56"/>
  <c r="H241" i="56"/>
  <c r="H280" i="56"/>
  <c r="H306" i="56"/>
  <c r="H98" i="56"/>
  <c r="H189" i="56"/>
  <c r="H228" i="56"/>
  <c r="H72" i="56"/>
  <c r="H20" i="56"/>
  <c r="H384" i="56"/>
  <c r="H254" i="56"/>
  <c r="H345" i="56"/>
  <c r="H137" i="56"/>
  <c r="H176" i="56"/>
  <c r="H33" i="56"/>
  <c r="H267" i="56"/>
  <c r="H59" i="56"/>
  <c r="H46" i="56"/>
  <c r="H163" i="56"/>
  <c r="H215" i="56"/>
  <c r="H124" i="56"/>
  <c r="H319" i="56"/>
  <c r="H111" i="56"/>
  <c r="H371" i="56"/>
  <c r="AF370" i="56"/>
  <c r="AF318" i="56"/>
  <c r="AF266" i="56"/>
  <c r="AF396" i="56"/>
  <c r="AF383" i="56"/>
  <c r="AF279" i="56"/>
  <c r="AF331" i="56"/>
  <c r="AF292" i="56"/>
  <c r="AF344" i="56"/>
  <c r="AF305" i="56"/>
  <c r="AF240" i="56"/>
  <c r="AF58" i="56"/>
  <c r="AF357" i="56"/>
  <c r="AF227" i="56"/>
  <c r="AF19" i="56"/>
  <c r="AF253" i="56"/>
  <c r="AF32" i="56"/>
  <c r="AF45" i="56"/>
  <c r="AF162" i="56"/>
  <c r="AF136" i="56"/>
  <c r="AF97" i="56"/>
  <c r="AF188" i="56"/>
  <c r="AF214" i="56"/>
  <c r="AF110" i="56"/>
  <c r="AF71" i="56"/>
  <c r="AF201" i="56"/>
  <c r="AF84" i="56"/>
  <c r="AF175" i="56"/>
  <c r="AF123" i="56"/>
  <c r="AF149" i="56"/>
  <c r="I389" i="56"/>
  <c r="I337" i="56"/>
  <c r="I285" i="56"/>
  <c r="I233" i="56"/>
  <c r="I181" i="56"/>
  <c r="I129" i="56"/>
  <c r="I402" i="56"/>
  <c r="I350" i="56"/>
  <c r="I298" i="56"/>
  <c r="I246" i="56"/>
  <c r="I194" i="56"/>
  <c r="I142" i="56"/>
  <c r="I90" i="56"/>
  <c r="I363" i="56"/>
  <c r="I311" i="56"/>
  <c r="I259" i="56"/>
  <c r="I207" i="56"/>
  <c r="I155" i="56"/>
  <c r="I103" i="56"/>
  <c r="I376" i="56"/>
  <c r="I324" i="56"/>
  <c r="I272" i="56"/>
  <c r="I220" i="56"/>
  <c r="I168" i="56"/>
  <c r="I116" i="56"/>
  <c r="I25" i="56"/>
  <c r="I38" i="56"/>
  <c r="I64" i="56"/>
  <c r="I77" i="56"/>
  <c r="I51" i="56"/>
  <c r="AG398" i="56"/>
  <c r="AG320" i="56"/>
  <c r="AG268" i="56"/>
  <c r="AG359" i="56"/>
  <c r="AG281" i="56"/>
  <c r="AG372" i="56"/>
  <c r="AG333" i="56"/>
  <c r="AG294" i="56"/>
  <c r="AG385" i="56"/>
  <c r="AG307" i="56"/>
  <c r="AG229" i="56"/>
  <c r="AG203" i="56"/>
  <c r="AG151" i="56"/>
  <c r="AG99" i="56"/>
  <c r="AG242" i="56"/>
  <c r="AG164" i="56"/>
  <c r="AG112" i="56"/>
  <c r="AG346" i="56"/>
  <c r="AG255" i="56"/>
  <c r="AG177" i="56"/>
  <c r="AG125" i="56"/>
  <c r="AG73" i="56"/>
  <c r="AG216" i="56"/>
  <c r="AG190" i="56"/>
  <c r="AG138" i="56"/>
  <c r="AG86" i="56"/>
  <c r="AG34" i="56"/>
  <c r="AG60" i="56"/>
  <c r="AG21" i="56"/>
  <c r="AG47" i="56"/>
  <c r="AG391" i="56"/>
  <c r="AG313" i="56"/>
  <c r="AG404" i="56"/>
  <c r="AG352" i="56"/>
  <c r="AG326" i="56"/>
  <c r="AG274" i="56"/>
  <c r="AG365" i="56"/>
  <c r="AG287" i="56"/>
  <c r="AG378" i="56"/>
  <c r="AG300" i="56"/>
  <c r="AG222" i="56"/>
  <c r="AG196" i="56"/>
  <c r="AG144" i="56"/>
  <c r="AG92" i="56"/>
  <c r="AG235" i="56"/>
  <c r="AG157" i="56"/>
  <c r="AG105" i="56"/>
  <c r="AG248" i="56"/>
  <c r="AG170" i="56"/>
  <c r="AG118" i="56"/>
  <c r="AG209" i="56"/>
  <c r="AG339" i="56"/>
  <c r="AG261" i="56"/>
  <c r="AG183" i="56"/>
  <c r="AG131" i="56"/>
  <c r="AG79" i="56"/>
  <c r="AG53" i="56"/>
  <c r="AG66" i="56"/>
  <c r="AG27" i="56"/>
  <c r="AG40" i="56"/>
  <c r="AG375" i="56"/>
  <c r="AG336" i="56"/>
  <c r="AG362" i="56"/>
  <c r="AG401" i="56"/>
  <c r="AG349" i="56"/>
  <c r="AG388" i="56"/>
  <c r="AG271" i="56"/>
  <c r="AG141" i="56"/>
  <c r="AG297" i="56"/>
  <c r="AG284" i="56"/>
  <c r="AG206" i="56"/>
  <c r="AG167" i="56"/>
  <c r="AG323" i="56"/>
  <c r="AG232" i="56"/>
  <c r="AG193" i="56"/>
  <c r="AG89" i="56"/>
  <c r="AG258" i="56"/>
  <c r="AG115" i="56"/>
  <c r="AG50" i="56"/>
  <c r="AG245" i="56"/>
  <c r="AG63" i="56"/>
  <c r="AG102" i="56"/>
  <c r="AG310" i="56"/>
  <c r="AG24" i="56"/>
  <c r="AG154" i="56"/>
  <c r="AG76" i="56"/>
  <c r="AG37" i="56"/>
  <c r="AG180" i="56"/>
  <c r="AG219" i="56"/>
  <c r="AG128" i="56"/>
  <c r="U335" i="56"/>
  <c r="U283" i="56"/>
  <c r="U231" i="56"/>
  <c r="U179" i="56"/>
  <c r="U127" i="56"/>
  <c r="U75" i="56"/>
  <c r="U400" i="56"/>
  <c r="U348" i="56"/>
  <c r="U296" i="56"/>
  <c r="U244" i="56"/>
  <c r="U192" i="56"/>
  <c r="U140" i="56"/>
  <c r="U88" i="56"/>
  <c r="U387" i="56"/>
  <c r="U361" i="56"/>
  <c r="U309" i="56"/>
  <c r="U257" i="56"/>
  <c r="U205" i="56"/>
  <c r="U153" i="56"/>
  <c r="U101" i="56"/>
  <c r="U49" i="56"/>
  <c r="U374" i="56"/>
  <c r="U322" i="56"/>
  <c r="U270" i="56"/>
  <c r="U218" i="56"/>
  <c r="U166" i="56"/>
  <c r="U114" i="56"/>
  <c r="U62" i="56"/>
  <c r="U23" i="56"/>
  <c r="U36" i="56"/>
  <c r="U373" i="56"/>
  <c r="U360" i="56"/>
  <c r="U399" i="56"/>
  <c r="U347" i="56"/>
  <c r="U295" i="56"/>
  <c r="U243" i="56"/>
  <c r="U191" i="56"/>
  <c r="U139" i="56"/>
  <c r="U87" i="56"/>
  <c r="U308" i="56"/>
  <c r="U256" i="56"/>
  <c r="U204" i="56"/>
  <c r="U152" i="56"/>
  <c r="U100" i="56"/>
  <c r="U48" i="56"/>
  <c r="U321" i="56"/>
  <c r="U269" i="56"/>
  <c r="U217" i="56"/>
  <c r="U165" i="56"/>
  <c r="U113" i="56"/>
  <c r="U61" i="56"/>
  <c r="U35" i="56"/>
  <c r="U334" i="56"/>
  <c r="U282" i="56"/>
  <c r="U230" i="56"/>
  <c r="U178" i="56"/>
  <c r="U126" i="56"/>
  <c r="U74" i="56"/>
  <c r="U22" i="56"/>
  <c r="U386" i="56"/>
  <c r="I397" i="56"/>
  <c r="I241" i="56"/>
  <c r="I332" i="56"/>
  <c r="I124" i="56"/>
  <c r="I46" i="56"/>
  <c r="I371" i="56"/>
  <c r="I189" i="56"/>
  <c r="I280" i="56"/>
  <c r="I59" i="56"/>
  <c r="I319" i="56"/>
  <c r="I345" i="56"/>
  <c r="I137" i="56"/>
  <c r="I228" i="56"/>
  <c r="I72" i="56"/>
  <c r="I20" i="56"/>
  <c r="I267" i="56"/>
  <c r="I306" i="56"/>
  <c r="I384" i="56"/>
  <c r="I293" i="56"/>
  <c r="I85" i="56"/>
  <c r="I176" i="56"/>
  <c r="I33" i="56"/>
  <c r="I215" i="56"/>
  <c r="I98" i="56"/>
  <c r="I254" i="56"/>
  <c r="I150" i="56"/>
  <c r="I111" i="56"/>
  <c r="I163" i="56"/>
  <c r="I358" i="56"/>
  <c r="I202" i="56"/>
  <c r="AG383" i="56"/>
  <c r="AG305" i="56"/>
  <c r="AG396" i="56"/>
  <c r="AG318" i="56"/>
  <c r="AG266" i="56"/>
  <c r="AG357" i="56"/>
  <c r="AG279" i="56"/>
  <c r="AG370" i="56"/>
  <c r="AG344" i="56"/>
  <c r="AG292" i="56"/>
  <c r="AG331" i="56"/>
  <c r="AG214" i="56"/>
  <c r="AG188" i="56"/>
  <c r="AG136" i="56"/>
  <c r="AG84" i="56"/>
  <c r="AG227" i="56"/>
  <c r="AG201" i="56"/>
  <c r="AG149" i="56"/>
  <c r="AG97" i="56"/>
  <c r="AG240" i="56"/>
  <c r="AG162" i="56"/>
  <c r="AG110" i="56"/>
  <c r="AG253" i="56"/>
  <c r="AG175" i="56"/>
  <c r="AG123" i="56"/>
  <c r="AG71" i="56"/>
  <c r="AG19" i="56"/>
  <c r="AG58" i="56"/>
  <c r="AG45" i="56"/>
  <c r="AG32" i="56"/>
  <c r="AG330" i="56"/>
  <c r="AG343" i="56"/>
  <c r="AG356" i="56"/>
  <c r="AG395" i="56"/>
  <c r="AG382" i="56"/>
  <c r="AG291" i="56"/>
  <c r="AG239" i="56"/>
  <c r="AG369" i="56"/>
  <c r="AG200" i="56"/>
  <c r="AG96" i="56"/>
  <c r="AG122" i="56"/>
  <c r="AG278" i="56"/>
  <c r="AG148" i="56"/>
  <c r="AG304" i="56"/>
  <c r="AG213" i="56"/>
  <c r="AG174" i="56"/>
  <c r="AG70" i="56"/>
  <c r="AG317" i="56"/>
  <c r="AG252" i="56"/>
  <c r="AG57" i="56"/>
  <c r="AG161" i="56"/>
  <c r="AG109" i="56"/>
  <c r="AG18" i="56"/>
  <c r="AG187" i="56"/>
  <c r="AG265" i="56"/>
  <c r="AG226" i="56"/>
  <c r="AG83" i="56"/>
  <c r="AG31" i="56"/>
  <c r="AG135" i="56"/>
  <c r="AG44" i="56"/>
  <c r="I211" i="56"/>
  <c r="I302" i="56"/>
  <c r="I94" i="56"/>
  <c r="I68" i="56"/>
  <c r="I16" i="56"/>
  <c r="I341" i="56"/>
  <c r="I380" i="56"/>
  <c r="I367" i="56"/>
  <c r="I159" i="56"/>
  <c r="I250" i="56"/>
  <c r="I29" i="56"/>
  <c r="I289" i="56"/>
  <c r="I393" i="56"/>
  <c r="I315" i="56"/>
  <c r="I107" i="56"/>
  <c r="I198" i="56"/>
  <c r="I42" i="56"/>
  <c r="I237" i="56"/>
  <c r="I263" i="56"/>
  <c r="I354" i="56"/>
  <c r="I146" i="56"/>
  <c r="I55" i="56"/>
  <c r="I185" i="56"/>
  <c r="I276" i="56"/>
  <c r="I133" i="56"/>
  <c r="I328" i="56"/>
  <c r="I172" i="56"/>
  <c r="I81" i="56"/>
  <c r="I224" i="56"/>
  <c r="I120" i="56"/>
  <c r="AG368" i="56"/>
  <c r="AG290" i="56"/>
  <c r="AG381" i="56"/>
  <c r="AG303" i="56"/>
  <c r="AG394" i="56"/>
  <c r="AG316" i="56"/>
  <c r="AG264" i="56"/>
  <c r="AG355" i="56"/>
  <c r="AG329" i="56"/>
  <c r="AG277" i="56"/>
  <c r="AG251" i="56"/>
  <c r="AG342" i="56"/>
  <c r="AG173" i="56"/>
  <c r="AG121" i="56"/>
  <c r="AG69" i="56"/>
  <c r="AG212" i="56"/>
  <c r="AG186" i="56"/>
  <c r="AG134" i="56"/>
  <c r="AG82" i="56"/>
  <c r="AG225" i="56"/>
  <c r="AG199" i="56"/>
  <c r="AG147" i="56"/>
  <c r="AG95" i="56"/>
  <c r="AG238" i="56"/>
  <c r="AG160" i="56"/>
  <c r="AG108" i="56"/>
  <c r="AG43" i="56"/>
  <c r="AG17" i="56"/>
  <c r="AG30" i="56"/>
  <c r="AG56" i="56"/>
  <c r="H251" i="56"/>
  <c r="H30" i="56"/>
  <c r="H342" i="56"/>
  <c r="H134" i="56"/>
  <c r="H199" i="56"/>
  <c r="H43" i="56"/>
  <c r="H394" i="56"/>
  <c r="H290" i="56"/>
  <c r="H82" i="56"/>
  <c r="H329" i="56"/>
  <c r="H355" i="56"/>
  <c r="H147" i="56"/>
  <c r="H56" i="56"/>
  <c r="H238" i="56"/>
  <c r="H277" i="56"/>
  <c r="H316" i="56"/>
  <c r="H303" i="56"/>
  <c r="H95" i="56"/>
  <c r="H69" i="56"/>
  <c r="H17" i="56"/>
  <c r="H186" i="56"/>
  <c r="H225" i="56"/>
  <c r="H264" i="56"/>
  <c r="H381" i="56"/>
  <c r="H173" i="56"/>
  <c r="H108" i="56"/>
  <c r="H160" i="56"/>
  <c r="H121" i="56"/>
  <c r="H368" i="56"/>
  <c r="H212" i="56"/>
  <c r="T386" i="56"/>
  <c r="T334" i="56"/>
  <c r="T399" i="56"/>
  <c r="T178" i="56"/>
  <c r="T360" i="56"/>
  <c r="T230" i="56"/>
  <c r="T373" i="56"/>
  <c r="T282" i="56"/>
  <c r="T191" i="56"/>
  <c r="T113" i="56"/>
  <c r="T308" i="56"/>
  <c r="T321" i="56"/>
  <c r="T100" i="56"/>
  <c r="T243" i="56"/>
  <c r="T152" i="56"/>
  <c r="T74" i="56"/>
  <c r="T165" i="56"/>
  <c r="T295" i="56"/>
  <c r="T61" i="56"/>
  <c r="T22" i="56"/>
  <c r="T204" i="56"/>
  <c r="T126" i="56"/>
  <c r="T347" i="56"/>
  <c r="T139" i="56"/>
  <c r="T87" i="56"/>
  <c r="T35" i="56"/>
  <c r="T256" i="56"/>
  <c r="T269" i="56"/>
  <c r="T217" i="56"/>
  <c r="T48" i="56"/>
  <c r="AF380" i="56"/>
  <c r="AF393" i="56"/>
  <c r="AF328" i="56"/>
  <c r="AF354" i="56"/>
  <c r="AF367" i="56"/>
  <c r="AF341" i="56"/>
  <c r="AF276" i="56"/>
  <c r="AF224" i="56"/>
  <c r="AF185" i="56"/>
  <c r="AF133" i="56"/>
  <c r="AF81" i="56"/>
  <c r="AF302" i="56"/>
  <c r="AF237" i="56"/>
  <c r="AF198" i="56"/>
  <c r="AF146" i="56"/>
  <c r="AF94" i="56"/>
  <c r="AF250" i="56"/>
  <c r="AF159" i="56"/>
  <c r="AF107" i="56"/>
  <c r="AF289" i="56"/>
  <c r="AF263" i="56"/>
  <c r="AF211" i="56"/>
  <c r="AF172" i="56"/>
  <c r="AF120" i="56"/>
  <c r="AF68" i="56"/>
  <c r="AF315" i="56"/>
  <c r="AF55" i="56"/>
  <c r="AF16" i="56"/>
  <c r="AF42" i="56"/>
  <c r="AF29" i="56"/>
  <c r="AF385" i="56"/>
  <c r="AF281" i="56"/>
  <c r="AF333" i="56"/>
  <c r="AF294" i="56"/>
  <c r="AF346" i="56"/>
  <c r="AF307" i="56"/>
  <c r="AF359" i="56"/>
  <c r="AF398" i="56"/>
  <c r="AF320" i="56"/>
  <c r="AF268" i="56"/>
  <c r="AF216" i="56"/>
  <c r="AF21" i="56"/>
  <c r="AF242" i="56"/>
  <c r="AF34" i="56"/>
  <c r="AF372" i="56"/>
  <c r="AF255" i="56"/>
  <c r="AF47" i="56"/>
  <c r="AF60" i="56"/>
  <c r="AF177" i="56"/>
  <c r="AF203" i="56"/>
  <c r="AF190" i="56"/>
  <c r="AF86" i="56"/>
  <c r="AF125" i="56"/>
  <c r="AF164" i="56"/>
  <c r="AF138" i="56"/>
  <c r="AF73" i="56"/>
  <c r="AF151" i="56"/>
  <c r="AF99" i="56"/>
  <c r="AF229" i="56"/>
  <c r="AF112" i="56"/>
  <c r="T364" i="56"/>
  <c r="T156" i="56"/>
  <c r="T377" i="56"/>
  <c r="T208" i="56"/>
  <c r="T390" i="56"/>
  <c r="T260" i="56"/>
  <c r="T403" i="56"/>
  <c r="T312" i="56"/>
  <c r="T221" i="56"/>
  <c r="T26" i="56"/>
  <c r="T338" i="56"/>
  <c r="T351" i="56"/>
  <c r="T273" i="56"/>
  <c r="T65" i="56"/>
  <c r="T39" i="56"/>
  <c r="T182" i="56"/>
  <c r="T325" i="56"/>
  <c r="T91" i="56"/>
  <c r="T234" i="56"/>
  <c r="T247" i="56"/>
  <c r="T195" i="56"/>
  <c r="T130" i="56"/>
  <c r="T169" i="56"/>
  <c r="T117" i="56"/>
  <c r="T286" i="56"/>
  <c r="T299" i="56"/>
  <c r="T143" i="56"/>
  <c r="T104" i="56"/>
  <c r="T52" i="56"/>
  <c r="T78" i="56"/>
  <c r="AF335" i="56"/>
  <c r="AF400" i="56"/>
  <c r="AF361" i="56"/>
  <c r="AF296" i="56"/>
  <c r="AF348" i="56"/>
  <c r="AF309" i="56"/>
  <c r="AF322" i="56"/>
  <c r="AF270" i="56"/>
  <c r="AF374" i="56"/>
  <c r="AF283" i="56"/>
  <c r="AF231" i="56"/>
  <c r="AF36" i="56"/>
  <c r="AF257" i="56"/>
  <c r="AF49" i="56"/>
  <c r="AF62" i="56"/>
  <c r="AF387" i="56"/>
  <c r="AF218" i="56"/>
  <c r="AF23" i="56"/>
  <c r="AF192" i="56"/>
  <c r="AF114" i="56"/>
  <c r="AF244" i="56"/>
  <c r="AF205" i="56"/>
  <c r="AF127" i="56"/>
  <c r="AF166" i="56"/>
  <c r="AF88" i="56"/>
  <c r="AF179" i="56"/>
  <c r="AF101" i="56"/>
  <c r="AF75" i="56"/>
  <c r="AF140" i="56"/>
  <c r="AF153" i="56"/>
  <c r="T371" i="56"/>
  <c r="T215" i="56"/>
  <c r="T384" i="56"/>
  <c r="T267" i="56"/>
  <c r="T397" i="56"/>
  <c r="T319" i="56"/>
  <c r="T358" i="56"/>
  <c r="T163" i="56"/>
  <c r="T280" i="56"/>
  <c r="T98" i="56"/>
  <c r="T33" i="56"/>
  <c r="T189" i="56"/>
  <c r="T202" i="56"/>
  <c r="T59" i="56"/>
  <c r="T332" i="56"/>
  <c r="T124" i="56"/>
  <c r="T241" i="56"/>
  <c r="T254" i="56"/>
  <c r="T111" i="56"/>
  <c r="T176" i="56"/>
  <c r="T46" i="56"/>
  <c r="T293" i="56"/>
  <c r="T306" i="56"/>
  <c r="T228" i="56"/>
  <c r="T72" i="56"/>
  <c r="T20" i="56"/>
  <c r="T345" i="56"/>
  <c r="T137" i="56"/>
  <c r="T85" i="56"/>
  <c r="T150" i="56"/>
  <c r="T356" i="56"/>
  <c r="T304" i="56"/>
  <c r="T369" i="56"/>
  <c r="T148" i="56"/>
  <c r="T382" i="56"/>
  <c r="T200" i="56"/>
  <c r="T44" i="56"/>
  <c r="T395" i="56"/>
  <c r="T252" i="56"/>
  <c r="T161" i="56"/>
  <c r="T83" i="56"/>
  <c r="T18" i="56"/>
  <c r="T278" i="56"/>
  <c r="T291" i="56"/>
  <c r="T135" i="56"/>
  <c r="T96" i="56"/>
  <c r="T213" i="56"/>
  <c r="T109" i="56"/>
  <c r="T31" i="56"/>
  <c r="T330" i="56"/>
  <c r="T343" i="56"/>
  <c r="T265" i="56"/>
  <c r="T174" i="56"/>
  <c r="T70" i="56"/>
  <c r="T187" i="56"/>
  <c r="T317" i="56"/>
  <c r="T57" i="56"/>
  <c r="T226" i="56"/>
  <c r="T239" i="56"/>
  <c r="T122" i="56"/>
  <c r="U363" i="56"/>
  <c r="U350" i="56"/>
  <c r="U298" i="56"/>
  <c r="U246" i="56"/>
  <c r="U194" i="56"/>
  <c r="U142" i="56"/>
  <c r="U90" i="56"/>
  <c r="U389" i="56"/>
  <c r="U311" i="56"/>
  <c r="U259" i="56"/>
  <c r="U207" i="56"/>
  <c r="U155" i="56"/>
  <c r="U103" i="56"/>
  <c r="U51" i="56"/>
  <c r="U324" i="56"/>
  <c r="U272" i="56"/>
  <c r="U220" i="56"/>
  <c r="U168" i="56"/>
  <c r="U116" i="56"/>
  <c r="U64" i="56"/>
  <c r="U337" i="56"/>
  <c r="U285" i="56"/>
  <c r="U233" i="56"/>
  <c r="U181" i="56"/>
  <c r="U129" i="56"/>
  <c r="U77" i="56"/>
  <c r="U402" i="56"/>
  <c r="U25" i="56"/>
  <c r="U376" i="56"/>
  <c r="U38" i="56"/>
  <c r="AG379" i="56"/>
  <c r="AG353" i="56"/>
  <c r="AG405" i="56"/>
  <c r="AG366" i="56"/>
  <c r="AG340" i="56"/>
  <c r="AG392" i="56"/>
  <c r="AG301" i="56"/>
  <c r="AG171" i="56"/>
  <c r="AG327" i="56"/>
  <c r="AG314" i="56"/>
  <c r="AG236" i="56"/>
  <c r="AG197" i="56"/>
  <c r="AG93" i="56"/>
  <c r="AG262" i="56"/>
  <c r="AG119" i="56"/>
  <c r="AG275" i="56"/>
  <c r="AG145" i="56"/>
  <c r="AG288" i="56"/>
  <c r="AG223" i="56"/>
  <c r="AG28" i="56"/>
  <c r="AG210" i="56"/>
  <c r="AG80" i="56"/>
  <c r="AG249" i="56"/>
  <c r="AG41" i="56"/>
  <c r="AG132" i="56"/>
  <c r="AG54" i="56"/>
  <c r="AG184" i="56"/>
  <c r="AG106" i="56"/>
  <c r="AG67" i="56"/>
  <c r="AG158" i="56"/>
  <c r="I404" i="56"/>
  <c r="I352" i="56"/>
  <c r="I300" i="56"/>
  <c r="I248" i="56"/>
  <c r="I196" i="56"/>
  <c r="I144" i="56"/>
  <c r="I92" i="56"/>
  <c r="I365" i="56"/>
  <c r="I313" i="56"/>
  <c r="I261" i="56"/>
  <c r="I209" i="56"/>
  <c r="I157" i="56"/>
  <c r="I105" i="56"/>
  <c r="I378" i="56"/>
  <c r="I326" i="56"/>
  <c r="I274" i="56"/>
  <c r="I222" i="56"/>
  <c r="I170" i="56"/>
  <c r="I118" i="56"/>
  <c r="I391" i="56"/>
  <c r="I339" i="56"/>
  <c r="I287" i="56"/>
  <c r="I235" i="56"/>
  <c r="I183" i="56"/>
  <c r="I131" i="56"/>
  <c r="I66" i="56"/>
  <c r="I27" i="56"/>
  <c r="I40" i="56"/>
  <c r="I53" i="56"/>
  <c r="I79" i="56"/>
  <c r="I271" i="56"/>
  <c r="I362" i="56"/>
  <c r="I154" i="56"/>
  <c r="I76" i="56"/>
  <c r="I24" i="56"/>
  <c r="I388" i="56"/>
  <c r="I219" i="56"/>
  <c r="I310" i="56"/>
  <c r="I102" i="56"/>
  <c r="I37" i="56"/>
  <c r="I349" i="56"/>
  <c r="I141" i="56"/>
  <c r="I401" i="56"/>
  <c r="I375" i="56"/>
  <c r="I167" i="56"/>
  <c r="I258" i="56"/>
  <c r="I50" i="56"/>
  <c r="I297" i="56"/>
  <c r="I89" i="56"/>
  <c r="I128" i="56"/>
  <c r="I323" i="56"/>
  <c r="I115" i="56"/>
  <c r="I206" i="56"/>
  <c r="I63" i="56"/>
  <c r="I245" i="56"/>
  <c r="I336" i="56"/>
  <c r="I180" i="56"/>
  <c r="I193" i="56"/>
  <c r="I232" i="56"/>
  <c r="I284" i="56"/>
  <c r="AG361" i="56"/>
  <c r="AG283" i="56"/>
  <c r="AG374" i="56"/>
  <c r="AG296" i="56"/>
  <c r="AG387" i="56"/>
  <c r="AG348" i="56"/>
  <c r="AG309" i="56"/>
  <c r="AG400" i="56"/>
  <c r="AG322" i="56"/>
  <c r="AG270" i="56"/>
  <c r="AG244" i="56"/>
  <c r="AG166" i="56"/>
  <c r="AG114" i="56"/>
  <c r="AG257" i="56"/>
  <c r="AG179" i="56"/>
  <c r="AG127" i="56"/>
  <c r="AG75" i="56"/>
  <c r="AG218" i="56"/>
  <c r="AG192" i="56"/>
  <c r="AG140" i="56"/>
  <c r="AG88" i="56"/>
  <c r="AG231" i="56"/>
  <c r="AG205" i="56"/>
  <c r="AG153" i="56"/>
  <c r="AG101" i="56"/>
  <c r="AG23" i="56"/>
  <c r="AG62" i="56"/>
  <c r="AG49" i="56"/>
  <c r="AG335" i="56"/>
  <c r="AG36" i="56"/>
  <c r="I360" i="56"/>
  <c r="I152" i="56"/>
  <c r="I243" i="56"/>
  <c r="I61" i="56"/>
  <c r="I282" i="56"/>
  <c r="I308" i="56"/>
  <c r="I100" i="56"/>
  <c r="I191" i="56"/>
  <c r="I74" i="56"/>
  <c r="I22" i="56"/>
  <c r="I230" i="56"/>
  <c r="I386" i="56"/>
  <c r="I256" i="56"/>
  <c r="I347" i="56"/>
  <c r="I139" i="56"/>
  <c r="I35" i="56"/>
  <c r="I178" i="56"/>
  <c r="I399" i="56"/>
  <c r="I204" i="56"/>
  <c r="I295" i="56"/>
  <c r="I87" i="56"/>
  <c r="I48" i="56"/>
  <c r="I334" i="56"/>
  <c r="I126" i="56"/>
  <c r="I321" i="56"/>
  <c r="I217" i="56"/>
  <c r="I373" i="56"/>
  <c r="I113" i="56"/>
  <c r="I165" i="56"/>
  <c r="I269" i="56"/>
  <c r="U332" i="56"/>
  <c r="U280" i="56"/>
  <c r="U228" i="56"/>
  <c r="U176" i="56"/>
  <c r="U124" i="56"/>
  <c r="U72" i="56"/>
  <c r="U397" i="56"/>
  <c r="U345" i="56"/>
  <c r="U293" i="56"/>
  <c r="U241" i="56"/>
  <c r="U189" i="56"/>
  <c r="U137" i="56"/>
  <c r="U85" i="56"/>
  <c r="U371" i="56"/>
  <c r="U358" i="56"/>
  <c r="U384" i="56"/>
  <c r="U306" i="56"/>
  <c r="U254" i="56"/>
  <c r="U202" i="56"/>
  <c r="U150" i="56"/>
  <c r="U98" i="56"/>
  <c r="U46" i="56"/>
  <c r="U20" i="56"/>
  <c r="U319" i="56"/>
  <c r="U267" i="56"/>
  <c r="U215" i="56"/>
  <c r="U163" i="56"/>
  <c r="U111" i="56"/>
  <c r="U59" i="56"/>
  <c r="U33" i="56"/>
  <c r="U305" i="56"/>
  <c r="U253" i="56"/>
  <c r="U201" i="56"/>
  <c r="U149" i="56"/>
  <c r="U97" i="56"/>
  <c r="U45" i="56"/>
  <c r="U370" i="56"/>
  <c r="U318" i="56"/>
  <c r="U266" i="56"/>
  <c r="U214" i="56"/>
  <c r="U162" i="56"/>
  <c r="U110" i="56"/>
  <c r="U58" i="56"/>
  <c r="U357" i="56"/>
  <c r="U396" i="56"/>
  <c r="U331" i="56"/>
  <c r="U279" i="56"/>
  <c r="U227" i="56"/>
  <c r="U175" i="56"/>
  <c r="U123" i="56"/>
  <c r="U71" i="56"/>
  <c r="U344" i="56"/>
  <c r="U292" i="56"/>
  <c r="U240" i="56"/>
  <c r="U188" i="56"/>
  <c r="U136" i="56"/>
  <c r="U84" i="56"/>
  <c r="U32" i="56"/>
  <c r="U19" i="56"/>
  <c r="U383" i="56"/>
  <c r="T303" i="56"/>
  <c r="T251" i="56"/>
  <c r="T199" i="56"/>
  <c r="T147" i="56"/>
  <c r="T95" i="56"/>
  <c r="T316" i="56"/>
  <c r="T264" i="56"/>
  <c r="T212" i="56"/>
  <c r="T160" i="56"/>
  <c r="T381" i="56"/>
  <c r="T121" i="56"/>
  <c r="T368" i="56"/>
  <c r="T355" i="56"/>
  <c r="T329" i="56"/>
  <c r="T277" i="56"/>
  <c r="T225" i="56"/>
  <c r="T173" i="56"/>
  <c r="T394" i="56"/>
  <c r="T342" i="56"/>
  <c r="T290" i="56"/>
  <c r="T238" i="56"/>
  <c r="T186" i="56"/>
  <c r="T134" i="56"/>
  <c r="T69" i="56"/>
  <c r="T82" i="56"/>
  <c r="T108" i="56"/>
  <c r="T43" i="56"/>
  <c r="T56" i="56"/>
  <c r="T17" i="56"/>
  <c r="T30" i="56"/>
  <c r="H222" i="56"/>
  <c r="H53" i="56"/>
  <c r="H313" i="56"/>
  <c r="H105" i="56"/>
  <c r="H352" i="56"/>
  <c r="H378" i="56"/>
  <c r="H170" i="56"/>
  <c r="H66" i="56"/>
  <c r="H261" i="56"/>
  <c r="H300" i="56"/>
  <c r="H326" i="56"/>
  <c r="H118" i="56"/>
  <c r="H79" i="56"/>
  <c r="H27" i="56"/>
  <c r="H391" i="56"/>
  <c r="H209" i="56"/>
  <c r="H248" i="56"/>
  <c r="H404" i="56"/>
  <c r="H287" i="56"/>
  <c r="H274" i="56"/>
  <c r="H40" i="56"/>
  <c r="H365" i="56"/>
  <c r="H157" i="56"/>
  <c r="H196" i="56"/>
  <c r="H235" i="56"/>
  <c r="H144" i="56"/>
  <c r="H131" i="56"/>
  <c r="H339" i="56"/>
  <c r="H92" i="56"/>
  <c r="H183" i="56"/>
  <c r="AF388" i="56"/>
  <c r="AF349" i="56"/>
  <c r="AF141" i="56"/>
  <c r="AF102" i="56"/>
  <c r="AF206" i="56"/>
  <c r="AF310" i="56"/>
  <c r="AF76" i="56"/>
  <c r="AF271" i="56"/>
  <c r="AF336" i="56"/>
  <c r="AF375" i="56"/>
  <c r="AF89" i="56"/>
  <c r="AF297" i="56"/>
  <c r="AF167" i="56"/>
  <c r="AF219" i="56"/>
  <c r="AF50" i="56"/>
  <c r="AF24" i="56"/>
  <c r="AF401" i="56"/>
  <c r="AF232" i="56"/>
  <c r="AF245" i="56"/>
  <c r="AF284" i="56"/>
  <c r="AF115" i="56"/>
  <c r="AF180" i="56"/>
  <c r="AF37" i="56"/>
  <c r="AF362" i="56"/>
  <c r="AF193" i="56"/>
  <c r="AF154" i="56"/>
  <c r="AF258" i="56"/>
  <c r="AF323" i="56"/>
  <c r="AF128" i="56"/>
  <c r="AF63" i="56"/>
  <c r="H380" i="56"/>
  <c r="H172" i="56"/>
  <c r="H263" i="56"/>
  <c r="H302" i="56"/>
  <c r="H328" i="56"/>
  <c r="H120" i="56"/>
  <c r="H211" i="56"/>
  <c r="H393" i="56"/>
  <c r="H250" i="56"/>
  <c r="H276" i="56"/>
  <c r="H367" i="56"/>
  <c r="H159" i="56"/>
  <c r="H198" i="56"/>
  <c r="H42" i="56"/>
  <c r="H224" i="56"/>
  <c r="H315" i="56"/>
  <c r="H107" i="56"/>
  <c r="H354" i="56"/>
  <c r="H146" i="56"/>
  <c r="H55" i="56"/>
  <c r="H94" i="56"/>
  <c r="H68" i="56"/>
  <c r="H341" i="56"/>
  <c r="H133" i="56"/>
  <c r="H16" i="56"/>
  <c r="H237" i="56"/>
  <c r="H81" i="56"/>
  <c r="H185" i="56"/>
  <c r="H29" i="56"/>
  <c r="H289" i="56"/>
  <c r="T379" i="56"/>
  <c r="T275" i="56"/>
  <c r="T392" i="56"/>
  <c r="T327" i="56"/>
  <c r="T405" i="56"/>
  <c r="T171" i="56"/>
  <c r="T366" i="56"/>
  <c r="T223" i="56"/>
  <c r="T340" i="56"/>
  <c r="T54" i="56"/>
  <c r="T41" i="56"/>
  <c r="T249" i="56"/>
  <c r="T262" i="56"/>
  <c r="T119" i="56"/>
  <c r="T210" i="56"/>
  <c r="T67" i="56"/>
  <c r="T184" i="56"/>
  <c r="T80" i="56"/>
  <c r="T301" i="56"/>
  <c r="T314" i="56"/>
  <c r="T236" i="56"/>
  <c r="T106" i="56"/>
  <c r="T353" i="56"/>
  <c r="T145" i="56"/>
  <c r="T158" i="56"/>
  <c r="T288" i="56"/>
  <c r="T132" i="56"/>
  <c r="T28" i="56"/>
  <c r="T197" i="56"/>
  <c r="T93" i="56"/>
  <c r="H311" i="56"/>
  <c r="H103" i="56"/>
  <c r="H38" i="56"/>
  <c r="H194" i="56"/>
  <c r="H233" i="56"/>
  <c r="H259" i="56"/>
  <c r="H51" i="56"/>
  <c r="H350" i="56"/>
  <c r="H142" i="56"/>
  <c r="H181" i="56"/>
  <c r="H207" i="56"/>
  <c r="H64" i="56"/>
  <c r="H298" i="56"/>
  <c r="H90" i="56"/>
  <c r="H337" i="56"/>
  <c r="H129" i="56"/>
  <c r="H363" i="56"/>
  <c r="H155" i="56"/>
  <c r="H77" i="56"/>
  <c r="H25" i="56"/>
  <c r="H402" i="56"/>
  <c r="H246" i="56"/>
  <c r="H285" i="56"/>
  <c r="H220" i="56"/>
  <c r="H389" i="56"/>
  <c r="H272" i="56"/>
  <c r="H376" i="56"/>
  <c r="H168" i="56"/>
  <c r="H324" i="56"/>
  <c r="H116" i="56"/>
  <c r="T400" i="56"/>
  <c r="T348" i="56"/>
  <c r="T296" i="56"/>
  <c r="T244" i="56"/>
  <c r="T192" i="56"/>
  <c r="T140" i="56"/>
  <c r="T361" i="56"/>
  <c r="T309" i="56"/>
  <c r="T257" i="56"/>
  <c r="T205" i="56"/>
  <c r="T153" i="56"/>
  <c r="T387" i="56"/>
  <c r="T62" i="56"/>
  <c r="T322" i="56"/>
  <c r="T270" i="56"/>
  <c r="T218" i="56"/>
  <c r="T166" i="56"/>
  <c r="T88" i="56"/>
  <c r="T335" i="56"/>
  <c r="T283" i="56"/>
  <c r="T231" i="56"/>
  <c r="T179" i="56"/>
  <c r="T114" i="56"/>
  <c r="T127" i="56"/>
  <c r="T36" i="56"/>
  <c r="T49" i="56"/>
  <c r="T75" i="56"/>
  <c r="T101" i="56"/>
  <c r="T374" i="56"/>
  <c r="T23" i="56"/>
  <c r="AF358" i="56"/>
  <c r="AF371" i="56"/>
  <c r="AF332" i="56"/>
  <c r="AF384" i="56"/>
  <c r="AF397" i="56"/>
  <c r="AF306" i="56"/>
  <c r="AF254" i="56"/>
  <c r="AF163" i="56"/>
  <c r="AF111" i="56"/>
  <c r="AF293" i="56"/>
  <c r="AF215" i="56"/>
  <c r="AF176" i="56"/>
  <c r="AF124" i="56"/>
  <c r="AF72" i="56"/>
  <c r="AF267" i="56"/>
  <c r="AF228" i="56"/>
  <c r="AF189" i="56"/>
  <c r="AF137" i="56"/>
  <c r="AF85" i="56"/>
  <c r="AF319" i="56"/>
  <c r="AF345" i="56"/>
  <c r="AF280" i="56"/>
  <c r="AF241" i="56"/>
  <c r="AF202" i="56"/>
  <c r="AF150" i="56"/>
  <c r="AF98" i="56"/>
  <c r="AF20" i="56"/>
  <c r="AF46" i="56"/>
  <c r="AF33" i="56"/>
  <c r="AF59" i="56"/>
  <c r="AF395" i="56"/>
  <c r="AF317" i="56"/>
  <c r="AF356" i="56"/>
  <c r="AF369" i="56"/>
  <c r="AF343" i="56"/>
  <c r="AF382" i="56"/>
  <c r="AF291" i="56"/>
  <c r="AF239" i="56"/>
  <c r="AF200" i="56"/>
  <c r="AF148" i="56"/>
  <c r="AF96" i="56"/>
  <c r="AF304" i="56"/>
  <c r="AF252" i="56"/>
  <c r="AF161" i="56"/>
  <c r="AF109" i="56"/>
  <c r="AF213" i="56"/>
  <c r="AF174" i="56"/>
  <c r="AF122" i="56"/>
  <c r="AF70" i="56"/>
  <c r="AF265" i="56"/>
  <c r="AF226" i="56"/>
  <c r="AF187" i="56"/>
  <c r="AF135" i="56"/>
  <c r="AF83" i="56"/>
  <c r="AF278" i="56"/>
  <c r="AF330" i="56"/>
  <c r="AF31" i="56"/>
  <c r="AF57" i="56"/>
  <c r="AF18" i="56"/>
  <c r="AF44" i="56"/>
  <c r="AG376" i="56"/>
  <c r="AG298" i="56"/>
  <c r="AG389" i="56"/>
  <c r="AG337" i="56"/>
  <c r="AG311" i="56"/>
  <c r="AG402" i="56"/>
  <c r="AG324" i="56"/>
  <c r="AG272" i="56"/>
  <c r="AG363" i="56"/>
  <c r="AG285" i="56"/>
  <c r="AG259" i="56"/>
  <c r="AG181" i="56"/>
  <c r="AG129" i="56"/>
  <c r="AG77" i="56"/>
  <c r="AG220" i="56"/>
  <c r="AG194" i="56"/>
  <c r="AG142" i="56"/>
  <c r="AG90" i="56"/>
  <c r="AG233" i="56"/>
  <c r="AG155" i="56"/>
  <c r="AG103" i="56"/>
  <c r="AG246" i="56"/>
  <c r="AG168" i="56"/>
  <c r="AG116" i="56"/>
  <c r="AG207" i="56"/>
  <c r="AG38" i="56"/>
  <c r="AG51" i="56"/>
  <c r="AG350" i="56"/>
  <c r="AG64" i="56"/>
  <c r="AG25" i="56"/>
  <c r="I359" i="56"/>
  <c r="I307" i="56"/>
  <c r="I255" i="56"/>
  <c r="I203" i="56"/>
  <c r="I151" i="56"/>
  <c r="I99" i="56"/>
  <c r="I372" i="56"/>
  <c r="I320" i="56"/>
  <c r="I268" i="56"/>
  <c r="I216" i="56"/>
  <c r="I164" i="56"/>
  <c r="I112" i="56"/>
  <c r="I385" i="56"/>
  <c r="I333" i="56"/>
  <c r="I281" i="56"/>
  <c r="I229" i="56"/>
  <c r="I177" i="56"/>
  <c r="I125" i="56"/>
  <c r="I398" i="56"/>
  <c r="I346" i="56"/>
  <c r="I294" i="56"/>
  <c r="I242" i="56"/>
  <c r="I190" i="56"/>
  <c r="I138" i="56"/>
  <c r="I86" i="56"/>
  <c r="I73" i="56"/>
  <c r="I21" i="56"/>
  <c r="I34" i="56"/>
  <c r="I47" i="56"/>
  <c r="I60" i="56"/>
  <c r="U340" i="56"/>
  <c r="U288" i="56"/>
  <c r="U236" i="56"/>
  <c r="U184" i="56"/>
  <c r="U132" i="56"/>
  <c r="U80" i="56"/>
  <c r="U353" i="56"/>
  <c r="U301" i="56"/>
  <c r="U249" i="56"/>
  <c r="U197" i="56"/>
  <c r="U145" i="56"/>
  <c r="U93" i="56"/>
  <c r="U405" i="56"/>
  <c r="U314" i="56"/>
  <c r="U262" i="56"/>
  <c r="U210" i="56"/>
  <c r="U158" i="56"/>
  <c r="U106" i="56"/>
  <c r="U54" i="56"/>
  <c r="U28" i="56"/>
  <c r="U366" i="56"/>
  <c r="U392" i="56"/>
  <c r="U327" i="56"/>
  <c r="U275" i="56"/>
  <c r="U223" i="56"/>
  <c r="U171" i="56"/>
  <c r="U119" i="56"/>
  <c r="U67" i="56"/>
  <c r="U41" i="56"/>
  <c r="U379" i="56"/>
  <c r="U403" i="56"/>
  <c r="U390" i="56"/>
  <c r="U325" i="56"/>
  <c r="U273" i="56"/>
  <c r="U221" i="56"/>
  <c r="U169" i="56"/>
  <c r="U117" i="56"/>
  <c r="U65" i="56"/>
  <c r="U39" i="56"/>
  <c r="U377" i="56"/>
  <c r="U338" i="56"/>
  <c r="U286" i="56"/>
  <c r="U234" i="56"/>
  <c r="U182" i="56"/>
  <c r="U130" i="56"/>
  <c r="U78" i="56"/>
  <c r="U351" i="56"/>
  <c r="U299" i="56"/>
  <c r="U247" i="56"/>
  <c r="U195" i="56"/>
  <c r="U143" i="56"/>
  <c r="U91" i="56"/>
  <c r="U312" i="56"/>
  <c r="U260" i="56"/>
  <c r="U208" i="56"/>
  <c r="U156" i="56"/>
  <c r="U104" i="56"/>
  <c r="U52" i="56"/>
  <c r="U26" i="56"/>
  <c r="U364" i="56"/>
  <c r="U310" i="56"/>
  <c r="U258" i="56"/>
  <c r="U206" i="56"/>
  <c r="U154" i="56"/>
  <c r="U102" i="56"/>
  <c r="U50" i="56"/>
  <c r="U401" i="56"/>
  <c r="U24" i="56"/>
  <c r="U323" i="56"/>
  <c r="U271" i="56"/>
  <c r="U219" i="56"/>
  <c r="U167" i="56"/>
  <c r="U115" i="56"/>
  <c r="U63" i="56"/>
  <c r="U388" i="56"/>
  <c r="U375" i="56"/>
  <c r="U336" i="56"/>
  <c r="U284" i="56"/>
  <c r="U232" i="56"/>
  <c r="U180" i="56"/>
  <c r="U128" i="56"/>
  <c r="U76" i="56"/>
  <c r="U362" i="56"/>
  <c r="U349" i="56"/>
  <c r="U297" i="56"/>
  <c r="U245" i="56"/>
  <c r="U193" i="56"/>
  <c r="U141" i="56"/>
  <c r="U89" i="56"/>
  <c r="U37" i="56"/>
  <c r="I374" i="56"/>
  <c r="I322" i="56"/>
  <c r="I270" i="56"/>
  <c r="I218" i="56"/>
  <c r="I166" i="56"/>
  <c r="I114" i="56"/>
  <c r="I387" i="56"/>
  <c r="I335" i="56"/>
  <c r="I283" i="56"/>
  <c r="I231" i="56"/>
  <c r="I179" i="56"/>
  <c r="I127" i="56"/>
  <c r="I400" i="56"/>
  <c r="I348" i="56"/>
  <c r="I296" i="56"/>
  <c r="I244" i="56"/>
  <c r="I192" i="56"/>
  <c r="I140" i="56"/>
  <c r="I88" i="56"/>
  <c r="I361" i="56"/>
  <c r="I309" i="56"/>
  <c r="I257" i="56"/>
  <c r="I205" i="56"/>
  <c r="I153" i="56"/>
  <c r="I101" i="56"/>
  <c r="I36" i="56"/>
  <c r="I23" i="56"/>
  <c r="I49" i="56"/>
  <c r="I62" i="56"/>
  <c r="I75" i="56"/>
  <c r="AG360" i="56"/>
  <c r="AG373" i="56"/>
  <c r="AG386" i="56"/>
  <c r="AG334" i="56"/>
  <c r="AG347" i="56"/>
  <c r="AG321" i="56"/>
  <c r="AG126" i="56"/>
  <c r="AG282" i="56"/>
  <c r="AG152" i="56"/>
  <c r="AG308" i="56"/>
  <c r="AG217" i="56"/>
  <c r="AG178" i="56"/>
  <c r="AG74" i="56"/>
  <c r="AG269" i="56"/>
  <c r="AG243" i="56"/>
  <c r="AG204" i="56"/>
  <c r="AG100" i="56"/>
  <c r="AG35" i="56"/>
  <c r="AG399" i="56"/>
  <c r="AG191" i="56"/>
  <c r="AG139" i="56"/>
  <c r="AG48" i="56"/>
  <c r="AG295" i="56"/>
  <c r="AG113" i="56"/>
  <c r="AG230" i="56"/>
  <c r="AG61" i="56"/>
  <c r="AG256" i="56"/>
  <c r="AG22" i="56"/>
  <c r="AG165" i="56"/>
  <c r="AG87" i="56"/>
  <c r="AG345" i="56"/>
  <c r="AG371" i="56"/>
  <c r="AG397" i="56"/>
  <c r="AG332" i="56"/>
  <c r="AG358" i="56"/>
  <c r="AG254" i="56"/>
  <c r="AG384" i="56"/>
  <c r="AG111" i="56"/>
  <c r="AG267" i="56"/>
  <c r="AG137" i="56"/>
  <c r="AG293" i="56"/>
  <c r="AG306" i="56"/>
  <c r="AG163" i="56"/>
  <c r="AG319" i="56"/>
  <c r="AG228" i="56"/>
  <c r="AG189" i="56"/>
  <c r="AG85" i="56"/>
  <c r="AG20" i="56"/>
  <c r="AG176" i="56"/>
  <c r="AG150" i="56"/>
  <c r="AG33" i="56"/>
  <c r="AG202" i="56"/>
  <c r="AG72" i="56"/>
  <c r="AG280" i="56"/>
  <c r="AG241" i="56"/>
  <c r="AG215" i="56"/>
  <c r="AG46" i="56"/>
  <c r="AG124" i="56"/>
  <c r="AG59" i="56"/>
  <c r="AG98" i="56"/>
  <c r="U302" i="56"/>
  <c r="U250" i="56"/>
  <c r="U198" i="56"/>
  <c r="U146" i="56"/>
  <c r="U94" i="56"/>
  <c r="U16" i="56"/>
  <c r="U380" i="56"/>
  <c r="U367" i="56"/>
  <c r="U315" i="56"/>
  <c r="U263" i="56"/>
  <c r="U211" i="56"/>
  <c r="U159" i="56"/>
  <c r="U107" i="56"/>
  <c r="U55" i="56"/>
  <c r="U354" i="56"/>
  <c r="U328" i="56"/>
  <c r="U276" i="56"/>
  <c r="U224" i="56"/>
  <c r="U172" i="56"/>
  <c r="U120" i="56"/>
  <c r="U68" i="56"/>
  <c r="U341" i="56"/>
  <c r="U289" i="56"/>
  <c r="U237" i="56"/>
  <c r="U185" i="56"/>
  <c r="U133" i="56"/>
  <c r="U81" i="56"/>
  <c r="U29" i="56"/>
  <c r="U42" i="56"/>
  <c r="U393" i="56"/>
  <c r="I381" i="56"/>
  <c r="I329" i="56"/>
  <c r="I277" i="56"/>
  <c r="I225" i="56"/>
  <c r="I173" i="56"/>
  <c r="I121" i="56"/>
  <c r="I394" i="56"/>
  <c r="I342" i="56"/>
  <c r="I290" i="56"/>
  <c r="I238" i="56"/>
  <c r="I186" i="56"/>
  <c r="I134" i="56"/>
  <c r="I82" i="56"/>
  <c r="I355" i="56"/>
  <c r="I303" i="56"/>
  <c r="I251" i="56"/>
  <c r="I199" i="56"/>
  <c r="I147" i="56"/>
  <c r="I95" i="56"/>
  <c r="I368" i="56"/>
  <c r="I316" i="56"/>
  <c r="I264" i="56"/>
  <c r="I212" i="56"/>
  <c r="I160" i="56"/>
  <c r="I108" i="56"/>
  <c r="I17" i="56"/>
  <c r="I30" i="56"/>
  <c r="I56" i="56"/>
  <c r="I69" i="56"/>
  <c r="I43" i="56"/>
  <c r="AB403" i="54"/>
  <c r="AB377" i="54"/>
  <c r="AB273" i="54"/>
  <c r="AB338" i="54"/>
  <c r="AB390" i="54"/>
  <c r="AB221" i="54"/>
  <c r="AB364" i="54"/>
  <c r="AB286" i="54"/>
  <c r="AB208" i="54"/>
  <c r="AB325" i="54"/>
  <c r="AB260" i="54"/>
  <c r="AB299" i="54"/>
  <c r="AB351" i="54"/>
  <c r="AB234" i="54"/>
  <c r="AB312" i="54"/>
  <c r="AB117" i="54"/>
  <c r="AB39" i="54"/>
  <c r="AB143" i="54"/>
  <c r="AB156" i="54"/>
  <c r="AB104" i="54"/>
  <c r="AB26" i="54"/>
  <c r="AB195" i="54"/>
  <c r="AB65" i="54"/>
  <c r="AB182" i="54"/>
  <c r="AB52" i="54"/>
  <c r="AB78" i="54"/>
  <c r="AB247" i="54"/>
  <c r="AB130" i="54"/>
  <c r="AB169" i="54"/>
  <c r="AB91" i="54"/>
  <c r="AB401" i="54"/>
  <c r="AB284" i="54"/>
  <c r="AB310" i="54"/>
  <c r="AB375" i="54"/>
  <c r="AB336" i="54"/>
  <c r="AB271" i="54"/>
  <c r="AB206" i="54"/>
  <c r="AB388" i="54"/>
  <c r="AB297" i="54"/>
  <c r="AB349" i="54"/>
  <c r="AB362" i="54"/>
  <c r="AB323" i="54"/>
  <c r="AB258" i="54"/>
  <c r="AB245" i="54"/>
  <c r="AB128" i="54"/>
  <c r="AB167" i="54"/>
  <c r="AB89" i="54"/>
  <c r="AB63" i="54"/>
  <c r="AB219" i="54"/>
  <c r="AB115" i="54"/>
  <c r="AB232" i="54"/>
  <c r="AB193" i="54"/>
  <c r="AB37" i="54"/>
  <c r="AB154" i="54"/>
  <c r="AB180" i="54"/>
  <c r="AB102" i="54"/>
  <c r="AB24" i="54"/>
  <c r="AB141" i="54"/>
  <c r="AB50" i="54"/>
  <c r="AB76" i="54"/>
  <c r="AB399" i="54"/>
  <c r="AB347" i="54"/>
  <c r="AB334" i="54"/>
  <c r="AB321" i="54"/>
  <c r="AB48" i="54"/>
  <c r="AB113" i="54"/>
  <c r="AB152" i="54"/>
  <c r="AB191" i="54"/>
  <c r="AB282" i="54"/>
  <c r="AB308" i="54"/>
  <c r="AB386" i="54"/>
  <c r="AB204" i="54"/>
  <c r="AB126" i="54"/>
  <c r="AB217" i="54"/>
  <c r="AB230" i="54"/>
  <c r="AB22" i="54"/>
  <c r="AB269" i="54"/>
  <c r="AB243" i="54"/>
  <c r="AB256" i="54"/>
  <c r="AB139" i="54"/>
  <c r="AB87" i="54"/>
  <c r="AB74" i="54"/>
  <c r="AB178" i="54"/>
  <c r="AB295" i="54"/>
  <c r="AB373" i="54"/>
  <c r="AB360" i="54"/>
  <c r="AB165" i="54"/>
  <c r="AB61" i="54"/>
  <c r="AB35" i="54"/>
  <c r="AB100" i="54"/>
  <c r="AV366" i="54"/>
  <c r="AV353" i="54"/>
  <c r="AV379" i="54"/>
  <c r="AV405" i="54"/>
  <c r="AV288" i="54"/>
  <c r="AV327" i="54"/>
  <c r="AV275" i="54"/>
  <c r="AV262" i="54"/>
  <c r="AV340" i="54"/>
  <c r="AV392" i="54"/>
  <c r="AV314" i="54"/>
  <c r="AV223" i="54"/>
  <c r="AV236" i="54"/>
  <c r="AV210" i="54"/>
  <c r="AV158" i="54"/>
  <c r="AV171" i="54"/>
  <c r="AV80" i="54"/>
  <c r="AV106" i="54"/>
  <c r="AV41" i="54"/>
  <c r="AV132" i="54"/>
  <c r="AV93" i="54"/>
  <c r="AV301" i="54"/>
  <c r="AV145" i="54"/>
  <c r="AV249" i="54"/>
  <c r="AV197" i="54"/>
  <c r="AV67" i="54"/>
  <c r="AV54" i="54"/>
  <c r="AV119" i="54"/>
  <c r="AV28" i="54"/>
  <c r="AV184" i="54"/>
  <c r="AV348" i="54"/>
  <c r="AV400" i="54"/>
  <c r="AV361" i="54"/>
  <c r="AV387" i="54"/>
  <c r="AV270" i="54"/>
  <c r="AV244" i="54"/>
  <c r="AV257" i="54"/>
  <c r="AV309" i="54"/>
  <c r="AV335" i="54"/>
  <c r="AV192" i="54"/>
  <c r="AV205" i="54"/>
  <c r="AV218" i="54"/>
  <c r="AV322" i="54"/>
  <c r="AV374" i="54"/>
  <c r="AV296" i="54"/>
  <c r="AV62" i="54"/>
  <c r="AV88" i="54"/>
  <c r="AV23" i="54"/>
  <c r="AV153" i="54"/>
  <c r="AV114" i="54"/>
  <c r="AV75" i="54"/>
  <c r="AV140" i="54"/>
  <c r="AV127" i="54"/>
  <c r="AV231" i="54"/>
  <c r="AV166" i="54"/>
  <c r="AV283" i="54"/>
  <c r="AV49" i="54"/>
  <c r="AV36" i="54"/>
  <c r="AV179" i="54"/>
  <c r="AV101" i="54"/>
  <c r="AV382" i="54"/>
  <c r="AV343" i="54"/>
  <c r="AV369" i="54"/>
  <c r="AV395" i="54"/>
  <c r="AV226" i="54"/>
  <c r="AV304" i="54"/>
  <c r="AV291" i="54"/>
  <c r="AV317" i="54"/>
  <c r="AV174" i="54"/>
  <c r="AV356" i="54"/>
  <c r="AV187" i="54"/>
  <c r="AV330" i="54"/>
  <c r="AV239" i="54"/>
  <c r="AV278" i="54"/>
  <c r="AV200" i="54"/>
  <c r="AV44" i="54"/>
  <c r="AV70" i="54"/>
  <c r="AV96" i="54"/>
  <c r="AV57" i="54"/>
  <c r="AV265" i="54"/>
  <c r="AV122" i="54"/>
  <c r="AV252" i="54"/>
  <c r="AV148" i="54"/>
  <c r="AV109" i="54"/>
  <c r="AV213" i="54"/>
  <c r="AV161" i="54"/>
  <c r="AV18" i="54"/>
  <c r="AV31" i="54"/>
  <c r="AV83" i="54"/>
  <c r="AV135" i="54"/>
  <c r="AV341" i="54"/>
  <c r="AV393" i="54"/>
  <c r="AV263" i="54"/>
  <c r="AV315" i="54"/>
  <c r="AV380" i="54"/>
  <c r="AV302" i="54"/>
  <c r="AV354" i="54"/>
  <c r="AV289" i="54"/>
  <c r="AV146" i="54"/>
  <c r="AV276" i="54"/>
  <c r="AV198" i="54"/>
  <c r="AV159" i="54"/>
  <c r="AV328" i="54"/>
  <c r="AV185" i="54"/>
  <c r="AV120" i="54"/>
  <c r="AV81" i="54"/>
  <c r="AV367" i="54"/>
  <c r="AV250" i="54"/>
  <c r="AV237" i="54"/>
  <c r="AV133" i="54"/>
  <c r="AV211" i="54"/>
  <c r="AV172" i="54"/>
  <c r="AV68" i="54"/>
  <c r="AV55" i="54"/>
  <c r="AV29" i="54"/>
  <c r="AV16" i="54"/>
  <c r="AV224" i="54"/>
  <c r="AV94" i="54"/>
  <c r="AV107" i="54"/>
  <c r="AV42" i="54"/>
  <c r="AB303" i="54"/>
  <c r="AB342" i="54"/>
  <c r="AB381" i="54"/>
  <c r="AB316" i="54"/>
  <c r="AB394" i="54"/>
  <c r="AB277" i="54"/>
  <c r="AB329" i="54"/>
  <c r="AB290" i="54"/>
  <c r="AB368" i="54"/>
  <c r="AB355" i="54"/>
  <c r="AB225" i="54"/>
  <c r="AB238" i="54"/>
  <c r="AB264" i="54"/>
  <c r="AB199" i="54"/>
  <c r="AB30" i="54"/>
  <c r="AB134" i="54"/>
  <c r="AB173" i="54"/>
  <c r="AB186" i="54"/>
  <c r="AB108" i="54"/>
  <c r="AB121" i="54"/>
  <c r="AB43" i="54"/>
  <c r="AB82" i="54"/>
  <c r="AB251" i="54"/>
  <c r="AB212" i="54"/>
  <c r="AB147" i="54"/>
  <c r="AB56" i="54"/>
  <c r="AB17" i="54"/>
  <c r="AB160" i="54"/>
  <c r="AB95" i="54"/>
  <c r="AB69" i="54"/>
  <c r="AV377" i="54"/>
  <c r="AV351" i="54"/>
  <c r="AV299" i="54"/>
  <c r="AV312" i="54"/>
  <c r="AV325" i="54"/>
  <c r="AV364" i="54"/>
  <c r="AV390" i="54"/>
  <c r="AV338" i="54"/>
  <c r="AV260" i="54"/>
  <c r="AV403" i="54"/>
  <c r="AV234" i="54"/>
  <c r="AV182" i="54"/>
  <c r="AV195" i="54"/>
  <c r="AV221" i="54"/>
  <c r="AV117" i="54"/>
  <c r="AV247" i="54"/>
  <c r="AV156" i="54"/>
  <c r="AV286" i="54"/>
  <c r="AV208" i="54"/>
  <c r="AV52" i="54"/>
  <c r="AV104" i="54"/>
  <c r="AV78" i="54"/>
  <c r="AV130" i="54"/>
  <c r="AV169" i="54"/>
  <c r="AV26" i="54"/>
  <c r="AV273" i="54"/>
  <c r="AV143" i="54"/>
  <c r="AV65" i="54"/>
  <c r="AV91" i="54"/>
  <c r="AV39" i="54"/>
  <c r="AV404" i="54"/>
  <c r="AV378" i="54"/>
  <c r="AV391" i="54"/>
  <c r="AV261" i="54"/>
  <c r="AV313" i="54"/>
  <c r="AV365" i="54"/>
  <c r="AV339" i="54"/>
  <c r="AV352" i="54"/>
  <c r="AV326" i="54"/>
  <c r="AV274" i="54"/>
  <c r="AV248" i="54"/>
  <c r="AV287" i="54"/>
  <c r="AV157" i="54"/>
  <c r="AV222" i="54"/>
  <c r="AV118" i="54"/>
  <c r="AV235" i="54"/>
  <c r="AV79" i="54"/>
  <c r="AV144" i="54"/>
  <c r="AV196" i="54"/>
  <c r="AV131" i="54"/>
  <c r="AV209" i="54"/>
  <c r="AV170" i="54"/>
  <c r="AV300" i="54"/>
  <c r="AV183" i="54"/>
  <c r="AV66" i="54"/>
  <c r="AV53" i="54"/>
  <c r="AV92" i="54"/>
  <c r="AV27" i="54"/>
  <c r="AV105" i="54"/>
  <c r="AV40" i="54"/>
  <c r="AB392" i="54"/>
  <c r="AB340" i="54"/>
  <c r="AB301" i="54"/>
  <c r="AB405" i="54"/>
  <c r="AB379" i="54"/>
  <c r="AB210" i="54"/>
  <c r="AB288" i="54"/>
  <c r="AB353" i="54"/>
  <c r="AB236" i="54"/>
  <c r="AB314" i="54"/>
  <c r="AB327" i="54"/>
  <c r="AB249" i="54"/>
  <c r="AB275" i="54"/>
  <c r="AB366" i="54"/>
  <c r="AB145" i="54"/>
  <c r="AB158" i="54"/>
  <c r="AB106" i="54"/>
  <c r="AB28" i="54"/>
  <c r="AB67" i="54"/>
  <c r="AB184" i="54"/>
  <c r="AB197" i="54"/>
  <c r="AB54" i="54"/>
  <c r="AB132" i="54"/>
  <c r="AB171" i="54"/>
  <c r="AB93" i="54"/>
  <c r="AB223" i="54"/>
  <c r="AB262" i="54"/>
  <c r="AB119" i="54"/>
  <c r="AB80" i="54"/>
  <c r="AB41" i="54"/>
  <c r="AV285" i="54"/>
  <c r="AV337" i="54"/>
  <c r="AV376" i="54"/>
  <c r="AV389" i="54"/>
  <c r="AV363" i="54"/>
  <c r="AV350" i="54"/>
  <c r="AV298" i="54"/>
  <c r="AV220" i="54"/>
  <c r="AV272" i="54"/>
  <c r="AV168" i="54"/>
  <c r="AV311" i="54"/>
  <c r="AV259" i="54"/>
  <c r="AV181" i="54"/>
  <c r="AV402" i="54"/>
  <c r="AV233" i="54"/>
  <c r="AV129" i="54"/>
  <c r="AV194" i="54"/>
  <c r="AV324" i="54"/>
  <c r="AV64" i="54"/>
  <c r="AV246" i="54"/>
  <c r="AV90" i="54"/>
  <c r="AV51" i="54"/>
  <c r="AV116" i="54"/>
  <c r="AV155" i="54"/>
  <c r="AV38" i="54"/>
  <c r="AV103" i="54"/>
  <c r="AV142" i="54"/>
  <c r="AV25" i="54"/>
  <c r="AV77" i="54"/>
  <c r="AV207" i="54"/>
  <c r="AB400" i="54"/>
  <c r="AB322" i="54"/>
  <c r="AB231" i="54"/>
  <c r="AB387" i="54"/>
  <c r="AB348" i="54"/>
  <c r="AB309" i="54"/>
  <c r="AB361" i="54"/>
  <c r="AB283" i="54"/>
  <c r="AB270" i="54"/>
  <c r="AB335" i="54"/>
  <c r="AB296" i="54"/>
  <c r="AB257" i="54"/>
  <c r="AB166" i="54"/>
  <c r="AB101" i="54"/>
  <c r="AB127" i="54"/>
  <c r="AB49" i="54"/>
  <c r="AB218" i="54"/>
  <c r="AB205" i="54"/>
  <c r="AB36" i="54"/>
  <c r="AB62" i="54"/>
  <c r="AB88" i="54"/>
  <c r="AB374" i="54"/>
  <c r="AB179" i="54"/>
  <c r="AB192" i="54"/>
  <c r="AB114" i="54"/>
  <c r="AB23" i="54"/>
  <c r="AB244" i="54"/>
  <c r="AB75" i="54"/>
  <c r="AB153" i="54"/>
  <c r="AB140" i="54"/>
  <c r="AB393" i="54"/>
  <c r="AB276" i="54"/>
  <c r="AB367" i="54"/>
  <c r="AB328" i="54"/>
  <c r="AB263" i="54"/>
  <c r="AB302" i="54"/>
  <c r="AB354" i="54"/>
  <c r="AB315" i="54"/>
  <c r="AB341" i="54"/>
  <c r="AB289" i="54"/>
  <c r="AB380" i="54"/>
  <c r="AB250" i="54"/>
  <c r="AB81" i="54"/>
  <c r="AB107" i="54"/>
  <c r="AB120" i="54"/>
  <c r="AB55" i="54"/>
  <c r="AB68" i="54"/>
  <c r="AB29" i="54"/>
  <c r="AB237" i="54"/>
  <c r="AB198" i="54"/>
  <c r="AB146" i="54"/>
  <c r="AB172" i="54"/>
  <c r="AB94" i="54"/>
  <c r="AB16" i="54"/>
  <c r="AB185" i="54"/>
  <c r="AB211" i="54"/>
  <c r="AB224" i="54"/>
  <c r="AB133" i="54"/>
  <c r="AB159" i="54"/>
  <c r="AB42" i="54"/>
  <c r="AB332" i="54"/>
  <c r="AB293" i="54"/>
  <c r="AB397" i="54"/>
  <c r="AB358" i="54"/>
  <c r="AB228" i="54"/>
  <c r="AB384" i="54"/>
  <c r="AB345" i="54"/>
  <c r="AB280" i="54"/>
  <c r="AB267" i="54"/>
  <c r="AB306" i="54"/>
  <c r="AB241" i="54"/>
  <c r="AB215" i="54"/>
  <c r="AB371" i="54"/>
  <c r="AB202" i="54"/>
  <c r="AB150" i="54"/>
  <c r="AB176" i="54"/>
  <c r="AB98" i="54"/>
  <c r="AB20" i="54"/>
  <c r="AB254" i="54"/>
  <c r="AB137" i="54"/>
  <c r="AB163" i="54"/>
  <c r="AB46" i="54"/>
  <c r="AB85" i="54"/>
  <c r="AB59" i="54"/>
  <c r="AB189" i="54"/>
  <c r="AB319" i="54"/>
  <c r="AB111" i="54"/>
  <c r="AB124" i="54"/>
  <c r="AB72" i="54"/>
  <c r="AB33" i="54"/>
  <c r="AB404" i="54"/>
  <c r="AB352" i="54"/>
  <c r="AB313" i="54"/>
  <c r="AB391" i="54"/>
  <c r="AB248" i="54"/>
  <c r="AB261" i="54"/>
  <c r="AB326" i="54"/>
  <c r="AB378" i="54"/>
  <c r="AB339" i="54"/>
  <c r="AB365" i="54"/>
  <c r="AB235" i="54"/>
  <c r="AB287" i="54"/>
  <c r="AB222" i="54"/>
  <c r="AB196" i="54"/>
  <c r="AB118" i="54"/>
  <c r="AB170" i="54"/>
  <c r="AB92" i="54"/>
  <c r="AB66" i="54"/>
  <c r="AB27" i="54"/>
  <c r="AB183" i="54"/>
  <c r="AB274" i="54"/>
  <c r="AB209" i="54"/>
  <c r="AB144" i="54"/>
  <c r="AB79" i="54"/>
  <c r="AB300" i="54"/>
  <c r="AB105" i="54"/>
  <c r="AB131" i="54"/>
  <c r="AB53" i="54"/>
  <c r="AB40" i="54"/>
  <c r="AB157" i="54"/>
  <c r="AV373" i="54"/>
  <c r="AV347" i="54"/>
  <c r="AV334" i="54"/>
  <c r="AV61" i="54"/>
  <c r="AV113" i="54"/>
  <c r="AV74" i="54"/>
  <c r="AV87" i="54"/>
  <c r="AV295" i="54"/>
  <c r="AV321" i="54"/>
  <c r="AV269" i="54"/>
  <c r="AV126" i="54"/>
  <c r="AV152" i="54"/>
  <c r="AV204" i="54"/>
  <c r="AV191" i="54"/>
  <c r="AV386" i="54"/>
  <c r="AV399" i="54"/>
  <c r="AV243" i="54"/>
  <c r="AV100" i="54"/>
  <c r="AV256" i="54"/>
  <c r="AV35" i="54"/>
  <c r="AV165" i="54"/>
  <c r="AV22" i="54"/>
  <c r="AV360" i="54"/>
  <c r="AV308" i="54"/>
  <c r="AV282" i="54"/>
  <c r="AV217" i="54"/>
  <c r="AV178" i="54"/>
  <c r="AV230" i="54"/>
  <c r="AV48" i="54"/>
  <c r="AV139" i="54"/>
  <c r="AV359" i="54"/>
  <c r="AV281" i="54"/>
  <c r="AV294" i="54"/>
  <c r="AV333" i="54"/>
  <c r="AV398" i="54"/>
  <c r="AV307" i="54"/>
  <c r="AV320" i="54"/>
  <c r="AV372" i="54"/>
  <c r="AV346" i="54"/>
  <c r="AV385" i="54"/>
  <c r="AV164" i="54"/>
  <c r="AV216" i="54"/>
  <c r="AV177" i="54"/>
  <c r="AV203" i="54"/>
  <c r="AV138" i="54"/>
  <c r="AV99" i="54"/>
  <c r="AV255" i="54"/>
  <c r="AV229" i="54"/>
  <c r="AV268" i="54"/>
  <c r="AV190" i="54"/>
  <c r="AV151" i="54"/>
  <c r="AV47" i="54"/>
  <c r="AV60" i="54"/>
  <c r="AV34" i="54"/>
  <c r="AV86" i="54"/>
  <c r="AV242" i="54"/>
  <c r="AV112" i="54"/>
  <c r="AV73" i="54"/>
  <c r="AV21" i="54"/>
  <c r="AV125" i="54"/>
  <c r="AB385" i="54"/>
  <c r="AB359" i="54"/>
  <c r="AB320" i="54"/>
  <c r="AB346" i="54"/>
  <c r="AB307" i="54"/>
  <c r="AB372" i="54"/>
  <c r="AB268" i="54"/>
  <c r="AB333" i="54"/>
  <c r="AB255" i="54"/>
  <c r="AB229" i="54"/>
  <c r="AB294" i="54"/>
  <c r="AB216" i="54"/>
  <c r="AB242" i="54"/>
  <c r="AB398" i="54"/>
  <c r="AB281" i="54"/>
  <c r="AB151" i="54"/>
  <c r="AB164" i="54"/>
  <c r="AB99" i="54"/>
  <c r="AB125" i="54"/>
  <c r="AB138" i="54"/>
  <c r="AB73" i="54"/>
  <c r="AB47" i="54"/>
  <c r="AB203" i="54"/>
  <c r="AB34" i="54"/>
  <c r="AB60" i="54"/>
  <c r="AB177" i="54"/>
  <c r="AB190" i="54"/>
  <c r="AB112" i="54"/>
  <c r="AB86" i="54"/>
  <c r="AB21" i="54"/>
  <c r="AV305" i="54"/>
  <c r="AV318" i="54"/>
  <c r="AV344" i="54"/>
  <c r="AV370" i="54"/>
  <c r="AV396" i="54"/>
  <c r="AV292" i="54"/>
  <c r="AV188" i="54"/>
  <c r="AV266" i="54"/>
  <c r="AV240" i="54"/>
  <c r="AV383" i="54"/>
  <c r="AV357" i="54"/>
  <c r="AV149" i="54"/>
  <c r="AV201" i="54"/>
  <c r="AV253" i="54"/>
  <c r="AV279" i="54"/>
  <c r="AV162" i="54"/>
  <c r="AV331" i="54"/>
  <c r="AV214" i="54"/>
  <c r="AV58" i="54"/>
  <c r="AV175" i="54"/>
  <c r="AV84" i="54"/>
  <c r="AV110" i="54"/>
  <c r="AV71" i="54"/>
  <c r="AV136" i="54"/>
  <c r="AV32" i="54"/>
  <c r="AV45" i="54"/>
  <c r="AV19" i="54"/>
  <c r="AV123" i="54"/>
  <c r="AV227" i="54"/>
  <c r="AV97" i="54"/>
  <c r="AB395" i="54"/>
  <c r="AB382" i="54"/>
  <c r="AB369" i="54"/>
  <c r="AB291" i="54"/>
  <c r="AB252" i="54"/>
  <c r="AB343" i="54"/>
  <c r="AB317" i="54"/>
  <c r="AB226" i="54"/>
  <c r="AB330" i="54"/>
  <c r="AB278" i="54"/>
  <c r="AB265" i="54"/>
  <c r="AB304" i="54"/>
  <c r="AB213" i="54"/>
  <c r="AB109" i="54"/>
  <c r="AB122" i="54"/>
  <c r="AB70" i="54"/>
  <c r="AB31" i="54"/>
  <c r="AB356" i="54"/>
  <c r="AB148" i="54"/>
  <c r="AB174" i="54"/>
  <c r="AB96" i="54"/>
  <c r="AB18" i="54"/>
  <c r="AB239" i="54"/>
  <c r="AB135" i="54"/>
  <c r="AB161" i="54"/>
  <c r="AB187" i="54"/>
  <c r="AB44" i="54"/>
  <c r="AB83" i="54"/>
  <c r="AB200" i="54"/>
  <c r="AB57" i="54"/>
  <c r="AV397" i="54"/>
  <c r="AV267" i="54"/>
  <c r="AV319" i="54"/>
  <c r="AV332" i="54"/>
  <c r="AV358" i="54"/>
  <c r="AV371" i="54"/>
  <c r="AV345" i="54"/>
  <c r="AV202" i="54"/>
  <c r="AV280" i="54"/>
  <c r="AV150" i="54"/>
  <c r="AV163" i="54"/>
  <c r="AV254" i="54"/>
  <c r="AV215" i="54"/>
  <c r="AV137" i="54"/>
  <c r="AV111" i="54"/>
  <c r="AV176" i="54"/>
  <c r="AV241" i="54"/>
  <c r="AV384" i="54"/>
  <c r="AV228" i="54"/>
  <c r="AV306" i="54"/>
  <c r="AV72" i="54"/>
  <c r="AV98" i="54"/>
  <c r="AV33" i="54"/>
  <c r="AV189" i="54"/>
  <c r="AV20" i="54"/>
  <c r="AV85" i="54"/>
  <c r="AV46" i="54"/>
  <c r="AV293" i="54"/>
  <c r="AV59" i="54"/>
  <c r="AV124" i="54"/>
  <c r="AV323" i="54"/>
  <c r="AV336" i="54"/>
  <c r="AV362" i="54"/>
  <c r="AV388" i="54"/>
  <c r="AV349" i="54"/>
  <c r="AV206" i="54"/>
  <c r="AV284" i="54"/>
  <c r="AV401" i="54"/>
  <c r="AV271" i="54"/>
  <c r="AV375" i="54"/>
  <c r="AV167" i="54"/>
  <c r="AV258" i="54"/>
  <c r="AV219" i="54"/>
  <c r="AV180" i="54"/>
  <c r="AV297" i="54"/>
  <c r="AV232" i="54"/>
  <c r="AV76" i="54"/>
  <c r="AV193" i="54"/>
  <c r="AV102" i="54"/>
  <c r="AV128" i="54"/>
  <c r="AV89" i="54"/>
  <c r="AV310" i="54"/>
  <c r="AV50" i="54"/>
  <c r="AV63" i="54"/>
  <c r="AV24" i="54"/>
  <c r="AV245" i="54"/>
  <c r="AV115" i="54"/>
  <c r="AV141" i="54"/>
  <c r="AV37" i="54"/>
  <c r="AV154" i="54"/>
  <c r="AB350" i="54"/>
  <c r="AB311" i="54"/>
  <c r="AB389" i="54"/>
  <c r="AB363" i="54"/>
  <c r="AB402" i="54"/>
  <c r="AB233" i="54"/>
  <c r="AB298" i="54"/>
  <c r="AB376" i="54"/>
  <c r="AB272" i="54"/>
  <c r="AB324" i="54"/>
  <c r="AB246" i="54"/>
  <c r="AB285" i="54"/>
  <c r="AB259" i="54"/>
  <c r="AB207" i="54"/>
  <c r="AB38" i="54"/>
  <c r="AB168" i="54"/>
  <c r="AB90" i="54"/>
  <c r="AB64" i="54"/>
  <c r="AB194" i="54"/>
  <c r="AB116" i="54"/>
  <c r="AB155" i="54"/>
  <c r="AB25" i="54"/>
  <c r="AB181" i="54"/>
  <c r="AB77" i="54"/>
  <c r="AB337" i="54"/>
  <c r="AB103" i="54"/>
  <c r="AB220" i="54"/>
  <c r="AB129" i="54"/>
  <c r="AB142" i="54"/>
  <c r="AB51" i="54"/>
  <c r="AB344" i="54"/>
  <c r="AB305" i="54"/>
  <c r="AB383" i="54"/>
  <c r="AB396" i="54"/>
  <c r="AB357" i="54"/>
  <c r="AB279" i="54"/>
  <c r="AB227" i="54"/>
  <c r="AB240" i="54"/>
  <c r="AB292" i="54"/>
  <c r="AB266" i="54"/>
  <c r="AB318" i="54"/>
  <c r="AB253" i="54"/>
  <c r="AB370" i="54"/>
  <c r="AB331" i="54"/>
  <c r="AB175" i="54"/>
  <c r="AB188" i="54"/>
  <c r="AB110" i="54"/>
  <c r="AB45" i="54"/>
  <c r="AB149" i="54"/>
  <c r="AB201" i="54"/>
  <c r="AB84" i="54"/>
  <c r="AB19" i="54"/>
  <c r="AB162" i="54"/>
  <c r="AB97" i="54"/>
  <c r="AB71" i="54"/>
  <c r="AB214" i="54"/>
  <c r="AB136" i="54"/>
  <c r="AB32" i="54"/>
  <c r="AB58" i="54"/>
  <c r="AB123" i="54"/>
  <c r="AV368" i="54"/>
  <c r="AV342" i="54"/>
  <c r="AV355" i="54"/>
  <c r="AV277" i="54"/>
  <c r="AV329" i="54"/>
  <c r="AV290" i="54"/>
  <c r="AV303" i="54"/>
  <c r="AV264" i="54"/>
  <c r="AV225" i="54"/>
  <c r="AV238" i="54"/>
  <c r="AV316" i="54"/>
  <c r="AV381" i="54"/>
  <c r="AV160" i="54"/>
  <c r="AV173" i="54"/>
  <c r="AV82" i="54"/>
  <c r="AV199" i="54"/>
  <c r="AV43" i="54"/>
  <c r="AV147" i="54"/>
  <c r="AV108" i="54"/>
  <c r="AV134" i="54"/>
  <c r="AV95" i="54"/>
  <c r="AV212" i="54"/>
  <c r="AV17" i="54"/>
  <c r="AV251" i="54"/>
  <c r="AV56" i="54"/>
  <c r="AV394" i="54"/>
  <c r="AV69" i="54"/>
  <c r="AV121" i="54"/>
  <c r="AV186" i="54"/>
  <c r="AV30" i="54"/>
  <c r="R374" i="54"/>
  <c r="R166" i="54"/>
  <c r="R387" i="54"/>
  <c r="R179" i="54"/>
  <c r="R296" i="54"/>
  <c r="R62" i="54"/>
  <c r="R88" i="54"/>
  <c r="R101" i="54"/>
  <c r="R218" i="54"/>
  <c r="R231" i="54"/>
  <c r="R348" i="54"/>
  <c r="R140" i="54"/>
  <c r="R205" i="54"/>
  <c r="R114" i="54"/>
  <c r="R23" i="54"/>
  <c r="R309" i="54"/>
  <c r="R270" i="54"/>
  <c r="R283" i="54"/>
  <c r="R192" i="54"/>
  <c r="R75" i="54"/>
  <c r="R153" i="54"/>
  <c r="R361" i="54"/>
  <c r="R400" i="54"/>
  <c r="R322" i="54"/>
  <c r="R335" i="54"/>
  <c r="R244" i="54"/>
  <c r="R257" i="54"/>
  <c r="R127" i="54"/>
  <c r="R36" i="54"/>
  <c r="R49" i="54"/>
  <c r="R280" i="54"/>
  <c r="R293" i="54"/>
  <c r="R202" i="54"/>
  <c r="R319" i="54"/>
  <c r="R85" i="54"/>
  <c r="R332" i="54"/>
  <c r="R345" i="54"/>
  <c r="R137" i="54"/>
  <c r="R254" i="54"/>
  <c r="R20" i="54"/>
  <c r="R163" i="54"/>
  <c r="R46" i="54"/>
  <c r="R384" i="54"/>
  <c r="R176" i="54"/>
  <c r="R189" i="54"/>
  <c r="R397" i="54"/>
  <c r="R306" i="54"/>
  <c r="R72" i="54"/>
  <c r="R371" i="54"/>
  <c r="R98" i="54"/>
  <c r="R267" i="54"/>
  <c r="R59" i="54"/>
  <c r="R228" i="54"/>
  <c r="R241" i="54"/>
  <c r="R358" i="54"/>
  <c r="R150" i="54"/>
  <c r="R124" i="54"/>
  <c r="R33" i="54"/>
  <c r="R215" i="54"/>
  <c r="R111" i="54"/>
  <c r="R242" i="54"/>
  <c r="R255" i="54"/>
  <c r="R372" i="54"/>
  <c r="R164" i="54"/>
  <c r="R47" i="54"/>
  <c r="R229" i="54"/>
  <c r="R398" i="54"/>
  <c r="R294" i="54"/>
  <c r="R307" i="54"/>
  <c r="R216" i="54"/>
  <c r="R333" i="54"/>
  <c r="R99" i="54"/>
  <c r="R125" i="54"/>
  <c r="R21" i="54"/>
  <c r="R346" i="54"/>
  <c r="R138" i="54"/>
  <c r="R359" i="54"/>
  <c r="R151" i="54"/>
  <c r="R268" i="54"/>
  <c r="R34" i="54"/>
  <c r="R177" i="54"/>
  <c r="R60" i="54"/>
  <c r="R190" i="54"/>
  <c r="R203" i="54"/>
  <c r="R320" i="54"/>
  <c r="R281" i="54"/>
  <c r="R86" i="54"/>
  <c r="R385" i="54"/>
  <c r="R112" i="54"/>
  <c r="R73" i="54"/>
  <c r="R396" i="54"/>
  <c r="R318" i="54"/>
  <c r="R331" i="54"/>
  <c r="R240" i="54"/>
  <c r="R149" i="54"/>
  <c r="R123" i="54"/>
  <c r="R253" i="54"/>
  <c r="R32" i="54"/>
  <c r="R370" i="54"/>
  <c r="R162" i="54"/>
  <c r="R383" i="54"/>
  <c r="R175" i="54"/>
  <c r="R292" i="54"/>
  <c r="R357" i="54"/>
  <c r="R58" i="54"/>
  <c r="R84" i="54"/>
  <c r="R214" i="54"/>
  <c r="R227" i="54"/>
  <c r="R344" i="54"/>
  <c r="R136" i="54"/>
  <c r="R110" i="54"/>
  <c r="R201" i="54"/>
  <c r="R19" i="54"/>
  <c r="R266" i="54"/>
  <c r="R279" i="54"/>
  <c r="R188" i="54"/>
  <c r="R71" i="54"/>
  <c r="R305" i="54"/>
  <c r="R45" i="54"/>
  <c r="R97" i="54"/>
  <c r="R356" i="54"/>
  <c r="R148" i="54"/>
  <c r="R369" i="54"/>
  <c r="R161" i="54"/>
  <c r="R278" i="54"/>
  <c r="R44" i="54"/>
  <c r="R70" i="54"/>
  <c r="R83" i="54"/>
  <c r="R200" i="54"/>
  <c r="R213" i="54"/>
  <c r="R330" i="54"/>
  <c r="R187" i="54"/>
  <c r="R96" i="54"/>
  <c r="R291" i="54"/>
  <c r="R122" i="54"/>
  <c r="R252" i="54"/>
  <c r="R265" i="54"/>
  <c r="R382" i="54"/>
  <c r="R174" i="54"/>
  <c r="R57" i="54"/>
  <c r="R395" i="54"/>
  <c r="R304" i="54"/>
  <c r="R317" i="54"/>
  <c r="R226" i="54"/>
  <c r="R239" i="54"/>
  <c r="R109" i="54"/>
  <c r="R18" i="54"/>
  <c r="R31" i="54"/>
  <c r="R135" i="54"/>
  <c r="R343" i="54"/>
  <c r="R224" i="54"/>
  <c r="R237" i="54"/>
  <c r="R354" i="54"/>
  <c r="R146" i="54"/>
  <c r="R120" i="54"/>
  <c r="R29" i="54"/>
  <c r="R55" i="54"/>
  <c r="R276" i="54"/>
  <c r="R289" i="54"/>
  <c r="R198" i="54"/>
  <c r="R315" i="54"/>
  <c r="R81" i="54"/>
  <c r="R107" i="54"/>
  <c r="R393" i="54"/>
  <c r="R328" i="54"/>
  <c r="R341" i="54"/>
  <c r="R133" i="54"/>
  <c r="R250" i="54"/>
  <c r="R16" i="54"/>
  <c r="R159" i="54"/>
  <c r="R42" i="54"/>
  <c r="R380" i="54"/>
  <c r="R172" i="54"/>
  <c r="R185" i="54"/>
  <c r="R302" i="54"/>
  <c r="R263" i="54"/>
  <c r="R68" i="54"/>
  <c r="R367" i="54"/>
  <c r="R94" i="54"/>
  <c r="R211" i="54"/>
  <c r="R260" i="54"/>
  <c r="R273" i="54"/>
  <c r="R390" i="54"/>
  <c r="R182" i="54"/>
  <c r="R143" i="54"/>
  <c r="R65" i="54"/>
  <c r="R403" i="54"/>
  <c r="R312" i="54"/>
  <c r="R325" i="54"/>
  <c r="R234" i="54"/>
  <c r="R351" i="54"/>
  <c r="R117" i="54"/>
  <c r="R26" i="54"/>
  <c r="R39" i="54"/>
  <c r="R247" i="54"/>
  <c r="R364" i="54"/>
  <c r="R156" i="54"/>
  <c r="R377" i="54"/>
  <c r="R169" i="54"/>
  <c r="R286" i="54"/>
  <c r="R52" i="54"/>
  <c r="R195" i="54"/>
  <c r="R78" i="54"/>
  <c r="R91" i="54"/>
  <c r="R208" i="54"/>
  <c r="R221" i="54"/>
  <c r="R338" i="54"/>
  <c r="R299" i="54"/>
  <c r="R104" i="54"/>
  <c r="R130" i="54"/>
  <c r="R222" i="54"/>
  <c r="R235" i="54"/>
  <c r="R352" i="54"/>
  <c r="R144" i="54"/>
  <c r="R118" i="54"/>
  <c r="R313" i="54"/>
  <c r="R27" i="54"/>
  <c r="R105" i="54"/>
  <c r="R274" i="54"/>
  <c r="R287" i="54"/>
  <c r="R196" i="54"/>
  <c r="R79" i="54"/>
  <c r="R157" i="54"/>
  <c r="R209" i="54"/>
  <c r="R404" i="54"/>
  <c r="R326" i="54"/>
  <c r="R339" i="54"/>
  <c r="R248" i="54"/>
  <c r="R261" i="54"/>
  <c r="R131" i="54"/>
  <c r="R365" i="54"/>
  <c r="R40" i="54"/>
  <c r="R53" i="54"/>
  <c r="R378" i="54"/>
  <c r="R170" i="54"/>
  <c r="R391" i="54"/>
  <c r="R183" i="54"/>
  <c r="R300" i="54"/>
  <c r="R66" i="54"/>
  <c r="R92" i="54"/>
  <c r="R402" i="54"/>
  <c r="R298" i="54"/>
  <c r="R311" i="54"/>
  <c r="R220" i="54"/>
  <c r="R337" i="54"/>
  <c r="R103" i="54"/>
  <c r="R350" i="54"/>
  <c r="R142" i="54"/>
  <c r="R363" i="54"/>
  <c r="R155" i="54"/>
  <c r="R272" i="54"/>
  <c r="R38" i="54"/>
  <c r="R181" i="54"/>
  <c r="R64" i="54"/>
  <c r="R285" i="54"/>
  <c r="R194" i="54"/>
  <c r="R207" i="54"/>
  <c r="R324" i="54"/>
  <c r="R90" i="54"/>
  <c r="R389" i="54"/>
  <c r="R116" i="54"/>
  <c r="R25" i="54"/>
  <c r="R77" i="54"/>
  <c r="R129" i="54"/>
  <c r="R246" i="54"/>
  <c r="R259" i="54"/>
  <c r="R376" i="54"/>
  <c r="R168" i="54"/>
  <c r="R51" i="54"/>
  <c r="R233" i="54"/>
  <c r="R336" i="54"/>
  <c r="R349" i="54"/>
  <c r="R141" i="54"/>
  <c r="R258" i="54"/>
  <c r="R167" i="54"/>
  <c r="R24" i="54"/>
  <c r="R271" i="54"/>
  <c r="R50" i="54"/>
  <c r="R388" i="54"/>
  <c r="R180" i="54"/>
  <c r="R401" i="54"/>
  <c r="R193" i="54"/>
  <c r="R310" i="54"/>
  <c r="R375" i="54"/>
  <c r="R76" i="54"/>
  <c r="R102" i="54"/>
  <c r="R232" i="54"/>
  <c r="R245" i="54"/>
  <c r="R362" i="54"/>
  <c r="R154" i="54"/>
  <c r="R128" i="54"/>
  <c r="R219" i="54"/>
  <c r="R37" i="54"/>
  <c r="R323" i="54"/>
  <c r="R284" i="54"/>
  <c r="R297" i="54"/>
  <c r="R206" i="54"/>
  <c r="R89" i="54"/>
  <c r="R63" i="54"/>
  <c r="R115" i="54"/>
  <c r="R334" i="54"/>
  <c r="R87" i="54"/>
  <c r="R178" i="54"/>
  <c r="R308" i="54"/>
  <c r="R113" i="54"/>
  <c r="R360" i="54"/>
  <c r="R282" i="54"/>
  <c r="R100" i="54"/>
  <c r="R256" i="54"/>
  <c r="R61" i="54"/>
  <c r="R321" i="54"/>
  <c r="R347" i="54"/>
  <c r="R152" i="54"/>
  <c r="R48" i="54"/>
  <c r="R204" i="54"/>
  <c r="R295" i="54"/>
  <c r="R269" i="54"/>
  <c r="R139" i="54"/>
  <c r="R230" i="54"/>
  <c r="R22" i="54"/>
  <c r="R373" i="54"/>
  <c r="R74" i="54"/>
  <c r="R217" i="54"/>
  <c r="R126" i="54"/>
  <c r="R386" i="54"/>
  <c r="R399" i="54"/>
  <c r="R243" i="54"/>
  <c r="R191" i="54"/>
  <c r="R165" i="54"/>
  <c r="R35" i="54"/>
  <c r="R392" i="54"/>
  <c r="R184" i="54"/>
  <c r="R197" i="54"/>
  <c r="R314" i="54"/>
  <c r="R80" i="54"/>
  <c r="R106" i="54"/>
  <c r="R119" i="54"/>
  <c r="R236" i="54"/>
  <c r="R249" i="54"/>
  <c r="R366" i="54"/>
  <c r="R158" i="54"/>
  <c r="R223" i="54"/>
  <c r="R41" i="54"/>
  <c r="R327" i="54"/>
  <c r="R171" i="54"/>
  <c r="R379" i="54"/>
  <c r="R405" i="54"/>
  <c r="R288" i="54"/>
  <c r="R301" i="54"/>
  <c r="R210" i="54"/>
  <c r="R93" i="54"/>
  <c r="R340" i="54"/>
  <c r="R132" i="54"/>
  <c r="R353" i="54"/>
  <c r="R145" i="54"/>
  <c r="R262" i="54"/>
  <c r="R28" i="54"/>
  <c r="R275" i="54"/>
  <c r="R54" i="54"/>
  <c r="R67" i="54"/>
  <c r="R186" i="54"/>
  <c r="R199" i="54"/>
  <c r="R316" i="54"/>
  <c r="R82" i="54"/>
  <c r="R277" i="54"/>
  <c r="R108" i="54"/>
  <c r="R69" i="54"/>
  <c r="R381" i="54"/>
  <c r="R17" i="54"/>
  <c r="R238" i="54"/>
  <c r="R251" i="54"/>
  <c r="R368" i="54"/>
  <c r="R160" i="54"/>
  <c r="R43" i="54"/>
  <c r="R121" i="54"/>
  <c r="R394" i="54"/>
  <c r="R290" i="54"/>
  <c r="R303" i="54"/>
  <c r="R212" i="54"/>
  <c r="R225" i="54"/>
  <c r="R95" i="54"/>
  <c r="R329" i="54"/>
  <c r="R342" i="54"/>
  <c r="R134" i="54"/>
  <c r="R355" i="54"/>
  <c r="R147" i="54"/>
  <c r="R264" i="54"/>
  <c r="R30" i="54"/>
  <c r="R56" i="54"/>
  <c r="R173" i="54"/>
  <c r="Y23" i="56" l="1"/>
  <c r="Y374" i="56"/>
  <c r="Y101" i="56"/>
  <c r="Y75" i="56"/>
  <c r="Y49" i="56"/>
  <c r="Y36" i="56"/>
  <c r="Y127" i="56"/>
  <c r="Y114" i="56"/>
  <c r="Y179" i="56"/>
  <c r="Y231" i="56"/>
  <c r="Y283" i="56"/>
  <c r="Y335" i="56"/>
  <c r="Y88" i="56"/>
  <c r="Y166" i="56"/>
  <c r="Y218" i="56"/>
  <c r="Y270" i="56"/>
  <c r="Y322" i="56"/>
  <c r="Y62" i="56"/>
  <c r="Y387" i="56"/>
  <c r="Y153" i="56"/>
  <c r="Y257" i="56"/>
  <c r="Y309" i="56"/>
  <c r="Y361" i="56"/>
  <c r="Y140" i="56"/>
  <c r="Y192" i="56"/>
  <c r="Y244" i="56"/>
  <c r="Y296" i="56"/>
  <c r="Y348" i="56"/>
  <c r="Y400" i="56"/>
  <c r="Y30" i="56"/>
  <c r="Y17" i="56"/>
  <c r="Y56" i="56"/>
  <c r="Y43" i="56"/>
  <c r="Y108" i="56"/>
  <c r="Y82" i="56"/>
  <c r="Y69" i="56"/>
  <c r="Y134" i="56"/>
  <c r="Y186" i="56"/>
  <c r="Y238" i="56"/>
  <c r="Y290" i="56"/>
  <c r="Y342" i="56"/>
  <c r="Y394" i="56"/>
  <c r="Y173" i="56"/>
  <c r="Y225" i="56"/>
  <c r="Y277" i="56"/>
  <c r="Y329" i="56"/>
  <c r="Y355" i="56"/>
  <c r="Y368" i="56"/>
  <c r="Y121" i="56"/>
  <c r="Y381" i="56"/>
  <c r="Y160" i="56"/>
  <c r="Y212" i="56"/>
  <c r="Y264" i="56"/>
  <c r="Y316" i="56"/>
  <c r="Y95" i="56"/>
  <c r="Y147" i="56"/>
  <c r="Y199" i="56"/>
  <c r="Y251" i="56"/>
  <c r="Y303" i="56"/>
  <c r="Y122" i="56"/>
  <c r="Y239" i="56"/>
  <c r="Y226" i="56"/>
  <c r="Y57" i="56"/>
  <c r="Y317" i="56"/>
  <c r="Y187" i="56"/>
  <c r="Y70" i="56"/>
  <c r="Y174" i="56"/>
  <c r="Y265" i="56"/>
  <c r="Y343" i="56"/>
  <c r="Y330" i="56"/>
  <c r="Y31" i="56"/>
  <c r="Y109" i="56"/>
  <c r="Y213" i="56"/>
  <c r="Y96" i="56"/>
  <c r="Y135" i="56"/>
  <c r="Y291" i="56"/>
  <c r="Y278" i="56"/>
  <c r="Y18" i="56"/>
  <c r="Y83" i="56"/>
  <c r="Y161" i="56"/>
  <c r="Y252" i="56"/>
  <c r="Y395" i="56"/>
  <c r="Y44" i="56"/>
  <c r="Y200" i="56"/>
  <c r="Y382" i="56"/>
  <c r="Y148" i="56"/>
  <c r="Y369" i="56"/>
  <c r="Y304" i="56"/>
  <c r="Y356" i="56"/>
  <c r="Y48" i="56"/>
  <c r="Y217" i="56"/>
  <c r="Y269" i="56"/>
  <c r="Y35" i="56"/>
  <c r="Y87" i="56"/>
  <c r="Y126" i="56"/>
  <c r="Y22" i="56"/>
  <c r="Y61" i="56"/>
  <c r="Y295" i="56"/>
  <c r="Y165" i="56"/>
  <c r="Y152" i="56"/>
  <c r="Y243" i="56"/>
  <c r="Y100" i="56"/>
  <c r="Y308" i="56"/>
  <c r="Y113" i="56"/>
  <c r="Y191" i="56"/>
  <c r="Y373" i="56"/>
  <c r="Y360" i="56"/>
  <c r="Y178" i="56"/>
  <c r="Y334" i="56"/>
  <c r="Y386" i="56"/>
  <c r="Y86" i="56"/>
  <c r="Y21" i="56"/>
  <c r="Y60" i="56"/>
  <c r="Y359" i="56"/>
  <c r="Y34" i="56"/>
  <c r="Y112" i="56"/>
  <c r="Y99" i="56"/>
  <c r="Y372" i="56"/>
  <c r="Y164" i="56"/>
  <c r="Y216" i="56"/>
  <c r="Y268" i="56"/>
  <c r="Y320" i="56"/>
  <c r="Y73" i="56"/>
  <c r="Y151" i="56"/>
  <c r="Y203" i="56"/>
  <c r="Y255" i="56"/>
  <c r="Y307" i="56"/>
  <c r="Y385" i="56"/>
  <c r="Y398" i="56"/>
  <c r="Y47" i="56"/>
  <c r="Y138" i="56"/>
  <c r="Y190" i="56"/>
  <c r="Y242" i="56"/>
  <c r="Y294" i="56"/>
  <c r="Y346" i="56"/>
  <c r="Y125" i="56"/>
  <c r="Y177" i="56"/>
  <c r="Y229" i="56"/>
  <c r="Y281" i="56"/>
  <c r="Y333" i="56"/>
  <c r="Y205" i="56"/>
  <c r="Y139" i="56"/>
  <c r="Y74" i="56"/>
  <c r="Y321" i="56"/>
  <c r="Y282" i="56"/>
  <c r="Y256" i="56"/>
  <c r="Y347" i="56"/>
  <c r="Y399" i="56"/>
  <c r="Y204" i="56"/>
  <c r="M376" i="56"/>
  <c r="M142" i="56"/>
  <c r="M259" i="56"/>
  <c r="M233" i="56"/>
  <c r="M311" i="56"/>
  <c r="M81" i="56"/>
  <c r="M237" i="56"/>
  <c r="M16" i="56"/>
  <c r="M341" i="56"/>
  <c r="M198" i="56"/>
  <c r="M367" i="56"/>
  <c r="M250" i="56"/>
  <c r="M120" i="56"/>
  <c r="M328" i="56"/>
  <c r="M263" i="56"/>
  <c r="M144" i="56"/>
  <c r="M196" i="56"/>
  <c r="M157" i="56"/>
  <c r="M40" i="56"/>
  <c r="M274" i="56"/>
  <c r="M287" i="56"/>
  <c r="M248" i="56"/>
  <c r="M209" i="56"/>
  <c r="M391" i="56"/>
  <c r="M79" i="56"/>
  <c r="M118" i="56"/>
  <c r="M326" i="56"/>
  <c r="M300" i="56"/>
  <c r="M261" i="56"/>
  <c r="M170" i="56"/>
  <c r="M378" i="56"/>
  <c r="M352" i="56"/>
  <c r="M222" i="56"/>
  <c r="U121" i="54"/>
  <c r="U54" i="54"/>
  <c r="U41" i="54"/>
  <c r="U243" i="54"/>
  <c r="U321" i="54"/>
  <c r="U284" i="54"/>
  <c r="U30" i="54"/>
  <c r="U134" i="54"/>
  <c r="U225" i="54"/>
  <c r="U394" i="54"/>
  <c r="U368" i="54"/>
  <c r="U381" i="54"/>
  <c r="U82" i="54"/>
  <c r="U67" i="54"/>
  <c r="U262" i="54"/>
  <c r="U340" i="54"/>
  <c r="U288" i="54"/>
  <c r="U327" i="54"/>
  <c r="U366" i="54"/>
  <c r="U106" i="54"/>
  <c r="U184" i="54"/>
  <c r="U191" i="54"/>
  <c r="U126" i="54"/>
  <c r="U22" i="54"/>
  <c r="U295" i="54"/>
  <c r="U347" i="54"/>
  <c r="U100" i="54"/>
  <c r="U308" i="54"/>
  <c r="U115" i="54"/>
  <c r="U297" i="54"/>
  <c r="U219" i="54"/>
  <c r="U245" i="54"/>
  <c r="U375" i="54"/>
  <c r="U180" i="54"/>
  <c r="U24" i="54"/>
  <c r="U349" i="54"/>
  <c r="U168" i="54"/>
  <c r="U129" i="54"/>
  <c r="U389" i="54"/>
  <c r="U194" i="54"/>
  <c r="U38" i="54"/>
  <c r="U142" i="54"/>
  <c r="U220" i="54"/>
  <c r="U92" i="54"/>
  <c r="U391" i="54"/>
  <c r="U40" i="54"/>
  <c r="U248" i="54"/>
  <c r="U209" i="54"/>
  <c r="U287" i="54"/>
  <c r="U313" i="54"/>
  <c r="U235" i="54"/>
  <c r="U299" i="54"/>
  <c r="U91" i="54"/>
  <c r="U286" i="54"/>
  <c r="U364" i="54"/>
  <c r="U117" i="54"/>
  <c r="U312" i="54"/>
  <c r="U182" i="54"/>
  <c r="U211" i="54"/>
  <c r="U263" i="54"/>
  <c r="U380" i="54"/>
  <c r="U250" i="54"/>
  <c r="U393" i="54"/>
  <c r="U198" i="54"/>
  <c r="U29" i="54"/>
  <c r="U237" i="54"/>
  <c r="U31" i="54"/>
  <c r="U226" i="54"/>
  <c r="U57" i="54"/>
  <c r="U252" i="54"/>
  <c r="U187" i="54"/>
  <c r="U83" i="54"/>
  <c r="U161" i="54"/>
  <c r="U97" i="54"/>
  <c r="U188" i="54"/>
  <c r="U201" i="54"/>
  <c r="U227" i="54"/>
  <c r="U357" i="54"/>
  <c r="U162" i="54"/>
  <c r="U123" i="54"/>
  <c r="U318" i="54"/>
  <c r="U385" i="54"/>
  <c r="U203" i="54"/>
  <c r="U34" i="54"/>
  <c r="U138" i="54"/>
  <c r="U99" i="54"/>
  <c r="U294" i="54"/>
  <c r="U164" i="54"/>
  <c r="U111" i="54"/>
  <c r="U150" i="54"/>
  <c r="U59" i="54"/>
  <c r="U72" i="54"/>
  <c r="U176" i="54"/>
  <c r="U20" i="54"/>
  <c r="U332" i="54"/>
  <c r="U293" i="54"/>
  <c r="U127" i="54"/>
  <c r="U322" i="54"/>
  <c r="U75" i="54"/>
  <c r="U309" i="54"/>
  <c r="U140" i="54"/>
  <c r="U101" i="54"/>
  <c r="U179" i="54"/>
  <c r="U342" i="54"/>
  <c r="U69" i="54"/>
  <c r="U93" i="54"/>
  <c r="U80" i="54"/>
  <c r="U230" i="54"/>
  <c r="U282" i="54"/>
  <c r="U128" i="54"/>
  <c r="U388" i="54"/>
  <c r="U376" i="54"/>
  <c r="U77" i="54"/>
  <c r="U90" i="54"/>
  <c r="U285" i="54"/>
  <c r="U272" i="54"/>
  <c r="U350" i="54"/>
  <c r="U311" i="54"/>
  <c r="U66" i="54"/>
  <c r="U170" i="54"/>
  <c r="U365" i="54"/>
  <c r="U339" i="54"/>
  <c r="U157" i="54"/>
  <c r="U274" i="54"/>
  <c r="U118" i="54"/>
  <c r="U222" i="54"/>
  <c r="U338" i="54"/>
  <c r="U78" i="54"/>
  <c r="U169" i="54"/>
  <c r="U247" i="54"/>
  <c r="U351" i="54"/>
  <c r="U403" i="54"/>
  <c r="U390" i="54"/>
  <c r="U94" i="54"/>
  <c r="U302" i="54"/>
  <c r="U42" i="54"/>
  <c r="U133" i="54"/>
  <c r="U107" i="54"/>
  <c r="U289" i="54"/>
  <c r="U120" i="54"/>
  <c r="U224" i="54"/>
  <c r="U18" i="54"/>
  <c r="U317" i="54"/>
  <c r="U174" i="54"/>
  <c r="U122" i="54"/>
  <c r="U330" i="54"/>
  <c r="U70" i="54"/>
  <c r="U369" i="54"/>
  <c r="U45" i="54"/>
  <c r="U279" i="54"/>
  <c r="U110" i="54"/>
  <c r="U214" i="54"/>
  <c r="U292" i="54"/>
  <c r="U370" i="54"/>
  <c r="U149" i="54"/>
  <c r="U396" i="54"/>
  <c r="U86" i="54"/>
  <c r="U190" i="54"/>
  <c r="U268" i="54"/>
  <c r="U346" i="54"/>
  <c r="U333" i="54"/>
  <c r="U398" i="54"/>
  <c r="U372" i="54"/>
  <c r="U215" i="54"/>
  <c r="U358" i="54"/>
  <c r="U267" i="54"/>
  <c r="U306" i="54"/>
  <c r="U384" i="54"/>
  <c r="U254" i="54"/>
  <c r="U85" i="54"/>
  <c r="U280" i="54"/>
  <c r="U257" i="54"/>
  <c r="U400" i="54"/>
  <c r="U192" i="54"/>
  <c r="U23" i="54"/>
  <c r="U348" i="54"/>
  <c r="U88" i="54"/>
  <c r="U387" i="54"/>
  <c r="U212" i="54"/>
  <c r="U316" i="54"/>
  <c r="U405" i="54"/>
  <c r="U392" i="54"/>
  <c r="U204" i="54"/>
  <c r="U63" i="54"/>
  <c r="U310" i="54"/>
  <c r="U336" i="54"/>
  <c r="U173" i="54"/>
  <c r="U147" i="54"/>
  <c r="U329" i="54"/>
  <c r="U303" i="54"/>
  <c r="U43" i="54"/>
  <c r="U238" i="54"/>
  <c r="U108" i="54"/>
  <c r="U199" i="54"/>
  <c r="U275" i="54"/>
  <c r="U353" i="54"/>
  <c r="U210" i="54"/>
  <c r="U379" i="54"/>
  <c r="U223" i="54"/>
  <c r="U236" i="54"/>
  <c r="U314" i="54"/>
  <c r="U35" i="54"/>
  <c r="U399" i="54"/>
  <c r="U74" i="54"/>
  <c r="U139" i="54"/>
  <c r="U48" i="54"/>
  <c r="U61" i="54"/>
  <c r="U360" i="54"/>
  <c r="U87" i="54"/>
  <c r="U89" i="54"/>
  <c r="U323" i="54"/>
  <c r="U154" i="54"/>
  <c r="U102" i="54"/>
  <c r="U193" i="54"/>
  <c r="U50" i="54"/>
  <c r="U258" i="54"/>
  <c r="U233" i="54"/>
  <c r="U259" i="54"/>
  <c r="U25" i="54"/>
  <c r="U324" i="54"/>
  <c r="U64" i="54"/>
  <c r="U155" i="54"/>
  <c r="U103" i="54"/>
  <c r="U298" i="54"/>
  <c r="U300" i="54"/>
  <c r="U378" i="54"/>
  <c r="U131" i="54"/>
  <c r="U326" i="54"/>
  <c r="U79" i="54"/>
  <c r="U105" i="54"/>
  <c r="U144" i="54"/>
  <c r="U130" i="54"/>
  <c r="U221" i="54"/>
  <c r="U195" i="54"/>
  <c r="U377" i="54"/>
  <c r="U39" i="54"/>
  <c r="U234" i="54"/>
  <c r="U65" i="54"/>
  <c r="U273" i="54"/>
  <c r="U367" i="54"/>
  <c r="U185" i="54"/>
  <c r="U159" i="54"/>
  <c r="U341" i="54"/>
  <c r="U81" i="54"/>
  <c r="U276" i="54"/>
  <c r="U146" i="54"/>
  <c r="U343" i="54"/>
  <c r="U109" i="54"/>
  <c r="U304" i="54"/>
  <c r="U382" i="54"/>
  <c r="U291" i="54"/>
  <c r="U213" i="54"/>
  <c r="U44" i="54"/>
  <c r="U148" i="54"/>
  <c r="U305" i="54"/>
  <c r="U266" i="54"/>
  <c r="U136" i="54"/>
  <c r="U84" i="54"/>
  <c r="U175" i="54"/>
  <c r="U32" i="54"/>
  <c r="U240" i="54"/>
  <c r="U73" i="54"/>
  <c r="U281" i="54"/>
  <c r="U60" i="54"/>
  <c r="U151" i="54"/>
  <c r="U21" i="54"/>
  <c r="U216" i="54"/>
  <c r="U229" i="54"/>
  <c r="U255" i="54"/>
  <c r="U33" i="54"/>
  <c r="U241" i="54"/>
  <c r="U98" i="54"/>
  <c r="U397" i="54"/>
  <c r="U46" i="54"/>
  <c r="U137" i="54"/>
  <c r="U319" i="54"/>
  <c r="U49" i="54"/>
  <c r="U244" i="54"/>
  <c r="U361" i="54"/>
  <c r="U283" i="54"/>
  <c r="U114" i="54"/>
  <c r="U231" i="54"/>
  <c r="U62" i="54"/>
  <c r="U166" i="54"/>
  <c r="U264" i="54"/>
  <c r="U251" i="54"/>
  <c r="U145" i="54"/>
  <c r="U249" i="54"/>
  <c r="U217" i="54"/>
  <c r="U178" i="54"/>
  <c r="U232" i="54"/>
  <c r="U167" i="54"/>
  <c r="U56" i="54"/>
  <c r="U355" i="54"/>
  <c r="U95" i="54"/>
  <c r="U290" i="54"/>
  <c r="U160" i="54"/>
  <c r="U17" i="54"/>
  <c r="U277" i="54"/>
  <c r="U186" i="54"/>
  <c r="U28" i="54"/>
  <c r="U132" i="54"/>
  <c r="U301" i="54"/>
  <c r="U171" i="54"/>
  <c r="U158" i="54"/>
  <c r="U119" i="54"/>
  <c r="U197" i="54"/>
  <c r="U165" i="54"/>
  <c r="U386" i="54"/>
  <c r="U373" i="54"/>
  <c r="U269" i="54"/>
  <c r="U152" i="54"/>
  <c r="U256" i="54"/>
  <c r="U113" i="54"/>
  <c r="U334" i="54"/>
  <c r="U206" i="54"/>
  <c r="U37" i="54"/>
  <c r="U362" i="54"/>
  <c r="U76" i="54"/>
  <c r="U401" i="54"/>
  <c r="U271" i="54"/>
  <c r="U141" i="54"/>
  <c r="U51" i="54"/>
  <c r="U246" i="54"/>
  <c r="U116" i="54"/>
  <c r="U207" i="54"/>
  <c r="U181" i="54"/>
  <c r="U363" i="54"/>
  <c r="U337" i="54"/>
  <c r="U402" i="54"/>
  <c r="U183" i="54"/>
  <c r="U53" i="54"/>
  <c r="U261" i="54"/>
  <c r="U404" i="54"/>
  <c r="U196" i="54"/>
  <c r="U27" i="54"/>
  <c r="U352" i="54"/>
  <c r="U104" i="54"/>
  <c r="U208" i="54"/>
  <c r="U52" i="54"/>
  <c r="U156" i="54"/>
  <c r="U26" i="54"/>
  <c r="U325" i="54"/>
  <c r="U143" i="54"/>
  <c r="U260" i="54"/>
  <c r="U68" i="54"/>
  <c r="U172" i="54"/>
  <c r="U16" i="54"/>
  <c r="U328" i="54"/>
  <c r="U315" i="54"/>
  <c r="U55" i="54"/>
  <c r="U354" i="54"/>
  <c r="U135" i="54"/>
  <c r="U239" i="54"/>
  <c r="U395" i="54"/>
  <c r="U265" i="54"/>
  <c r="U96" i="54"/>
  <c r="U200" i="54"/>
  <c r="U278" i="54"/>
  <c r="U356" i="54"/>
  <c r="U71" i="54"/>
  <c r="U19" i="54"/>
  <c r="U344" i="54"/>
  <c r="U58" i="54"/>
  <c r="U383" i="54"/>
  <c r="U253" i="54"/>
  <c r="U331" i="54"/>
  <c r="U112" i="54"/>
  <c r="U320" i="54"/>
  <c r="U177" i="54"/>
  <c r="U359" i="54"/>
  <c r="U125" i="54"/>
  <c r="U307" i="54"/>
  <c r="U47" i="54"/>
  <c r="U242" i="54"/>
  <c r="U124" i="54"/>
  <c r="U228" i="54"/>
  <c r="U371" i="54"/>
  <c r="U189" i="54"/>
  <c r="U163" i="54"/>
  <c r="U345" i="54"/>
  <c r="U202" i="54"/>
  <c r="U36" i="54"/>
  <c r="U335" i="54"/>
  <c r="U153" i="54"/>
  <c r="U270" i="54"/>
  <c r="U205" i="54"/>
  <c r="U218" i="54"/>
  <c r="U296" i="54"/>
  <c r="U374" i="54"/>
  <c r="Y197" i="56"/>
  <c r="Y184" i="56"/>
  <c r="Y379" i="56"/>
  <c r="AK44" i="56"/>
  <c r="AK330" i="56"/>
  <c r="AK187" i="56"/>
  <c r="AK122" i="56"/>
  <c r="AK161" i="56"/>
  <c r="AK148" i="56"/>
  <c r="AK382" i="56"/>
  <c r="AK317" i="56"/>
  <c r="AK46" i="56"/>
  <c r="AK202" i="56"/>
  <c r="AK319" i="56"/>
  <c r="AK228" i="56"/>
  <c r="AK176" i="56"/>
  <c r="AK163" i="56"/>
  <c r="AK384" i="56"/>
  <c r="M168" i="56"/>
  <c r="M220" i="56"/>
  <c r="M25" i="56"/>
  <c r="M129" i="56"/>
  <c r="M64" i="56"/>
  <c r="M350" i="56"/>
  <c r="M194" i="56"/>
  <c r="Y93" i="56"/>
  <c r="Y288" i="56"/>
  <c r="Y106" i="56"/>
  <c r="Y80" i="56"/>
  <c r="Y119" i="56"/>
  <c r="Y54" i="56"/>
  <c r="Y171" i="56"/>
  <c r="Y275" i="56"/>
  <c r="M185" i="56"/>
  <c r="M133" i="56"/>
  <c r="M55" i="56"/>
  <c r="M315" i="56"/>
  <c r="M159" i="56"/>
  <c r="M393" i="56"/>
  <c r="M302" i="56"/>
  <c r="AK63" i="56"/>
  <c r="AK154" i="56"/>
  <c r="AK180" i="56"/>
  <c r="AK232" i="56"/>
  <c r="AK219" i="56"/>
  <c r="AK375" i="56"/>
  <c r="AK310" i="56"/>
  <c r="AK349" i="56"/>
  <c r="M339" i="56"/>
  <c r="M66" i="56"/>
  <c r="M105" i="56"/>
  <c r="Y150" i="56"/>
  <c r="Y20" i="56"/>
  <c r="Y293" i="56"/>
  <c r="Y254" i="56"/>
  <c r="Y59" i="56"/>
  <c r="Y98" i="56"/>
  <c r="Y319" i="56"/>
  <c r="Y215" i="56"/>
  <c r="AK75" i="56"/>
  <c r="AK166" i="56"/>
  <c r="AK114" i="56"/>
  <c r="AK387" i="56"/>
  <c r="AK36" i="56"/>
  <c r="AK270" i="56"/>
  <c r="AK296" i="56"/>
  <c r="Y78" i="56"/>
  <c r="Y299" i="56"/>
  <c r="Y130" i="56"/>
  <c r="Y91" i="56"/>
  <c r="Y65" i="56"/>
  <c r="Y26" i="56"/>
  <c r="Y260" i="56"/>
  <c r="Y156" i="56"/>
  <c r="AK99" i="56"/>
  <c r="AK164" i="56"/>
  <c r="AK203" i="56"/>
  <c r="AK255" i="56"/>
  <c r="AK21" i="56"/>
  <c r="AK398" i="56"/>
  <c r="AK294" i="56"/>
  <c r="AK29" i="56"/>
  <c r="AK315" i="56"/>
  <c r="AK211" i="56"/>
  <c r="AK159" i="56"/>
  <c r="AK198" i="56"/>
  <c r="AK133" i="56"/>
  <c r="AK341" i="56"/>
  <c r="AK393" i="56"/>
  <c r="M212" i="56"/>
  <c r="M108" i="56"/>
  <c r="M225" i="56"/>
  <c r="M95" i="56"/>
  <c r="M238" i="56"/>
  <c r="M329" i="56"/>
  <c r="M43" i="56"/>
  <c r="M30" i="56"/>
  <c r="AK149" i="56"/>
  <c r="AK201" i="56"/>
  <c r="AK188" i="56"/>
  <c r="AK45" i="56"/>
  <c r="AK227" i="56"/>
  <c r="AK305" i="56"/>
  <c r="AK279" i="56"/>
  <c r="AK318" i="56"/>
  <c r="M319" i="56"/>
  <c r="M46" i="56"/>
  <c r="M176" i="56"/>
  <c r="M384" i="56"/>
  <c r="M189" i="56"/>
  <c r="M241" i="56"/>
  <c r="M397" i="56"/>
  <c r="AK194" i="56"/>
  <c r="AK155" i="56"/>
  <c r="AK142" i="56"/>
  <c r="AK38" i="56"/>
  <c r="AK233" i="56"/>
  <c r="AK298" i="56"/>
  <c r="AK376" i="56"/>
  <c r="AK311" i="56"/>
  <c r="AK26" i="56"/>
  <c r="AK91" i="56"/>
  <c r="AK78" i="56"/>
  <c r="AK299" i="56"/>
  <c r="AK260" i="56"/>
  <c r="AK156" i="56"/>
  <c r="AK377" i="56"/>
  <c r="M178" i="56"/>
  <c r="M282" i="56"/>
  <c r="M295" i="56"/>
  <c r="M373" i="56"/>
  <c r="M347" i="56"/>
  <c r="M191" i="56"/>
  <c r="M243" i="56"/>
  <c r="Y63" i="56"/>
  <c r="Y50" i="56"/>
  <c r="Y180" i="56"/>
  <c r="Y154" i="56"/>
  <c r="Y167" i="56"/>
  <c r="Y219" i="56"/>
  <c r="Y323" i="56"/>
  <c r="Y141" i="56"/>
  <c r="AK131" i="56"/>
  <c r="AK170" i="56"/>
  <c r="AK118" i="56"/>
  <c r="AK40" i="56"/>
  <c r="AK261" i="56"/>
  <c r="AK352" i="56"/>
  <c r="AK287" i="56"/>
  <c r="Y19" i="56"/>
  <c r="Y123" i="56"/>
  <c r="Y149" i="56"/>
  <c r="Y58" i="56"/>
  <c r="Y292" i="56"/>
  <c r="Y227" i="56"/>
  <c r="Y162" i="56"/>
  <c r="Y370" i="56"/>
  <c r="M101" i="56"/>
  <c r="M153" i="56"/>
  <c r="M127" i="56"/>
  <c r="M244" i="56"/>
  <c r="M88" i="56"/>
  <c r="M36" i="56"/>
  <c r="M283" i="56"/>
  <c r="Y38" i="56"/>
  <c r="Y64" i="56"/>
  <c r="Y142" i="56"/>
  <c r="Y350" i="56"/>
  <c r="Y181" i="56"/>
  <c r="Y77" i="56"/>
  <c r="Y324" i="56"/>
  <c r="Y259" i="56"/>
  <c r="AK67" i="56"/>
  <c r="AK158" i="56"/>
  <c r="AK197" i="56"/>
  <c r="AK353" i="56"/>
  <c r="AK223" i="56"/>
  <c r="AK171" i="56"/>
  <c r="AK405" i="56"/>
  <c r="M190" i="56"/>
  <c r="M385" i="56"/>
  <c r="M216" i="56"/>
  <c r="M138" i="56"/>
  <c r="M34" i="56"/>
  <c r="M112" i="56"/>
  <c r="M229" i="56"/>
  <c r="M60" i="56"/>
  <c r="Y172" i="56"/>
  <c r="Y224" i="56"/>
  <c r="Y120" i="56"/>
  <c r="Y16" i="56"/>
  <c r="Y159" i="56"/>
  <c r="Y341" i="56"/>
  <c r="Y237" i="56"/>
  <c r="AK48" i="56"/>
  <c r="AK282" i="56"/>
  <c r="AK295" i="56"/>
  <c r="AK243" i="56"/>
  <c r="AK139" i="56"/>
  <c r="AK126" i="56"/>
  <c r="AK360" i="56"/>
  <c r="AK334" i="56"/>
  <c r="M63" i="56"/>
  <c r="M362" i="56"/>
  <c r="M284" i="56"/>
  <c r="M193" i="56"/>
  <c r="M297" i="56"/>
  <c r="M349" i="56"/>
  <c r="M50" i="56"/>
  <c r="Y131" i="56"/>
  <c r="Y79" i="56"/>
  <c r="Y209" i="56"/>
  <c r="Y365" i="56"/>
  <c r="Y300" i="56"/>
  <c r="Y235" i="56"/>
  <c r="Y391" i="56"/>
  <c r="Y274" i="56"/>
  <c r="AK82" i="56"/>
  <c r="AK186" i="56"/>
  <c r="AK95" i="56"/>
  <c r="AK225" i="56"/>
  <c r="AK394" i="56"/>
  <c r="AK277" i="56"/>
  <c r="AK381" i="56"/>
  <c r="AK278" i="56"/>
  <c r="AK174" i="56"/>
  <c r="AK252" i="56"/>
  <c r="AK200" i="56"/>
  <c r="AK343" i="56"/>
  <c r="AK395" i="56"/>
  <c r="AK20" i="56"/>
  <c r="AK241" i="56"/>
  <c r="AK85" i="56"/>
  <c r="AK267" i="56"/>
  <c r="AK215" i="56"/>
  <c r="AK254" i="56"/>
  <c r="AK332" i="56"/>
  <c r="M285" i="56"/>
  <c r="M77" i="56"/>
  <c r="M337" i="56"/>
  <c r="M207" i="56"/>
  <c r="M51" i="56"/>
  <c r="M38" i="56"/>
  <c r="Y158" i="56"/>
  <c r="Y236" i="56"/>
  <c r="Y262" i="56"/>
  <c r="Y340" i="56"/>
  <c r="Y405" i="56"/>
  <c r="M146" i="56"/>
  <c r="M224" i="56"/>
  <c r="M211" i="56"/>
  <c r="AK128" i="56"/>
  <c r="AK193" i="56"/>
  <c r="AK115" i="56"/>
  <c r="AK401" i="56"/>
  <c r="AK167" i="56"/>
  <c r="AK336" i="56"/>
  <c r="AK206" i="56"/>
  <c r="AK388" i="56"/>
  <c r="M131" i="56"/>
  <c r="M313" i="56"/>
  <c r="Y85" i="56"/>
  <c r="Y72" i="56"/>
  <c r="Y46" i="56"/>
  <c r="Y241" i="56"/>
  <c r="Y202" i="56"/>
  <c r="Y280" i="56"/>
  <c r="Y397" i="56"/>
  <c r="Y371" i="56"/>
  <c r="AK101" i="56"/>
  <c r="AK127" i="56"/>
  <c r="AK192" i="56"/>
  <c r="AK62" i="56"/>
  <c r="AK231" i="56"/>
  <c r="AK322" i="56"/>
  <c r="AK361" i="56"/>
  <c r="Y52" i="56"/>
  <c r="Y286" i="56"/>
  <c r="Y195" i="56"/>
  <c r="Y325" i="56"/>
  <c r="Y273" i="56"/>
  <c r="Y221" i="56"/>
  <c r="Y390" i="56"/>
  <c r="Y364" i="56"/>
  <c r="AK151" i="56"/>
  <c r="AK125" i="56"/>
  <c r="AK177" i="56"/>
  <c r="AK372" i="56"/>
  <c r="AK216" i="56"/>
  <c r="AK359" i="56"/>
  <c r="AK333" i="56"/>
  <c r="AK42" i="56"/>
  <c r="AK68" i="56"/>
  <c r="AK263" i="56"/>
  <c r="AK250" i="56"/>
  <c r="AK237" i="56"/>
  <c r="AK185" i="56"/>
  <c r="AK367" i="56"/>
  <c r="AK380" i="56"/>
  <c r="M368" i="56"/>
  <c r="M173" i="56"/>
  <c r="M186" i="56"/>
  <c r="M303" i="56"/>
  <c r="M56" i="56"/>
  <c r="M82" i="56"/>
  <c r="M199" i="56"/>
  <c r="M251" i="56"/>
  <c r="AK123" i="56"/>
  <c r="AK71" i="56"/>
  <c r="AK97" i="56"/>
  <c r="AK32" i="56"/>
  <c r="AK357" i="56"/>
  <c r="AK344" i="56"/>
  <c r="AK383" i="56"/>
  <c r="AK370" i="56"/>
  <c r="M124" i="56"/>
  <c r="M59" i="56"/>
  <c r="M137" i="56"/>
  <c r="M20" i="56"/>
  <c r="M98" i="56"/>
  <c r="M150" i="56"/>
  <c r="M85" i="56"/>
  <c r="AK259" i="56"/>
  <c r="AK77" i="56"/>
  <c r="AK116" i="56"/>
  <c r="AK220" i="56"/>
  <c r="AK51" i="56"/>
  <c r="AK389" i="56"/>
  <c r="AK363" i="56"/>
  <c r="AK350" i="56"/>
  <c r="AK65" i="56"/>
  <c r="AK143" i="56"/>
  <c r="AK130" i="56"/>
  <c r="AK117" i="56"/>
  <c r="AK273" i="56"/>
  <c r="AK247" i="56"/>
  <c r="AK364" i="56"/>
  <c r="M61" i="56"/>
  <c r="M22" i="56"/>
  <c r="M386" i="56"/>
  <c r="M399" i="56"/>
  <c r="M100" i="56"/>
  <c r="M152" i="56"/>
  <c r="M204" i="56"/>
  <c r="Y258" i="56"/>
  <c r="Y310" i="56"/>
  <c r="Y89" i="56"/>
  <c r="Y193" i="56"/>
  <c r="Y336" i="56"/>
  <c r="Y388" i="56"/>
  <c r="Y115" i="56"/>
  <c r="Y362" i="56"/>
  <c r="AK144" i="56"/>
  <c r="AK183" i="56"/>
  <c r="AK53" i="56"/>
  <c r="AK27" i="56"/>
  <c r="AK209" i="56"/>
  <c r="AK300" i="56"/>
  <c r="AK274" i="56"/>
  <c r="Y71" i="56"/>
  <c r="Y396" i="56"/>
  <c r="Y201" i="56"/>
  <c r="Y136" i="56"/>
  <c r="Y344" i="56"/>
  <c r="Y279" i="56"/>
  <c r="Y214" i="56"/>
  <c r="Y383" i="56"/>
  <c r="M257" i="56"/>
  <c r="M114" i="56"/>
  <c r="M335" i="56"/>
  <c r="M218" i="56"/>
  <c r="M296" i="56"/>
  <c r="M140" i="56"/>
  <c r="M23" i="56"/>
  <c r="Y116" i="56"/>
  <c r="Y389" i="56"/>
  <c r="Y194" i="56"/>
  <c r="Y363" i="56"/>
  <c r="Y233" i="56"/>
  <c r="Y168" i="56"/>
  <c r="Y51" i="56"/>
  <c r="Y311" i="56"/>
  <c r="AK301" i="56"/>
  <c r="AK249" i="56"/>
  <c r="AK236" i="56"/>
  <c r="AK80" i="56"/>
  <c r="AK288" i="56"/>
  <c r="AK210" i="56"/>
  <c r="AK392" i="56"/>
  <c r="M294" i="56"/>
  <c r="M203" i="56"/>
  <c r="M47" i="56"/>
  <c r="M99" i="56"/>
  <c r="M177" i="56"/>
  <c r="M320" i="56"/>
  <c r="M164" i="56"/>
  <c r="M281" i="56"/>
  <c r="Y328" i="56"/>
  <c r="Y276" i="56"/>
  <c r="Y146" i="56"/>
  <c r="Y94" i="56"/>
  <c r="Y68" i="56"/>
  <c r="Y380" i="56"/>
  <c r="Y354" i="56"/>
  <c r="AK22" i="56"/>
  <c r="AK113" i="56"/>
  <c r="AK100" i="56"/>
  <c r="AK269" i="56"/>
  <c r="AK191" i="56"/>
  <c r="AK178" i="56"/>
  <c r="AK399" i="56"/>
  <c r="AK373" i="56"/>
  <c r="M375" i="56"/>
  <c r="M24" i="56"/>
  <c r="M219" i="56"/>
  <c r="M102" i="56"/>
  <c r="M128" i="56"/>
  <c r="M141" i="56"/>
  <c r="M336" i="56"/>
  <c r="Y27" i="56"/>
  <c r="Y40" i="56"/>
  <c r="Y261" i="56"/>
  <c r="Y144" i="56"/>
  <c r="Y352" i="56"/>
  <c r="Y287" i="56"/>
  <c r="Y66" i="56"/>
  <c r="Y326" i="56"/>
  <c r="AK160" i="56"/>
  <c r="AK108" i="56"/>
  <c r="AK147" i="56"/>
  <c r="AK238" i="56"/>
  <c r="AK43" i="56"/>
  <c r="AK329" i="56"/>
  <c r="AK303" i="56"/>
  <c r="AK18" i="56"/>
  <c r="AK226" i="56"/>
  <c r="AK57" i="56"/>
  <c r="AK83" i="56"/>
  <c r="AK265" i="56"/>
  <c r="AK213" i="56"/>
  <c r="AK304" i="56"/>
  <c r="AK239" i="56"/>
  <c r="AK369" i="56"/>
  <c r="AK59" i="56"/>
  <c r="AK98" i="56"/>
  <c r="AK280" i="56"/>
  <c r="AK137" i="56"/>
  <c r="AK72" i="56"/>
  <c r="AK293" i="56"/>
  <c r="AK306" i="56"/>
  <c r="AK371" i="56"/>
  <c r="M116" i="56"/>
  <c r="M272" i="56"/>
  <c r="M246" i="56"/>
  <c r="M155" i="56"/>
  <c r="M90" i="56"/>
  <c r="M181" i="56"/>
  <c r="M103" i="56"/>
  <c r="Y28" i="56"/>
  <c r="Y145" i="56"/>
  <c r="Y314" i="56"/>
  <c r="Y67" i="56"/>
  <c r="Y249" i="56"/>
  <c r="Y223" i="56"/>
  <c r="Y327" i="56"/>
  <c r="M289" i="56"/>
  <c r="M68" i="56"/>
  <c r="M354" i="56"/>
  <c r="M42" i="56"/>
  <c r="M276" i="56"/>
  <c r="M172" i="56"/>
  <c r="AK323" i="56"/>
  <c r="AK362" i="56"/>
  <c r="AK284" i="56"/>
  <c r="AK24" i="56"/>
  <c r="AK297" i="56"/>
  <c r="AK271" i="56"/>
  <c r="AK102" i="56"/>
  <c r="M183" i="56"/>
  <c r="M365" i="56"/>
  <c r="M404" i="56"/>
  <c r="M27" i="56"/>
  <c r="M53" i="56"/>
  <c r="Y137" i="56"/>
  <c r="Y228" i="56"/>
  <c r="Y176" i="56"/>
  <c r="Y124" i="56"/>
  <c r="Y189" i="56"/>
  <c r="Y163" i="56"/>
  <c r="Y267" i="56"/>
  <c r="AK153" i="56"/>
  <c r="AK179" i="56"/>
  <c r="AK205" i="56"/>
  <c r="AK23" i="56"/>
  <c r="AK49" i="56"/>
  <c r="AK283" i="56"/>
  <c r="AK309" i="56"/>
  <c r="AK400" i="56"/>
  <c r="Y104" i="56"/>
  <c r="Y117" i="56"/>
  <c r="Y247" i="56"/>
  <c r="Y182" i="56"/>
  <c r="Y351" i="56"/>
  <c r="Y312" i="56"/>
  <c r="Y208" i="56"/>
  <c r="AK112" i="56"/>
  <c r="AK73" i="56"/>
  <c r="AK86" i="56"/>
  <c r="AK60" i="56"/>
  <c r="AK34" i="56"/>
  <c r="AK268" i="56"/>
  <c r="AK307" i="56"/>
  <c r="AK281" i="56"/>
  <c r="AK16" i="56"/>
  <c r="AK120" i="56"/>
  <c r="AK289" i="56"/>
  <c r="AK94" i="56"/>
  <c r="AK302" i="56"/>
  <c r="AK224" i="56"/>
  <c r="AK354" i="56"/>
  <c r="Y230" i="56"/>
  <c r="M121" i="56"/>
  <c r="M381" i="56"/>
  <c r="M17" i="56"/>
  <c r="M316" i="56"/>
  <c r="M147" i="56"/>
  <c r="M290" i="56"/>
  <c r="M134" i="56"/>
  <c r="AK175" i="56"/>
  <c r="AK110" i="56"/>
  <c r="AK136" i="56"/>
  <c r="AK253" i="56"/>
  <c r="AK58" i="56"/>
  <c r="AK292" i="56"/>
  <c r="AK396" i="56"/>
  <c r="M371" i="56"/>
  <c r="M215" i="56"/>
  <c r="M267" i="56"/>
  <c r="M345" i="56"/>
  <c r="M72" i="56"/>
  <c r="M306" i="56"/>
  <c r="M358" i="56"/>
  <c r="M293" i="56"/>
  <c r="AK90" i="56"/>
  <c r="AK181" i="56"/>
  <c r="AK207" i="56"/>
  <c r="AK25" i="56"/>
  <c r="AK246" i="56"/>
  <c r="AK337" i="56"/>
  <c r="AK272" i="56"/>
  <c r="AK39" i="56"/>
  <c r="AK286" i="56"/>
  <c r="AK195" i="56"/>
  <c r="AK182" i="56"/>
  <c r="AK169" i="56"/>
  <c r="AK338" i="56"/>
  <c r="AK390" i="56"/>
  <c r="AK351" i="56"/>
  <c r="M126" i="56"/>
  <c r="M334" i="56"/>
  <c r="M48" i="56"/>
  <c r="M256" i="56"/>
  <c r="M35" i="56"/>
  <c r="M308" i="56"/>
  <c r="M360" i="56"/>
  <c r="M113" i="56"/>
  <c r="Y37" i="56"/>
  <c r="Y349" i="56"/>
  <c r="Y76" i="56"/>
  <c r="Y375" i="56"/>
  <c r="Y206" i="56"/>
  <c r="Y297" i="56"/>
  <c r="Y24" i="56"/>
  <c r="AK105" i="56"/>
  <c r="AK79" i="56"/>
  <c r="AK222" i="56"/>
  <c r="AK248" i="56"/>
  <c r="AK365" i="56"/>
  <c r="AK313" i="56"/>
  <c r="AK378" i="56"/>
  <c r="AK326" i="56"/>
  <c r="Y45" i="56"/>
  <c r="Y97" i="56"/>
  <c r="Y253" i="56"/>
  <c r="Y188" i="56"/>
  <c r="Y357" i="56"/>
  <c r="Y331" i="56"/>
  <c r="Y266" i="56"/>
  <c r="M361" i="56"/>
  <c r="M309" i="56"/>
  <c r="M166" i="56"/>
  <c r="M387" i="56"/>
  <c r="M179" i="56"/>
  <c r="M270" i="56"/>
  <c r="M348" i="56"/>
  <c r="M75" i="56"/>
  <c r="Y25" i="56"/>
  <c r="Y129" i="56"/>
  <c r="Y246" i="56"/>
  <c r="Y376" i="56"/>
  <c r="Y285" i="56"/>
  <c r="Y220" i="56"/>
  <c r="Y155" i="56"/>
  <c r="AK54" i="56"/>
  <c r="AK41" i="56"/>
  <c r="AK93" i="56"/>
  <c r="AK314" i="56"/>
  <c r="AK132" i="56"/>
  <c r="AK275" i="56"/>
  <c r="AK262" i="56"/>
  <c r="AK379" i="56"/>
  <c r="M346" i="56"/>
  <c r="M86" i="56"/>
  <c r="M125" i="56"/>
  <c r="M307" i="56"/>
  <c r="M151" i="56"/>
  <c r="M21" i="56"/>
  <c r="M372" i="56"/>
  <c r="Y107" i="56"/>
  <c r="Y315" i="56"/>
  <c r="Y263" i="56"/>
  <c r="Y55" i="56"/>
  <c r="Y302" i="56"/>
  <c r="Y250" i="56"/>
  <c r="Y289" i="56"/>
  <c r="Y185" i="56"/>
  <c r="AK61" i="56"/>
  <c r="AK165" i="56"/>
  <c r="AK152" i="56"/>
  <c r="AK308" i="56"/>
  <c r="AK230" i="56"/>
  <c r="AK217" i="56"/>
  <c r="AK347" i="56"/>
  <c r="M89" i="56"/>
  <c r="M258" i="56"/>
  <c r="M76" i="56"/>
  <c r="M310" i="56"/>
  <c r="M154" i="56"/>
  <c r="M271" i="56"/>
  <c r="M245" i="56"/>
  <c r="M180" i="56"/>
  <c r="Y404" i="56"/>
  <c r="Y53" i="56"/>
  <c r="Y313" i="56"/>
  <c r="Y196" i="56"/>
  <c r="Y92" i="56"/>
  <c r="Y339" i="56"/>
  <c r="Y170" i="56"/>
  <c r="AK134" i="56"/>
  <c r="AK121" i="56"/>
  <c r="AK199" i="56"/>
  <c r="AK30" i="56"/>
  <c r="AK56" i="56"/>
  <c r="AK290" i="56"/>
  <c r="AK264" i="56"/>
  <c r="AK355" i="56"/>
  <c r="AK31" i="56"/>
  <c r="AK135" i="56"/>
  <c r="AK70" i="56"/>
  <c r="AK109" i="56"/>
  <c r="AK96" i="56"/>
  <c r="AK291" i="56"/>
  <c r="AK356" i="56"/>
  <c r="AK33" i="56"/>
  <c r="AK150" i="56"/>
  <c r="AK345" i="56"/>
  <c r="AK189" i="56"/>
  <c r="AK124" i="56"/>
  <c r="AK111" i="56"/>
  <c r="AK397" i="56"/>
  <c r="AK358" i="56"/>
  <c r="M324" i="56"/>
  <c r="M389" i="56"/>
  <c r="M402" i="56"/>
  <c r="M363" i="56"/>
  <c r="M298" i="56"/>
  <c r="Y132" i="56"/>
  <c r="Y353" i="56"/>
  <c r="Y301" i="56"/>
  <c r="Y210" i="56"/>
  <c r="Y41" i="56"/>
  <c r="Y366" i="56"/>
  <c r="Y392" i="56"/>
  <c r="M29" i="56"/>
  <c r="M94" i="56"/>
  <c r="M107" i="56"/>
  <c r="M380" i="56"/>
  <c r="AK258" i="56"/>
  <c r="AK37" i="56"/>
  <c r="AK245" i="56"/>
  <c r="AK50" i="56"/>
  <c r="AK89" i="56"/>
  <c r="AK76" i="56"/>
  <c r="AK141" i="56"/>
  <c r="M92" i="56"/>
  <c r="M235" i="56"/>
  <c r="Y345" i="56"/>
  <c r="Y306" i="56"/>
  <c r="Y111" i="56"/>
  <c r="Y332" i="56"/>
  <c r="Y33" i="56"/>
  <c r="Y358" i="56"/>
  <c r="Y384" i="56"/>
  <c r="AK140" i="56"/>
  <c r="AK88" i="56"/>
  <c r="AK244" i="56"/>
  <c r="AK218" i="56"/>
  <c r="AK257" i="56"/>
  <c r="AK374" i="56"/>
  <c r="AK348" i="56"/>
  <c r="AK335" i="56"/>
  <c r="Y143" i="56"/>
  <c r="Y169" i="56"/>
  <c r="Y234" i="56"/>
  <c r="Y39" i="56"/>
  <c r="Y338" i="56"/>
  <c r="Y403" i="56"/>
  <c r="Y377" i="56"/>
  <c r="AK229" i="56"/>
  <c r="AK138" i="56"/>
  <c r="AK190" i="56"/>
  <c r="AK47" i="56"/>
  <c r="AK242" i="56"/>
  <c r="AK320" i="56"/>
  <c r="AK346" i="56"/>
  <c r="AK385" i="56"/>
  <c r="AK55" i="56"/>
  <c r="AK172" i="56"/>
  <c r="AK107" i="56"/>
  <c r="AK146" i="56"/>
  <c r="AK81" i="56"/>
  <c r="AK276" i="56"/>
  <c r="AK328" i="56"/>
  <c r="M160" i="56"/>
  <c r="M264" i="56"/>
  <c r="M69" i="56"/>
  <c r="M277" i="56"/>
  <c r="M355" i="56"/>
  <c r="M394" i="56"/>
  <c r="M342" i="56"/>
  <c r="AK84" i="56"/>
  <c r="AK214" i="56"/>
  <c r="AK162" i="56"/>
  <c r="AK19" i="56"/>
  <c r="AK240" i="56"/>
  <c r="AK331" i="56"/>
  <c r="AK266" i="56"/>
  <c r="M111" i="56"/>
  <c r="M163" i="56"/>
  <c r="M33" i="56"/>
  <c r="M254" i="56"/>
  <c r="M228" i="56"/>
  <c r="M280" i="56"/>
  <c r="M332" i="56"/>
  <c r="M202" i="56"/>
  <c r="AK103" i="56"/>
  <c r="AK168" i="56"/>
  <c r="AK129" i="56"/>
  <c r="AK64" i="56"/>
  <c r="AK402" i="56"/>
  <c r="AK285" i="56"/>
  <c r="AK324" i="56"/>
  <c r="AK52" i="56"/>
  <c r="AK312" i="56"/>
  <c r="AK234" i="56"/>
  <c r="AK221" i="56"/>
  <c r="AK208" i="56"/>
  <c r="AK104" i="56"/>
  <c r="AK325" i="56"/>
  <c r="AK403" i="56"/>
  <c r="M230" i="56"/>
  <c r="M74" i="56"/>
  <c r="M87" i="56"/>
  <c r="M165" i="56"/>
  <c r="M139" i="56"/>
  <c r="M217" i="56"/>
  <c r="M269" i="56"/>
  <c r="M321" i="56"/>
  <c r="Y232" i="56"/>
  <c r="Y245" i="56"/>
  <c r="Y284" i="56"/>
  <c r="Y401" i="56"/>
  <c r="Y271" i="56"/>
  <c r="Y102" i="56"/>
  <c r="Y128" i="56"/>
  <c r="AK157" i="56"/>
  <c r="AK92" i="56"/>
  <c r="AK196" i="56"/>
  <c r="AK235" i="56"/>
  <c r="AK66" i="56"/>
  <c r="AK404" i="56"/>
  <c r="AK339" i="56"/>
  <c r="AK391" i="56"/>
  <c r="Y32" i="56"/>
  <c r="Y84" i="56"/>
  <c r="Y305" i="56"/>
  <c r="Y240" i="56"/>
  <c r="Y175" i="56"/>
  <c r="Y110" i="56"/>
  <c r="Y318" i="56"/>
  <c r="M400" i="56"/>
  <c r="M205" i="56"/>
  <c r="M374" i="56"/>
  <c r="M62" i="56"/>
  <c r="M49" i="56"/>
  <c r="M231" i="56"/>
  <c r="M322" i="56"/>
  <c r="M192" i="56"/>
  <c r="Y90" i="56"/>
  <c r="Y402" i="56"/>
  <c r="Y298" i="56"/>
  <c r="Y103" i="56"/>
  <c r="Y337" i="56"/>
  <c r="Y272" i="56"/>
  <c r="Y207" i="56"/>
  <c r="AK28" i="56"/>
  <c r="AK106" i="56"/>
  <c r="AK145" i="56"/>
  <c r="AK327" i="56"/>
  <c r="AK184" i="56"/>
  <c r="AK119" i="56"/>
  <c r="AK340" i="56"/>
  <c r="AK366" i="56"/>
  <c r="M242" i="56"/>
  <c r="M255" i="56"/>
  <c r="M333" i="56"/>
  <c r="M268" i="56"/>
  <c r="M359" i="56"/>
  <c r="M73" i="56"/>
  <c r="M398" i="56"/>
  <c r="Y81" i="56"/>
  <c r="Y198" i="56"/>
  <c r="Y29" i="56"/>
  <c r="Y211" i="56"/>
  <c r="Y42" i="56"/>
  <c r="Y133" i="56"/>
  <c r="Y367" i="56"/>
  <c r="Y393" i="56"/>
  <c r="AK35" i="56"/>
  <c r="AK256" i="56"/>
  <c r="AK204" i="56"/>
  <c r="AK87" i="56"/>
  <c r="AK74" i="56"/>
  <c r="AK321" i="56"/>
  <c r="AK386" i="56"/>
  <c r="M37" i="56"/>
  <c r="M388" i="56"/>
  <c r="M206" i="56"/>
  <c r="M115" i="56"/>
  <c r="M401" i="56"/>
  <c r="M323" i="56"/>
  <c r="M167" i="56"/>
  <c r="M232" i="56"/>
  <c r="Y105" i="56"/>
  <c r="Y157" i="56"/>
  <c r="Y118" i="56"/>
  <c r="Y248" i="56"/>
  <c r="Y183" i="56"/>
  <c r="Y378" i="56"/>
  <c r="Y222" i="56"/>
  <c r="AK69" i="56"/>
  <c r="AK173" i="56"/>
  <c r="AK251" i="56"/>
  <c r="AK17" i="56"/>
  <c r="AK212" i="56"/>
  <c r="AK368" i="56"/>
  <c r="AK316" i="56"/>
  <c r="AK342" i="56"/>
  <c r="AY30" i="54"/>
  <c r="AY394" i="54"/>
  <c r="AY212" i="54"/>
  <c r="AY147" i="54"/>
  <c r="AY173" i="54"/>
  <c r="AY238" i="54"/>
  <c r="AY290" i="54"/>
  <c r="AY342" i="54"/>
  <c r="AY141" i="54"/>
  <c r="AY63" i="54"/>
  <c r="AY128" i="54"/>
  <c r="AY232" i="54"/>
  <c r="AY258" i="54"/>
  <c r="AY401" i="54"/>
  <c r="AY388" i="54"/>
  <c r="AY124" i="54"/>
  <c r="AY85" i="54"/>
  <c r="AY98" i="54"/>
  <c r="AY384" i="54"/>
  <c r="AY137" i="54"/>
  <c r="AY150" i="54"/>
  <c r="AY371" i="54"/>
  <c r="AY267" i="54"/>
  <c r="AY97" i="54"/>
  <c r="AY45" i="54"/>
  <c r="AY110" i="54"/>
  <c r="AY214" i="54"/>
  <c r="AY253" i="54"/>
  <c r="AY383" i="54"/>
  <c r="AY292" i="54"/>
  <c r="AY318" i="54"/>
  <c r="AY125" i="54"/>
  <c r="AY242" i="54"/>
  <c r="AY47" i="54"/>
  <c r="AY229" i="54"/>
  <c r="AY203" i="54"/>
  <c r="AY385" i="54"/>
  <c r="AY307" i="54"/>
  <c r="AY281" i="54"/>
  <c r="AY230" i="54"/>
  <c r="AY308" i="54"/>
  <c r="AY35" i="54"/>
  <c r="AY399" i="54"/>
  <c r="AY152" i="54"/>
  <c r="AY295" i="54"/>
  <c r="AY61" i="54"/>
  <c r="AY207" i="54"/>
  <c r="AY103" i="54"/>
  <c r="AY51" i="54"/>
  <c r="AY324" i="54"/>
  <c r="AY402" i="54"/>
  <c r="AY168" i="54"/>
  <c r="AY350" i="54"/>
  <c r="AY337" i="54"/>
  <c r="AY40" i="54"/>
  <c r="AY53" i="54"/>
  <c r="AY170" i="54"/>
  <c r="AY144" i="54"/>
  <c r="AY222" i="54"/>
  <c r="AY274" i="54"/>
  <c r="AY365" i="54"/>
  <c r="AY378" i="54"/>
  <c r="AY65" i="54"/>
  <c r="AY169" i="54"/>
  <c r="AY52" i="54"/>
  <c r="AY247" i="54"/>
  <c r="AY182" i="54"/>
  <c r="AY338" i="54"/>
  <c r="AY312" i="54"/>
  <c r="AY94" i="54"/>
  <c r="AY55" i="54"/>
  <c r="AY133" i="54"/>
  <c r="AY81" i="54"/>
  <c r="AY159" i="54"/>
  <c r="AY289" i="54"/>
  <c r="AY315" i="54"/>
  <c r="AY135" i="54"/>
  <c r="AY161" i="54"/>
  <c r="AY252" i="54"/>
  <c r="AY96" i="54"/>
  <c r="AY278" i="54"/>
  <c r="AY356" i="54"/>
  <c r="AY304" i="54"/>
  <c r="AY343" i="54"/>
  <c r="AY36" i="54"/>
  <c r="AY231" i="54"/>
  <c r="AY114" i="54"/>
  <c r="AY62" i="54"/>
  <c r="AY218" i="54"/>
  <c r="AY309" i="54"/>
  <c r="AY387" i="54"/>
  <c r="AY184" i="54"/>
  <c r="AY67" i="54"/>
  <c r="AY301" i="54"/>
  <c r="AY106" i="54"/>
  <c r="AY210" i="54"/>
  <c r="AY392" i="54"/>
  <c r="AY327" i="54"/>
  <c r="AY353" i="54"/>
  <c r="AY186" i="54"/>
  <c r="AY56" i="54"/>
  <c r="AY95" i="54"/>
  <c r="AY43" i="54"/>
  <c r="AY160" i="54"/>
  <c r="AY225" i="54"/>
  <c r="AY329" i="54"/>
  <c r="AY368" i="54"/>
  <c r="AY115" i="54"/>
  <c r="AY50" i="54"/>
  <c r="AY102" i="54"/>
  <c r="AY297" i="54"/>
  <c r="AY167" i="54"/>
  <c r="AY284" i="54"/>
  <c r="AY362" i="54"/>
  <c r="AY59" i="54"/>
  <c r="AY20" i="54"/>
  <c r="AY72" i="54"/>
  <c r="AY241" i="54"/>
  <c r="AY215" i="54"/>
  <c r="AY280" i="54"/>
  <c r="AY358" i="54"/>
  <c r="AY397" i="54"/>
  <c r="AY227" i="54"/>
  <c r="AY32" i="54"/>
  <c r="AY84" i="54"/>
  <c r="AY331" i="54"/>
  <c r="AY201" i="54"/>
  <c r="AY240" i="54"/>
  <c r="AY396" i="54"/>
  <c r="AY305" i="54"/>
  <c r="AY21" i="54"/>
  <c r="AY86" i="54"/>
  <c r="AY151" i="54"/>
  <c r="AY255" i="54"/>
  <c r="AY177" i="54"/>
  <c r="AY346" i="54"/>
  <c r="AY398" i="54"/>
  <c r="AY359" i="54"/>
  <c r="AY178" i="54"/>
  <c r="AY360" i="54"/>
  <c r="AY256" i="54"/>
  <c r="AY386" i="54"/>
  <c r="AY126" i="54"/>
  <c r="AY87" i="54"/>
  <c r="AY334" i="54"/>
  <c r="AY77" i="54"/>
  <c r="AY38" i="54"/>
  <c r="AY90" i="54"/>
  <c r="AY194" i="54"/>
  <c r="AY181" i="54"/>
  <c r="AY272" i="54"/>
  <c r="AY363" i="54"/>
  <c r="AY285" i="54"/>
  <c r="AY105" i="54"/>
  <c r="AY66" i="54"/>
  <c r="AY209" i="54"/>
  <c r="AY79" i="54"/>
  <c r="AY157" i="54"/>
  <c r="AY326" i="54"/>
  <c r="AY313" i="54"/>
  <c r="AY404" i="54"/>
  <c r="AY143" i="54"/>
  <c r="AY130" i="54"/>
  <c r="AY208" i="54"/>
  <c r="AY117" i="54"/>
  <c r="AY234" i="54"/>
  <c r="AY390" i="54"/>
  <c r="AY299" i="54"/>
  <c r="AY224" i="54"/>
  <c r="AY68" i="54"/>
  <c r="AY237" i="54"/>
  <c r="AY120" i="54"/>
  <c r="AY198" i="54"/>
  <c r="AY354" i="54"/>
  <c r="AY263" i="54"/>
  <c r="AY83" i="54"/>
  <c r="AY213" i="54"/>
  <c r="AY122" i="54"/>
  <c r="AY70" i="54"/>
  <c r="AY239" i="54"/>
  <c r="AY174" i="54"/>
  <c r="AY226" i="54"/>
  <c r="AY382" i="54"/>
  <c r="AY49" i="54"/>
  <c r="AY127" i="54"/>
  <c r="AY153" i="54"/>
  <c r="AY296" i="54"/>
  <c r="AY205" i="54"/>
  <c r="AY257" i="54"/>
  <c r="AY361" i="54"/>
  <c r="AY28" i="54"/>
  <c r="AY197" i="54"/>
  <c r="AY93" i="54"/>
  <c r="AY80" i="54"/>
  <c r="AY236" i="54"/>
  <c r="AY340" i="54"/>
  <c r="AY288" i="54"/>
  <c r="AY366" i="54"/>
  <c r="AY121" i="54"/>
  <c r="AY251" i="54"/>
  <c r="AY134" i="54"/>
  <c r="AY199" i="54"/>
  <c r="AY381" i="54"/>
  <c r="AY264" i="54"/>
  <c r="AY277" i="54"/>
  <c r="AY154" i="54"/>
  <c r="AY245" i="54"/>
  <c r="AY310" i="54"/>
  <c r="AY193" i="54"/>
  <c r="AY180" i="54"/>
  <c r="AY375" i="54"/>
  <c r="AY206" i="54"/>
  <c r="AY336" i="54"/>
  <c r="AY293" i="54"/>
  <c r="AY189" i="54"/>
  <c r="AY306" i="54"/>
  <c r="AY176" i="54"/>
  <c r="AY254" i="54"/>
  <c r="AY202" i="54"/>
  <c r="AY332" i="54"/>
  <c r="AY123" i="54"/>
  <c r="AY136" i="54"/>
  <c r="AY175" i="54"/>
  <c r="AY162" i="54"/>
  <c r="AY149" i="54"/>
  <c r="AY266" i="54"/>
  <c r="AY370" i="54"/>
  <c r="AY73" i="54"/>
  <c r="AY34" i="54"/>
  <c r="AY190" i="54"/>
  <c r="AY99" i="54"/>
  <c r="AY216" i="54"/>
  <c r="AY372" i="54"/>
  <c r="AY333" i="54"/>
  <c r="AY139" i="54"/>
  <c r="AY217" i="54"/>
  <c r="AY22" i="54"/>
  <c r="AY100" i="54"/>
  <c r="AY191" i="54"/>
  <c r="AY269" i="54"/>
  <c r="AY74" i="54"/>
  <c r="AY347" i="54"/>
  <c r="AY25" i="54"/>
  <c r="AY155" i="54"/>
  <c r="AY246" i="54"/>
  <c r="AY129" i="54"/>
  <c r="AY259" i="54"/>
  <c r="AY220" i="54"/>
  <c r="AY389" i="54"/>
  <c r="AY27" i="54"/>
  <c r="AY183" i="54"/>
  <c r="AY131" i="54"/>
  <c r="AY235" i="54"/>
  <c r="AY287" i="54"/>
  <c r="AY352" i="54"/>
  <c r="AY261" i="54"/>
  <c r="AY39" i="54"/>
  <c r="AY273" i="54"/>
  <c r="AY78" i="54"/>
  <c r="AY286" i="54"/>
  <c r="AY221" i="54"/>
  <c r="AY403" i="54"/>
  <c r="AY364" i="54"/>
  <c r="AY351" i="54"/>
  <c r="AY42" i="54"/>
  <c r="AY16" i="54"/>
  <c r="AY172" i="54"/>
  <c r="AY250" i="54"/>
  <c r="AY185" i="54"/>
  <c r="AY276" i="54"/>
  <c r="AY302" i="54"/>
  <c r="AY393" i="54"/>
  <c r="AY31" i="54"/>
  <c r="AY109" i="54"/>
  <c r="AY265" i="54"/>
  <c r="AY44" i="54"/>
  <c r="AY330" i="54"/>
  <c r="AY317" i="54"/>
  <c r="AY395" i="54"/>
  <c r="AY101" i="54"/>
  <c r="AY283" i="54"/>
  <c r="AY140" i="54"/>
  <c r="AY23" i="54"/>
  <c r="AY374" i="54"/>
  <c r="AY192" i="54"/>
  <c r="AY244" i="54"/>
  <c r="AY400" i="54"/>
  <c r="AY119" i="54"/>
  <c r="AY249" i="54"/>
  <c r="AY132" i="54"/>
  <c r="AY171" i="54"/>
  <c r="AY223" i="54"/>
  <c r="AY262" i="54"/>
  <c r="AY405" i="54"/>
  <c r="AY69" i="54"/>
  <c r="AY17" i="54"/>
  <c r="AY108" i="54"/>
  <c r="AY82" i="54"/>
  <c r="AY316" i="54"/>
  <c r="AY303" i="54"/>
  <c r="AY355" i="54"/>
  <c r="AY37" i="54"/>
  <c r="AY24" i="54"/>
  <c r="AY89" i="54"/>
  <c r="AY76" i="54"/>
  <c r="AY219" i="54"/>
  <c r="AY271" i="54"/>
  <c r="AY349" i="54"/>
  <c r="AY323" i="54"/>
  <c r="AY46" i="54"/>
  <c r="AY33" i="54"/>
  <c r="AY228" i="54"/>
  <c r="AY111" i="54"/>
  <c r="AY163" i="54"/>
  <c r="AY345" i="54"/>
  <c r="AY319" i="54"/>
  <c r="AY19" i="54"/>
  <c r="AY71" i="54"/>
  <c r="AY58" i="54"/>
  <c r="AY279" i="54"/>
  <c r="AY357" i="54"/>
  <c r="AY188" i="54"/>
  <c r="AY344" i="54"/>
  <c r="AY112" i="54"/>
  <c r="AY60" i="54"/>
  <c r="AY268" i="54"/>
  <c r="AY138" i="54"/>
  <c r="AY164" i="54"/>
  <c r="AY320" i="54"/>
  <c r="AY294" i="54"/>
  <c r="AY48" i="54"/>
  <c r="AY282" i="54"/>
  <c r="AY165" i="54"/>
  <c r="AY243" i="54"/>
  <c r="AY204" i="54"/>
  <c r="AY321" i="54"/>
  <c r="AY113" i="54"/>
  <c r="AY373" i="54"/>
  <c r="AY142" i="54"/>
  <c r="AY116" i="54"/>
  <c r="AY64" i="54"/>
  <c r="AY233" i="54"/>
  <c r="AY311" i="54"/>
  <c r="AY298" i="54"/>
  <c r="AY376" i="54"/>
  <c r="AY92" i="54"/>
  <c r="AY300" i="54"/>
  <c r="AY196" i="54"/>
  <c r="AY118" i="54"/>
  <c r="AY248" i="54"/>
  <c r="AY339" i="54"/>
  <c r="AY391" i="54"/>
  <c r="AY91" i="54"/>
  <c r="AY26" i="54"/>
  <c r="AY104" i="54"/>
  <c r="AY156" i="54"/>
  <c r="AY195" i="54"/>
  <c r="AY260" i="54"/>
  <c r="AY325" i="54"/>
  <c r="AY377" i="54"/>
  <c r="AY107" i="54"/>
  <c r="AY29" i="54"/>
  <c r="AY211" i="54"/>
  <c r="AY367" i="54"/>
  <c r="AY328" i="54"/>
  <c r="AY146" i="54"/>
  <c r="AY380" i="54"/>
  <c r="AY341" i="54"/>
  <c r="AY18" i="54"/>
  <c r="AY148" i="54"/>
  <c r="AY57" i="54"/>
  <c r="AY200" i="54"/>
  <c r="AY187" i="54"/>
  <c r="AY291" i="54"/>
  <c r="AY369" i="54"/>
  <c r="AY179" i="54"/>
  <c r="AY166" i="54"/>
  <c r="AY75" i="54"/>
  <c r="AY88" i="54"/>
  <c r="AY322" i="54"/>
  <c r="AY335" i="54"/>
  <c r="AY270" i="54"/>
  <c r="AY348" i="54"/>
  <c r="AY54" i="54"/>
  <c r="AY145" i="54"/>
  <c r="AY41" i="54"/>
  <c r="AY158" i="54"/>
  <c r="AY314" i="54"/>
  <c r="AY275" i="54"/>
  <c r="AY379" i="54"/>
  <c r="AE103" i="54"/>
  <c r="AE64" i="54"/>
  <c r="AE259" i="54"/>
  <c r="AE317" i="54"/>
  <c r="AE86" i="54"/>
  <c r="AE73" i="54"/>
  <c r="AE183" i="54"/>
  <c r="AE27" i="54"/>
  <c r="AE85" i="54"/>
  <c r="AE46" i="54"/>
  <c r="AE241" i="54"/>
  <c r="AE68" i="54"/>
  <c r="AE55" i="54"/>
  <c r="AE335" i="54"/>
  <c r="AE147" i="54"/>
  <c r="AE225" i="54"/>
  <c r="AE165" i="54"/>
  <c r="AE91" i="54"/>
  <c r="AE104" i="54"/>
  <c r="AO264" i="54"/>
  <c r="AO252" i="54"/>
  <c r="AO179" i="54"/>
  <c r="AO88" i="54"/>
  <c r="AE123" i="54"/>
  <c r="AE58" i="54"/>
  <c r="AE32" i="54"/>
  <c r="AE136" i="54"/>
  <c r="AE214" i="54"/>
  <c r="AE71" i="54"/>
  <c r="AE97" i="54"/>
  <c r="AE162" i="54"/>
  <c r="AE19" i="54"/>
  <c r="AE84" i="54"/>
  <c r="AE201" i="54"/>
  <c r="AE149" i="54"/>
  <c r="AE45" i="54"/>
  <c r="AE110" i="54"/>
  <c r="AE188" i="54"/>
  <c r="AE175" i="54"/>
  <c r="AE331" i="54"/>
  <c r="AE370" i="54"/>
  <c r="AE253" i="54"/>
  <c r="AE318" i="54"/>
  <c r="AE266" i="54"/>
  <c r="AE292" i="54"/>
  <c r="AE240" i="54"/>
  <c r="AE227" i="54"/>
  <c r="AE279" i="54"/>
  <c r="AE357" i="54"/>
  <c r="AE396" i="54"/>
  <c r="AE383" i="54"/>
  <c r="AE305" i="54"/>
  <c r="AE344" i="54"/>
  <c r="AE51" i="54"/>
  <c r="AE142" i="54"/>
  <c r="AE129" i="54"/>
  <c r="AE220" i="54"/>
  <c r="AE337" i="54"/>
  <c r="AE77" i="54"/>
  <c r="AE181" i="54"/>
  <c r="AE25" i="54"/>
  <c r="AE155" i="54"/>
  <c r="AE116" i="54"/>
  <c r="AE194" i="54"/>
  <c r="AE90" i="54"/>
  <c r="AE168" i="54"/>
  <c r="AE38" i="54"/>
  <c r="AE207" i="54"/>
  <c r="AE285" i="54"/>
  <c r="AE246" i="54"/>
  <c r="AE324" i="54"/>
  <c r="AE272" i="54"/>
  <c r="AE376" i="54"/>
  <c r="AE298" i="54"/>
  <c r="AE233" i="54"/>
  <c r="AE402" i="54"/>
  <c r="AE363" i="54"/>
  <c r="AE389" i="54"/>
  <c r="AE311" i="54"/>
  <c r="AE350" i="54"/>
  <c r="AE57" i="54"/>
  <c r="AE200" i="54"/>
  <c r="AE83" i="54"/>
  <c r="AE44" i="54"/>
  <c r="AE187" i="54"/>
  <c r="AE161" i="54"/>
  <c r="AE135" i="54"/>
  <c r="AE239" i="54"/>
  <c r="AE18" i="54"/>
  <c r="AE96" i="54"/>
  <c r="AE174" i="54"/>
  <c r="AE148" i="54"/>
  <c r="AE356" i="54"/>
  <c r="AE31" i="54"/>
  <c r="AE70" i="54"/>
  <c r="AE122" i="54"/>
  <c r="AE109" i="54"/>
  <c r="AE213" i="54"/>
  <c r="AE304" i="54"/>
  <c r="AE265" i="54"/>
  <c r="AE278" i="54"/>
  <c r="AE330" i="54"/>
  <c r="AE226" i="54"/>
  <c r="AE343" i="54"/>
  <c r="AE252" i="54"/>
  <c r="AE291" i="54"/>
  <c r="AE369" i="54"/>
  <c r="AE382" i="54"/>
  <c r="AE395" i="54"/>
  <c r="AE21" i="54"/>
  <c r="AE112" i="54"/>
  <c r="AE190" i="54"/>
  <c r="AE177" i="54"/>
  <c r="AE60" i="54"/>
  <c r="AE34" i="54"/>
  <c r="AE203" i="54"/>
  <c r="AE47" i="54"/>
  <c r="AE138" i="54"/>
  <c r="AE125" i="54"/>
  <c r="AE99" i="54"/>
  <c r="AE164" i="54"/>
  <c r="AE151" i="54"/>
  <c r="AE281" i="54"/>
  <c r="AE398" i="54"/>
  <c r="AE242" i="54"/>
  <c r="AE216" i="54"/>
  <c r="AE294" i="54"/>
  <c r="AE229" i="54"/>
  <c r="AE255" i="54"/>
  <c r="AE333" i="54"/>
  <c r="AE268" i="54"/>
  <c r="AE372" i="54"/>
  <c r="AE307" i="54"/>
  <c r="AE346" i="54"/>
  <c r="AE320" i="54"/>
  <c r="AE359" i="54"/>
  <c r="AE385" i="54"/>
  <c r="AE157" i="54"/>
  <c r="AE40" i="54"/>
  <c r="AE53" i="54"/>
  <c r="AE131" i="54"/>
  <c r="AE105" i="54"/>
  <c r="AE300" i="54"/>
  <c r="AE79" i="54"/>
  <c r="AE144" i="54"/>
  <c r="AE209" i="54"/>
  <c r="AE274" i="54"/>
  <c r="AE66" i="54"/>
  <c r="AE92" i="54"/>
  <c r="AE170" i="54"/>
  <c r="AE118" i="54"/>
  <c r="AE196" i="54"/>
  <c r="AE222" i="54"/>
  <c r="AE287" i="54"/>
  <c r="AE235" i="54"/>
  <c r="AE365" i="54"/>
  <c r="AE339" i="54"/>
  <c r="AE378" i="54"/>
  <c r="AE326" i="54"/>
  <c r="AE261" i="54"/>
  <c r="AE248" i="54"/>
  <c r="AE391" i="54"/>
  <c r="AE313" i="54"/>
  <c r="AE352" i="54"/>
  <c r="AE404" i="54"/>
  <c r="AE33" i="54"/>
  <c r="AE72" i="54"/>
  <c r="AE124" i="54"/>
  <c r="AE111" i="54"/>
  <c r="AE319" i="54"/>
  <c r="AE189" i="54"/>
  <c r="AE59" i="54"/>
  <c r="AE163" i="54"/>
  <c r="AE137" i="54"/>
  <c r="AE254" i="54"/>
  <c r="AE20" i="54"/>
  <c r="AE98" i="54"/>
  <c r="AE176" i="54"/>
  <c r="AE150" i="54"/>
  <c r="AE202" i="54"/>
  <c r="AE371" i="54"/>
  <c r="AE215" i="54"/>
  <c r="AE306" i="54"/>
  <c r="AE267" i="54"/>
  <c r="AE280" i="54"/>
  <c r="AE345" i="54"/>
  <c r="AE384" i="54"/>
  <c r="AE228" i="54"/>
  <c r="AE358" i="54"/>
  <c r="AE397" i="54"/>
  <c r="AE293" i="54"/>
  <c r="AE332" i="54"/>
  <c r="AE42" i="54"/>
  <c r="AE159" i="54"/>
  <c r="AE133" i="54"/>
  <c r="AE224" i="54"/>
  <c r="AE211" i="54"/>
  <c r="AE185" i="54"/>
  <c r="AE16" i="54"/>
  <c r="AE94" i="54"/>
  <c r="AE172" i="54"/>
  <c r="AE146" i="54"/>
  <c r="AE198" i="54"/>
  <c r="AE237" i="54"/>
  <c r="AE29" i="54"/>
  <c r="AE120" i="54"/>
  <c r="AE107" i="54"/>
  <c r="AE81" i="54"/>
  <c r="AE250" i="54"/>
  <c r="AE380" i="54"/>
  <c r="AE289" i="54"/>
  <c r="AE341" i="54"/>
  <c r="AE315" i="54"/>
  <c r="AE354" i="54"/>
  <c r="AE302" i="54"/>
  <c r="AE263" i="54"/>
  <c r="AE328" i="54"/>
  <c r="AE367" i="54"/>
  <c r="AE276" i="54"/>
  <c r="AE393" i="54"/>
  <c r="AE140" i="54"/>
  <c r="AE153" i="54"/>
  <c r="AE75" i="54"/>
  <c r="AE244" i="54"/>
  <c r="AE23" i="54"/>
  <c r="AE114" i="54"/>
  <c r="AE192" i="54"/>
  <c r="AE179" i="54"/>
  <c r="AE374" i="54"/>
  <c r="AE88" i="54"/>
  <c r="AE62" i="54"/>
  <c r="AE36" i="54"/>
  <c r="AE205" i="54"/>
  <c r="AE218" i="54"/>
  <c r="AE49" i="54"/>
  <c r="AE127" i="54"/>
  <c r="AE101" i="54"/>
  <c r="AE166" i="54"/>
  <c r="AE257" i="54"/>
  <c r="AE296" i="54"/>
  <c r="AE270" i="54"/>
  <c r="AE283" i="54"/>
  <c r="AE361" i="54"/>
  <c r="AE309" i="54"/>
  <c r="AE348" i="54"/>
  <c r="AE387" i="54"/>
  <c r="AE231" i="54"/>
  <c r="AE322" i="54"/>
  <c r="AE400" i="54"/>
  <c r="AE41" i="54"/>
  <c r="AE80" i="54"/>
  <c r="AE119" i="54"/>
  <c r="AE262" i="54"/>
  <c r="AE223" i="54"/>
  <c r="AE93" i="54"/>
  <c r="AE171" i="54"/>
  <c r="AE132" i="54"/>
  <c r="AE54" i="54"/>
  <c r="AE197" i="54"/>
  <c r="AE184" i="54"/>
  <c r="AE67" i="54"/>
  <c r="AE28" i="54"/>
  <c r="AE106" i="54"/>
  <c r="AE158" i="54"/>
  <c r="AE145" i="54"/>
  <c r="AE366" i="54"/>
  <c r="AE275" i="54"/>
  <c r="AE249" i="54"/>
  <c r="AE327" i="54"/>
  <c r="AE314" i="54"/>
  <c r="AE236" i="54"/>
  <c r="AE353" i="54"/>
  <c r="AE288" i="54"/>
  <c r="AE210" i="54"/>
  <c r="AE379" i="54"/>
  <c r="AE405" i="54"/>
  <c r="AE301" i="54"/>
  <c r="AE340" i="54"/>
  <c r="AE392" i="54"/>
  <c r="AE69" i="54"/>
  <c r="AE95" i="54"/>
  <c r="AE160" i="54"/>
  <c r="AE17" i="54"/>
  <c r="AE56" i="54"/>
  <c r="AE212" i="54"/>
  <c r="AE251" i="54"/>
  <c r="AE82" i="54"/>
  <c r="AE43" i="54"/>
  <c r="AE121" i="54"/>
  <c r="AE108" i="54"/>
  <c r="AE186" i="54"/>
  <c r="AE173" i="54"/>
  <c r="AE134" i="54"/>
  <c r="AE30" i="54"/>
  <c r="AE199" i="54"/>
  <c r="AE264" i="54"/>
  <c r="AE238" i="54"/>
  <c r="AE355" i="54"/>
  <c r="AE368" i="54"/>
  <c r="AE290" i="54"/>
  <c r="AE329" i="54"/>
  <c r="AE277" i="54"/>
  <c r="AE394" i="54"/>
  <c r="AE316" i="54"/>
  <c r="AE381" i="54"/>
  <c r="AE342" i="54"/>
  <c r="AE303" i="54"/>
  <c r="AE100" i="54"/>
  <c r="AE35" i="54"/>
  <c r="AE61" i="54"/>
  <c r="AE360" i="54"/>
  <c r="AE373" i="54"/>
  <c r="AE295" i="54"/>
  <c r="AE178" i="54"/>
  <c r="AE74" i="54"/>
  <c r="AE87" i="54"/>
  <c r="AE139" i="54"/>
  <c r="AE256" i="54"/>
  <c r="AE243" i="54"/>
  <c r="AE269" i="54"/>
  <c r="AE22" i="54"/>
  <c r="AE230" i="54"/>
  <c r="AE217" i="54"/>
  <c r="AE126" i="54"/>
  <c r="AE204" i="54"/>
  <c r="AE386" i="54"/>
  <c r="AE308" i="54"/>
  <c r="AE282" i="54"/>
  <c r="AE191" i="54"/>
  <c r="AE152" i="54"/>
  <c r="AE113" i="54"/>
  <c r="AE48" i="54"/>
  <c r="AE321" i="54"/>
  <c r="AE334" i="54"/>
  <c r="AE347" i="54"/>
  <c r="AE399" i="54"/>
  <c r="AE76" i="54"/>
  <c r="AE50" i="54"/>
  <c r="AE141" i="54"/>
  <c r="AE24" i="54"/>
  <c r="AE102" i="54"/>
  <c r="AE180" i="54"/>
  <c r="AE154" i="54"/>
  <c r="AE37" i="54"/>
  <c r="AE193" i="54"/>
  <c r="AE232" i="54"/>
  <c r="AE115" i="54"/>
  <c r="AE219" i="54"/>
  <c r="AE63" i="54"/>
  <c r="AE89" i="54"/>
  <c r="AE167" i="54"/>
  <c r="AE128" i="54"/>
  <c r="AE245" i="54"/>
  <c r="AE258" i="54"/>
  <c r="AE323" i="54"/>
  <c r="AE362" i="54"/>
  <c r="AE349" i="54"/>
  <c r="AE297" i="54"/>
  <c r="AE388" i="54"/>
  <c r="AE206" i="54"/>
  <c r="AE271" i="54"/>
  <c r="AE336" i="54"/>
  <c r="AE375" i="54"/>
  <c r="AE310" i="54"/>
  <c r="AE284" i="54"/>
  <c r="AE401" i="54"/>
  <c r="AE169" i="54"/>
  <c r="AE130" i="54"/>
  <c r="AE247" i="54"/>
  <c r="AE78" i="54"/>
  <c r="AE52" i="54"/>
  <c r="AE182" i="54"/>
  <c r="AE65" i="54"/>
  <c r="AE195" i="54"/>
  <c r="AE26" i="54"/>
  <c r="AE156" i="54"/>
  <c r="AE143" i="54"/>
  <c r="AE39" i="54"/>
  <c r="AE117" i="54"/>
  <c r="AE312" i="54"/>
  <c r="AE234" i="54"/>
  <c r="AE351" i="54"/>
  <c r="AE299" i="54"/>
  <c r="AE260" i="54"/>
  <c r="AE325" i="54"/>
  <c r="AE208" i="54"/>
  <c r="AE286" i="54"/>
  <c r="AE364" i="54"/>
  <c r="AE221" i="54"/>
  <c r="AE390" i="54"/>
  <c r="AE338" i="54"/>
  <c r="AE273" i="54"/>
  <c r="AE377" i="54"/>
  <c r="AE403" i="54"/>
  <c r="AO121" i="54"/>
  <c r="AO381" i="54"/>
  <c r="AO329" i="54"/>
  <c r="AO173" i="54"/>
  <c r="AO277" i="54"/>
  <c r="AO394" i="54"/>
  <c r="AO186" i="54"/>
  <c r="AO355" i="54"/>
  <c r="AO147" i="54"/>
  <c r="AO316" i="54"/>
  <c r="AO56" i="54"/>
  <c r="AO69" i="54"/>
  <c r="AO82" i="54"/>
  <c r="AO368" i="54"/>
  <c r="AO238" i="54"/>
  <c r="AO199" i="54"/>
  <c r="AO160" i="54"/>
  <c r="AO108" i="54"/>
  <c r="AO225" i="54"/>
  <c r="AO290" i="54"/>
  <c r="AO251" i="54"/>
  <c r="AO43" i="54"/>
  <c r="AO212" i="54"/>
  <c r="AO342" i="54"/>
  <c r="AO134" i="54"/>
  <c r="AO303" i="54"/>
  <c r="AO95" i="54"/>
  <c r="AO17" i="54"/>
  <c r="AO30" i="54"/>
  <c r="AO159" i="54"/>
  <c r="AO380" i="54"/>
  <c r="AO211" i="54"/>
  <c r="AO315" i="54"/>
  <c r="AO367" i="54"/>
  <c r="AO393" i="54"/>
  <c r="AO224" i="54"/>
  <c r="AO185" i="54"/>
  <c r="AO354" i="54"/>
  <c r="AO146" i="54"/>
  <c r="AO94" i="54"/>
  <c r="AO107" i="54"/>
  <c r="AO276" i="54"/>
  <c r="AO237" i="54"/>
  <c r="AO198" i="54"/>
  <c r="AO328" i="54"/>
  <c r="AO120" i="54"/>
  <c r="AO29" i="54"/>
  <c r="AO289" i="54"/>
  <c r="AO250" i="54"/>
  <c r="AO16" i="54"/>
  <c r="AO263" i="54"/>
  <c r="AO172" i="54"/>
  <c r="AO341" i="54"/>
  <c r="AO133" i="54"/>
  <c r="AO81" i="54"/>
  <c r="AO302" i="54"/>
  <c r="AO42" i="54"/>
  <c r="AO55" i="54"/>
  <c r="AO68" i="54"/>
  <c r="AO239" i="54"/>
  <c r="AO291" i="54"/>
  <c r="AO395" i="54"/>
  <c r="AO343" i="54"/>
  <c r="AO135" i="54"/>
  <c r="AO356" i="54"/>
  <c r="AO148" i="54"/>
  <c r="AO317" i="54"/>
  <c r="AO278" i="54"/>
  <c r="AO18" i="54"/>
  <c r="AO31" i="54"/>
  <c r="AO44" i="54"/>
  <c r="AO382" i="54"/>
  <c r="AO187" i="54"/>
  <c r="AO109" i="54"/>
  <c r="AO200" i="54"/>
  <c r="AO369" i="54"/>
  <c r="AO161" i="54"/>
  <c r="AO330" i="54"/>
  <c r="AO122" i="54"/>
  <c r="AO70" i="54"/>
  <c r="AO83" i="54"/>
  <c r="AO96" i="54"/>
  <c r="AO213" i="54"/>
  <c r="AO174" i="54"/>
  <c r="AO57" i="54"/>
  <c r="AO304" i="54"/>
  <c r="AO265" i="54"/>
  <c r="AO226" i="54"/>
  <c r="AO305" i="54"/>
  <c r="AO71" i="54"/>
  <c r="AO383" i="54"/>
  <c r="AO201" i="54"/>
  <c r="AO253" i="54"/>
  <c r="AO149" i="54"/>
  <c r="AO318" i="54"/>
  <c r="AO279" i="54"/>
  <c r="AO240" i="54"/>
  <c r="AO357" i="54"/>
  <c r="AO370" i="54"/>
  <c r="AO162" i="54"/>
  <c r="AO331" i="54"/>
  <c r="AO123" i="54"/>
  <c r="AO292" i="54"/>
  <c r="AO19" i="54"/>
  <c r="AO32" i="54"/>
  <c r="AO45" i="54"/>
  <c r="AO58" i="54"/>
  <c r="AO396" i="54"/>
  <c r="AO214" i="54"/>
  <c r="AO175" i="54"/>
  <c r="AO344" i="54"/>
  <c r="AO136" i="54"/>
  <c r="AO84" i="54"/>
  <c r="AO97" i="54"/>
  <c r="AO110" i="54"/>
  <c r="AO266" i="54"/>
  <c r="AO227" i="54"/>
  <c r="AO188" i="54"/>
  <c r="AO309" i="54"/>
  <c r="AO387" i="54"/>
  <c r="AO361" i="54"/>
  <c r="AO257" i="54"/>
  <c r="AO153" i="54"/>
  <c r="AO374" i="54"/>
  <c r="AO166" i="54"/>
  <c r="AO335" i="54"/>
  <c r="AO127" i="54"/>
  <c r="AO296" i="54"/>
  <c r="AO36" i="54"/>
  <c r="AO49" i="54"/>
  <c r="AO62" i="54"/>
  <c r="AO400" i="54"/>
  <c r="AO205" i="54"/>
  <c r="AO218" i="54"/>
  <c r="AO23" i="54"/>
  <c r="AO348" i="54"/>
  <c r="AO140" i="54"/>
  <c r="AO101" i="54"/>
  <c r="AO114" i="54"/>
  <c r="AO270" i="54"/>
  <c r="AO231" i="54"/>
  <c r="AO192" i="54"/>
  <c r="AO75" i="54"/>
  <c r="AO322" i="54"/>
  <c r="AO283" i="54"/>
  <c r="AO244" i="54"/>
  <c r="AO181" i="54"/>
  <c r="AO402" i="54"/>
  <c r="AO233" i="54"/>
  <c r="AO51" i="54"/>
  <c r="AO389" i="54"/>
  <c r="AO285" i="54"/>
  <c r="AO376" i="54"/>
  <c r="AO337" i="54"/>
  <c r="AO298" i="54"/>
  <c r="AO259" i="54"/>
  <c r="AO220" i="54"/>
  <c r="AO350" i="54"/>
  <c r="AO142" i="54"/>
  <c r="AO311" i="54"/>
  <c r="AO272" i="54"/>
  <c r="AO25" i="54"/>
  <c r="AO38" i="54"/>
  <c r="AO194" i="54"/>
  <c r="AO363" i="54"/>
  <c r="AO155" i="54"/>
  <c r="AO324" i="54"/>
  <c r="AO64" i="54"/>
  <c r="AO77" i="54"/>
  <c r="AO90" i="54"/>
  <c r="AO129" i="54"/>
  <c r="AO246" i="54"/>
  <c r="AO103" i="54"/>
  <c r="AO207" i="54"/>
  <c r="AO168" i="54"/>
  <c r="AO116" i="54"/>
  <c r="AO327" i="54"/>
  <c r="AO405" i="54"/>
  <c r="AO379" i="54"/>
  <c r="AO171" i="54"/>
  <c r="AO275" i="54"/>
  <c r="AO392" i="54"/>
  <c r="AO184" i="54"/>
  <c r="AO353" i="54"/>
  <c r="AO145" i="54"/>
  <c r="AO314" i="54"/>
  <c r="AO54" i="54"/>
  <c r="AO67" i="54"/>
  <c r="AO80" i="54"/>
  <c r="AO223" i="54"/>
  <c r="AO236" i="54"/>
  <c r="AO197" i="54"/>
  <c r="AO41" i="54"/>
  <c r="AO366" i="54"/>
  <c r="AO158" i="54"/>
  <c r="AO106" i="54"/>
  <c r="AO119" i="54"/>
  <c r="AO288" i="54"/>
  <c r="AO249" i="54"/>
  <c r="AO210" i="54"/>
  <c r="AO93" i="54"/>
  <c r="AO340" i="54"/>
  <c r="AO132" i="54"/>
  <c r="AO301" i="54"/>
  <c r="AO262" i="54"/>
  <c r="AO28" i="54"/>
  <c r="AO125" i="54"/>
  <c r="AO385" i="54"/>
  <c r="AO372" i="54"/>
  <c r="AO177" i="54"/>
  <c r="AO333" i="54"/>
  <c r="AO398" i="54"/>
  <c r="AO229" i="54"/>
  <c r="AO242" i="54"/>
  <c r="AO203" i="54"/>
  <c r="AO164" i="54"/>
  <c r="AO112" i="54"/>
  <c r="AO294" i="54"/>
  <c r="AO255" i="54"/>
  <c r="AO216" i="54"/>
  <c r="AO346" i="54"/>
  <c r="AO138" i="54"/>
  <c r="AO47" i="54"/>
  <c r="AO307" i="54"/>
  <c r="AO268" i="54"/>
  <c r="AO21" i="54"/>
  <c r="AO34" i="54"/>
  <c r="AO281" i="54"/>
  <c r="AO190" i="54"/>
  <c r="AO359" i="54"/>
  <c r="AO151" i="54"/>
  <c r="AO99" i="54"/>
  <c r="AO320" i="54"/>
  <c r="AO60" i="54"/>
  <c r="AO73" i="54"/>
  <c r="AO86" i="54"/>
  <c r="AO388" i="54"/>
  <c r="AO323" i="54"/>
  <c r="AO401" i="54"/>
  <c r="AO219" i="54"/>
  <c r="AO375" i="54"/>
  <c r="AO271" i="54"/>
  <c r="AO89" i="54"/>
  <c r="AO167" i="54"/>
  <c r="AO336" i="54"/>
  <c r="AO128" i="54"/>
  <c r="AO297" i="54"/>
  <c r="AO258" i="54"/>
  <c r="AO24" i="54"/>
  <c r="AO180" i="54"/>
  <c r="AO349" i="54"/>
  <c r="AO141" i="54"/>
  <c r="AO310" i="54"/>
  <c r="AO37" i="54"/>
  <c r="AO50" i="54"/>
  <c r="AO63" i="54"/>
  <c r="AO76" i="54"/>
  <c r="AO232" i="54"/>
  <c r="AO193" i="54"/>
  <c r="AO362" i="54"/>
  <c r="AO154" i="54"/>
  <c r="AO102" i="54"/>
  <c r="AO115" i="54"/>
  <c r="AO284" i="54"/>
  <c r="AO245" i="54"/>
  <c r="AO206" i="54"/>
  <c r="AO313" i="54"/>
  <c r="AO157" i="54"/>
  <c r="AO365" i="54"/>
  <c r="AO209" i="54"/>
  <c r="AO391" i="54"/>
  <c r="AO404" i="54"/>
  <c r="AO222" i="54"/>
  <c r="AO183" i="54"/>
  <c r="AO352" i="54"/>
  <c r="AO144" i="54"/>
  <c r="AO92" i="54"/>
  <c r="AO105" i="54"/>
  <c r="AO118" i="54"/>
  <c r="AO274" i="54"/>
  <c r="AO27" i="54"/>
  <c r="AO235" i="54"/>
  <c r="AO196" i="54"/>
  <c r="AO261" i="54"/>
  <c r="AO326" i="54"/>
  <c r="AO287" i="54"/>
  <c r="AO79" i="54"/>
  <c r="AO248" i="54"/>
  <c r="AO378" i="54"/>
  <c r="AO170" i="54"/>
  <c r="AO339" i="54"/>
  <c r="AO131" i="54"/>
  <c r="AO300" i="54"/>
  <c r="AO40" i="54"/>
  <c r="AO53" i="54"/>
  <c r="AO66" i="54"/>
  <c r="AO384" i="54"/>
  <c r="AO371" i="54"/>
  <c r="AO163" i="54"/>
  <c r="AO215" i="54"/>
  <c r="AO397" i="54"/>
  <c r="AO33" i="54"/>
  <c r="AO267" i="54"/>
  <c r="AO319" i="54"/>
  <c r="AO280" i="54"/>
  <c r="AO241" i="54"/>
  <c r="AO202" i="54"/>
  <c r="AO332" i="54"/>
  <c r="AO124" i="54"/>
  <c r="AO293" i="54"/>
  <c r="AO254" i="54"/>
  <c r="AO20" i="54"/>
  <c r="AO176" i="54"/>
  <c r="AO345" i="54"/>
  <c r="AO137" i="54"/>
  <c r="AO306" i="54"/>
  <c r="AO46" i="54"/>
  <c r="AO59" i="54"/>
  <c r="AO72" i="54"/>
  <c r="AO228" i="54"/>
  <c r="AO85" i="54"/>
  <c r="AO189" i="54"/>
  <c r="AO358" i="54"/>
  <c r="AO150" i="54"/>
  <c r="AO98" i="54"/>
  <c r="AO111" i="54"/>
  <c r="AO143" i="54"/>
  <c r="AO403" i="54"/>
  <c r="AO351" i="54"/>
  <c r="AO195" i="54"/>
  <c r="AO247" i="54"/>
  <c r="AO260" i="54"/>
  <c r="AO221" i="54"/>
  <c r="AO182" i="54"/>
  <c r="AO312" i="54"/>
  <c r="AO273" i="54"/>
  <c r="AO234" i="54"/>
  <c r="AO364" i="54"/>
  <c r="AO156" i="54"/>
  <c r="AO65" i="54"/>
  <c r="AO325" i="54"/>
  <c r="AO286" i="54"/>
  <c r="AO26" i="54"/>
  <c r="AO39" i="54"/>
  <c r="AO52" i="54"/>
  <c r="AO390" i="54"/>
  <c r="AO299" i="54"/>
  <c r="AO208" i="54"/>
  <c r="AO377" i="54"/>
  <c r="AO169" i="54"/>
  <c r="AO117" i="54"/>
  <c r="AO338" i="54"/>
  <c r="AO130" i="54"/>
  <c r="AO78" i="54"/>
  <c r="AO91" i="54"/>
  <c r="AO104" i="54"/>
  <c r="AO399" i="54"/>
  <c r="AO204" i="54"/>
  <c r="AO126" i="54"/>
  <c r="AO256" i="54"/>
  <c r="AO308" i="54"/>
  <c r="AO360" i="54"/>
  <c r="AO113" i="54"/>
  <c r="AO347" i="54"/>
  <c r="AO373" i="54"/>
  <c r="AO74" i="54"/>
  <c r="AO217" i="54"/>
  <c r="AO269" i="54"/>
  <c r="AO152" i="54"/>
  <c r="AO22" i="54"/>
  <c r="AO139" i="54"/>
  <c r="AO191" i="54"/>
  <c r="AO165" i="54"/>
  <c r="AO87" i="54"/>
  <c r="AO178" i="54"/>
  <c r="AO61" i="54"/>
  <c r="AO321" i="54"/>
  <c r="AO35" i="54"/>
  <c r="AO295" i="54"/>
  <c r="AO386" i="54"/>
  <c r="AO334" i="54"/>
  <c r="AO100" i="54"/>
  <c r="AO243" i="54"/>
  <c r="AO230" i="54"/>
  <c r="AO282" i="54"/>
  <c r="AO48" i="54"/>
  <c r="K368" i="54"/>
  <c r="K303" i="54"/>
  <c r="K264" i="54"/>
  <c r="K225" i="54"/>
  <c r="K95" i="54"/>
  <c r="K56" i="54"/>
  <c r="K121" i="54"/>
  <c r="K134" i="54"/>
  <c r="K290" i="54"/>
  <c r="K355" i="54"/>
  <c r="K316" i="54"/>
  <c r="K277" i="54"/>
  <c r="K173" i="54"/>
  <c r="K147" i="54"/>
  <c r="K108" i="54"/>
  <c r="K342" i="54"/>
  <c r="K238" i="54"/>
  <c r="K186" i="54"/>
  <c r="K30" i="54"/>
  <c r="K329" i="54"/>
  <c r="K199" i="54"/>
  <c r="K160" i="54"/>
  <c r="K394" i="54"/>
  <c r="K251" i="54"/>
  <c r="K212" i="54"/>
  <c r="K381" i="54"/>
  <c r="K82" i="54"/>
  <c r="K43" i="54"/>
  <c r="K17" i="54"/>
  <c r="K69" i="54"/>
  <c r="K354" i="54"/>
  <c r="K380" i="54"/>
  <c r="K341" i="54"/>
  <c r="K302" i="54"/>
  <c r="K263" i="54"/>
  <c r="K120" i="54"/>
  <c r="K133" i="54"/>
  <c r="K94" i="54"/>
  <c r="K224" i="54"/>
  <c r="K393" i="54"/>
  <c r="K315" i="54"/>
  <c r="K185" i="54"/>
  <c r="K146" i="54"/>
  <c r="K328" i="54"/>
  <c r="K237" i="54"/>
  <c r="K16" i="54"/>
  <c r="K367" i="54"/>
  <c r="K29" i="54"/>
  <c r="K198" i="54"/>
  <c r="K159" i="54"/>
  <c r="K276" i="54"/>
  <c r="K172" i="54"/>
  <c r="K289" i="54"/>
  <c r="K250" i="54"/>
  <c r="K211" i="54"/>
  <c r="K68" i="54"/>
  <c r="K81" i="54"/>
  <c r="K42" i="54"/>
  <c r="K55" i="54"/>
  <c r="K107" i="54"/>
  <c r="K114" i="54"/>
  <c r="K400" i="54"/>
  <c r="K322" i="54"/>
  <c r="K270" i="54"/>
  <c r="K283" i="54"/>
  <c r="K244" i="54"/>
  <c r="K75" i="54"/>
  <c r="K36" i="54"/>
  <c r="K218" i="54"/>
  <c r="K374" i="54"/>
  <c r="K335" i="54"/>
  <c r="K166" i="54"/>
  <c r="K296" i="54"/>
  <c r="K257" i="54"/>
  <c r="K127" i="54"/>
  <c r="K88" i="54"/>
  <c r="K348" i="54"/>
  <c r="K387" i="54"/>
  <c r="K205" i="54"/>
  <c r="K309" i="54"/>
  <c r="K62" i="54"/>
  <c r="K179" i="54"/>
  <c r="K140" i="54"/>
  <c r="K231" i="54"/>
  <c r="K361" i="54"/>
  <c r="K23" i="54"/>
  <c r="K192" i="54"/>
  <c r="K49" i="54"/>
  <c r="K101" i="54"/>
  <c r="K153" i="54"/>
  <c r="K246" i="54"/>
  <c r="K142" i="54"/>
  <c r="K337" i="54"/>
  <c r="K181" i="54"/>
  <c r="K207" i="54"/>
  <c r="K168" i="54"/>
  <c r="K350" i="54"/>
  <c r="K38" i="54"/>
  <c r="K259" i="54"/>
  <c r="K220" i="54"/>
  <c r="K194" i="54"/>
  <c r="K389" i="54"/>
  <c r="K51" i="54"/>
  <c r="K298" i="54"/>
  <c r="K402" i="54"/>
  <c r="K311" i="54"/>
  <c r="K272" i="54"/>
  <c r="K233" i="54"/>
  <c r="K103" i="54"/>
  <c r="K64" i="54"/>
  <c r="K376" i="54"/>
  <c r="K363" i="54"/>
  <c r="K90" i="54"/>
  <c r="K324" i="54"/>
  <c r="K285" i="54"/>
  <c r="K155" i="54"/>
  <c r="K116" i="54"/>
  <c r="K129" i="54"/>
  <c r="K25" i="54"/>
  <c r="K77" i="54"/>
  <c r="K372" i="54"/>
  <c r="K398" i="54"/>
  <c r="K346" i="54"/>
  <c r="K359" i="54"/>
  <c r="K320" i="54"/>
  <c r="K281" i="54"/>
  <c r="K138" i="54"/>
  <c r="K151" i="54"/>
  <c r="K112" i="54"/>
  <c r="K73" i="54"/>
  <c r="K242" i="54"/>
  <c r="K190" i="54"/>
  <c r="K177" i="54"/>
  <c r="K333" i="54"/>
  <c r="K203" i="54"/>
  <c r="K164" i="54"/>
  <c r="K255" i="54"/>
  <c r="K34" i="54"/>
  <c r="K216" i="54"/>
  <c r="K385" i="54"/>
  <c r="K47" i="54"/>
  <c r="K294" i="54"/>
  <c r="K307" i="54"/>
  <c r="K268" i="54"/>
  <c r="K86" i="54"/>
  <c r="K229" i="54"/>
  <c r="K99" i="54"/>
  <c r="K60" i="54"/>
  <c r="K125" i="54"/>
  <c r="K21" i="54"/>
  <c r="K284" i="54"/>
  <c r="K362" i="54"/>
  <c r="K76" i="54"/>
  <c r="K245" i="54"/>
  <c r="K128" i="54"/>
  <c r="K375" i="54"/>
  <c r="K37" i="54"/>
  <c r="K206" i="54"/>
  <c r="K297" i="54"/>
  <c r="K258" i="54"/>
  <c r="K219" i="54"/>
  <c r="K24" i="54"/>
  <c r="K89" i="54"/>
  <c r="K50" i="54"/>
  <c r="K167" i="54"/>
  <c r="K180" i="54"/>
  <c r="K349" i="54"/>
  <c r="K310" i="54"/>
  <c r="K271" i="54"/>
  <c r="K141" i="54"/>
  <c r="K102" i="54"/>
  <c r="K388" i="54"/>
  <c r="K336" i="54"/>
  <c r="K232" i="54"/>
  <c r="K401" i="54"/>
  <c r="K323" i="54"/>
  <c r="K193" i="54"/>
  <c r="K154" i="54"/>
  <c r="K63" i="54"/>
  <c r="K115" i="54"/>
  <c r="K352" i="54"/>
  <c r="K222" i="54"/>
  <c r="K404" i="54"/>
  <c r="K339" i="54"/>
  <c r="K300" i="54"/>
  <c r="K261" i="54"/>
  <c r="K131" i="54"/>
  <c r="K92" i="54"/>
  <c r="K157" i="54"/>
  <c r="K326" i="54"/>
  <c r="K391" i="54"/>
  <c r="K313" i="54"/>
  <c r="K209" i="54"/>
  <c r="K183" i="54"/>
  <c r="K144" i="54"/>
  <c r="K378" i="54"/>
  <c r="K274" i="54"/>
  <c r="K235" i="54"/>
  <c r="K66" i="54"/>
  <c r="K365" i="54"/>
  <c r="K27" i="54"/>
  <c r="K196" i="54"/>
  <c r="K170" i="54"/>
  <c r="K287" i="54"/>
  <c r="K248" i="54"/>
  <c r="K118" i="54"/>
  <c r="K79" i="54"/>
  <c r="K40" i="54"/>
  <c r="K53" i="54"/>
  <c r="K105" i="54"/>
  <c r="K228" i="54"/>
  <c r="K332" i="54"/>
  <c r="K397" i="54"/>
  <c r="K124" i="54"/>
  <c r="K319" i="54"/>
  <c r="K189" i="54"/>
  <c r="K150" i="54"/>
  <c r="K111" i="54"/>
  <c r="K241" i="54"/>
  <c r="K176" i="54"/>
  <c r="K371" i="54"/>
  <c r="K33" i="54"/>
  <c r="K202" i="54"/>
  <c r="K280" i="54"/>
  <c r="K20" i="54"/>
  <c r="K384" i="54"/>
  <c r="K293" i="54"/>
  <c r="K254" i="54"/>
  <c r="K215" i="54"/>
  <c r="K85" i="54"/>
  <c r="K46" i="54"/>
  <c r="K358" i="54"/>
  <c r="K345" i="54"/>
  <c r="K72" i="54"/>
  <c r="K306" i="54"/>
  <c r="K267" i="54"/>
  <c r="K137" i="54"/>
  <c r="K98" i="54"/>
  <c r="K163" i="54"/>
  <c r="K59" i="54"/>
  <c r="K152" i="54"/>
  <c r="K243" i="54"/>
  <c r="K373" i="54"/>
  <c r="K165" i="54"/>
  <c r="K217" i="54"/>
  <c r="K178" i="54"/>
  <c r="K399" i="54"/>
  <c r="K35" i="54"/>
  <c r="K386" i="54"/>
  <c r="K113" i="54"/>
  <c r="K334" i="54"/>
  <c r="K126" i="54"/>
  <c r="K204" i="54"/>
  <c r="K139" i="54"/>
  <c r="K100" i="54"/>
  <c r="K87" i="54"/>
  <c r="K321" i="54"/>
  <c r="K74" i="54"/>
  <c r="K295" i="54"/>
  <c r="K360" i="54"/>
  <c r="K48" i="54"/>
  <c r="K269" i="54"/>
  <c r="K61" i="54"/>
  <c r="K282" i="54"/>
  <c r="K308" i="54"/>
  <c r="K191" i="54"/>
  <c r="K256" i="54"/>
  <c r="K347" i="54"/>
  <c r="K230" i="54"/>
  <c r="K22" i="54"/>
  <c r="G254" i="60" l="1"/>
  <c r="G59" i="60"/>
  <c r="G293" i="60"/>
  <c r="G98" i="60"/>
  <c r="G332" i="60"/>
  <c r="G371" i="60"/>
  <c r="G161" i="60"/>
  <c r="G304" i="60"/>
  <c r="G44" i="60"/>
  <c r="G291" i="60"/>
  <c r="G239" i="60"/>
  <c r="G317" i="60"/>
  <c r="G226" i="60"/>
  <c r="G168" i="60"/>
  <c r="G20" i="60"/>
  <c r="G189" i="60"/>
  <c r="G267" i="60"/>
  <c r="G72" i="60"/>
  <c r="G137" i="60"/>
  <c r="G111" i="60"/>
  <c r="G176" i="60"/>
  <c r="G241" i="60"/>
  <c r="G96" i="60"/>
  <c r="G70" i="60"/>
  <c r="G83" i="60"/>
  <c r="G382" i="60"/>
  <c r="G31" i="60"/>
  <c r="G109" i="60"/>
  <c r="G122" i="60"/>
  <c r="G103" i="60"/>
  <c r="G116" i="60"/>
  <c r="G194" i="60"/>
  <c r="G233" i="60"/>
  <c r="G181" i="60"/>
  <c r="G324" i="60"/>
  <c r="G259" i="60"/>
  <c r="G220" i="60"/>
  <c r="G152" i="60"/>
  <c r="G230" i="60"/>
  <c r="G139" i="60"/>
  <c r="G178" i="60"/>
  <c r="G22" i="60"/>
  <c r="G204" i="60"/>
  <c r="G243" i="60"/>
  <c r="G19" i="60"/>
  <c r="G227" i="60"/>
  <c r="G292" i="60"/>
  <c r="G32" i="60"/>
  <c r="G331" i="60"/>
  <c r="G71" i="60"/>
  <c r="G279" i="60"/>
  <c r="G396" i="60"/>
  <c r="G127" i="60"/>
  <c r="G322" i="60"/>
  <c r="G62" i="60"/>
  <c r="G309" i="60"/>
  <c r="G387" i="60"/>
  <c r="G36" i="60"/>
  <c r="G179" i="60"/>
  <c r="G151" i="60"/>
  <c r="G21" i="60"/>
  <c r="G177" i="60"/>
  <c r="G385" i="60"/>
  <c r="G255" i="60"/>
  <c r="G372" i="60"/>
  <c r="G242" i="60"/>
  <c r="G398" i="60"/>
  <c r="G40" i="60"/>
  <c r="G248" i="60"/>
  <c r="G157" i="60"/>
  <c r="G14" i="60"/>
  <c r="G183" i="60"/>
  <c r="G92" i="60"/>
  <c r="G300" i="60"/>
  <c r="G67" i="60"/>
  <c r="G379" i="60"/>
  <c r="G158" i="60"/>
  <c r="G184" i="60"/>
  <c r="G145" i="60"/>
  <c r="G353" i="60"/>
  <c r="G54" i="60"/>
  <c r="G301" i="60"/>
  <c r="AB228" i="60"/>
  <c r="AD228" i="60" s="1"/>
  <c r="AB384" i="60"/>
  <c r="AD384" i="60" s="1"/>
  <c r="AB59" i="60"/>
  <c r="AD59" i="60" s="1"/>
  <c r="AB189" i="60"/>
  <c r="AD189" i="60" s="1"/>
  <c r="AB267" i="60"/>
  <c r="AD267" i="60" s="1"/>
  <c r="AB345" i="60"/>
  <c r="AD345" i="60" s="1"/>
  <c r="AB254" i="60"/>
  <c r="AD254" i="60" s="1"/>
  <c r="AB102" i="60"/>
  <c r="AD102" i="60" s="1"/>
  <c r="AB336" i="60"/>
  <c r="AD336" i="60" s="1"/>
  <c r="AB206" i="60"/>
  <c r="AD206" i="60" s="1"/>
  <c r="AB37" i="60"/>
  <c r="AD37" i="60" s="1"/>
  <c r="AB63" i="60"/>
  <c r="AD63" i="60" s="1"/>
  <c r="AB271" i="60"/>
  <c r="AD271" i="60" s="1"/>
  <c r="AB258" i="60"/>
  <c r="AD258" i="60" s="1"/>
  <c r="AB401" i="60"/>
  <c r="AD401" i="60" s="1"/>
  <c r="AB148" i="60"/>
  <c r="AD148" i="60" s="1"/>
  <c r="AB226" i="60"/>
  <c r="AD226" i="60" s="1"/>
  <c r="AB304" i="60"/>
  <c r="AD304" i="60" s="1"/>
  <c r="AB18" i="60"/>
  <c r="AD18" i="60" s="1"/>
  <c r="AB330" i="60"/>
  <c r="AD330" i="60" s="1"/>
  <c r="AB317" i="60"/>
  <c r="AD317" i="60" s="1"/>
  <c r="AB213" i="60"/>
  <c r="AD213" i="60" s="1"/>
  <c r="AB64" i="60"/>
  <c r="AD64" i="60" s="1"/>
  <c r="AB129" i="60"/>
  <c r="AD129" i="60" s="1"/>
  <c r="AB246" i="60"/>
  <c r="AD246" i="60" s="1"/>
  <c r="AB259" i="60"/>
  <c r="AD259" i="60" s="1"/>
  <c r="AB272" i="60"/>
  <c r="AD272" i="60" s="1"/>
  <c r="AB142" i="60"/>
  <c r="AD142" i="60" s="1"/>
  <c r="AB402" i="60"/>
  <c r="AD402" i="60" s="1"/>
  <c r="AB155" i="60"/>
  <c r="AD155" i="60" s="1"/>
  <c r="AB282" i="60"/>
  <c r="AD282" i="60" s="1"/>
  <c r="AB360" i="60"/>
  <c r="AD360" i="60" s="1"/>
  <c r="AB61" i="60"/>
  <c r="AD61" i="60" s="1"/>
  <c r="AB139" i="60"/>
  <c r="AD139" i="60" s="1"/>
  <c r="AB256" i="60"/>
  <c r="AD256" i="60" s="1"/>
  <c r="AB165" i="60"/>
  <c r="AD165" i="60" s="1"/>
  <c r="AB217" i="60"/>
  <c r="AD217" i="60" s="1"/>
  <c r="AB84" i="60"/>
  <c r="AD84" i="60" s="1"/>
  <c r="AB97" i="60"/>
  <c r="AD97" i="60" s="1"/>
  <c r="AB279" i="60"/>
  <c r="AD279" i="60" s="1"/>
  <c r="AB305" i="60"/>
  <c r="AD305" i="60" s="1"/>
  <c r="AB214" i="60"/>
  <c r="AD214" i="60" s="1"/>
  <c r="AB162" i="60"/>
  <c r="AD162" i="60" s="1"/>
  <c r="AB396" i="60"/>
  <c r="AD396" i="60" s="1"/>
  <c r="AB383" i="60"/>
  <c r="AD383" i="60" s="1"/>
  <c r="AB299" i="60"/>
  <c r="AD299" i="60" s="1"/>
  <c r="AB208" i="60"/>
  <c r="AD208" i="60" s="1"/>
  <c r="AB104" i="60"/>
  <c r="AD104" i="60" s="1"/>
  <c r="AB195" i="60"/>
  <c r="AD195" i="60" s="1"/>
  <c r="AB65" i="60"/>
  <c r="AD65" i="60" s="1"/>
  <c r="AB351" i="60"/>
  <c r="AD351" i="60" s="1"/>
  <c r="AB169" i="60"/>
  <c r="AD169" i="60" s="1"/>
  <c r="AB114" i="60"/>
  <c r="AD114" i="60" s="1"/>
  <c r="AB244" i="60"/>
  <c r="AD244" i="60" s="1"/>
  <c r="AB62" i="60"/>
  <c r="AD62" i="60" s="1"/>
  <c r="AB192" i="60"/>
  <c r="AD192" i="60" s="1"/>
  <c r="AB309" i="60"/>
  <c r="AD309" i="60" s="1"/>
  <c r="AB257" i="60"/>
  <c r="AD257" i="60" s="1"/>
  <c r="AB283" i="60"/>
  <c r="AD283" i="60" s="1"/>
  <c r="AB400" i="60"/>
  <c r="AD400" i="60" s="1"/>
  <c r="AB320" i="60"/>
  <c r="AD320" i="60" s="1"/>
  <c r="AB268" i="60"/>
  <c r="AD268" i="60" s="1"/>
  <c r="AB346" i="60"/>
  <c r="AD346" i="60" s="1"/>
  <c r="AB398" i="60"/>
  <c r="AD398" i="60" s="1"/>
  <c r="AB294" i="60"/>
  <c r="AD294" i="60" s="1"/>
  <c r="AB372" i="60"/>
  <c r="AD372" i="60" s="1"/>
  <c r="AB385" i="60"/>
  <c r="AD385" i="60" s="1"/>
  <c r="AB264" i="60"/>
  <c r="AD264" i="60" s="1"/>
  <c r="AB134" i="60"/>
  <c r="AD134" i="60" s="1"/>
  <c r="AB394" i="60"/>
  <c r="AD394" i="60" s="1"/>
  <c r="AB17" i="60"/>
  <c r="AD17" i="60" s="1"/>
  <c r="AB160" i="60"/>
  <c r="AD160" i="60" s="1"/>
  <c r="AB277" i="60"/>
  <c r="AD277" i="60" s="1"/>
  <c r="AB199" i="60"/>
  <c r="AD199" i="60" s="1"/>
  <c r="AB224" i="60"/>
  <c r="AD224" i="60" s="1"/>
  <c r="AB172" i="60"/>
  <c r="AD172" i="60" s="1"/>
  <c r="AB68" i="60"/>
  <c r="AD68" i="60" s="1"/>
  <c r="AB367" i="60"/>
  <c r="AD367" i="60" s="1"/>
  <c r="AB380" i="60"/>
  <c r="AD380" i="60" s="1"/>
  <c r="AB276" i="60"/>
  <c r="AD276" i="60" s="1"/>
  <c r="AB133" i="60"/>
  <c r="AD133" i="60" s="1"/>
  <c r="AB237" i="60"/>
  <c r="AD237" i="60" s="1"/>
  <c r="AB300" i="60"/>
  <c r="AD300" i="60" s="1"/>
  <c r="AB170" i="60"/>
  <c r="AD170" i="60" s="1"/>
  <c r="AB287" i="60"/>
  <c r="AD287" i="60" s="1"/>
  <c r="AB196" i="60"/>
  <c r="AD196" i="60" s="1"/>
  <c r="AB92" i="60"/>
  <c r="AD92" i="60" s="1"/>
  <c r="AB222" i="60"/>
  <c r="AD222" i="60" s="1"/>
  <c r="AB209" i="60"/>
  <c r="AD209" i="60" s="1"/>
  <c r="AB15" i="60"/>
  <c r="AD15" i="60" s="1"/>
  <c r="AB340" i="60"/>
  <c r="AD340" i="60" s="1"/>
  <c r="AB288" i="60"/>
  <c r="AD288" i="60" s="1"/>
  <c r="AB197" i="60"/>
  <c r="AD197" i="60" s="1"/>
  <c r="AB67" i="60"/>
  <c r="AD67" i="60" s="1"/>
  <c r="AB353" i="60"/>
  <c r="AD353" i="60" s="1"/>
  <c r="AB171" i="60"/>
  <c r="AD171" i="60" s="1"/>
  <c r="U401" i="60"/>
  <c r="U388" i="60"/>
  <c r="U206" i="60"/>
  <c r="U349" i="60"/>
  <c r="U37" i="60"/>
  <c r="U193" i="60"/>
  <c r="U76" i="60"/>
  <c r="U399" i="60"/>
  <c r="U334" i="60"/>
  <c r="U295" i="60"/>
  <c r="U256" i="60"/>
  <c r="U87" i="60"/>
  <c r="U230" i="60"/>
  <c r="U178" i="60"/>
  <c r="U48" i="60"/>
  <c r="U332" i="60"/>
  <c r="U150" i="60"/>
  <c r="U384" i="60"/>
  <c r="U228" i="60"/>
  <c r="U254" i="60"/>
  <c r="U176" i="60"/>
  <c r="U59" i="60"/>
  <c r="U340" i="60"/>
  <c r="U275" i="60"/>
  <c r="U353" i="60"/>
  <c r="U28" i="60"/>
  <c r="U106" i="60"/>
  <c r="U249" i="60"/>
  <c r="U158" i="60"/>
  <c r="U338" i="60"/>
  <c r="U208" i="60"/>
  <c r="U312" i="60"/>
  <c r="U364" i="60"/>
  <c r="U26" i="60"/>
  <c r="U52" i="60"/>
  <c r="U221" i="60"/>
  <c r="U39" i="60"/>
  <c r="U385" i="60"/>
  <c r="U281" i="60"/>
  <c r="U164" i="60"/>
  <c r="U216" i="60"/>
  <c r="U86" i="60"/>
  <c r="U112" i="60"/>
  <c r="U151" i="60"/>
  <c r="U365" i="60"/>
  <c r="U352" i="60"/>
  <c r="U378" i="60"/>
  <c r="U118" i="60"/>
  <c r="U144" i="60"/>
  <c r="U183" i="60"/>
  <c r="U157" i="60"/>
  <c r="U395" i="60"/>
  <c r="U343" i="60"/>
  <c r="U213" i="60"/>
  <c r="U174" i="60"/>
  <c r="U135" i="60"/>
  <c r="U317" i="60"/>
  <c r="U31" i="60"/>
  <c r="U389" i="60"/>
  <c r="U376" i="60"/>
  <c r="U285" i="60"/>
  <c r="U168" i="60"/>
  <c r="U207" i="60"/>
  <c r="U103" i="60"/>
  <c r="U155" i="60"/>
  <c r="U344" i="60"/>
  <c r="U331" i="60"/>
  <c r="U214" i="60"/>
  <c r="U149" i="60"/>
  <c r="U136" i="60"/>
  <c r="U58" i="60"/>
  <c r="U19" i="60"/>
  <c r="U289" i="60"/>
  <c r="U328" i="60"/>
  <c r="U211" i="60"/>
  <c r="U29" i="60"/>
  <c r="U94" i="60"/>
  <c r="U159" i="60"/>
  <c r="U198" i="60"/>
  <c r="U387" i="60"/>
  <c r="U296" i="60"/>
  <c r="U244" i="60"/>
  <c r="U166" i="60"/>
  <c r="U153" i="60"/>
  <c r="U335" i="60"/>
  <c r="U49" i="60"/>
  <c r="U394" i="60"/>
  <c r="U238" i="60"/>
  <c r="U251" i="60"/>
  <c r="U186" i="60"/>
  <c r="U199" i="60"/>
  <c r="U95" i="60"/>
  <c r="U30" i="60"/>
  <c r="AB177" i="60"/>
  <c r="AD177" i="60" s="1"/>
  <c r="U89" i="60"/>
  <c r="U333" i="60"/>
  <c r="U44" i="60"/>
  <c r="U71" i="60"/>
  <c r="U62" i="60"/>
  <c r="AI312" i="60"/>
  <c r="AK312" i="60" s="1"/>
  <c r="AI52" i="60"/>
  <c r="AK52" i="60" s="1"/>
  <c r="AI320" i="60"/>
  <c r="AK320" i="60" s="1"/>
  <c r="AI177" i="60"/>
  <c r="AK177" i="60" s="1"/>
  <c r="AI198" i="60"/>
  <c r="AK198" i="60" s="1"/>
  <c r="AI339" i="60"/>
  <c r="AK339" i="60" s="1"/>
  <c r="AI365" i="60"/>
  <c r="AK365" i="60" s="1"/>
  <c r="AI375" i="60"/>
  <c r="AK375" i="60" s="1"/>
  <c r="AI154" i="60"/>
  <c r="AK154" i="60" s="1"/>
  <c r="AI389" i="60"/>
  <c r="AK389" i="60" s="1"/>
  <c r="AI194" i="60"/>
  <c r="AK194" i="60" s="1"/>
  <c r="AI296" i="60"/>
  <c r="AK296" i="60" s="1"/>
  <c r="AI114" i="60"/>
  <c r="AK114" i="60" s="1"/>
  <c r="AI319" i="60"/>
  <c r="AK319" i="60" s="1"/>
  <c r="AI280" i="60"/>
  <c r="AK280" i="60" s="1"/>
  <c r="AI162" i="60"/>
  <c r="AK162" i="60" s="1"/>
  <c r="AI110" i="60"/>
  <c r="AK110" i="60" s="1"/>
  <c r="AI277" i="60"/>
  <c r="AK277" i="60" s="1"/>
  <c r="AI317" i="60"/>
  <c r="AK317" i="60" s="1"/>
  <c r="AI226" i="60"/>
  <c r="AK226" i="60" s="1"/>
  <c r="AI347" i="60"/>
  <c r="AK347" i="60" s="1"/>
  <c r="AI87" i="60"/>
  <c r="AK87" i="60" s="1"/>
  <c r="AI301" i="60"/>
  <c r="AK301" i="60" s="1"/>
  <c r="AI15" i="60"/>
  <c r="AK15" i="60" s="1"/>
  <c r="AI221" i="60"/>
  <c r="AK221" i="60" s="1"/>
  <c r="AI117" i="60"/>
  <c r="AK117" i="60" s="1"/>
  <c r="AI372" i="60"/>
  <c r="AK372" i="60" s="1"/>
  <c r="AI99" i="60"/>
  <c r="AK99" i="60" s="1"/>
  <c r="AI42" i="60"/>
  <c r="AK42" i="60" s="1"/>
  <c r="AI391" i="60"/>
  <c r="AK391" i="60" s="1"/>
  <c r="AI248" i="60"/>
  <c r="AK248" i="60" s="1"/>
  <c r="AI349" i="60"/>
  <c r="AK349" i="60" s="1"/>
  <c r="AI284" i="60"/>
  <c r="AK284" i="60" s="1"/>
  <c r="AI259" i="60"/>
  <c r="AK259" i="60" s="1"/>
  <c r="AI129" i="60"/>
  <c r="AK129" i="60" s="1"/>
  <c r="AI218" i="60"/>
  <c r="AK218" i="60" s="1"/>
  <c r="AI153" i="60"/>
  <c r="AK153" i="60" s="1"/>
  <c r="AI267" i="60"/>
  <c r="AK267" i="60" s="1"/>
  <c r="AI215" i="60"/>
  <c r="AK215" i="60" s="1"/>
  <c r="AI214" i="60"/>
  <c r="AK214" i="60" s="1"/>
  <c r="AI71" i="60"/>
  <c r="AK71" i="60" s="1"/>
  <c r="AI160" i="60"/>
  <c r="AK160" i="60" s="1"/>
  <c r="AI330" i="60"/>
  <c r="AK330" i="60" s="1"/>
  <c r="AI304" i="60"/>
  <c r="AK304" i="60" s="1"/>
  <c r="AI204" i="60"/>
  <c r="AK204" i="60" s="1"/>
  <c r="AI308" i="60"/>
  <c r="AK308" i="60" s="1"/>
  <c r="AI262" i="60"/>
  <c r="AK262" i="60" s="1"/>
  <c r="AI249" i="60"/>
  <c r="AK249" i="60" s="1"/>
  <c r="AI338" i="60"/>
  <c r="AK338" i="60" s="1"/>
  <c r="AI195" i="60"/>
  <c r="AK195" i="60" s="1"/>
  <c r="AI203" i="60"/>
  <c r="AK203" i="60" s="1"/>
  <c r="AI47" i="60"/>
  <c r="AK47" i="60" s="1"/>
  <c r="AI237" i="60"/>
  <c r="AK237" i="60" s="1"/>
  <c r="AI81" i="60"/>
  <c r="AK81" i="60" s="1"/>
  <c r="AI118" i="60"/>
  <c r="AK118" i="60" s="1"/>
  <c r="AI297" i="60"/>
  <c r="AK297" i="60" s="1"/>
  <c r="AI206" i="60"/>
  <c r="AK206" i="60" s="1"/>
  <c r="AI311" i="60"/>
  <c r="AK311" i="60" s="1"/>
  <c r="AI207" i="60"/>
  <c r="AK207" i="60" s="1"/>
  <c r="AI361" i="60"/>
  <c r="AK361" i="60" s="1"/>
  <c r="AI88" i="60"/>
  <c r="AK88" i="60" s="1"/>
  <c r="AI85" i="60"/>
  <c r="AK85" i="60" s="1"/>
  <c r="AI358" i="60"/>
  <c r="AK358" i="60" s="1"/>
  <c r="AI344" i="60"/>
  <c r="AK344" i="60" s="1"/>
  <c r="AI84" i="60"/>
  <c r="AK84" i="60" s="1"/>
  <c r="AI238" i="60"/>
  <c r="AK238" i="60" s="1"/>
  <c r="AI30" i="60"/>
  <c r="AK30" i="60" s="1"/>
  <c r="AI278" i="60"/>
  <c r="AK278" i="60" s="1"/>
  <c r="AI18" i="60"/>
  <c r="AK18" i="60" s="1"/>
  <c r="AI165" i="60"/>
  <c r="AK165" i="60" s="1"/>
  <c r="AI113" i="60"/>
  <c r="AK113" i="60" s="1"/>
  <c r="AI158" i="60"/>
  <c r="AK158" i="60" s="1"/>
  <c r="AI184" i="60"/>
  <c r="AK184" i="60" s="1"/>
  <c r="AI208" i="60"/>
  <c r="AK208" i="60" s="1"/>
  <c r="AI182" i="60"/>
  <c r="AK182" i="60" s="1"/>
  <c r="AI60" i="60"/>
  <c r="AK60" i="60" s="1"/>
  <c r="AI341" i="60"/>
  <c r="AK341" i="60" s="1"/>
  <c r="AI94" i="60"/>
  <c r="AK94" i="60" s="1"/>
  <c r="AI313" i="60"/>
  <c r="AK313" i="60" s="1"/>
  <c r="AI131" i="60"/>
  <c r="AK131" i="60" s="1"/>
  <c r="AI336" i="60"/>
  <c r="AK336" i="60" s="1"/>
  <c r="AI167" i="60"/>
  <c r="AK167" i="60" s="1"/>
  <c r="AI272" i="60"/>
  <c r="AK272" i="60" s="1"/>
  <c r="AI51" i="60"/>
  <c r="AK51" i="60" s="1"/>
  <c r="AI166" i="60"/>
  <c r="AK166" i="60" s="1"/>
  <c r="AI101" i="60"/>
  <c r="AK101" i="60" s="1"/>
  <c r="AI150" i="60"/>
  <c r="AK150" i="60" s="1"/>
  <c r="AI228" i="60"/>
  <c r="AK228" i="60" s="1"/>
  <c r="AI201" i="60"/>
  <c r="AK201" i="60" s="1"/>
  <c r="AI123" i="60"/>
  <c r="AK123" i="60" s="1"/>
  <c r="AI251" i="60"/>
  <c r="AK251" i="60" s="1"/>
  <c r="AI95" i="60"/>
  <c r="AK95" i="60" s="1"/>
  <c r="AI135" i="60"/>
  <c r="AK135" i="60" s="1"/>
  <c r="AI122" i="60"/>
  <c r="AK122" i="60" s="1"/>
  <c r="AI230" i="60"/>
  <c r="AK230" i="60" s="1"/>
  <c r="AI340" i="60"/>
  <c r="AK340" i="60" s="1"/>
  <c r="AI145" i="60"/>
  <c r="AK145" i="60" s="1"/>
  <c r="V340" i="60"/>
  <c r="V15" i="60"/>
  <c r="O220" i="60"/>
  <c r="O116" i="60"/>
  <c r="H165" i="60"/>
  <c r="H204" i="60"/>
  <c r="V319" i="60"/>
  <c r="V254" i="60"/>
  <c r="O131" i="60"/>
  <c r="O196" i="60"/>
  <c r="H357" i="60"/>
  <c r="H240" i="60"/>
  <c r="V182" i="60"/>
  <c r="V26" i="60"/>
  <c r="O101" i="60"/>
  <c r="H190" i="60"/>
  <c r="H60" i="60"/>
  <c r="O316" i="60"/>
  <c r="O303" i="60"/>
  <c r="V337" i="60"/>
  <c r="V194" i="60"/>
  <c r="O100" i="60"/>
  <c r="O243" i="60"/>
  <c r="H215" i="60"/>
  <c r="H72" i="60"/>
  <c r="V102" i="60"/>
  <c r="V310" i="60"/>
  <c r="V400" i="60"/>
  <c r="V101" i="60"/>
  <c r="H226" i="60"/>
  <c r="H109" i="60"/>
  <c r="V17" i="60"/>
  <c r="H340" i="60"/>
  <c r="H67" i="60"/>
  <c r="V274" i="60"/>
  <c r="V170" i="60"/>
  <c r="V318" i="60"/>
  <c r="V136" i="60"/>
  <c r="O336" i="60"/>
  <c r="O141" i="60"/>
  <c r="V255" i="60"/>
  <c r="V138" i="60"/>
  <c r="O330" i="60"/>
  <c r="H233" i="60"/>
  <c r="V87" i="60"/>
  <c r="V256" i="60"/>
  <c r="H27" i="60"/>
  <c r="O208" i="60"/>
  <c r="H296" i="60"/>
  <c r="H322" i="60"/>
  <c r="V122" i="60"/>
  <c r="V31" i="60"/>
  <c r="V107" i="60"/>
  <c r="V353" i="60"/>
  <c r="V28" i="60"/>
  <c r="O168" i="60"/>
  <c r="O311" i="60"/>
  <c r="H243" i="60"/>
  <c r="H74" i="60"/>
  <c r="V215" i="60"/>
  <c r="V163" i="60"/>
  <c r="O248" i="60"/>
  <c r="O313" i="60"/>
  <c r="H149" i="60"/>
  <c r="H344" i="60"/>
  <c r="V130" i="60"/>
  <c r="V52" i="60"/>
  <c r="O374" i="60"/>
  <c r="H73" i="60"/>
  <c r="H385" i="60"/>
  <c r="O264" i="60"/>
  <c r="O251" i="60"/>
  <c r="V376" i="60"/>
  <c r="V220" i="60"/>
  <c r="AS220" i="60" s="1"/>
  <c r="O295" i="60"/>
  <c r="O347" i="60"/>
  <c r="H306" i="60"/>
  <c r="H332" i="60"/>
  <c r="V336" i="60"/>
  <c r="V284" i="60"/>
  <c r="V244" i="60"/>
  <c r="V88" i="60"/>
  <c r="H70" i="60"/>
  <c r="H369" i="60"/>
  <c r="V251" i="60"/>
  <c r="H132" i="60"/>
  <c r="H15" i="60"/>
  <c r="V352" i="60"/>
  <c r="V287" i="60"/>
  <c r="V305" i="60"/>
  <c r="V84" i="60"/>
  <c r="O310" i="60"/>
  <c r="O115" i="60"/>
  <c r="V281" i="60"/>
  <c r="V177" i="60"/>
  <c r="O187" i="60"/>
  <c r="O135" i="60"/>
  <c r="H363" i="60"/>
  <c r="V295" i="60"/>
  <c r="V321" i="60"/>
  <c r="H352" i="60"/>
  <c r="O221" i="60"/>
  <c r="O143" i="60"/>
  <c r="H88" i="60"/>
  <c r="H114" i="60"/>
  <c r="V70" i="60"/>
  <c r="V57" i="60"/>
  <c r="V211" i="60"/>
  <c r="V224" i="60"/>
  <c r="V41" i="60"/>
  <c r="V158" i="60"/>
  <c r="O350" i="60"/>
  <c r="O25" i="60"/>
  <c r="H100" i="60"/>
  <c r="V371" i="60"/>
  <c r="V267" i="60"/>
  <c r="O352" i="60"/>
  <c r="O144" i="60"/>
  <c r="H162" i="60"/>
  <c r="H45" i="60"/>
  <c r="V208" i="60"/>
  <c r="V247" i="60"/>
  <c r="O166" i="60"/>
  <c r="O387" i="60"/>
  <c r="H294" i="60"/>
  <c r="H255" i="60"/>
  <c r="O342" i="60"/>
  <c r="O69" i="60"/>
  <c r="V25" i="60"/>
  <c r="AS25" i="60" s="1"/>
  <c r="O360" i="60"/>
  <c r="O191" i="60"/>
  <c r="H202" i="60"/>
  <c r="H384" i="60"/>
  <c r="V245" i="60"/>
  <c r="V141" i="60"/>
  <c r="AS141" i="60" s="1"/>
  <c r="V387" i="60"/>
  <c r="V75" i="60"/>
  <c r="H96" i="60"/>
  <c r="H122" i="60"/>
  <c r="V355" i="60"/>
  <c r="V121" i="60"/>
  <c r="H54" i="60"/>
  <c r="H366" i="60"/>
  <c r="V235" i="60"/>
  <c r="V40" i="60"/>
  <c r="V370" i="60"/>
  <c r="O362" i="60"/>
  <c r="O323" i="60"/>
  <c r="V359" i="60"/>
  <c r="V190" i="60"/>
  <c r="O395" i="60"/>
  <c r="O44" i="60"/>
  <c r="H129" i="60"/>
  <c r="V165" i="60"/>
  <c r="V126" i="60"/>
  <c r="O403" i="60"/>
  <c r="O156" i="60"/>
  <c r="H335" i="60"/>
  <c r="V252" i="60"/>
  <c r="V239" i="60"/>
  <c r="V198" i="60"/>
  <c r="V379" i="60"/>
  <c r="V93" i="60"/>
  <c r="O389" i="60"/>
  <c r="O207" i="60"/>
  <c r="H347" i="60"/>
  <c r="H360" i="60"/>
  <c r="V124" i="60"/>
  <c r="V280" i="60"/>
  <c r="O157" i="60"/>
  <c r="O170" i="60"/>
  <c r="H32" i="60"/>
  <c r="H188" i="60"/>
  <c r="V351" i="60"/>
  <c r="O257" i="60"/>
  <c r="O348" i="60"/>
  <c r="H281" i="60"/>
  <c r="H125" i="60"/>
  <c r="O160" i="60"/>
  <c r="O147" i="60"/>
  <c r="V350" i="60"/>
  <c r="AS350" i="60" s="1"/>
  <c r="V168" i="60"/>
  <c r="AS168" i="60" s="1"/>
  <c r="O217" i="60"/>
  <c r="O48" i="60"/>
  <c r="H345" i="60"/>
  <c r="H176" i="60"/>
  <c r="V297" i="60"/>
  <c r="V309" i="60"/>
  <c r="V36" i="60"/>
  <c r="H395" i="60"/>
  <c r="H174" i="60"/>
  <c r="V277" i="60"/>
  <c r="V186" i="60"/>
  <c r="H41" i="60"/>
  <c r="H223" i="60"/>
  <c r="V339" i="60"/>
  <c r="V209" i="60"/>
  <c r="V396" i="60"/>
  <c r="V162" i="60"/>
  <c r="O24" i="60"/>
  <c r="O297" i="60"/>
  <c r="V34" i="60"/>
  <c r="V73" i="60"/>
  <c r="O57" i="60"/>
  <c r="O148" i="60"/>
  <c r="V347" i="60"/>
  <c r="V230" i="60"/>
  <c r="H300" i="60"/>
  <c r="H53" i="60"/>
  <c r="O169" i="60"/>
  <c r="O104" i="60"/>
  <c r="H348" i="60"/>
  <c r="H218" i="60"/>
  <c r="V174" i="60"/>
  <c r="V44" i="60"/>
  <c r="V159" i="60"/>
  <c r="V42" i="60"/>
  <c r="N372" i="60"/>
  <c r="N268" i="60"/>
  <c r="N200" i="60"/>
  <c r="N369" i="60"/>
  <c r="N45" i="60"/>
  <c r="N175" i="60"/>
  <c r="N251" i="60"/>
  <c r="P251" i="60" s="1"/>
  <c r="N17" i="60"/>
  <c r="N198" i="60"/>
  <c r="N237" i="60"/>
  <c r="N313" i="60"/>
  <c r="N66" i="60"/>
  <c r="N24" i="60"/>
  <c r="N102" i="60"/>
  <c r="N402" i="60"/>
  <c r="N400" i="60"/>
  <c r="N205" i="60"/>
  <c r="N139" i="60"/>
  <c r="N360" i="60"/>
  <c r="N111" i="60"/>
  <c r="N371" i="60"/>
  <c r="N117" i="60"/>
  <c r="N130" i="60"/>
  <c r="N15" i="60"/>
  <c r="N353" i="60"/>
  <c r="N176" i="60"/>
  <c r="N249" i="60"/>
  <c r="N229" i="60"/>
  <c r="N242" i="60"/>
  <c r="N44" i="60"/>
  <c r="N31" i="60"/>
  <c r="N19" i="60"/>
  <c r="N71" i="60"/>
  <c r="N82" i="60"/>
  <c r="N146" i="60"/>
  <c r="N380" i="60"/>
  <c r="N144" i="60"/>
  <c r="P144" i="60" s="1"/>
  <c r="N157" i="60"/>
  <c r="N63" i="60"/>
  <c r="N193" i="60"/>
  <c r="N103" i="60"/>
  <c r="N376" i="60"/>
  <c r="N153" i="60"/>
  <c r="N257" i="60"/>
  <c r="N191" i="60"/>
  <c r="N87" i="60"/>
  <c r="N46" i="60"/>
  <c r="N33" i="60"/>
  <c r="N377" i="60"/>
  <c r="N197" i="60"/>
  <c r="N301" i="60"/>
  <c r="N334" i="60"/>
  <c r="N390" i="60"/>
  <c r="N385" i="60"/>
  <c r="N190" i="60"/>
  <c r="N83" i="60"/>
  <c r="N265" i="60"/>
  <c r="N396" i="60"/>
  <c r="N188" i="60"/>
  <c r="N368" i="60"/>
  <c r="N277" i="60"/>
  <c r="N328" i="60"/>
  <c r="N16" i="60"/>
  <c r="N105" i="60"/>
  <c r="N92" i="60"/>
  <c r="N245" i="60"/>
  <c r="N220" i="60"/>
  <c r="P220" i="60" s="1"/>
  <c r="N337" i="60"/>
  <c r="N309" i="60"/>
  <c r="N88" i="60"/>
  <c r="N126" i="60"/>
  <c r="N91" i="60"/>
  <c r="N99" i="60"/>
  <c r="N320" i="60"/>
  <c r="N18" i="60"/>
  <c r="N148" i="60"/>
  <c r="N97" i="60"/>
  <c r="N383" i="60"/>
  <c r="N355" i="60"/>
  <c r="N95" i="60"/>
  <c r="N250" i="60"/>
  <c r="N235" i="60"/>
  <c r="N248" i="60"/>
  <c r="N180" i="60"/>
  <c r="N284" i="60"/>
  <c r="N311" i="60"/>
  <c r="N38" i="60"/>
  <c r="N140" i="60"/>
  <c r="N127" i="60"/>
  <c r="N178" i="60"/>
  <c r="N295" i="60"/>
  <c r="P295" i="60" s="1"/>
  <c r="N345" i="60"/>
  <c r="N189" i="60"/>
  <c r="N325" i="60"/>
  <c r="N65" i="60"/>
  <c r="N392" i="60"/>
  <c r="N282" i="60"/>
  <c r="N52" i="60"/>
  <c r="H376" i="60"/>
  <c r="H324" i="60"/>
  <c r="H207" i="60"/>
  <c r="H38" i="60"/>
  <c r="H261" i="60"/>
  <c r="H365" i="60"/>
  <c r="H235" i="60"/>
  <c r="H257" i="60"/>
  <c r="O397" i="60"/>
  <c r="O319" i="60"/>
  <c r="O331" i="60"/>
  <c r="O123" i="60"/>
  <c r="O188" i="60"/>
  <c r="O383" i="60"/>
  <c r="O149" i="60"/>
  <c r="O214" i="60"/>
  <c r="O110" i="60"/>
  <c r="O19" i="60"/>
  <c r="O176" i="60"/>
  <c r="O111" i="60"/>
  <c r="O150" i="60"/>
  <c r="O20" i="60"/>
  <c r="O267" i="60"/>
  <c r="O302" i="60"/>
  <c r="O198" i="60"/>
  <c r="O159" i="60"/>
  <c r="O289" i="60"/>
  <c r="O107" i="60"/>
  <c r="O263" i="60"/>
  <c r="O315" i="60"/>
  <c r="O120" i="60"/>
  <c r="O145" i="60"/>
  <c r="O210" i="60"/>
  <c r="O366" i="60"/>
  <c r="O223" i="60"/>
  <c r="O288" i="60"/>
  <c r="O67" i="60"/>
  <c r="O54" i="60"/>
  <c r="O346" i="60"/>
  <c r="O138" i="60"/>
  <c r="O151" i="60"/>
  <c r="O268" i="60"/>
  <c r="O333" i="60"/>
  <c r="O112" i="60"/>
  <c r="O73" i="60"/>
  <c r="G228" i="60"/>
  <c r="G215" i="60"/>
  <c r="I215" i="60" s="1"/>
  <c r="G18" i="60"/>
  <c r="G51" i="60"/>
  <c r="G25" i="60"/>
  <c r="G272" i="60"/>
  <c r="G207" i="60"/>
  <c r="G155" i="60"/>
  <c r="G298" i="60"/>
  <c r="G350" i="60"/>
  <c r="G191" i="60"/>
  <c r="G334" i="60"/>
  <c r="G269" i="60"/>
  <c r="G165" i="60"/>
  <c r="I165" i="60" s="1"/>
  <c r="G217" i="60"/>
  <c r="G35" i="60"/>
  <c r="G74" i="60"/>
  <c r="G123" i="60"/>
  <c r="G84" i="60"/>
  <c r="G45" i="60"/>
  <c r="I45" i="60" s="1"/>
  <c r="G253" i="60"/>
  <c r="G175" i="60"/>
  <c r="G110" i="60"/>
  <c r="G318" i="60"/>
  <c r="G370" i="60"/>
  <c r="G114" i="60"/>
  <c r="I114" i="60" s="1"/>
  <c r="G88" i="60"/>
  <c r="I88" i="60" s="1"/>
  <c r="G101" i="60"/>
  <c r="G400" i="60"/>
  <c r="G192" i="60"/>
  <c r="G348" i="60"/>
  <c r="G335" i="60"/>
  <c r="G99" i="60"/>
  <c r="G359" i="60"/>
  <c r="G60" i="60"/>
  <c r="G346" i="60"/>
  <c r="G294" i="60"/>
  <c r="I294" i="60" s="1"/>
  <c r="G216" i="60"/>
  <c r="G281" i="60"/>
  <c r="G112" i="60"/>
  <c r="G79" i="60"/>
  <c r="G287" i="60"/>
  <c r="G196" i="60"/>
  <c r="G235" i="60"/>
  <c r="G313" i="60"/>
  <c r="G131" i="60"/>
  <c r="G339" i="60"/>
  <c r="G15" i="60"/>
  <c r="I15" i="60" s="1"/>
  <c r="G210" i="60"/>
  <c r="G197" i="60"/>
  <c r="G236" i="60"/>
  <c r="G171" i="60"/>
  <c r="G288" i="60"/>
  <c r="G93" i="60"/>
  <c r="G366" i="60"/>
  <c r="I366" i="60" s="1"/>
  <c r="AB241" i="60"/>
  <c r="AD241" i="60" s="1"/>
  <c r="AB293" i="60"/>
  <c r="AD293" i="60" s="1"/>
  <c r="AB176" i="60"/>
  <c r="AD176" i="60" s="1"/>
  <c r="AB137" i="60"/>
  <c r="AD137" i="60" s="1"/>
  <c r="AB215" i="60"/>
  <c r="AD215" i="60" s="1"/>
  <c r="AB111" i="60"/>
  <c r="AD111" i="60" s="1"/>
  <c r="AB124" i="60"/>
  <c r="AD124" i="60" s="1"/>
  <c r="AB89" i="60"/>
  <c r="AD89" i="60" s="1"/>
  <c r="AB115" i="60"/>
  <c r="AD115" i="60" s="1"/>
  <c r="AB297" i="60"/>
  <c r="AD297" i="60" s="1"/>
  <c r="AB24" i="60"/>
  <c r="AD24" i="60" s="1"/>
  <c r="AB154" i="60"/>
  <c r="AD154" i="60" s="1"/>
  <c r="AB310" i="60"/>
  <c r="AD310" i="60" s="1"/>
  <c r="AB245" i="60"/>
  <c r="AD245" i="60" s="1"/>
  <c r="AB141" i="60"/>
  <c r="AD141" i="60" s="1"/>
  <c r="AB356" i="60"/>
  <c r="AD356" i="60" s="1"/>
  <c r="AB70" i="60"/>
  <c r="AD70" i="60" s="1"/>
  <c r="AB135" i="60"/>
  <c r="AD135" i="60" s="1"/>
  <c r="AB252" i="60"/>
  <c r="AD252" i="60" s="1"/>
  <c r="AB200" i="60"/>
  <c r="AD200" i="60" s="1"/>
  <c r="AB265" i="60"/>
  <c r="AD265" i="60" s="1"/>
  <c r="AB161" i="60"/>
  <c r="AD161" i="60" s="1"/>
  <c r="AB51" i="60"/>
  <c r="AD51" i="60" s="1"/>
  <c r="AB337" i="60"/>
  <c r="AD337" i="60" s="1"/>
  <c r="AB77" i="60"/>
  <c r="AD77" i="60" s="1"/>
  <c r="AB194" i="60"/>
  <c r="AD194" i="60" s="1"/>
  <c r="AB116" i="60"/>
  <c r="AD116" i="60" s="1"/>
  <c r="AB350" i="60"/>
  <c r="AD350" i="60" s="1"/>
  <c r="AB389" i="60"/>
  <c r="AD389" i="60" s="1"/>
  <c r="AB311" i="60"/>
  <c r="AD311" i="60" s="1"/>
  <c r="AB113" i="60"/>
  <c r="AD113" i="60" s="1"/>
  <c r="AB191" i="60"/>
  <c r="AD191" i="60" s="1"/>
  <c r="AB48" i="60"/>
  <c r="AD48" i="60" s="1"/>
  <c r="AB347" i="60"/>
  <c r="AD347" i="60" s="1"/>
  <c r="AB295" i="60"/>
  <c r="AD295" i="60" s="1"/>
  <c r="AB87" i="60"/>
  <c r="AD87" i="60" s="1"/>
  <c r="AB399" i="60"/>
  <c r="AD399" i="60" s="1"/>
  <c r="AB71" i="60"/>
  <c r="AD71" i="60" s="1"/>
  <c r="AB149" i="60"/>
  <c r="AD149" i="60" s="1"/>
  <c r="AB32" i="60"/>
  <c r="AD32" i="60" s="1"/>
  <c r="AB45" i="60"/>
  <c r="AD45" i="60" s="1"/>
  <c r="AB253" i="60"/>
  <c r="AD253" i="60" s="1"/>
  <c r="AB201" i="60"/>
  <c r="AD201" i="60" s="1"/>
  <c r="AB331" i="60"/>
  <c r="AD331" i="60" s="1"/>
  <c r="AB123" i="60"/>
  <c r="AD123" i="60" s="1"/>
  <c r="AB130" i="60"/>
  <c r="AD130" i="60" s="1"/>
  <c r="AB247" i="60"/>
  <c r="AD247" i="60" s="1"/>
  <c r="AB156" i="60"/>
  <c r="AD156" i="60" s="1"/>
  <c r="AB234" i="60"/>
  <c r="AD234" i="60" s="1"/>
  <c r="AB52" i="60"/>
  <c r="AD52" i="60" s="1"/>
  <c r="AB182" i="60"/>
  <c r="AD182" i="60" s="1"/>
  <c r="AB377" i="60"/>
  <c r="AD377" i="60" s="1"/>
  <c r="AB166" i="60"/>
  <c r="AD166" i="60" s="1"/>
  <c r="AB127" i="60"/>
  <c r="AD127" i="60" s="1"/>
  <c r="AB322" i="60"/>
  <c r="AD322" i="60" s="1"/>
  <c r="AB36" i="60"/>
  <c r="AD36" i="60" s="1"/>
  <c r="AB140" i="60"/>
  <c r="AD140" i="60" s="1"/>
  <c r="AB296" i="60"/>
  <c r="AD296" i="60" s="1"/>
  <c r="AB387" i="60"/>
  <c r="AD387" i="60" s="1"/>
  <c r="AB179" i="60"/>
  <c r="AD179" i="60" s="1"/>
  <c r="AB73" i="60"/>
  <c r="AD73" i="60" s="1"/>
  <c r="AB112" i="60"/>
  <c r="AD112" i="60" s="1"/>
  <c r="AB21" i="60"/>
  <c r="AD21" i="60" s="1"/>
  <c r="AB60" i="60"/>
  <c r="AD60" i="60" s="1"/>
  <c r="AB125" i="60"/>
  <c r="AD125" i="60" s="1"/>
  <c r="AB151" i="60"/>
  <c r="AD151" i="60" s="1"/>
  <c r="AB307" i="60"/>
  <c r="AD307" i="60" s="1"/>
  <c r="AB108" i="60"/>
  <c r="AD108" i="60" s="1"/>
  <c r="AB342" i="60"/>
  <c r="AD342" i="60" s="1"/>
  <c r="AB56" i="60"/>
  <c r="AD56" i="60" s="1"/>
  <c r="AB290" i="60"/>
  <c r="AD290" i="60" s="1"/>
  <c r="AB368" i="60"/>
  <c r="AD368" i="60" s="1"/>
  <c r="AB316" i="60"/>
  <c r="AD316" i="60" s="1"/>
  <c r="AB381" i="60"/>
  <c r="AD381" i="60" s="1"/>
  <c r="AB263" i="60"/>
  <c r="AD263" i="60" s="1"/>
  <c r="AB211" i="60"/>
  <c r="AD211" i="60" s="1"/>
  <c r="AB120" i="60"/>
  <c r="AD120" i="60" s="1"/>
  <c r="AB198" i="60"/>
  <c r="AD198" i="60" s="1"/>
  <c r="AB42" i="60"/>
  <c r="AD42" i="60" s="1"/>
  <c r="AB315" i="60"/>
  <c r="AD315" i="60" s="1"/>
  <c r="AB341" i="60"/>
  <c r="AD341" i="60" s="1"/>
  <c r="AB66" i="60"/>
  <c r="AD66" i="60" s="1"/>
  <c r="AB79" i="60"/>
  <c r="AD79" i="60" s="1"/>
  <c r="AB261" i="60"/>
  <c r="AD261" i="60" s="1"/>
  <c r="AB27" i="60"/>
  <c r="AD27" i="60" s="1"/>
  <c r="AB235" i="60"/>
  <c r="AD235" i="60" s="1"/>
  <c r="AB144" i="60"/>
  <c r="AD144" i="60" s="1"/>
  <c r="AB391" i="60"/>
  <c r="AD391" i="60" s="1"/>
  <c r="AB378" i="60"/>
  <c r="AD378" i="60" s="1"/>
  <c r="AB93" i="60"/>
  <c r="AD93" i="60" s="1"/>
  <c r="AB210" i="60"/>
  <c r="AD210" i="60" s="1"/>
  <c r="AB223" i="60"/>
  <c r="AD223" i="60" s="1"/>
  <c r="AB236" i="60"/>
  <c r="AD236" i="60" s="1"/>
  <c r="AB54" i="60"/>
  <c r="AD54" i="60" s="1"/>
  <c r="AB184" i="60"/>
  <c r="AD184" i="60" s="1"/>
  <c r="AB327" i="60"/>
  <c r="AD327" i="60" s="1"/>
  <c r="U375" i="60"/>
  <c r="U219" i="60"/>
  <c r="U323" i="60"/>
  <c r="U232" i="60"/>
  <c r="U141" i="60"/>
  <c r="W141" i="60" s="1"/>
  <c r="U63" i="60"/>
  <c r="U245" i="60"/>
  <c r="W245" i="60" s="1"/>
  <c r="U282" i="60"/>
  <c r="U269" i="60"/>
  <c r="U347" i="60"/>
  <c r="W347" i="60" s="1"/>
  <c r="U243" i="60"/>
  <c r="U61" i="60"/>
  <c r="U191" i="60"/>
  <c r="U100" i="60"/>
  <c r="U74" i="60"/>
  <c r="U319" i="60"/>
  <c r="W319" i="60" s="1"/>
  <c r="U189" i="60"/>
  <c r="U202" i="60"/>
  <c r="U20" i="60"/>
  <c r="U137" i="60"/>
  <c r="U293" i="60"/>
  <c r="U33" i="60"/>
  <c r="U379" i="60"/>
  <c r="W379" i="60" s="1"/>
  <c r="U327" i="60"/>
  <c r="U236" i="60"/>
  <c r="U132" i="60"/>
  <c r="U119" i="60"/>
  <c r="U210" i="60"/>
  <c r="U93" i="60"/>
  <c r="U299" i="60"/>
  <c r="U286" i="60"/>
  <c r="U325" i="60"/>
  <c r="U143" i="60"/>
  <c r="U65" i="60"/>
  <c r="U130" i="60"/>
  <c r="W130" i="60" s="1"/>
  <c r="U260" i="60"/>
  <c r="U398" i="60"/>
  <c r="U346" i="60"/>
  <c r="U268" i="60"/>
  <c r="U99" i="60"/>
  <c r="U203" i="60"/>
  <c r="U372" i="60"/>
  <c r="U21" i="60"/>
  <c r="U138" i="60"/>
  <c r="U326" i="60"/>
  <c r="U313" i="60"/>
  <c r="U248" i="60"/>
  <c r="U27" i="60"/>
  <c r="U170" i="60"/>
  <c r="W170" i="60" s="1"/>
  <c r="U209" i="60"/>
  <c r="W209" i="60" s="1"/>
  <c r="U40" i="60"/>
  <c r="W40" i="60" s="1"/>
  <c r="U356" i="60"/>
  <c r="U278" i="60"/>
  <c r="U369" i="60"/>
  <c r="U96" i="60"/>
  <c r="U161" i="60"/>
  <c r="U109" i="60"/>
  <c r="U402" i="60"/>
  <c r="U246" i="60"/>
  <c r="U337" i="60"/>
  <c r="W337" i="60" s="1"/>
  <c r="U220" i="60"/>
  <c r="U90" i="60"/>
  <c r="U142" i="60"/>
  <c r="U129" i="60"/>
  <c r="U383" i="60"/>
  <c r="U305" i="60"/>
  <c r="W305" i="60" s="1"/>
  <c r="U253" i="60"/>
  <c r="U240" i="60"/>
  <c r="U162" i="60"/>
  <c r="U45" i="60"/>
  <c r="U175" i="60"/>
  <c r="U393" i="60"/>
  <c r="U250" i="60"/>
  <c r="U276" i="60"/>
  <c r="U107" i="60"/>
  <c r="W107" i="60" s="1"/>
  <c r="U354" i="60"/>
  <c r="U16" i="60"/>
  <c r="U185" i="60"/>
  <c r="U55" i="60"/>
  <c r="U361" i="60"/>
  <c r="U374" i="60"/>
  <c r="U283" i="60"/>
  <c r="U88" i="60"/>
  <c r="W88" i="60" s="1"/>
  <c r="U23" i="60"/>
  <c r="U218" i="60"/>
  <c r="U342" i="60"/>
  <c r="U355" i="60"/>
  <c r="W355" i="60" s="1"/>
  <c r="U290" i="60"/>
  <c r="U368" i="60"/>
  <c r="U108" i="60"/>
  <c r="U82" i="60"/>
  <c r="U69" i="60"/>
  <c r="U56" i="60"/>
  <c r="AB250" i="60"/>
  <c r="AD250" i="60" s="1"/>
  <c r="U163" i="60"/>
  <c r="W163" i="60" s="1"/>
  <c r="U53" i="60"/>
  <c r="U83" i="60"/>
  <c r="U84" i="60"/>
  <c r="W84" i="60" s="1"/>
  <c r="U101" i="60"/>
  <c r="W101" i="60" s="1"/>
  <c r="AI156" i="60"/>
  <c r="AK156" i="60" s="1"/>
  <c r="AI346" i="60"/>
  <c r="AK346" i="60" s="1"/>
  <c r="AI86" i="60"/>
  <c r="AK86" i="60" s="1"/>
  <c r="AI367" i="60"/>
  <c r="AK367" i="60" s="1"/>
  <c r="AI55" i="60"/>
  <c r="AK55" i="60" s="1"/>
  <c r="AI378" i="60"/>
  <c r="AK378" i="60" s="1"/>
  <c r="AI209" i="60"/>
  <c r="AK209" i="60" s="1"/>
  <c r="AI323" i="60"/>
  <c r="AK323" i="60" s="1"/>
  <c r="AI102" i="60"/>
  <c r="AK102" i="60" s="1"/>
  <c r="AI337" i="60"/>
  <c r="AK337" i="60" s="1"/>
  <c r="AI298" i="60"/>
  <c r="AK298" i="60" s="1"/>
  <c r="AI309" i="60"/>
  <c r="AK309" i="60" s="1"/>
  <c r="AI140" i="60"/>
  <c r="AK140" i="60" s="1"/>
  <c r="AI202" i="60"/>
  <c r="AK202" i="60" s="1"/>
  <c r="AI46" i="60"/>
  <c r="AK46" i="60" s="1"/>
  <c r="AI136" i="60"/>
  <c r="AK136" i="60" s="1"/>
  <c r="AI342" i="60"/>
  <c r="AK342" i="60" s="1"/>
  <c r="AI56" i="60"/>
  <c r="AK56" i="60" s="1"/>
  <c r="AI343" i="60"/>
  <c r="AK343" i="60" s="1"/>
  <c r="AI31" i="60"/>
  <c r="AK31" i="60" s="1"/>
  <c r="AI269" i="60"/>
  <c r="AK269" i="60" s="1"/>
  <c r="AI22" i="60"/>
  <c r="AK22" i="60" s="1"/>
  <c r="AI314" i="60"/>
  <c r="AK314" i="60" s="1"/>
  <c r="AI67" i="60"/>
  <c r="AK67" i="60" s="1"/>
  <c r="AI169" i="60"/>
  <c r="AK169" i="60" s="1"/>
  <c r="AI398" i="60"/>
  <c r="AK398" i="60" s="1"/>
  <c r="AI21" i="60"/>
  <c r="AK21" i="60" s="1"/>
  <c r="AI393" i="60"/>
  <c r="AK393" i="60" s="1"/>
  <c r="AI263" i="60"/>
  <c r="AK263" i="60" s="1"/>
  <c r="AI300" i="60"/>
  <c r="AK300" i="60" s="1"/>
  <c r="AI170" i="60"/>
  <c r="AK170" i="60" s="1"/>
  <c r="AI362" i="60"/>
  <c r="AK362" i="60" s="1"/>
  <c r="AI76" i="60"/>
  <c r="AK76" i="60" s="1"/>
  <c r="AI350" i="60"/>
  <c r="AK350" i="60" s="1"/>
  <c r="AI181" i="60"/>
  <c r="AK181" i="60" s="1"/>
  <c r="AI257" i="60"/>
  <c r="AK257" i="60" s="1"/>
  <c r="AI23" i="60"/>
  <c r="AK23" i="60" s="1"/>
  <c r="AI189" i="60"/>
  <c r="AK189" i="60" s="1"/>
  <c r="AI137" i="60"/>
  <c r="AK137" i="60" s="1"/>
  <c r="AI97" i="60"/>
  <c r="AK97" i="60" s="1"/>
  <c r="AI368" i="60"/>
  <c r="AK368" i="60" s="1"/>
  <c r="AI173" i="60"/>
  <c r="AK173" i="60" s="1"/>
  <c r="AI200" i="60"/>
  <c r="AK200" i="60" s="1"/>
  <c r="AI187" i="60"/>
  <c r="AK187" i="60" s="1"/>
  <c r="AI373" i="60"/>
  <c r="AK373" i="60" s="1"/>
  <c r="AI243" i="60"/>
  <c r="AK243" i="60" s="1"/>
  <c r="AI379" i="60"/>
  <c r="AK379" i="60" s="1"/>
  <c r="AI119" i="60"/>
  <c r="AK119" i="60" s="1"/>
  <c r="AI234" i="60"/>
  <c r="AK234" i="60" s="1"/>
  <c r="AI26" i="60"/>
  <c r="AK26" i="60" s="1"/>
  <c r="AI294" i="60"/>
  <c r="AK294" i="60" s="1"/>
  <c r="AI380" i="60"/>
  <c r="AK380" i="60" s="1"/>
  <c r="AI68" i="60"/>
  <c r="AK68" i="60" s="1"/>
  <c r="AI261" i="60"/>
  <c r="AK261" i="60" s="1"/>
  <c r="AI235" i="60"/>
  <c r="AK235" i="60" s="1"/>
  <c r="AI388" i="60"/>
  <c r="AK388" i="60" s="1"/>
  <c r="AI128" i="60"/>
  <c r="AK128" i="60" s="1"/>
  <c r="AI324" i="60"/>
  <c r="AK324" i="60" s="1"/>
  <c r="AI64" i="60"/>
  <c r="AK64" i="60" s="1"/>
  <c r="AI270" i="60"/>
  <c r="AK270" i="60" s="1"/>
  <c r="AI36" i="60"/>
  <c r="AK36" i="60" s="1"/>
  <c r="AI124" i="60"/>
  <c r="AK124" i="60" s="1"/>
  <c r="AI176" i="60"/>
  <c r="AK176" i="60" s="1"/>
  <c r="AI175" i="60"/>
  <c r="AK175" i="60" s="1"/>
  <c r="AI19" i="60"/>
  <c r="AK19" i="60" s="1"/>
  <c r="AI199" i="60"/>
  <c r="AK199" i="60" s="1"/>
  <c r="AI225" i="60"/>
  <c r="AK225" i="60" s="1"/>
  <c r="AI213" i="60"/>
  <c r="AK213" i="60" s="1"/>
  <c r="AI57" i="60"/>
  <c r="AK57" i="60" s="1"/>
  <c r="AI295" i="60"/>
  <c r="AK295" i="60" s="1"/>
  <c r="AI366" i="60"/>
  <c r="AK366" i="60" s="1"/>
  <c r="AI41" i="60"/>
  <c r="AK41" i="60" s="1"/>
  <c r="AI351" i="60"/>
  <c r="AK351" i="60" s="1"/>
  <c r="AI104" i="60"/>
  <c r="AK104" i="60" s="1"/>
  <c r="AI385" i="60"/>
  <c r="AK385" i="60" s="1"/>
  <c r="AI112" i="60"/>
  <c r="AK112" i="60" s="1"/>
  <c r="AI302" i="60"/>
  <c r="AK302" i="60" s="1"/>
  <c r="AI250" i="60"/>
  <c r="AK250" i="60" s="1"/>
  <c r="AI287" i="60"/>
  <c r="AK287" i="60" s="1"/>
  <c r="AI53" i="60"/>
  <c r="AK53" i="60" s="1"/>
  <c r="AI180" i="60"/>
  <c r="AK180" i="60" s="1"/>
  <c r="AI63" i="60"/>
  <c r="AK63" i="60" s="1"/>
  <c r="AI220" i="60"/>
  <c r="AK220" i="60" s="1"/>
  <c r="AI38" i="60"/>
  <c r="AK38" i="60" s="1"/>
  <c r="AI400" i="60"/>
  <c r="AK400" i="60" s="1"/>
  <c r="AI205" i="60"/>
  <c r="AK205" i="60" s="1"/>
  <c r="AI397" i="60"/>
  <c r="AK397" i="60" s="1"/>
  <c r="AI279" i="60"/>
  <c r="AK279" i="60" s="1"/>
  <c r="AI227" i="60"/>
  <c r="AK227" i="60" s="1"/>
  <c r="AI316" i="60"/>
  <c r="AK316" i="60" s="1"/>
  <c r="AI212" i="60"/>
  <c r="AK212" i="60" s="1"/>
  <c r="AI265" i="60"/>
  <c r="AK265" i="60" s="1"/>
  <c r="AI382" i="60"/>
  <c r="AK382" i="60" s="1"/>
  <c r="AI386" i="60"/>
  <c r="AK386" i="60" s="1"/>
  <c r="AI126" i="60"/>
  <c r="AK126" i="60" s="1"/>
  <c r="AI288" i="60"/>
  <c r="AK288" i="60" s="1"/>
  <c r="AI210" i="60"/>
  <c r="AK210" i="60" s="1"/>
  <c r="V314" i="60"/>
  <c r="V249" i="60"/>
  <c r="O376" i="60"/>
  <c r="O155" i="60"/>
  <c r="H321" i="60"/>
  <c r="H386" i="60"/>
  <c r="V72" i="60"/>
  <c r="V33" i="60"/>
  <c r="O40" i="60"/>
  <c r="O79" i="60"/>
  <c r="H266" i="60"/>
  <c r="V364" i="60"/>
  <c r="V325" i="60"/>
  <c r="O205" i="60"/>
  <c r="O296" i="60"/>
  <c r="H320" i="60"/>
  <c r="H372" i="60"/>
  <c r="O108" i="60"/>
  <c r="O82" i="60"/>
  <c r="V402" i="60"/>
  <c r="V90" i="60"/>
  <c r="O269" i="60"/>
  <c r="O230" i="60"/>
  <c r="H137" i="60"/>
  <c r="H228" i="60"/>
  <c r="V206" i="60"/>
  <c r="V50" i="60"/>
  <c r="V62" i="60"/>
  <c r="H200" i="60"/>
  <c r="H252" i="60"/>
  <c r="V264" i="60"/>
  <c r="AS264" i="60" s="1"/>
  <c r="V160" i="60"/>
  <c r="AS160" i="60" s="1"/>
  <c r="H392" i="60"/>
  <c r="H262" i="60"/>
  <c r="V79" i="60"/>
  <c r="V53" i="60"/>
  <c r="V240" i="60"/>
  <c r="V227" i="60"/>
  <c r="O37" i="60"/>
  <c r="V333" i="60"/>
  <c r="V216" i="60"/>
  <c r="O382" i="60"/>
  <c r="O109" i="60"/>
  <c r="H90" i="60"/>
  <c r="V48" i="60"/>
  <c r="AS48" i="60" s="1"/>
  <c r="H378" i="60"/>
  <c r="O390" i="60"/>
  <c r="O299" i="60"/>
  <c r="H361" i="60"/>
  <c r="V356" i="60"/>
  <c r="V187" i="60"/>
  <c r="AS187" i="60" s="1"/>
  <c r="V354" i="60"/>
  <c r="V68" i="60"/>
  <c r="V262" i="60"/>
  <c r="V197" i="60"/>
  <c r="O337" i="60"/>
  <c r="O51" i="60"/>
  <c r="H269" i="60"/>
  <c r="H256" i="60"/>
  <c r="V228" i="60"/>
  <c r="V59" i="60"/>
  <c r="O300" i="60"/>
  <c r="O105" i="60"/>
  <c r="H305" i="60"/>
  <c r="V377" i="60"/>
  <c r="V312" i="60"/>
  <c r="O153" i="60"/>
  <c r="O244" i="60"/>
  <c r="H346" i="60"/>
  <c r="H164" i="60"/>
  <c r="O329" i="60"/>
  <c r="O95" i="60"/>
  <c r="V311" i="60"/>
  <c r="V77" i="60"/>
  <c r="O204" i="60"/>
  <c r="O35" i="60"/>
  <c r="H33" i="60"/>
  <c r="H124" i="60"/>
  <c r="V167" i="60"/>
  <c r="V37" i="60"/>
  <c r="V23" i="60"/>
  <c r="H291" i="60"/>
  <c r="H343" i="60"/>
  <c r="V394" i="60"/>
  <c r="V134" i="60"/>
  <c r="H288" i="60"/>
  <c r="H379" i="60"/>
  <c r="V222" i="60"/>
  <c r="V118" i="60"/>
  <c r="V266" i="60"/>
  <c r="V71" i="60"/>
  <c r="O349" i="60"/>
  <c r="O102" i="60"/>
  <c r="V47" i="60"/>
  <c r="V151" i="60"/>
  <c r="AS151" i="60" s="1"/>
  <c r="O122" i="60"/>
  <c r="H51" i="60"/>
  <c r="H181" i="60"/>
  <c r="V22" i="60"/>
  <c r="H170" i="60"/>
  <c r="H66" i="60"/>
  <c r="O247" i="60"/>
  <c r="O26" i="60"/>
  <c r="H153" i="60"/>
  <c r="V369" i="60"/>
  <c r="V135" i="60"/>
  <c r="AS135" i="60" s="1"/>
  <c r="V367" i="60"/>
  <c r="V263" i="60"/>
  <c r="AS263" i="60" s="1"/>
  <c r="V16" i="60"/>
  <c r="V236" i="60"/>
  <c r="O324" i="60"/>
  <c r="O142" i="60"/>
  <c r="H334" i="60"/>
  <c r="H217" i="60"/>
  <c r="V397" i="60"/>
  <c r="AS397" i="60" s="1"/>
  <c r="V98" i="60"/>
  <c r="O378" i="60"/>
  <c r="O274" i="60"/>
  <c r="H318" i="60"/>
  <c r="H201" i="60"/>
  <c r="V286" i="60"/>
  <c r="V299" i="60"/>
  <c r="O231" i="60"/>
  <c r="O114" i="60"/>
  <c r="H216" i="60"/>
  <c r="O381" i="60"/>
  <c r="O134" i="60"/>
  <c r="V272" i="60"/>
  <c r="V51" i="60"/>
  <c r="AS51" i="60" s="1"/>
  <c r="O113" i="60"/>
  <c r="O87" i="60"/>
  <c r="H150" i="60"/>
  <c r="H20" i="60"/>
  <c r="V271" i="60"/>
  <c r="V63" i="60"/>
  <c r="V49" i="60"/>
  <c r="V257" i="60"/>
  <c r="AS257" i="60" s="1"/>
  <c r="H18" i="60"/>
  <c r="V368" i="60"/>
  <c r="V30" i="60"/>
  <c r="H249" i="60"/>
  <c r="H301" i="60"/>
  <c r="V378" i="60"/>
  <c r="V248" i="60"/>
  <c r="V331" i="60"/>
  <c r="V175" i="60"/>
  <c r="O388" i="60"/>
  <c r="O193" i="60"/>
  <c r="V320" i="60"/>
  <c r="V125" i="60"/>
  <c r="O278" i="60"/>
  <c r="O70" i="60"/>
  <c r="V386" i="60"/>
  <c r="V399" i="60"/>
  <c r="H209" i="60"/>
  <c r="O338" i="60"/>
  <c r="H36" i="60"/>
  <c r="H75" i="60"/>
  <c r="V213" i="60"/>
  <c r="V18" i="60"/>
  <c r="V250" i="60"/>
  <c r="V275" i="60"/>
  <c r="V184" i="60"/>
  <c r="O233" i="60"/>
  <c r="O77" i="60"/>
  <c r="H295" i="60"/>
  <c r="H61" i="60"/>
  <c r="V137" i="60"/>
  <c r="V46" i="60"/>
  <c r="O14" i="60"/>
  <c r="H58" i="60"/>
  <c r="H136" i="60"/>
  <c r="V403" i="60"/>
  <c r="AS403" i="60" s="1"/>
  <c r="V195" i="60"/>
  <c r="O322" i="60"/>
  <c r="O140" i="60"/>
  <c r="H34" i="60"/>
  <c r="H151" i="60"/>
  <c r="O225" i="60"/>
  <c r="O121" i="60"/>
  <c r="V259" i="60"/>
  <c r="V129" i="60"/>
  <c r="O165" i="60"/>
  <c r="O61" i="60"/>
  <c r="H371" i="60"/>
  <c r="V375" i="60"/>
  <c r="V76" i="60"/>
  <c r="V374" i="60"/>
  <c r="AS374" i="60" s="1"/>
  <c r="V140" i="60"/>
  <c r="H239" i="60"/>
  <c r="H44" i="60"/>
  <c r="V303" i="60"/>
  <c r="AS303" i="60" s="1"/>
  <c r="V199" i="60"/>
  <c r="H327" i="60"/>
  <c r="H106" i="60"/>
  <c r="V131" i="60"/>
  <c r="AS131" i="60" s="1"/>
  <c r="V313" i="60"/>
  <c r="AS313" i="60" s="1"/>
  <c r="V19" i="60"/>
  <c r="AS19" i="60" s="1"/>
  <c r="V97" i="60"/>
  <c r="O63" i="60"/>
  <c r="O76" i="60"/>
  <c r="V385" i="60"/>
  <c r="O213" i="60"/>
  <c r="O252" i="60"/>
  <c r="H103" i="60"/>
  <c r="V308" i="60"/>
  <c r="V178" i="60"/>
  <c r="H391" i="60"/>
  <c r="H131" i="60"/>
  <c r="O52" i="60"/>
  <c r="O286" i="60"/>
  <c r="H62" i="60"/>
  <c r="H166" i="60"/>
  <c r="V226" i="60"/>
  <c r="V315" i="60"/>
  <c r="AS315" i="60" s="1"/>
  <c r="V120" i="60"/>
  <c r="O377" i="60"/>
  <c r="N294" i="60"/>
  <c r="N151" i="60"/>
  <c r="P151" i="60" s="1"/>
  <c r="N343" i="60"/>
  <c r="N226" i="60"/>
  <c r="N305" i="60"/>
  <c r="N318" i="60"/>
  <c r="N381" i="60"/>
  <c r="N69" i="60"/>
  <c r="P69" i="60" s="1"/>
  <c r="N94" i="60"/>
  <c r="N133" i="60"/>
  <c r="N326" i="60"/>
  <c r="N258" i="60"/>
  <c r="N154" i="60"/>
  <c r="N350" i="60"/>
  <c r="P350" i="60" s="1"/>
  <c r="N259" i="60"/>
  <c r="N335" i="60"/>
  <c r="N114" i="60"/>
  <c r="N269" i="60"/>
  <c r="P269" i="60" s="1"/>
  <c r="N35" i="60"/>
  <c r="P35" i="60" s="1"/>
  <c r="N254" i="60"/>
  <c r="N384" i="60"/>
  <c r="N156" i="60"/>
  <c r="P156" i="60" s="1"/>
  <c r="N26" i="60"/>
  <c r="N158" i="60"/>
  <c r="N54" i="60"/>
  <c r="P54" i="60" s="1"/>
  <c r="N215" i="60"/>
  <c r="N262" i="60"/>
  <c r="N112" i="60"/>
  <c r="P112" i="60" s="1"/>
  <c r="N47" i="60"/>
  <c r="N395" i="60"/>
  <c r="P395" i="60" s="1"/>
  <c r="N253" i="60"/>
  <c r="N149" i="60"/>
  <c r="P149" i="60" s="1"/>
  <c r="N238" i="60"/>
  <c r="N134" i="60"/>
  <c r="P134" i="60" s="1"/>
  <c r="N42" i="60"/>
  <c r="N302" i="60"/>
  <c r="P302" i="60" s="1"/>
  <c r="N274" i="60"/>
  <c r="P274" i="60" s="1"/>
  <c r="N183" i="60"/>
  <c r="N232" i="60"/>
  <c r="N219" i="60"/>
  <c r="N77" i="60"/>
  <c r="P77" i="60" s="1"/>
  <c r="N298" i="60"/>
  <c r="N62" i="60"/>
  <c r="N231" i="60"/>
  <c r="N100" i="60"/>
  <c r="P100" i="60" s="1"/>
  <c r="N85" i="60"/>
  <c r="N137" i="60"/>
  <c r="N312" i="60"/>
  <c r="N208" i="60"/>
  <c r="P208" i="60" s="1"/>
  <c r="N106" i="60"/>
  <c r="N327" i="60"/>
  <c r="N308" i="60"/>
  <c r="N403" i="60"/>
  <c r="P403" i="60" s="1"/>
  <c r="N86" i="60"/>
  <c r="N398" i="60"/>
  <c r="N252" i="60"/>
  <c r="N356" i="60"/>
  <c r="N331" i="60"/>
  <c r="P331" i="60" s="1"/>
  <c r="N84" i="60"/>
  <c r="N290" i="60"/>
  <c r="N43" i="60"/>
  <c r="N120" i="60"/>
  <c r="P120" i="60" s="1"/>
  <c r="N222" i="60"/>
  <c r="N131" i="60"/>
  <c r="P131" i="60" s="1"/>
  <c r="N388" i="60"/>
  <c r="P388" i="60" s="1"/>
  <c r="N167" i="60"/>
  <c r="N116" i="60"/>
  <c r="P116" i="60" s="1"/>
  <c r="N363" i="60"/>
  <c r="N348" i="60"/>
  <c r="P348" i="60" s="1"/>
  <c r="N75" i="60"/>
  <c r="N280" i="60"/>
  <c r="N67" i="60"/>
  <c r="P67" i="60" s="1"/>
  <c r="N138" i="60"/>
  <c r="P138" i="60" s="1"/>
  <c r="N125" i="60"/>
  <c r="N174" i="60"/>
  <c r="N109" i="60"/>
  <c r="N136" i="60"/>
  <c r="N316" i="60"/>
  <c r="P316" i="60" s="1"/>
  <c r="N225" i="60"/>
  <c r="N159" i="60"/>
  <c r="P159" i="60" s="1"/>
  <c r="N55" i="60"/>
  <c r="N27" i="60"/>
  <c r="N378" i="60"/>
  <c r="N310" i="60"/>
  <c r="P310" i="60" s="1"/>
  <c r="N89" i="60"/>
  <c r="N285" i="60"/>
  <c r="N389" i="60"/>
  <c r="P389" i="60" s="1"/>
  <c r="N36" i="60"/>
  <c r="N166" i="60"/>
  <c r="P166" i="60" s="1"/>
  <c r="N373" i="60"/>
  <c r="N113" i="60"/>
  <c r="N293" i="60"/>
  <c r="N182" i="60"/>
  <c r="N286" i="60"/>
  <c r="N80" i="60"/>
  <c r="N223" i="60"/>
  <c r="P223" i="60" s="1"/>
  <c r="N319" i="60"/>
  <c r="P319" i="60" s="1"/>
  <c r="N119" i="60"/>
  <c r="H168" i="60"/>
  <c r="H116" i="60"/>
  <c r="H246" i="60"/>
  <c r="H155" i="60"/>
  <c r="H326" i="60"/>
  <c r="H196" i="60"/>
  <c r="H79" i="60"/>
  <c r="H140" i="60"/>
  <c r="O345" i="60"/>
  <c r="O72" i="60"/>
  <c r="O279" i="60"/>
  <c r="O344" i="60"/>
  <c r="O136" i="60"/>
  <c r="O305" i="60"/>
  <c r="O71" i="60"/>
  <c r="O162" i="60"/>
  <c r="O32" i="60"/>
  <c r="O84" i="60"/>
  <c r="O358" i="60"/>
  <c r="O306" i="60"/>
  <c r="O163" i="60"/>
  <c r="O124" i="60"/>
  <c r="O215" i="60"/>
  <c r="O367" i="60"/>
  <c r="O42" i="60"/>
  <c r="O81" i="60"/>
  <c r="O133" i="60"/>
  <c r="O29" i="60"/>
  <c r="O172" i="60"/>
  <c r="O55" i="60"/>
  <c r="O301" i="60"/>
  <c r="O93" i="60"/>
  <c r="O158" i="60"/>
  <c r="O353" i="60"/>
  <c r="O171" i="60"/>
  <c r="O236" i="60"/>
  <c r="O80" i="60"/>
  <c r="O15" i="60"/>
  <c r="O294" i="60"/>
  <c r="O359" i="60"/>
  <c r="O385" i="60"/>
  <c r="O216" i="60"/>
  <c r="O281" i="60"/>
  <c r="O125" i="60"/>
  <c r="O99" i="60"/>
  <c r="G306" i="60"/>
  <c r="I306" i="60" s="1"/>
  <c r="G46" i="60"/>
  <c r="G319" i="60"/>
  <c r="G202" i="60"/>
  <c r="I202" i="60" s="1"/>
  <c r="G384" i="60"/>
  <c r="I384" i="60" s="1"/>
  <c r="G150" i="60"/>
  <c r="G135" i="60"/>
  <c r="G343" i="60"/>
  <c r="G213" i="60"/>
  <c r="G369" i="60"/>
  <c r="I369" i="60" s="1"/>
  <c r="G148" i="60"/>
  <c r="G395" i="60"/>
  <c r="I395" i="60" s="1"/>
  <c r="G246" i="60"/>
  <c r="G345" i="60"/>
  <c r="I345" i="60" s="1"/>
  <c r="G280" i="60"/>
  <c r="G358" i="60"/>
  <c r="G85" i="60"/>
  <c r="G124" i="60"/>
  <c r="I124" i="60" s="1"/>
  <c r="G33" i="60"/>
  <c r="G163" i="60"/>
  <c r="G57" i="60"/>
  <c r="G265" i="60"/>
  <c r="G356" i="60"/>
  <c r="G252" i="60"/>
  <c r="G278" i="60"/>
  <c r="G174" i="60"/>
  <c r="I174" i="60" s="1"/>
  <c r="G187" i="60"/>
  <c r="G330" i="60"/>
  <c r="G38" i="60"/>
  <c r="I38" i="60" s="1"/>
  <c r="G285" i="60"/>
  <c r="G363" i="60"/>
  <c r="I363" i="60" s="1"/>
  <c r="G376" i="60"/>
  <c r="I376" i="60" s="1"/>
  <c r="G311" i="60"/>
  <c r="G90" i="60"/>
  <c r="G337" i="60"/>
  <c r="G113" i="60"/>
  <c r="G321" i="60"/>
  <c r="I321" i="60" s="1"/>
  <c r="G386" i="60"/>
  <c r="I386" i="60" s="1"/>
  <c r="G308" i="60"/>
  <c r="G48" i="60"/>
  <c r="G256" i="60"/>
  <c r="G373" i="60"/>
  <c r="G360" i="60"/>
  <c r="I360" i="60" s="1"/>
  <c r="G58" i="60"/>
  <c r="G266" i="60"/>
  <c r="G383" i="60"/>
  <c r="G162" i="60"/>
  <c r="I162" i="60" s="1"/>
  <c r="G188" i="60"/>
  <c r="I188" i="60" s="1"/>
  <c r="G149" i="60"/>
  <c r="I149" i="60" s="1"/>
  <c r="G357" i="60"/>
  <c r="I357" i="60" s="1"/>
  <c r="G75" i="60"/>
  <c r="G153" i="60"/>
  <c r="G361" i="60"/>
  <c r="I361" i="60" s="1"/>
  <c r="G231" i="60"/>
  <c r="G296" i="60"/>
  <c r="I296" i="60" s="1"/>
  <c r="G218" i="60"/>
  <c r="I218" i="60" s="1"/>
  <c r="G166" i="60"/>
  <c r="I166" i="60" s="1"/>
  <c r="G140" i="60"/>
  <c r="I140" i="60" s="1"/>
  <c r="G47" i="60"/>
  <c r="G229" i="60"/>
  <c r="G307" i="60"/>
  <c r="G86" i="60"/>
  <c r="G164" i="60"/>
  <c r="I164" i="60" s="1"/>
  <c r="G34" i="60"/>
  <c r="G268" i="60"/>
  <c r="G105" i="60"/>
  <c r="G66" i="60"/>
  <c r="I66" i="60" s="1"/>
  <c r="G170" i="60"/>
  <c r="G27" i="60"/>
  <c r="I27" i="60" s="1"/>
  <c r="G326" i="60"/>
  <c r="G391" i="60"/>
  <c r="G118" i="60"/>
  <c r="G378" i="60"/>
  <c r="G41" i="60"/>
  <c r="I41" i="60" s="1"/>
  <c r="G249" i="60"/>
  <c r="G327" i="60"/>
  <c r="G340" i="60"/>
  <c r="I340" i="60" s="1"/>
  <c r="G275" i="60"/>
  <c r="G132" i="60"/>
  <c r="I132" i="60" s="1"/>
  <c r="G223" i="60"/>
  <c r="I223" i="60" s="1"/>
  <c r="AB46" i="60"/>
  <c r="AD46" i="60" s="1"/>
  <c r="AB98" i="60"/>
  <c r="AD98" i="60" s="1"/>
  <c r="AB33" i="60"/>
  <c r="AD33" i="60" s="1"/>
  <c r="AB85" i="60"/>
  <c r="AD85" i="60" s="1"/>
  <c r="AB20" i="60"/>
  <c r="AD20" i="60" s="1"/>
  <c r="AB72" i="60"/>
  <c r="AD72" i="60" s="1"/>
  <c r="AB358" i="60"/>
  <c r="AD358" i="60" s="1"/>
  <c r="AB202" i="60"/>
  <c r="AD202" i="60" s="1"/>
  <c r="AB76" i="60"/>
  <c r="AD76" i="60" s="1"/>
  <c r="AB167" i="60"/>
  <c r="AD167" i="60" s="1"/>
  <c r="AB388" i="60"/>
  <c r="AD388" i="60" s="1"/>
  <c r="AB284" i="60"/>
  <c r="AD284" i="60" s="1"/>
  <c r="AB362" i="60"/>
  <c r="AD362" i="60" s="1"/>
  <c r="AB180" i="60"/>
  <c r="AD180" i="60" s="1"/>
  <c r="AB193" i="60"/>
  <c r="AD193" i="60" s="1"/>
  <c r="AB109" i="60"/>
  <c r="AD109" i="60" s="1"/>
  <c r="AB187" i="60"/>
  <c r="AD187" i="60" s="1"/>
  <c r="AB57" i="60"/>
  <c r="AD57" i="60" s="1"/>
  <c r="AB343" i="60"/>
  <c r="AD343" i="60" s="1"/>
  <c r="AB291" i="60"/>
  <c r="AD291" i="60" s="1"/>
  <c r="AB239" i="60"/>
  <c r="AD239" i="60" s="1"/>
  <c r="AB31" i="60"/>
  <c r="AD31" i="60" s="1"/>
  <c r="AB369" i="60"/>
  <c r="AD369" i="60" s="1"/>
  <c r="AB38" i="60"/>
  <c r="AD38" i="60" s="1"/>
  <c r="AB168" i="60"/>
  <c r="AD168" i="60" s="1"/>
  <c r="AB285" i="60"/>
  <c r="AD285" i="60" s="1"/>
  <c r="AB233" i="60"/>
  <c r="AD233" i="60" s="1"/>
  <c r="AB103" i="60"/>
  <c r="AD103" i="60" s="1"/>
  <c r="AB181" i="60"/>
  <c r="AD181" i="60" s="1"/>
  <c r="AB207" i="60"/>
  <c r="AD207" i="60" s="1"/>
  <c r="AB204" i="60"/>
  <c r="AD204" i="60" s="1"/>
  <c r="AB100" i="60"/>
  <c r="AD100" i="60" s="1"/>
  <c r="AB230" i="60"/>
  <c r="AD230" i="60" s="1"/>
  <c r="AB35" i="60"/>
  <c r="AD35" i="60" s="1"/>
  <c r="AB178" i="60"/>
  <c r="AD178" i="60" s="1"/>
  <c r="AB126" i="60"/>
  <c r="AD126" i="60" s="1"/>
  <c r="AB269" i="60"/>
  <c r="AD269" i="60" s="1"/>
  <c r="AB321" i="60"/>
  <c r="AD321" i="60" s="1"/>
  <c r="AB58" i="60"/>
  <c r="AD58" i="60" s="1"/>
  <c r="AB357" i="60"/>
  <c r="AD357" i="60" s="1"/>
  <c r="AB19" i="60"/>
  <c r="AD19" i="60" s="1"/>
  <c r="AB136" i="60"/>
  <c r="AD136" i="60" s="1"/>
  <c r="AB292" i="60"/>
  <c r="AD292" i="60" s="1"/>
  <c r="AB240" i="60"/>
  <c r="AD240" i="60" s="1"/>
  <c r="AB175" i="60"/>
  <c r="AD175" i="60" s="1"/>
  <c r="AB26" i="60"/>
  <c r="AD26" i="60" s="1"/>
  <c r="AB338" i="60"/>
  <c r="AD338" i="60" s="1"/>
  <c r="AB286" i="60"/>
  <c r="AD286" i="60" s="1"/>
  <c r="AB364" i="60"/>
  <c r="AD364" i="60" s="1"/>
  <c r="AB221" i="60"/>
  <c r="AD221" i="60" s="1"/>
  <c r="AB312" i="60"/>
  <c r="AD312" i="60" s="1"/>
  <c r="AB390" i="60"/>
  <c r="AD390" i="60" s="1"/>
  <c r="AB403" i="60"/>
  <c r="AD403" i="60" s="1"/>
  <c r="AB205" i="60"/>
  <c r="AD205" i="60" s="1"/>
  <c r="AB88" i="60"/>
  <c r="AD88" i="60" s="1"/>
  <c r="AB153" i="60"/>
  <c r="AD153" i="60" s="1"/>
  <c r="AB23" i="60"/>
  <c r="AD23" i="60" s="1"/>
  <c r="AB348" i="60"/>
  <c r="AD348" i="60" s="1"/>
  <c r="AB335" i="60"/>
  <c r="AD335" i="60" s="1"/>
  <c r="AB49" i="60"/>
  <c r="AD49" i="60" s="1"/>
  <c r="AB242" i="60"/>
  <c r="AD242" i="60" s="1"/>
  <c r="AB190" i="60"/>
  <c r="AD190" i="60" s="1"/>
  <c r="AB99" i="60"/>
  <c r="AD99" i="60" s="1"/>
  <c r="AB216" i="60"/>
  <c r="AD216" i="60" s="1"/>
  <c r="AB47" i="60"/>
  <c r="AD47" i="60" s="1"/>
  <c r="AB333" i="60"/>
  <c r="AD333" i="60" s="1"/>
  <c r="AB255" i="60"/>
  <c r="AD255" i="60" s="1"/>
  <c r="AB186" i="60"/>
  <c r="AD186" i="60" s="1"/>
  <c r="AB95" i="60"/>
  <c r="AD95" i="60" s="1"/>
  <c r="AB173" i="60"/>
  <c r="AD173" i="60" s="1"/>
  <c r="AB43" i="60"/>
  <c r="AD43" i="60" s="1"/>
  <c r="AB121" i="60"/>
  <c r="AD121" i="60" s="1"/>
  <c r="AB355" i="60"/>
  <c r="AD355" i="60" s="1"/>
  <c r="AB147" i="60"/>
  <c r="AD147" i="60" s="1"/>
  <c r="AB69" i="60"/>
  <c r="AD69" i="60" s="1"/>
  <c r="AB302" i="60"/>
  <c r="AD302" i="60" s="1"/>
  <c r="AB94" i="60"/>
  <c r="AD94" i="60" s="1"/>
  <c r="AB328" i="60"/>
  <c r="AD328" i="60" s="1"/>
  <c r="AB107" i="60"/>
  <c r="AD107" i="60" s="1"/>
  <c r="AB29" i="60"/>
  <c r="AD29" i="60" s="1"/>
  <c r="AB146" i="60"/>
  <c r="AD146" i="60" s="1"/>
  <c r="AB393" i="60"/>
  <c r="AD393" i="60" s="1"/>
  <c r="AB53" i="60"/>
  <c r="AD53" i="60" s="1"/>
  <c r="AB131" i="60"/>
  <c r="AD131" i="60" s="1"/>
  <c r="AB14" i="60"/>
  <c r="AD14" i="60" s="1"/>
  <c r="AB118" i="60"/>
  <c r="AD118" i="60" s="1"/>
  <c r="AB274" i="60"/>
  <c r="AD274" i="60" s="1"/>
  <c r="AB352" i="60"/>
  <c r="AD352" i="60" s="1"/>
  <c r="AB365" i="60"/>
  <c r="AD365" i="60" s="1"/>
  <c r="AB157" i="60"/>
  <c r="AD157" i="60" s="1"/>
  <c r="AB301" i="60"/>
  <c r="AD301" i="60" s="1"/>
  <c r="AB41" i="60"/>
  <c r="AD41" i="60" s="1"/>
  <c r="AB106" i="60"/>
  <c r="AD106" i="60" s="1"/>
  <c r="AB366" i="60"/>
  <c r="AD366" i="60" s="1"/>
  <c r="AB314" i="60"/>
  <c r="AD314" i="60" s="1"/>
  <c r="AB392" i="60"/>
  <c r="AD392" i="60" s="1"/>
  <c r="AB379" i="60"/>
  <c r="AD379" i="60" s="1"/>
  <c r="U271" i="60"/>
  <c r="W271" i="60" s="1"/>
  <c r="U362" i="60"/>
  <c r="U258" i="60"/>
  <c r="U310" i="60"/>
  <c r="W310" i="60" s="1"/>
  <c r="U154" i="60"/>
  <c r="U180" i="60"/>
  <c r="U128" i="60"/>
  <c r="U308" i="60"/>
  <c r="U204" i="60"/>
  <c r="U360" i="60"/>
  <c r="U126" i="60"/>
  <c r="W126" i="60" s="1"/>
  <c r="U217" i="60"/>
  <c r="U35" i="60"/>
  <c r="U22" i="60"/>
  <c r="W22" i="60" s="1"/>
  <c r="U397" i="60"/>
  <c r="U46" i="60"/>
  <c r="W46" i="60" s="1"/>
  <c r="U280" i="60"/>
  <c r="W280" i="60" s="1"/>
  <c r="U124" i="60"/>
  <c r="W124" i="60" s="1"/>
  <c r="U267" i="60"/>
  <c r="W267" i="60" s="1"/>
  <c r="U85" i="60"/>
  <c r="U371" i="60"/>
  <c r="W371" i="60" s="1"/>
  <c r="U98" i="60"/>
  <c r="W98" i="60" s="1"/>
  <c r="U314" i="60"/>
  <c r="W314" i="60" s="1"/>
  <c r="U288" i="60"/>
  <c r="U262" i="60"/>
  <c r="W262" i="60" s="1"/>
  <c r="U171" i="60"/>
  <c r="U41" i="60"/>
  <c r="W41" i="60" s="1"/>
  <c r="U54" i="60"/>
  <c r="U67" i="60"/>
  <c r="U403" i="60"/>
  <c r="W403" i="60" s="1"/>
  <c r="U351" i="60"/>
  <c r="W351" i="60" s="1"/>
  <c r="U247" i="60"/>
  <c r="W247" i="60" s="1"/>
  <c r="U156" i="60"/>
  <c r="U182" i="60"/>
  <c r="W182" i="60" s="1"/>
  <c r="U169" i="60"/>
  <c r="U117" i="60"/>
  <c r="U320" i="60"/>
  <c r="W320" i="60" s="1"/>
  <c r="U307" i="60"/>
  <c r="U294" i="60"/>
  <c r="U125" i="60"/>
  <c r="W125" i="60" s="1"/>
  <c r="U34" i="60"/>
  <c r="W34" i="60" s="1"/>
  <c r="U177" i="60"/>
  <c r="W177" i="60" s="1"/>
  <c r="U242" i="60"/>
  <c r="U391" i="60"/>
  <c r="U261" i="60"/>
  <c r="U339" i="60"/>
  <c r="W339" i="60" s="1"/>
  <c r="U79" i="60"/>
  <c r="U235" i="60"/>
  <c r="W235" i="60" s="1"/>
  <c r="U92" i="60"/>
  <c r="U222" i="60"/>
  <c r="W222" i="60" s="1"/>
  <c r="U330" i="60"/>
  <c r="U226" i="60"/>
  <c r="U265" i="60"/>
  <c r="U200" i="60"/>
  <c r="U18" i="60"/>
  <c r="W18" i="60" s="1"/>
  <c r="U57" i="60"/>
  <c r="W57" i="60" s="1"/>
  <c r="U122" i="60"/>
  <c r="W122" i="60" s="1"/>
  <c r="U350" i="60"/>
  <c r="W350" i="60" s="1"/>
  <c r="U259" i="60"/>
  <c r="W259" i="60" s="1"/>
  <c r="U363" i="60"/>
  <c r="U194" i="60"/>
  <c r="W194" i="60" s="1"/>
  <c r="U64" i="60"/>
  <c r="U77" i="60"/>
  <c r="U51" i="60"/>
  <c r="W51" i="60" s="1"/>
  <c r="U357" i="60"/>
  <c r="U370" i="60"/>
  <c r="W370" i="60" s="1"/>
  <c r="U227" i="60"/>
  <c r="U396" i="60"/>
  <c r="W396" i="60" s="1"/>
  <c r="U97" i="60"/>
  <c r="W97" i="60" s="1"/>
  <c r="U201" i="60"/>
  <c r="U188" i="60"/>
  <c r="U380" i="60"/>
  <c r="U341" i="60"/>
  <c r="U263" i="60"/>
  <c r="W263" i="60" s="1"/>
  <c r="U120" i="60"/>
  <c r="W120" i="60" s="1"/>
  <c r="U146" i="60"/>
  <c r="U237" i="60"/>
  <c r="U42" i="60"/>
  <c r="W42" i="60" s="1"/>
  <c r="U348" i="60"/>
  <c r="U400" i="60"/>
  <c r="W400" i="60" s="1"/>
  <c r="U270" i="60"/>
  <c r="U205" i="60"/>
  <c r="U192" i="60"/>
  <c r="U179" i="60"/>
  <c r="U127" i="60"/>
  <c r="U303" i="60"/>
  <c r="U277" i="60"/>
  <c r="W277" i="60" s="1"/>
  <c r="U264" i="60"/>
  <c r="W264" i="60" s="1"/>
  <c r="U329" i="60"/>
  <c r="U43" i="60"/>
  <c r="U17" i="60"/>
  <c r="W17" i="60" s="1"/>
  <c r="U212" i="60"/>
  <c r="U121" i="60"/>
  <c r="W121" i="60" s="1"/>
  <c r="AB262" i="60"/>
  <c r="AD262" i="60" s="1"/>
  <c r="U223" i="60"/>
  <c r="U66" i="60"/>
  <c r="U25" i="60"/>
  <c r="W25" i="60" s="1"/>
  <c r="U315" i="60"/>
  <c r="W315" i="60" s="1"/>
  <c r="AI377" i="60"/>
  <c r="AK377" i="60" s="1"/>
  <c r="AI39" i="60"/>
  <c r="AK39" i="60" s="1"/>
  <c r="AI268" i="60"/>
  <c r="AK268" i="60" s="1"/>
  <c r="AI73" i="60"/>
  <c r="AK73" i="60" s="1"/>
  <c r="AI289" i="60"/>
  <c r="AK289" i="60" s="1"/>
  <c r="AI146" i="60"/>
  <c r="AK146" i="60" s="1"/>
  <c r="AI144" i="60"/>
  <c r="AK144" i="60" s="1"/>
  <c r="AI27" i="60"/>
  <c r="AK27" i="60" s="1"/>
  <c r="AI258" i="60"/>
  <c r="AK258" i="60" s="1"/>
  <c r="AI24" i="60"/>
  <c r="AK24" i="60" s="1"/>
  <c r="AI246" i="60"/>
  <c r="AK246" i="60" s="1"/>
  <c r="AI90" i="60"/>
  <c r="AK90" i="60" s="1"/>
  <c r="AI231" i="60"/>
  <c r="AK231" i="60" s="1"/>
  <c r="AI371" i="60"/>
  <c r="AK371" i="60" s="1"/>
  <c r="AI241" i="60"/>
  <c r="AK241" i="60" s="1"/>
  <c r="AI292" i="60"/>
  <c r="AK292" i="60" s="1"/>
  <c r="AI266" i="60"/>
  <c r="AK266" i="60" s="1"/>
  <c r="AI186" i="60"/>
  <c r="AK186" i="60" s="1"/>
  <c r="AI69" i="60"/>
  <c r="AK69" i="60" s="1"/>
  <c r="AI161" i="60"/>
  <c r="AK161" i="60" s="1"/>
  <c r="AI44" i="60"/>
  <c r="AK44" i="60" s="1"/>
  <c r="AI217" i="60"/>
  <c r="AK217" i="60" s="1"/>
  <c r="AI35" i="60"/>
  <c r="AK35" i="60" s="1"/>
  <c r="AI80" i="60"/>
  <c r="AK80" i="60" s="1"/>
  <c r="AI403" i="60"/>
  <c r="AK403" i="60" s="1"/>
  <c r="AI130" i="60"/>
  <c r="AK130" i="60" s="1"/>
  <c r="AI242" i="60"/>
  <c r="AK242" i="60" s="1"/>
  <c r="AI138" i="60"/>
  <c r="AK138" i="60" s="1"/>
  <c r="AI315" i="60"/>
  <c r="AK315" i="60" s="1"/>
  <c r="AI107" i="60"/>
  <c r="AK107" i="60" s="1"/>
  <c r="AI274" i="60"/>
  <c r="AK274" i="60" s="1"/>
  <c r="AI14" i="60"/>
  <c r="AK14" i="60" s="1"/>
  <c r="AI401" i="60"/>
  <c r="AK401" i="60" s="1"/>
  <c r="AI271" i="60"/>
  <c r="AK271" i="60" s="1"/>
  <c r="AI285" i="60"/>
  <c r="AK285" i="60" s="1"/>
  <c r="AI25" i="60"/>
  <c r="AK25" i="60" s="1"/>
  <c r="AI127" i="60"/>
  <c r="AK127" i="60" s="1"/>
  <c r="AI345" i="60"/>
  <c r="AK345" i="60" s="1"/>
  <c r="AI98" i="60"/>
  <c r="AK98" i="60" s="1"/>
  <c r="AI331" i="60"/>
  <c r="AK331" i="60" s="1"/>
  <c r="AI188" i="60"/>
  <c r="AK188" i="60" s="1"/>
  <c r="AI264" i="60"/>
  <c r="AK264" i="60" s="1"/>
  <c r="AI134" i="60"/>
  <c r="AK134" i="60" s="1"/>
  <c r="AI252" i="60"/>
  <c r="AK252" i="60" s="1"/>
  <c r="AI291" i="60"/>
  <c r="AK291" i="60" s="1"/>
  <c r="AI178" i="60"/>
  <c r="AK178" i="60" s="1"/>
  <c r="AI152" i="60"/>
  <c r="AK152" i="60" s="1"/>
  <c r="AI197" i="60"/>
  <c r="AK197" i="60" s="1"/>
  <c r="AI364" i="60"/>
  <c r="AK364" i="60" s="1"/>
  <c r="AI78" i="60"/>
  <c r="AK78" i="60" s="1"/>
  <c r="AI359" i="60"/>
  <c r="AK359" i="60" s="1"/>
  <c r="AI151" i="60"/>
  <c r="AK151" i="60" s="1"/>
  <c r="AI224" i="60"/>
  <c r="AK224" i="60" s="1"/>
  <c r="AI120" i="60"/>
  <c r="AK120" i="60" s="1"/>
  <c r="AI352" i="60"/>
  <c r="AK352" i="60" s="1"/>
  <c r="AI66" i="60"/>
  <c r="AK66" i="60" s="1"/>
  <c r="AI232" i="60"/>
  <c r="AK232" i="60" s="1"/>
  <c r="AI141" i="60"/>
  <c r="AK141" i="60" s="1"/>
  <c r="AI155" i="60"/>
  <c r="AK155" i="60" s="1"/>
  <c r="AI103" i="60"/>
  <c r="AK103" i="60" s="1"/>
  <c r="AI179" i="60"/>
  <c r="AK179" i="60" s="1"/>
  <c r="AI75" i="60"/>
  <c r="AK75" i="60" s="1"/>
  <c r="AI384" i="60"/>
  <c r="AK384" i="60" s="1"/>
  <c r="AI357" i="60"/>
  <c r="AK357" i="60" s="1"/>
  <c r="AI253" i="60"/>
  <c r="AK253" i="60" s="1"/>
  <c r="AI303" i="60"/>
  <c r="AK303" i="60" s="1"/>
  <c r="AI329" i="60"/>
  <c r="AK329" i="60" s="1"/>
  <c r="AI395" i="60"/>
  <c r="AK395" i="60" s="1"/>
  <c r="AI239" i="60"/>
  <c r="AK239" i="60" s="1"/>
  <c r="AI360" i="60"/>
  <c r="AK360" i="60" s="1"/>
  <c r="AI100" i="60"/>
  <c r="AK100" i="60" s="1"/>
  <c r="AI327" i="60"/>
  <c r="AK327" i="60" s="1"/>
  <c r="AI93" i="60"/>
  <c r="AK93" i="60" s="1"/>
  <c r="AI325" i="60"/>
  <c r="AK325" i="60" s="1"/>
  <c r="AI299" i="60"/>
  <c r="AK299" i="60" s="1"/>
  <c r="AI307" i="60"/>
  <c r="AK307" i="60" s="1"/>
  <c r="AI229" i="60"/>
  <c r="AK229" i="60" s="1"/>
  <c r="AI354" i="60"/>
  <c r="AK354" i="60" s="1"/>
  <c r="AI159" i="60"/>
  <c r="AK159" i="60" s="1"/>
  <c r="AI157" i="60"/>
  <c r="AK157" i="60" s="1"/>
  <c r="AI92" i="60"/>
  <c r="AK92" i="60" s="1"/>
  <c r="AI245" i="60"/>
  <c r="AK245" i="60" s="1"/>
  <c r="AI376" i="60"/>
  <c r="AK376" i="60" s="1"/>
  <c r="AI142" i="60"/>
  <c r="AK142" i="60" s="1"/>
  <c r="AI335" i="60"/>
  <c r="AK335" i="60" s="1"/>
  <c r="AI322" i="60"/>
  <c r="AK322" i="60" s="1"/>
  <c r="AI59" i="60"/>
  <c r="AK59" i="60" s="1"/>
  <c r="AI33" i="60"/>
  <c r="AK33" i="60" s="1"/>
  <c r="AI305" i="60"/>
  <c r="AK305" i="60" s="1"/>
  <c r="AI45" i="60"/>
  <c r="AK45" i="60" s="1"/>
  <c r="AI290" i="60"/>
  <c r="AK290" i="60" s="1"/>
  <c r="AI108" i="60"/>
  <c r="AK108" i="60" s="1"/>
  <c r="AI369" i="60"/>
  <c r="AK369" i="60" s="1"/>
  <c r="AI96" i="60"/>
  <c r="AK96" i="60" s="1"/>
  <c r="AI399" i="60"/>
  <c r="AK399" i="60" s="1"/>
  <c r="AI61" i="60"/>
  <c r="AK61" i="60" s="1"/>
  <c r="AI236" i="60"/>
  <c r="AK236" i="60" s="1"/>
  <c r="AI392" i="60"/>
  <c r="AK392" i="60" s="1"/>
  <c r="V366" i="60"/>
  <c r="AS366" i="60" s="1"/>
  <c r="V171" i="60"/>
  <c r="O181" i="60"/>
  <c r="O103" i="60"/>
  <c r="H399" i="60"/>
  <c r="H35" i="60"/>
  <c r="V85" i="60"/>
  <c r="O391" i="60"/>
  <c r="O209" i="60"/>
  <c r="H396" i="60"/>
  <c r="H331" i="60"/>
  <c r="V338" i="60"/>
  <c r="V143" i="60"/>
  <c r="AS143" i="60" s="1"/>
  <c r="O270" i="60"/>
  <c r="O400" i="60"/>
  <c r="H229" i="60"/>
  <c r="H203" i="60"/>
  <c r="O173" i="60"/>
  <c r="O30" i="60"/>
  <c r="V64" i="60"/>
  <c r="V155" i="60"/>
  <c r="AS155" i="60" s="1"/>
  <c r="O399" i="60"/>
  <c r="H319" i="60"/>
  <c r="H163" i="60"/>
  <c r="V401" i="60"/>
  <c r="V219" i="60"/>
  <c r="V322" i="60"/>
  <c r="V127" i="60"/>
  <c r="H330" i="60"/>
  <c r="H31" i="60"/>
  <c r="V329" i="60"/>
  <c r="V212" i="60"/>
  <c r="H353" i="60"/>
  <c r="H158" i="60"/>
  <c r="V144" i="60"/>
  <c r="AS144" i="60" s="1"/>
  <c r="V383" i="60"/>
  <c r="AS383" i="60" s="1"/>
  <c r="V45" i="60"/>
  <c r="O375" i="60"/>
  <c r="O232" i="60"/>
  <c r="V346" i="60"/>
  <c r="AS346" i="60" s="1"/>
  <c r="V242" i="60"/>
  <c r="O356" i="60"/>
  <c r="O304" i="60"/>
  <c r="V139" i="60"/>
  <c r="V243" i="60"/>
  <c r="AS243" i="60" s="1"/>
  <c r="H105" i="60"/>
  <c r="O364" i="60"/>
  <c r="O351" i="60"/>
  <c r="H400" i="60"/>
  <c r="V395" i="60"/>
  <c r="AS395" i="60" s="1"/>
  <c r="V343" i="60"/>
  <c r="V289" i="60"/>
  <c r="AS289" i="60" s="1"/>
  <c r="V133" i="60"/>
  <c r="AS133" i="60" s="1"/>
  <c r="V288" i="60"/>
  <c r="AS288" i="60" s="1"/>
  <c r="V119" i="60"/>
  <c r="O90" i="60"/>
  <c r="O402" i="60"/>
  <c r="H152" i="60"/>
  <c r="H87" i="60"/>
  <c r="V306" i="60"/>
  <c r="AS306" i="60" s="1"/>
  <c r="O183" i="60"/>
  <c r="O53" i="60"/>
  <c r="H370" i="60"/>
  <c r="H123" i="60"/>
  <c r="V260" i="60"/>
  <c r="V91" i="60"/>
  <c r="O218" i="60"/>
  <c r="O127" i="60"/>
  <c r="H268" i="60"/>
  <c r="H307" i="60"/>
  <c r="O355" i="60"/>
  <c r="O43" i="60"/>
  <c r="V363" i="60"/>
  <c r="V103" i="60"/>
  <c r="O373" i="60"/>
  <c r="H111" i="60"/>
  <c r="H254" i="60"/>
  <c r="V349" i="60"/>
  <c r="AS349" i="60" s="1"/>
  <c r="V180" i="60"/>
  <c r="V270" i="60"/>
  <c r="V205" i="60"/>
  <c r="AS205" i="60" s="1"/>
  <c r="H356" i="60"/>
  <c r="H265" i="60"/>
  <c r="V290" i="60"/>
  <c r="V108" i="60"/>
  <c r="AS108" i="60" s="1"/>
  <c r="H145" i="60"/>
  <c r="H119" i="60"/>
  <c r="V300" i="60"/>
  <c r="AS300" i="60" s="1"/>
  <c r="V14" i="60"/>
  <c r="AS14" i="60" s="1"/>
  <c r="V32" i="60"/>
  <c r="V110" i="60"/>
  <c r="AS110" i="60" s="1"/>
  <c r="O180" i="60"/>
  <c r="V398" i="60"/>
  <c r="V21" i="60"/>
  <c r="O265" i="60"/>
  <c r="O174" i="60"/>
  <c r="H25" i="60"/>
  <c r="V100" i="60"/>
  <c r="AS100" i="60" s="1"/>
  <c r="V282" i="60"/>
  <c r="H274" i="60"/>
  <c r="H287" i="60"/>
  <c r="O65" i="60"/>
  <c r="H101" i="60"/>
  <c r="H244" i="60"/>
  <c r="V304" i="60"/>
  <c r="V278" i="60"/>
  <c r="AS278" i="60" s="1"/>
  <c r="V237" i="60"/>
  <c r="V81" i="60"/>
  <c r="AS81" i="60" s="1"/>
  <c r="V301" i="60"/>
  <c r="AS301" i="60" s="1"/>
  <c r="V145" i="60"/>
  <c r="AS145" i="60" s="1"/>
  <c r="O64" i="60"/>
  <c r="O259" i="60"/>
  <c r="H139" i="60"/>
  <c r="H22" i="60"/>
  <c r="V176" i="60"/>
  <c r="AS176" i="60" s="1"/>
  <c r="V111" i="60"/>
  <c r="AS111" i="60" s="1"/>
  <c r="O66" i="60"/>
  <c r="O326" i="60"/>
  <c r="H175" i="60"/>
  <c r="H292" i="60"/>
  <c r="V78" i="60"/>
  <c r="O309" i="60"/>
  <c r="O361" i="60"/>
  <c r="H21" i="60"/>
  <c r="H333" i="60"/>
  <c r="O212" i="60"/>
  <c r="O199" i="60"/>
  <c r="V298" i="60"/>
  <c r="V181" i="60"/>
  <c r="O386" i="60"/>
  <c r="O308" i="60"/>
  <c r="H98" i="60"/>
  <c r="H59" i="60"/>
  <c r="V115" i="60"/>
  <c r="AS115" i="60" s="1"/>
  <c r="V348" i="60"/>
  <c r="AS348" i="60" s="1"/>
  <c r="V218" i="60"/>
  <c r="H83" i="60"/>
  <c r="H135" i="60"/>
  <c r="V381" i="60"/>
  <c r="AS381" i="60" s="1"/>
  <c r="V95" i="60"/>
  <c r="AS95" i="60" s="1"/>
  <c r="H197" i="60"/>
  <c r="H184" i="60"/>
  <c r="V365" i="60"/>
  <c r="V261" i="60"/>
  <c r="V357" i="60"/>
  <c r="V123" i="60"/>
  <c r="AS123" i="60" s="1"/>
  <c r="O219" i="60"/>
  <c r="O284" i="60"/>
  <c r="V229" i="60"/>
  <c r="V99" i="60"/>
  <c r="AS99" i="60" s="1"/>
  <c r="O200" i="60"/>
  <c r="O83" i="60"/>
  <c r="V204" i="60"/>
  <c r="AS204" i="60" s="1"/>
  <c r="V113" i="60"/>
  <c r="AS113" i="60" s="1"/>
  <c r="H222" i="60"/>
  <c r="O260" i="60"/>
  <c r="H49" i="60"/>
  <c r="H283" i="60"/>
  <c r="V265" i="60"/>
  <c r="AS265" i="60" s="1"/>
  <c r="V393" i="60"/>
  <c r="V172" i="60"/>
  <c r="AS172" i="60" s="1"/>
  <c r="V392" i="60"/>
  <c r="V80" i="60"/>
  <c r="AS80" i="60" s="1"/>
  <c r="O298" i="60"/>
  <c r="O129" i="60"/>
  <c r="H191" i="60"/>
  <c r="V332" i="60"/>
  <c r="V241" i="60"/>
  <c r="O235" i="60"/>
  <c r="O118" i="60"/>
  <c r="H227" i="60"/>
  <c r="H214" i="60"/>
  <c r="V169" i="60"/>
  <c r="AS169" i="60" s="1"/>
  <c r="V156" i="60"/>
  <c r="AS156" i="60" s="1"/>
  <c r="O75" i="60"/>
  <c r="O62" i="60"/>
  <c r="H86" i="60"/>
  <c r="H99" i="60"/>
  <c r="O290" i="60"/>
  <c r="O17" i="60"/>
  <c r="V38" i="60"/>
  <c r="O139" i="60"/>
  <c r="O152" i="60"/>
  <c r="H241" i="60"/>
  <c r="H293" i="60"/>
  <c r="V154" i="60"/>
  <c r="V89" i="60"/>
  <c r="V296" i="60"/>
  <c r="AS296" i="60" s="1"/>
  <c r="V153" i="60"/>
  <c r="AS153" i="60" s="1"/>
  <c r="H187" i="60"/>
  <c r="H317" i="60"/>
  <c r="V225" i="60"/>
  <c r="AS225" i="60" s="1"/>
  <c r="V147" i="60"/>
  <c r="AS147" i="60" s="1"/>
  <c r="H236" i="60"/>
  <c r="H210" i="60"/>
  <c r="V196" i="60"/>
  <c r="AS196" i="60" s="1"/>
  <c r="V27" i="60"/>
  <c r="V253" i="60"/>
  <c r="O154" i="60"/>
  <c r="O89" i="60"/>
  <c r="V294" i="60"/>
  <c r="AS294" i="60" s="1"/>
  <c r="V112" i="60"/>
  <c r="AS112" i="60" s="1"/>
  <c r="O317" i="60"/>
  <c r="O291" i="60"/>
  <c r="H64" i="60"/>
  <c r="V373" i="60"/>
  <c r="V152" i="60"/>
  <c r="H157" i="60"/>
  <c r="H183" i="60"/>
  <c r="O117" i="60"/>
  <c r="O91" i="60"/>
  <c r="H127" i="60"/>
  <c r="V382" i="60"/>
  <c r="AS382" i="60" s="1"/>
  <c r="V317" i="60"/>
  <c r="V380" i="60"/>
  <c r="V185" i="60"/>
  <c r="O182" i="60"/>
  <c r="N216" i="60"/>
  <c r="P216" i="60" s="1"/>
  <c r="N333" i="60"/>
  <c r="P333" i="60" s="1"/>
  <c r="N161" i="60"/>
  <c r="N122" i="60"/>
  <c r="P122" i="60" s="1"/>
  <c r="N123" i="60"/>
  <c r="P123" i="60" s="1"/>
  <c r="N110" i="60"/>
  <c r="P110" i="60" s="1"/>
  <c r="N56" i="60"/>
  <c r="N354" i="60"/>
  <c r="N263" i="60"/>
  <c r="P263" i="60" s="1"/>
  <c r="N352" i="60"/>
  <c r="P352" i="60" s="1"/>
  <c r="N14" i="60"/>
  <c r="P14" i="60" s="1"/>
  <c r="N141" i="60"/>
  <c r="P141" i="60" s="1"/>
  <c r="N50" i="60"/>
  <c r="N25" i="60"/>
  <c r="P25" i="60" s="1"/>
  <c r="N51" i="60"/>
  <c r="P51" i="60" s="1"/>
  <c r="N361" i="60"/>
  <c r="N244" i="60"/>
  <c r="P244" i="60" s="1"/>
  <c r="N399" i="60"/>
  <c r="N204" i="60"/>
  <c r="P204" i="60" s="1"/>
  <c r="N150" i="60"/>
  <c r="P150" i="60" s="1"/>
  <c r="N163" i="60"/>
  <c r="P163" i="60" s="1"/>
  <c r="N169" i="60"/>
  <c r="P169" i="60" s="1"/>
  <c r="N184" i="60"/>
  <c r="N288" i="60"/>
  <c r="P288" i="60" s="1"/>
  <c r="N165" i="60"/>
  <c r="P165" i="60" s="1"/>
  <c r="N247" i="60"/>
  <c r="P247" i="60" s="1"/>
  <c r="N164" i="60"/>
  <c r="N281" i="60"/>
  <c r="P281" i="60" s="1"/>
  <c r="N317" i="60"/>
  <c r="N96" i="60"/>
  <c r="N227" i="60"/>
  <c r="N58" i="60"/>
  <c r="N30" i="60"/>
  <c r="P30" i="60" s="1"/>
  <c r="N264" i="60"/>
  <c r="P264" i="60" s="1"/>
  <c r="N211" i="60"/>
  <c r="N107" i="60"/>
  <c r="P107" i="60" s="1"/>
  <c r="N79" i="60"/>
  <c r="P79" i="60" s="1"/>
  <c r="N365" i="60"/>
  <c r="N37" i="60"/>
  <c r="P37" i="60" s="1"/>
  <c r="N128" i="60"/>
  <c r="N324" i="60"/>
  <c r="P324" i="60" s="1"/>
  <c r="N296" i="60"/>
  <c r="P296" i="60" s="1"/>
  <c r="N322" i="60"/>
  <c r="P322" i="60" s="1"/>
  <c r="N256" i="60"/>
  <c r="N152" i="60"/>
  <c r="N358" i="60"/>
  <c r="N72" i="60"/>
  <c r="P72" i="60" s="1"/>
  <c r="N234" i="60"/>
  <c r="N351" i="60"/>
  <c r="N236" i="60"/>
  <c r="N145" i="60"/>
  <c r="P145" i="60" s="1"/>
  <c r="N61" i="60"/>
  <c r="P61" i="60" s="1"/>
  <c r="N314" i="60"/>
  <c r="N346" i="60"/>
  <c r="P346" i="60" s="1"/>
  <c r="N255" i="60"/>
  <c r="N382" i="60"/>
  <c r="P382" i="60" s="1"/>
  <c r="N213" i="60"/>
  <c r="P213" i="60" s="1"/>
  <c r="N344" i="60"/>
  <c r="P344" i="60" s="1"/>
  <c r="N394" i="60"/>
  <c r="N212" i="60"/>
  <c r="P212" i="60" s="1"/>
  <c r="N367" i="60"/>
  <c r="P367" i="60" s="1"/>
  <c r="N172" i="60"/>
  <c r="P172" i="60" s="1"/>
  <c r="N118" i="60"/>
  <c r="N40" i="60"/>
  <c r="P40" i="60" s="1"/>
  <c r="N401" i="60"/>
  <c r="N76" i="60"/>
  <c r="P76" i="60" s="1"/>
  <c r="N272" i="60"/>
  <c r="N168" i="60"/>
  <c r="P168" i="60" s="1"/>
  <c r="N270" i="60"/>
  <c r="P270" i="60" s="1"/>
  <c r="N374" i="60"/>
  <c r="P374" i="60" s="1"/>
  <c r="N228" i="60"/>
  <c r="N340" i="60"/>
  <c r="N307" i="60"/>
  <c r="N291" i="60"/>
  <c r="N70" i="60"/>
  <c r="P70" i="60" s="1"/>
  <c r="N162" i="60"/>
  <c r="P162" i="60" s="1"/>
  <c r="N32" i="60"/>
  <c r="P32" i="60" s="1"/>
  <c r="N121" i="60"/>
  <c r="P121" i="60" s="1"/>
  <c r="N199" i="60"/>
  <c r="N81" i="60"/>
  <c r="P81" i="60" s="1"/>
  <c r="N224" i="60"/>
  <c r="N196" i="60"/>
  <c r="P196" i="60" s="1"/>
  <c r="N261" i="60"/>
  <c r="N115" i="60"/>
  <c r="P115" i="60" s="1"/>
  <c r="N297" i="60"/>
  <c r="P297" i="60" s="1"/>
  <c r="N207" i="60"/>
  <c r="P207" i="60" s="1"/>
  <c r="N90" i="60"/>
  <c r="N192" i="60"/>
  <c r="N347" i="60"/>
  <c r="P347" i="60" s="1"/>
  <c r="N243" i="60"/>
  <c r="P243" i="60" s="1"/>
  <c r="N306" i="60"/>
  <c r="P306" i="60" s="1"/>
  <c r="N20" i="60"/>
  <c r="P20" i="60" s="1"/>
  <c r="N104" i="60"/>
  <c r="P104" i="60" s="1"/>
  <c r="N338" i="60"/>
  <c r="P338" i="60" s="1"/>
  <c r="N379" i="60"/>
  <c r="N132" i="60"/>
  <c r="N241" i="60"/>
  <c r="H220" i="60"/>
  <c r="H259" i="60"/>
  <c r="H77" i="60"/>
  <c r="H285" i="60"/>
  <c r="H194" i="60"/>
  <c r="H118" i="60"/>
  <c r="H339" i="60"/>
  <c r="H309" i="60"/>
  <c r="H374" i="60"/>
  <c r="O254" i="60"/>
  <c r="O137" i="60"/>
  <c r="O227" i="60"/>
  <c r="O292" i="60"/>
  <c r="O45" i="60"/>
  <c r="O253" i="60"/>
  <c r="O318" i="60"/>
  <c r="O370" i="60"/>
  <c r="O357" i="60"/>
  <c r="O384" i="60"/>
  <c r="O371" i="60"/>
  <c r="O98" i="60"/>
  <c r="O293" i="60"/>
  <c r="O85" i="60"/>
  <c r="O46" i="60"/>
  <c r="O146" i="60"/>
  <c r="O393" i="60"/>
  <c r="O16" i="60"/>
  <c r="O94" i="60"/>
  <c r="O328" i="60"/>
  <c r="O68" i="60"/>
  <c r="O224" i="60"/>
  <c r="O249" i="60"/>
  <c r="O314" i="60"/>
  <c r="O379" i="60"/>
  <c r="O327" i="60"/>
  <c r="O392" i="60"/>
  <c r="O184" i="60"/>
  <c r="O106" i="60"/>
  <c r="O28" i="60"/>
  <c r="O242" i="60"/>
  <c r="O307" i="60"/>
  <c r="O60" i="60"/>
  <c r="O164" i="60"/>
  <c r="O229" i="60"/>
  <c r="O34" i="60"/>
  <c r="O372" i="60"/>
  <c r="G397" i="60"/>
  <c r="G200" i="60"/>
  <c r="I200" i="60" s="1"/>
  <c r="G77" i="60"/>
  <c r="G64" i="60"/>
  <c r="G142" i="60"/>
  <c r="G389" i="60"/>
  <c r="G129" i="60"/>
  <c r="I129" i="60" s="1"/>
  <c r="G402" i="60"/>
  <c r="G61" i="60"/>
  <c r="I61" i="60" s="1"/>
  <c r="G399" i="60"/>
  <c r="I399" i="60" s="1"/>
  <c r="G100" i="60"/>
  <c r="I100" i="60" s="1"/>
  <c r="G347" i="60"/>
  <c r="I347" i="60" s="1"/>
  <c r="G87" i="60"/>
  <c r="I87" i="60" s="1"/>
  <c r="G295" i="60"/>
  <c r="I295" i="60" s="1"/>
  <c r="G126" i="60"/>
  <c r="G282" i="60"/>
  <c r="G97" i="60"/>
  <c r="G305" i="60"/>
  <c r="I305" i="60" s="1"/>
  <c r="G214" i="60"/>
  <c r="G201" i="60"/>
  <c r="I201" i="60" s="1"/>
  <c r="G240" i="60"/>
  <c r="I240" i="60" s="1"/>
  <c r="G136" i="60"/>
  <c r="I136" i="60" s="1"/>
  <c r="G344" i="60"/>
  <c r="I344" i="60" s="1"/>
  <c r="G23" i="60"/>
  <c r="G283" i="60"/>
  <c r="I283" i="60" s="1"/>
  <c r="G374" i="60"/>
  <c r="G270" i="60"/>
  <c r="G49" i="60"/>
  <c r="G257" i="60"/>
  <c r="I257" i="60" s="1"/>
  <c r="G205" i="60"/>
  <c r="G244" i="60"/>
  <c r="I244" i="60" s="1"/>
  <c r="G190" i="60"/>
  <c r="I190" i="60" s="1"/>
  <c r="G138" i="60"/>
  <c r="G203" i="60"/>
  <c r="I203" i="60" s="1"/>
  <c r="G125" i="60"/>
  <c r="I125" i="60" s="1"/>
  <c r="G333" i="60"/>
  <c r="G73" i="60"/>
  <c r="I73" i="60" s="1"/>
  <c r="G320" i="60"/>
  <c r="I320" i="60" s="1"/>
  <c r="G53" i="60"/>
  <c r="I53" i="60" s="1"/>
  <c r="G209" i="60"/>
  <c r="I209" i="60" s="1"/>
  <c r="G274" i="60"/>
  <c r="G365" i="60"/>
  <c r="I365" i="60" s="1"/>
  <c r="G144" i="60"/>
  <c r="G222" i="60"/>
  <c r="G261" i="60"/>
  <c r="I261" i="60" s="1"/>
  <c r="G352" i="60"/>
  <c r="I352" i="60" s="1"/>
  <c r="G80" i="60"/>
  <c r="G392" i="60"/>
  <c r="I392" i="60" s="1"/>
  <c r="G28" i="60"/>
  <c r="G106" i="60"/>
  <c r="I106" i="60" s="1"/>
  <c r="G314" i="60"/>
  <c r="G119" i="60"/>
  <c r="I119" i="60" s="1"/>
  <c r="G262" i="60"/>
  <c r="I262" i="60" s="1"/>
  <c r="AB280" i="60"/>
  <c r="AD280" i="60" s="1"/>
  <c r="AB332" i="60"/>
  <c r="AD332" i="60" s="1"/>
  <c r="AB319" i="60"/>
  <c r="AD319" i="60" s="1"/>
  <c r="AB163" i="60"/>
  <c r="AD163" i="60" s="1"/>
  <c r="AB150" i="60"/>
  <c r="AD150" i="60" s="1"/>
  <c r="AB371" i="60"/>
  <c r="AD371" i="60" s="1"/>
  <c r="AB306" i="60"/>
  <c r="AD306" i="60" s="1"/>
  <c r="AB397" i="60"/>
  <c r="AD397" i="60" s="1"/>
  <c r="AB128" i="60"/>
  <c r="AD128" i="60" s="1"/>
  <c r="AB375" i="60"/>
  <c r="AD375" i="60" s="1"/>
  <c r="AB50" i="60"/>
  <c r="AD50" i="60" s="1"/>
  <c r="AB323" i="60"/>
  <c r="AD323" i="60" s="1"/>
  <c r="AB232" i="60"/>
  <c r="AD232" i="60" s="1"/>
  <c r="AB219" i="60"/>
  <c r="AD219" i="60" s="1"/>
  <c r="AB349" i="60"/>
  <c r="AD349" i="60" s="1"/>
  <c r="AB96" i="60"/>
  <c r="AD96" i="60" s="1"/>
  <c r="AB83" i="60"/>
  <c r="AD83" i="60" s="1"/>
  <c r="AB44" i="60"/>
  <c r="AD44" i="60" s="1"/>
  <c r="AB174" i="60"/>
  <c r="AD174" i="60" s="1"/>
  <c r="AB122" i="60"/>
  <c r="AD122" i="60" s="1"/>
  <c r="AB278" i="60"/>
  <c r="AD278" i="60" s="1"/>
  <c r="AB395" i="60"/>
  <c r="AD395" i="60" s="1"/>
  <c r="AB382" i="60"/>
  <c r="AD382" i="60" s="1"/>
  <c r="AB298" i="60"/>
  <c r="AD298" i="60" s="1"/>
  <c r="AB376" i="60"/>
  <c r="AD376" i="60" s="1"/>
  <c r="AB324" i="60"/>
  <c r="AD324" i="60" s="1"/>
  <c r="AB25" i="60"/>
  <c r="AD25" i="60" s="1"/>
  <c r="AB90" i="60"/>
  <c r="AD90" i="60" s="1"/>
  <c r="AB220" i="60"/>
  <c r="AD220" i="60" s="1"/>
  <c r="AB363" i="60"/>
  <c r="AD363" i="60" s="1"/>
  <c r="AB243" i="60"/>
  <c r="AD243" i="60" s="1"/>
  <c r="AB152" i="60"/>
  <c r="AD152" i="60" s="1"/>
  <c r="AB74" i="60"/>
  <c r="AD74" i="60" s="1"/>
  <c r="AB308" i="60"/>
  <c r="AD308" i="60" s="1"/>
  <c r="AB22" i="60"/>
  <c r="AD22" i="60" s="1"/>
  <c r="AB334" i="60"/>
  <c r="AD334" i="60" s="1"/>
  <c r="AB373" i="60"/>
  <c r="AD373" i="60" s="1"/>
  <c r="AB386" i="60"/>
  <c r="AD386" i="60" s="1"/>
  <c r="AB318" i="60"/>
  <c r="AD318" i="60" s="1"/>
  <c r="AB188" i="60"/>
  <c r="AD188" i="60" s="1"/>
  <c r="AB266" i="60"/>
  <c r="AD266" i="60" s="1"/>
  <c r="AB344" i="60"/>
  <c r="AD344" i="60" s="1"/>
  <c r="AB110" i="60"/>
  <c r="AD110" i="60" s="1"/>
  <c r="AB227" i="60"/>
  <c r="AD227" i="60" s="1"/>
  <c r="AB370" i="60"/>
  <c r="AD370" i="60" s="1"/>
  <c r="AB260" i="60"/>
  <c r="AD260" i="60" s="1"/>
  <c r="AB91" i="60"/>
  <c r="AD91" i="60" s="1"/>
  <c r="AB117" i="60"/>
  <c r="AD117" i="60" s="1"/>
  <c r="AB39" i="60"/>
  <c r="AD39" i="60" s="1"/>
  <c r="AB78" i="60"/>
  <c r="AD78" i="60" s="1"/>
  <c r="AB143" i="60"/>
  <c r="AD143" i="60" s="1"/>
  <c r="AB273" i="60"/>
  <c r="AD273" i="60" s="1"/>
  <c r="AB325" i="60"/>
  <c r="AD325" i="60" s="1"/>
  <c r="AB101" i="60"/>
  <c r="AD101" i="60" s="1"/>
  <c r="AB75" i="60"/>
  <c r="AD75" i="60" s="1"/>
  <c r="AB361" i="60"/>
  <c r="AD361" i="60" s="1"/>
  <c r="AB270" i="60"/>
  <c r="AD270" i="60" s="1"/>
  <c r="AB218" i="60"/>
  <c r="AD218" i="60" s="1"/>
  <c r="AB374" i="60"/>
  <c r="AD374" i="60" s="1"/>
  <c r="AB231" i="60"/>
  <c r="AD231" i="60" s="1"/>
  <c r="AB281" i="60"/>
  <c r="AD281" i="60" s="1"/>
  <c r="AB229" i="60"/>
  <c r="AD229" i="60" s="1"/>
  <c r="AB138" i="60"/>
  <c r="AD138" i="60" s="1"/>
  <c r="AB203" i="60"/>
  <c r="AD203" i="60" s="1"/>
  <c r="AB34" i="60"/>
  <c r="AD34" i="60" s="1"/>
  <c r="AB164" i="60"/>
  <c r="AD164" i="60" s="1"/>
  <c r="AB359" i="60"/>
  <c r="AD359" i="60" s="1"/>
  <c r="AB225" i="60"/>
  <c r="AD225" i="60" s="1"/>
  <c r="AB82" i="60"/>
  <c r="AD82" i="60" s="1"/>
  <c r="AB212" i="60"/>
  <c r="AD212" i="60" s="1"/>
  <c r="AB30" i="60"/>
  <c r="AD30" i="60" s="1"/>
  <c r="AB329" i="60"/>
  <c r="AD329" i="60" s="1"/>
  <c r="AB238" i="60"/>
  <c r="AD238" i="60" s="1"/>
  <c r="AB251" i="60"/>
  <c r="AD251" i="60" s="1"/>
  <c r="AB303" i="60"/>
  <c r="AD303" i="60" s="1"/>
  <c r="AB55" i="60"/>
  <c r="AD55" i="60" s="1"/>
  <c r="AB81" i="60"/>
  <c r="AD81" i="60" s="1"/>
  <c r="AB159" i="60"/>
  <c r="AD159" i="60" s="1"/>
  <c r="AB185" i="60"/>
  <c r="AD185" i="60" s="1"/>
  <c r="AB16" i="60"/>
  <c r="AD16" i="60" s="1"/>
  <c r="AB354" i="60"/>
  <c r="AD354" i="60" s="1"/>
  <c r="AB289" i="60"/>
  <c r="AD289" i="60" s="1"/>
  <c r="AB40" i="60"/>
  <c r="AD40" i="60" s="1"/>
  <c r="AB339" i="60"/>
  <c r="AD339" i="60" s="1"/>
  <c r="AB248" i="60"/>
  <c r="AD248" i="60" s="1"/>
  <c r="AB326" i="60"/>
  <c r="AD326" i="60" s="1"/>
  <c r="AB105" i="60"/>
  <c r="AD105" i="60" s="1"/>
  <c r="AB183" i="60"/>
  <c r="AD183" i="60" s="1"/>
  <c r="AB313" i="60"/>
  <c r="AD313" i="60" s="1"/>
  <c r="AB28" i="60"/>
  <c r="AD28" i="60" s="1"/>
  <c r="AB132" i="60"/>
  <c r="AD132" i="60" s="1"/>
  <c r="AB249" i="60"/>
  <c r="AD249" i="60" s="1"/>
  <c r="AB158" i="60"/>
  <c r="AD158" i="60" s="1"/>
  <c r="AB80" i="60"/>
  <c r="AD80" i="60" s="1"/>
  <c r="AB145" i="60"/>
  <c r="AD145" i="60" s="1"/>
  <c r="AB275" i="60"/>
  <c r="AD275" i="60" s="1"/>
  <c r="AB119" i="60"/>
  <c r="AD119" i="60" s="1"/>
  <c r="U336" i="60"/>
  <c r="W336" i="60" s="1"/>
  <c r="U284" i="60"/>
  <c r="W284" i="60" s="1"/>
  <c r="U297" i="60"/>
  <c r="W297" i="60" s="1"/>
  <c r="U115" i="60"/>
  <c r="W115" i="60" s="1"/>
  <c r="U24" i="60"/>
  <c r="U50" i="60"/>
  <c r="W50" i="60" s="1"/>
  <c r="U167" i="60"/>
  <c r="W167" i="60" s="1"/>
  <c r="U373" i="60"/>
  <c r="W373" i="60" s="1"/>
  <c r="U386" i="60"/>
  <c r="W386" i="60" s="1"/>
  <c r="U321" i="60"/>
  <c r="W321" i="60" s="1"/>
  <c r="U165" i="60"/>
  <c r="W165" i="60" s="1"/>
  <c r="U113" i="60"/>
  <c r="W113" i="60" s="1"/>
  <c r="U152" i="60"/>
  <c r="W152" i="60" s="1"/>
  <c r="U139" i="60"/>
  <c r="W139" i="60" s="1"/>
  <c r="U345" i="60"/>
  <c r="U111" i="60"/>
  <c r="W111" i="60" s="1"/>
  <c r="U306" i="60"/>
  <c r="W306" i="60" s="1"/>
  <c r="U215" i="60"/>
  <c r="W215" i="60" s="1"/>
  <c r="U241" i="60"/>
  <c r="W241" i="60" s="1"/>
  <c r="U72" i="60"/>
  <c r="W72" i="60" s="1"/>
  <c r="U358" i="60"/>
  <c r="U301" i="60"/>
  <c r="U392" i="60"/>
  <c r="W392" i="60" s="1"/>
  <c r="U366" i="60"/>
  <c r="W366" i="60" s="1"/>
  <c r="U197" i="60"/>
  <c r="W197" i="60" s="1"/>
  <c r="U184" i="60"/>
  <c r="W184" i="60" s="1"/>
  <c r="U80" i="60"/>
  <c r="U15" i="60"/>
  <c r="W15" i="60" s="1"/>
  <c r="U390" i="60"/>
  <c r="U377" i="60"/>
  <c r="W377" i="60" s="1"/>
  <c r="U234" i="60"/>
  <c r="U273" i="60"/>
  <c r="U104" i="60"/>
  <c r="U195" i="60"/>
  <c r="W195" i="60" s="1"/>
  <c r="U91" i="60"/>
  <c r="W91" i="60" s="1"/>
  <c r="U78" i="60"/>
  <c r="U229" i="60"/>
  <c r="U359" i="60"/>
  <c r="W359" i="60" s="1"/>
  <c r="U255" i="60"/>
  <c r="W255" i="60" s="1"/>
  <c r="U47" i="60"/>
  <c r="W47" i="60" s="1"/>
  <c r="U60" i="60"/>
  <c r="U190" i="60"/>
  <c r="W190" i="60" s="1"/>
  <c r="U73" i="60"/>
  <c r="W73" i="60" s="1"/>
  <c r="U274" i="60"/>
  <c r="W274" i="60" s="1"/>
  <c r="U300" i="60"/>
  <c r="W300" i="60" s="1"/>
  <c r="U287" i="60"/>
  <c r="W287" i="60" s="1"/>
  <c r="U105" i="60"/>
  <c r="U196" i="60"/>
  <c r="W196" i="60" s="1"/>
  <c r="U14" i="60"/>
  <c r="U131" i="60"/>
  <c r="W131" i="60" s="1"/>
  <c r="U291" i="60"/>
  <c r="U382" i="60"/>
  <c r="U304" i="60"/>
  <c r="U148" i="60"/>
  <c r="U252" i="60"/>
  <c r="W252" i="60" s="1"/>
  <c r="U187" i="60"/>
  <c r="W187" i="60" s="1"/>
  <c r="U70" i="60"/>
  <c r="W70" i="60" s="1"/>
  <c r="U311" i="60"/>
  <c r="W311" i="60" s="1"/>
  <c r="U324" i="60"/>
  <c r="U233" i="60"/>
  <c r="U116" i="60"/>
  <c r="U272" i="60"/>
  <c r="W272" i="60" s="1"/>
  <c r="U298" i="60"/>
  <c r="W298" i="60" s="1"/>
  <c r="U38" i="60"/>
  <c r="W38" i="60" s="1"/>
  <c r="U318" i="60"/>
  <c r="W318" i="60" s="1"/>
  <c r="U266" i="60"/>
  <c r="W266" i="60" s="1"/>
  <c r="U292" i="60"/>
  <c r="U279" i="60"/>
  <c r="U123" i="60"/>
  <c r="U32" i="60"/>
  <c r="W32" i="60" s="1"/>
  <c r="U110" i="60"/>
  <c r="W110" i="60" s="1"/>
  <c r="U367" i="60"/>
  <c r="W367" i="60" s="1"/>
  <c r="U224" i="60"/>
  <c r="W224" i="60" s="1"/>
  <c r="U302" i="60"/>
  <c r="U68" i="60"/>
  <c r="W68" i="60" s="1"/>
  <c r="U172" i="60"/>
  <c r="W172" i="60" s="1"/>
  <c r="U133" i="60"/>
  <c r="U81" i="60"/>
  <c r="W81" i="60" s="1"/>
  <c r="U309" i="60"/>
  <c r="W309" i="60" s="1"/>
  <c r="U231" i="60"/>
  <c r="U322" i="60"/>
  <c r="W322" i="60" s="1"/>
  <c r="U36" i="60"/>
  <c r="W36" i="60" s="1"/>
  <c r="U114" i="60"/>
  <c r="U75" i="60"/>
  <c r="W75" i="60" s="1"/>
  <c r="U140" i="60"/>
  <c r="W140" i="60" s="1"/>
  <c r="U381" i="60"/>
  <c r="W381" i="60" s="1"/>
  <c r="U225" i="60"/>
  <c r="W225" i="60" s="1"/>
  <c r="U316" i="60"/>
  <c r="U173" i="60"/>
  <c r="U147" i="60"/>
  <c r="U160" i="60"/>
  <c r="W160" i="60" s="1"/>
  <c r="U134" i="60"/>
  <c r="W134" i="60" s="1"/>
  <c r="AB86" i="60"/>
  <c r="AD86" i="60" s="1"/>
  <c r="U102" i="60"/>
  <c r="W102" i="60" s="1"/>
  <c r="U145" i="60"/>
  <c r="W145" i="60" s="1"/>
  <c r="U239" i="60"/>
  <c r="W239" i="60" s="1"/>
  <c r="U181" i="60"/>
  <c r="U257" i="60"/>
  <c r="W257" i="60" s="1"/>
  <c r="AI273" i="60"/>
  <c r="AK273" i="60" s="1"/>
  <c r="AI143" i="60"/>
  <c r="AK143" i="60" s="1"/>
  <c r="AI333" i="60"/>
  <c r="AK333" i="60" s="1"/>
  <c r="AI164" i="60"/>
  <c r="AK164" i="60" s="1"/>
  <c r="AI185" i="60"/>
  <c r="AK185" i="60" s="1"/>
  <c r="AI16" i="60"/>
  <c r="AK16" i="60" s="1"/>
  <c r="AI326" i="60"/>
  <c r="AK326" i="60" s="1"/>
  <c r="AI105" i="60"/>
  <c r="AK105" i="60" s="1"/>
  <c r="AI193" i="60"/>
  <c r="AK193" i="60" s="1"/>
  <c r="AI89" i="60"/>
  <c r="AK89" i="60" s="1"/>
  <c r="AI116" i="60"/>
  <c r="AK116" i="60" s="1"/>
  <c r="AI374" i="60"/>
  <c r="AK374" i="60" s="1"/>
  <c r="AI62" i="60"/>
  <c r="AK62" i="60" s="1"/>
  <c r="AI111" i="60"/>
  <c r="AK111" i="60" s="1"/>
  <c r="AI163" i="60"/>
  <c r="AK163" i="60" s="1"/>
  <c r="AI318" i="60"/>
  <c r="AK318" i="60" s="1"/>
  <c r="AI58" i="60"/>
  <c r="AK58" i="60" s="1"/>
  <c r="AI355" i="60"/>
  <c r="AK355" i="60" s="1"/>
  <c r="AI17" i="60"/>
  <c r="AK17" i="60" s="1"/>
  <c r="AI109" i="60"/>
  <c r="AK109" i="60" s="1"/>
  <c r="AI321" i="60"/>
  <c r="AK321" i="60" s="1"/>
  <c r="AI74" i="60"/>
  <c r="AK74" i="60" s="1"/>
  <c r="AI353" i="60"/>
  <c r="AK353" i="60" s="1"/>
  <c r="AI106" i="60"/>
  <c r="AK106" i="60" s="1"/>
  <c r="AI260" i="60"/>
  <c r="AK260" i="60" s="1"/>
  <c r="AI247" i="60"/>
  <c r="AK247" i="60" s="1"/>
  <c r="AI190" i="60"/>
  <c r="AK190" i="60" s="1"/>
  <c r="AI281" i="60"/>
  <c r="AK281" i="60" s="1"/>
  <c r="AI328" i="60"/>
  <c r="AK328" i="60" s="1"/>
  <c r="AI29" i="60"/>
  <c r="AK29" i="60" s="1"/>
  <c r="AI183" i="60"/>
  <c r="AK183" i="60" s="1"/>
  <c r="AI40" i="60"/>
  <c r="AK40" i="60" s="1"/>
  <c r="AI219" i="60"/>
  <c r="AK219" i="60" s="1"/>
  <c r="AI37" i="60"/>
  <c r="AK37" i="60" s="1"/>
  <c r="AI233" i="60"/>
  <c r="AK233" i="60" s="1"/>
  <c r="AI387" i="60"/>
  <c r="AK387" i="60" s="1"/>
  <c r="AI244" i="60"/>
  <c r="AK244" i="60" s="1"/>
  <c r="AI72" i="60"/>
  <c r="AK72" i="60" s="1"/>
  <c r="AI20" i="60"/>
  <c r="AK20" i="60" s="1"/>
  <c r="AI370" i="60"/>
  <c r="AK370" i="60" s="1"/>
  <c r="AI32" i="60"/>
  <c r="AK32" i="60" s="1"/>
  <c r="AI147" i="60"/>
  <c r="AK147" i="60" s="1"/>
  <c r="AI121" i="60"/>
  <c r="AK121" i="60" s="1"/>
  <c r="AO121" i="60" s="1"/>
  <c r="AI174" i="60"/>
  <c r="AK174" i="60" s="1"/>
  <c r="AI334" i="60"/>
  <c r="AK334" i="60" s="1"/>
  <c r="AI191" i="60"/>
  <c r="AK191" i="60" s="1"/>
  <c r="AI275" i="60"/>
  <c r="AK275" i="60" s="1"/>
  <c r="AI132" i="60"/>
  <c r="AK132" i="60" s="1"/>
  <c r="AI286" i="60"/>
  <c r="AK286" i="60" s="1"/>
  <c r="AI91" i="60"/>
  <c r="AK91" i="60" s="1"/>
  <c r="AI255" i="60"/>
  <c r="AK255" i="60" s="1"/>
  <c r="AI125" i="60"/>
  <c r="AK125" i="60" s="1"/>
  <c r="AI172" i="60"/>
  <c r="AK172" i="60" s="1"/>
  <c r="AI211" i="60"/>
  <c r="AK211" i="60" s="1"/>
  <c r="AI196" i="60"/>
  <c r="AK196" i="60" s="1"/>
  <c r="AI222" i="60"/>
  <c r="AK222" i="60" s="1"/>
  <c r="AI115" i="60"/>
  <c r="AK115" i="60" s="1"/>
  <c r="AI402" i="60"/>
  <c r="AK402" i="60" s="1"/>
  <c r="AI77" i="60"/>
  <c r="AK77" i="60" s="1"/>
  <c r="AI283" i="60"/>
  <c r="AK283" i="60" s="1"/>
  <c r="AI192" i="60"/>
  <c r="AK192" i="60" s="1"/>
  <c r="AI332" i="60"/>
  <c r="AK332" i="60" s="1"/>
  <c r="AI254" i="60"/>
  <c r="AK254" i="60" s="1"/>
  <c r="AI396" i="60"/>
  <c r="AK396" i="60" s="1"/>
  <c r="AI149" i="60"/>
  <c r="AK149" i="60" s="1"/>
  <c r="AI394" i="60"/>
  <c r="AK394" i="60" s="1"/>
  <c r="AI82" i="60"/>
  <c r="AK82" i="60" s="1"/>
  <c r="AI356" i="60"/>
  <c r="AK356" i="60" s="1"/>
  <c r="AI70" i="60"/>
  <c r="AK70" i="60" s="1"/>
  <c r="AI282" i="60"/>
  <c r="AK282" i="60" s="1"/>
  <c r="AI48" i="60"/>
  <c r="AK48" i="60" s="1"/>
  <c r="AI223" i="60"/>
  <c r="AK223" i="60" s="1"/>
  <c r="AI54" i="60"/>
  <c r="AK54" i="60" s="1"/>
  <c r="AI390" i="60"/>
  <c r="AK390" i="60" s="1"/>
  <c r="AI65" i="60"/>
  <c r="AK65" i="60" s="1"/>
  <c r="AI216" i="60"/>
  <c r="AK216" i="60" s="1"/>
  <c r="AI34" i="60"/>
  <c r="AK34" i="60" s="1"/>
  <c r="AI276" i="60"/>
  <c r="AK276" i="60" s="1"/>
  <c r="AI133" i="60"/>
  <c r="AK133" i="60" s="1"/>
  <c r="AI79" i="60"/>
  <c r="AK79" i="60" s="1"/>
  <c r="AI310" i="60"/>
  <c r="AK310" i="60" s="1"/>
  <c r="AO310" i="60" s="1"/>
  <c r="AI50" i="60"/>
  <c r="AK50" i="60" s="1"/>
  <c r="AI363" i="60"/>
  <c r="AK363" i="60" s="1"/>
  <c r="AI168" i="60"/>
  <c r="AK168" i="60" s="1"/>
  <c r="AI348" i="60"/>
  <c r="AK348" i="60" s="1"/>
  <c r="AI49" i="60"/>
  <c r="AK49" i="60" s="1"/>
  <c r="AI293" i="60"/>
  <c r="AK293" i="60" s="1"/>
  <c r="AI306" i="60"/>
  <c r="AK306" i="60" s="1"/>
  <c r="AI383" i="60"/>
  <c r="AK383" i="60" s="1"/>
  <c r="AI240" i="60"/>
  <c r="AK240" i="60" s="1"/>
  <c r="AI381" i="60"/>
  <c r="AK381" i="60" s="1"/>
  <c r="AI43" i="60"/>
  <c r="AK43" i="60" s="1"/>
  <c r="AI148" i="60"/>
  <c r="AK148" i="60" s="1"/>
  <c r="AI83" i="60"/>
  <c r="AK83" i="60" s="1"/>
  <c r="AI256" i="60"/>
  <c r="AK256" i="60" s="1"/>
  <c r="AI139" i="60"/>
  <c r="AK139" i="60" s="1"/>
  <c r="AI171" i="60"/>
  <c r="AK171" i="60" s="1"/>
  <c r="AI28" i="60"/>
  <c r="AK28" i="60" s="1"/>
  <c r="V210" i="60"/>
  <c r="AS210" i="60" s="1"/>
  <c r="V67" i="60"/>
  <c r="AS67" i="60" s="1"/>
  <c r="O246" i="60"/>
  <c r="H230" i="60"/>
  <c r="H113" i="60"/>
  <c r="V384" i="60"/>
  <c r="V202" i="60"/>
  <c r="O365" i="60"/>
  <c r="O27" i="60"/>
  <c r="H71" i="60"/>
  <c r="H253" i="60"/>
  <c r="V117" i="60"/>
  <c r="AS117" i="60" s="1"/>
  <c r="V104" i="60"/>
  <c r="AS104" i="60" s="1"/>
  <c r="O335" i="60"/>
  <c r="O88" i="60"/>
  <c r="H47" i="60"/>
  <c r="H398" i="60"/>
  <c r="O238" i="60"/>
  <c r="V389" i="60"/>
  <c r="AS389" i="60" s="1"/>
  <c r="V233" i="60"/>
  <c r="AS233" i="60" s="1"/>
  <c r="O126" i="60"/>
  <c r="O282" i="60"/>
  <c r="H267" i="60"/>
  <c r="H85" i="60"/>
  <c r="V323" i="60"/>
  <c r="AS323" i="60" s="1"/>
  <c r="V232" i="60"/>
  <c r="AS232" i="60" s="1"/>
  <c r="V283" i="60"/>
  <c r="V166" i="60"/>
  <c r="AS166" i="60" s="1"/>
  <c r="H278" i="60"/>
  <c r="H161" i="60"/>
  <c r="V238" i="60"/>
  <c r="V82" i="60"/>
  <c r="AS82" i="60" s="1"/>
  <c r="H275" i="60"/>
  <c r="V326" i="60"/>
  <c r="AS326" i="60" s="1"/>
  <c r="V105" i="60"/>
  <c r="AS105" i="60" s="1"/>
  <c r="V344" i="60"/>
  <c r="AS344" i="60" s="1"/>
  <c r="V188" i="60"/>
  <c r="AS188" i="60" s="1"/>
  <c r="O401" i="60"/>
  <c r="O167" i="60"/>
  <c r="V372" i="60"/>
  <c r="V86" i="60"/>
  <c r="O31" i="60"/>
  <c r="O343" i="60"/>
  <c r="V74" i="60"/>
  <c r="V35" i="60"/>
  <c r="AS35" i="60" s="1"/>
  <c r="H92" i="60"/>
  <c r="O39" i="60"/>
  <c r="O130" i="60"/>
  <c r="H387" i="60"/>
  <c r="V109" i="60"/>
  <c r="AS109" i="60" s="1"/>
  <c r="V148" i="60"/>
  <c r="AS148" i="60" s="1"/>
  <c r="V94" i="60"/>
  <c r="AS94" i="60" s="1"/>
  <c r="V29" i="60"/>
  <c r="AS29" i="60" s="1"/>
  <c r="V54" i="60"/>
  <c r="AS54" i="60" s="1"/>
  <c r="V132" i="60"/>
  <c r="O194" i="60"/>
  <c r="H178" i="60"/>
  <c r="H308" i="60"/>
  <c r="V345" i="60"/>
  <c r="AS345" i="60" s="1"/>
  <c r="V150" i="60"/>
  <c r="AS150" i="60" s="1"/>
  <c r="O287" i="60"/>
  <c r="O261" i="60"/>
  <c r="H19" i="60"/>
  <c r="H84" i="60"/>
  <c r="V273" i="60"/>
  <c r="V39" i="60"/>
  <c r="O283" i="60"/>
  <c r="O23" i="60"/>
  <c r="H177" i="60"/>
  <c r="H359" i="60"/>
  <c r="O186" i="60"/>
  <c r="V324" i="60"/>
  <c r="AS324" i="60" s="1"/>
  <c r="V246" i="60"/>
  <c r="O22" i="60"/>
  <c r="O74" i="60"/>
  <c r="H358" i="60"/>
  <c r="H46" i="60"/>
  <c r="V388" i="60"/>
  <c r="AS388" i="60" s="1"/>
  <c r="V193" i="60"/>
  <c r="AS193" i="60" s="1"/>
  <c r="V335" i="60"/>
  <c r="V179" i="60"/>
  <c r="H304" i="60"/>
  <c r="H213" i="60"/>
  <c r="V56" i="60"/>
  <c r="V173" i="60"/>
  <c r="AS173" i="60" s="1"/>
  <c r="H314" i="60"/>
  <c r="O228" i="60"/>
  <c r="V92" i="60"/>
  <c r="V279" i="60"/>
  <c r="AS279" i="60" s="1"/>
  <c r="V58" i="60"/>
  <c r="O206" i="60"/>
  <c r="O245" i="60"/>
  <c r="V307" i="60"/>
  <c r="AS307" i="60" s="1"/>
  <c r="V203" i="60"/>
  <c r="O161" i="60"/>
  <c r="O226" i="60"/>
  <c r="H402" i="60"/>
  <c r="V269" i="60"/>
  <c r="AS269" i="60" s="1"/>
  <c r="V360" i="60"/>
  <c r="AS360" i="60" s="1"/>
  <c r="H40" i="60"/>
  <c r="O325" i="60"/>
  <c r="O312" i="60"/>
  <c r="H179" i="60"/>
  <c r="H270" i="60"/>
  <c r="V291" i="60"/>
  <c r="AS291" i="60" s="1"/>
  <c r="V96" i="60"/>
  <c r="V302" i="60"/>
  <c r="AS302" i="60" s="1"/>
  <c r="V55" i="60"/>
  <c r="AS55" i="60" s="1"/>
  <c r="V327" i="60"/>
  <c r="V106" i="60"/>
  <c r="AS106" i="60" s="1"/>
  <c r="O285" i="60"/>
  <c r="O38" i="60"/>
  <c r="H126" i="60"/>
  <c r="H373" i="60"/>
  <c r="V189" i="60"/>
  <c r="V20" i="60"/>
  <c r="AS20" i="60" s="1"/>
  <c r="O92" i="60"/>
  <c r="H279" i="60"/>
  <c r="H97" i="60"/>
  <c r="V390" i="60"/>
  <c r="AS390" i="60" s="1"/>
  <c r="V234" i="60"/>
  <c r="O49" i="60"/>
  <c r="O192" i="60"/>
  <c r="H138" i="60"/>
  <c r="H112" i="60"/>
  <c r="O277" i="60"/>
  <c r="O394" i="60"/>
  <c r="V207" i="60"/>
  <c r="AS207" i="60" s="1"/>
  <c r="V142" i="60"/>
  <c r="AS142" i="60" s="1"/>
  <c r="O334" i="60"/>
  <c r="O256" i="60"/>
  <c r="H397" i="60"/>
  <c r="V362" i="60"/>
  <c r="AS362" i="60" s="1"/>
  <c r="V128" i="60"/>
  <c r="V361" i="60"/>
  <c r="AS361" i="60" s="1"/>
  <c r="V114" i="60"/>
  <c r="AS114" i="60" s="1"/>
  <c r="H148" i="60"/>
  <c r="H57" i="60"/>
  <c r="V342" i="60"/>
  <c r="AS342" i="60" s="1"/>
  <c r="V69" i="60"/>
  <c r="AS69" i="60" s="1"/>
  <c r="H80" i="60"/>
  <c r="H171" i="60"/>
  <c r="V183" i="60"/>
  <c r="AS183" i="60" s="1"/>
  <c r="V66" i="60"/>
  <c r="AS66" i="60" s="1"/>
  <c r="V214" i="60"/>
  <c r="AS214" i="60" s="1"/>
  <c r="V149" i="60"/>
  <c r="AS149" i="60" s="1"/>
  <c r="O271" i="60"/>
  <c r="O50" i="60"/>
  <c r="V60" i="60"/>
  <c r="AS60" i="60" s="1"/>
  <c r="O369" i="60"/>
  <c r="O239" i="60"/>
  <c r="H311" i="60"/>
  <c r="V334" i="60"/>
  <c r="V191" i="60"/>
  <c r="AS191" i="60" s="1"/>
  <c r="H144" i="60"/>
  <c r="O234" i="60"/>
  <c r="H205" i="60"/>
  <c r="V330" i="60"/>
  <c r="AS330" i="60" s="1"/>
  <c r="V83" i="60"/>
  <c r="AS83" i="60" s="1"/>
  <c r="V341" i="60"/>
  <c r="V276" i="60"/>
  <c r="V223" i="60"/>
  <c r="AS223" i="60" s="1"/>
  <c r="O272" i="60"/>
  <c r="O363" i="60"/>
  <c r="H48" i="60"/>
  <c r="H282" i="60"/>
  <c r="V358" i="60"/>
  <c r="AS358" i="60" s="1"/>
  <c r="V293" i="60"/>
  <c r="AS293" i="60" s="1"/>
  <c r="O339" i="60"/>
  <c r="O222" i="60"/>
  <c r="H110" i="60"/>
  <c r="H383" i="60"/>
  <c r="V221" i="60"/>
  <c r="AS221" i="60" s="1"/>
  <c r="V65" i="60"/>
  <c r="AS65" i="60" s="1"/>
  <c r="O179" i="60"/>
  <c r="O36" i="60"/>
  <c r="H242" i="60"/>
  <c r="O368" i="60"/>
  <c r="O56" i="60"/>
  <c r="V285" i="60"/>
  <c r="V116" i="60"/>
  <c r="AS116" i="60" s="1"/>
  <c r="O321" i="60"/>
  <c r="O178" i="60"/>
  <c r="H189" i="60"/>
  <c r="H280" i="60"/>
  <c r="V258" i="60"/>
  <c r="V24" i="60"/>
  <c r="AS24" i="60" s="1"/>
  <c r="V231" i="60"/>
  <c r="AS231" i="60" s="1"/>
  <c r="V192" i="60"/>
  <c r="H382" i="60"/>
  <c r="V316" i="60"/>
  <c r="AS316" i="60" s="1"/>
  <c r="V43" i="60"/>
  <c r="AS43" i="60" s="1"/>
  <c r="H28" i="60"/>
  <c r="H93" i="60"/>
  <c r="V391" i="60"/>
  <c r="AS391" i="60" s="1"/>
  <c r="V157" i="60"/>
  <c r="AS157" i="60" s="1"/>
  <c r="V292" i="60"/>
  <c r="AS292" i="60" s="1"/>
  <c r="V201" i="60"/>
  <c r="O258" i="60"/>
  <c r="O128" i="60"/>
  <c r="V268" i="60"/>
  <c r="AS268" i="60" s="1"/>
  <c r="V164" i="60"/>
  <c r="AS164" i="60" s="1"/>
  <c r="O96" i="60"/>
  <c r="O18" i="60"/>
  <c r="H337" i="60"/>
  <c r="V217" i="60"/>
  <c r="AS217" i="60" s="1"/>
  <c r="V61" i="60"/>
  <c r="AS61" i="60" s="1"/>
  <c r="H313" i="60"/>
  <c r="O273" i="60"/>
  <c r="O78" i="60"/>
  <c r="H192" i="60"/>
  <c r="H23" i="60"/>
  <c r="V161" i="60"/>
  <c r="V200" i="60"/>
  <c r="AS200" i="60" s="1"/>
  <c r="V146" i="60"/>
  <c r="AS146" i="60" s="1"/>
  <c r="V328" i="60"/>
  <c r="AS328" i="60" s="1"/>
  <c r="O195" i="60"/>
  <c r="N203" i="60"/>
  <c r="N34" i="60"/>
  <c r="P34" i="60" s="1"/>
  <c r="N187" i="60"/>
  <c r="P187" i="60" s="1"/>
  <c r="N240" i="60"/>
  <c r="N357" i="60"/>
  <c r="P357" i="60" s="1"/>
  <c r="N329" i="60"/>
  <c r="P329" i="60" s="1"/>
  <c r="N342" i="60"/>
  <c r="P342" i="60" s="1"/>
  <c r="N276" i="60"/>
  <c r="N393" i="60"/>
  <c r="P393" i="60" s="1"/>
  <c r="N53" i="60"/>
  <c r="P53" i="60" s="1"/>
  <c r="N170" i="60"/>
  <c r="P170" i="60" s="1"/>
  <c r="N323" i="60"/>
  <c r="P323" i="60" s="1"/>
  <c r="N206" i="60"/>
  <c r="N194" i="60"/>
  <c r="N181" i="60"/>
  <c r="P181" i="60" s="1"/>
  <c r="N179" i="60"/>
  <c r="N49" i="60"/>
  <c r="N74" i="60"/>
  <c r="P74" i="60" s="1"/>
  <c r="N332" i="60"/>
  <c r="N267" i="60"/>
  <c r="P267" i="60" s="1"/>
  <c r="N195" i="60"/>
  <c r="N299" i="60"/>
  <c r="P299" i="60" s="1"/>
  <c r="N275" i="60"/>
  <c r="N93" i="60"/>
  <c r="P93" i="60" s="1"/>
  <c r="N230" i="60"/>
  <c r="P230" i="60" s="1"/>
  <c r="N143" i="60"/>
  <c r="P143" i="60" s="1"/>
  <c r="N60" i="60"/>
  <c r="P60" i="60" s="1"/>
  <c r="N359" i="60"/>
  <c r="P359" i="60" s="1"/>
  <c r="N135" i="60"/>
  <c r="P135" i="60" s="1"/>
  <c r="N239" i="60"/>
  <c r="P239" i="60" s="1"/>
  <c r="N214" i="60"/>
  <c r="P214" i="60" s="1"/>
  <c r="N279" i="60"/>
  <c r="P279" i="60" s="1"/>
  <c r="N173" i="60"/>
  <c r="P173" i="60" s="1"/>
  <c r="N303" i="60"/>
  <c r="P303" i="60" s="1"/>
  <c r="N289" i="60"/>
  <c r="P289" i="60" s="1"/>
  <c r="N341" i="60"/>
  <c r="N339" i="60"/>
  <c r="N271" i="60"/>
  <c r="P271" i="60" s="1"/>
  <c r="N375" i="60"/>
  <c r="P375" i="60" s="1"/>
  <c r="N142" i="60"/>
  <c r="P142" i="60" s="1"/>
  <c r="N129" i="60"/>
  <c r="P129" i="60" s="1"/>
  <c r="N101" i="60"/>
  <c r="P101" i="60" s="1"/>
  <c r="N23" i="60"/>
  <c r="N48" i="60"/>
  <c r="P48" i="60" s="1"/>
  <c r="N321" i="60"/>
  <c r="N59" i="60"/>
  <c r="N397" i="60"/>
  <c r="P397" i="60" s="1"/>
  <c r="N221" i="60"/>
  <c r="P221" i="60" s="1"/>
  <c r="N273" i="60"/>
  <c r="N41" i="60"/>
  <c r="N171" i="60"/>
  <c r="P171" i="60" s="1"/>
  <c r="N202" i="60"/>
  <c r="N210" i="60"/>
  <c r="P210" i="60" s="1"/>
  <c r="N21" i="60"/>
  <c r="N278" i="60"/>
  <c r="P278" i="60" s="1"/>
  <c r="N304" i="60"/>
  <c r="P304" i="60" s="1"/>
  <c r="N370" i="60"/>
  <c r="P370" i="60" s="1"/>
  <c r="N266" i="60"/>
  <c r="N147" i="60"/>
  <c r="P147" i="60" s="1"/>
  <c r="N108" i="60"/>
  <c r="P108" i="60" s="1"/>
  <c r="N68" i="60"/>
  <c r="P68" i="60" s="1"/>
  <c r="N315" i="60"/>
  <c r="P315" i="60" s="1"/>
  <c r="N287" i="60"/>
  <c r="N300" i="60"/>
  <c r="P300" i="60" s="1"/>
  <c r="N349" i="60"/>
  <c r="P349" i="60" s="1"/>
  <c r="N336" i="60"/>
  <c r="P336" i="60" s="1"/>
  <c r="N155" i="60"/>
  <c r="P155" i="60" s="1"/>
  <c r="N64" i="60"/>
  <c r="P64" i="60" s="1"/>
  <c r="N283" i="60"/>
  <c r="N386" i="60"/>
  <c r="P386" i="60" s="1"/>
  <c r="N78" i="60"/>
  <c r="N177" i="60"/>
  <c r="N73" i="60"/>
  <c r="P73" i="60" s="1"/>
  <c r="N330" i="60"/>
  <c r="P330" i="60" s="1"/>
  <c r="N57" i="60"/>
  <c r="P57" i="60" s="1"/>
  <c r="N292" i="60"/>
  <c r="P292" i="60" s="1"/>
  <c r="N201" i="60"/>
  <c r="N160" i="60"/>
  <c r="P160" i="60" s="1"/>
  <c r="N186" i="60"/>
  <c r="P186" i="60" s="1"/>
  <c r="N185" i="60"/>
  <c r="N29" i="60"/>
  <c r="P29" i="60" s="1"/>
  <c r="N391" i="60"/>
  <c r="P391" i="60" s="1"/>
  <c r="N209" i="60"/>
  <c r="P209" i="60" s="1"/>
  <c r="N362" i="60"/>
  <c r="P362" i="60" s="1"/>
  <c r="N233" i="60"/>
  <c r="P233" i="60" s="1"/>
  <c r="N246" i="60"/>
  <c r="P246" i="60" s="1"/>
  <c r="N218" i="60"/>
  <c r="P218" i="60" s="1"/>
  <c r="N387" i="60"/>
  <c r="P387" i="60" s="1"/>
  <c r="N22" i="60"/>
  <c r="N217" i="60"/>
  <c r="P217" i="60" s="1"/>
  <c r="N98" i="60"/>
  <c r="P98" i="60" s="1"/>
  <c r="N124" i="60"/>
  <c r="P124" i="60" s="1"/>
  <c r="N364" i="60"/>
  <c r="P364" i="60" s="1"/>
  <c r="N260" i="60"/>
  <c r="P260" i="60" s="1"/>
  <c r="N366" i="60"/>
  <c r="P366" i="60" s="1"/>
  <c r="N28" i="60"/>
  <c r="N39" i="60"/>
  <c r="H350" i="60"/>
  <c r="H298" i="60"/>
  <c r="H389" i="60"/>
  <c r="H272" i="60"/>
  <c r="H142" i="60"/>
  <c r="H248" i="60"/>
  <c r="H14" i="60"/>
  <c r="H231" i="60"/>
  <c r="O202" i="60"/>
  <c r="O280" i="60"/>
  <c r="O203" i="60"/>
  <c r="O175" i="60"/>
  <c r="O240" i="60"/>
  <c r="O396" i="60"/>
  <c r="O201" i="60"/>
  <c r="O266" i="60"/>
  <c r="O97" i="60"/>
  <c r="O58" i="60"/>
  <c r="O332" i="60"/>
  <c r="O189" i="60"/>
  <c r="O241" i="60"/>
  <c r="O59" i="60"/>
  <c r="O33" i="60"/>
  <c r="O354" i="60"/>
  <c r="O380" i="60"/>
  <c r="O250" i="60"/>
  <c r="O276" i="60"/>
  <c r="O211" i="60"/>
  <c r="O341" i="60"/>
  <c r="O185" i="60"/>
  <c r="O237" i="60"/>
  <c r="O197" i="60"/>
  <c r="O262" i="60"/>
  <c r="O119" i="60"/>
  <c r="O275" i="60"/>
  <c r="O340" i="60"/>
  <c r="O132" i="60"/>
  <c r="O41" i="60"/>
  <c r="O398" i="60"/>
  <c r="O190" i="60"/>
  <c r="O255" i="60"/>
  <c r="O320" i="60"/>
  <c r="O86" i="60"/>
  <c r="O177" i="60"/>
  <c r="O47" i="60"/>
  <c r="O21" i="60"/>
  <c r="Q92" i="24"/>
  <c r="Q91" i="24"/>
  <c r="Q141" i="24"/>
  <c r="Q146" i="24"/>
  <c r="Q145" i="24"/>
  <c r="Q144" i="24"/>
  <c r="Q143" i="24"/>
  <c r="Q142" i="24"/>
  <c r="Q140" i="24"/>
  <c r="Q139" i="24"/>
  <c r="Q138" i="24"/>
  <c r="Q137" i="24"/>
  <c r="Q136" i="24"/>
  <c r="Q135" i="24"/>
  <c r="Q134" i="24"/>
  <c r="Q94" i="24"/>
  <c r="I141" i="24"/>
  <c r="I146" i="24"/>
  <c r="I145" i="24"/>
  <c r="I144" i="24"/>
  <c r="I143" i="24"/>
  <c r="I142" i="24"/>
  <c r="I140" i="24"/>
  <c r="I139" i="24"/>
  <c r="I138" i="24"/>
  <c r="I137" i="24"/>
  <c r="I136" i="24"/>
  <c r="I135" i="24"/>
  <c r="I134" i="24"/>
  <c r="I94" i="24"/>
  <c r="AO115" i="60" l="1"/>
  <c r="AO403" i="60"/>
  <c r="AO247" i="60"/>
  <c r="AS32" i="60"/>
  <c r="W303" i="60"/>
  <c r="I391" i="60"/>
  <c r="P191" i="60"/>
  <c r="W80" i="60"/>
  <c r="P361" i="60"/>
  <c r="AS181" i="60"/>
  <c r="I326" i="60"/>
  <c r="I150" i="60"/>
  <c r="AS299" i="60"/>
  <c r="P257" i="60"/>
  <c r="AO306" i="60"/>
  <c r="P199" i="60"/>
  <c r="AS338" i="60"/>
  <c r="AO120" i="60"/>
  <c r="W162" i="60"/>
  <c r="W93" i="60"/>
  <c r="AS335" i="60"/>
  <c r="AS140" i="60"/>
  <c r="AS285" i="60"/>
  <c r="P78" i="60"/>
  <c r="AS372" i="60"/>
  <c r="AS103" i="60"/>
  <c r="AS171" i="60"/>
  <c r="I348" i="60"/>
  <c r="AO172" i="60"/>
  <c r="AO73" i="60"/>
  <c r="AO257" i="60"/>
  <c r="AO367" i="60"/>
  <c r="AO134" i="60"/>
  <c r="AO366" i="60"/>
  <c r="AO209" i="60"/>
  <c r="AO165" i="60"/>
  <c r="AO81" i="60"/>
  <c r="AO160" i="60"/>
  <c r="AO303" i="60"/>
  <c r="AO141" i="60"/>
  <c r="AO264" i="60"/>
  <c r="AO271" i="60"/>
  <c r="AO107" i="60"/>
  <c r="AO386" i="60"/>
  <c r="AO124" i="60"/>
  <c r="AO336" i="60"/>
  <c r="AO347" i="60"/>
  <c r="AO315" i="60"/>
  <c r="AO68" i="60"/>
  <c r="AO263" i="60"/>
  <c r="AO297" i="60"/>
  <c r="AO162" i="60"/>
  <c r="AS79" i="60"/>
  <c r="AS384" i="60"/>
  <c r="W147" i="60"/>
  <c r="AO147" i="60" s="1"/>
  <c r="W301" i="60"/>
  <c r="I49" i="60"/>
  <c r="I64" i="60"/>
  <c r="P118" i="60"/>
  <c r="AS270" i="60"/>
  <c r="W226" i="60"/>
  <c r="W308" i="60"/>
  <c r="I378" i="60"/>
  <c r="I266" i="60"/>
  <c r="I256" i="60"/>
  <c r="P109" i="60"/>
  <c r="P231" i="60"/>
  <c r="AS331" i="60"/>
  <c r="AS311" i="60"/>
  <c r="W220" i="60"/>
  <c r="I335" i="60"/>
  <c r="P248" i="60"/>
  <c r="P194" i="60"/>
  <c r="P283" i="60"/>
  <c r="P28" i="60"/>
  <c r="AS161" i="60"/>
  <c r="AS192" i="60"/>
  <c r="AS327" i="60"/>
  <c r="W181" i="60"/>
  <c r="W133" i="60"/>
  <c r="W123" i="60"/>
  <c r="W304" i="60"/>
  <c r="W14" i="60"/>
  <c r="W229" i="60"/>
  <c r="I214" i="60"/>
  <c r="I77" i="60"/>
  <c r="P291" i="60"/>
  <c r="P236" i="60"/>
  <c r="P358" i="60"/>
  <c r="P399" i="60"/>
  <c r="AS329" i="60"/>
  <c r="AS322" i="60"/>
  <c r="W227" i="60"/>
  <c r="W77" i="60"/>
  <c r="AO77" i="60" s="1"/>
  <c r="W79" i="60"/>
  <c r="W397" i="60"/>
  <c r="I58" i="60"/>
  <c r="I252" i="60"/>
  <c r="I343" i="60"/>
  <c r="P113" i="60"/>
  <c r="P225" i="60"/>
  <c r="AO225" i="60" s="1"/>
  <c r="AS120" i="60"/>
  <c r="AS248" i="60"/>
  <c r="AS333" i="60"/>
  <c r="W138" i="60"/>
  <c r="I281" i="60"/>
  <c r="I60" i="60"/>
  <c r="P311" i="60"/>
  <c r="AS101" i="60"/>
  <c r="I246" i="60"/>
  <c r="P252" i="60"/>
  <c r="P24" i="60"/>
  <c r="P321" i="60"/>
  <c r="AO321" i="60" s="1"/>
  <c r="AS218" i="60"/>
  <c r="AS63" i="60"/>
  <c r="P179" i="60"/>
  <c r="AS246" i="60"/>
  <c r="I274" i="60"/>
  <c r="AO274" i="60" s="1"/>
  <c r="AS317" i="60"/>
  <c r="AS290" i="60"/>
  <c r="I249" i="60"/>
  <c r="I75" i="60"/>
  <c r="I33" i="60"/>
  <c r="P286" i="60"/>
  <c r="AS378" i="60"/>
  <c r="I235" i="60"/>
  <c r="P360" i="60"/>
  <c r="P313" i="60"/>
  <c r="P287" i="60"/>
  <c r="P23" i="60"/>
  <c r="P332" i="60"/>
  <c r="AS258" i="60"/>
  <c r="AS56" i="60"/>
  <c r="AS39" i="60"/>
  <c r="I222" i="60"/>
  <c r="I333" i="60"/>
  <c r="P90" i="60"/>
  <c r="AS152" i="60"/>
  <c r="AS304" i="60"/>
  <c r="I90" i="60"/>
  <c r="P114" i="60"/>
  <c r="P157" i="60"/>
  <c r="AS44" i="60"/>
  <c r="AS336" i="60"/>
  <c r="AS64" i="60"/>
  <c r="P39" i="60"/>
  <c r="P22" i="60"/>
  <c r="P201" i="60"/>
  <c r="P273" i="60"/>
  <c r="P339" i="60"/>
  <c r="P195" i="60"/>
  <c r="AO195" i="60" s="1"/>
  <c r="P49" i="60"/>
  <c r="P206" i="60"/>
  <c r="AS96" i="60"/>
  <c r="AS92" i="60"/>
  <c r="AS74" i="60"/>
  <c r="W382" i="60"/>
  <c r="W78" i="60"/>
  <c r="AO78" i="60" s="1"/>
  <c r="I374" i="60"/>
  <c r="P224" i="60"/>
  <c r="AO224" i="60" s="1"/>
  <c r="P307" i="60"/>
  <c r="P314" i="60"/>
  <c r="P351" i="60"/>
  <c r="AO351" i="60" s="1"/>
  <c r="P152" i="60"/>
  <c r="P317" i="60"/>
  <c r="AS373" i="60"/>
  <c r="AS154" i="60"/>
  <c r="I327" i="60"/>
  <c r="I170" i="60"/>
  <c r="AO170" i="60" s="1"/>
  <c r="I34" i="60"/>
  <c r="AO34" i="60" s="1"/>
  <c r="I153" i="60"/>
  <c r="P378" i="60"/>
  <c r="P381" i="60"/>
  <c r="AO381" i="60" s="1"/>
  <c r="I74" i="60"/>
  <c r="P148" i="60"/>
  <c r="AS347" i="60"/>
  <c r="AS387" i="60"/>
  <c r="AS295" i="60"/>
  <c r="AS352" i="60"/>
  <c r="P36" i="60"/>
  <c r="P27" i="60"/>
  <c r="AS46" i="60"/>
  <c r="AS50" i="60"/>
  <c r="W16" i="60"/>
  <c r="W21" i="60"/>
  <c r="W20" i="60"/>
  <c r="I35" i="60"/>
  <c r="P16" i="60"/>
  <c r="P46" i="60"/>
  <c r="W26" i="60"/>
  <c r="W28" i="60"/>
  <c r="I40" i="60"/>
  <c r="AO40" i="60" s="1"/>
  <c r="I36" i="60"/>
  <c r="I32" i="60"/>
  <c r="AO32" i="60" s="1"/>
  <c r="I22" i="60"/>
  <c r="P203" i="60"/>
  <c r="AS201" i="60"/>
  <c r="AS341" i="60"/>
  <c r="AS128" i="60"/>
  <c r="AS203" i="60"/>
  <c r="AS58" i="60"/>
  <c r="W316" i="60"/>
  <c r="AO316" i="60" s="1"/>
  <c r="W231" i="60"/>
  <c r="W302" i="60"/>
  <c r="AO302" i="60" s="1"/>
  <c r="W279" i="60"/>
  <c r="W233" i="60"/>
  <c r="W148" i="60"/>
  <c r="W273" i="60"/>
  <c r="AO273" i="60" s="1"/>
  <c r="I205" i="60"/>
  <c r="I23" i="60"/>
  <c r="I282" i="60"/>
  <c r="I402" i="60"/>
  <c r="I389" i="60"/>
  <c r="P241" i="60"/>
  <c r="P379" i="60"/>
  <c r="P261" i="60"/>
  <c r="P228" i="60"/>
  <c r="P272" i="60"/>
  <c r="P401" i="60"/>
  <c r="P394" i="60"/>
  <c r="P255" i="60"/>
  <c r="P211" i="60"/>
  <c r="P227" i="60"/>
  <c r="P164" i="60"/>
  <c r="P184" i="60"/>
  <c r="P50" i="60"/>
  <c r="AO50" i="60" s="1"/>
  <c r="P56" i="60"/>
  <c r="P161" i="60"/>
  <c r="AS185" i="60"/>
  <c r="AS253" i="60"/>
  <c r="AS241" i="60"/>
  <c r="AS392" i="60"/>
  <c r="AS393" i="60"/>
  <c r="AS261" i="60"/>
  <c r="AS298" i="60"/>
  <c r="AS21" i="60"/>
  <c r="AS91" i="60"/>
  <c r="AS139" i="60"/>
  <c r="AS212" i="60"/>
  <c r="AS127" i="60"/>
  <c r="AS219" i="60"/>
  <c r="W66" i="60"/>
  <c r="W212" i="60"/>
  <c r="AO212" i="60" s="1"/>
  <c r="W43" i="60"/>
  <c r="W179" i="60"/>
  <c r="W205" i="60"/>
  <c r="W146" i="60"/>
  <c r="W380" i="60"/>
  <c r="W201" i="60"/>
  <c r="AO201" i="60" s="1"/>
  <c r="W64" i="60"/>
  <c r="AO64" i="60" s="1"/>
  <c r="W363" i="60"/>
  <c r="W200" i="60"/>
  <c r="W391" i="60"/>
  <c r="AO391" i="60" s="1"/>
  <c r="W307" i="60"/>
  <c r="W117" i="60"/>
  <c r="W54" i="60"/>
  <c r="W171" i="60"/>
  <c r="W288" i="60"/>
  <c r="W85" i="60"/>
  <c r="W217" i="60"/>
  <c r="W360" i="60"/>
  <c r="AO360" i="60" s="1"/>
  <c r="W180" i="60"/>
  <c r="W362" i="60"/>
  <c r="AO362" i="60" s="1"/>
  <c r="I268" i="60"/>
  <c r="I307" i="60"/>
  <c r="I47" i="60"/>
  <c r="I308" i="60"/>
  <c r="I337" i="60"/>
  <c r="I311" i="60"/>
  <c r="I187" i="60"/>
  <c r="AO187" i="60" s="1"/>
  <c r="I278" i="60"/>
  <c r="I356" i="60"/>
  <c r="I57" i="60"/>
  <c r="AO57" i="60" s="1"/>
  <c r="I85" i="60"/>
  <c r="I280" i="60"/>
  <c r="I148" i="60"/>
  <c r="I213" i="60"/>
  <c r="I135" i="60"/>
  <c r="I319" i="60"/>
  <c r="AO319" i="60" s="1"/>
  <c r="P119" i="60"/>
  <c r="P293" i="60"/>
  <c r="P373" i="60"/>
  <c r="P285" i="60"/>
  <c r="P125" i="60"/>
  <c r="AO125" i="60" s="1"/>
  <c r="P75" i="60"/>
  <c r="AO75" i="60" s="1"/>
  <c r="P363" i="60"/>
  <c r="P167" i="60"/>
  <c r="AO167" i="60" s="1"/>
  <c r="P290" i="60"/>
  <c r="P86" i="60"/>
  <c r="P308" i="60"/>
  <c r="P106" i="60"/>
  <c r="P312" i="60"/>
  <c r="P85" i="60"/>
  <c r="P298" i="60"/>
  <c r="P219" i="60"/>
  <c r="P183" i="60"/>
  <c r="P215" i="60"/>
  <c r="AO215" i="60" s="1"/>
  <c r="P158" i="60"/>
  <c r="P254" i="60"/>
  <c r="P335" i="60"/>
  <c r="P258" i="60"/>
  <c r="P133" i="60"/>
  <c r="P318" i="60"/>
  <c r="P226" i="60"/>
  <c r="AS178" i="60"/>
  <c r="AS97" i="60"/>
  <c r="AS199" i="60"/>
  <c r="AS76" i="60"/>
  <c r="AS259" i="60"/>
  <c r="AS184" i="60"/>
  <c r="AS250" i="60"/>
  <c r="AS213" i="60"/>
  <c r="AS386" i="60"/>
  <c r="AS320" i="60"/>
  <c r="AS368" i="60"/>
  <c r="AS286" i="60"/>
  <c r="AS16" i="60"/>
  <c r="AS367" i="60"/>
  <c r="AS369" i="60"/>
  <c r="AS22" i="60"/>
  <c r="AS71" i="60"/>
  <c r="AS118" i="60"/>
  <c r="AS134" i="60"/>
  <c r="AS23" i="60"/>
  <c r="AS167" i="60"/>
  <c r="AS377" i="60"/>
  <c r="AS59" i="60"/>
  <c r="AS197" i="60"/>
  <c r="AS68" i="60"/>
  <c r="AS216" i="60"/>
  <c r="AS240" i="60"/>
  <c r="AS90" i="60"/>
  <c r="AS325" i="60"/>
  <c r="AS72" i="60"/>
  <c r="AS314" i="60"/>
  <c r="W83" i="60"/>
  <c r="W56" i="60"/>
  <c r="W82" i="60"/>
  <c r="W368" i="60"/>
  <c r="W218" i="60"/>
  <c r="AO218" i="60" s="1"/>
  <c r="W374" i="60"/>
  <c r="AO374" i="60" s="1"/>
  <c r="W55" i="60"/>
  <c r="W250" i="60"/>
  <c r="W175" i="60"/>
  <c r="W253" i="60"/>
  <c r="W383" i="60"/>
  <c r="W142" i="60"/>
  <c r="W246" i="60"/>
  <c r="AO246" i="60" s="1"/>
  <c r="W109" i="60"/>
  <c r="W96" i="60"/>
  <c r="W278" i="60"/>
  <c r="AO278" i="60" s="1"/>
  <c r="W248" i="60"/>
  <c r="W326" i="60"/>
  <c r="W203" i="60"/>
  <c r="AO203" i="60" s="1"/>
  <c r="W268" i="60"/>
  <c r="W398" i="60"/>
  <c r="W143" i="60"/>
  <c r="AO143" i="60" s="1"/>
  <c r="W286" i="60"/>
  <c r="AO286" i="60" s="1"/>
  <c r="W119" i="60"/>
  <c r="AO119" i="60" s="1"/>
  <c r="W236" i="60"/>
  <c r="W293" i="60"/>
  <c r="W189" i="60"/>
  <c r="W74" i="60"/>
  <c r="AO74" i="60" s="1"/>
  <c r="W191" i="60"/>
  <c r="W243" i="60"/>
  <c r="W269" i="60"/>
  <c r="W323" i="60"/>
  <c r="AO323" i="60" s="1"/>
  <c r="W375" i="60"/>
  <c r="AO375" i="60" s="1"/>
  <c r="I93" i="60"/>
  <c r="AO93" i="60" s="1"/>
  <c r="I171" i="60"/>
  <c r="I197" i="60"/>
  <c r="I131" i="60"/>
  <c r="AO131" i="60" s="1"/>
  <c r="I287" i="60"/>
  <c r="I112" i="60"/>
  <c r="I216" i="60"/>
  <c r="I346" i="60"/>
  <c r="I359" i="60"/>
  <c r="AO359" i="60" s="1"/>
  <c r="I192" i="60"/>
  <c r="I101" i="60"/>
  <c r="AO101" i="60" s="1"/>
  <c r="I318" i="60"/>
  <c r="I175" i="60"/>
  <c r="I123" i="60"/>
  <c r="I334" i="60"/>
  <c r="I350" i="60"/>
  <c r="AO350" i="60" s="1"/>
  <c r="I155" i="60"/>
  <c r="I272" i="60"/>
  <c r="I51" i="60"/>
  <c r="AO51" i="60" s="1"/>
  <c r="P282" i="60"/>
  <c r="P65" i="60"/>
  <c r="P189" i="60"/>
  <c r="P127" i="60"/>
  <c r="P38" i="60"/>
  <c r="AO38" i="60" s="1"/>
  <c r="P284" i="60"/>
  <c r="AO284" i="60" s="1"/>
  <c r="P250" i="60"/>
  <c r="P355" i="60"/>
  <c r="AO355" i="60" s="1"/>
  <c r="P97" i="60"/>
  <c r="P18" i="60"/>
  <c r="P99" i="60"/>
  <c r="P126" i="60"/>
  <c r="P309" i="60"/>
  <c r="P92" i="60"/>
  <c r="P277" i="60"/>
  <c r="AO277" i="60" s="1"/>
  <c r="P188" i="60"/>
  <c r="P265" i="60"/>
  <c r="P190" i="60"/>
  <c r="AO190" i="60" s="1"/>
  <c r="P390" i="60"/>
  <c r="P301" i="60"/>
  <c r="P377" i="60"/>
  <c r="AO377" i="60" s="1"/>
  <c r="P153" i="60"/>
  <c r="P103" i="60"/>
  <c r="P63" i="60"/>
  <c r="P146" i="60"/>
  <c r="P71" i="60"/>
  <c r="P31" i="60"/>
  <c r="P242" i="60"/>
  <c r="P249" i="60"/>
  <c r="P353" i="60"/>
  <c r="P130" i="60"/>
  <c r="AO130" i="60" s="1"/>
  <c r="P371" i="60"/>
  <c r="P205" i="60"/>
  <c r="P402" i="60"/>
  <c r="P198" i="60"/>
  <c r="P45" i="60"/>
  <c r="P200" i="60"/>
  <c r="P372" i="60"/>
  <c r="AS159" i="60"/>
  <c r="AS174" i="60"/>
  <c r="AS34" i="60"/>
  <c r="AS396" i="60"/>
  <c r="AS339" i="60"/>
  <c r="AS277" i="60"/>
  <c r="AS309" i="60"/>
  <c r="AS351" i="60"/>
  <c r="AS124" i="60"/>
  <c r="AS379" i="60"/>
  <c r="AS239" i="60"/>
  <c r="AS165" i="60"/>
  <c r="AS190" i="60"/>
  <c r="AS370" i="60"/>
  <c r="AS235" i="60"/>
  <c r="AS355" i="60"/>
  <c r="AS245" i="60"/>
  <c r="AS247" i="60"/>
  <c r="AS267" i="60"/>
  <c r="AS41" i="60"/>
  <c r="AS211" i="60"/>
  <c r="AS70" i="60"/>
  <c r="AS321" i="60"/>
  <c r="AS281" i="60"/>
  <c r="AS305" i="60"/>
  <c r="AS88" i="60"/>
  <c r="AS284" i="60"/>
  <c r="AS130" i="60"/>
  <c r="AS215" i="60"/>
  <c r="AS353" i="60"/>
  <c r="AS31" i="60"/>
  <c r="AS256" i="60"/>
  <c r="AS138" i="60"/>
  <c r="AS136" i="60"/>
  <c r="AS170" i="60"/>
  <c r="AS17" i="60"/>
  <c r="AS400" i="60"/>
  <c r="AS102" i="60"/>
  <c r="AS337" i="60"/>
  <c r="AS26" i="60"/>
  <c r="AS254" i="60"/>
  <c r="AS15" i="60"/>
  <c r="W71" i="60"/>
  <c r="W333" i="60"/>
  <c r="AO333" i="60" s="1"/>
  <c r="W95" i="60"/>
  <c r="W186" i="60"/>
  <c r="AO186" i="60" s="1"/>
  <c r="W238" i="60"/>
  <c r="W49" i="60"/>
  <c r="AO49" i="60" s="1"/>
  <c r="W153" i="60"/>
  <c r="AO153" i="60" s="1"/>
  <c r="W244" i="60"/>
  <c r="AO244" i="60" s="1"/>
  <c r="W387" i="60"/>
  <c r="W159" i="60"/>
  <c r="AO159" i="60" s="1"/>
  <c r="W29" i="60"/>
  <c r="AO29" i="60" s="1"/>
  <c r="W328" i="60"/>
  <c r="W19" i="60"/>
  <c r="W136" i="60"/>
  <c r="W214" i="60"/>
  <c r="AO214" i="60" s="1"/>
  <c r="W344" i="60"/>
  <c r="AO344" i="60" s="1"/>
  <c r="W103" i="60"/>
  <c r="W168" i="60"/>
  <c r="W376" i="60"/>
  <c r="W31" i="60"/>
  <c r="W135" i="60"/>
  <c r="AO135" i="60" s="1"/>
  <c r="W213" i="60"/>
  <c r="AO213" i="60" s="1"/>
  <c r="W395" i="60"/>
  <c r="AO395" i="60" s="1"/>
  <c r="W183" i="60"/>
  <c r="W118" i="60"/>
  <c r="W352" i="60"/>
  <c r="AO352" i="60" s="1"/>
  <c r="W151" i="60"/>
  <c r="W86" i="60"/>
  <c r="W164" i="60"/>
  <c r="AO164" i="60" s="1"/>
  <c r="W385" i="60"/>
  <c r="W221" i="60"/>
  <c r="AO221" i="60" s="1"/>
  <c r="W312" i="60"/>
  <c r="AO312" i="60" s="1"/>
  <c r="W338" i="60"/>
  <c r="AO338" i="60" s="1"/>
  <c r="W249" i="60"/>
  <c r="AO249" i="60" s="1"/>
  <c r="W275" i="60"/>
  <c r="W59" i="60"/>
  <c r="W254" i="60"/>
  <c r="W384" i="60"/>
  <c r="W332" i="60"/>
  <c r="W178" i="60"/>
  <c r="W87" i="60"/>
  <c r="W295" i="60"/>
  <c r="AO295" i="60" s="1"/>
  <c r="W399" i="60"/>
  <c r="AO399" i="60" s="1"/>
  <c r="W193" i="60"/>
  <c r="W349" i="60"/>
  <c r="AO349" i="60" s="1"/>
  <c r="W388" i="60"/>
  <c r="AO388" i="60" s="1"/>
  <c r="I301" i="60"/>
  <c r="I353" i="60"/>
  <c r="I184" i="60"/>
  <c r="I379" i="60"/>
  <c r="I300" i="60"/>
  <c r="AO300" i="60" s="1"/>
  <c r="I183" i="60"/>
  <c r="I157" i="60"/>
  <c r="I242" i="60"/>
  <c r="I255" i="60"/>
  <c r="I177" i="60"/>
  <c r="I151" i="60"/>
  <c r="I309" i="60"/>
  <c r="I322" i="60"/>
  <c r="AO322" i="60" s="1"/>
  <c r="I396" i="60"/>
  <c r="I71" i="60"/>
  <c r="I227" i="60"/>
  <c r="I243" i="60"/>
  <c r="I139" i="60"/>
  <c r="I152" i="60"/>
  <c r="I259" i="60"/>
  <c r="I181" i="60"/>
  <c r="I194" i="60"/>
  <c r="I103" i="60"/>
  <c r="I109" i="60"/>
  <c r="I382" i="60"/>
  <c r="I70" i="60"/>
  <c r="AO70" i="60" s="1"/>
  <c r="I241" i="60"/>
  <c r="I111" i="60"/>
  <c r="I72" i="60"/>
  <c r="AO72" i="60" s="1"/>
  <c r="I189" i="60"/>
  <c r="I168" i="60"/>
  <c r="I317" i="60"/>
  <c r="I291" i="60"/>
  <c r="I304" i="60"/>
  <c r="I371" i="60"/>
  <c r="I98" i="60"/>
  <c r="AO98" i="60" s="1"/>
  <c r="I59" i="60"/>
  <c r="P275" i="60"/>
  <c r="P21" i="60"/>
  <c r="P41" i="60"/>
  <c r="AO41" i="60" s="1"/>
  <c r="W24" i="60"/>
  <c r="AO24" i="60" s="1"/>
  <c r="I28" i="60"/>
  <c r="W35" i="60"/>
  <c r="AO35" i="60" s="1"/>
  <c r="I48" i="60"/>
  <c r="I46" i="60"/>
  <c r="P42" i="60"/>
  <c r="AO42" i="60" s="1"/>
  <c r="P26" i="60"/>
  <c r="AS18" i="60"/>
  <c r="AS33" i="60"/>
  <c r="W45" i="60"/>
  <c r="AO45" i="60" s="1"/>
  <c r="W27" i="60"/>
  <c r="AO27" i="60" s="1"/>
  <c r="I18" i="60"/>
  <c r="P52" i="60"/>
  <c r="P19" i="60"/>
  <c r="P44" i="60"/>
  <c r="P15" i="60"/>
  <c r="AO15" i="60" s="1"/>
  <c r="P17" i="60"/>
  <c r="AO17" i="60" s="1"/>
  <c r="W44" i="60"/>
  <c r="W30" i="60"/>
  <c r="AO30" i="60" s="1"/>
  <c r="W39" i="60"/>
  <c r="AO39" i="60" s="1"/>
  <c r="W48" i="60"/>
  <c r="I14" i="60"/>
  <c r="I21" i="60"/>
  <c r="I31" i="60"/>
  <c r="I20" i="60"/>
  <c r="P185" i="60"/>
  <c r="P177" i="60"/>
  <c r="P266" i="60"/>
  <c r="AO266" i="60" s="1"/>
  <c r="P202" i="60"/>
  <c r="P59" i="60"/>
  <c r="P341" i="60"/>
  <c r="P276" i="60"/>
  <c r="P240" i="60"/>
  <c r="AS276" i="60"/>
  <c r="AS334" i="60"/>
  <c r="AS234" i="60"/>
  <c r="AS189" i="60"/>
  <c r="AS179" i="60"/>
  <c r="AS273" i="60"/>
  <c r="AS132" i="60"/>
  <c r="AS86" i="60"/>
  <c r="AS238" i="60"/>
  <c r="AS283" i="60"/>
  <c r="AS202" i="60"/>
  <c r="W173" i="60"/>
  <c r="AO173" i="60" s="1"/>
  <c r="W114" i="60"/>
  <c r="AO114" i="60" s="1"/>
  <c r="W292" i="60"/>
  <c r="W116" i="60"/>
  <c r="W324" i="60"/>
  <c r="W291" i="60"/>
  <c r="W105" i="60"/>
  <c r="W60" i="60"/>
  <c r="AO60" i="60" s="1"/>
  <c r="W104" i="60"/>
  <c r="AO104" i="60" s="1"/>
  <c r="W234" i="60"/>
  <c r="W390" i="60"/>
  <c r="AO390" i="60" s="1"/>
  <c r="W358" i="60"/>
  <c r="W345" i="60"/>
  <c r="I314" i="60"/>
  <c r="I80" i="60"/>
  <c r="I144" i="60"/>
  <c r="I138" i="60"/>
  <c r="I270" i="60"/>
  <c r="I97" i="60"/>
  <c r="I126" i="60"/>
  <c r="I142" i="60"/>
  <c r="I397" i="60"/>
  <c r="P132" i="60"/>
  <c r="P192" i="60"/>
  <c r="P340" i="60"/>
  <c r="P234" i="60"/>
  <c r="P256" i="60"/>
  <c r="P128" i="60"/>
  <c r="P365" i="60"/>
  <c r="P58" i="60"/>
  <c r="P96" i="60"/>
  <c r="P354" i="60"/>
  <c r="AS380" i="60"/>
  <c r="AS27" i="60"/>
  <c r="AS89" i="60"/>
  <c r="AS38" i="60"/>
  <c r="AS332" i="60"/>
  <c r="AS229" i="60"/>
  <c r="AS357" i="60"/>
  <c r="AS365" i="60"/>
  <c r="AS78" i="60"/>
  <c r="AS237" i="60"/>
  <c r="AS282" i="60"/>
  <c r="AS398" i="60"/>
  <c r="AS180" i="60"/>
  <c r="AS363" i="60"/>
  <c r="AS260" i="60"/>
  <c r="AS119" i="60"/>
  <c r="AS343" i="60"/>
  <c r="AS242" i="60"/>
  <c r="AS45" i="60"/>
  <c r="AS401" i="60"/>
  <c r="AS85" i="60"/>
  <c r="W223" i="60"/>
  <c r="AO223" i="60" s="1"/>
  <c r="W329" i="60"/>
  <c r="AO329" i="60" s="1"/>
  <c r="W127" i="60"/>
  <c r="W192" i="60"/>
  <c r="W270" i="60"/>
  <c r="AO270" i="60" s="1"/>
  <c r="W348" i="60"/>
  <c r="AO348" i="60" s="1"/>
  <c r="W237" i="60"/>
  <c r="W341" i="60"/>
  <c r="W188" i="60"/>
  <c r="AO188" i="60" s="1"/>
  <c r="W357" i="60"/>
  <c r="AO357" i="60" s="1"/>
  <c r="W265" i="60"/>
  <c r="W330" i="60"/>
  <c r="W92" i="60"/>
  <c r="W261" i="60"/>
  <c r="AO261" i="60" s="1"/>
  <c r="W242" i="60"/>
  <c r="AO242" i="60" s="1"/>
  <c r="W294" i="60"/>
  <c r="W169" i="60"/>
  <c r="AO169" i="60" s="1"/>
  <c r="W156" i="60"/>
  <c r="AO156" i="60" s="1"/>
  <c r="W67" i="60"/>
  <c r="W204" i="60"/>
  <c r="W128" i="60"/>
  <c r="W154" i="60"/>
  <c r="W258" i="60"/>
  <c r="AO258" i="60" s="1"/>
  <c r="I275" i="60"/>
  <c r="I118" i="60"/>
  <c r="I105" i="60"/>
  <c r="I86" i="60"/>
  <c r="I229" i="60"/>
  <c r="I231" i="60"/>
  <c r="I383" i="60"/>
  <c r="I373" i="60"/>
  <c r="I113" i="60"/>
  <c r="I285" i="60"/>
  <c r="I330" i="60"/>
  <c r="I265" i="60"/>
  <c r="I163" i="60"/>
  <c r="AO163" i="60" s="1"/>
  <c r="I358" i="60"/>
  <c r="P80" i="60"/>
  <c r="AO80" i="60" s="1"/>
  <c r="P182" i="60"/>
  <c r="AO182" i="60" s="1"/>
  <c r="P89" i="60"/>
  <c r="P55" i="60"/>
  <c r="P136" i="60"/>
  <c r="P174" i="60"/>
  <c r="P280" i="60"/>
  <c r="AO280" i="60" s="1"/>
  <c r="P222" i="60"/>
  <c r="AO222" i="60" s="1"/>
  <c r="P43" i="60"/>
  <c r="P84" i="60"/>
  <c r="P356" i="60"/>
  <c r="P398" i="60"/>
  <c r="P327" i="60"/>
  <c r="P137" i="60"/>
  <c r="P62" i="60"/>
  <c r="P232" i="60"/>
  <c r="P238" i="60"/>
  <c r="P253" i="60"/>
  <c r="P47" i="60"/>
  <c r="AO47" i="60" s="1"/>
  <c r="P262" i="60"/>
  <c r="AO262" i="60" s="1"/>
  <c r="P384" i="60"/>
  <c r="P259" i="60"/>
  <c r="AO259" i="60" s="1"/>
  <c r="P154" i="60"/>
  <c r="P326" i="60"/>
  <c r="P94" i="60"/>
  <c r="P305" i="60"/>
  <c r="AO305" i="60" s="1"/>
  <c r="P343" i="60"/>
  <c r="P294" i="60"/>
  <c r="AS226" i="60"/>
  <c r="AS308" i="60"/>
  <c r="AS385" i="60"/>
  <c r="AS375" i="60"/>
  <c r="AS129" i="60"/>
  <c r="AS195" i="60"/>
  <c r="AS137" i="60"/>
  <c r="AS275" i="60"/>
  <c r="AS399" i="60"/>
  <c r="AS125" i="60"/>
  <c r="AS175" i="60"/>
  <c r="AS30" i="60"/>
  <c r="AS49" i="60"/>
  <c r="AS271" i="60"/>
  <c r="AS272" i="60"/>
  <c r="AS98" i="60"/>
  <c r="AS236" i="60"/>
  <c r="AS47" i="60"/>
  <c r="AS266" i="60"/>
  <c r="AS222" i="60"/>
  <c r="AS394" i="60"/>
  <c r="AS37" i="60"/>
  <c r="AS77" i="60"/>
  <c r="AS312" i="60"/>
  <c r="AS228" i="60"/>
  <c r="AS262" i="60"/>
  <c r="AS354" i="60"/>
  <c r="AS356" i="60"/>
  <c r="AS227" i="60"/>
  <c r="AS53" i="60"/>
  <c r="AS62" i="60"/>
  <c r="AS206" i="60"/>
  <c r="AS402" i="60"/>
  <c r="AS364" i="60"/>
  <c r="AS249" i="60"/>
  <c r="W53" i="60"/>
  <c r="AO53" i="60" s="1"/>
  <c r="W69" i="60"/>
  <c r="AO69" i="60" s="1"/>
  <c r="W108" i="60"/>
  <c r="AO108" i="60" s="1"/>
  <c r="W290" i="60"/>
  <c r="AO290" i="60" s="1"/>
  <c r="W342" i="60"/>
  <c r="AO342" i="60" s="1"/>
  <c r="W23" i="60"/>
  <c r="AO23" i="60" s="1"/>
  <c r="W283" i="60"/>
  <c r="AO283" i="60" s="1"/>
  <c r="W361" i="60"/>
  <c r="AO361" i="60" s="1"/>
  <c r="W185" i="60"/>
  <c r="AO185" i="60" s="1"/>
  <c r="W354" i="60"/>
  <c r="W276" i="60"/>
  <c r="AO276" i="60" s="1"/>
  <c r="W393" i="60"/>
  <c r="AO393" i="60" s="1"/>
  <c r="W240" i="60"/>
  <c r="AO240" i="60" s="1"/>
  <c r="W129" i="60"/>
  <c r="AO129" i="60" s="1"/>
  <c r="W90" i="60"/>
  <c r="AO90" i="60" s="1"/>
  <c r="W402" i="60"/>
  <c r="AO402" i="60" s="1"/>
  <c r="W161" i="60"/>
  <c r="W369" i="60"/>
  <c r="W356" i="60"/>
  <c r="W313" i="60"/>
  <c r="W372" i="60"/>
  <c r="W99" i="60"/>
  <c r="W346" i="60"/>
  <c r="AO346" i="60" s="1"/>
  <c r="W260" i="60"/>
  <c r="AO260" i="60" s="1"/>
  <c r="W65" i="60"/>
  <c r="AO65" i="60" s="1"/>
  <c r="W325" i="60"/>
  <c r="W299" i="60"/>
  <c r="AO299" i="60" s="1"/>
  <c r="W210" i="60"/>
  <c r="W132" i="60"/>
  <c r="AO132" i="60" s="1"/>
  <c r="W327" i="60"/>
  <c r="AO327" i="60" s="1"/>
  <c r="W33" i="60"/>
  <c r="W137" i="60"/>
  <c r="W202" i="60"/>
  <c r="AO202" i="60" s="1"/>
  <c r="W100" i="60"/>
  <c r="AO100" i="60" s="1"/>
  <c r="W61" i="60"/>
  <c r="AO61" i="60" s="1"/>
  <c r="W282" i="60"/>
  <c r="AO282" i="60" s="1"/>
  <c r="W63" i="60"/>
  <c r="AO63" i="60" s="1"/>
  <c r="W232" i="60"/>
  <c r="W219" i="60"/>
  <c r="AO219" i="60" s="1"/>
  <c r="I288" i="60"/>
  <c r="I236" i="60"/>
  <c r="I210" i="60"/>
  <c r="I339" i="60"/>
  <c r="I313" i="60"/>
  <c r="I196" i="60"/>
  <c r="AO196" i="60" s="1"/>
  <c r="I79" i="60"/>
  <c r="I99" i="60"/>
  <c r="I400" i="60"/>
  <c r="I370" i="60"/>
  <c r="AO370" i="60" s="1"/>
  <c r="I110" i="60"/>
  <c r="AO110" i="60" s="1"/>
  <c r="I253" i="60"/>
  <c r="I84" i="60"/>
  <c r="I217" i="60"/>
  <c r="I269" i="60"/>
  <c r="I191" i="60"/>
  <c r="I298" i="60"/>
  <c r="I207" i="60"/>
  <c r="I25" i="60"/>
  <c r="AO25" i="60" s="1"/>
  <c r="I228" i="60"/>
  <c r="P392" i="60"/>
  <c r="AO392" i="60" s="1"/>
  <c r="P325" i="60"/>
  <c r="P345" i="60"/>
  <c r="P178" i="60"/>
  <c r="P140" i="60"/>
  <c r="AO140" i="60" s="1"/>
  <c r="P180" i="60"/>
  <c r="P235" i="60"/>
  <c r="AO235" i="60" s="1"/>
  <c r="P95" i="60"/>
  <c r="P383" i="60"/>
  <c r="P320" i="60"/>
  <c r="AO320" i="60" s="1"/>
  <c r="P91" i="60"/>
  <c r="AO91" i="60" s="1"/>
  <c r="P88" i="60"/>
  <c r="AO88" i="60" s="1"/>
  <c r="P337" i="60"/>
  <c r="AO337" i="60" s="1"/>
  <c r="P245" i="60"/>
  <c r="AO245" i="60" s="1"/>
  <c r="P105" i="60"/>
  <c r="P328" i="60"/>
  <c r="P368" i="60"/>
  <c r="P396" i="60"/>
  <c r="AO396" i="60" s="1"/>
  <c r="P83" i="60"/>
  <c r="P385" i="60"/>
  <c r="P334" i="60"/>
  <c r="P197" i="60"/>
  <c r="AO197" i="60" s="1"/>
  <c r="P33" i="60"/>
  <c r="P87" i="60"/>
  <c r="P376" i="60"/>
  <c r="P193" i="60"/>
  <c r="P380" i="60"/>
  <c r="P82" i="60"/>
  <c r="P229" i="60"/>
  <c r="P176" i="60"/>
  <c r="P117" i="60"/>
  <c r="P111" i="60"/>
  <c r="AO111" i="60" s="1"/>
  <c r="P139" i="60"/>
  <c r="AO139" i="60" s="1"/>
  <c r="P400" i="60"/>
  <c r="P102" i="60"/>
  <c r="AO102" i="60" s="1"/>
  <c r="P66" i="60"/>
  <c r="P237" i="60"/>
  <c r="P175" i="60"/>
  <c r="P369" i="60"/>
  <c r="P268" i="60"/>
  <c r="AS42" i="60"/>
  <c r="AS230" i="60"/>
  <c r="AS73" i="60"/>
  <c r="AS162" i="60"/>
  <c r="AS209" i="60"/>
  <c r="AS186" i="60"/>
  <c r="AS36" i="60"/>
  <c r="AS297" i="60"/>
  <c r="AS280" i="60"/>
  <c r="AS93" i="60"/>
  <c r="AS198" i="60"/>
  <c r="AS252" i="60"/>
  <c r="AS126" i="60"/>
  <c r="AS359" i="60"/>
  <c r="AS40" i="60"/>
  <c r="AS121" i="60"/>
  <c r="AS75" i="60"/>
  <c r="AS208" i="60"/>
  <c r="AS371" i="60"/>
  <c r="AS158" i="60"/>
  <c r="AS224" i="60"/>
  <c r="AS57" i="60"/>
  <c r="AS177" i="60"/>
  <c r="AS84" i="60"/>
  <c r="AS287" i="60"/>
  <c r="AS251" i="60"/>
  <c r="AS244" i="60"/>
  <c r="AS376" i="60"/>
  <c r="AS52" i="60"/>
  <c r="AS163" i="60"/>
  <c r="AS28" i="60"/>
  <c r="AS107" i="60"/>
  <c r="AS122" i="60"/>
  <c r="AS87" i="60"/>
  <c r="AS255" i="60"/>
  <c r="AS318" i="60"/>
  <c r="AS274" i="60"/>
  <c r="AS310" i="60"/>
  <c r="AS194" i="60"/>
  <c r="AS182" i="60"/>
  <c r="AS319" i="60"/>
  <c r="AS340" i="60"/>
  <c r="W62" i="60"/>
  <c r="W89" i="60"/>
  <c r="AO89" i="60" s="1"/>
  <c r="W199" i="60"/>
  <c r="AO199" i="60" s="1"/>
  <c r="W251" i="60"/>
  <c r="AO251" i="60" s="1"/>
  <c r="W394" i="60"/>
  <c r="AO394" i="60" s="1"/>
  <c r="W335" i="60"/>
  <c r="AO335" i="60" s="1"/>
  <c r="W166" i="60"/>
  <c r="AO166" i="60" s="1"/>
  <c r="W296" i="60"/>
  <c r="AO296" i="60" s="1"/>
  <c r="W198" i="60"/>
  <c r="AO198" i="60" s="1"/>
  <c r="W94" i="60"/>
  <c r="AO94" i="60" s="1"/>
  <c r="W211" i="60"/>
  <c r="AO211" i="60" s="1"/>
  <c r="W289" i="60"/>
  <c r="AO289" i="60" s="1"/>
  <c r="W58" i="60"/>
  <c r="AO58" i="60" s="1"/>
  <c r="W149" i="60"/>
  <c r="AO149" i="60" s="1"/>
  <c r="W331" i="60"/>
  <c r="W155" i="60"/>
  <c r="AO155" i="60" s="1"/>
  <c r="W207" i="60"/>
  <c r="W285" i="60"/>
  <c r="AO285" i="60" s="1"/>
  <c r="W389" i="60"/>
  <c r="AO389" i="60" s="1"/>
  <c r="W317" i="60"/>
  <c r="AO317" i="60" s="1"/>
  <c r="W174" i="60"/>
  <c r="AO174" i="60" s="1"/>
  <c r="W343" i="60"/>
  <c r="AO343" i="60" s="1"/>
  <c r="W157" i="60"/>
  <c r="AO157" i="60" s="1"/>
  <c r="W144" i="60"/>
  <c r="AO144" i="60" s="1"/>
  <c r="W378" i="60"/>
  <c r="AO378" i="60" s="1"/>
  <c r="W365" i="60"/>
  <c r="AO365" i="60" s="1"/>
  <c r="W112" i="60"/>
  <c r="AO112" i="60" s="1"/>
  <c r="W216" i="60"/>
  <c r="AO216" i="60" s="1"/>
  <c r="W281" i="60"/>
  <c r="AO281" i="60" s="1"/>
  <c r="W52" i="60"/>
  <c r="AO52" i="60" s="1"/>
  <c r="W364" i="60"/>
  <c r="AO364" i="60" s="1"/>
  <c r="W208" i="60"/>
  <c r="AO208" i="60" s="1"/>
  <c r="W158" i="60"/>
  <c r="W106" i="60"/>
  <c r="AO106" i="60" s="1"/>
  <c r="W353" i="60"/>
  <c r="AO353" i="60" s="1"/>
  <c r="W340" i="60"/>
  <c r="AO340" i="60" s="1"/>
  <c r="W176" i="60"/>
  <c r="W228" i="60"/>
  <c r="AO228" i="60" s="1"/>
  <c r="W150" i="60"/>
  <c r="AO150" i="60" s="1"/>
  <c r="W230" i="60"/>
  <c r="W256" i="60"/>
  <c r="AO256" i="60" s="1"/>
  <c r="W334" i="60"/>
  <c r="W76" i="60"/>
  <c r="AO76" i="60" s="1"/>
  <c r="W37" i="60"/>
  <c r="AO37" i="60" s="1"/>
  <c r="W206" i="60"/>
  <c r="AO206" i="60" s="1"/>
  <c r="W401" i="60"/>
  <c r="AO401" i="60" s="1"/>
  <c r="I54" i="60"/>
  <c r="I145" i="60"/>
  <c r="AO145" i="60" s="1"/>
  <c r="I158" i="60"/>
  <c r="I67" i="60"/>
  <c r="I92" i="60"/>
  <c r="I248" i="60"/>
  <c r="I398" i="60"/>
  <c r="I372" i="60"/>
  <c r="I385" i="60"/>
  <c r="I179" i="60"/>
  <c r="I387" i="60"/>
  <c r="I62" i="60"/>
  <c r="I127" i="60"/>
  <c r="I279" i="60"/>
  <c r="I331" i="60"/>
  <c r="I292" i="60"/>
  <c r="I19" i="60"/>
  <c r="I204" i="60"/>
  <c r="I178" i="60"/>
  <c r="I230" i="60"/>
  <c r="I220" i="60"/>
  <c r="I324" i="60"/>
  <c r="I233" i="60"/>
  <c r="I116" i="60"/>
  <c r="I122" i="60"/>
  <c r="AO122" i="60" s="1"/>
  <c r="I83" i="60"/>
  <c r="I96" i="60"/>
  <c r="I176" i="60"/>
  <c r="I137" i="60"/>
  <c r="I267" i="60"/>
  <c r="AO267" i="60" s="1"/>
  <c r="I226" i="60"/>
  <c r="I239" i="60"/>
  <c r="AO239" i="60" s="1"/>
  <c r="I44" i="60"/>
  <c r="I161" i="60"/>
  <c r="I332" i="60"/>
  <c r="I293" i="60"/>
  <c r="I254" i="60"/>
  <c r="AE61" i="24"/>
  <c r="AE68" i="24"/>
  <c r="AE70" i="24"/>
  <c r="AE52" i="24"/>
  <c r="AE56" i="24"/>
  <c r="AE57" i="24"/>
  <c r="AE53" i="24"/>
  <c r="AE55" i="24"/>
  <c r="AE58" i="24"/>
  <c r="AE60" i="24"/>
  <c r="AE50" i="24"/>
  <c r="AE54" i="24"/>
  <c r="AE62" i="24"/>
  <c r="AE51" i="24"/>
  <c r="AE59" i="24"/>
  <c r="AE69" i="24"/>
  <c r="AE71" i="24"/>
  <c r="AE67" i="24"/>
  <c r="AO354" i="60" l="1"/>
  <c r="AO291" i="60"/>
  <c r="AO207" i="60"/>
  <c r="AO334" i="60"/>
  <c r="AO56" i="60"/>
  <c r="AO341" i="60"/>
  <c r="AO192" i="60"/>
  <c r="AO48" i="60"/>
  <c r="AO400" i="60"/>
  <c r="AO128" i="60"/>
  <c r="AO252" i="60"/>
  <c r="AO230" i="60"/>
  <c r="AO210" i="60"/>
  <c r="AO92" i="60"/>
  <c r="AO234" i="60"/>
  <c r="AO44" i="60"/>
  <c r="AO371" i="60"/>
  <c r="AO250" i="60"/>
  <c r="AO368" i="60"/>
  <c r="AO231" i="60"/>
  <c r="AO204" i="60"/>
  <c r="AO324" i="60"/>
  <c r="AO95" i="60"/>
  <c r="AO269" i="60"/>
  <c r="AO55" i="60"/>
  <c r="AO180" i="60"/>
  <c r="AO304" i="60"/>
  <c r="AO356" i="60"/>
  <c r="AO84" i="60"/>
  <c r="AO127" i="60"/>
  <c r="AO243" i="60"/>
  <c r="AO253" i="60"/>
  <c r="AO227" i="60"/>
  <c r="AO226" i="60"/>
  <c r="AO176" i="60"/>
  <c r="AO158" i="60"/>
  <c r="AO232" i="60"/>
  <c r="AO99" i="60"/>
  <c r="AO177" i="60"/>
  <c r="AO19" i="60"/>
  <c r="AO398" i="60"/>
  <c r="AO33" i="60"/>
  <c r="AO67" i="60"/>
  <c r="AO265" i="60"/>
  <c r="AO237" i="60"/>
  <c r="AO358" i="60"/>
  <c r="AO116" i="60"/>
  <c r="AO384" i="60"/>
  <c r="AO385" i="60"/>
  <c r="AO168" i="60"/>
  <c r="AO136" i="60"/>
  <c r="AO18" i="60"/>
  <c r="AO293" i="60"/>
  <c r="AO326" i="60"/>
  <c r="AO109" i="60"/>
  <c r="AO171" i="60"/>
  <c r="AO179" i="60"/>
  <c r="AO184" i="60"/>
  <c r="AO255" i="60"/>
  <c r="AO279" i="60"/>
  <c r="AO46" i="60"/>
  <c r="AO21" i="60"/>
  <c r="AO382" i="60"/>
  <c r="AO287" i="60"/>
  <c r="AO138" i="60"/>
  <c r="AO123" i="60"/>
  <c r="AO194" i="60"/>
  <c r="AO62" i="60"/>
  <c r="AO325" i="60"/>
  <c r="AO369" i="60"/>
  <c r="AO154" i="60"/>
  <c r="AO105" i="60"/>
  <c r="AO292" i="60"/>
  <c r="AO87" i="60"/>
  <c r="AO254" i="60"/>
  <c r="AO118" i="60"/>
  <c r="AO103" i="60"/>
  <c r="AO387" i="60"/>
  <c r="AO238" i="60"/>
  <c r="AO71" i="60"/>
  <c r="AO309" i="60"/>
  <c r="AO97" i="60"/>
  <c r="AO191" i="60"/>
  <c r="AO236" i="60"/>
  <c r="AO248" i="60"/>
  <c r="AO175" i="60"/>
  <c r="AO83" i="60"/>
  <c r="AO217" i="60"/>
  <c r="AO54" i="60"/>
  <c r="AO200" i="60"/>
  <c r="AO380" i="60"/>
  <c r="AO43" i="60"/>
  <c r="AO16" i="60"/>
  <c r="AO36" i="60"/>
  <c r="AO152" i="60"/>
  <c r="AO311" i="60"/>
  <c r="AO113" i="60"/>
  <c r="AO397" i="60"/>
  <c r="AO229" i="60"/>
  <c r="AO133" i="60"/>
  <c r="AO301" i="60"/>
  <c r="AO372" i="60"/>
  <c r="AO161" i="60"/>
  <c r="AO193" i="60"/>
  <c r="AO178" i="60"/>
  <c r="AO59" i="60"/>
  <c r="AO86" i="60"/>
  <c r="AO183" i="60"/>
  <c r="AO31" i="60"/>
  <c r="AO328" i="60"/>
  <c r="AO126" i="60"/>
  <c r="AO268" i="60"/>
  <c r="AO142" i="60"/>
  <c r="AO318" i="60"/>
  <c r="AO85" i="60"/>
  <c r="AO117" i="60"/>
  <c r="AO363" i="60"/>
  <c r="AO146" i="60"/>
  <c r="AO379" i="60"/>
  <c r="AO148" i="60"/>
  <c r="AO28" i="60"/>
  <c r="AO22" i="60"/>
  <c r="AO79" i="60"/>
  <c r="AO14" i="60"/>
  <c r="AO181" i="60"/>
  <c r="AO331" i="60"/>
  <c r="AO137" i="60"/>
  <c r="AO313" i="60"/>
  <c r="AO294" i="60"/>
  <c r="AO330" i="60"/>
  <c r="AO345" i="60"/>
  <c r="AO332" i="60"/>
  <c r="AO275" i="60"/>
  <c r="AO151" i="60"/>
  <c r="AO376" i="60"/>
  <c r="AO189" i="60"/>
  <c r="AO96" i="60"/>
  <c r="AO383" i="60"/>
  <c r="AO82" i="60"/>
  <c r="AO298" i="60"/>
  <c r="AO373" i="60"/>
  <c r="AO288" i="60"/>
  <c r="AO307" i="60"/>
  <c r="AO205" i="60"/>
  <c r="AO66" i="60"/>
  <c r="AO272" i="60"/>
  <c r="AO241" i="60"/>
  <c r="AO233" i="60"/>
  <c r="AO26" i="60"/>
  <c r="AO20" i="60"/>
  <c r="AO314" i="60"/>
  <c r="AO339" i="60"/>
  <c r="AO220" i="60"/>
  <c r="AO308" i="60"/>
  <c r="AE42" i="24" l="1"/>
  <c r="AE41" i="24"/>
  <c r="AE49" i="24"/>
  <c r="AE48" i="24"/>
  <c r="AE47" i="24"/>
  <c r="AE46" i="24"/>
  <c r="AE45" i="24"/>
  <c r="AE44" i="24"/>
  <c r="AE43" i="24"/>
  <c r="AE40" i="24"/>
  <c r="AE39" i="24"/>
  <c r="AE38" i="24"/>
  <c r="AE37" i="24"/>
  <c r="AE36" i="24"/>
  <c r="AE63" i="24"/>
  <c r="I93" i="24" l="1"/>
  <c r="I101" i="24"/>
  <c r="I100" i="24"/>
  <c r="I99" i="24"/>
  <c r="I98" i="24"/>
  <c r="I97" i="24"/>
  <c r="I96" i="24"/>
  <c r="I95" i="24"/>
  <c r="I92" i="24"/>
  <c r="I91" i="24"/>
  <c r="I90" i="24"/>
  <c r="I89" i="24"/>
  <c r="I88" i="24"/>
  <c r="I71" i="24"/>
  <c r="I70" i="24"/>
  <c r="I69" i="24"/>
  <c r="I68" i="24"/>
  <c r="I67" i="24"/>
  <c r="I57" i="24"/>
  <c r="I62" i="24"/>
  <c r="I61" i="24"/>
  <c r="I60" i="24"/>
  <c r="I59" i="24"/>
  <c r="I58" i="24"/>
  <c r="I56" i="24"/>
  <c r="I55" i="24"/>
  <c r="I54" i="24"/>
  <c r="I53" i="24"/>
  <c r="I52" i="24"/>
  <c r="I51" i="24"/>
  <c r="I50" i="24"/>
  <c r="I42" i="24"/>
  <c r="I41" i="24"/>
  <c r="I49" i="24"/>
  <c r="I48" i="24"/>
  <c r="I47" i="24"/>
  <c r="I46" i="24"/>
  <c r="I45" i="24"/>
  <c r="I44" i="24"/>
  <c r="I43" i="24"/>
  <c r="I40" i="24"/>
  <c r="I39" i="24"/>
  <c r="I38" i="24"/>
  <c r="I37" i="24"/>
  <c r="I36" i="24"/>
  <c r="I63" i="24"/>
  <c r="I713" i="24"/>
  <c r="I712" i="24"/>
  <c r="I699" i="24"/>
  <c r="I698" i="24"/>
  <c r="I671" i="24"/>
  <c r="I670" i="24"/>
  <c r="I656" i="24"/>
  <c r="I655" i="24"/>
  <c r="I641" i="24"/>
  <c r="I640" i="24"/>
  <c r="I626" i="24"/>
  <c r="I625" i="24"/>
  <c r="I611" i="24"/>
  <c r="I610" i="24"/>
  <c r="I596" i="24"/>
  <c r="I595" i="24"/>
  <c r="I581" i="24"/>
  <c r="I580" i="24"/>
  <c r="I566" i="24"/>
  <c r="I565" i="24"/>
  <c r="I551" i="24"/>
  <c r="I550" i="24"/>
  <c r="I536" i="24"/>
  <c r="I535" i="24"/>
  <c r="I509" i="24"/>
  <c r="I508" i="24"/>
  <c r="I496" i="24"/>
  <c r="I495" i="24"/>
  <c r="I483" i="24"/>
  <c r="I482" i="24"/>
  <c r="I468" i="24"/>
  <c r="I467" i="24"/>
  <c r="I453" i="24"/>
  <c r="I452" i="24"/>
  <c r="I438" i="24"/>
  <c r="I437" i="24"/>
  <c r="I423" i="24"/>
  <c r="I422" i="24"/>
  <c r="I408" i="24"/>
  <c r="I407" i="24"/>
  <c r="I393" i="24"/>
  <c r="I392" i="24"/>
  <c r="I378" i="24"/>
  <c r="I377" i="24"/>
  <c r="I349" i="24"/>
  <c r="I348" i="24"/>
  <c r="I334" i="24"/>
  <c r="I333" i="24"/>
  <c r="I320" i="24"/>
  <c r="I319" i="24"/>
  <c r="I306" i="24"/>
  <c r="I305" i="24"/>
  <c r="I292" i="24"/>
  <c r="I291" i="24"/>
  <c r="I278" i="24"/>
  <c r="I277" i="24"/>
  <c r="I264" i="24"/>
  <c r="I263" i="24"/>
  <c r="I250" i="24"/>
  <c r="I249" i="24"/>
  <c r="I236" i="24"/>
  <c r="I235" i="24"/>
  <c r="I222" i="24"/>
  <c r="I221" i="24"/>
  <c r="I783" i="24"/>
  <c r="I782" i="24"/>
  <c r="I769" i="24"/>
  <c r="I768" i="24"/>
  <c r="I755" i="24"/>
  <c r="I754" i="24"/>
  <c r="I741" i="24"/>
  <c r="I740" i="24"/>
  <c r="I727" i="24"/>
  <c r="I726" i="24"/>
  <c r="I685" i="24"/>
  <c r="I684" i="24"/>
  <c r="I523" i="24"/>
  <c r="I522" i="24"/>
  <c r="I363" i="24"/>
  <c r="I362" i="24"/>
  <c r="I208" i="24"/>
  <c r="I207" i="24"/>
  <c r="I35" i="24"/>
  <c r="I84" i="24"/>
  <c r="I711" i="24"/>
  <c r="I697" i="24"/>
  <c r="I669" i="24"/>
  <c r="I654" i="24"/>
  <c r="I639" i="24"/>
  <c r="I624" i="24"/>
  <c r="I609" i="24"/>
  <c r="I594" i="24"/>
  <c r="I579" i="24"/>
  <c r="I564" i="24"/>
  <c r="I549" i="24"/>
  <c r="I534" i="24"/>
  <c r="I507" i="24"/>
  <c r="I494" i="24"/>
  <c r="I481" i="24"/>
  <c r="I466" i="24"/>
  <c r="I451" i="24"/>
  <c r="I436" i="24"/>
  <c r="I421" i="24"/>
  <c r="I406" i="24"/>
  <c r="I391" i="24"/>
  <c r="I376" i="24"/>
  <c r="I347" i="24"/>
  <c r="I332" i="24"/>
  <c r="I318" i="24"/>
  <c r="I304" i="24"/>
  <c r="I290" i="24"/>
  <c r="I276" i="24"/>
  <c r="I262" i="24"/>
  <c r="I248" i="24"/>
  <c r="I234" i="24"/>
  <c r="I220" i="24"/>
  <c r="I781" i="24"/>
  <c r="I767" i="24"/>
  <c r="I753" i="24"/>
  <c r="I739" i="24"/>
  <c r="I725" i="24"/>
  <c r="I683" i="24"/>
  <c r="I521" i="24"/>
  <c r="I361" i="24"/>
  <c r="I206" i="24"/>
  <c r="I34" i="24"/>
  <c r="I83" i="24"/>
  <c r="I710" i="24"/>
  <c r="I696" i="24"/>
  <c r="I668" i="24"/>
  <c r="I653" i="24"/>
  <c r="I638" i="24"/>
  <c r="I623" i="24"/>
  <c r="I608" i="24"/>
  <c r="I593" i="24"/>
  <c r="I578" i="24"/>
  <c r="I563" i="24"/>
  <c r="I548" i="24"/>
  <c r="I533" i="24"/>
  <c r="I506" i="24"/>
  <c r="I493" i="24"/>
  <c r="I480" i="24"/>
  <c r="I465" i="24"/>
  <c r="I450" i="24"/>
  <c r="I435" i="24"/>
  <c r="I420" i="24"/>
  <c r="I405" i="24"/>
  <c r="I390" i="24"/>
  <c r="I375" i="24"/>
  <c r="I346" i="24"/>
  <c r="I331" i="24"/>
  <c r="I317" i="24"/>
  <c r="I303" i="24"/>
  <c r="I289" i="24"/>
  <c r="I275" i="24"/>
  <c r="I261" i="24"/>
  <c r="I247" i="24"/>
  <c r="I233" i="24"/>
  <c r="I219" i="24"/>
  <c r="I780" i="24"/>
  <c r="I766" i="24"/>
  <c r="I752" i="24"/>
  <c r="I738" i="24"/>
  <c r="I724" i="24"/>
  <c r="I682" i="24"/>
  <c r="I520" i="24"/>
  <c r="I360" i="24"/>
  <c r="I205" i="24"/>
  <c r="I33" i="24"/>
  <c r="I23" i="24"/>
  <c r="I82" i="24"/>
  <c r="I709" i="24"/>
  <c r="I695" i="24"/>
  <c r="I667" i="24"/>
  <c r="I652" i="24"/>
  <c r="I637" i="24"/>
  <c r="I622" i="24"/>
  <c r="I607" i="24"/>
  <c r="I592" i="24"/>
  <c r="I577" i="24"/>
  <c r="I562" i="24"/>
  <c r="I547" i="24"/>
  <c r="I532" i="24"/>
  <c r="I505" i="24"/>
  <c r="I492" i="24"/>
  <c r="I479" i="24"/>
  <c r="I464" i="24"/>
  <c r="I449" i="24"/>
  <c r="I434" i="24"/>
  <c r="I419" i="24"/>
  <c r="I404" i="24"/>
  <c r="I389" i="24"/>
  <c r="I374" i="24"/>
  <c r="I345" i="24"/>
  <c r="I330" i="24"/>
  <c r="I316" i="24"/>
  <c r="I302" i="24"/>
  <c r="I288" i="24"/>
  <c r="I274" i="24"/>
  <c r="I260" i="24"/>
  <c r="I246" i="24"/>
  <c r="I232" i="24"/>
  <c r="I218" i="24"/>
  <c r="I32" i="24"/>
  <c r="I22" i="24"/>
  <c r="I81" i="24"/>
  <c r="I708" i="24"/>
  <c r="I707" i="24"/>
  <c r="I706" i="24"/>
  <c r="I694" i="24"/>
  <c r="I693" i="24"/>
  <c r="I692" i="24"/>
  <c r="I666" i="24"/>
  <c r="I665" i="24"/>
  <c r="I664" i="24"/>
  <c r="I651" i="24"/>
  <c r="I650" i="24"/>
  <c r="I649" i="24"/>
  <c r="I636" i="24"/>
  <c r="I635" i="24"/>
  <c r="I634" i="24"/>
  <c r="I621" i="24"/>
  <c r="I620" i="24"/>
  <c r="I619" i="24"/>
  <c r="I606" i="24"/>
  <c r="I605" i="24"/>
  <c r="I604" i="24"/>
  <c r="I591" i="24"/>
  <c r="I590" i="24"/>
  <c r="I589" i="24"/>
  <c r="I576" i="24"/>
  <c r="I575" i="24"/>
  <c r="I574" i="24"/>
  <c r="I561" i="24"/>
  <c r="I560" i="24"/>
  <c r="I559" i="24"/>
  <c r="I546" i="24"/>
  <c r="I545" i="24"/>
  <c r="I544" i="24"/>
  <c r="I531" i="24"/>
  <c r="I530" i="24"/>
  <c r="I504" i="24"/>
  <c r="I503" i="24"/>
  <c r="I491" i="24"/>
  <c r="I490" i="24"/>
  <c r="I478" i="24"/>
  <c r="I477" i="24"/>
  <c r="I476" i="24"/>
  <c r="I463" i="24"/>
  <c r="I462" i="24"/>
  <c r="I461" i="24"/>
  <c r="I448" i="24"/>
  <c r="I447" i="24"/>
  <c r="I446" i="24"/>
  <c r="I433" i="24"/>
  <c r="I432" i="24"/>
  <c r="I431" i="24"/>
  <c r="I418" i="24"/>
  <c r="I417" i="24"/>
  <c r="I416" i="24"/>
  <c r="I403" i="24"/>
  <c r="I402" i="24"/>
  <c r="I401" i="24"/>
  <c r="I388" i="24"/>
  <c r="I387" i="24"/>
  <c r="I386" i="24"/>
  <c r="I373" i="24"/>
  <c r="I372" i="24"/>
  <c r="I371" i="24"/>
  <c r="I344" i="24"/>
  <c r="I343" i="24"/>
  <c r="I342" i="24"/>
  <c r="I329" i="24"/>
  <c r="I328" i="24"/>
  <c r="I327" i="24"/>
  <c r="I315" i="24"/>
  <c r="I314" i="24"/>
  <c r="I313" i="24"/>
  <c r="I301" i="24"/>
  <c r="I300" i="24"/>
  <c r="I299" i="24"/>
  <c r="I287" i="24"/>
  <c r="I286" i="24"/>
  <c r="I285" i="24"/>
  <c r="I273" i="24"/>
  <c r="I272" i="24"/>
  <c r="I271" i="24"/>
  <c r="I259" i="24"/>
  <c r="I258" i="24"/>
  <c r="I257" i="24"/>
  <c r="I245" i="24"/>
  <c r="I244" i="24"/>
  <c r="I243" i="24"/>
  <c r="I231" i="24"/>
  <c r="I230" i="24"/>
  <c r="I229" i="24"/>
  <c r="I217" i="24"/>
  <c r="I216" i="24"/>
  <c r="I215" i="24"/>
  <c r="I779" i="24"/>
  <c r="I778" i="24"/>
  <c r="I777" i="24"/>
  <c r="I765" i="24"/>
  <c r="I764" i="24"/>
  <c r="I763" i="24"/>
  <c r="I751" i="24"/>
  <c r="I750" i="24"/>
  <c r="I749" i="24"/>
  <c r="I737" i="24"/>
  <c r="I736" i="24"/>
  <c r="I735" i="24"/>
  <c r="I723" i="24"/>
  <c r="I722" i="24"/>
  <c r="I721" i="24"/>
  <c r="I681" i="24"/>
  <c r="I680" i="24"/>
  <c r="I679" i="24"/>
  <c r="I519" i="24"/>
  <c r="I518" i="24"/>
  <c r="I517" i="24"/>
  <c r="I359" i="24"/>
  <c r="I358" i="24"/>
  <c r="I357" i="24"/>
  <c r="I204" i="24"/>
  <c r="I203" i="24"/>
  <c r="I202" i="24"/>
  <c r="I66" i="24"/>
  <c r="I31" i="24"/>
  <c r="I21" i="24"/>
  <c r="I80" i="24"/>
  <c r="I663" i="24"/>
  <c r="I648" i="24"/>
  <c r="I633" i="24"/>
  <c r="I618" i="24"/>
  <c r="I603" i="24"/>
  <c r="I588" i="24"/>
  <c r="I573" i="24"/>
  <c r="I558" i="24"/>
  <c r="I543" i="24"/>
  <c r="I529" i="24"/>
  <c r="I502" i="24"/>
  <c r="I489" i="24"/>
  <c r="I475" i="24"/>
  <c r="I460" i="24"/>
  <c r="I445" i="24"/>
  <c r="I430" i="24"/>
  <c r="I415" i="24"/>
  <c r="I400" i="24"/>
  <c r="I385" i="24"/>
  <c r="I370" i="24"/>
  <c r="I341" i="24"/>
  <c r="I776" i="24"/>
  <c r="I762" i="24"/>
  <c r="I748" i="24"/>
  <c r="I734" i="24"/>
  <c r="I720" i="24"/>
  <c r="I678" i="24"/>
  <c r="I516" i="24"/>
  <c r="I356" i="24"/>
  <c r="I201" i="24"/>
  <c r="I30" i="24"/>
  <c r="I20" i="24"/>
  <c r="I79" i="24"/>
  <c r="I705" i="24"/>
  <c r="I691" i="24"/>
  <c r="I662" i="24"/>
  <c r="I647" i="24"/>
  <c r="I632" i="24"/>
  <c r="I617" i="24"/>
  <c r="I602" i="24"/>
  <c r="I587" i="24"/>
  <c r="I572" i="24"/>
  <c r="I557" i="24"/>
  <c r="I542" i="24"/>
  <c r="I528" i="24"/>
  <c r="I501" i="24"/>
  <c r="I488" i="24"/>
  <c r="I474" i="24"/>
  <c r="I459" i="24"/>
  <c r="I444" i="24"/>
  <c r="I429" i="24"/>
  <c r="I414" i="24"/>
  <c r="I399" i="24"/>
  <c r="I384" i="24"/>
  <c r="I369" i="24"/>
  <c r="I340" i="24"/>
  <c r="I326" i="24"/>
  <c r="I312" i="24"/>
  <c r="I298" i="24"/>
  <c r="I284" i="24"/>
  <c r="I270" i="24"/>
  <c r="I256" i="24"/>
  <c r="I242" i="24"/>
  <c r="I228" i="24"/>
  <c r="I214" i="24"/>
  <c r="I775" i="24"/>
  <c r="I761" i="24"/>
  <c r="I747" i="24"/>
  <c r="I733" i="24"/>
  <c r="I719" i="24"/>
  <c r="I677" i="24"/>
  <c r="I515" i="24"/>
  <c r="I355" i="24"/>
  <c r="I200" i="24"/>
  <c r="I65" i="24"/>
  <c r="I87" i="24"/>
  <c r="I29" i="24"/>
  <c r="I19" i="24"/>
  <c r="I78" i="24"/>
  <c r="I77" i="24"/>
  <c r="I18" i="24"/>
  <c r="I64" i="24"/>
  <c r="I704" i="24"/>
  <c r="I690" i="24"/>
  <c r="I661" i="24"/>
  <c r="I646" i="24"/>
  <c r="I631" i="24"/>
  <c r="I616" i="24"/>
  <c r="I601" i="24"/>
  <c r="I586" i="24"/>
  <c r="I571" i="24"/>
  <c r="I556" i="24"/>
  <c r="I541" i="24"/>
  <c r="I527" i="24"/>
  <c r="I500" i="24"/>
  <c r="I487" i="24"/>
  <c r="I473" i="24"/>
  <c r="I458" i="24"/>
  <c r="I443" i="24"/>
  <c r="I428" i="24"/>
  <c r="I413" i="24"/>
  <c r="I398" i="24"/>
  <c r="I383" i="24"/>
  <c r="I368" i="24"/>
  <c r="I339" i="24"/>
  <c r="I325" i="24"/>
  <c r="I311" i="24"/>
  <c r="I297" i="24"/>
  <c r="I283" i="24"/>
  <c r="I269" i="24"/>
  <c r="I255" i="24"/>
  <c r="I241" i="24"/>
  <c r="I227" i="24"/>
  <c r="I213" i="24"/>
  <c r="I774" i="24"/>
  <c r="I760" i="24"/>
  <c r="I746" i="24"/>
  <c r="I732" i="24"/>
  <c r="I718" i="24"/>
  <c r="I676" i="24"/>
  <c r="I514" i="24"/>
  <c r="I354" i="24"/>
  <c r="I199" i="24"/>
  <c r="I28" i="24"/>
  <c r="I17" i="24"/>
  <c r="I76" i="24"/>
  <c r="I703" i="24"/>
  <c r="I689" i="24"/>
  <c r="I660" i="24"/>
  <c r="I645" i="24"/>
  <c r="I630" i="24"/>
  <c r="I615" i="24"/>
  <c r="I600" i="24"/>
  <c r="I585" i="24"/>
  <c r="I570" i="24"/>
  <c r="I555" i="24"/>
  <c r="I540" i="24"/>
  <c r="I526" i="24"/>
  <c r="I499" i="24"/>
  <c r="I486" i="24"/>
  <c r="I472" i="24"/>
  <c r="I457" i="24"/>
  <c r="I442" i="24"/>
  <c r="I427" i="24"/>
  <c r="I412" i="24"/>
  <c r="I397" i="24"/>
  <c r="I382" i="24"/>
  <c r="I367" i="24"/>
  <c r="I338" i="24"/>
  <c r="I324" i="24"/>
  <c r="I310" i="24"/>
  <c r="I296" i="24"/>
  <c r="I282" i="24"/>
  <c r="I268" i="24"/>
  <c r="I254" i="24"/>
  <c r="I240" i="24"/>
  <c r="I226" i="24"/>
  <c r="I212" i="24"/>
  <c r="I773" i="24"/>
  <c r="I759" i="24"/>
  <c r="I745" i="24"/>
  <c r="I731" i="24"/>
  <c r="I717" i="24"/>
  <c r="I675" i="24"/>
  <c r="I513" i="24"/>
  <c r="I353" i="24"/>
  <c r="I198" i="24"/>
  <c r="I27" i="24"/>
  <c r="I16" i="24"/>
  <c r="I75" i="24"/>
  <c r="I702" i="24"/>
  <c r="I688" i="24"/>
  <c r="I659" i="24"/>
  <c r="I644" i="24"/>
  <c r="I629" i="24"/>
  <c r="I614" i="24"/>
  <c r="I599" i="24"/>
  <c r="I584" i="24"/>
  <c r="I569" i="24"/>
  <c r="I554" i="24"/>
  <c r="I539" i="24"/>
  <c r="I525" i="24"/>
  <c r="I498" i="24"/>
  <c r="I485" i="24"/>
  <c r="I471" i="24"/>
  <c r="I456" i="24"/>
  <c r="I441" i="24"/>
  <c r="I426" i="24"/>
  <c r="I411" i="24"/>
  <c r="I396" i="24"/>
  <c r="I381" i="24"/>
  <c r="I366" i="24"/>
  <c r="I337" i="24"/>
  <c r="I323" i="24"/>
  <c r="I309" i="24"/>
  <c r="I295" i="24"/>
  <c r="I281" i="24"/>
  <c r="I267" i="24"/>
  <c r="I253" i="24"/>
  <c r="I239" i="24"/>
  <c r="I225" i="24"/>
  <c r="I211" i="24"/>
  <c r="I772" i="24"/>
  <c r="I758" i="24"/>
  <c r="I744" i="24"/>
  <c r="I730" i="24"/>
  <c r="I716" i="24"/>
  <c r="I674" i="24"/>
  <c r="I512" i="24"/>
  <c r="I352" i="24"/>
  <c r="I197" i="24"/>
  <c r="I26" i="24"/>
  <c r="I74" i="24"/>
  <c r="I701" i="24"/>
  <c r="I687" i="24"/>
  <c r="I658" i="24"/>
  <c r="I643" i="24"/>
  <c r="I628" i="24"/>
  <c r="I613" i="24"/>
  <c r="I598" i="24"/>
  <c r="I583" i="24"/>
  <c r="I568" i="24"/>
  <c r="I553" i="24"/>
  <c r="I538" i="24"/>
  <c r="I470" i="24"/>
  <c r="I455" i="24"/>
  <c r="I440" i="24"/>
  <c r="I425" i="24"/>
  <c r="I410" i="24"/>
  <c r="I395" i="24"/>
  <c r="I380" i="24"/>
  <c r="I365" i="24"/>
  <c r="I336" i="24"/>
  <c r="I322" i="24"/>
  <c r="I308" i="24"/>
  <c r="I294" i="24"/>
  <c r="I280" i="24"/>
  <c r="I266" i="24"/>
  <c r="I252" i="24"/>
  <c r="I238" i="24"/>
  <c r="I224" i="24"/>
  <c r="I210" i="24"/>
  <c r="I771" i="24"/>
  <c r="I757" i="24"/>
  <c r="I743" i="24"/>
  <c r="I729" i="24"/>
  <c r="I715" i="24"/>
  <c r="I673" i="24"/>
  <c r="I511" i="24"/>
  <c r="I351" i="24"/>
  <c r="I196" i="24"/>
  <c r="I86" i="24"/>
  <c r="I25" i="24"/>
  <c r="I73" i="24"/>
  <c r="I700" i="24"/>
  <c r="I686" i="24"/>
  <c r="I657" i="24"/>
  <c r="I642" i="24"/>
  <c r="I627" i="24"/>
  <c r="I612" i="24"/>
  <c r="I597" i="24"/>
  <c r="I582" i="24"/>
  <c r="I567" i="24"/>
  <c r="I552" i="24"/>
  <c r="I537" i="24"/>
  <c r="I524" i="24"/>
  <c r="I497" i="24"/>
  <c r="I484" i="24"/>
  <c r="I469" i="24"/>
  <c r="I454" i="24"/>
  <c r="I439" i="24"/>
  <c r="I424" i="24"/>
  <c r="I409" i="24"/>
  <c r="I394" i="24"/>
  <c r="I379" i="24"/>
  <c r="I364" i="24"/>
  <c r="I335" i="24"/>
  <c r="I321" i="24"/>
  <c r="I307" i="24"/>
  <c r="I293" i="24"/>
  <c r="I279" i="24"/>
  <c r="I265" i="24"/>
  <c r="I251" i="24"/>
  <c r="I237" i="24"/>
  <c r="I223" i="24"/>
  <c r="I209" i="24"/>
  <c r="I770" i="24"/>
  <c r="I756" i="24"/>
  <c r="I742" i="24"/>
  <c r="I728" i="24"/>
  <c r="I714" i="24"/>
  <c r="I672" i="24"/>
  <c r="I510" i="24"/>
  <c r="I350" i="24"/>
  <c r="I195" i="24"/>
  <c r="I85" i="24"/>
  <c r="I24" i="24"/>
  <c r="I72" i="24"/>
  <c r="I15" i="24"/>
  <c r="F30" i="28" l="1"/>
  <c r="V30" i="28"/>
  <c r="L31" i="28"/>
  <c r="F32" i="28"/>
  <c r="V32" i="28"/>
  <c r="L33" i="28"/>
  <c r="F34" i="28"/>
  <c r="V34" i="28"/>
  <c r="L35" i="28"/>
  <c r="F36" i="28"/>
  <c r="V36" i="28"/>
  <c r="L37" i="28"/>
  <c r="F38" i="28"/>
  <c r="V38" i="28"/>
  <c r="L39" i="28"/>
  <c r="F40" i="28"/>
  <c r="V40" i="28"/>
  <c r="L41" i="28"/>
  <c r="F42" i="28"/>
  <c r="V42" i="28"/>
  <c r="L30" i="28"/>
  <c r="F31" i="28"/>
  <c r="V31" i="28"/>
  <c r="L32" i="28"/>
  <c r="F33" i="28"/>
  <c r="V33" i="28"/>
  <c r="L34" i="28"/>
  <c r="F35" i="28"/>
  <c r="V35" i="28"/>
  <c r="L36" i="28"/>
  <c r="F37" i="28"/>
  <c r="V37" i="28"/>
  <c r="L38" i="28"/>
  <c r="F39" i="28"/>
  <c r="V39" i="28"/>
  <c r="L40" i="28"/>
  <c r="F41" i="28"/>
  <c r="V41" i="28"/>
  <c r="L42" i="28"/>
  <c r="M30" i="28"/>
  <c r="K31" i="28"/>
  <c r="M32" i="28"/>
  <c r="K33" i="28"/>
  <c r="M34" i="28"/>
  <c r="K35" i="28"/>
  <c r="M36" i="28"/>
  <c r="K37" i="28"/>
  <c r="M38" i="28"/>
  <c r="K39" i="28"/>
  <c r="M40" i="28"/>
  <c r="K41" i="28"/>
  <c r="M42" i="28"/>
  <c r="K32" i="28"/>
  <c r="M37" i="28"/>
  <c r="K40" i="28"/>
  <c r="K30" i="28"/>
  <c r="M35" i="28"/>
  <c r="K38" i="28"/>
  <c r="M33" i="28"/>
  <c r="K36" i="28"/>
  <c r="M41" i="28"/>
  <c r="M31" i="28"/>
  <c r="K42" i="28"/>
  <c r="K34" i="28"/>
  <c r="M39" i="28"/>
  <c r="AE84" i="24" l="1"/>
  <c r="Q84" i="24"/>
  <c r="AE83" i="24"/>
  <c r="Q83" i="24"/>
  <c r="AE82" i="24"/>
  <c r="Q82" i="24"/>
  <c r="AE23" i="24"/>
  <c r="Q23" i="24"/>
  <c r="AE81" i="24"/>
  <c r="Q81" i="24"/>
  <c r="AE22" i="24"/>
  <c r="Q22" i="24"/>
  <c r="AE80" i="24"/>
  <c r="Q80" i="24"/>
  <c r="AE21" i="24"/>
  <c r="Q21" i="24"/>
  <c r="AE79" i="24"/>
  <c r="Q79" i="24"/>
  <c r="AE20" i="24"/>
  <c r="Q20" i="24"/>
  <c r="AE78" i="24"/>
  <c r="Q78" i="24"/>
  <c r="AE19" i="24"/>
  <c r="Q19" i="24"/>
  <c r="AE76" i="24"/>
  <c r="Q76" i="24"/>
  <c r="AE17" i="24"/>
  <c r="Q17" i="24"/>
  <c r="AE75" i="24"/>
  <c r="Q75" i="24"/>
  <c r="AE16" i="24"/>
  <c r="Q16" i="24"/>
  <c r="AE74" i="24" l="1"/>
  <c r="Q74" i="24"/>
  <c r="AE73" i="24"/>
  <c r="Q73" i="24"/>
  <c r="AE72" i="24"/>
  <c r="Q72" i="24"/>
  <c r="AE15" i="24"/>
  <c r="Q15" i="24"/>
  <c r="Q18" i="24" l="1"/>
  <c r="Q77" i="24"/>
  <c r="AE77" i="24"/>
  <c r="AE18" i="24"/>
  <c r="AE66" i="24" l="1"/>
  <c r="Q66" i="24"/>
  <c r="AE65" i="24"/>
  <c r="Q65" i="24"/>
  <c r="AE87" i="24"/>
  <c r="Q87" i="24"/>
  <c r="AE86" i="24"/>
  <c r="Q86" i="24"/>
  <c r="AE85" i="24"/>
  <c r="Q85" i="24"/>
  <c r="AE35" i="24"/>
  <c r="Q35" i="24"/>
  <c r="AE34" i="24"/>
  <c r="Q34" i="24"/>
  <c r="AE33" i="24"/>
  <c r="Q33" i="24"/>
  <c r="AE32" i="24"/>
  <c r="Q32" i="24"/>
  <c r="AE31" i="24"/>
  <c r="Q31" i="24"/>
  <c r="AE30" i="24"/>
  <c r="Q30" i="24"/>
  <c r="AE29" i="24"/>
  <c r="Q29" i="24"/>
  <c r="AE28" i="24"/>
  <c r="Q28" i="24"/>
  <c r="AE27" i="24"/>
  <c r="Q27" i="24"/>
  <c r="AE26" i="24"/>
  <c r="Q26" i="24"/>
  <c r="AE25" i="24"/>
  <c r="Q25" i="24"/>
  <c r="AE24" i="24"/>
  <c r="Q24" i="24"/>
  <c r="Q713" i="24"/>
  <c r="Q712" i="24"/>
  <c r="Q699" i="24"/>
  <c r="Q698" i="24"/>
  <c r="Q671" i="24"/>
  <c r="Q670" i="24"/>
  <c r="Q656" i="24"/>
  <c r="Q655" i="24"/>
  <c r="Q641" i="24"/>
  <c r="Q640" i="24"/>
  <c r="Q626" i="24"/>
  <c r="Q625" i="24"/>
  <c r="Q611" i="24"/>
  <c r="Q610" i="24"/>
  <c r="Q596" i="24"/>
  <c r="Q595" i="24"/>
  <c r="Q581" i="24"/>
  <c r="Q580" i="24"/>
  <c r="Q566" i="24"/>
  <c r="Q565" i="24"/>
  <c r="Q551" i="24"/>
  <c r="Q550" i="24"/>
  <c r="Q536" i="24"/>
  <c r="Q535" i="24"/>
  <c r="Q509" i="24"/>
  <c r="Q508" i="24"/>
  <c r="Q496" i="24"/>
  <c r="Q495" i="24"/>
  <c r="Q483" i="24"/>
  <c r="Q482" i="24"/>
  <c r="Q468" i="24"/>
  <c r="Q467" i="24"/>
  <c r="Q453" i="24"/>
  <c r="Q452" i="24"/>
  <c r="Q438" i="24"/>
  <c r="Q437" i="24"/>
  <c r="Q423" i="24"/>
  <c r="Q422" i="24"/>
  <c r="Q408" i="24"/>
  <c r="Q407" i="24"/>
  <c r="Q393" i="24"/>
  <c r="Q392" i="24"/>
  <c r="Q378" i="24"/>
  <c r="Q377" i="24"/>
  <c r="Q349" i="24"/>
  <c r="Q348" i="24"/>
  <c r="Q334" i="24"/>
  <c r="Q333" i="24"/>
  <c r="Q320" i="24"/>
  <c r="Q319" i="24"/>
  <c r="Q306" i="24"/>
  <c r="Q305" i="24"/>
  <c r="Q292" i="24"/>
  <c r="Q291" i="24"/>
  <c r="Q278" i="24"/>
  <c r="Q277" i="24"/>
  <c r="Q264" i="24"/>
  <c r="Q263" i="24"/>
  <c r="Q250" i="24"/>
  <c r="Q249" i="24"/>
  <c r="Q236" i="24"/>
  <c r="Q235" i="24"/>
  <c r="Q222" i="24"/>
  <c r="Q221" i="24"/>
  <c r="Q783" i="24"/>
  <c r="Q782" i="24"/>
  <c r="Q769" i="24"/>
  <c r="Q768" i="24"/>
  <c r="Q755" i="24"/>
  <c r="Q754" i="24"/>
  <c r="Q741" i="24"/>
  <c r="Q740" i="24"/>
  <c r="Q727" i="24"/>
  <c r="Q726" i="24"/>
  <c r="Q685" i="24"/>
  <c r="Q684" i="24"/>
  <c r="Q523" i="24"/>
  <c r="Q522" i="24"/>
  <c r="Q363" i="24"/>
  <c r="Q362" i="24"/>
  <c r="Q208" i="24"/>
  <c r="Q207" i="24"/>
  <c r="Q711" i="24"/>
  <c r="Q697" i="24"/>
  <c r="Q669" i="24"/>
  <c r="Q654" i="24"/>
  <c r="Q639" i="24"/>
  <c r="Q624" i="24"/>
  <c r="Q609" i="24"/>
  <c r="Q594" i="24"/>
  <c r="Q579" i="24"/>
  <c r="Q564" i="24"/>
  <c r="Q549" i="24"/>
  <c r="Q534" i="24"/>
  <c r="Q507" i="24"/>
  <c r="Q494" i="24"/>
  <c r="Q481" i="24"/>
  <c r="Q466" i="24"/>
  <c r="Q451" i="24"/>
  <c r="Q436" i="24"/>
  <c r="Q421" i="24"/>
  <c r="Q406" i="24"/>
  <c r="Q391" i="24"/>
  <c r="Q376" i="24"/>
  <c r="Q347" i="24"/>
  <c r="Q332" i="24"/>
  <c r="Q318" i="24"/>
  <c r="Q304" i="24"/>
  <c r="Q290" i="24"/>
  <c r="Q276" i="24"/>
  <c r="Q262" i="24"/>
  <c r="Q248" i="24"/>
  <c r="Q234" i="24"/>
  <c r="Q220" i="24"/>
  <c r="Q781" i="24"/>
  <c r="Q767" i="24"/>
  <c r="Q753" i="24"/>
  <c r="Q739" i="24"/>
  <c r="Q725" i="24"/>
  <c r="Q683" i="24"/>
  <c r="Q521" i="24"/>
  <c r="Q361" i="24"/>
  <c r="Q206" i="24"/>
  <c r="Q710" i="24"/>
  <c r="Q696" i="24"/>
  <c r="Q668" i="24"/>
  <c r="Q653" i="24"/>
  <c r="Q638" i="24"/>
  <c r="Q623" i="24"/>
  <c r="Q608" i="24"/>
  <c r="Q593" i="24"/>
  <c r="Q578" i="24"/>
  <c r="Q563" i="24"/>
  <c r="Q548" i="24"/>
  <c r="Q533" i="24"/>
  <c r="Q506" i="24"/>
  <c r="Q493" i="24"/>
  <c r="Q480" i="24"/>
  <c r="Q465" i="24"/>
  <c r="Q450" i="24"/>
  <c r="Q435" i="24"/>
  <c r="Q420" i="24"/>
  <c r="Q405" i="24"/>
  <c r="Q390" i="24"/>
  <c r="Q375" i="24"/>
  <c r="Q346" i="24"/>
  <c r="Q331" i="24"/>
  <c r="Q317" i="24"/>
  <c r="Q303" i="24"/>
  <c r="Q289" i="24"/>
  <c r="Q275" i="24"/>
  <c r="Q261" i="24"/>
  <c r="Q247" i="24"/>
  <c r="Q233" i="24"/>
  <c r="Q219" i="24"/>
  <c r="Q780" i="24"/>
  <c r="Q766" i="24"/>
  <c r="Q752" i="24"/>
  <c r="Q738" i="24"/>
  <c r="Q724" i="24"/>
  <c r="Q682" i="24"/>
  <c r="Q520" i="24"/>
  <c r="Q360" i="24"/>
  <c r="Q205" i="24"/>
  <c r="Q709" i="24"/>
  <c r="Q695" i="24"/>
  <c r="Q667" i="24"/>
  <c r="Q652" i="24"/>
  <c r="Q637" i="24"/>
  <c r="Q622" i="24"/>
  <c r="Q607" i="24"/>
  <c r="Q592" i="24"/>
  <c r="Q577" i="24"/>
  <c r="Q562" i="24"/>
  <c r="Q547" i="24"/>
  <c r="Q532" i="24"/>
  <c r="Q505" i="24"/>
  <c r="Q492" i="24"/>
  <c r="Q479" i="24"/>
  <c r="Q464" i="24"/>
  <c r="Q449" i="24"/>
  <c r="Q434" i="24"/>
  <c r="Q419" i="24"/>
  <c r="Q404" i="24"/>
  <c r="Q389" i="24"/>
  <c r="Q374" i="24"/>
  <c r="Q345" i="24"/>
  <c r="Q330" i="24"/>
  <c r="Q316" i="24"/>
  <c r="Q302" i="24"/>
  <c r="Q288" i="24"/>
  <c r="Q274" i="24"/>
  <c r="Q260" i="24"/>
  <c r="Q246" i="24"/>
  <c r="Q232" i="24"/>
  <c r="Q218" i="24"/>
  <c r="Q708" i="24"/>
  <c r="Q707" i="24"/>
  <c r="Q706" i="24"/>
  <c r="Q694" i="24"/>
  <c r="Q693" i="24"/>
  <c r="Q692" i="24"/>
  <c r="Q666" i="24"/>
  <c r="Q665" i="24"/>
  <c r="Q664" i="24"/>
  <c r="Q651" i="24"/>
  <c r="Q650" i="24"/>
  <c r="Q649" i="24"/>
  <c r="Q636" i="24"/>
  <c r="Q635" i="24"/>
  <c r="Q634" i="24"/>
  <c r="Q621" i="24"/>
  <c r="Q620" i="24"/>
  <c r="Q619" i="24"/>
  <c r="Q606" i="24"/>
  <c r="Q605" i="24"/>
  <c r="Q604" i="24"/>
  <c r="Q591" i="24"/>
  <c r="Q590" i="24"/>
  <c r="Q589" i="24"/>
  <c r="Q576" i="24"/>
  <c r="Q575" i="24"/>
  <c r="Q574" i="24"/>
  <c r="Q561" i="24"/>
  <c r="Q560" i="24"/>
  <c r="Q559" i="24"/>
  <c r="Q546" i="24"/>
  <c r="Q545" i="24"/>
  <c r="Q544" i="24"/>
  <c r="Q531" i="24"/>
  <c r="Q530" i="24"/>
  <c r="Q504" i="24"/>
  <c r="Q503" i="24"/>
  <c r="Q491" i="24"/>
  <c r="Q490" i="24"/>
  <c r="Q478" i="24"/>
  <c r="Q477" i="24"/>
  <c r="Q476" i="24"/>
  <c r="Q463" i="24"/>
  <c r="Q462" i="24"/>
  <c r="Q461" i="24"/>
  <c r="Q448" i="24"/>
  <c r="Q447" i="24"/>
  <c r="Q446" i="24"/>
  <c r="Q433" i="24"/>
  <c r="Q432" i="24"/>
  <c r="Q431" i="24"/>
  <c r="Q418" i="24"/>
  <c r="Q417" i="24"/>
  <c r="Q416" i="24"/>
  <c r="Q403" i="24"/>
  <c r="Q402" i="24"/>
  <c r="Q401" i="24"/>
  <c r="Q388" i="24"/>
  <c r="Q387" i="24"/>
  <c r="Q386" i="24"/>
  <c r="Q373" i="24"/>
  <c r="Q372" i="24"/>
  <c r="Q371" i="24"/>
  <c r="Q344" i="24"/>
  <c r="Q343" i="24"/>
  <c r="Q342" i="24"/>
  <c r="Q329" i="24"/>
  <c r="Q328" i="24"/>
  <c r="Q327" i="24"/>
  <c r="Q315" i="24"/>
  <c r="Q314" i="24"/>
  <c r="Q313" i="24"/>
  <c r="Q301" i="24"/>
  <c r="Q300" i="24"/>
  <c r="Q299" i="24"/>
  <c r="Q287" i="24"/>
  <c r="Q286" i="24"/>
  <c r="Q285" i="24"/>
  <c r="Q273" i="24"/>
  <c r="Q272" i="24"/>
  <c r="Q271" i="24"/>
  <c r="Q259" i="24"/>
  <c r="Q258" i="24"/>
  <c r="Q257" i="24"/>
  <c r="Q245" i="24"/>
  <c r="Q244" i="24"/>
  <c r="Q243" i="24"/>
  <c r="Q231" i="24"/>
  <c r="Q230" i="24"/>
  <c r="Q229" i="24"/>
  <c r="Q217" i="24"/>
  <c r="Q216" i="24"/>
  <c r="Q215" i="24"/>
  <c r="Q779" i="24"/>
  <c r="Q778" i="24"/>
  <c r="Q777" i="24"/>
  <c r="Q765" i="24"/>
  <c r="Q764" i="24"/>
  <c r="Q763" i="24"/>
  <c r="Q751" i="24"/>
  <c r="Q750" i="24"/>
  <c r="Q749" i="24"/>
  <c r="Q737" i="24"/>
  <c r="Q736" i="24"/>
  <c r="Q735" i="24"/>
  <c r="Q723" i="24"/>
  <c r="Q722" i="24"/>
  <c r="Q721" i="24"/>
  <c r="Q681" i="24"/>
  <c r="Q680" i="24"/>
  <c r="Q679" i="24"/>
  <c r="Q519" i="24"/>
  <c r="Q518" i="24"/>
  <c r="Q517" i="24"/>
  <c r="Q359" i="24"/>
  <c r="Q358" i="24"/>
  <c r="Q357" i="24"/>
  <c r="Q204" i="24"/>
  <c r="Q203" i="24"/>
  <c r="Q202" i="24"/>
  <c r="Q663" i="24"/>
  <c r="Q648" i="24"/>
  <c r="Q633" i="24"/>
  <c r="Q618" i="24"/>
  <c r="Q603" i="24"/>
  <c r="Q588" i="24"/>
  <c r="Q573" i="24"/>
  <c r="Q558" i="24"/>
  <c r="Q543" i="24"/>
  <c r="Q529" i="24"/>
  <c r="Q502" i="24"/>
  <c r="Q489" i="24"/>
  <c r="Q475" i="24"/>
  <c r="Q460" i="24"/>
  <c r="Q445" i="24"/>
  <c r="Q430" i="24"/>
  <c r="Q415" i="24"/>
  <c r="Q400" i="24"/>
  <c r="Q385" i="24"/>
  <c r="Q370" i="24"/>
  <c r="Q341" i="24"/>
  <c r="Q776" i="24"/>
  <c r="Q762" i="24"/>
  <c r="Q748" i="24"/>
  <c r="Q734" i="24"/>
  <c r="Q720" i="24"/>
  <c r="Q678" i="24"/>
  <c r="Q516" i="24"/>
  <c r="Q356" i="24"/>
  <c r="Q201" i="24"/>
  <c r="Q705" i="24"/>
  <c r="Q691" i="24"/>
  <c r="Q662" i="24"/>
  <c r="Q647" i="24"/>
  <c r="Q632" i="24"/>
  <c r="Q617" i="24"/>
  <c r="Q602" i="24"/>
  <c r="Q587" i="24"/>
  <c r="Q572" i="24"/>
  <c r="Q557" i="24"/>
  <c r="Q542" i="24"/>
  <c r="Q528" i="24"/>
  <c r="Q501" i="24"/>
  <c r="Q488" i="24"/>
  <c r="Q474" i="24"/>
  <c r="Q459" i="24"/>
  <c r="Q444" i="24"/>
  <c r="Q429" i="24"/>
  <c r="Q414" i="24"/>
  <c r="Q399" i="24"/>
  <c r="Q384" i="24"/>
  <c r="Q369" i="24"/>
  <c r="Q340" i="24"/>
  <c r="Q326" i="24"/>
  <c r="Q312" i="24"/>
  <c r="Q298" i="24"/>
  <c r="Q284" i="24"/>
  <c r="Q270" i="24"/>
  <c r="Q256" i="24"/>
  <c r="Q242" i="24"/>
  <c r="Q228" i="24"/>
  <c r="Q214" i="24"/>
  <c r="Q775" i="24"/>
  <c r="Q761" i="24"/>
  <c r="Q747" i="24"/>
  <c r="Q733" i="24"/>
  <c r="Q719" i="24"/>
  <c r="Q677" i="24"/>
  <c r="Q515" i="24"/>
  <c r="Q355" i="24"/>
  <c r="Q200" i="24"/>
  <c r="Q704" i="24"/>
  <c r="Q690" i="24"/>
  <c r="Q661" i="24"/>
  <c r="Q646" i="24"/>
  <c r="Q631" i="24"/>
  <c r="Q616" i="24"/>
  <c r="Q601" i="24"/>
  <c r="Q586" i="24"/>
  <c r="Q571" i="24"/>
  <c r="Q556" i="24"/>
  <c r="Q541" i="24"/>
  <c r="Q527" i="24"/>
  <c r="Q500" i="24"/>
  <c r="Q487" i="24"/>
  <c r="Q473" i="24"/>
  <c r="Q458" i="24"/>
  <c r="Q443" i="24"/>
  <c r="Q428" i="24"/>
  <c r="Q413" i="24"/>
  <c r="Q398" i="24"/>
  <c r="Q383" i="24"/>
  <c r="Q368" i="24"/>
  <c r="Q339" i="24"/>
  <c r="Q325" i="24"/>
  <c r="Q311" i="24"/>
  <c r="Q297" i="24"/>
  <c r="Q283" i="24"/>
  <c r="Q269" i="24"/>
  <c r="Q255" i="24"/>
  <c r="Q241" i="24"/>
  <c r="Q227" i="24"/>
  <c r="Q213" i="24"/>
  <c r="Q774" i="24"/>
  <c r="Q760" i="24"/>
  <c r="Q746" i="24"/>
  <c r="Q732" i="24"/>
  <c r="Q718" i="24"/>
  <c r="Q676" i="24"/>
  <c r="Q514" i="24"/>
  <c r="Q354" i="24"/>
  <c r="Q199" i="24"/>
  <c r="Q702" i="24"/>
  <c r="Q688" i="24"/>
  <c r="Q659" i="24"/>
  <c r="Q644" i="24"/>
  <c r="Q629" i="24"/>
  <c r="Q614" i="24"/>
  <c r="Q599" i="24"/>
  <c r="Q584" i="24"/>
  <c r="Q569" i="24"/>
  <c r="Q554" i="24"/>
  <c r="Q539" i="24"/>
  <c r="Q525" i="24"/>
  <c r="Q498" i="24"/>
  <c r="Q485" i="24"/>
  <c r="Q471" i="24"/>
  <c r="Q456" i="24"/>
  <c r="Q441" i="24"/>
  <c r="Q426" i="24"/>
  <c r="Q411" i="24"/>
  <c r="Q396" i="24"/>
  <c r="Q381" i="24"/>
  <c r="Q366" i="24"/>
  <c r="Q337" i="24"/>
  <c r="Q323" i="24"/>
  <c r="Q309" i="24"/>
  <c r="Q295" i="24"/>
  <c r="Q281" i="24"/>
  <c r="Q267" i="24"/>
  <c r="Q253" i="24"/>
  <c r="Q239" i="24"/>
  <c r="Q225" i="24"/>
  <c r="Q211" i="24"/>
  <c r="Q772" i="24"/>
  <c r="Q758" i="24"/>
  <c r="Q744" i="24"/>
  <c r="Q730" i="24"/>
  <c r="Q716" i="24"/>
  <c r="Q674" i="24"/>
  <c r="Q512" i="24"/>
  <c r="Q352" i="24"/>
  <c r="Q197" i="24"/>
  <c r="Q703" i="24"/>
  <c r="Q689" i="24"/>
  <c r="Q660" i="24"/>
  <c r="Q645" i="24"/>
  <c r="Q630" i="24"/>
  <c r="Q615" i="24"/>
  <c r="Q600" i="24"/>
  <c r="Q585" i="24"/>
  <c r="Q570" i="24"/>
  <c r="Q555" i="24"/>
  <c r="Q540" i="24"/>
  <c r="Q526" i="24"/>
  <c r="Q499" i="24"/>
  <c r="Q486" i="24"/>
  <c r="Q472" i="24"/>
  <c r="Q457" i="24"/>
  <c r="Q442" i="24"/>
  <c r="Q427" i="24"/>
  <c r="Q412" i="24"/>
  <c r="Q397" i="24"/>
  <c r="Q382" i="24"/>
  <c r="Q367" i="24"/>
  <c r="Q338" i="24"/>
  <c r="Q324" i="24"/>
  <c r="Q310" i="24"/>
  <c r="Q296" i="24"/>
  <c r="Q282" i="24"/>
  <c r="Q268" i="24"/>
  <c r="Q254" i="24"/>
  <c r="Q240" i="24"/>
  <c r="Q226" i="24"/>
  <c r="Q212" i="24"/>
  <c r="Q773" i="24"/>
  <c r="Q759" i="24"/>
  <c r="Q745" i="24"/>
  <c r="Q731" i="24"/>
  <c r="Q717" i="24"/>
  <c r="Q675" i="24"/>
  <c r="Q513" i="24"/>
  <c r="Q353" i="24"/>
  <c r="Q198" i="24"/>
  <c r="Q701" i="24"/>
  <c r="Q687" i="24"/>
  <c r="Q658" i="24"/>
  <c r="Q643" i="24"/>
  <c r="Q628" i="24"/>
  <c r="Q613" i="24"/>
  <c r="Q598" i="24"/>
  <c r="Q583" i="24"/>
  <c r="Q568" i="24"/>
  <c r="Q553" i="24"/>
  <c r="Q538" i="24"/>
  <c r="Q470" i="24"/>
  <c r="Q455" i="24"/>
  <c r="Q440" i="24"/>
  <c r="Q425" i="24"/>
  <c r="Q410" i="24"/>
  <c r="Q395" i="24"/>
  <c r="Q380" i="24"/>
  <c r="Q365" i="24"/>
  <c r="Q336" i="24"/>
  <c r="Q322" i="24"/>
  <c r="Q308" i="24"/>
  <c r="Q294" i="24"/>
  <c r="Q280" i="24"/>
  <c r="Q266" i="24"/>
  <c r="Q252" i="24"/>
  <c r="Q238" i="24"/>
  <c r="Q224" i="24"/>
  <c r="Q210" i="24"/>
  <c r="Q771" i="24"/>
  <c r="Q757" i="24"/>
  <c r="Q743" i="24"/>
  <c r="Q729" i="24"/>
  <c r="Q715" i="24"/>
  <c r="Q673" i="24"/>
  <c r="Q511" i="24"/>
  <c r="Q351" i="24"/>
  <c r="Q196" i="24"/>
  <c r="Q700" i="24"/>
  <c r="Q686" i="24"/>
  <c r="Q657" i="24"/>
  <c r="Q642" i="24"/>
  <c r="Q627" i="24"/>
  <c r="Q612" i="24"/>
  <c r="Q597" i="24"/>
  <c r="Q582" i="24"/>
  <c r="Q567" i="24"/>
  <c r="Q552" i="24"/>
  <c r="Q537" i="24"/>
  <c r="Q524" i="24"/>
  <c r="Q497" i="24"/>
  <c r="Q484" i="24"/>
  <c r="Q469" i="24"/>
  <c r="Q454" i="24"/>
  <c r="Q439" i="24"/>
  <c r="Q424" i="24"/>
  <c r="Q409" i="24"/>
  <c r="Q394" i="24"/>
  <c r="Q379" i="24"/>
  <c r="Q364" i="24"/>
  <c r="Q335" i="24"/>
  <c r="Q321" i="24"/>
  <c r="Q307" i="24"/>
  <c r="Q293" i="24"/>
  <c r="Q279" i="24"/>
  <c r="Q265" i="24"/>
  <c r="Q251" i="24"/>
  <c r="Q237" i="24"/>
  <c r="Q223" i="24"/>
  <c r="Q209" i="24"/>
  <c r="Q770" i="24"/>
  <c r="Q756" i="24"/>
  <c r="Q742" i="24"/>
  <c r="Q728" i="24"/>
  <c r="Q714" i="24"/>
  <c r="Q672" i="24"/>
  <c r="Q510" i="24"/>
  <c r="Q350" i="24"/>
  <c r="AE598" i="24" l="1"/>
  <c r="AE368" i="24"/>
  <c r="AE556" i="24"/>
  <c r="AE616" i="24"/>
  <c r="AE646" i="24"/>
  <c r="AE690" i="24"/>
  <c r="AE414" i="24"/>
  <c r="AE443" i="24"/>
  <c r="AE380" i="24"/>
  <c r="AE553" i="24"/>
  <c r="AE473" i="24"/>
  <c r="AE500" i="24"/>
  <c r="AE326" i="24"/>
  <c r="AE369" i="24"/>
  <c r="AE201" i="24"/>
  <c r="AE313" i="24"/>
  <c r="AE315" i="24"/>
  <c r="AE434" i="24"/>
  <c r="AE420" i="24"/>
  <c r="AE450" i="24"/>
  <c r="AE480" i="24"/>
  <c r="AE548" i="24"/>
  <c r="AE406" i="24"/>
  <c r="AE438" i="24"/>
  <c r="AE342" i="24"/>
  <c r="AE670" i="24"/>
  <c r="AE387" i="24"/>
  <c r="AE505" i="24"/>
  <c r="AE547" i="24"/>
  <c r="AE577" i="24"/>
  <c r="AE682" i="24"/>
  <c r="AE738" i="24"/>
  <c r="AE766" i="24"/>
  <c r="AE405" i="24"/>
  <c r="AE653" i="24"/>
  <c r="AE294" i="24"/>
  <c r="AE658" i="24"/>
  <c r="AE324" i="24"/>
  <c r="AE273" i="24"/>
  <c r="AE299" i="24"/>
  <c r="AE373" i="24"/>
  <c r="AE482" i="24"/>
  <c r="AE495" i="24"/>
  <c r="AE508" i="24"/>
  <c r="AE237" i="24"/>
  <c r="AE364" i="24"/>
  <c r="AE484" i="24"/>
  <c r="AE612" i="24"/>
  <c r="AE400" i="24"/>
  <c r="AE447" i="24"/>
  <c r="AE530" i="24"/>
  <c r="AE546" i="24"/>
  <c r="AE706" i="24"/>
  <c r="AE232" i="24"/>
  <c r="AE468" i="24"/>
  <c r="AE365" i="24"/>
  <c r="AE772" i="24"/>
  <c r="AE498" i="24"/>
  <c r="AE517" i="24"/>
  <c r="AE244" i="24"/>
  <c r="AE259" i="24"/>
  <c r="AE285" i="24"/>
  <c r="AE372" i="24"/>
  <c r="AE388" i="24"/>
  <c r="AE402" i="24"/>
  <c r="AE416" i="24"/>
  <c r="AE432" i="24"/>
  <c r="AE478" i="24"/>
  <c r="AE491" i="24"/>
  <c r="AE531" i="24"/>
  <c r="AE561" i="24"/>
  <c r="AE589" i="24"/>
  <c r="AE591" i="24"/>
  <c r="AE692" i="24"/>
  <c r="AE707" i="24"/>
  <c r="AE274" i="24"/>
  <c r="AE481" i="24"/>
  <c r="AE507" i="24"/>
  <c r="AE549" i="24"/>
  <c r="AE222" i="24"/>
  <c r="AE236" i="24"/>
  <c r="AE712" i="24"/>
  <c r="AE251" i="24"/>
  <c r="AE279" i="24"/>
  <c r="AE307" i="24"/>
  <c r="AE409" i="24"/>
  <c r="AE439" i="24"/>
  <c r="AE497" i="24"/>
  <c r="AE537" i="24"/>
  <c r="AE567" i="24"/>
  <c r="AE657" i="24"/>
  <c r="AE700" i="24"/>
  <c r="AE226" i="24"/>
  <c r="AE254" i="24"/>
  <c r="AE282" i="24"/>
  <c r="AE382" i="24"/>
  <c r="AE472" i="24"/>
  <c r="AE499" i="24"/>
  <c r="AE540" i="24"/>
  <c r="AE730" i="24"/>
  <c r="AE614" i="24"/>
  <c r="AE428" i="24"/>
  <c r="AE356" i="24"/>
  <c r="AE678" i="24"/>
  <c r="AE734" i="24"/>
  <c r="AE415" i="24"/>
  <c r="AE633" i="24"/>
  <c r="AE663" i="24"/>
  <c r="AE359" i="24"/>
  <c r="AE562" i="24"/>
  <c r="AE594" i="24"/>
  <c r="AE654" i="24"/>
  <c r="AE207" i="24"/>
  <c r="AE362" i="24"/>
  <c r="AE522" i="24"/>
  <c r="AE684" i="24"/>
  <c r="AE726" i="24"/>
  <c r="AE263" i="24"/>
  <c r="AE422" i="24"/>
  <c r="AE452" i="24"/>
  <c r="AE467" i="24"/>
  <c r="AE536" i="24"/>
  <c r="AE581" i="24"/>
  <c r="AE596" i="24"/>
  <c r="AE611" i="24"/>
  <c r="AE656" i="24"/>
  <c r="AE713" i="24"/>
  <c r="AE714" i="24"/>
  <c r="AE770" i="24"/>
  <c r="AE643" i="24"/>
  <c r="AE717" i="24"/>
  <c r="AE703" i="24"/>
  <c r="AE674" i="24"/>
  <c r="AE239" i="24"/>
  <c r="AE323" i="24"/>
  <c r="AE366" i="24"/>
  <c r="AE396" i="24"/>
  <c r="AE569" i="24"/>
  <c r="AE629" i="24"/>
  <c r="AE659" i="24"/>
  <c r="AE702" i="24"/>
  <c r="AE676" i="24"/>
  <c r="AE760" i="24"/>
  <c r="AE269" i="24"/>
  <c r="AE297" i="24"/>
  <c r="AE661" i="24"/>
  <c r="AE214" i="24"/>
  <c r="AE270" i="24"/>
  <c r="AE429" i="24"/>
  <c r="AE459" i="24"/>
  <c r="AE557" i="24"/>
  <c r="AE587" i="24"/>
  <c r="AE617" i="24"/>
  <c r="AE691" i="24"/>
  <c r="AE502" i="24"/>
  <c r="AE573" i="24"/>
  <c r="AE681" i="24"/>
  <c r="AE722" i="24"/>
  <c r="AE735" i="24"/>
  <c r="AE215" i="24"/>
  <c r="AE217" i="24"/>
  <c r="AE230" i="24"/>
  <c r="AE651" i="24"/>
  <c r="AE233" i="24"/>
  <c r="AE289" i="24"/>
  <c r="AE346" i="24"/>
  <c r="AE533" i="24"/>
  <c r="AE668" i="24"/>
  <c r="AE710" i="24"/>
  <c r="AE361" i="24"/>
  <c r="AE739" i="24"/>
  <c r="AE220" i="24"/>
  <c r="AE276" i="24"/>
  <c r="AE304" i="24"/>
  <c r="AE332" i="24"/>
  <c r="AE711" i="24"/>
  <c r="AE741" i="24"/>
  <c r="AE769" i="24"/>
  <c r="AE278" i="24"/>
  <c r="AE320" i="24"/>
  <c r="AE334" i="24"/>
  <c r="AE349" i="24"/>
  <c r="AE728" i="24"/>
  <c r="AE715" i="24"/>
  <c r="AE252" i="24"/>
  <c r="AE353" i="24"/>
  <c r="AE731" i="24"/>
  <c r="AE397" i="24"/>
  <c r="AE457" i="24"/>
  <c r="AE555" i="24"/>
  <c r="AE585" i="24"/>
  <c r="AE645" i="24"/>
  <c r="AE716" i="24"/>
  <c r="AE744" i="24"/>
  <c r="AE584" i="24"/>
  <c r="AE719" i="24"/>
  <c r="AE747" i="24"/>
  <c r="AE228" i="24"/>
  <c r="AE460" i="24"/>
  <c r="AE529" i="24"/>
  <c r="AE618" i="24"/>
  <c r="AE606" i="24"/>
  <c r="AE636" i="24"/>
  <c r="AE650" i="24"/>
  <c r="AE664" i="24"/>
  <c r="AE288" i="24"/>
  <c r="AE316" i="24"/>
  <c r="AE419" i="24"/>
  <c r="AE623" i="24"/>
  <c r="AE754" i="24"/>
  <c r="AE221" i="24"/>
  <c r="AE381" i="24"/>
  <c r="AE746" i="24"/>
  <c r="AE339" i="24"/>
  <c r="AE602" i="24"/>
  <c r="AE662" i="24"/>
  <c r="AE723" i="24"/>
  <c r="AE779" i="24"/>
  <c r="AE331" i="24"/>
  <c r="AE725" i="24"/>
  <c r="AE781" i="24"/>
  <c r="AE672" i="24"/>
  <c r="AE265" i="24"/>
  <c r="AE394" i="24"/>
  <c r="AE627" i="24"/>
  <c r="AE673" i="24"/>
  <c r="AE729" i="24"/>
  <c r="AE526" i="24"/>
  <c r="AE742" i="24"/>
  <c r="AE524" i="24"/>
  <c r="AE642" i="24"/>
  <c r="AE395" i="24"/>
  <c r="AE425" i="24"/>
  <c r="AE538" i="24"/>
  <c r="AE568" i="24"/>
  <c r="AE773" i="24"/>
  <c r="AE701" i="24"/>
  <c r="AE379" i="24"/>
  <c r="AE511" i="24"/>
  <c r="AE224" i="24"/>
  <c r="AE199" i="24"/>
  <c r="AE514" i="24"/>
  <c r="AE774" i="24"/>
  <c r="AE227" i="24"/>
  <c r="AE255" i="24"/>
  <c r="AE487" i="24"/>
  <c r="AE527" i="24"/>
  <c r="AE298" i="24"/>
  <c r="AE474" i="24"/>
  <c r="AE501" i="24"/>
  <c r="AE542" i="24"/>
  <c r="AE632" i="24"/>
  <c r="AE748" i="24"/>
  <c r="AE776" i="24"/>
  <c r="AE430" i="24"/>
  <c r="AE603" i="24"/>
  <c r="AE736" i="24"/>
  <c r="AE749" i="24"/>
  <c r="AE764" i="24"/>
  <c r="AE216" i="24"/>
  <c r="AE231" i="24"/>
  <c r="AE301" i="24"/>
  <c r="AE386" i="24"/>
  <c r="AE461" i="24"/>
  <c r="AE463" i="24"/>
  <c r="AE477" i="24"/>
  <c r="AE560" i="24"/>
  <c r="AE574" i="24"/>
  <c r="AE576" i="24"/>
  <c r="AE665" i="24"/>
  <c r="AE260" i="24"/>
  <c r="AE592" i="24"/>
  <c r="AE622" i="24"/>
  <c r="AE695" i="24"/>
  <c r="AE520" i="24"/>
  <c r="AE724" i="24"/>
  <c r="AE780" i="24"/>
  <c r="AE435" i="24"/>
  <c r="AE608" i="24"/>
  <c r="AE638" i="24"/>
  <c r="AE234" i="24"/>
  <c r="AE262" i="24"/>
  <c r="AE290" i="24"/>
  <c r="AE391" i="24"/>
  <c r="AE534" i="24"/>
  <c r="AE564" i="24"/>
  <c r="AE783" i="24"/>
  <c r="AE291" i="24"/>
  <c r="AE319" i="24"/>
  <c r="AE333" i="24"/>
  <c r="AE348" i="24"/>
  <c r="AE377" i="24"/>
  <c r="AE392" i="24"/>
  <c r="AE483" i="24"/>
  <c r="AE197" i="24"/>
  <c r="AE295" i="24"/>
  <c r="AE485" i="24"/>
  <c r="AE413" i="24"/>
  <c r="AE515" i="24"/>
  <c r="AE329" i="24"/>
  <c r="AE634" i="24"/>
  <c r="AE451" i="24"/>
  <c r="AE566" i="24"/>
  <c r="AE757" i="24"/>
  <c r="AE238" i="24"/>
  <c r="AE266" i="24"/>
  <c r="AE336" i="24"/>
  <c r="AE470" i="24"/>
  <c r="AE687" i="24"/>
  <c r="AE212" i="24"/>
  <c r="AE268" i="24"/>
  <c r="AE296" i="24"/>
  <c r="AE442" i="24"/>
  <c r="AE630" i="24"/>
  <c r="AE352" i="24"/>
  <c r="AE253" i="24"/>
  <c r="AE309" i="24"/>
  <c r="AE411" i="24"/>
  <c r="AE441" i="24"/>
  <c r="AE554" i="24"/>
  <c r="AE644" i="24"/>
  <c r="AE241" i="24"/>
  <c r="AE571" i="24"/>
  <c r="AE601" i="24"/>
  <c r="AE704" i="24"/>
  <c r="AE355" i="24"/>
  <c r="AE677" i="24"/>
  <c r="AE284" i="24"/>
  <c r="AE340" i="24"/>
  <c r="AE384" i="24"/>
  <c r="AE528" i="24"/>
  <c r="AE516" i="24"/>
  <c r="AE385" i="24"/>
  <c r="AE588" i="24"/>
  <c r="AE648" i="24"/>
  <c r="AE202" i="24"/>
  <c r="AE204" i="24"/>
  <c r="AE679" i="24"/>
  <c r="AE763" i="24"/>
  <c r="AE778" i="24"/>
  <c r="AE258" i="24"/>
  <c r="AE286" i="24"/>
  <c r="AE300" i="24"/>
  <c r="AE371" i="24"/>
  <c r="AE401" i="24"/>
  <c r="AE431" i="24"/>
  <c r="AE476" i="24"/>
  <c r="AE559" i="24"/>
  <c r="AE619" i="24"/>
  <c r="AE635" i="24"/>
  <c r="AE246" i="24"/>
  <c r="AE302" i="24"/>
  <c r="AE330" i="24"/>
  <c r="AE374" i="24"/>
  <c r="AE479" i="24"/>
  <c r="AE667" i="24"/>
  <c r="AE360" i="24"/>
  <c r="AE275" i="24"/>
  <c r="AE375" i="24"/>
  <c r="AE593" i="24"/>
  <c r="AE696" i="24"/>
  <c r="AE494" i="24"/>
  <c r="AE639" i="24"/>
  <c r="AE208" i="24"/>
  <c r="AE363" i="24"/>
  <c r="AE523" i="24"/>
  <c r="AE235" i="24"/>
  <c r="AE249" i="24"/>
  <c r="AE306" i="24"/>
  <c r="AE453" i="24"/>
  <c r="AE550" i="24"/>
  <c r="AE580" i="24"/>
  <c r="AE595" i="24"/>
  <c r="AE625" i="24"/>
  <c r="AE640" i="24"/>
  <c r="AE699" i="24"/>
  <c r="AE195" i="24"/>
  <c r="AE510" i="24"/>
  <c r="AE756" i="24"/>
  <c r="AE209" i="24"/>
  <c r="AE335" i="24"/>
  <c r="AE424" i="24"/>
  <c r="AE454" i="24"/>
  <c r="AE597" i="24"/>
  <c r="AE686" i="24"/>
  <c r="AE196" i="24"/>
  <c r="AE210" i="24"/>
  <c r="AE280" i="24"/>
  <c r="AE308" i="24"/>
  <c r="AE455" i="24"/>
  <c r="AE583" i="24"/>
  <c r="AE613" i="24"/>
  <c r="AE745" i="24"/>
  <c r="AE310" i="24"/>
  <c r="AE338" i="24"/>
  <c r="AE427" i="24"/>
  <c r="AE660" i="24"/>
  <c r="AE758" i="24"/>
  <c r="AE211" i="24"/>
  <c r="AE281" i="24"/>
  <c r="AE525" i="24"/>
  <c r="AE688" i="24"/>
  <c r="AE732" i="24"/>
  <c r="AE383" i="24"/>
  <c r="AE541" i="24"/>
  <c r="AE242" i="24"/>
  <c r="AE399" i="24"/>
  <c r="AE720" i="24"/>
  <c r="AE782" i="24"/>
  <c r="AE408" i="24"/>
  <c r="AE350" i="24"/>
  <c r="AE223" i="24"/>
  <c r="AE293" i="24"/>
  <c r="AE321" i="24"/>
  <c r="AE469" i="24"/>
  <c r="AE552" i="24"/>
  <c r="AE582" i="24"/>
  <c r="AE351" i="24"/>
  <c r="AE743" i="24"/>
  <c r="AE771" i="24"/>
  <c r="AE322" i="24"/>
  <c r="AE410" i="24"/>
  <c r="AE440" i="24"/>
  <c r="AE628" i="24"/>
  <c r="AE198" i="24"/>
  <c r="AE513" i="24"/>
  <c r="AE759" i="24"/>
  <c r="AE412" i="24"/>
  <c r="AE570" i="24"/>
  <c r="AE600" i="24"/>
  <c r="AE689" i="24"/>
  <c r="AE267" i="24"/>
  <c r="AE426" i="24"/>
  <c r="AE456" i="24"/>
  <c r="AE539" i="24"/>
  <c r="AE718" i="24"/>
  <c r="AE283" i="24"/>
  <c r="AE311" i="24"/>
  <c r="AE398" i="24"/>
  <c r="AE631" i="24"/>
  <c r="AE733" i="24"/>
  <c r="AE761" i="24"/>
  <c r="AE256" i="24"/>
  <c r="AE488" i="24"/>
  <c r="AE647" i="24"/>
  <c r="AE341" i="24"/>
  <c r="AE680" i="24"/>
  <c r="AE229" i="24"/>
  <c r="AE448" i="24"/>
  <c r="AE575" i="24"/>
  <c r="AE492" i="24"/>
  <c r="AE752" i="24"/>
  <c r="AE466" i="24"/>
  <c r="AE610" i="24"/>
  <c r="AE489" i="24"/>
  <c r="AE543" i="24"/>
  <c r="AE203" i="24"/>
  <c r="AE357" i="24"/>
  <c r="AE519" i="24"/>
  <c r="AE751" i="24"/>
  <c r="AE765" i="24"/>
  <c r="AE243" i="24"/>
  <c r="AE245" i="24"/>
  <c r="AE272" i="24"/>
  <c r="AE328" i="24"/>
  <c r="AE343" i="24"/>
  <c r="AE403" i="24"/>
  <c r="AE417" i="24"/>
  <c r="AE446" i="24"/>
  <c r="AE504" i="24"/>
  <c r="AE544" i="24"/>
  <c r="AE590" i="24"/>
  <c r="AE604" i="24"/>
  <c r="AE621" i="24"/>
  <c r="AE694" i="24"/>
  <c r="AE708" i="24"/>
  <c r="AE345" i="24"/>
  <c r="AE389" i="24"/>
  <c r="AE464" i="24"/>
  <c r="AE652" i="24"/>
  <c r="AE709" i="24"/>
  <c r="AE219" i="24"/>
  <c r="AE247" i="24"/>
  <c r="AE317" i="24"/>
  <c r="AE506" i="24"/>
  <c r="AE563" i="24"/>
  <c r="AE206" i="24"/>
  <c r="AE521" i="24"/>
  <c r="AE767" i="24"/>
  <c r="AE376" i="24"/>
  <c r="AE421" i="24"/>
  <c r="AE579" i="24"/>
  <c r="AE609" i="24"/>
  <c r="AE697" i="24"/>
  <c r="AE740" i="24"/>
  <c r="AE755" i="24"/>
  <c r="AE250" i="24"/>
  <c r="AE264" i="24"/>
  <c r="AE305" i="24"/>
  <c r="AE407" i="24"/>
  <c r="AE423" i="24"/>
  <c r="AE496" i="24"/>
  <c r="AE509" i="24"/>
  <c r="AE565" i="24"/>
  <c r="AE655" i="24"/>
  <c r="AE671" i="24"/>
  <c r="AE445" i="24"/>
  <c r="AE475" i="24"/>
  <c r="AE558" i="24"/>
  <c r="AE518" i="24"/>
  <c r="AE737" i="24"/>
  <c r="AE750" i="24"/>
  <c r="AE777" i="24"/>
  <c r="AE271" i="24"/>
  <c r="AE314" i="24"/>
  <c r="AE327" i="24"/>
  <c r="AE344" i="24"/>
  <c r="AE433" i="24"/>
  <c r="AE490" i="24"/>
  <c r="AE503" i="24"/>
  <c r="AE545" i="24"/>
  <c r="AE620" i="24"/>
  <c r="AE666" i="24"/>
  <c r="AE693" i="24"/>
  <c r="AE218" i="24"/>
  <c r="AE449" i="24"/>
  <c r="AE607" i="24"/>
  <c r="AE637" i="24"/>
  <c r="AE205" i="24"/>
  <c r="AE303" i="24"/>
  <c r="AE465" i="24"/>
  <c r="AE493" i="24"/>
  <c r="AE578" i="24"/>
  <c r="AE753" i="24"/>
  <c r="AE318" i="24"/>
  <c r="AE347" i="24"/>
  <c r="AE436" i="24"/>
  <c r="AE669" i="24"/>
  <c r="AE685" i="24"/>
  <c r="AE727" i="24"/>
  <c r="AE768" i="24"/>
  <c r="AE292" i="24"/>
  <c r="AE378" i="24"/>
  <c r="AE393" i="24"/>
  <c r="AE437" i="24"/>
  <c r="AE551" i="24"/>
  <c r="AE626" i="24"/>
  <c r="AE641" i="24"/>
  <c r="AE698" i="24"/>
  <c r="AE370" i="24"/>
  <c r="AE721" i="24"/>
  <c r="AE287" i="24"/>
  <c r="AE462" i="24"/>
  <c r="AE649" i="24"/>
  <c r="AE532" i="24"/>
  <c r="AE390" i="24"/>
  <c r="AE248" i="24"/>
  <c r="AE675" i="24"/>
  <c r="AE240" i="24"/>
  <c r="AE367" i="24"/>
  <c r="AE486" i="24"/>
  <c r="AE615" i="24"/>
  <c r="AE512" i="24"/>
  <c r="AE225" i="24"/>
  <c r="AE337" i="24"/>
  <c r="AE471" i="24"/>
  <c r="AE599" i="24"/>
  <c r="AE354" i="24"/>
  <c r="AE213" i="24"/>
  <c r="AE325" i="24"/>
  <c r="AE458" i="24"/>
  <c r="AE586" i="24"/>
  <c r="AE200" i="24"/>
  <c r="AE775" i="24"/>
  <c r="AE312" i="24"/>
  <c r="AE444" i="24"/>
  <c r="AE572" i="24"/>
  <c r="AE705" i="24"/>
  <c r="AE762" i="24"/>
  <c r="AE358" i="24"/>
  <c r="AE257" i="24"/>
  <c r="AE418" i="24"/>
  <c r="AE605" i="24"/>
  <c r="AE404" i="24"/>
  <c r="AE261" i="24"/>
  <c r="AE683" i="24"/>
  <c r="AE624" i="24"/>
  <c r="AE277" i="24"/>
  <c r="AE535" i="24"/>
  <c r="W31" i="28" l="1"/>
  <c r="W40" i="28"/>
  <c r="W39" i="28"/>
  <c r="W42" i="28"/>
  <c r="W41" i="28"/>
  <c r="W32" i="28"/>
  <c r="W37" i="28"/>
  <c r="W33" i="28"/>
  <c r="W34" i="28"/>
  <c r="Q93" i="24"/>
  <c r="Q101" i="24"/>
  <c r="Q100" i="24"/>
  <c r="Q99" i="24"/>
  <c r="Q98" i="24"/>
  <c r="Q97" i="24"/>
  <c r="Q96" i="24"/>
  <c r="Q95" i="24"/>
  <c r="Q90" i="24"/>
  <c r="Q89" i="24"/>
  <c r="Q88" i="24"/>
  <c r="Q71" i="24"/>
  <c r="Q70" i="24"/>
  <c r="Q69" i="24"/>
  <c r="Q68" i="24"/>
  <c r="Q67" i="24"/>
  <c r="Q57" i="24"/>
  <c r="Q62" i="24"/>
  <c r="Q61" i="24"/>
  <c r="Q60" i="24"/>
  <c r="Q59" i="24"/>
  <c r="Q58" i="24"/>
  <c r="Q56" i="24"/>
  <c r="Q55" i="24"/>
  <c r="Q54" i="24"/>
  <c r="Q53" i="24"/>
  <c r="Q52" i="24"/>
  <c r="Q51" i="24"/>
  <c r="Q50" i="24"/>
  <c r="Q42" i="24"/>
  <c r="Q41" i="24"/>
  <c r="Q49" i="24"/>
  <c r="Q48" i="24"/>
  <c r="Q47" i="24"/>
  <c r="Q46" i="24"/>
  <c r="Q45" i="24"/>
  <c r="Q44" i="24"/>
  <c r="Q43" i="24"/>
  <c r="Q40" i="24"/>
  <c r="Q39" i="24"/>
  <c r="Q38" i="24"/>
  <c r="Q37" i="24"/>
  <c r="Q36" i="24"/>
  <c r="Q63" i="24"/>
  <c r="Q195" i="24"/>
  <c r="Q64" i="24"/>
  <c r="AE64" i="24" l="1"/>
  <c r="W35" i="28" s="1"/>
  <c r="W38" i="28" l="1"/>
  <c r="W30" i="28"/>
  <c r="W36" i="28"/>
  <c r="AM32" i="28" l="1" a="1"/>
  <c r="AM32" i="28" s="1"/>
  <c r="Y32" i="28" s="1"/>
  <c r="I32" i="28" s="1"/>
  <c r="AM42" i="28" a="1"/>
  <c r="AM42" i="28" s="1"/>
  <c r="Y42" i="28" s="1"/>
  <c r="I42" i="28" s="1"/>
  <c r="AM45" i="28" a="1"/>
  <c r="AM45" i="28" s="1"/>
  <c r="AM39" i="28" a="1"/>
  <c r="AM39" i="28" s="1"/>
  <c r="Y39" i="28" s="1"/>
  <c r="I39" i="28" s="1"/>
  <c r="AM37" i="28" a="1"/>
  <c r="AM37" i="28" s="1"/>
  <c r="Y37" i="28" s="1"/>
  <c r="I37" i="28" s="1"/>
  <c r="AM47" i="28" a="1"/>
  <c r="AM47" i="28" s="1"/>
  <c r="AM46" i="28" a="1"/>
  <c r="AM46" i="28" s="1"/>
  <c r="AM40" i="28" a="1"/>
  <c r="AM40" i="28" s="1"/>
  <c r="Y40" i="28" s="1"/>
  <c r="I40" i="28" s="1"/>
  <c r="AM43" i="28" a="1"/>
  <c r="AM43" i="28" s="1"/>
  <c r="AM36" i="28" a="1"/>
  <c r="AM36" i="28" s="1"/>
  <c r="Y36" i="28" s="1"/>
  <c r="I36" i="28" s="1"/>
  <c r="AM34" i="28" a="1"/>
  <c r="AM34" i="28" s="1"/>
  <c r="Y34" i="28" s="1"/>
  <c r="I34" i="28" s="1"/>
  <c r="AM30" i="28" a="1"/>
  <c r="AM30" i="28" s="1"/>
  <c r="Y30" i="28" s="1"/>
  <c r="I30" i="28" s="1"/>
  <c r="AM44" i="28" a="1"/>
  <c r="AM44" i="28" s="1"/>
  <c r="AM38" i="28" a="1"/>
  <c r="AM38" i="28" s="1"/>
  <c r="Y38" i="28" s="1"/>
  <c r="I38" i="28" s="1"/>
  <c r="AM35" i="28" a="1"/>
  <c r="AM35" i="28" s="1"/>
  <c r="Y35" i="28" s="1"/>
  <c r="I35" i="28" s="1"/>
  <c r="AM41" i="28" a="1"/>
  <c r="AM41" i="28" s="1"/>
  <c r="Y41" i="28" s="1"/>
  <c r="I41" i="28" s="1"/>
  <c r="AM48" i="28" a="1"/>
  <c r="AM48" i="28" s="1"/>
  <c r="AM33" i="28" a="1"/>
  <c r="AM33" i="28" s="1"/>
  <c r="Y33" i="28" s="1"/>
  <c r="I33" i="28" s="1"/>
  <c r="AL33" i="28" a="1"/>
  <c r="AL33" i="28" s="1"/>
  <c r="X33" i="28" s="1"/>
  <c r="H33" i="28" s="1"/>
  <c r="AL30" i="28" a="1"/>
  <c r="AL30" i="28" s="1"/>
  <c r="X30" i="28" s="1"/>
  <c r="H30" i="28" s="1"/>
  <c r="AL42" i="28" a="1"/>
  <c r="AL42" i="28" s="1"/>
  <c r="X42" i="28" s="1"/>
  <c r="H42" i="28" s="1"/>
  <c r="AL31" i="28" a="1"/>
  <c r="AL31" i="28" s="1"/>
  <c r="X31" i="28" s="1"/>
  <c r="H31" i="28" s="1"/>
  <c r="AL37" i="28" a="1"/>
  <c r="AL37" i="28" s="1"/>
  <c r="X37" i="28" s="1"/>
  <c r="H37" i="28" s="1"/>
  <c r="AL36" i="28" a="1"/>
  <c r="AL36" i="28" s="1"/>
  <c r="X36" i="28" s="1"/>
  <c r="H36" i="28" s="1"/>
  <c r="AL32" i="28" a="1"/>
  <c r="AL32" i="28" s="1"/>
  <c r="X32" i="28" s="1"/>
  <c r="H32" i="28" s="1"/>
  <c r="AL35" i="28" a="1"/>
  <c r="AL35" i="28" s="1"/>
  <c r="X35" i="28" s="1"/>
  <c r="H35" i="28" s="1"/>
  <c r="AL39" i="28" a="1"/>
  <c r="AL39" i="28" s="1"/>
  <c r="X39" i="28" s="1"/>
  <c r="H39" i="28" s="1"/>
  <c r="AL38" i="28" a="1"/>
  <c r="AL38" i="28" s="1"/>
  <c r="X38" i="28" s="1"/>
  <c r="H38" i="28" s="1"/>
  <c r="AL40" i="28" a="1"/>
  <c r="AL40" i="28" s="1"/>
  <c r="X40" i="28" s="1"/>
  <c r="H40" i="28" s="1"/>
  <c r="AL41" i="28" a="1"/>
  <c r="AL41" i="28" s="1"/>
  <c r="X41" i="28" s="1"/>
  <c r="H41" i="28" s="1"/>
  <c r="AL34" i="28" a="1"/>
  <c r="AL34" i="28" s="1"/>
  <c r="X34" i="28" s="1"/>
  <c r="H34" i="28" s="1"/>
  <c r="AM31" i="28" a="1"/>
  <c r="AM31" i="28" s="1"/>
  <c r="Y31" i="28" s="1"/>
  <c r="I31" i="28" s="1"/>
  <c r="AE48" i="28" a="1"/>
  <c r="AE48" i="28" s="1"/>
  <c r="AE33" i="28" a="1"/>
  <c r="AE33" i="28" s="1"/>
  <c r="S33" i="28" s="1"/>
  <c r="AE37" i="28" a="1"/>
  <c r="AE37" i="28" s="1"/>
  <c r="S37" i="28" s="1"/>
  <c r="AE38" i="28" a="1"/>
  <c r="AE38" i="28" s="1"/>
  <c r="S38" i="28" s="1"/>
  <c r="AE41" i="28" a="1"/>
  <c r="AE41" i="28" s="1"/>
  <c r="S41" i="28" s="1"/>
  <c r="AE34" i="28" a="1"/>
  <c r="AE34" i="28" s="1"/>
  <c r="S34" i="28" s="1"/>
  <c r="AE46" i="28" a="1"/>
  <c r="AE46" i="28" s="1"/>
  <c r="AD43" i="28" a="1"/>
  <c r="AD43" i="28" s="1"/>
  <c r="AF41" i="28" a="1"/>
  <c r="AF41" i="28" s="1"/>
  <c r="N41" i="28" s="1"/>
  <c r="P41" i="28" s="1"/>
  <c r="AD32" i="28" a="1"/>
  <c r="AD32" i="28" s="1"/>
  <c r="R32" i="28" s="1"/>
  <c r="AD40" i="28" a="1"/>
  <c r="AD40" i="28" s="1"/>
  <c r="R40" i="28" s="1"/>
  <c r="AD46" i="28" a="1"/>
  <c r="AD46" i="28" s="1"/>
  <c r="AD34" i="28" a="1"/>
  <c r="AD34" i="28" s="1"/>
  <c r="R34" i="28" s="1"/>
  <c r="AJ32" i="28" a="1"/>
  <c r="AJ32" i="28" s="1"/>
  <c r="Z32" i="28" s="1"/>
  <c r="AH32" i="28" a="1"/>
  <c r="AH32" i="28" s="1"/>
  <c r="T32" i="28" s="1"/>
  <c r="AJ37" i="28" a="1"/>
  <c r="AJ37" i="28" s="1"/>
  <c r="Z37" i="28" s="1"/>
  <c r="AE44" i="28" a="1"/>
  <c r="AE44" i="28" s="1"/>
  <c r="AF47" i="28" a="1"/>
  <c r="AF47" i="28" s="1"/>
  <c r="AD47" i="28" a="1"/>
  <c r="AD47" i="28" s="1"/>
  <c r="AD30" i="28" a="1"/>
  <c r="AD30" i="28" s="1"/>
  <c r="R30" i="28" s="1"/>
  <c r="AF32" i="28" a="1"/>
  <c r="AF32" i="28" s="1"/>
  <c r="N32" i="28" s="1"/>
  <c r="P32" i="28" s="1"/>
  <c r="AD38" i="28" a="1"/>
  <c r="AD38" i="28" s="1"/>
  <c r="R38" i="28" s="1"/>
  <c r="AJ31" i="28" a="1"/>
  <c r="AJ31" i="28" s="1"/>
  <c r="Z31" i="28" s="1"/>
  <c r="AN48" i="28" a="1"/>
  <c r="AN48" i="28" s="1"/>
  <c r="AH39" i="28" a="1"/>
  <c r="AH39" i="28" s="1"/>
  <c r="T39" i="28" s="1"/>
  <c r="AF31" i="28" a="1"/>
  <c r="AF31" i="28" s="1"/>
  <c r="N31" i="28" s="1"/>
  <c r="P31" i="28" s="1"/>
  <c r="AN34" i="28" a="1"/>
  <c r="AN34" i="28" s="1"/>
  <c r="AB34" i="28" s="1"/>
  <c r="AD39" i="28" a="1"/>
  <c r="AD39" i="28" s="1"/>
  <c r="R39" i="28" s="1"/>
  <c r="AJ41" i="28" a="1"/>
  <c r="AJ41" i="28" s="1"/>
  <c r="Z41" i="28" s="1"/>
  <c r="AJ33" i="28" a="1"/>
  <c r="AJ33" i="28" s="1"/>
  <c r="Z33" i="28" s="1"/>
  <c r="AH38" i="28" a="1"/>
  <c r="AH38" i="28" s="1"/>
  <c r="T38" i="28" s="1"/>
  <c r="AN40" i="28" a="1"/>
  <c r="AN40" i="28" s="1"/>
  <c r="AB40" i="28" s="1"/>
  <c r="AF34" i="28" a="1"/>
  <c r="AF34" i="28" s="1"/>
  <c r="N34" i="28" s="1"/>
  <c r="P34" i="28" s="1"/>
  <c r="AN47" i="28" a="1"/>
  <c r="AN47" i="28" s="1"/>
  <c r="AJ44" i="28" a="1"/>
  <c r="AJ44" i="28" s="1"/>
  <c r="AD41" i="28" a="1"/>
  <c r="AD41" i="28" s="1"/>
  <c r="R41" i="28" s="1"/>
  <c r="AJ39" i="28" a="1"/>
  <c r="AJ39" i="28" s="1"/>
  <c r="Z39" i="28" s="1"/>
  <c r="AN36" i="28" a="1"/>
  <c r="AN36" i="28" s="1"/>
  <c r="AB36" i="28" s="1"/>
  <c r="AH37" i="28" a="1"/>
  <c r="AH37" i="28" s="1"/>
  <c r="T37" i="28" s="1"/>
  <c r="AH31" i="28" a="1"/>
  <c r="AH31" i="28" s="1"/>
  <c r="T31" i="28" s="1"/>
  <c r="AN32" i="28" a="1"/>
  <c r="AN32" i="28" s="1"/>
  <c r="AB32" i="28" s="1"/>
  <c r="AJ48" i="28" a="1"/>
  <c r="AJ48" i="28" s="1"/>
  <c r="AJ40" i="28" a="1"/>
  <c r="AJ40" i="28" s="1"/>
  <c r="Z40" i="28" s="1"/>
  <c r="AN41" i="28" a="1"/>
  <c r="AN41" i="28" s="1"/>
  <c r="AB41" i="28" s="1"/>
  <c r="AH44" i="28" a="1"/>
  <c r="AH44" i="28" s="1"/>
  <c r="AN38" i="28" a="1"/>
  <c r="AN38" i="28" s="1"/>
  <c r="AB38" i="28" s="1"/>
  <c r="AN43" i="28" a="1"/>
  <c r="AN43" i="28" s="1"/>
  <c r="AH47" i="28" a="1"/>
  <c r="AH47" i="28" s="1"/>
  <c r="AF36" i="28" a="1"/>
  <c r="AF36" i="28" s="1"/>
  <c r="N36" i="28" s="1"/>
  <c r="P36" i="28" s="1"/>
  <c r="AN39" i="28" a="1"/>
  <c r="AN39" i="28" s="1"/>
  <c r="AB39" i="28" s="1"/>
  <c r="AN35" i="28" a="1"/>
  <c r="AN35" i="28" s="1"/>
  <c r="AB35" i="28" s="1"/>
  <c r="AH30" i="28" a="1"/>
  <c r="AH30" i="28" s="1"/>
  <c r="T30" i="28" s="1"/>
  <c r="AN37" i="28" a="1"/>
  <c r="AN37" i="28" s="1"/>
  <c r="AB37" i="28" s="1"/>
  <c r="AH43" i="28" a="1"/>
  <c r="AH43" i="28" s="1"/>
  <c r="AJ42" i="28" a="1"/>
  <c r="AJ42" i="28" s="1"/>
  <c r="Z42" i="28" s="1"/>
  <c r="AH36" i="28" a="1"/>
  <c r="AH36" i="28" s="1"/>
  <c r="T36" i="28" s="1"/>
  <c r="AF40" i="28" a="1"/>
  <c r="AF40" i="28" s="1"/>
  <c r="N40" i="28" s="1"/>
  <c r="P40" i="28" s="1"/>
  <c r="AF38" i="28" a="1"/>
  <c r="AF38" i="28" s="1"/>
  <c r="N38" i="28" s="1"/>
  <c r="P38" i="28" s="1"/>
  <c r="AF37" i="28" a="1"/>
  <c r="AF37" i="28" s="1"/>
  <c r="N37" i="28" s="1"/>
  <c r="P37" i="28" s="1"/>
  <c r="AJ38" i="28" a="1"/>
  <c r="AJ38" i="28" s="1"/>
  <c r="Z38" i="28" s="1"/>
  <c r="AH48" i="28" a="1"/>
  <c r="AH48" i="28" s="1"/>
  <c r="AJ30" i="28" a="1"/>
  <c r="AJ30" i="28" s="1"/>
  <c r="Z30" i="28" s="1"/>
  <c r="AN30" i="28" a="1"/>
  <c r="AN30" i="28" s="1"/>
  <c r="AB30" i="28" s="1"/>
  <c r="AN31" i="28" a="1"/>
  <c r="AN31" i="28" s="1"/>
  <c r="AB31" i="28" s="1"/>
  <c r="AH35" i="28" a="1"/>
  <c r="AH35" i="28" s="1"/>
  <c r="T35" i="28" s="1"/>
  <c r="AJ46" i="28" a="1"/>
  <c r="AJ46" i="28" s="1"/>
  <c r="AJ47" i="28" a="1"/>
  <c r="AJ47" i="28" s="1"/>
  <c r="AN42" i="28" a="1"/>
  <c r="AN42" i="28" s="1"/>
  <c r="AB42" i="28" s="1"/>
  <c r="AH40" i="28" a="1"/>
  <c r="AH40" i="28" s="1"/>
  <c r="T40" i="28" s="1"/>
  <c r="AH41" i="28" a="1"/>
  <c r="AH41" i="28" s="1"/>
  <c r="T41" i="28" s="1"/>
  <c r="AJ35" i="28" a="1"/>
  <c r="AJ35" i="28" s="1"/>
  <c r="Z35" i="28" s="1"/>
  <c r="AN33" i="28" a="1"/>
  <c r="AN33" i="28" s="1"/>
  <c r="AB33" i="28" s="1"/>
  <c r="AJ45" i="28" a="1"/>
  <c r="AJ45" i="28" s="1"/>
  <c r="AH34" i="28" a="1"/>
  <c r="AH34" i="28" s="1"/>
  <c r="T34" i="28" s="1"/>
  <c r="AH33" i="28" a="1"/>
  <c r="AH33" i="28" s="1"/>
  <c r="T33" i="28" s="1"/>
  <c r="AF33" i="28" a="1"/>
  <c r="AF33" i="28" s="1"/>
  <c r="N33" i="28" s="1"/>
  <c r="P33" i="28" s="1"/>
  <c r="AF30" i="28" a="1"/>
  <c r="AF30" i="28" s="1"/>
  <c r="N30" i="28" s="1"/>
  <c r="P30" i="28" s="1"/>
  <c r="AJ36" i="28" a="1"/>
  <c r="AJ36" i="28" s="1"/>
  <c r="Z36" i="28" s="1"/>
  <c r="AF42" i="28" a="1"/>
  <c r="AF42" i="28" s="1"/>
  <c r="N42" i="28" s="1"/>
  <c r="P42" i="28" s="1"/>
  <c r="AE43" i="28" a="1"/>
  <c r="AE43" i="28" s="1"/>
  <c r="AE36" i="28" a="1"/>
  <c r="AE36" i="28" s="1"/>
  <c r="S36" i="28" s="1"/>
  <c r="AE47" i="28" a="1"/>
  <c r="AE47" i="28" s="1"/>
  <c r="AE39" i="28" a="1"/>
  <c r="AE39" i="28" s="1"/>
  <c r="S39" i="28" s="1"/>
  <c r="AE30" i="28" a="1"/>
  <c r="AE30" i="28" s="1"/>
  <c r="S30" i="28" s="1"/>
  <c r="AE40" i="28" a="1"/>
  <c r="AE40" i="28" s="1"/>
  <c r="S40" i="28" s="1"/>
  <c r="AE35" i="28" a="1"/>
  <c r="AE35" i="28" s="1"/>
  <c r="S35" i="28" s="1"/>
  <c r="AE32" i="28" a="1"/>
  <c r="AE32" i="28" s="1"/>
  <c r="S32" i="28" s="1"/>
  <c r="AE45" i="28" a="1"/>
  <c r="AE45" i="28" s="1"/>
  <c r="AD35" i="28" a="1"/>
  <c r="AD35" i="28" s="1"/>
  <c r="R35" i="28" s="1"/>
  <c r="AD33" i="28" a="1"/>
  <c r="AD33" i="28" s="1"/>
  <c r="R33" i="28" s="1"/>
  <c r="AD44" i="28" a="1"/>
  <c r="AD44" i="28" s="1"/>
  <c r="AD31" i="28" a="1"/>
  <c r="AD31" i="28" s="1"/>
  <c r="R31" i="28" s="1"/>
  <c r="AF43" i="28" a="1"/>
  <c r="AF43" i="28" s="1"/>
  <c r="AF35" i="28" a="1"/>
  <c r="AF35" i="28" s="1"/>
  <c r="N35" i="28" s="1"/>
  <c r="P35" i="28" s="1"/>
  <c r="AF45" i="28" a="1"/>
  <c r="AF45" i="28" s="1"/>
  <c r="AD36" i="28" a="1"/>
  <c r="AD36" i="28" s="1"/>
  <c r="R36" i="28" s="1"/>
  <c r="AF39" i="28" a="1"/>
  <c r="AF39" i="28" s="1"/>
  <c r="N39" i="28" s="1"/>
  <c r="P39" i="28" s="1"/>
  <c r="AN44" i="28" a="1"/>
  <c r="AN44" i="28" s="1"/>
  <c r="AD48" i="28" a="1"/>
  <c r="AD48" i="28" s="1"/>
  <c r="AH46" i="28" a="1"/>
  <c r="AH46" i="28" s="1"/>
  <c r="AN46" i="28" a="1"/>
  <c r="AN46" i="28" s="1"/>
  <c r="AN45" i="28" a="1"/>
  <c r="AN45" i="28" s="1"/>
  <c r="AE42" i="28" a="1"/>
  <c r="AE42" i="28" s="1"/>
  <c r="S42" i="28" s="1"/>
  <c r="AE31" i="28" a="1"/>
  <c r="AE31" i="28" s="1"/>
  <c r="S31" i="28" s="1"/>
  <c r="AD42" i="28" a="1"/>
  <c r="AD42" i="28" s="1"/>
  <c r="R42" i="28" s="1"/>
  <c r="AH45" i="28" a="1"/>
  <c r="AH45" i="28" s="1"/>
  <c r="AD45" i="28" a="1"/>
  <c r="AD45" i="28" s="1"/>
  <c r="AF44" i="28" a="1"/>
  <c r="AF44" i="28" s="1"/>
  <c r="AF48" i="28" a="1"/>
  <c r="AF48" i="28" s="1"/>
  <c r="AJ34" i="28" a="1"/>
  <c r="AJ34" i="28" s="1"/>
  <c r="Z34" i="28" s="1"/>
  <c r="AD37" i="28" a="1"/>
  <c r="AD37" i="28" s="1"/>
  <c r="R37" i="28" s="1"/>
  <c r="AJ43" i="28" a="1"/>
  <c r="AJ43" i="28" s="1"/>
  <c r="AH42" i="28" a="1"/>
  <c r="AH42" i="28" s="1"/>
  <c r="T42" i="28" s="1"/>
  <c r="AF46" i="28" a="1"/>
  <c r="AF46" i="28" s="1"/>
  <c r="AI31" i="28" l="1" a="1"/>
  <c r="AI31" i="28" s="1"/>
  <c r="U31" i="28" s="1"/>
  <c r="AI34" i="28" a="1"/>
  <c r="AI34" i="28" s="1"/>
  <c r="U34" i="28" s="1"/>
  <c r="AI37" i="28" a="1"/>
  <c r="AI37" i="28" s="1"/>
  <c r="U37" i="28" s="1"/>
  <c r="AI46" i="28" a="1"/>
  <c r="AI46" i="28" s="1"/>
  <c r="AI38" i="28" a="1"/>
  <c r="AI38" i="28" s="1"/>
  <c r="U38" i="28" s="1"/>
  <c r="AI30" i="28" a="1"/>
  <c r="AI30" i="28" s="1"/>
  <c r="U30" i="28" s="1"/>
  <c r="AG47" i="28" a="1"/>
  <c r="AG47" i="28" s="1"/>
  <c r="AG44" i="28" a="1"/>
  <c r="AG44" i="28" s="1"/>
  <c r="AG37" i="28" a="1"/>
  <c r="AG37" i="28" s="1"/>
  <c r="O37" i="28" s="1"/>
  <c r="Q37" i="28" s="1"/>
  <c r="AG43" i="28" a="1"/>
  <c r="AG43" i="28" s="1"/>
  <c r="AG38" i="28" a="1"/>
  <c r="AG38" i="28" s="1"/>
  <c r="O38" i="28" s="1"/>
  <c r="Q38" i="28" s="1"/>
  <c r="AG36" i="28" a="1"/>
  <c r="AG36" i="28" s="1"/>
  <c r="O36" i="28" s="1"/>
  <c r="Q36" i="28" s="1"/>
  <c r="AG31" i="28" a="1"/>
  <c r="AG31" i="28" s="1"/>
  <c r="O31" i="28" s="1"/>
  <c r="Q31" i="28" s="1"/>
  <c r="AG33" i="28" a="1"/>
  <c r="AG33" i="28" s="1"/>
  <c r="O33" i="28" s="1"/>
  <c r="Q33" i="28" s="1"/>
  <c r="AG30" i="28" a="1"/>
  <c r="AG30" i="28" s="1"/>
  <c r="O30" i="28" s="1"/>
  <c r="Q30" i="28" s="1"/>
  <c r="AG46" i="28" a="1"/>
  <c r="AG46" i="28" s="1"/>
  <c r="AG42" i="28" a="1"/>
  <c r="AG42" i="28" s="1"/>
  <c r="O42" i="28" s="1"/>
  <c r="Q42" i="28" s="1"/>
  <c r="AG40" i="28" a="1"/>
  <c r="AG40" i="28" s="1"/>
  <c r="O40" i="28" s="1"/>
  <c r="Q40" i="28" s="1"/>
  <c r="AG34" i="28" a="1"/>
  <c r="AG34" i="28" s="1"/>
  <c r="O34" i="28" s="1"/>
  <c r="Q34" i="28" s="1"/>
  <c r="AG48" i="28" a="1"/>
  <c r="AG48" i="28" s="1"/>
  <c r="AG45" i="28" a="1"/>
  <c r="AG45" i="28" s="1"/>
  <c r="AG41" i="28" a="1"/>
  <c r="AG41" i="28" s="1"/>
  <c r="O41" i="28" s="1"/>
  <c r="Q41" i="28" s="1"/>
  <c r="AG39" i="28" a="1"/>
  <c r="AG39" i="28" s="1"/>
  <c r="O39" i="28" s="1"/>
  <c r="Q39" i="28" s="1"/>
  <c r="AG35" i="28" a="1"/>
  <c r="AG35" i="28" s="1"/>
  <c r="O35" i="28" s="1"/>
  <c r="Q35" i="28" s="1"/>
  <c r="AG32" i="28" a="1"/>
  <c r="AG32" i="28" s="1"/>
  <c r="O32" i="28" s="1"/>
  <c r="Q32" i="28" s="1"/>
  <c r="AI35" i="28" l="1" a="1"/>
  <c r="AI35" i="28" s="1"/>
  <c r="U35" i="28" s="1"/>
  <c r="AI41" i="28" a="1"/>
  <c r="AI41" i="28" s="1"/>
  <c r="U41" i="28" s="1"/>
  <c r="AI45" i="28" a="1"/>
  <c r="AI45" i="28" s="1"/>
  <c r="AI39" i="28" a="1"/>
  <c r="AI39" i="28" s="1"/>
  <c r="U39" i="28" s="1"/>
  <c r="AI44" i="28" a="1"/>
  <c r="AI44" i="28" s="1"/>
  <c r="AI40" i="28" a="1"/>
  <c r="AI40" i="28" s="1"/>
  <c r="U40" i="28" s="1"/>
  <c r="AI33" i="28" a="1"/>
  <c r="AI33" i="28" s="1"/>
  <c r="U33" i="28" s="1"/>
  <c r="AI47" i="28" a="1"/>
  <c r="AI47" i="28" s="1"/>
  <c r="AI32" i="28" a="1"/>
  <c r="AI32" i="28" s="1"/>
  <c r="U32" i="28" s="1"/>
  <c r="AI36" i="28" a="1"/>
  <c r="AI36" i="28" s="1"/>
  <c r="U36" i="28" s="1"/>
  <c r="AI48" i="28" a="1"/>
  <c r="AI48" i="28" s="1"/>
  <c r="AI42" i="28" a="1"/>
  <c r="AI42" i="28" s="1"/>
  <c r="U42" i="28" s="1"/>
  <c r="AI43" i="28" a="1"/>
  <c r="AI43" i="28" s="1"/>
  <c r="AX161" i="1" l="1"/>
  <c r="BH161" i="1" s="1"/>
  <c r="AV161" i="1"/>
  <c r="BF161" i="1" s="1"/>
  <c r="AX165" i="1"/>
  <c r="BH165" i="1" s="1"/>
  <c r="AU161" i="1"/>
  <c r="BE161" i="1" s="1"/>
  <c r="AT161" i="1"/>
  <c r="BD161" i="1" s="1"/>
  <c r="AW157" i="1"/>
  <c r="BG157" i="1" s="1"/>
  <c r="AT165" i="1"/>
  <c r="BD165" i="1" s="1"/>
  <c r="AV157" i="1"/>
  <c r="BF157" i="1" s="1"/>
  <c r="AX157" i="1"/>
  <c r="BH157" i="1" s="1"/>
  <c r="AV165" i="1"/>
  <c r="BF165" i="1" s="1"/>
  <c r="AW161" i="1"/>
  <c r="BG161" i="1" s="1"/>
  <c r="AU165" i="1"/>
  <c r="BE165" i="1" s="1"/>
  <c r="AW165" i="1"/>
  <c r="BG165" i="1" s="1"/>
  <c r="AU157" i="1"/>
  <c r="BE157" i="1" s="1"/>
  <c r="AT157" i="1"/>
  <c r="BD157" i="1" s="1"/>
  <c r="AO46" i="28" l="1" a="1"/>
  <c r="AO46" i="28" s="1"/>
  <c r="AK45" i="28" a="1"/>
  <c r="AK45" i="28" s="1"/>
  <c r="AO47" i="28" a="1"/>
  <c r="AO47" i="28" s="1"/>
  <c r="AK46" i="28" a="1"/>
  <c r="AK46" i="28" s="1"/>
  <c r="AO48" i="28" a="1"/>
  <c r="AO48" i="28" s="1"/>
  <c r="AK47" i="28" a="1"/>
  <c r="AK47" i="28" s="1"/>
  <c r="AO44" i="28" a="1"/>
  <c r="AO44" i="28" s="1"/>
  <c r="AO43" i="28" a="1"/>
  <c r="AO43" i="28" s="1"/>
  <c r="AK48" i="28" a="1"/>
  <c r="AK48" i="28" s="1"/>
  <c r="AO45" i="28" a="1"/>
  <c r="AO45" i="28" s="1"/>
  <c r="AK44" i="28" a="1"/>
  <c r="AK44" i="28" s="1"/>
  <c r="AK43" i="28" a="1"/>
  <c r="AK43" i="28" s="1"/>
  <c r="AO41" i="28" a="1"/>
  <c r="AO41" i="28" s="1"/>
  <c r="AC41" i="28" s="1"/>
  <c r="AK40" i="28" a="1"/>
  <c r="AK40" i="28" s="1"/>
  <c r="AA40" i="28" s="1"/>
  <c r="AK35" i="28" a="1"/>
  <c r="AK35" i="28" s="1"/>
  <c r="AA35" i="28" s="1"/>
  <c r="AO34" i="28" a="1"/>
  <c r="AO34" i="28" s="1"/>
  <c r="AC34" i="28" s="1"/>
  <c r="AO33" i="28" a="1"/>
  <c r="AO33" i="28" s="1"/>
  <c r="AC33" i="28" s="1"/>
  <c r="AO30" i="28" a="1"/>
  <c r="AO30" i="28" s="1"/>
  <c r="AC30" i="28" s="1"/>
  <c r="AO42" i="28" a="1"/>
  <c r="AO42" i="28" s="1"/>
  <c r="AC42" i="28" s="1"/>
  <c r="AK41" i="28" a="1"/>
  <c r="AK41" i="28" s="1"/>
  <c r="AA41" i="28" s="1"/>
  <c r="AO38" i="28" a="1"/>
  <c r="AO38" i="28" s="1"/>
  <c r="AC38" i="28" s="1"/>
  <c r="AO36" i="28" a="1"/>
  <c r="AO36" i="28" s="1"/>
  <c r="AC36" i="28" s="1"/>
  <c r="AK34" i="28" a="1"/>
  <c r="AK34" i="28" s="1"/>
  <c r="AA34" i="28" s="1"/>
  <c r="AK33" i="28" a="1"/>
  <c r="AK33" i="28" s="1"/>
  <c r="AA33" i="28" s="1"/>
  <c r="AO31" i="28" a="1"/>
  <c r="AO31" i="28" s="1"/>
  <c r="AC31" i="28" s="1"/>
  <c r="AK30" i="28" a="1"/>
  <c r="AK30" i="28" s="1"/>
  <c r="AA30" i="28" s="1"/>
  <c r="AK42" i="28" a="1"/>
  <c r="AK42" i="28" s="1"/>
  <c r="AA42" i="28" s="1"/>
  <c r="AO39" i="28" a="1"/>
  <c r="AO39" i="28" s="1"/>
  <c r="AC39" i="28" s="1"/>
  <c r="AK38" i="28" a="1"/>
  <c r="AK38" i="28" s="1"/>
  <c r="AA38" i="28" s="1"/>
  <c r="AO37" i="28" a="1"/>
  <c r="AO37" i="28" s="1"/>
  <c r="AC37" i="28" s="1"/>
  <c r="AK36" i="28" a="1"/>
  <c r="AK36" i="28" s="1"/>
  <c r="AA36" i="28" s="1"/>
  <c r="AO32" i="28" a="1"/>
  <c r="AO32" i="28" s="1"/>
  <c r="AC32" i="28" s="1"/>
  <c r="AK31" i="28" a="1"/>
  <c r="AK31" i="28" s="1"/>
  <c r="AA31" i="28" s="1"/>
  <c r="AO40" i="28" a="1"/>
  <c r="AO40" i="28" s="1"/>
  <c r="AC40" i="28" s="1"/>
  <c r="AK39" i="28" a="1"/>
  <c r="AK39" i="28" s="1"/>
  <c r="AA39" i="28" s="1"/>
  <c r="AK37" i="28" a="1"/>
  <c r="AK37" i="28" s="1"/>
  <c r="AA37" i="28" s="1"/>
  <c r="AO35" i="28" a="1"/>
  <c r="AO35" i="28" s="1"/>
  <c r="AC35" i="28" s="1"/>
  <c r="AK32" i="28" a="1"/>
  <c r="AK32" i="28" s="1"/>
  <c r="AA32" i="28" s="1"/>
  <c r="AZ157" i="1" l="1"/>
  <c r="BJ157" i="1" s="1"/>
  <c r="BC165" i="1"/>
  <c r="BM165" i="1" s="1"/>
  <c r="AY165" i="1"/>
  <c r="BI165" i="1" s="1"/>
  <c r="BB161" i="1"/>
  <c r="BL161" i="1" s="1"/>
  <c r="BA165" i="1"/>
  <c r="BK165" i="1" s="1"/>
  <c r="AY161" i="1"/>
  <c r="BI161" i="1" s="1"/>
  <c r="BC157" i="1"/>
  <c r="BM157" i="1" s="1"/>
  <c r="AY157" i="1"/>
  <c r="BI157" i="1" s="1"/>
  <c r="BB165" i="1"/>
  <c r="BL165" i="1" s="1"/>
  <c r="BA161" i="1"/>
  <c r="BK161" i="1" s="1"/>
  <c r="BB157" i="1"/>
  <c r="BL157" i="1" s="1"/>
  <c r="AZ161" i="1"/>
  <c r="BJ161" i="1" s="1"/>
  <c r="BA157" i="1"/>
  <c r="BK157" i="1" s="1"/>
  <c r="AZ165" i="1"/>
  <c r="BJ165" i="1" s="1"/>
  <c r="BC161" i="1"/>
  <c r="BM161" i="1" s="1"/>
  <c r="AZ19" i="1"/>
  <c r="BJ19" i="1" s="1"/>
  <c r="BB19" i="1"/>
  <c r="BL19" i="1" s="1"/>
  <c r="BB32" i="1"/>
  <c r="BL32" i="1" s="1"/>
  <c r="BC45" i="1"/>
  <c r="BM45" i="1" s="1"/>
  <c r="BC58" i="1"/>
  <c r="BM58" i="1" s="1"/>
  <c r="AY19" i="1"/>
  <c r="BI19" i="1" s="1"/>
  <c r="AY32" i="1"/>
  <c r="BI32" i="1" s="1"/>
  <c r="AZ45" i="1"/>
  <c r="BJ45" i="1" s="1"/>
  <c r="AZ58" i="1"/>
  <c r="BJ58" i="1" s="1"/>
  <c r="BB149" i="1"/>
  <c r="BL149" i="1" s="1"/>
  <c r="BB110" i="1"/>
  <c r="BL110" i="1" s="1"/>
  <c r="BB123" i="1"/>
  <c r="BL123" i="1" s="1"/>
  <c r="BB71" i="1"/>
  <c r="BL71" i="1" s="1"/>
  <c r="BB84" i="1"/>
  <c r="BL84" i="1" s="1"/>
  <c r="AY136" i="1"/>
  <c r="BI136" i="1" s="1"/>
  <c r="BC71" i="1"/>
  <c r="BM71" i="1" s="1"/>
  <c r="BC84" i="1"/>
  <c r="BM84" i="1" s="1"/>
  <c r="BA149" i="1"/>
  <c r="BK149" i="1" s="1"/>
  <c r="AZ187" i="1"/>
  <c r="BJ187" i="1" s="1"/>
  <c r="BA174" i="1"/>
  <c r="BK174" i="1" s="1"/>
  <c r="BC19" i="1"/>
  <c r="BM19" i="1" s="1"/>
  <c r="BC32" i="1"/>
  <c r="BM32" i="1" s="1"/>
  <c r="AZ84" i="1"/>
  <c r="BJ84" i="1" s="1"/>
  <c r="BA110" i="1"/>
  <c r="BK110" i="1" s="1"/>
  <c r="BA123" i="1"/>
  <c r="BK123" i="1" s="1"/>
  <c r="BA136" i="1"/>
  <c r="BK136" i="1" s="1"/>
  <c r="AY97" i="1"/>
  <c r="BI97" i="1" s="1"/>
  <c r="AY149" i="1"/>
  <c r="BI149" i="1" s="1"/>
  <c r="AY110" i="1"/>
  <c r="BI110" i="1" s="1"/>
  <c r="AY123" i="1"/>
  <c r="BI123" i="1" s="1"/>
  <c r="BC136" i="1"/>
  <c r="BM136" i="1" s="1"/>
  <c r="AZ136" i="1"/>
  <c r="BJ136" i="1" s="1"/>
  <c r="AY174" i="1"/>
  <c r="BI174" i="1" s="1"/>
  <c r="BA187" i="1"/>
  <c r="BK187" i="1" s="1"/>
  <c r="BA200" i="1"/>
  <c r="BK200" i="1" s="1"/>
  <c r="BA278" i="1"/>
  <c r="BK278" i="1" s="1"/>
  <c r="BA226" i="1"/>
  <c r="BK226" i="1" s="1"/>
  <c r="BA304" i="1"/>
  <c r="BK304" i="1" s="1"/>
  <c r="BA45" i="1"/>
  <c r="BK45" i="1" s="1"/>
  <c r="BA58" i="1"/>
  <c r="BK58" i="1" s="1"/>
  <c r="AZ71" i="1"/>
  <c r="BJ71" i="1" s="1"/>
  <c r="BC97" i="1"/>
  <c r="BM97" i="1" s="1"/>
  <c r="BC149" i="1"/>
  <c r="BM149" i="1" s="1"/>
  <c r="AZ97" i="1"/>
  <c r="BJ97" i="1" s="1"/>
  <c r="BC110" i="1"/>
  <c r="BM110" i="1" s="1"/>
  <c r="BC123" i="1"/>
  <c r="BM123" i="1" s="1"/>
  <c r="AZ110" i="1"/>
  <c r="BJ110" i="1" s="1"/>
  <c r="AZ123" i="1"/>
  <c r="BJ123" i="1" s="1"/>
  <c r="BC174" i="1"/>
  <c r="AZ226" i="1"/>
  <c r="BJ226" i="1" s="1"/>
  <c r="AZ304" i="1"/>
  <c r="BJ304" i="1" s="1"/>
  <c r="AZ174" i="1"/>
  <c r="BJ174" i="1" s="1"/>
  <c r="AZ32" i="1"/>
  <c r="BJ32" i="1" s="1"/>
  <c r="BA19" i="1"/>
  <c r="BK19" i="1" s="1"/>
  <c r="BA32" i="1"/>
  <c r="BK32" i="1" s="1"/>
  <c r="BB45" i="1"/>
  <c r="BL45" i="1" s="1"/>
  <c r="BB58" i="1"/>
  <c r="BL58" i="1" s="1"/>
  <c r="AY45" i="1"/>
  <c r="BI45" i="1" s="1"/>
  <c r="AY58" i="1"/>
  <c r="BI58" i="1" s="1"/>
  <c r="BB97" i="1"/>
  <c r="BL97" i="1" s="1"/>
  <c r="BA71" i="1"/>
  <c r="BK71" i="1" s="1"/>
  <c r="BA84" i="1"/>
  <c r="BK84" i="1" s="1"/>
  <c r="BB136" i="1"/>
  <c r="BL136" i="1" s="1"/>
  <c r="AZ149" i="1"/>
  <c r="BJ149" i="1" s="1"/>
  <c r="AY71" i="1"/>
  <c r="BI71" i="1" s="1"/>
  <c r="AY84" i="1"/>
  <c r="BI84" i="1" s="1"/>
  <c r="BA97" i="1"/>
  <c r="BK97" i="1" s="1"/>
  <c r="AZ200" i="1"/>
  <c r="BJ200" i="1" s="1"/>
  <c r="AZ278" i="1"/>
  <c r="BJ278" i="1" s="1"/>
  <c r="BB200" i="1"/>
  <c r="AY252" i="1"/>
  <c r="BI252" i="1" s="1"/>
  <c r="AY187" i="1"/>
  <c r="BI187" i="1" s="1"/>
  <c r="AY200" i="1"/>
  <c r="BI200" i="1" s="1"/>
  <c r="AY278" i="1"/>
  <c r="BI278" i="1" s="1"/>
  <c r="AY226" i="1"/>
  <c r="BI226" i="1" s="1"/>
  <c r="BC304" i="1"/>
  <c r="BC291" i="1"/>
  <c r="AY265" i="1"/>
  <c r="BI265" i="1" s="1"/>
  <c r="BB187" i="1"/>
  <c r="BB278" i="1"/>
  <c r="BB226" i="1"/>
  <c r="BB304" i="1"/>
  <c r="BC187" i="1"/>
  <c r="BC200" i="1"/>
  <c r="BC278" i="1"/>
  <c r="BC226" i="1"/>
  <c r="BA265" i="1"/>
  <c r="BK265" i="1" s="1"/>
  <c r="BB213" i="1"/>
  <c r="BB239" i="1"/>
  <c r="BB317" i="1"/>
  <c r="BB252" i="1"/>
  <c r="BC265" i="1"/>
  <c r="AZ291" i="1"/>
  <c r="BJ291" i="1" s="1"/>
  <c r="AZ265" i="1"/>
  <c r="BJ265" i="1" s="1"/>
  <c r="BA291" i="1"/>
  <c r="BK291" i="1" s="1"/>
  <c r="BB174" i="1"/>
  <c r="BB291" i="1"/>
  <c r="AY213" i="1"/>
  <c r="BI213" i="1" s="1"/>
  <c r="AY239" i="1"/>
  <c r="BI239" i="1" s="1"/>
  <c r="AY317" i="1"/>
  <c r="BI317" i="1" s="1"/>
  <c r="BC252" i="1"/>
  <c r="AZ213" i="1"/>
  <c r="BJ213" i="1" s="1"/>
  <c r="AZ239" i="1"/>
  <c r="BJ239" i="1" s="1"/>
  <c r="AZ317" i="1"/>
  <c r="BJ317" i="1" s="1"/>
  <c r="AY304" i="1"/>
  <c r="BI304" i="1" s="1"/>
  <c r="AZ252" i="1"/>
  <c r="BJ252" i="1" s="1"/>
  <c r="BA213" i="1"/>
  <c r="BK213" i="1" s="1"/>
  <c r="BA239" i="1"/>
  <c r="BK239" i="1" s="1"/>
  <c r="BA317" i="1"/>
  <c r="BK317" i="1" s="1"/>
  <c r="BA252" i="1"/>
  <c r="BK252" i="1" s="1"/>
  <c r="BB265" i="1"/>
  <c r="AY291" i="1"/>
  <c r="BI291" i="1" s="1"/>
  <c r="BC213" i="1"/>
  <c r="BC239" i="1"/>
  <c r="BC317" i="1"/>
  <c r="AY47" i="1"/>
  <c r="BI47" i="1" s="1"/>
  <c r="AY60" i="1"/>
  <c r="BI60" i="1" s="1"/>
  <c r="BB86" i="1"/>
  <c r="BL86" i="1" s="1"/>
  <c r="BC112" i="1"/>
  <c r="BM112" i="1" s="1"/>
  <c r="BC125" i="1"/>
  <c r="BM125" i="1" s="1"/>
  <c r="BC138" i="1"/>
  <c r="BM138" i="1" s="1"/>
  <c r="BA99" i="1"/>
  <c r="BK99" i="1" s="1"/>
  <c r="BA151" i="1"/>
  <c r="BK151" i="1" s="1"/>
  <c r="AY158" i="1"/>
  <c r="BI158" i="1" s="1"/>
  <c r="AY162" i="1"/>
  <c r="BI162" i="1" s="1"/>
  <c r="BA112" i="1"/>
  <c r="BK112" i="1" s="1"/>
  <c r="BA125" i="1"/>
  <c r="BK125" i="1" s="1"/>
  <c r="BB138" i="1"/>
  <c r="BL138" i="1" s="1"/>
  <c r="BA162" i="1"/>
  <c r="BK162" i="1" s="1"/>
  <c r="BA176" i="1"/>
  <c r="BK176" i="1" s="1"/>
  <c r="BB166" i="1"/>
  <c r="BL166" i="1" s="1"/>
  <c r="BC189" i="1"/>
  <c r="BC202" i="1"/>
  <c r="BC280" i="1"/>
  <c r="BC228" i="1"/>
  <c r="BC306" i="1"/>
  <c r="BC47" i="1"/>
  <c r="BM47" i="1" s="1"/>
  <c r="BC60" i="1"/>
  <c r="BM60" i="1" s="1"/>
  <c r="AY21" i="1"/>
  <c r="BI21" i="1" s="1"/>
  <c r="AY34" i="1"/>
  <c r="BI34" i="1" s="1"/>
  <c r="AZ47" i="1"/>
  <c r="BJ47" i="1" s="1"/>
  <c r="AZ60" i="1"/>
  <c r="BJ60" i="1" s="1"/>
  <c r="BB73" i="1"/>
  <c r="BL73" i="1" s="1"/>
  <c r="AZ99" i="1"/>
  <c r="BJ99" i="1" s="1"/>
  <c r="AY73" i="1"/>
  <c r="BI73" i="1" s="1"/>
  <c r="AY86" i="1"/>
  <c r="BI86" i="1" s="1"/>
  <c r="AZ138" i="1"/>
  <c r="BJ138" i="1" s="1"/>
  <c r="BC158" i="1"/>
  <c r="BM158" i="1" s="1"/>
  <c r="BB99" i="1"/>
  <c r="BL99" i="1" s="1"/>
  <c r="AY99" i="1"/>
  <c r="BI99" i="1" s="1"/>
  <c r="BB112" i="1"/>
  <c r="BL112" i="1" s="1"/>
  <c r="BB125" i="1"/>
  <c r="BL125" i="1" s="1"/>
  <c r="BB228" i="1"/>
  <c r="BB306" i="1"/>
  <c r="BB176" i="1"/>
  <c r="BB162" i="1"/>
  <c r="BL162" i="1" s="1"/>
  <c r="AY166" i="1"/>
  <c r="BI166" i="1" s="1"/>
  <c r="BB34" i="1"/>
  <c r="BL34" i="1" s="1"/>
  <c r="BC21" i="1"/>
  <c r="BM21" i="1" s="1"/>
  <c r="BC34" i="1"/>
  <c r="BM34" i="1" s="1"/>
  <c r="AZ21" i="1"/>
  <c r="BJ21" i="1" s="1"/>
  <c r="AZ34" i="1"/>
  <c r="BJ34" i="1" s="1"/>
  <c r="BA47" i="1"/>
  <c r="BK47" i="1" s="1"/>
  <c r="BA60" i="1"/>
  <c r="BK60" i="1" s="1"/>
  <c r="AZ151" i="1"/>
  <c r="BJ151" i="1" s="1"/>
  <c r="BC73" i="1"/>
  <c r="BM73" i="1" s="1"/>
  <c r="BC86" i="1"/>
  <c r="BM86" i="1" s="1"/>
  <c r="AZ112" i="1"/>
  <c r="BJ112" i="1" s="1"/>
  <c r="AZ125" i="1"/>
  <c r="BJ125" i="1" s="1"/>
  <c r="AZ73" i="1"/>
  <c r="BJ73" i="1" s="1"/>
  <c r="AZ86" i="1"/>
  <c r="BJ86" i="1" s="1"/>
  <c r="BB151" i="1"/>
  <c r="BL151" i="1" s="1"/>
  <c r="AZ158" i="1"/>
  <c r="BJ158" i="1" s="1"/>
  <c r="BA73" i="1"/>
  <c r="BK73" i="1" s="1"/>
  <c r="BA86" i="1"/>
  <c r="BK86" i="1" s="1"/>
  <c r="BC99" i="1"/>
  <c r="BM99" i="1" s="1"/>
  <c r="AY151" i="1"/>
  <c r="BI151" i="1" s="1"/>
  <c r="BB202" i="1"/>
  <c r="BB280" i="1"/>
  <c r="BC166" i="1"/>
  <c r="BM166" i="1" s="1"/>
  <c r="AY176" i="1"/>
  <c r="BI176" i="1" s="1"/>
  <c r="BB21" i="1"/>
  <c r="BL21" i="1" s="1"/>
  <c r="BA21" i="1"/>
  <c r="BK21" i="1" s="1"/>
  <c r="BA34" i="1"/>
  <c r="BK34" i="1" s="1"/>
  <c r="BB47" i="1"/>
  <c r="BL47" i="1" s="1"/>
  <c r="BB60" i="1"/>
  <c r="BL60" i="1" s="1"/>
  <c r="AY112" i="1"/>
  <c r="BI112" i="1" s="1"/>
  <c r="AY125" i="1"/>
  <c r="BI125" i="1" s="1"/>
  <c r="AY138" i="1"/>
  <c r="BI138" i="1" s="1"/>
  <c r="BB158" i="1"/>
  <c r="BL158" i="1" s="1"/>
  <c r="BA138" i="1"/>
  <c r="BK138" i="1" s="1"/>
  <c r="BC151" i="1"/>
  <c r="BM151" i="1" s="1"/>
  <c r="BA158" i="1"/>
  <c r="BK158" i="1" s="1"/>
  <c r="BA166" i="1"/>
  <c r="BK166" i="1" s="1"/>
  <c r="BB189" i="1"/>
  <c r="AZ162" i="1"/>
  <c r="BJ162" i="1" s="1"/>
  <c r="AY189" i="1"/>
  <c r="BI189" i="1" s="1"/>
  <c r="AY202" i="1"/>
  <c r="BI202" i="1" s="1"/>
  <c r="AY280" i="1"/>
  <c r="BI280" i="1" s="1"/>
  <c r="AY228" i="1"/>
  <c r="BI228" i="1" s="1"/>
  <c r="AY306" i="1"/>
  <c r="BI306" i="1" s="1"/>
  <c r="BC176" i="1"/>
  <c r="AZ176" i="1"/>
  <c r="BJ176" i="1" s="1"/>
  <c r="BC254" i="1"/>
  <c r="BC267" i="1"/>
  <c r="AZ293" i="1"/>
  <c r="BJ293" i="1" s="1"/>
  <c r="BB293" i="1"/>
  <c r="BB254" i="1"/>
  <c r="BB267" i="1"/>
  <c r="BC293" i="1"/>
  <c r="AZ202" i="1"/>
  <c r="BJ202" i="1" s="1"/>
  <c r="AY215" i="1"/>
  <c r="BI215" i="1" s="1"/>
  <c r="AY241" i="1"/>
  <c r="BI241" i="1" s="1"/>
  <c r="AY319" i="1"/>
  <c r="BI319" i="1" s="1"/>
  <c r="AZ254" i="1"/>
  <c r="BJ254" i="1" s="1"/>
  <c r="AZ267" i="1"/>
  <c r="BJ267" i="1" s="1"/>
  <c r="BA215" i="1"/>
  <c r="BK215" i="1" s="1"/>
  <c r="BA241" i="1"/>
  <c r="BK241" i="1" s="1"/>
  <c r="BA319" i="1"/>
  <c r="BK319" i="1" s="1"/>
  <c r="BB215" i="1"/>
  <c r="BB241" i="1"/>
  <c r="BB319" i="1"/>
  <c r="AZ189" i="1"/>
  <c r="BJ189" i="1" s="1"/>
  <c r="BC162" i="1"/>
  <c r="BM162" i="1" s="1"/>
  <c r="AZ166" i="1"/>
  <c r="BJ166" i="1" s="1"/>
  <c r="BA306" i="1"/>
  <c r="BK306" i="1" s="1"/>
  <c r="BC215" i="1"/>
  <c r="BC241" i="1"/>
  <c r="BC319" i="1"/>
  <c r="BA293" i="1"/>
  <c r="BK293" i="1" s="1"/>
  <c r="AZ280" i="1"/>
  <c r="BJ280" i="1" s="1"/>
  <c r="AZ228" i="1"/>
  <c r="BJ228" i="1" s="1"/>
  <c r="AZ306" i="1"/>
  <c r="BJ306" i="1" s="1"/>
  <c r="BA189" i="1"/>
  <c r="BK189" i="1" s="1"/>
  <c r="BA202" i="1"/>
  <c r="BK202" i="1" s="1"/>
  <c r="BA280" i="1"/>
  <c r="BK280" i="1" s="1"/>
  <c r="BA228" i="1"/>
  <c r="BK228" i="1" s="1"/>
  <c r="AY254" i="1"/>
  <c r="BI254" i="1" s="1"/>
  <c r="AY267" i="1"/>
  <c r="BI267" i="1" s="1"/>
  <c r="AZ215" i="1"/>
  <c r="BJ215" i="1" s="1"/>
  <c r="AZ241" i="1"/>
  <c r="BJ241" i="1" s="1"/>
  <c r="AZ319" i="1"/>
  <c r="BJ319" i="1" s="1"/>
  <c r="BA254" i="1"/>
  <c r="BK254" i="1" s="1"/>
  <c r="BA267" i="1"/>
  <c r="BK267" i="1" s="1"/>
  <c r="AY293" i="1"/>
  <c r="BI293" i="1" s="1"/>
  <c r="BB26" i="1"/>
  <c r="BL26" i="1" s="1"/>
  <c r="BC13" i="1"/>
  <c r="BM13" i="1" s="1"/>
  <c r="BC26" i="1"/>
  <c r="BM26" i="1" s="1"/>
  <c r="AZ65" i="1"/>
  <c r="BJ65" i="1" s="1"/>
  <c r="AZ13" i="1"/>
  <c r="BJ13" i="1" s="1"/>
  <c r="AZ26" i="1"/>
  <c r="BJ26" i="1" s="1"/>
  <c r="BA39" i="1"/>
  <c r="BK39" i="1" s="1"/>
  <c r="BA52" i="1"/>
  <c r="BK52" i="1" s="1"/>
  <c r="BB65" i="1"/>
  <c r="BL65" i="1" s="1"/>
  <c r="AZ143" i="1"/>
  <c r="BJ143" i="1" s="1"/>
  <c r="BC78" i="1"/>
  <c r="BM78" i="1" s="1"/>
  <c r="AZ104" i="1"/>
  <c r="BJ104" i="1" s="1"/>
  <c r="AZ117" i="1"/>
  <c r="BJ117" i="1" s="1"/>
  <c r="AZ78" i="1"/>
  <c r="BJ78" i="1" s="1"/>
  <c r="BB143" i="1"/>
  <c r="BL143" i="1" s="1"/>
  <c r="BA78" i="1"/>
  <c r="BK78" i="1" s="1"/>
  <c r="BC91" i="1"/>
  <c r="BM91" i="1" s="1"/>
  <c r="AY143" i="1"/>
  <c r="BI143" i="1" s="1"/>
  <c r="BB194" i="1"/>
  <c r="BB272" i="1"/>
  <c r="AY168" i="1"/>
  <c r="BI168" i="1" s="1"/>
  <c r="BB13" i="1"/>
  <c r="BL13" i="1" s="1"/>
  <c r="BA65" i="1"/>
  <c r="BK65" i="1" s="1"/>
  <c r="BA13" i="1"/>
  <c r="BK13" i="1" s="1"/>
  <c r="BA26" i="1"/>
  <c r="BK26" i="1" s="1"/>
  <c r="BB39" i="1"/>
  <c r="BL39" i="1" s="1"/>
  <c r="BB52" i="1"/>
  <c r="BL52" i="1" s="1"/>
  <c r="AY104" i="1"/>
  <c r="BI104" i="1" s="1"/>
  <c r="AY117" i="1"/>
  <c r="BI117" i="1" s="1"/>
  <c r="AY130" i="1"/>
  <c r="BI130" i="1" s="1"/>
  <c r="BC65" i="1"/>
  <c r="BM65" i="1" s="1"/>
  <c r="BA130" i="1"/>
  <c r="BK130" i="1" s="1"/>
  <c r="AY65" i="1"/>
  <c r="BI65" i="1" s="1"/>
  <c r="BC143" i="1"/>
  <c r="BM143" i="1" s="1"/>
  <c r="BB181" i="1"/>
  <c r="AY181" i="1"/>
  <c r="BI181" i="1" s="1"/>
  <c r="AY194" i="1"/>
  <c r="BI194" i="1" s="1"/>
  <c r="AY272" i="1"/>
  <c r="BI272" i="1" s="1"/>
  <c r="AY220" i="1"/>
  <c r="BI220" i="1" s="1"/>
  <c r="AY298" i="1"/>
  <c r="BI298" i="1" s="1"/>
  <c r="AZ246" i="1"/>
  <c r="BJ246" i="1" s="1"/>
  <c r="BC168" i="1"/>
  <c r="AY39" i="1"/>
  <c r="BI39" i="1" s="1"/>
  <c r="AY52" i="1"/>
  <c r="BI52" i="1" s="1"/>
  <c r="BB78" i="1"/>
  <c r="BL78" i="1" s="1"/>
  <c r="BC104" i="1"/>
  <c r="BM104" i="1" s="1"/>
  <c r="BC117" i="1"/>
  <c r="BM117" i="1" s="1"/>
  <c r="BC130" i="1"/>
  <c r="BM130" i="1" s="1"/>
  <c r="BA91" i="1"/>
  <c r="BK91" i="1" s="1"/>
  <c r="BA143" i="1"/>
  <c r="BK143" i="1" s="1"/>
  <c r="BA104" i="1"/>
  <c r="BK104" i="1" s="1"/>
  <c r="BA117" i="1"/>
  <c r="BK117" i="1" s="1"/>
  <c r="BB130" i="1"/>
  <c r="BL130" i="1" s="1"/>
  <c r="BA168" i="1"/>
  <c r="BK168" i="1" s="1"/>
  <c r="AY246" i="1"/>
  <c r="BI246" i="1" s="1"/>
  <c r="BC181" i="1"/>
  <c r="BC194" i="1"/>
  <c r="BC272" i="1"/>
  <c r="BC220" i="1"/>
  <c r="BC298" i="1"/>
  <c r="BC39" i="1"/>
  <c r="BM39" i="1" s="1"/>
  <c r="BC52" i="1"/>
  <c r="BM52" i="1" s="1"/>
  <c r="AY13" i="1"/>
  <c r="BI13" i="1" s="1"/>
  <c r="AY26" i="1"/>
  <c r="BI26" i="1" s="1"/>
  <c r="AZ39" i="1"/>
  <c r="BJ39" i="1" s="1"/>
  <c r="AZ52" i="1"/>
  <c r="BJ52" i="1" s="1"/>
  <c r="AZ91" i="1"/>
  <c r="BJ91" i="1" s="1"/>
  <c r="AY78" i="1"/>
  <c r="BI78" i="1" s="1"/>
  <c r="AZ130" i="1"/>
  <c r="BJ130" i="1" s="1"/>
  <c r="BB91" i="1"/>
  <c r="BL91" i="1" s="1"/>
  <c r="AY91" i="1"/>
  <c r="BI91" i="1" s="1"/>
  <c r="BB104" i="1"/>
  <c r="BL104" i="1" s="1"/>
  <c r="BB117" i="1"/>
  <c r="BL117" i="1" s="1"/>
  <c r="BB220" i="1"/>
  <c r="BB298" i="1"/>
  <c r="BC246" i="1"/>
  <c r="BB168" i="1"/>
  <c r="AZ181" i="1"/>
  <c r="BJ181" i="1" s="1"/>
  <c r="BA298" i="1"/>
  <c r="BK298" i="1" s="1"/>
  <c r="BB246" i="1"/>
  <c r="BC207" i="1"/>
  <c r="BC233" i="1"/>
  <c r="BC311" i="1"/>
  <c r="BA285" i="1"/>
  <c r="BK285" i="1" s="1"/>
  <c r="AZ272" i="1"/>
  <c r="BJ272" i="1" s="1"/>
  <c r="AZ220" i="1"/>
  <c r="BJ220" i="1" s="1"/>
  <c r="AZ298" i="1"/>
  <c r="BJ298" i="1" s="1"/>
  <c r="BA246" i="1"/>
  <c r="BK246" i="1" s="1"/>
  <c r="BA181" i="1"/>
  <c r="BK181" i="1" s="1"/>
  <c r="BA194" i="1"/>
  <c r="BK194" i="1" s="1"/>
  <c r="BA272" i="1"/>
  <c r="BK272" i="1" s="1"/>
  <c r="BA220" i="1"/>
  <c r="BK220" i="1" s="1"/>
  <c r="AY259" i="1"/>
  <c r="BI259" i="1" s="1"/>
  <c r="AZ207" i="1"/>
  <c r="BJ207" i="1" s="1"/>
  <c r="AZ233" i="1"/>
  <c r="BJ233" i="1" s="1"/>
  <c r="AZ311" i="1"/>
  <c r="BJ311" i="1" s="1"/>
  <c r="BA259" i="1"/>
  <c r="BK259" i="1" s="1"/>
  <c r="AY285" i="1"/>
  <c r="BI285" i="1" s="1"/>
  <c r="AZ194" i="1"/>
  <c r="BJ194" i="1" s="1"/>
  <c r="AZ168" i="1"/>
  <c r="BJ168" i="1" s="1"/>
  <c r="BC259" i="1"/>
  <c r="AZ285" i="1"/>
  <c r="BJ285" i="1" s="1"/>
  <c r="BB285" i="1"/>
  <c r="BB259" i="1"/>
  <c r="BC285" i="1"/>
  <c r="AY207" i="1"/>
  <c r="BI207" i="1" s="1"/>
  <c r="AY233" i="1"/>
  <c r="BI233" i="1" s="1"/>
  <c r="AY311" i="1"/>
  <c r="BI311" i="1" s="1"/>
  <c r="AZ259" i="1"/>
  <c r="BJ259" i="1" s="1"/>
  <c r="BA207" i="1"/>
  <c r="BK207" i="1" s="1"/>
  <c r="BA233" i="1"/>
  <c r="BK233" i="1" s="1"/>
  <c r="BA311" i="1"/>
  <c r="BK311" i="1" s="1"/>
  <c r="BB207" i="1"/>
  <c r="BB233" i="1"/>
  <c r="BB311" i="1"/>
  <c r="BA83" i="1"/>
  <c r="BK83" i="1" s="1"/>
  <c r="BB109" i="1"/>
  <c r="BL109" i="1" s="1"/>
  <c r="BB122" i="1"/>
  <c r="BL122" i="1" s="1"/>
  <c r="BB135" i="1"/>
  <c r="BL135" i="1" s="1"/>
  <c r="AZ96" i="1"/>
  <c r="BJ96" i="1" s="1"/>
  <c r="AZ148" i="1"/>
  <c r="BJ148" i="1" s="1"/>
  <c r="AZ109" i="1"/>
  <c r="BJ109" i="1" s="1"/>
  <c r="AZ122" i="1"/>
  <c r="BJ122" i="1" s="1"/>
  <c r="BA135" i="1"/>
  <c r="BK135" i="1" s="1"/>
  <c r="AZ173" i="1"/>
  <c r="BJ173" i="1" s="1"/>
  <c r="BB186" i="1"/>
  <c r="BB199" i="1"/>
  <c r="BB277" i="1"/>
  <c r="BB225" i="1"/>
  <c r="BB303" i="1"/>
  <c r="BB44" i="1"/>
  <c r="BL44" i="1" s="1"/>
  <c r="BB57" i="1"/>
  <c r="BL57" i="1" s="1"/>
  <c r="AY44" i="1"/>
  <c r="BI44" i="1" s="1"/>
  <c r="AY57" i="1"/>
  <c r="BI57" i="1" s="1"/>
  <c r="BA70" i="1"/>
  <c r="BK70" i="1" s="1"/>
  <c r="AY96" i="1"/>
  <c r="BI96" i="1" s="1"/>
  <c r="AY135" i="1"/>
  <c r="BI135" i="1" s="1"/>
  <c r="BA96" i="1"/>
  <c r="BK96" i="1" s="1"/>
  <c r="BA109" i="1"/>
  <c r="BK109" i="1" s="1"/>
  <c r="BA122" i="1"/>
  <c r="BK122" i="1" s="1"/>
  <c r="BA225" i="1"/>
  <c r="BK225" i="1" s="1"/>
  <c r="BA303" i="1"/>
  <c r="BK303" i="1" s="1"/>
  <c r="BB251" i="1"/>
  <c r="BA173" i="1"/>
  <c r="BK173" i="1" s="1"/>
  <c r="BA31" i="1"/>
  <c r="BK31" i="1" s="1"/>
  <c r="BB18" i="1"/>
  <c r="BL18" i="1" s="1"/>
  <c r="BB31" i="1"/>
  <c r="BL31" i="1" s="1"/>
  <c r="BC44" i="1"/>
  <c r="BM44" i="1" s="1"/>
  <c r="BC57" i="1"/>
  <c r="BM57" i="1" s="1"/>
  <c r="AY18" i="1"/>
  <c r="BI18" i="1" s="1"/>
  <c r="AY31" i="1"/>
  <c r="BI31" i="1" s="1"/>
  <c r="AZ44" i="1"/>
  <c r="BJ44" i="1" s="1"/>
  <c r="AZ57" i="1"/>
  <c r="BJ57" i="1" s="1"/>
  <c r="BC96" i="1"/>
  <c r="BM96" i="1" s="1"/>
  <c r="AY148" i="1"/>
  <c r="BI148" i="1" s="1"/>
  <c r="BB70" i="1"/>
  <c r="BL70" i="1" s="1"/>
  <c r="BB83" i="1"/>
  <c r="BL83" i="1" s="1"/>
  <c r="AY109" i="1"/>
  <c r="BI109" i="1" s="1"/>
  <c r="AY122" i="1"/>
  <c r="BI122" i="1" s="1"/>
  <c r="BC135" i="1"/>
  <c r="BM135" i="1" s="1"/>
  <c r="AY70" i="1"/>
  <c r="BI70" i="1" s="1"/>
  <c r="AY83" i="1"/>
  <c r="BI83" i="1" s="1"/>
  <c r="BA148" i="1"/>
  <c r="BK148" i="1" s="1"/>
  <c r="AZ70" i="1"/>
  <c r="BJ70" i="1" s="1"/>
  <c r="AZ83" i="1"/>
  <c r="BJ83" i="1" s="1"/>
  <c r="BB96" i="1"/>
  <c r="BL96" i="1" s="1"/>
  <c r="BA199" i="1"/>
  <c r="BK199" i="1" s="1"/>
  <c r="BA277" i="1"/>
  <c r="BK277" i="1" s="1"/>
  <c r="BC186" i="1"/>
  <c r="BA18" i="1"/>
  <c r="BK18" i="1" s="1"/>
  <c r="BC18" i="1"/>
  <c r="BM18" i="1" s="1"/>
  <c r="BC31" i="1"/>
  <c r="BM31" i="1" s="1"/>
  <c r="AZ18" i="1"/>
  <c r="BJ18" i="1" s="1"/>
  <c r="AZ31" i="1"/>
  <c r="BJ31" i="1" s="1"/>
  <c r="BA44" i="1"/>
  <c r="BK44" i="1" s="1"/>
  <c r="BA57" i="1"/>
  <c r="BK57" i="1" s="1"/>
  <c r="BC148" i="1"/>
  <c r="BM148" i="1" s="1"/>
  <c r="BC109" i="1"/>
  <c r="BM109" i="1" s="1"/>
  <c r="BC122" i="1"/>
  <c r="BM122" i="1" s="1"/>
  <c r="BC70" i="1"/>
  <c r="BM70" i="1" s="1"/>
  <c r="BC83" i="1"/>
  <c r="BM83" i="1" s="1"/>
  <c r="AZ135" i="1"/>
  <c r="BJ135" i="1" s="1"/>
  <c r="BB148" i="1"/>
  <c r="BL148" i="1" s="1"/>
  <c r="BA186" i="1"/>
  <c r="BK186" i="1" s="1"/>
  <c r="AY251" i="1"/>
  <c r="BI251" i="1" s="1"/>
  <c r="BB173" i="1"/>
  <c r="AY186" i="1"/>
  <c r="BI186" i="1" s="1"/>
  <c r="BC277" i="1"/>
  <c r="BC225" i="1"/>
  <c r="BC303" i="1"/>
  <c r="AY173" i="1"/>
  <c r="BI173" i="1" s="1"/>
  <c r="BB264" i="1"/>
  <c r="AY290" i="1"/>
  <c r="BI290" i="1" s="1"/>
  <c r="BC212" i="1"/>
  <c r="BC238" i="1"/>
  <c r="BC316" i="1"/>
  <c r="BA290" i="1"/>
  <c r="BK290" i="1" s="1"/>
  <c r="BA264" i="1"/>
  <c r="BK264" i="1" s="1"/>
  <c r="BB290" i="1"/>
  <c r="BC173" i="1"/>
  <c r="BC251" i="1"/>
  <c r="BC290" i="1"/>
  <c r="AY264" i="1"/>
  <c r="BI264" i="1" s="1"/>
  <c r="AZ212" i="1"/>
  <c r="BJ212" i="1" s="1"/>
  <c r="AZ238" i="1"/>
  <c r="BJ238" i="1" s="1"/>
  <c r="AZ316" i="1"/>
  <c r="BJ316" i="1" s="1"/>
  <c r="BA212" i="1"/>
  <c r="BK212" i="1" s="1"/>
  <c r="BA238" i="1"/>
  <c r="BK238" i="1" s="1"/>
  <c r="BA316" i="1"/>
  <c r="BK316" i="1" s="1"/>
  <c r="AY199" i="1"/>
  <c r="BI199" i="1" s="1"/>
  <c r="AZ303" i="1"/>
  <c r="BJ303" i="1" s="1"/>
  <c r="BA251" i="1"/>
  <c r="BK251" i="1" s="1"/>
  <c r="BB212" i="1"/>
  <c r="BB238" i="1"/>
  <c r="BB316" i="1"/>
  <c r="BC264" i="1"/>
  <c r="AZ290" i="1"/>
  <c r="BJ290" i="1" s="1"/>
  <c r="BC199" i="1"/>
  <c r="AY277" i="1"/>
  <c r="BI277" i="1" s="1"/>
  <c r="AY225" i="1"/>
  <c r="BI225" i="1" s="1"/>
  <c r="AY303" i="1"/>
  <c r="BI303" i="1" s="1"/>
  <c r="AZ251" i="1"/>
  <c r="BJ251" i="1" s="1"/>
  <c r="AZ186" i="1"/>
  <c r="BJ186" i="1" s="1"/>
  <c r="AZ199" i="1"/>
  <c r="BJ199" i="1" s="1"/>
  <c r="AZ277" i="1"/>
  <c r="BJ277" i="1" s="1"/>
  <c r="AZ225" i="1"/>
  <c r="BJ225" i="1" s="1"/>
  <c r="AY212" i="1"/>
  <c r="BI212" i="1" s="1"/>
  <c r="AY238" i="1"/>
  <c r="BI238" i="1" s="1"/>
  <c r="AY316" i="1"/>
  <c r="BI316" i="1" s="1"/>
  <c r="AZ264" i="1"/>
  <c r="BJ264" i="1" s="1"/>
  <c r="AY16" i="1"/>
  <c r="BC29" i="1"/>
  <c r="BM29" i="1" s="1"/>
  <c r="BA16" i="1"/>
  <c r="BK16" i="1" s="1"/>
  <c r="BA29" i="1"/>
  <c r="BK29" i="1" s="1"/>
  <c r="BB42" i="1"/>
  <c r="BL42" i="1" s="1"/>
  <c r="BB55" i="1"/>
  <c r="BL55" i="1" s="1"/>
  <c r="AY42" i="1"/>
  <c r="AY55" i="1"/>
  <c r="BA146" i="1"/>
  <c r="BK146" i="1" s="1"/>
  <c r="BA107" i="1"/>
  <c r="BK107" i="1" s="1"/>
  <c r="BA120" i="1"/>
  <c r="BK120" i="1" s="1"/>
  <c r="BA68" i="1"/>
  <c r="BK68" i="1" s="1"/>
  <c r="BA81" i="1"/>
  <c r="BK81" i="1" s="1"/>
  <c r="BC146" i="1"/>
  <c r="BM146" i="1" s="1"/>
  <c r="BB68" i="1"/>
  <c r="BL68" i="1" s="1"/>
  <c r="BB81" i="1"/>
  <c r="BL81" i="1" s="1"/>
  <c r="AZ146" i="1"/>
  <c r="BJ146" i="1" s="1"/>
  <c r="AY184" i="1"/>
  <c r="BC197" i="1"/>
  <c r="BC275" i="1"/>
  <c r="AZ171" i="1"/>
  <c r="BJ171" i="1" s="1"/>
  <c r="BC16" i="1"/>
  <c r="BM16" i="1" s="1"/>
  <c r="BB16" i="1"/>
  <c r="BL16" i="1" s="1"/>
  <c r="BB29" i="1"/>
  <c r="BL29" i="1" s="1"/>
  <c r="BC42" i="1"/>
  <c r="BM42" i="1" s="1"/>
  <c r="BC55" i="1"/>
  <c r="BM55" i="1" s="1"/>
  <c r="AY81" i="1"/>
  <c r="AZ107" i="1"/>
  <c r="BJ107" i="1" s="1"/>
  <c r="AZ120" i="1"/>
  <c r="BJ120" i="1" s="1"/>
  <c r="AZ133" i="1"/>
  <c r="BJ133" i="1" s="1"/>
  <c r="BB133" i="1"/>
  <c r="BL133" i="1" s="1"/>
  <c r="AY133" i="1"/>
  <c r="BC184" i="1"/>
  <c r="AZ184" i="1"/>
  <c r="BJ184" i="1" s="1"/>
  <c r="AZ197" i="1"/>
  <c r="BJ197" i="1" s="1"/>
  <c r="AZ275" i="1"/>
  <c r="BJ275" i="1" s="1"/>
  <c r="AZ223" i="1"/>
  <c r="BJ223" i="1" s="1"/>
  <c r="AZ301" i="1"/>
  <c r="BJ301" i="1" s="1"/>
  <c r="BA249" i="1"/>
  <c r="BK249" i="1" s="1"/>
  <c r="AZ42" i="1"/>
  <c r="BJ42" i="1" s="1"/>
  <c r="AZ55" i="1"/>
  <c r="BJ55" i="1" s="1"/>
  <c r="AY68" i="1"/>
  <c r="BC81" i="1"/>
  <c r="BM81" i="1" s="1"/>
  <c r="BB94" i="1"/>
  <c r="BL94" i="1" s="1"/>
  <c r="BB146" i="1"/>
  <c r="BL146" i="1" s="1"/>
  <c r="AY94" i="1"/>
  <c r="BB107" i="1"/>
  <c r="BL107" i="1" s="1"/>
  <c r="BB120" i="1"/>
  <c r="BL120" i="1" s="1"/>
  <c r="AY107" i="1"/>
  <c r="AY120" i="1"/>
  <c r="BC133" i="1"/>
  <c r="BM133" i="1" s="1"/>
  <c r="BB171" i="1"/>
  <c r="AY223" i="1"/>
  <c r="AY301" i="1"/>
  <c r="AZ249" i="1"/>
  <c r="BJ249" i="1" s="1"/>
  <c r="AY171" i="1"/>
  <c r="AY29" i="1"/>
  <c r="AZ16" i="1"/>
  <c r="BJ16" i="1" s="1"/>
  <c r="AZ29" i="1"/>
  <c r="BJ29" i="1" s="1"/>
  <c r="BA42" i="1"/>
  <c r="BK42" i="1" s="1"/>
  <c r="BA55" i="1"/>
  <c r="BK55" i="1" s="1"/>
  <c r="BC68" i="1"/>
  <c r="BM68" i="1" s="1"/>
  <c r="BA94" i="1"/>
  <c r="BK94" i="1" s="1"/>
  <c r="AZ68" i="1"/>
  <c r="BJ68" i="1" s="1"/>
  <c r="AZ81" i="1"/>
  <c r="BJ81" i="1" s="1"/>
  <c r="BA133" i="1"/>
  <c r="BK133" i="1" s="1"/>
  <c r="BC94" i="1"/>
  <c r="BM94" i="1" s="1"/>
  <c r="AY146" i="1"/>
  <c r="AZ94" i="1"/>
  <c r="BJ94" i="1" s="1"/>
  <c r="BC107" i="1"/>
  <c r="BM107" i="1" s="1"/>
  <c r="BC120" i="1"/>
  <c r="BM120" i="1" s="1"/>
  <c r="AY197" i="1"/>
  <c r="AY275" i="1"/>
  <c r="BC223" i="1"/>
  <c r="BC301" i="1"/>
  <c r="BC171" i="1"/>
  <c r="BB301" i="1"/>
  <c r="BC249" i="1"/>
  <c r="BB288" i="1"/>
  <c r="BA197" i="1"/>
  <c r="BK197" i="1" s="1"/>
  <c r="BA275" i="1"/>
  <c r="BK275" i="1" s="1"/>
  <c r="BA223" i="1"/>
  <c r="BK223" i="1" s="1"/>
  <c r="BA301" i="1"/>
  <c r="BK301" i="1" s="1"/>
  <c r="BB249" i="1"/>
  <c r="BB184" i="1"/>
  <c r="BB197" i="1"/>
  <c r="BB275" i="1"/>
  <c r="BB223" i="1"/>
  <c r="AZ262" i="1"/>
  <c r="BJ262" i="1" s="1"/>
  <c r="BA210" i="1"/>
  <c r="BK210" i="1" s="1"/>
  <c r="BA236" i="1"/>
  <c r="BK236" i="1" s="1"/>
  <c r="BA314" i="1"/>
  <c r="BK314" i="1" s="1"/>
  <c r="BB262" i="1"/>
  <c r="AY288" i="1"/>
  <c r="AY262" i="1"/>
  <c r="AZ288" i="1"/>
  <c r="BJ288" i="1" s="1"/>
  <c r="BA171" i="1"/>
  <c r="BK171" i="1" s="1"/>
  <c r="BA288" i="1"/>
  <c r="BK288" i="1" s="1"/>
  <c r="BC288" i="1"/>
  <c r="BC262" i="1"/>
  <c r="AY210" i="1"/>
  <c r="AY236" i="1"/>
  <c r="AY314" i="1"/>
  <c r="BA184" i="1"/>
  <c r="BK184" i="1" s="1"/>
  <c r="AY249" i="1"/>
  <c r="AZ210" i="1"/>
  <c r="BJ210" i="1" s="1"/>
  <c r="AZ236" i="1"/>
  <c r="BJ236" i="1" s="1"/>
  <c r="AZ314" i="1"/>
  <c r="BJ314" i="1" s="1"/>
  <c r="BA262" i="1"/>
  <c r="BK262" i="1" s="1"/>
  <c r="BB210" i="1"/>
  <c r="BB236" i="1"/>
  <c r="BB314" i="1"/>
  <c r="BC210" i="1"/>
  <c r="BC236" i="1"/>
  <c r="BC314" i="1"/>
  <c r="BB25" i="1"/>
  <c r="BL25" i="1" s="1"/>
  <c r="BA25" i="1"/>
  <c r="BK25" i="1" s="1"/>
  <c r="BA38" i="1"/>
  <c r="BK38" i="1" s="1"/>
  <c r="BB51" i="1"/>
  <c r="BL51" i="1" s="1"/>
  <c r="BB64" i="1"/>
  <c r="BL64" i="1" s="1"/>
  <c r="AY116" i="1"/>
  <c r="BI116" i="1" s="1"/>
  <c r="AY129" i="1"/>
  <c r="BI129" i="1" s="1"/>
  <c r="AY142" i="1"/>
  <c r="BI142" i="1" s="1"/>
  <c r="BA142" i="1"/>
  <c r="BK142" i="1" s="1"/>
  <c r="BC155" i="1"/>
  <c r="BM155" i="1" s="1"/>
  <c r="BB193" i="1"/>
  <c r="AY193" i="1"/>
  <c r="BI193" i="1" s="1"/>
  <c r="AY206" i="1"/>
  <c r="BI206" i="1" s="1"/>
  <c r="AY284" i="1"/>
  <c r="BI284" i="1" s="1"/>
  <c r="AY232" i="1"/>
  <c r="BI232" i="1" s="1"/>
  <c r="AY310" i="1"/>
  <c r="BI310" i="1" s="1"/>
  <c r="BC180" i="1"/>
  <c r="AY51" i="1"/>
  <c r="BI51" i="1" s="1"/>
  <c r="AY64" i="1"/>
  <c r="BI64" i="1" s="1"/>
  <c r="BB90" i="1"/>
  <c r="BL90" i="1" s="1"/>
  <c r="BC116" i="1"/>
  <c r="BM116" i="1" s="1"/>
  <c r="BC129" i="1"/>
  <c r="BM129" i="1" s="1"/>
  <c r="BC142" i="1"/>
  <c r="BM142" i="1" s="1"/>
  <c r="BA103" i="1"/>
  <c r="BK103" i="1" s="1"/>
  <c r="BA155" i="1"/>
  <c r="BK155" i="1" s="1"/>
  <c r="BA116" i="1"/>
  <c r="BK116" i="1" s="1"/>
  <c r="BA129" i="1"/>
  <c r="BK129" i="1" s="1"/>
  <c r="BB142" i="1"/>
  <c r="BL142" i="1" s="1"/>
  <c r="BA180" i="1"/>
  <c r="BK180" i="1" s="1"/>
  <c r="BC193" i="1"/>
  <c r="BC206" i="1"/>
  <c r="BC284" i="1"/>
  <c r="BC232" i="1"/>
  <c r="BC310" i="1"/>
  <c r="BC51" i="1"/>
  <c r="BM51" i="1" s="1"/>
  <c r="BC64" i="1"/>
  <c r="BM64" i="1" s="1"/>
  <c r="AY25" i="1"/>
  <c r="BI25" i="1" s="1"/>
  <c r="AY38" i="1"/>
  <c r="BI38" i="1" s="1"/>
  <c r="AZ51" i="1"/>
  <c r="BJ51" i="1" s="1"/>
  <c r="AZ64" i="1"/>
  <c r="BJ64" i="1" s="1"/>
  <c r="BB77" i="1"/>
  <c r="BL77" i="1" s="1"/>
  <c r="AZ103" i="1"/>
  <c r="BJ103" i="1" s="1"/>
  <c r="AY77" i="1"/>
  <c r="BI77" i="1" s="1"/>
  <c r="AY90" i="1"/>
  <c r="BI90" i="1" s="1"/>
  <c r="AZ142" i="1"/>
  <c r="BJ142" i="1" s="1"/>
  <c r="BB103" i="1"/>
  <c r="BL103" i="1" s="1"/>
  <c r="AY103" i="1"/>
  <c r="BI103" i="1" s="1"/>
  <c r="BB116" i="1"/>
  <c r="BL116" i="1" s="1"/>
  <c r="BB129" i="1"/>
  <c r="BL129" i="1" s="1"/>
  <c r="BB232" i="1"/>
  <c r="BB310" i="1"/>
  <c r="BB180" i="1"/>
  <c r="BB38" i="1"/>
  <c r="BL38" i="1" s="1"/>
  <c r="BC25" i="1"/>
  <c r="BM25" i="1" s="1"/>
  <c r="BC38" i="1"/>
  <c r="BM38" i="1" s="1"/>
  <c r="AZ25" i="1"/>
  <c r="BJ25" i="1" s="1"/>
  <c r="AZ38" i="1"/>
  <c r="BJ38" i="1" s="1"/>
  <c r="BA51" i="1"/>
  <c r="BK51" i="1" s="1"/>
  <c r="BA64" i="1"/>
  <c r="BK64" i="1" s="1"/>
  <c r="AZ155" i="1"/>
  <c r="BJ155" i="1" s="1"/>
  <c r="BC77" i="1"/>
  <c r="BM77" i="1" s="1"/>
  <c r="BC90" i="1"/>
  <c r="BM90" i="1" s="1"/>
  <c r="AZ116" i="1"/>
  <c r="BJ116" i="1" s="1"/>
  <c r="AZ129" i="1"/>
  <c r="BJ129" i="1" s="1"/>
  <c r="AZ77" i="1"/>
  <c r="BJ77" i="1" s="1"/>
  <c r="AZ90" i="1"/>
  <c r="BJ90" i="1" s="1"/>
  <c r="BB155" i="1"/>
  <c r="BL155" i="1" s="1"/>
  <c r="BA77" i="1"/>
  <c r="BK77" i="1" s="1"/>
  <c r="BA90" i="1"/>
  <c r="BK90" i="1" s="1"/>
  <c r="BC103" i="1"/>
  <c r="BM103" i="1" s="1"/>
  <c r="AY155" i="1"/>
  <c r="BI155" i="1" s="1"/>
  <c r="BB206" i="1"/>
  <c r="BB284" i="1"/>
  <c r="AY180" i="1"/>
  <c r="BI180" i="1" s="1"/>
  <c r="AZ284" i="1"/>
  <c r="BJ284" i="1" s="1"/>
  <c r="AZ232" i="1"/>
  <c r="BJ232" i="1" s="1"/>
  <c r="AZ310" i="1"/>
  <c r="BJ310" i="1" s="1"/>
  <c r="BA193" i="1"/>
  <c r="BK193" i="1" s="1"/>
  <c r="BA206" i="1"/>
  <c r="BK206" i="1" s="1"/>
  <c r="BA284" i="1"/>
  <c r="BK284" i="1" s="1"/>
  <c r="BA232" i="1"/>
  <c r="BK232" i="1" s="1"/>
  <c r="AY258" i="1"/>
  <c r="BI258" i="1" s="1"/>
  <c r="AY271" i="1"/>
  <c r="BI271" i="1" s="1"/>
  <c r="AZ219" i="1"/>
  <c r="BJ219" i="1" s="1"/>
  <c r="AZ245" i="1"/>
  <c r="BJ245" i="1" s="1"/>
  <c r="AZ323" i="1"/>
  <c r="BJ323" i="1" s="1"/>
  <c r="BA258" i="1"/>
  <c r="BK258" i="1" s="1"/>
  <c r="BA271" i="1"/>
  <c r="BK271" i="1" s="1"/>
  <c r="AY297" i="1"/>
  <c r="BI297" i="1" s="1"/>
  <c r="AZ206" i="1"/>
  <c r="BJ206" i="1" s="1"/>
  <c r="AZ180" i="1"/>
  <c r="BJ180" i="1" s="1"/>
  <c r="BC258" i="1"/>
  <c r="BC271" i="1"/>
  <c r="AZ297" i="1"/>
  <c r="BJ297" i="1" s="1"/>
  <c r="BB297" i="1"/>
  <c r="BB258" i="1"/>
  <c r="BB271" i="1"/>
  <c r="BC297" i="1"/>
  <c r="AZ193" i="1"/>
  <c r="BJ193" i="1" s="1"/>
  <c r="AY219" i="1"/>
  <c r="BI219" i="1" s="1"/>
  <c r="AY245" i="1"/>
  <c r="BI245" i="1" s="1"/>
  <c r="AY323" i="1"/>
  <c r="BI323" i="1" s="1"/>
  <c r="AZ258" i="1"/>
  <c r="BJ258" i="1" s="1"/>
  <c r="AZ271" i="1"/>
  <c r="BJ271" i="1" s="1"/>
  <c r="BA219" i="1"/>
  <c r="BK219" i="1" s="1"/>
  <c r="BA245" i="1"/>
  <c r="BK245" i="1" s="1"/>
  <c r="BA323" i="1"/>
  <c r="BK323" i="1" s="1"/>
  <c r="BB219" i="1"/>
  <c r="BB245" i="1"/>
  <c r="BB323" i="1"/>
  <c r="BA310" i="1"/>
  <c r="BK310" i="1" s="1"/>
  <c r="BC219" i="1"/>
  <c r="BC245" i="1"/>
  <c r="BC323" i="1"/>
  <c r="BA297" i="1"/>
  <c r="BK297" i="1" s="1"/>
  <c r="AY33" i="1"/>
  <c r="BI33" i="1" s="1"/>
  <c r="AZ20" i="1"/>
  <c r="BJ20" i="1" s="1"/>
  <c r="AZ33" i="1"/>
  <c r="BJ33" i="1" s="1"/>
  <c r="BA46" i="1"/>
  <c r="BK46" i="1" s="1"/>
  <c r="BA59" i="1"/>
  <c r="BK59" i="1" s="1"/>
  <c r="BC72" i="1"/>
  <c r="BM72" i="1" s="1"/>
  <c r="BA98" i="1"/>
  <c r="BK98" i="1" s="1"/>
  <c r="BA159" i="1"/>
  <c r="BK159" i="1" s="1"/>
  <c r="AZ72" i="1"/>
  <c r="BJ72" i="1" s="1"/>
  <c r="AZ85" i="1"/>
  <c r="BJ85" i="1" s="1"/>
  <c r="BA137" i="1"/>
  <c r="BK137" i="1" s="1"/>
  <c r="BC98" i="1"/>
  <c r="BM98" i="1" s="1"/>
  <c r="AY150" i="1"/>
  <c r="BI150" i="1" s="1"/>
  <c r="BC159" i="1"/>
  <c r="BM159" i="1" s="1"/>
  <c r="AZ98" i="1"/>
  <c r="BJ98" i="1" s="1"/>
  <c r="BC111" i="1"/>
  <c r="BM111" i="1" s="1"/>
  <c r="BC124" i="1"/>
  <c r="BM124" i="1" s="1"/>
  <c r="AZ159" i="1"/>
  <c r="BJ159" i="1" s="1"/>
  <c r="BC163" i="1"/>
  <c r="BM163" i="1" s="1"/>
  <c r="AZ167" i="1"/>
  <c r="BJ167" i="1" s="1"/>
  <c r="AY201" i="1"/>
  <c r="BI201" i="1" s="1"/>
  <c r="AY279" i="1"/>
  <c r="BI279" i="1" s="1"/>
  <c r="BC227" i="1"/>
  <c r="BC305" i="1"/>
  <c r="AZ163" i="1"/>
  <c r="BJ163" i="1" s="1"/>
  <c r="BC175" i="1"/>
  <c r="BA188" i="1"/>
  <c r="BK188" i="1" s="1"/>
  <c r="BA201" i="1"/>
  <c r="BK201" i="1" s="1"/>
  <c r="AY20" i="1"/>
  <c r="BI20" i="1" s="1"/>
  <c r="BC33" i="1"/>
  <c r="BM33" i="1" s="1"/>
  <c r="BA20" i="1"/>
  <c r="BK20" i="1" s="1"/>
  <c r="BA33" i="1"/>
  <c r="BK33" i="1" s="1"/>
  <c r="BB46" i="1"/>
  <c r="BL46" i="1" s="1"/>
  <c r="BB59" i="1"/>
  <c r="BL59" i="1" s="1"/>
  <c r="AY46" i="1"/>
  <c r="BI46" i="1" s="1"/>
  <c r="AY59" i="1"/>
  <c r="BI59" i="1" s="1"/>
  <c r="BA150" i="1"/>
  <c r="BK150" i="1" s="1"/>
  <c r="BA111" i="1"/>
  <c r="BK111" i="1" s="1"/>
  <c r="BA124" i="1"/>
  <c r="BK124" i="1" s="1"/>
  <c r="BA72" i="1"/>
  <c r="BK72" i="1" s="1"/>
  <c r="BA85" i="1"/>
  <c r="BK85" i="1" s="1"/>
  <c r="BC150" i="1"/>
  <c r="BM150" i="1" s="1"/>
  <c r="BB72" i="1"/>
  <c r="BL72" i="1" s="1"/>
  <c r="BB85" i="1"/>
  <c r="BL85" i="1" s="1"/>
  <c r="AZ150" i="1"/>
  <c r="BJ150" i="1" s="1"/>
  <c r="AY188" i="1"/>
  <c r="BI188" i="1" s="1"/>
  <c r="BC201" i="1"/>
  <c r="BC279" i="1"/>
  <c r="BA167" i="1"/>
  <c r="BK167" i="1" s="1"/>
  <c r="AZ175" i="1"/>
  <c r="BJ175" i="1" s="1"/>
  <c r="BC20" i="1"/>
  <c r="BM20" i="1" s="1"/>
  <c r="BB20" i="1"/>
  <c r="BL20" i="1" s="1"/>
  <c r="BB33" i="1"/>
  <c r="BL33" i="1" s="1"/>
  <c r="BC46" i="1"/>
  <c r="BM46" i="1" s="1"/>
  <c r="BC59" i="1"/>
  <c r="BM59" i="1" s="1"/>
  <c r="AY85" i="1"/>
  <c r="BI85" i="1" s="1"/>
  <c r="AZ111" i="1"/>
  <c r="BJ111" i="1" s="1"/>
  <c r="AZ124" i="1"/>
  <c r="BJ124" i="1" s="1"/>
  <c r="AZ137" i="1"/>
  <c r="BJ137" i="1" s="1"/>
  <c r="BB159" i="1"/>
  <c r="BL159" i="1" s="1"/>
  <c r="BB137" i="1"/>
  <c r="BL137" i="1" s="1"/>
  <c r="AY137" i="1"/>
  <c r="BI137" i="1" s="1"/>
  <c r="BC188" i="1"/>
  <c r="AZ188" i="1"/>
  <c r="BJ188" i="1" s="1"/>
  <c r="AZ201" i="1"/>
  <c r="BJ201" i="1" s="1"/>
  <c r="AZ279" i="1"/>
  <c r="BJ279" i="1" s="1"/>
  <c r="AZ227" i="1"/>
  <c r="BJ227" i="1" s="1"/>
  <c r="AZ305" i="1"/>
  <c r="BJ305" i="1" s="1"/>
  <c r="BA163" i="1"/>
  <c r="BK163" i="1" s="1"/>
  <c r="AZ46" i="1"/>
  <c r="BJ46" i="1" s="1"/>
  <c r="AZ59" i="1"/>
  <c r="BJ59" i="1" s="1"/>
  <c r="AY72" i="1"/>
  <c r="BI72" i="1" s="1"/>
  <c r="BC85" i="1"/>
  <c r="BM85" i="1" s="1"/>
  <c r="BB98" i="1"/>
  <c r="BL98" i="1" s="1"/>
  <c r="BB150" i="1"/>
  <c r="BL150" i="1" s="1"/>
  <c r="AY98" i="1"/>
  <c r="BI98" i="1" s="1"/>
  <c r="BB111" i="1"/>
  <c r="BL111" i="1" s="1"/>
  <c r="BB124" i="1"/>
  <c r="BL124" i="1" s="1"/>
  <c r="AY159" i="1"/>
  <c r="BI159" i="1" s="1"/>
  <c r="AY111" i="1"/>
  <c r="BI111" i="1" s="1"/>
  <c r="AY124" i="1"/>
  <c r="BI124" i="1" s="1"/>
  <c r="BC137" i="1"/>
  <c r="BM137" i="1" s="1"/>
  <c r="AY163" i="1"/>
  <c r="BI163" i="1" s="1"/>
  <c r="BB175" i="1"/>
  <c r="AY227" i="1"/>
  <c r="BI227" i="1" s="1"/>
  <c r="AY305" i="1"/>
  <c r="BI305" i="1" s="1"/>
  <c r="AY175" i="1"/>
  <c r="BI175" i="1" s="1"/>
  <c r="BB167" i="1"/>
  <c r="BL167" i="1" s="1"/>
  <c r="BC167" i="1"/>
  <c r="BM167" i="1" s="1"/>
  <c r="AY253" i="1"/>
  <c r="BI253" i="1" s="1"/>
  <c r="AZ214" i="1"/>
  <c r="BJ214" i="1" s="1"/>
  <c r="AZ240" i="1"/>
  <c r="BJ240" i="1" s="1"/>
  <c r="AZ318" i="1"/>
  <c r="BJ318" i="1" s="1"/>
  <c r="BA253" i="1"/>
  <c r="BK253" i="1" s="1"/>
  <c r="BA266" i="1"/>
  <c r="BK266" i="1" s="1"/>
  <c r="BB214" i="1"/>
  <c r="BB240" i="1"/>
  <c r="BB318" i="1"/>
  <c r="BC214" i="1"/>
  <c r="BC240" i="1"/>
  <c r="BC318" i="1"/>
  <c r="BB305" i="1"/>
  <c r="BB292" i="1"/>
  <c r="BA279" i="1"/>
  <c r="BK279" i="1" s="1"/>
  <c r="BA227" i="1"/>
  <c r="BK227" i="1" s="1"/>
  <c r="BA305" i="1"/>
  <c r="BK305" i="1" s="1"/>
  <c r="BB188" i="1"/>
  <c r="BB201" i="1"/>
  <c r="BB279" i="1"/>
  <c r="BB227" i="1"/>
  <c r="AZ253" i="1"/>
  <c r="BJ253" i="1" s="1"/>
  <c r="AZ266" i="1"/>
  <c r="BJ266" i="1" s="1"/>
  <c r="BA214" i="1"/>
  <c r="BK214" i="1" s="1"/>
  <c r="BA240" i="1"/>
  <c r="BK240" i="1" s="1"/>
  <c r="BA318" i="1"/>
  <c r="BK318" i="1" s="1"/>
  <c r="BB253" i="1"/>
  <c r="BB266" i="1"/>
  <c r="AY292" i="1"/>
  <c r="BI292" i="1" s="1"/>
  <c r="AY266" i="1"/>
  <c r="BI266" i="1" s="1"/>
  <c r="AZ292" i="1"/>
  <c r="BJ292" i="1" s="1"/>
  <c r="BB163" i="1"/>
  <c r="BL163" i="1" s="1"/>
  <c r="AY167" i="1"/>
  <c r="BI167" i="1" s="1"/>
  <c r="BA175" i="1"/>
  <c r="BK175" i="1" s="1"/>
  <c r="BA292" i="1"/>
  <c r="BK292" i="1" s="1"/>
  <c r="BC292" i="1"/>
  <c r="BC253" i="1"/>
  <c r="BC266" i="1"/>
  <c r="AY214" i="1"/>
  <c r="BI214" i="1" s="1"/>
  <c r="AY240" i="1"/>
  <c r="BI240" i="1" s="1"/>
  <c r="AY318" i="1"/>
  <c r="BI318" i="1" s="1"/>
  <c r="BB40" i="1"/>
  <c r="BL40" i="1" s="1"/>
  <c r="BB53" i="1"/>
  <c r="BL53" i="1" s="1"/>
  <c r="AY40" i="1"/>
  <c r="BI40" i="1" s="1"/>
  <c r="AY53" i="1"/>
  <c r="BI53" i="1" s="1"/>
  <c r="AY92" i="1"/>
  <c r="BI92" i="1" s="1"/>
  <c r="AY131" i="1"/>
  <c r="BI131" i="1" s="1"/>
  <c r="BA92" i="1"/>
  <c r="BK92" i="1" s="1"/>
  <c r="BA105" i="1"/>
  <c r="BK105" i="1" s="1"/>
  <c r="BA118" i="1"/>
  <c r="BK118" i="1" s="1"/>
  <c r="BA221" i="1"/>
  <c r="BK221" i="1" s="1"/>
  <c r="BA299" i="1"/>
  <c r="BK299" i="1" s="1"/>
  <c r="BB247" i="1"/>
  <c r="BA169" i="1"/>
  <c r="BK169" i="1" s="1"/>
  <c r="AY182" i="1"/>
  <c r="BI182" i="1" s="1"/>
  <c r="AY195" i="1"/>
  <c r="BI195" i="1" s="1"/>
  <c r="BA27" i="1"/>
  <c r="BK27" i="1" s="1"/>
  <c r="BB14" i="1"/>
  <c r="BL14" i="1" s="1"/>
  <c r="BB27" i="1"/>
  <c r="BL27" i="1" s="1"/>
  <c r="BC40" i="1"/>
  <c r="BM40" i="1" s="1"/>
  <c r="BC53" i="1"/>
  <c r="BM53" i="1" s="1"/>
  <c r="AY66" i="1"/>
  <c r="BI66" i="1" s="1"/>
  <c r="AY14" i="1"/>
  <c r="BI14" i="1" s="1"/>
  <c r="AY27" i="1"/>
  <c r="BI27" i="1" s="1"/>
  <c r="AZ40" i="1"/>
  <c r="BJ40" i="1" s="1"/>
  <c r="AZ53" i="1"/>
  <c r="BJ53" i="1" s="1"/>
  <c r="BC92" i="1"/>
  <c r="BM92" i="1" s="1"/>
  <c r="AY144" i="1"/>
  <c r="BI144" i="1" s="1"/>
  <c r="BB79" i="1"/>
  <c r="BL79" i="1" s="1"/>
  <c r="AY105" i="1"/>
  <c r="BI105" i="1" s="1"/>
  <c r="AY118" i="1"/>
  <c r="BI118" i="1" s="1"/>
  <c r="BC131" i="1"/>
  <c r="BM131" i="1" s="1"/>
  <c r="AY79" i="1"/>
  <c r="BI79" i="1" s="1"/>
  <c r="BA144" i="1"/>
  <c r="BK144" i="1" s="1"/>
  <c r="AZ79" i="1"/>
  <c r="BJ79" i="1" s="1"/>
  <c r="BB92" i="1"/>
  <c r="BL92" i="1" s="1"/>
  <c r="BA195" i="1"/>
  <c r="BK195" i="1" s="1"/>
  <c r="BA273" i="1"/>
  <c r="BK273" i="1" s="1"/>
  <c r="BA14" i="1"/>
  <c r="BK14" i="1" s="1"/>
  <c r="BC66" i="1"/>
  <c r="BM66" i="1" s="1"/>
  <c r="BC14" i="1"/>
  <c r="BM14" i="1" s="1"/>
  <c r="BC27" i="1"/>
  <c r="BM27" i="1" s="1"/>
  <c r="AZ66" i="1"/>
  <c r="BJ66" i="1" s="1"/>
  <c r="AZ14" i="1"/>
  <c r="BJ14" i="1" s="1"/>
  <c r="AZ27" i="1"/>
  <c r="BJ27" i="1" s="1"/>
  <c r="BA40" i="1"/>
  <c r="BK40" i="1" s="1"/>
  <c r="BA53" i="1"/>
  <c r="BK53" i="1" s="1"/>
  <c r="BC144" i="1"/>
  <c r="BM144" i="1" s="1"/>
  <c r="BC105" i="1"/>
  <c r="BM105" i="1" s="1"/>
  <c r="BC118" i="1"/>
  <c r="BM118" i="1" s="1"/>
  <c r="BA66" i="1"/>
  <c r="BK66" i="1" s="1"/>
  <c r="BC79" i="1"/>
  <c r="BM79" i="1" s="1"/>
  <c r="AZ131" i="1"/>
  <c r="BJ131" i="1" s="1"/>
  <c r="BB66" i="1"/>
  <c r="BL66" i="1" s="1"/>
  <c r="BB144" i="1"/>
  <c r="BL144" i="1" s="1"/>
  <c r="BA182" i="1"/>
  <c r="BK182" i="1" s="1"/>
  <c r="AY247" i="1"/>
  <c r="BI247" i="1" s="1"/>
  <c r="BB169" i="1"/>
  <c r="BA79" i="1"/>
  <c r="BK79" i="1" s="1"/>
  <c r="BB105" i="1"/>
  <c r="BL105" i="1" s="1"/>
  <c r="BB118" i="1"/>
  <c r="BL118" i="1" s="1"/>
  <c r="BB131" i="1"/>
  <c r="BL131" i="1" s="1"/>
  <c r="AZ92" i="1"/>
  <c r="BJ92" i="1" s="1"/>
  <c r="AZ144" i="1"/>
  <c r="BJ144" i="1" s="1"/>
  <c r="AZ105" i="1"/>
  <c r="BJ105" i="1" s="1"/>
  <c r="AZ118" i="1"/>
  <c r="BJ118" i="1" s="1"/>
  <c r="BA131" i="1"/>
  <c r="BK131" i="1" s="1"/>
  <c r="AZ169" i="1"/>
  <c r="BJ169" i="1" s="1"/>
  <c r="BB182" i="1"/>
  <c r="BB195" i="1"/>
  <c r="BB273" i="1"/>
  <c r="BB221" i="1"/>
  <c r="BB299" i="1"/>
  <c r="BC247" i="1"/>
  <c r="BC169" i="1"/>
  <c r="BC286" i="1"/>
  <c r="AY260" i="1"/>
  <c r="BI260" i="1" s="1"/>
  <c r="AZ208" i="1"/>
  <c r="BJ208" i="1" s="1"/>
  <c r="AZ234" i="1"/>
  <c r="BJ234" i="1" s="1"/>
  <c r="AZ312" i="1"/>
  <c r="BJ312" i="1" s="1"/>
  <c r="BA208" i="1"/>
  <c r="BK208" i="1" s="1"/>
  <c r="BA234" i="1"/>
  <c r="BK234" i="1" s="1"/>
  <c r="BA312" i="1"/>
  <c r="BK312" i="1" s="1"/>
  <c r="AZ299" i="1"/>
  <c r="BJ299" i="1" s="1"/>
  <c r="BA247" i="1"/>
  <c r="BK247" i="1" s="1"/>
  <c r="BB208" i="1"/>
  <c r="BB234" i="1"/>
  <c r="BB312" i="1"/>
  <c r="BC260" i="1"/>
  <c r="AZ286" i="1"/>
  <c r="BJ286" i="1" s="1"/>
  <c r="BC182" i="1"/>
  <c r="AY273" i="1"/>
  <c r="BI273" i="1" s="1"/>
  <c r="AY221" i="1"/>
  <c r="BI221" i="1" s="1"/>
  <c r="AY299" i="1"/>
  <c r="BI299" i="1" s="1"/>
  <c r="AZ247" i="1"/>
  <c r="BJ247" i="1" s="1"/>
  <c r="AZ182" i="1"/>
  <c r="BJ182" i="1" s="1"/>
  <c r="AZ195" i="1"/>
  <c r="BJ195" i="1" s="1"/>
  <c r="AZ273" i="1"/>
  <c r="BJ273" i="1" s="1"/>
  <c r="AZ221" i="1"/>
  <c r="BJ221" i="1" s="1"/>
  <c r="AY208" i="1"/>
  <c r="BI208" i="1" s="1"/>
  <c r="AY234" i="1"/>
  <c r="BI234" i="1" s="1"/>
  <c r="AY312" i="1"/>
  <c r="BI312" i="1" s="1"/>
  <c r="AZ260" i="1"/>
  <c r="BJ260" i="1" s="1"/>
  <c r="BC195" i="1"/>
  <c r="BC273" i="1"/>
  <c r="BC221" i="1"/>
  <c r="BC299" i="1"/>
  <c r="AY169" i="1"/>
  <c r="BI169" i="1" s="1"/>
  <c r="BB260" i="1"/>
  <c r="AY286" i="1"/>
  <c r="BI286" i="1" s="1"/>
  <c r="BC208" i="1"/>
  <c r="BC234" i="1"/>
  <c r="BC312" i="1"/>
  <c r="BA286" i="1"/>
  <c r="BK286" i="1" s="1"/>
  <c r="BA260" i="1"/>
  <c r="BK260" i="1" s="1"/>
  <c r="BB286" i="1"/>
  <c r="BC43" i="1"/>
  <c r="BM43" i="1" s="1"/>
  <c r="BC56" i="1"/>
  <c r="BM56" i="1" s="1"/>
  <c r="AY17" i="1"/>
  <c r="BI17" i="1" s="1"/>
  <c r="AY30" i="1"/>
  <c r="BI30" i="1" s="1"/>
  <c r="AZ43" i="1"/>
  <c r="BJ43" i="1" s="1"/>
  <c r="AZ56" i="1"/>
  <c r="BJ56" i="1" s="1"/>
  <c r="BB69" i="1"/>
  <c r="BL69" i="1" s="1"/>
  <c r="AZ95" i="1"/>
  <c r="BJ95" i="1" s="1"/>
  <c r="AY69" i="1"/>
  <c r="BI69" i="1" s="1"/>
  <c r="AY82" i="1"/>
  <c r="BI82" i="1" s="1"/>
  <c r="AZ134" i="1"/>
  <c r="BJ134" i="1" s="1"/>
  <c r="BB95" i="1"/>
  <c r="BL95" i="1" s="1"/>
  <c r="AY95" i="1"/>
  <c r="BI95" i="1" s="1"/>
  <c r="BB108" i="1"/>
  <c r="BL108" i="1" s="1"/>
  <c r="BB121" i="1"/>
  <c r="BL121" i="1" s="1"/>
  <c r="BB224" i="1"/>
  <c r="BB302" i="1"/>
  <c r="BC250" i="1"/>
  <c r="BB172" i="1"/>
  <c r="AZ185" i="1"/>
  <c r="BJ185" i="1" s="1"/>
  <c r="AZ198" i="1"/>
  <c r="BJ198" i="1" s="1"/>
  <c r="BB30" i="1"/>
  <c r="BL30" i="1" s="1"/>
  <c r="BC17" i="1"/>
  <c r="BM17" i="1" s="1"/>
  <c r="BC30" i="1"/>
  <c r="BM30" i="1" s="1"/>
  <c r="AZ17" i="1"/>
  <c r="BJ17" i="1" s="1"/>
  <c r="AZ30" i="1"/>
  <c r="BJ30" i="1" s="1"/>
  <c r="BA43" i="1"/>
  <c r="BK43" i="1" s="1"/>
  <c r="BA56" i="1"/>
  <c r="BK56" i="1" s="1"/>
  <c r="AZ147" i="1"/>
  <c r="BJ147" i="1" s="1"/>
  <c r="BC69" i="1"/>
  <c r="BM69" i="1" s="1"/>
  <c r="BC82" i="1"/>
  <c r="BM82" i="1" s="1"/>
  <c r="AZ108" i="1"/>
  <c r="BJ108" i="1" s="1"/>
  <c r="AZ121" i="1"/>
  <c r="BJ121" i="1" s="1"/>
  <c r="AZ69" i="1"/>
  <c r="BJ69" i="1" s="1"/>
  <c r="AZ82" i="1"/>
  <c r="BJ82" i="1" s="1"/>
  <c r="BB147" i="1"/>
  <c r="BL147" i="1" s="1"/>
  <c r="BA69" i="1"/>
  <c r="BK69" i="1" s="1"/>
  <c r="BA82" i="1"/>
  <c r="BK82" i="1" s="1"/>
  <c r="BC95" i="1"/>
  <c r="BM95" i="1" s="1"/>
  <c r="AY147" i="1"/>
  <c r="BI147" i="1" s="1"/>
  <c r="BB198" i="1"/>
  <c r="BB276" i="1"/>
  <c r="AY172" i="1"/>
  <c r="BI172" i="1" s="1"/>
  <c r="BB17" i="1"/>
  <c r="BL17" i="1" s="1"/>
  <c r="BA17" i="1"/>
  <c r="BK17" i="1" s="1"/>
  <c r="BA30" i="1"/>
  <c r="BK30" i="1" s="1"/>
  <c r="BB43" i="1"/>
  <c r="BL43" i="1" s="1"/>
  <c r="BB56" i="1"/>
  <c r="BL56" i="1" s="1"/>
  <c r="AY108" i="1"/>
  <c r="BI108" i="1" s="1"/>
  <c r="AY121" i="1"/>
  <c r="BI121" i="1" s="1"/>
  <c r="AY134" i="1"/>
  <c r="BI134" i="1" s="1"/>
  <c r="BA134" i="1"/>
  <c r="BK134" i="1" s="1"/>
  <c r="BC147" i="1"/>
  <c r="BM147" i="1" s="1"/>
  <c r="BB185" i="1"/>
  <c r="AY185" i="1"/>
  <c r="BI185" i="1" s="1"/>
  <c r="AY198" i="1"/>
  <c r="BI198" i="1" s="1"/>
  <c r="AY276" i="1"/>
  <c r="BI276" i="1" s="1"/>
  <c r="AY224" i="1"/>
  <c r="BI224" i="1" s="1"/>
  <c r="AY302" i="1"/>
  <c r="BI302" i="1" s="1"/>
  <c r="AZ250" i="1"/>
  <c r="BJ250" i="1" s="1"/>
  <c r="BC172" i="1"/>
  <c r="AY43" i="1"/>
  <c r="BI43" i="1" s="1"/>
  <c r="AY56" i="1"/>
  <c r="BI56" i="1" s="1"/>
  <c r="BB82" i="1"/>
  <c r="BL82" i="1" s="1"/>
  <c r="BC108" i="1"/>
  <c r="BM108" i="1" s="1"/>
  <c r="BC121" i="1"/>
  <c r="BM121" i="1" s="1"/>
  <c r="BC134" i="1"/>
  <c r="BM134" i="1" s="1"/>
  <c r="BA95" i="1"/>
  <c r="BK95" i="1" s="1"/>
  <c r="BA147" i="1"/>
  <c r="BK147" i="1" s="1"/>
  <c r="BA108" i="1"/>
  <c r="BK108" i="1" s="1"/>
  <c r="BA121" i="1"/>
  <c r="BK121" i="1" s="1"/>
  <c r="BB134" i="1"/>
  <c r="BL134" i="1" s="1"/>
  <c r="BA172" i="1"/>
  <c r="BK172" i="1" s="1"/>
  <c r="AY250" i="1"/>
  <c r="BI250" i="1" s="1"/>
  <c r="BC185" i="1"/>
  <c r="BC198" i="1"/>
  <c r="BC276" i="1"/>
  <c r="BC224" i="1"/>
  <c r="BC302" i="1"/>
  <c r="AY211" i="1"/>
  <c r="BI211" i="1" s="1"/>
  <c r="AY237" i="1"/>
  <c r="BI237" i="1" s="1"/>
  <c r="AY315" i="1"/>
  <c r="BI315" i="1" s="1"/>
  <c r="AZ263" i="1"/>
  <c r="BJ263" i="1" s="1"/>
  <c r="BA211" i="1"/>
  <c r="BK211" i="1" s="1"/>
  <c r="BA237" i="1"/>
  <c r="BK237" i="1" s="1"/>
  <c r="BA315" i="1"/>
  <c r="BK315" i="1" s="1"/>
  <c r="BB211" i="1"/>
  <c r="BB237" i="1"/>
  <c r="BB315" i="1"/>
  <c r="BA302" i="1"/>
  <c r="BK302" i="1" s="1"/>
  <c r="BB250" i="1"/>
  <c r="BC211" i="1"/>
  <c r="BC237" i="1"/>
  <c r="BC315" i="1"/>
  <c r="BA289" i="1"/>
  <c r="BK289" i="1" s="1"/>
  <c r="AZ276" i="1"/>
  <c r="BJ276" i="1" s="1"/>
  <c r="AZ224" i="1"/>
  <c r="BJ224" i="1" s="1"/>
  <c r="AZ302" i="1"/>
  <c r="BJ302" i="1" s="1"/>
  <c r="BA250" i="1"/>
  <c r="BK250" i="1" s="1"/>
  <c r="BA185" i="1"/>
  <c r="BK185" i="1" s="1"/>
  <c r="BA198" i="1"/>
  <c r="BK198" i="1" s="1"/>
  <c r="BA276" i="1"/>
  <c r="BK276" i="1" s="1"/>
  <c r="BA224" i="1"/>
  <c r="BK224" i="1" s="1"/>
  <c r="AY263" i="1"/>
  <c r="BI263" i="1" s="1"/>
  <c r="AZ211" i="1"/>
  <c r="BJ211" i="1" s="1"/>
  <c r="AZ237" i="1"/>
  <c r="BJ237" i="1" s="1"/>
  <c r="AZ315" i="1"/>
  <c r="BJ315" i="1" s="1"/>
  <c r="BA263" i="1"/>
  <c r="BK263" i="1" s="1"/>
  <c r="AY289" i="1"/>
  <c r="BI289" i="1" s="1"/>
  <c r="AZ172" i="1"/>
  <c r="BJ172" i="1" s="1"/>
  <c r="BC263" i="1"/>
  <c r="AZ289" i="1"/>
  <c r="BJ289" i="1" s="1"/>
  <c r="BB289" i="1"/>
  <c r="BB263" i="1"/>
  <c r="BC289" i="1"/>
  <c r="BA22" i="1"/>
  <c r="BK22" i="1" s="1"/>
  <c r="BC22" i="1"/>
  <c r="BM22" i="1" s="1"/>
  <c r="BC35" i="1"/>
  <c r="BM35" i="1" s="1"/>
  <c r="AZ22" i="1"/>
  <c r="BJ22" i="1" s="1"/>
  <c r="AZ35" i="1"/>
  <c r="BJ35" i="1" s="1"/>
  <c r="BA48" i="1"/>
  <c r="BK48" i="1" s="1"/>
  <c r="BA61" i="1"/>
  <c r="BK61" i="1" s="1"/>
  <c r="BC152" i="1"/>
  <c r="BM152" i="1" s="1"/>
  <c r="BC113" i="1"/>
  <c r="BM113" i="1" s="1"/>
  <c r="BC126" i="1"/>
  <c r="BM126" i="1" s="1"/>
  <c r="BC74" i="1"/>
  <c r="BM74" i="1" s="1"/>
  <c r="BC87" i="1"/>
  <c r="BM87" i="1" s="1"/>
  <c r="AZ139" i="1"/>
  <c r="BJ139" i="1" s="1"/>
  <c r="BB152" i="1"/>
  <c r="BL152" i="1" s="1"/>
  <c r="BA190" i="1"/>
  <c r="BK190" i="1" s="1"/>
  <c r="BB177" i="1"/>
  <c r="BA87" i="1"/>
  <c r="BK87" i="1" s="1"/>
  <c r="BB113" i="1"/>
  <c r="BL113" i="1" s="1"/>
  <c r="BB126" i="1"/>
  <c r="BL126" i="1" s="1"/>
  <c r="BB139" i="1"/>
  <c r="BL139" i="1" s="1"/>
  <c r="AZ100" i="1"/>
  <c r="BJ100" i="1" s="1"/>
  <c r="AZ152" i="1"/>
  <c r="BJ152" i="1" s="1"/>
  <c r="AZ113" i="1"/>
  <c r="BJ113" i="1" s="1"/>
  <c r="AZ126" i="1"/>
  <c r="BJ126" i="1" s="1"/>
  <c r="BA139" i="1"/>
  <c r="BK139" i="1" s="1"/>
  <c r="AZ177" i="1"/>
  <c r="BJ177" i="1" s="1"/>
  <c r="BB190" i="1"/>
  <c r="BB203" i="1"/>
  <c r="BB281" i="1"/>
  <c r="BB229" i="1"/>
  <c r="BB307" i="1"/>
  <c r="BB48" i="1"/>
  <c r="BL48" i="1" s="1"/>
  <c r="BB61" i="1"/>
  <c r="BL61" i="1" s="1"/>
  <c r="AY48" i="1"/>
  <c r="AY61" i="1"/>
  <c r="BA74" i="1"/>
  <c r="BK74" i="1" s="1"/>
  <c r="AY100" i="1"/>
  <c r="AY139" i="1"/>
  <c r="BA100" i="1"/>
  <c r="BK100" i="1" s="1"/>
  <c r="BA113" i="1"/>
  <c r="BK113" i="1" s="1"/>
  <c r="BA126" i="1"/>
  <c r="BK126" i="1" s="1"/>
  <c r="BA229" i="1"/>
  <c r="BK229" i="1" s="1"/>
  <c r="BA307" i="1"/>
  <c r="BK307" i="1" s="1"/>
  <c r="BA177" i="1"/>
  <c r="BK177" i="1" s="1"/>
  <c r="BA35" i="1"/>
  <c r="BK35" i="1" s="1"/>
  <c r="BB22" i="1"/>
  <c r="BL22" i="1" s="1"/>
  <c r="BB35" i="1"/>
  <c r="BL35" i="1" s="1"/>
  <c r="BC48" i="1"/>
  <c r="BM48" i="1" s="1"/>
  <c r="BC61" i="1"/>
  <c r="BM61" i="1" s="1"/>
  <c r="AY22" i="1"/>
  <c r="AY35" i="1"/>
  <c r="AZ48" i="1"/>
  <c r="BJ48" i="1" s="1"/>
  <c r="AZ61" i="1"/>
  <c r="BJ61" i="1" s="1"/>
  <c r="BC100" i="1"/>
  <c r="BM100" i="1" s="1"/>
  <c r="AY152" i="1"/>
  <c r="BB74" i="1"/>
  <c r="BL74" i="1" s="1"/>
  <c r="BB87" i="1"/>
  <c r="BL87" i="1" s="1"/>
  <c r="AY113" i="1"/>
  <c r="AY126" i="1"/>
  <c r="BC139" i="1"/>
  <c r="BM139" i="1" s="1"/>
  <c r="AY74" i="1"/>
  <c r="AY87" i="1"/>
  <c r="BA152" i="1"/>
  <c r="BK152" i="1" s="1"/>
  <c r="AZ74" i="1"/>
  <c r="BJ74" i="1" s="1"/>
  <c r="AZ87" i="1"/>
  <c r="BJ87" i="1" s="1"/>
  <c r="BB100" i="1"/>
  <c r="BL100" i="1" s="1"/>
  <c r="BA203" i="1"/>
  <c r="BK203" i="1" s="1"/>
  <c r="BA281" i="1"/>
  <c r="BK281" i="1" s="1"/>
  <c r="BC190" i="1"/>
  <c r="AY281" i="1"/>
  <c r="AY229" i="1"/>
  <c r="AY307" i="1"/>
  <c r="AZ190" i="1"/>
  <c r="BJ190" i="1" s="1"/>
  <c r="AZ203" i="1"/>
  <c r="BJ203" i="1" s="1"/>
  <c r="AZ281" i="1"/>
  <c r="BJ281" i="1" s="1"/>
  <c r="AZ229" i="1"/>
  <c r="BJ229" i="1" s="1"/>
  <c r="AY216" i="1"/>
  <c r="AY242" i="1"/>
  <c r="AY320" i="1"/>
  <c r="AZ255" i="1"/>
  <c r="BJ255" i="1" s="1"/>
  <c r="AZ268" i="1"/>
  <c r="BJ268" i="1" s="1"/>
  <c r="BC281" i="1"/>
  <c r="BC229" i="1"/>
  <c r="BC307" i="1"/>
  <c r="AY177" i="1"/>
  <c r="BB255" i="1"/>
  <c r="BB268" i="1"/>
  <c r="AY294" i="1"/>
  <c r="BC216" i="1"/>
  <c r="BC242" i="1"/>
  <c r="BC320" i="1"/>
  <c r="BA294" i="1"/>
  <c r="BK294" i="1" s="1"/>
  <c r="BA255" i="1"/>
  <c r="BK255" i="1" s="1"/>
  <c r="BA268" i="1"/>
  <c r="BK268" i="1" s="1"/>
  <c r="BB294" i="1"/>
  <c r="AY203" i="1"/>
  <c r="BC177" i="1"/>
  <c r="BC294" i="1"/>
  <c r="AY255" i="1"/>
  <c r="AY268" i="1"/>
  <c r="AZ216" i="1"/>
  <c r="BJ216" i="1" s="1"/>
  <c r="AZ242" i="1"/>
  <c r="BJ242" i="1" s="1"/>
  <c r="AZ320" i="1"/>
  <c r="BJ320" i="1" s="1"/>
  <c r="BA216" i="1"/>
  <c r="BK216" i="1" s="1"/>
  <c r="BA242" i="1"/>
  <c r="BK242" i="1" s="1"/>
  <c r="BA320" i="1"/>
  <c r="BK320" i="1" s="1"/>
  <c r="AY190" i="1"/>
  <c r="BC203" i="1"/>
  <c r="AZ307" i="1"/>
  <c r="BJ307" i="1" s="1"/>
  <c r="BB216" i="1"/>
  <c r="BB242" i="1"/>
  <c r="BB320" i="1"/>
  <c r="BC255" i="1"/>
  <c r="BC268" i="1"/>
  <c r="AZ294" i="1"/>
  <c r="BJ294" i="1" s="1"/>
  <c r="BC15" i="1"/>
  <c r="BM15" i="1" s="1"/>
  <c r="BC28" i="1"/>
  <c r="BM28" i="1" s="1"/>
  <c r="AZ80" i="1"/>
  <c r="BJ80" i="1" s="1"/>
  <c r="BA106" i="1"/>
  <c r="BK106" i="1" s="1"/>
  <c r="BA119" i="1"/>
  <c r="BK119" i="1" s="1"/>
  <c r="BA132" i="1"/>
  <c r="BK132" i="1" s="1"/>
  <c r="AY93" i="1"/>
  <c r="AY145" i="1"/>
  <c r="AY106" i="1"/>
  <c r="AY119" i="1"/>
  <c r="BC132" i="1"/>
  <c r="BM132" i="1" s="1"/>
  <c r="AZ132" i="1"/>
  <c r="BJ132" i="1" s="1"/>
  <c r="AY170" i="1"/>
  <c r="BA183" i="1"/>
  <c r="BK183" i="1" s="1"/>
  <c r="BA196" i="1"/>
  <c r="BK196" i="1" s="1"/>
  <c r="BA274" i="1"/>
  <c r="BK274" i="1" s="1"/>
  <c r="BA222" i="1"/>
  <c r="BK222" i="1" s="1"/>
  <c r="BA300" i="1"/>
  <c r="BK300" i="1" s="1"/>
  <c r="BB248" i="1"/>
  <c r="BA41" i="1"/>
  <c r="BK41" i="1" s="1"/>
  <c r="BA54" i="1"/>
  <c r="BK54" i="1" s="1"/>
  <c r="AZ67" i="1"/>
  <c r="BJ67" i="1" s="1"/>
  <c r="BC93" i="1"/>
  <c r="BM93" i="1" s="1"/>
  <c r="BC145" i="1"/>
  <c r="BM145" i="1" s="1"/>
  <c r="AZ93" i="1"/>
  <c r="BJ93" i="1" s="1"/>
  <c r="BC106" i="1"/>
  <c r="BM106" i="1" s="1"/>
  <c r="BC119" i="1"/>
  <c r="BM119" i="1" s="1"/>
  <c r="AZ106" i="1"/>
  <c r="BJ106" i="1" s="1"/>
  <c r="AZ119" i="1"/>
  <c r="BJ119" i="1" s="1"/>
  <c r="BC170" i="1"/>
  <c r="AZ222" i="1"/>
  <c r="BJ222" i="1" s="1"/>
  <c r="AZ300" i="1"/>
  <c r="BJ300" i="1" s="1"/>
  <c r="BA248" i="1"/>
  <c r="BK248" i="1" s="1"/>
  <c r="AZ170" i="1"/>
  <c r="BJ170" i="1" s="1"/>
  <c r="AZ28" i="1"/>
  <c r="BJ28" i="1" s="1"/>
  <c r="BA15" i="1"/>
  <c r="BK15" i="1" s="1"/>
  <c r="BA28" i="1"/>
  <c r="BK28" i="1" s="1"/>
  <c r="BB41" i="1"/>
  <c r="BL41" i="1" s="1"/>
  <c r="BB54" i="1"/>
  <c r="BL54" i="1" s="1"/>
  <c r="AY41" i="1"/>
  <c r="AY54" i="1"/>
  <c r="BB93" i="1"/>
  <c r="BL93" i="1" s="1"/>
  <c r="BA67" i="1"/>
  <c r="BK67" i="1" s="1"/>
  <c r="BA80" i="1"/>
  <c r="BK80" i="1" s="1"/>
  <c r="BB132" i="1"/>
  <c r="BL132" i="1" s="1"/>
  <c r="AZ145" i="1"/>
  <c r="BJ145" i="1" s="1"/>
  <c r="AY80" i="1"/>
  <c r="BA93" i="1"/>
  <c r="BK93" i="1" s="1"/>
  <c r="AZ196" i="1"/>
  <c r="BJ196" i="1" s="1"/>
  <c r="AZ274" i="1"/>
  <c r="BJ274" i="1" s="1"/>
  <c r="BB183" i="1"/>
  <c r="AZ15" i="1"/>
  <c r="BJ15" i="1" s="1"/>
  <c r="BB15" i="1"/>
  <c r="BL15" i="1" s="1"/>
  <c r="BB28" i="1"/>
  <c r="BL28" i="1" s="1"/>
  <c r="BC41" i="1"/>
  <c r="BM41" i="1" s="1"/>
  <c r="BC54" i="1"/>
  <c r="BM54" i="1" s="1"/>
  <c r="AY67" i="1"/>
  <c r="AY15" i="1"/>
  <c r="AY28" i="1"/>
  <c r="AZ41" i="1"/>
  <c r="BJ41" i="1" s="1"/>
  <c r="AZ54" i="1"/>
  <c r="BJ54" i="1" s="1"/>
  <c r="BB145" i="1"/>
  <c r="BL145" i="1" s="1"/>
  <c r="BB106" i="1"/>
  <c r="BL106" i="1" s="1"/>
  <c r="BB119" i="1"/>
  <c r="BL119" i="1" s="1"/>
  <c r="BB67" i="1"/>
  <c r="BL67" i="1" s="1"/>
  <c r="BB80" i="1"/>
  <c r="BL80" i="1" s="1"/>
  <c r="AY132" i="1"/>
  <c r="BC67" i="1"/>
  <c r="BM67" i="1" s="1"/>
  <c r="BC80" i="1"/>
  <c r="BM80" i="1" s="1"/>
  <c r="BA145" i="1"/>
  <c r="BK145" i="1" s="1"/>
  <c r="AZ183" i="1"/>
  <c r="BJ183" i="1" s="1"/>
  <c r="BA170" i="1"/>
  <c r="BK170" i="1" s="1"/>
  <c r="BB196" i="1"/>
  <c r="BB274" i="1"/>
  <c r="BB222" i="1"/>
  <c r="BB300" i="1"/>
  <c r="BC248" i="1"/>
  <c r="BC183" i="1"/>
  <c r="BC196" i="1"/>
  <c r="BC274" i="1"/>
  <c r="BC222" i="1"/>
  <c r="BA261" i="1"/>
  <c r="BK261" i="1" s="1"/>
  <c r="BB209" i="1"/>
  <c r="BB235" i="1"/>
  <c r="BB313" i="1"/>
  <c r="BC261" i="1"/>
  <c r="AZ287" i="1"/>
  <c r="BJ287" i="1" s="1"/>
  <c r="AZ261" i="1"/>
  <c r="BJ261" i="1" s="1"/>
  <c r="BA287" i="1"/>
  <c r="BK287" i="1" s="1"/>
  <c r="BB170" i="1"/>
  <c r="BB287" i="1"/>
  <c r="AY209" i="1"/>
  <c r="AY235" i="1"/>
  <c r="AY313" i="1"/>
  <c r="AZ209" i="1"/>
  <c r="BJ209" i="1" s="1"/>
  <c r="AZ235" i="1"/>
  <c r="BJ235" i="1" s="1"/>
  <c r="AZ313" i="1"/>
  <c r="BJ313" i="1" s="1"/>
  <c r="AY300" i="1"/>
  <c r="AZ248" i="1"/>
  <c r="BJ248" i="1" s="1"/>
  <c r="BA209" i="1"/>
  <c r="BK209" i="1" s="1"/>
  <c r="BA235" i="1"/>
  <c r="BK235" i="1" s="1"/>
  <c r="BA313" i="1"/>
  <c r="BK313" i="1" s="1"/>
  <c r="BB261" i="1"/>
  <c r="AY287" i="1"/>
  <c r="BC209" i="1"/>
  <c r="BC235" i="1"/>
  <c r="BC313" i="1"/>
  <c r="AY248" i="1"/>
  <c r="AY183" i="1"/>
  <c r="AY196" i="1"/>
  <c r="AY274" i="1"/>
  <c r="AY222" i="1"/>
  <c r="BC300" i="1"/>
  <c r="BC287" i="1"/>
  <c r="AY261" i="1"/>
  <c r="AZ50" i="1"/>
  <c r="BJ50" i="1" s="1"/>
  <c r="AZ63" i="1"/>
  <c r="BJ63" i="1" s="1"/>
  <c r="AY76" i="1"/>
  <c r="BC89" i="1"/>
  <c r="BM89" i="1" s="1"/>
  <c r="BB102" i="1"/>
  <c r="BL102" i="1" s="1"/>
  <c r="BB154" i="1"/>
  <c r="BL154" i="1" s="1"/>
  <c r="AY102" i="1"/>
  <c r="BB115" i="1"/>
  <c r="BL115" i="1" s="1"/>
  <c r="BB128" i="1"/>
  <c r="BL128" i="1" s="1"/>
  <c r="AY115" i="1"/>
  <c r="AY128" i="1"/>
  <c r="BC141" i="1"/>
  <c r="BM141" i="1" s="1"/>
  <c r="BB179" i="1"/>
  <c r="AY231" i="1"/>
  <c r="AY309" i="1"/>
  <c r="AY179" i="1"/>
  <c r="AY37" i="1"/>
  <c r="AZ24" i="1"/>
  <c r="BJ24" i="1" s="1"/>
  <c r="AZ37" i="1"/>
  <c r="BJ37" i="1" s="1"/>
  <c r="BA50" i="1"/>
  <c r="BK50" i="1" s="1"/>
  <c r="BA63" i="1"/>
  <c r="BK63" i="1" s="1"/>
  <c r="BC76" i="1"/>
  <c r="BM76" i="1" s="1"/>
  <c r="BA102" i="1"/>
  <c r="BK102" i="1" s="1"/>
  <c r="AZ76" i="1"/>
  <c r="BJ76" i="1" s="1"/>
  <c r="AZ89" i="1"/>
  <c r="BJ89" i="1" s="1"/>
  <c r="BA141" i="1"/>
  <c r="BK141" i="1" s="1"/>
  <c r="BC102" i="1"/>
  <c r="BM102" i="1" s="1"/>
  <c r="AY154" i="1"/>
  <c r="AZ102" i="1"/>
  <c r="BJ102" i="1" s="1"/>
  <c r="BC115" i="1"/>
  <c r="BM115" i="1" s="1"/>
  <c r="BC128" i="1"/>
  <c r="BM128" i="1" s="1"/>
  <c r="AY205" i="1"/>
  <c r="AY283" i="1"/>
  <c r="BC231" i="1"/>
  <c r="BC309" i="1"/>
  <c r="BC179" i="1"/>
  <c r="AY24" i="1"/>
  <c r="BC37" i="1"/>
  <c r="BM37" i="1" s="1"/>
  <c r="BA24" i="1"/>
  <c r="BK24" i="1" s="1"/>
  <c r="BA37" i="1"/>
  <c r="BK37" i="1" s="1"/>
  <c r="BB50" i="1"/>
  <c r="BL50" i="1" s="1"/>
  <c r="BB63" i="1"/>
  <c r="BL63" i="1" s="1"/>
  <c r="AY50" i="1"/>
  <c r="AY63" i="1"/>
  <c r="BA154" i="1"/>
  <c r="BK154" i="1" s="1"/>
  <c r="BA115" i="1"/>
  <c r="BK115" i="1" s="1"/>
  <c r="BA128" i="1"/>
  <c r="BK128" i="1" s="1"/>
  <c r="BA76" i="1"/>
  <c r="BK76" i="1" s="1"/>
  <c r="BA89" i="1"/>
  <c r="BK89" i="1" s="1"/>
  <c r="BC154" i="1"/>
  <c r="BM154" i="1" s="1"/>
  <c r="BB76" i="1"/>
  <c r="BL76" i="1" s="1"/>
  <c r="BB89" i="1"/>
  <c r="BL89" i="1" s="1"/>
  <c r="AZ154" i="1"/>
  <c r="BJ154" i="1" s="1"/>
  <c r="AY192" i="1"/>
  <c r="BC205" i="1"/>
  <c r="BC283" i="1"/>
  <c r="AZ179" i="1"/>
  <c r="BJ179" i="1" s="1"/>
  <c r="BC24" i="1"/>
  <c r="BM24" i="1" s="1"/>
  <c r="BB24" i="1"/>
  <c r="BL24" i="1" s="1"/>
  <c r="BB37" i="1"/>
  <c r="BL37" i="1" s="1"/>
  <c r="BC50" i="1"/>
  <c r="BM50" i="1" s="1"/>
  <c r="BC63" i="1"/>
  <c r="BM63" i="1" s="1"/>
  <c r="AY89" i="1"/>
  <c r="AZ115" i="1"/>
  <c r="BJ115" i="1" s="1"/>
  <c r="AZ128" i="1"/>
  <c r="BJ128" i="1" s="1"/>
  <c r="AZ141" i="1"/>
  <c r="BJ141" i="1" s="1"/>
  <c r="BB141" i="1"/>
  <c r="BL141" i="1" s="1"/>
  <c r="AY141" i="1"/>
  <c r="BC192" i="1"/>
  <c r="AZ192" i="1"/>
  <c r="BJ192" i="1" s="1"/>
  <c r="AZ205" i="1"/>
  <c r="BJ205" i="1" s="1"/>
  <c r="AZ283" i="1"/>
  <c r="BJ283" i="1" s="1"/>
  <c r="AZ231" i="1"/>
  <c r="BJ231" i="1" s="1"/>
  <c r="AZ309" i="1"/>
  <c r="BJ309" i="1" s="1"/>
  <c r="BA205" i="1"/>
  <c r="BK205" i="1" s="1"/>
  <c r="BA179" i="1"/>
  <c r="BK179" i="1" s="1"/>
  <c r="BA296" i="1"/>
  <c r="BK296" i="1" s="1"/>
  <c r="BC296" i="1"/>
  <c r="BC257" i="1"/>
  <c r="BC270" i="1"/>
  <c r="AY218" i="1"/>
  <c r="AY244" i="1"/>
  <c r="AY322" i="1"/>
  <c r="BA192" i="1"/>
  <c r="BK192" i="1" s="1"/>
  <c r="AZ218" i="1"/>
  <c r="BJ218" i="1" s="1"/>
  <c r="AZ244" i="1"/>
  <c r="BJ244" i="1" s="1"/>
  <c r="AZ322" i="1"/>
  <c r="BJ322" i="1" s="1"/>
  <c r="BA257" i="1"/>
  <c r="BK257" i="1" s="1"/>
  <c r="BA270" i="1"/>
  <c r="BK270" i="1" s="1"/>
  <c r="BB218" i="1"/>
  <c r="BB244" i="1"/>
  <c r="BB322" i="1"/>
  <c r="BC218" i="1"/>
  <c r="BC244" i="1"/>
  <c r="BC322" i="1"/>
  <c r="BB309" i="1"/>
  <c r="BB296" i="1"/>
  <c r="BA283" i="1"/>
  <c r="BK283" i="1" s="1"/>
  <c r="BA231" i="1"/>
  <c r="BK231" i="1" s="1"/>
  <c r="BA309" i="1"/>
  <c r="BK309" i="1" s="1"/>
  <c r="BB192" i="1"/>
  <c r="BB205" i="1"/>
  <c r="BB283" i="1"/>
  <c r="BB231" i="1"/>
  <c r="AZ257" i="1"/>
  <c r="BJ257" i="1" s="1"/>
  <c r="AZ270" i="1"/>
  <c r="BJ270" i="1" s="1"/>
  <c r="BA218" i="1"/>
  <c r="BK218" i="1" s="1"/>
  <c r="BA244" i="1"/>
  <c r="BK244" i="1" s="1"/>
  <c r="BA322" i="1"/>
  <c r="BK322" i="1" s="1"/>
  <c r="BB257" i="1"/>
  <c r="BB270" i="1"/>
  <c r="AY296" i="1"/>
  <c r="AY257" i="1"/>
  <c r="AY270" i="1"/>
  <c r="AZ296" i="1"/>
  <c r="BJ296" i="1" s="1"/>
  <c r="AZ36" i="1"/>
  <c r="BJ36" i="1" s="1"/>
  <c r="BA23" i="1"/>
  <c r="BK23" i="1" s="1"/>
  <c r="BA36" i="1"/>
  <c r="BK36" i="1" s="1"/>
  <c r="BB49" i="1"/>
  <c r="BL49" i="1" s="1"/>
  <c r="BB62" i="1"/>
  <c r="BL62" i="1" s="1"/>
  <c r="AY49" i="1"/>
  <c r="BI49" i="1" s="1"/>
  <c r="AY62" i="1"/>
  <c r="BI62" i="1" s="1"/>
  <c r="BB101" i="1"/>
  <c r="BL101" i="1" s="1"/>
  <c r="BA75" i="1"/>
  <c r="BK75" i="1" s="1"/>
  <c r="BA88" i="1"/>
  <c r="BK88" i="1" s="1"/>
  <c r="BB140" i="1"/>
  <c r="BL140" i="1" s="1"/>
  <c r="AZ153" i="1"/>
  <c r="BJ153" i="1" s="1"/>
  <c r="AY75" i="1"/>
  <c r="BI75" i="1" s="1"/>
  <c r="AY88" i="1"/>
  <c r="BI88" i="1" s="1"/>
  <c r="BA101" i="1"/>
  <c r="BK101" i="1" s="1"/>
  <c r="AZ204" i="1"/>
  <c r="BJ204" i="1" s="1"/>
  <c r="AZ282" i="1"/>
  <c r="BJ282" i="1" s="1"/>
  <c r="AY160" i="1"/>
  <c r="BI160" i="1" s="1"/>
  <c r="AZ164" i="1"/>
  <c r="BJ164" i="1" s="1"/>
  <c r="BB191" i="1"/>
  <c r="BB204" i="1"/>
  <c r="AZ23" i="1"/>
  <c r="BJ23" i="1" s="1"/>
  <c r="BB23" i="1"/>
  <c r="BL23" i="1" s="1"/>
  <c r="BB36" i="1"/>
  <c r="BL36" i="1" s="1"/>
  <c r="BC49" i="1"/>
  <c r="BM49" i="1" s="1"/>
  <c r="BC62" i="1"/>
  <c r="BM62" i="1" s="1"/>
  <c r="AY23" i="1"/>
  <c r="BI23" i="1" s="1"/>
  <c r="AY36" i="1"/>
  <c r="BI36" i="1" s="1"/>
  <c r="AZ49" i="1"/>
  <c r="BJ49" i="1" s="1"/>
  <c r="AZ62" i="1"/>
  <c r="BJ62" i="1" s="1"/>
  <c r="BB153" i="1"/>
  <c r="BL153" i="1" s="1"/>
  <c r="AY156" i="1"/>
  <c r="BI156" i="1" s="1"/>
  <c r="BB114" i="1"/>
  <c r="BL114" i="1" s="1"/>
  <c r="BB127" i="1"/>
  <c r="BL127" i="1" s="1"/>
  <c r="BB75" i="1"/>
  <c r="BL75" i="1" s="1"/>
  <c r="BB88" i="1"/>
  <c r="BL88" i="1" s="1"/>
  <c r="AY140" i="1"/>
  <c r="BI140" i="1" s="1"/>
  <c r="BA156" i="1"/>
  <c r="BK156" i="1" s="1"/>
  <c r="BC75" i="1"/>
  <c r="BM75" i="1" s="1"/>
  <c r="BC88" i="1"/>
  <c r="BM88" i="1" s="1"/>
  <c r="BA153" i="1"/>
  <c r="BK153" i="1" s="1"/>
  <c r="AZ191" i="1"/>
  <c r="BJ191" i="1" s="1"/>
  <c r="BA178" i="1"/>
  <c r="BK178" i="1" s="1"/>
  <c r="BC23" i="1"/>
  <c r="BM23" i="1" s="1"/>
  <c r="BC36" i="1"/>
  <c r="BM36" i="1" s="1"/>
  <c r="AZ88" i="1"/>
  <c r="BJ88" i="1" s="1"/>
  <c r="BA114" i="1"/>
  <c r="BK114" i="1" s="1"/>
  <c r="BA127" i="1"/>
  <c r="BK127" i="1" s="1"/>
  <c r="BA140" i="1"/>
  <c r="BK140" i="1" s="1"/>
  <c r="BC156" i="1"/>
  <c r="BM156" i="1" s="1"/>
  <c r="AY101" i="1"/>
  <c r="BI101" i="1" s="1"/>
  <c r="AY153" i="1"/>
  <c r="BI153" i="1" s="1"/>
  <c r="AY114" i="1"/>
  <c r="BI114" i="1" s="1"/>
  <c r="AY127" i="1"/>
  <c r="BI127" i="1" s="1"/>
  <c r="BC140" i="1"/>
  <c r="BM140" i="1" s="1"/>
  <c r="AZ140" i="1"/>
  <c r="BJ140" i="1" s="1"/>
  <c r="BB156" i="1"/>
  <c r="BL156" i="1" s="1"/>
  <c r="BC160" i="1"/>
  <c r="BM160" i="1" s="1"/>
  <c r="BB164" i="1"/>
  <c r="BL164" i="1" s="1"/>
  <c r="AY178" i="1"/>
  <c r="BI178" i="1" s="1"/>
  <c r="AY164" i="1"/>
  <c r="BI164" i="1" s="1"/>
  <c r="BA191" i="1"/>
  <c r="BK191" i="1" s="1"/>
  <c r="BA204" i="1"/>
  <c r="BK204" i="1" s="1"/>
  <c r="BA282" i="1"/>
  <c r="BK282" i="1" s="1"/>
  <c r="BA230" i="1"/>
  <c r="BK230" i="1" s="1"/>
  <c r="BA308" i="1"/>
  <c r="BK308" i="1" s="1"/>
  <c r="BA49" i="1"/>
  <c r="BK49" i="1" s="1"/>
  <c r="BA62" i="1"/>
  <c r="BK62" i="1" s="1"/>
  <c r="AZ75" i="1"/>
  <c r="BJ75" i="1" s="1"/>
  <c r="BC101" i="1"/>
  <c r="BM101" i="1" s="1"/>
  <c r="BC153" i="1"/>
  <c r="BM153" i="1" s="1"/>
  <c r="AZ156" i="1"/>
  <c r="BJ156" i="1" s="1"/>
  <c r="AZ160" i="1"/>
  <c r="BJ160" i="1" s="1"/>
  <c r="AZ101" i="1"/>
  <c r="BJ101" i="1" s="1"/>
  <c r="BC114" i="1"/>
  <c r="BM114" i="1" s="1"/>
  <c r="BC127" i="1"/>
  <c r="BM127" i="1" s="1"/>
  <c r="AZ114" i="1"/>
  <c r="BJ114" i="1" s="1"/>
  <c r="AZ127" i="1"/>
  <c r="BJ127" i="1" s="1"/>
  <c r="BB160" i="1"/>
  <c r="BL160" i="1" s="1"/>
  <c r="BC178" i="1"/>
  <c r="AZ230" i="1"/>
  <c r="BJ230" i="1" s="1"/>
  <c r="AZ308" i="1"/>
  <c r="BJ308" i="1" s="1"/>
  <c r="BC164" i="1"/>
  <c r="BM164" i="1" s="1"/>
  <c r="AZ178" i="1"/>
  <c r="BJ178" i="1" s="1"/>
  <c r="AY308" i="1"/>
  <c r="BI308" i="1" s="1"/>
  <c r="BA217" i="1"/>
  <c r="BK217" i="1" s="1"/>
  <c r="BA243" i="1"/>
  <c r="BK243" i="1" s="1"/>
  <c r="BA321" i="1"/>
  <c r="BK321" i="1" s="1"/>
  <c r="BB256" i="1"/>
  <c r="BB269" i="1"/>
  <c r="AY295" i="1"/>
  <c r="BI295" i="1" s="1"/>
  <c r="BC217" i="1"/>
  <c r="BC243" i="1"/>
  <c r="BC321" i="1"/>
  <c r="BA160" i="1"/>
  <c r="BK160" i="1" s="1"/>
  <c r="BA164" i="1"/>
  <c r="BK164" i="1" s="1"/>
  <c r="AY191" i="1"/>
  <c r="BI191" i="1" s="1"/>
  <c r="AY204" i="1"/>
  <c r="BI204" i="1" s="1"/>
  <c r="AY282" i="1"/>
  <c r="BI282" i="1" s="1"/>
  <c r="AY230" i="1"/>
  <c r="BI230" i="1" s="1"/>
  <c r="BC308" i="1"/>
  <c r="BC295" i="1"/>
  <c r="AY256" i="1"/>
  <c r="BI256" i="1" s="1"/>
  <c r="AY269" i="1"/>
  <c r="BI269" i="1" s="1"/>
  <c r="BB282" i="1"/>
  <c r="BB230" i="1"/>
  <c r="BB308" i="1"/>
  <c r="BC191" i="1"/>
  <c r="BC204" i="1"/>
  <c r="BC282" i="1"/>
  <c r="BC230" i="1"/>
  <c r="BA256" i="1"/>
  <c r="BK256" i="1" s="1"/>
  <c r="BA269" i="1"/>
  <c r="BK269" i="1" s="1"/>
  <c r="BB217" i="1"/>
  <c r="BB243" i="1"/>
  <c r="BB321" i="1"/>
  <c r="BC256" i="1"/>
  <c r="BC269" i="1"/>
  <c r="AZ295" i="1"/>
  <c r="BJ295" i="1" s="1"/>
  <c r="AZ256" i="1"/>
  <c r="BJ256" i="1" s="1"/>
  <c r="AZ269" i="1"/>
  <c r="BJ269" i="1" s="1"/>
  <c r="BA295" i="1"/>
  <c r="BK295" i="1" s="1"/>
  <c r="BB178" i="1"/>
  <c r="BB295" i="1"/>
  <c r="AY217" i="1"/>
  <c r="BI217" i="1" s="1"/>
  <c r="AY243" i="1"/>
  <c r="BI243" i="1" s="1"/>
  <c r="AY321" i="1"/>
  <c r="BI321" i="1" s="1"/>
  <c r="AZ217" i="1"/>
  <c r="BJ217" i="1" s="1"/>
  <c r="AZ243" i="1"/>
  <c r="BJ243" i="1" s="1"/>
  <c r="AZ321" i="1"/>
  <c r="BJ321" i="1" s="1"/>
  <c r="AU119" i="1"/>
  <c r="BE119" i="1" s="1"/>
  <c r="AX119" i="1"/>
  <c r="BH119" i="1" s="1"/>
  <c r="AT119" i="1"/>
  <c r="AW119" i="1"/>
  <c r="BG119" i="1" s="1"/>
  <c r="AV119" i="1"/>
  <c r="BF119" i="1" s="1"/>
  <c r="AW123" i="1"/>
  <c r="BG123" i="1" s="1"/>
  <c r="AV123" i="1"/>
  <c r="BF123" i="1" s="1"/>
  <c r="AU123" i="1"/>
  <c r="BE123" i="1" s="1"/>
  <c r="AX123" i="1"/>
  <c r="BH123" i="1" s="1"/>
  <c r="AT123" i="1"/>
  <c r="BD123" i="1" s="1"/>
  <c r="AV128" i="1"/>
  <c r="BF128" i="1" s="1"/>
  <c r="AU128" i="1"/>
  <c r="BE128" i="1" s="1"/>
  <c r="AX128" i="1"/>
  <c r="BH128" i="1" s="1"/>
  <c r="AT128" i="1"/>
  <c r="AW128" i="1"/>
  <c r="BG128" i="1" s="1"/>
  <c r="AX129" i="1"/>
  <c r="BH129" i="1" s="1"/>
  <c r="AT129" i="1"/>
  <c r="BD129" i="1" s="1"/>
  <c r="AW129" i="1"/>
  <c r="BG129" i="1" s="1"/>
  <c r="AV129" i="1"/>
  <c r="BF129" i="1" s="1"/>
  <c r="AU129" i="1"/>
  <c r="BE129" i="1" s="1"/>
  <c r="AV117" i="1"/>
  <c r="BF117" i="1" s="1"/>
  <c r="AU117" i="1"/>
  <c r="BE117" i="1" s="1"/>
  <c r="AX117" i="1"/>
  <c r="BH117" i="1" s="1"/>
  <c r="AT117" i="1"/>
  <c r="BD117" i="1" s="1"/>
  <c r="AW117" i="1"/>
  <c r="BG117" i="1" s="1"/>
  <c r="AW121" i="1"/>
  <c r="BG121" i="1" s="1"/>
  <c r="AV121" i="1"/>
  <c r="BF121" i="1" s="1"/>
  <c r="AU121" i="1"/>
  <c r="BE121" i="1" s="1"/>
  <c r="AX121" i="1"/>
  <c r="BH121" i="1" s="1"/>
  <c r="AT121" i="1"/>
  <c r="BD121" i="1" s="1"/>
  <c r="AV127" i="1"/>
  <c r="BF127" i="1" s="1"/>
  <c r="AU127" i="1"/>
  <c r="BE127" i="1" s="1"/>
  <c r="AX127" i="1"/>
  <c r="BH127" i="1" s="1"/>
  <c r="AT127" i="1"/>
  <c r="BD127" i="1" s="1"/>
  <c r="AW127" i="1"/>
  <c r="BG127" i="1" s="1"/>
  <c r="AW124" i="1"/>
  <c r="BG124" i="1" s="1"/>
  <c r="AV124" i="1"/>
  <c r="BF124" i="1" s="1"/>
  <c r="AU124" i="1"/>
  <c r="BE124" i="1" s="1"/>
  <c r="AX124" i="1"/>
  <c r="BH124" i="1" s="1"/>
  <c r="AT124" i="1"/>
  <c r="BD124" i="1" s="1"/>
  <c r="AV118" i="1"/>
  <c r="BF118" i="1" s="1"/>
  <c r="AU118" i="1"/>
  <c r="BE118" i="1" s="1"/>
  <c r="AX118" i="1"/>
  <c r="BH118" i="1" s="1"/>
  <c r="AT118" i="1"/>
  <c r="BD118" i="1" s="1"/>
  <c r="AW118" i="1"/>
  <c r="BG118" i="1" s="1"/>
  <c r="AX120" i="1"/>
  <c r="BH120" i="1" s="1"/>
  <c r="AT120" i="1"/>
  <c r="AW120" i="1"/>
  <c r="BG120" i="1" s="1"/>
  <c r="AV120" i="1"/>
  <c r="BF120" i="1" s="1"/>
  <c r="AU120" i="1"/>
  <c r="BE120" i="1" s="1"/>
  <c r="AW125" i="1"/>
  <c r="BG125" i="1" s="1"/>
  <c r="AV125" i="1"/>
  <c r="BF125" i="1" s="1"/>
  <c r="AU125" i="1"/>
  <c r="BE125" i="1" s="1"/>
  <c r="AX125" i="1"/>
  <c r="BH125" i="1" s="1"/>
  <c r="AT125" i="1"/>
  <c r="BD125" i="1" s="1"/>
  <c r="AW122" i="1"/>
  <c r="BG122" i="1" s="1"/>
  <c r="AV122" i="1"/>
  <c r="BF122" i="1" s="1"/>
  <c r="AU122" i="1"/>
  <c r="BE122" i="1" s="1"/>
  <c r="AX122" i="1"/>
  <c r="BH122" i="1" s="1"/>
  <c r="AT122" i="1"/>
  <c r="BD122" i="1" s="1"/>
  <c r="AV126" i="1"/>
  <c r="BF126" i="1" s="1"/>
  <c r="AU126" i="1"/>
  <c r="BE126" i="1" s="1"/>
  <c r="AX126" i="1"/>
  <c r="BH126" i="1" s="1"/>
  <c r="AT126" i="1"/>
  <c r="AW126" i="1"/>
  <c r="BG126" i="1" s="1"/>
  <c r="AT313" i="1"/>
  <c r="AU300" i="1"/>
  <c r="BE300" i="1" s="1"/>
  <c r="AV183" i="1"/>
  <c r="BF183" i="1" s="1"/>
  <c r="AW106" i="1"/>
  <c r="BG106" i="1" s="1"/>
  <c r="AW287" i="1"/>
  <c r="AX209" i="1"/>
  <c r="AW222" i="1"/>
  <c r="AX106" i="1"/>
  <c r="BH106" i="1" s="1"/>
  <c r="AX196" i="1"/>
  <c r="AU67" i="1"/>
  <c r="BE67" i="1" s="1"/>
  <c r="AW300" i="1"/>
  <c r="AX248" i="1"/>
  <c r="AW274" i="1"/>
  <c r="AU196" i="1"/>
  <c r="BE196" i="1" s="1"/>
  <c r="AW170" i="1"/>
  <c r="AT28" i="1"/>
  <c r="AW80" i="1"/>
  <c r="BG80" i="1" s="1"/>
  <c r="AU209" i="1"/>
  <c r="BE209" i="1" s="1"/>
  <c r="AV300" i="1"/>
  <c r="BF300" i="1" s="1"/>
  <c r="AV145" i="1"/>
  <c r="BF145" i="1" s="1"/>
  <c r="AX145" i="1"/>
  <c r="BH145" i="1" s="1"/>
  <c r="AX93" i="1"/>
  <c r="BH93" i="1" s="1"/>
  <c r="AV93" i="1"/>
  <c r="BF93" i="1" s="1"/>
  <c r="AV28" i="1"/>
  <c r="BF28" i="1" s="1"/>
  <c r="AX235" i="1"/>
  <c r="AX222" i="1"/>
  <c r="AU170" i="1"/>
  <c r="BE170" i="1" s="1"/>
  <c r="AT67" i="1"/>
  <c r="AU313" i="1"/>
  <c r="BE313" i="1" s="1"/>
  <c r="AU222" i="1"/>
  <c r="BE222" i="1" s="1"/>
  <c r="AT106" i="1"/>
  <c r="AU235" i="1"/>
  <c r="BE235" i="1" s="1"/>
  <c r="AX287" i="1"/>
  <c r="AW183" i="1"/>
  <c r="AX170" i="1"/>
  <c r="AW132" i="1"/>
  <c r="BG132" i="1" s="1"/>
  <c r="AV287" i="1"/>
  <c r="BF287" i="1" s="1"/>
  <c r="AW248" i="1"/>
  <c r="AV170" i="1"/>
  <c r="BF170" i="1" s="1"/>
  <c r="AT170" i="1"/>
  <c r="AV106" i="1"/>
  <c r="BF106" i="1" s="1"/>
  <c r="AU106" i="1"/>
  <c r="BE106" i="1" s="1"/>
  <c r="AW41" i="1"/>
  <c r="BG41" i="1" s="1"/>
  <c r="AW15" i="1"/>
  <c r="BG15" i="1" s="1"/>
  <c r="AX54" i="1"/>
  <c r="BH54" i="1" s="1"/>
  <c r="AT41" i="1"/>
  <c r="AU261" i="1"/>
  <c r="BE261" i="1" s="1"/>
  <c r="AW313" i="1"/>
  <c r="AU183" i="1"/>
  <c r="BE183" i="1" s="1"/>
  <c r="AU248" i="1"/>
  <c r="BE248" i="1" s="1"/>
  <c r="AT287" i="1"/>
  <c r="AV274" i="1"/>
  <c r="BF274" i="1" s="1"/>
  <c r="AX132" i="1"/>
  <c r="BH132" i="1" s="1"/>
  <c r="AV80" i="1"/>
  <c r="BF80" i="1" s="1"/>
  <c r="AX313" i="1"/>
  <c r="AW261" i="1"/>
  <c r="AV196" i="1"/>
  <c r="BF196" i="1" s="1"/>
  <c r="AT132" i="1"/>
  <c r="AV67" i="1"/>
  <c r="BF67" i="1" s="1"/>
  <c r="AX67" i="1"/>
  <c r="BH67" i="1" s="1"/>
  <c r="AU15" i="1"/>
  <c r="BE15" i="1" s="1"/>
  <c r="AT93" i="1"/>
  <c r="AU28" i="1"/>
  <c r="BE28" i="1" s="1"/>
  <c r="AX300" i="1"/>
  <c r="AW67" i="1"/>
  <c r="BG67" i="1" s="1"/>
  <c r="AT209" i="1"/>
  <c r="AW196" i="1"/>
  <c r="AT145" i="1"/>
  <c r="AV313" i="1"/>
  <c r="BF313" i="1" s="1"/>
  <c r="AT235" i="1"/>
  <c r="AT222" i="1"/>
  <c r="AU145" i="1"/>
  <c r="BE145" i="1" s="1"/>
  <c r="AX274" i="1"/>
  <c r="AV235" i="1"/>
  <c r="BF235" i="1" s="1"/>
  <c r="AU287" i="1"/>
  <c r="BE287" i="1" s="1"/>
  <c r="AT300" i="1"/>
  <c r="AU132" i="1"/>
  <c r="BE132" i="1" s="1"/>
  <c r="AT274" i="1"/>
  <c r="AU80" i="1"/>
  <c r="BE80" i="1" s="1"/>
  <c r="AX41" i="1"/>
  <c r="BH41" i="1" s="1"/>
  <c r="AU41" i="1"/>
  <c r="BE41" i="1" s="1"/>
  <c r="AV41" i="1"/>
  <c r="BF41" i="1" s="1"/>
  <c r="AT196" i="1"/>
  <c r="AW54" i="1"/>
  <c r="BG54" i="1" s="1"/>
  <c r="AV54" i="1"/>
  <c r="BF54" i="1" s="1"/>
  <c r="AV209" i="1"/>
  <c r="BF209" i="1" s="1"/>
  <c r="AT248" i="1"/>
  <c r="AV132" i="1"/>
  <c r="BF132" i="1" s="1"/>
  <c r="AV261" i="1"/>
  <c r="BF261" i="1" s="1"/>
  <c r="AX261" i="1"/>
  <c r="AW235" i="1"/>
  <c r="AV222" i="1"/>
  <c r="BF222" i="1" s="1"/>
  <c r="AX183" i="1"/>
  <c r="AV248" i="1"/>
  <c r="BF248" i="1" s="1"/>
  <c r="AT261" i="1"/>
  <c r="AW209" i="1"/>
  <c r="AU274" i="1"/>
  <c r="BE274" i="1" s="1"/>
  <c r="AT183" i="1"/>
  <c r="AX28" i="1"/>
  <c r="BH28" i="1" s="1"/>
  <c r="AU93" i="1"/>
  <c r="BE93" i="1" s="1"/>
  <c r="AT80" i="1"/>
  <c r="AX15" i="1"/>
  <c r="BH15" i="1" s="1"/>
  <c r="AW93" i="1"/>
  <c r="BG93" i="1" s="1"/>
  <c r="AT54" i="1"/>
  <c r="AW28" i="1"/>
  <c r="BG28" i="1" s="1"/>
  <c r="AW145" i="1"/>
  <c r="BG145" i="1" s="1"/>
  <c r="AV15" i="1"/>
  <c r="BF15" i="1" s="1"/>
  <c r="AU54" i="1"/>
  <c r="BE54" i="1" s="1"/>
  <c r="AT15" i="1"/>
  <c r="AX80" i="1"/>
  <c r="BH80" i="1" s="1"/>
  <c r="AU239" i="1"/>
  <c r="BE239" i="1" s="1"/>
  <c r="AT291" i="1"/>
  <c r="BD291" i="1" s="1"/>
  <c r="AW200" i="1"/>
  <c r="AU200" i="1"/>
  <c r="BE200" i="1" s="1"/>
  <c r="AW149" i="1"/>
  <c r="BG149" i="1" s="1"/>
  <c r="AX19" i="1"/>
  <c r="BH19" i="1" s="1"/>
  <c r="AW71" i="1"/>
  <c r="BG71" i="1" s="1"/>
  <c r="AV252" i="1"/>
  <c r="BF252" i="1" s="1"/>
  <c r="AT265" i="1"/>
  <c r="BD265" i="1" s="1"/>
  <c r="AW252" i="1"/>
  <c r="AX110" i="1"/>
  <c r="BH110" i="1" s="1"/>
  <c r="AX187" i="1"/>
  <c r="AU45" i="1"/>
  <c r="BE45" i="1" s="1"/>
  <c r="AU19" i="1"/>
  <c r="BE19" i="1" s="1"/>
  <c r="AU213" i="1"/>
  <c r="BE213" i="1" s="1"/>
  <c r="AX304" i="1"/>
  <c r="AV174" i="1"/>
  <c r="BF174" i="1" s="1"/>
  <c r="AX174" i="1"/>
  <c r="AV110" i="1"/>
  <c r="BF110" i="1" s="1"/>
  <c r="AV97" i="1"/>
  <c r="BF97" i="1" s="1"/>
  <c r="AW45" i="1"/>
  <c r="BG45" i="1" s="1"/>
  <c r="AV213" i="1"/>
  <c r="BF213" i="1" s="1"/>
  <c r="AT213" i="1"/>
  <c r="BD213" i="1" s="1"/>
  <c r="AW226" i="1"/>
  <c r="AU149" i="1"/>
  <c r="BE149" i="1" s="1"/>
  <c r="AX200" i="1"/>
  <c r="AU71" i="1"/>
  <c r="BE71" i="1" s="1"/>
  <c r="AW32" i="1"/>
  <c r="BG32" i="1" s="1"/>
  <c r="AU252" i="1"/>
  <c r="BE252" i="1" s="1"/>
  <c r="AV304" i="1"/>
  <c r="BF304" i="1" s="1"/>
  <c r="AV136" i="1"/>
  <c r="BF136" i="1" s="1"/>
  <c r="AX149" i="1"/>
  <c r="BH149" i="1" s="1"/>
  <c r="AT97" i="1"/>
  <c r="BD97" i="1" s="1"/>
  <c r="AT84" i="1"/>
  <c r="BD84" i="1" s="1"/>
  <c r="AV19" i="1"/>
  <c r="BF19" i="1" s="1"/>
  <c r="AV291" i="1"/>
  <c r="BF291" i="1" s="1"/>
  <c r="AW265" i="1"/>
  <c r="AW187" i="1"/>
  <c r="AU187" i="1"/>
  <c r="BE187" i="1" s="1"/>
  <c r="AW136" i="1"/>
  <c r="BG136" i="1" s="1"/>
  <c r="AT19" i="1"/>
  <c r="BD19" i="1" s="1"/>
  <c r="AW58" i="1"/>
  <c r="BG58" i="1" s="1"/>
  <c r="AT317" i="1"/>
  <c r="BD317" i="1" s="1"/>
  <c r="AT226" i="1"/>
  <c r="BD226" i="1" s="1"/>
  <c r="AV226" i="1"/>
  <c r="BF226" i="1" s="1"/>
  <c r="AX136" i="1"/>
  <c r="BH136" i="1" s="1"/>
  <c r="AV71" i="1"/>
  <c r="BF71" i="1" s="1"/>
  <c r="AT71" i="1"/>
  <c r="BD71" i="1" s="1"/>
  <c r="AU317" i="1"/>
  <c r="BE317" i="1" s="1"/>
  <c r="AT252" i="1"/>
  <c r="BD252" i="1" s="1"/>
  <c r="AW278" i="1"/>
  <c r="AU278" i="1"/>
  <c r="BE278" i="1" s="1"/>
  <c r="AW174" i="1"/>
  <c r="AT32" i="1"/>
  <c r="BD32" i="1" s="1"/>
  <c r="AW84" i="1"/>
  <c r="BG84" i="1" s="1"/>
  <c r="AV317" i="1"/>
  <c r="BF317" i="1" s="1"/>
  <c r="AT239" i="1"/>
  <c r="BD239" i="1" s="1"/>
  <c r="AW239" i="1"/>
  <c r="AV200" i="1"/>
  <c r="BF200" i="1" s="1"/>
  <c r="AW110" i="1"/>
  <c r="BG110" i="1" s="1"/>
  <c r="AV45" i="1"/>
  <c r="BF45" i="1" s="1"/>
  <c r="AT58" i="1"/>
  <c r="BD58" i="1" s="1"/>
  <c r="AX317" i="1"/>
  <c r="AX226" i="1"/>
  <c r="AU110" i="1"/>
  <c r="BE110" i="1" s="1"/>
  <c r="AT149" i="1"/>
  <c r="BD149" i="1" s="1"/>
  <c r="AV84" i="1"/>
  <c r="BF84" i="1" s="1"/>
  <c r="AX71" i="1"/>
  <c r="BH71" i="1" s="1"/>
  <c r="AU32" i="1"/>
  <c r="BE32" i="1" s="1"/>
  <c r="AW291" i="1"/>
  <c r="AX213" i="1"/>
  <c r="AU304" i="1"/>
  <c r="BE304" i="1" s="1"/>
  <c r="AU174" i="1"/>
  <c r="BE174" i="1" s="1"/>
  <c r="AT278" i="1"/>
  <c r="BD278" i="1" s="1"/>
  <c r="AU84" i="1"/>
  <c r="BE84" i="1" s="1"/>
  <c r="AT45" i="1"/>
  <c r="BD45" i="1" s="1"/>
  <c r="AU265" i="1"/>
  <c r="BE265" i="1" s="1"/>
  <c r="AU226" i="1"/>
  <c r="BE226" i="1" s="1"/>
  <c r="AV149" i="1"/>
  <c r="BF149" i="1" s="1"/>
  <c r="AT174" i="1"/>
  <c r="BD174" i="1" s="1"/>
  <c r="AX97" i="1"/>
  <c r="BH97" i="1" s="1"/>
  <c r="AX84" i="1"/>
  <c r="BH84" i="1" s="1"/>
  <c r="AV32" i="1"/>
  <c r="BF32" i="1" s="1"/>
  <c r="AV265" i="1"/>
  <c r="BF265" i="1" s="1"/>
  <c r="AX265" i="1"/>
  <c r="AX291" i="1"/>
  <c r="AU136" i="1"/>
  <c r="BE136" i="1" s="1"/>
  <c r="AT200" i="1"/>
  <c r="BD200" i="1" s="1"/>
  <c r="AU58" i="1"/>
  <c r="BE58" i="1" s="1"/>
  <c r="AW19" i="1"/>
  <c r="BG19" i="1" s="1"/>
  <c r="AV239" i="1"/>
  <c r="BF239" i="1" s="1"/>
  <c r="AU291" i="1"/>
  <c r="BE291" i="1" s="1"/>
  <c r="AW213" i="1"/>
  <c r="AV187" i="1"/>
  <c r="BF187" i="1" s="1"/>
  <c r="AX278" i="1"/>
  <c r="AW97" i="1"/>
  <c r="BG97" i="1" s="1"/>
  <c r="AX45" i="1"/>
  <c r="BH45" i="1" s="1"/>
  <c r="AW304" i="1"/>
  <c r="AX252" i="1"/>
  <c r="AT304" i="1"/>
  <c r="BD304" i="1" s="1"/>
  <c r="AT110" i="1"/>
  <c r="BD110" i="1" s="1"/>
  <c r="AT187" i="1"/>
  <c r="BD187" i="1" s="1"/>
  <c r="AX32" i="1"/>
  <c r="BH32" i="1" s="1"/>
  <c r="AU97" i="1"/>
  <c r="BE97" i="1" s="1"/>
  <c r="AX239" i="1"/>
  <c r="AW317" i="1"/>
  <c r="AV278" i="1"/>
  <c r="BF278" i="1" s="1"/>
  <c r="AT136" i="1"/>
  <c r="BD136" i="1" s="1"/>
  <c r="AV58" i="1"/>
  <c r="BF58" i="1" s="1"/>
  <c r="AX58" i="1"/>
  <c r="BH58" i="1" s="1"/>
  <c r="AU306" i="1"/>
  <c r="BE306" i="1" s="1"/>
  <c r="AU215" i="1"/>
  <c r="BE215" i="1" s="1"/>
  <c r="AX176" i="1"/>
  <c r="AW176" i="1"/>
  <c r="AU112" i="1"/>
  <c r="BE112" i="1" s="1"/>
  <c r="AX86" i="1"/>
  <c r="BH86" i="1" s="1"/>
  <c r="AT99" i="1"/>
  <c r="BD99" i="1" s="1"/>
  <c r="AT21" i="1"/>
  <c r="BD21" i="1" s="1"/>
  <c r="AW319" i="1"/>
  <c r="AX306" i="1"/>
  <c r="AT176" i="1"/>
  <c r="BD176" i="1" s="1"/>
  <c r="AW166" i="1"/>
  <c r="BG166" i="1" s="1"/>
  <c r="AT228" i="1"/>
  <c r="BD228" i="1" s="1"/>
  <c r="AT86" i="1"/>
  <c r="BD86" i="1" s="1"/>
  <c r="AV86" i="1"/>
  <c r="BF86" i="1" s="1"/>
  <c r="AT293" i="1"/>
  <c r="BD293" i="1" s="1"/>
  <c r="AV293" i="1"/>
  <c r="BF293" i="1" s="1"/>
  <c r="AW162" i="1"/>
  <c r="BG162" i="1" s="1"/>
  <c r="AW151" i="1"/>
  <c r="BG151" i="1" s="1"/>
  <c r="AV189" i="1"/>
  <c r="BF189" i="1" s="1"/>
  <c r="AX60" i="1"/>
  <c r="BH60" i="1" s="1"/>
  <c r="AV47" i="1"/>
  <c r="BF47" i="1" s="1"/>
  <c r="AX319" i="1"/>
  <c r="AW215" i="1"/>
  <c r="AU254" i="1"/>
  <c r="BE254" i="1" s="1"/>
  <c r="AW158" i="1"/>
  <c r="BG158" i="1" s="1"/>
  <c r="AW138" i="1"/>
  <c r="BG138" i="1" s="1"/>
  <c r="AU176" i="1"/>
  <c r="BE176" i="1" s="1"/>
  <c r="AT60" i="1"/>
  <c r="BD60" i="1" s="1"/>
  <c r="AT241" i="1"/>
  <c r="BD241" i="1" s="1"/>
  <c r="AV319" i="1"/>
  <c r="BF319" i="1" s="1"/>
  <c r="AV280" i="1"/>
  <c r="BF280" i="1" s="1"/>
  <c r="AX138" i="1"/>
  <c r="BH138" i="1" s="1"/>
  <c r="AW202" i="1"/>
  <c r="AT162" i="1"/>
  <c r="BD162" i="1" s="1"/>
  <c r="AU99" i="1"/>
  <c r="BE99" i="1" s="1"/>
  <c r="AW99" i="1"/>
  <c r="BG99" i="1" s="1"/>
  <c r="AU293" i="1"/>
  <c r="BE293" i="1" s="1"/>
  <c r="AV241" i="1"/>
  <c r="BF241" i="1" s="1"/>
  <c r="AU267" i="1"/>
  <c r="BE267" i="1" s="1"/>
  <c r="AT138" i="1"/>
  <c r="BD138" i="1" s="1"/>
  <c r="AW189" i="1"/>
  <c r="AX158" i="1"/>
  <c r="BH158" i="1" s="1"/>
  <c r="AW86" i="1"/>
  <c r="BG86" i="1" s="1"/>
  <c r="AT319" i="1"/>
  <c r="BD319" i="1" s="1"/>
  <c r="AW267" i="1"/>
  <c r="AX267" i="1"/>
  <c r="AV267" i="1"/>
  <c r="BF267" i="1" s="1"/>
  <c r="AT306" i="1"/>
  <c r="BD306" i="1" s="1"/>
  <c r="AX202" i="1"/>
  <c r="AU162" i="1"/>
  <c r="BE162" i="1" s="1"/>
  <c r="AU138" i="1"/>
  <c r="BE138" i="1" s="1"/>
  <c r="AW47" i="1"/>
  <c r="BG47" i="1" s="1"/>
  <c r="AU47" i="1"/>
  <c r="BE47" i="1" s="1"/>
  <c r="AT267" i="1"/>
  <c r="BD267" i="1" s="1"/>
  <c r="AV254" i="1"/>
  <c r="BF254" i="1" s="1"/>
  <c r="AU280" i="1"/>
  <c r="BE280" i="1" s="1"/>
  <c r="AT202" i="1"/>
  <c r="BD202" i="1" s="1"/>
  <c r="AU158" i="1"/>
  <c r="BE158" i="1" s="1"/>
  <c r="AX112" i="1"/>
  <c r="BH112" i="1" s="1"/>
  <c r="AV34" i="1"/>
  <c r="BF34" i="1" s="1"/>
  <c r="AX215" i="1"/>
  <c r="AW293" i="1"/>
  <c r="AV306" i="1"/>
  <c r="BF306" i="1" s="1"/>
  <c r="AW112" i="1"/>
  <c r="BG112" i="1" s="1"/>
  <c r="AV176" i="1"/>
  <c r="BF176" i="1" s="1"/>
  <c r="AW228" i="1"/>
  <c r="AX151" i="1"/>
  <c r="BH151" i="1" s="1"/>
  <c r="AV151" i="1"/>
  <c r="BF151" i="1" s="1"/>
  <c r="AT112" i="1"/>
  <c r="BD112" i="1" s="1"/>
  <c r="AV21" i="1"/>
  <c r="BF21" i="1" s="1"/>
  <c r="AX293" i="1"/>
  <c r="AW280" i="1"/>
  <c r="AT166" i="1"/>
  <c r="BD166" i="1" s="1"/>
  <c r="AV158" i="1"/>
  <c r="BF158" i="1" s="1"/>
  <c r="AV202" i="1"/>
  <c r="BF202" i="1" s="1"/>
  <c r="AT73" i="1"/>
  <c r="BD73" i="1" s="1"/>
  <c r="AV60" i="1"/>
  <c r="BF60" i="1" s="1"/>
  <c r="AU34" i="1"/>
  <c r="BE34" i="1" s="1"/>
  <c r="AX254" i="1"/>
  <c r="AW306" i="1"/>
  <c r="AX189" i="1"/>
  <c r="AX280" i="1"/>
  <c r="AX73" i="1"/>
  <c r="BH73" i="1" s="1"/>
  <c r="AX241" i="1"/>
  <c r="AW254" i="1"/>
  <c r="AV228" i="1"/>
  <c r="BF228" i="1" s="1"/>
  <c r="AT151" i="1"/>
  <c r="BD151" i="1" s="1"/>
  <c r="AX228" i="1"/>
  <c r="AX162" i="1"/>
  <c r="BH162" i="1" s="1"/>
  <c r="AT47" i="1"/>
  <c r="BD47" i="1" s="1"/>
  <c r="AW21" i="1"/>
  <c r="BG21" i="1" s="1"/>
  <c r="AU86" i="1"/>
  <c r="BE86" i="1" s="1"/>
  <c r="AX34" i="1"/>
  <c r="BH34" i="1" s="1"/>
  <c r="AW241" i="1"/>
  <c r="AU202" i="1"/>
  <c r="BE202" i="1" s="1"/>
  <c r="AV162" i="1"/>
  <c r="BF162" i="1" s="1"/>
  <c r="AU166" i="1"/>
  <c r="BE166" i="1" s="1"/>
  <c r="AX47" i="1"/>
  <c r="BH47" i="1" s="1"/>
  <c r="AT215" i="1"/>
  <c r="BD215" i="1" s="1"/>
  <c r="AV215" i="1"/>
  <c r="BF215" i="1" s="1"/>
  <c r="AU228" i="1"/>
  <c r="BE228" i="1" s="1"/>
  <c r="AT280" i="1"/>
  <c r="BD280" i="1" s="1"/>
  <c r="AV166" i="1"/>
  <c r="BF166" i="1" s="1"/>
  <c r="AU151" i="1"/>
  <c r="BE151" i="1" s="1"/>
  <c r="AW60" i="1"/>
  <c r="BG60" i="1" s="1"/>
  <c r="AU60" i="1"/>
  <c r="BE60" i="1" s="1"/>
  <c r="AW34" i="1"/>
  <c r="BG34" i="1" s="1"/>
  <c r="AV73" i="1"/>
  <c r="BF73" i="1" s="1"/>
  <c r="AU319" i="1"/>
  <c r="BE319" i="1" s="1"/>
  <c r="AX166" i="1"/>
  <c r="BH166" i="1" s="1"/>
  <c r="AV112" i="1"/>
  <c r="BF112" i="1" s="1"/>
  <c r="AT158" i="1"/>
  <c r="BD158" i="1" s="1"/>
  <c r="AW73" i="1"/>
  <c r="BG73" i="1" s="1"/>
  <c r="AT254" i="1"/>
  <c r="BD254" i="1" s="1"/>
  <c r="AU241" i="1"/>
  <c r="BE241" i="1" s="1"/>
  <c r="AU189" i="1"/>
  <c r="BE189" i="1" s="1"/>
  <c r="AT189" i="1"/>
  <c r="BD189" i="1" s="1"/>
  <c r="AV138" i="1"/>
  <c r="BF138" i="1" s="1"/>
  <c r="AV99" i="1"/>
  <c r="BF99" i="1" s="1"/>
  <c r="AX99" i="1"/>
  <c r="BH99" i="1" s="1"/>
  <c r="AX21" i="1"/>
  <c r="BH21" i="1" s="1"/>
  <c r="AU73" i="1"/>
  <c r="BE73" i="1" s="1"/>
  <c r="AU21" i="1"/>
  <c r="BE21" i="1" s="1"/>
  <c r="AT34" i="1"/>
  <c r="BD34" i="1" s="1"/>
  <c r="AU298" i="1"/>
  <c r="BE298" i="1" s="1"/>
  <c r="AW220" i="1"/>
  <c r="AX143" i="1"/>
  <c r="BH143" i="1" s="1"/>
  <c r="AW194" i="1"/>
  <c r="AX65" i="1"/>
  <c r="BH65" i="1" s="1"/>
  <c r="AT91" i="1"/>
  <c r="BD91" i="1" s="1"/>
  <c r="AX13" i="1"/>
  <c r="BH13" i="1" s="1"/>
  <c r="AW311" i="1"/>
  <c r="AT298" i="1"/>
  <c r="BD298" i="1" s="1"/>
  <c r="AT143" i="1"/>
  <c r="BD143" i="1" s="1"/>
  <c r="AW181" i="1"/>
  <c r="AT285" i="1"/>
  <c r="BD285" i="1" s="1"/>
  <c r="AU233" i="1"/>
  <c r="BE233" i="1" s="1"/>
  <c r="AW298" i="1"/>
  <c r="AV130" i="1"/>
  <c r="BF130" i="1" s="1"/>
  <c r="AX39" i="1"/>
  <c r="BH39" i="1" s="1"/>
  <c r="AV39" i="1"/>
  <c r="BF39" i="1" s="1"/>
  <c r="AX311" i="1"/>
  <c r="AW207" i="1"/>
  <c r="AU207" i="1"/>
  <c r="BE207" i="1" s="1"/>
  <c r="AT220" i="1"/>
  <c r="BD220" i="1" s="1"/>
  <c r="AV272" i="1"/>
  <c r="BF272" i="1" s="1"/>
  <c r="AT39" i="1"/>
  <c r="BD39" i="1" s="1"/>
  <c r="AU26" i="1"/>
  <c r="BE26" i="1" s="1"/>
  <c r="AT233" i="1"/>
  <c r="BD233" i="1" s="1"/>
  <c r="AV311" i="1"/>
  <c r="BF311" i="1" s="1"/>
  <c r="AV285" i="1"/>
  <c r="BF285" i="1" s="1"/>
  <c r="AX194" i="1"/>
  <c r="AU168" i="1"/>
  <c r="BE168" i="1" s="1"/>
  <c r="AW78" i="1"/>
  <c r="BG78" i="1" s="1"/>
  <c r="AV104" i="1"/>
  <c r="BF104" i="1" s="1"/>
  <c r="AU285" i="1"/>
  <c r="BE285" i="1" s="1"/>
  <c r="AV233" i="1"/>
  <c r="BF233" i="1" s="1"/>
  <c r="AU246" i="1"/>
  <c r="BE246" i="1" s="1"/>
  <c r="AT194" i="1"/>
  <c r="BD194" i="1" s="1"/>
  <c r="AU143" i="1"/>
  <c r="BE143" i="1" s="1"/>
  <c r="AW65" i="1"/>
  <c r="BG65" i="1" s="1"/>
  <c r="AW91" i="1"/>
  <c r="BG91" i="1" s="1"/>
  <c r="AX259" i="1"/>
  <c r="AV259" i="1"/>
  <c r="BF259" i="1" s="1"/>
  <c r="AU194" i="1"/>
  <c r="BE194" i="1" s="1"/>
  <c r="AW168" i="1"/>
  <c r="AU104" i="1"/>
  <c r="BE104" i="1" s="1"/>
  <c r="AV26" i="1"/>
  <c r="BF26" i="1" s="1"/>
  <c r="AU52" i="1"/>
  <c r="BE52" i="1" s="1"/>
  <c r="AT259" i="1"/>
  <c r="BD259" i="1" s="1"/>
  <c r="AV246" i="1"/>
  <c r="BF246" i="1" s="1"/>
  <c r="AU181" i="1"/>
  <c r="BE181" i="1" s="1"/>
  <c r="AW143" i="1"/>
  <c r="BG143" i="1" s="1"/>
  <c r="AV91" i="1"/>
  <c r="BF91" i="1" s="1"/>
  <c r="AV13" i="1"/>
  <c r="BF13" i="1" s="1"/>
  <c r="AU39" i="1"/>
  <c r="BE39" i="1" s="1"/>
  <c r="AT311" i="1"/>
  <c r="BD311" i="1" s="1"/>
  <c r="AX246" i="1"/>
  <c r="AU259" i="1"/>
  <c r="BE259" i="1" s="1"/>
  <c r="AX168" i="1"/>
  <c r="AW130" i="1"/>
  <c r="BG130" i="1" s="1"/>
  <c r="AX78" i="1"/>
  <c r="BH78" i="1" s="1"/>
  <c r="AW104" i="1"/>
  <c r="BG104" i="1" s="1"/>
  <c r="AX26" i="1"/>
  <c r="BH26" i="1" s="1"/>
  <c r="AT207" i="1"/>
  <c r="BD207" i="1" s="1"/>
  <c r="AV207" i="1"/>
  <c r="BF207" i="1" s="1"/>
  <c r="AU272" i="1"/>
  <c r="BE272" i="1" s="1"/>
  <c r="AT181" i="1"/>
  <c r="BD181" i="1" s="1"/>
  <c r="AX104" i="1"/>
  <c r="BH104" i="1" s="1"/>
  <c r="AW39" i="1"/>
  <c r="BG39" i="1" s="1"/>
  <c r="AU65" i="1"/>
  <c r="BE65" i="1" s="1"/>
  <c r="AT65" i="1"/>
  <c r="BD65" i="1" s="1"/>
  <c r="AW233" i="1"/>
  <c r="AV220" i="1"/>
  <c r="BF220" i="1" s="1"/>
  <c r="AX130" i="1"/>
  <c r="BH130" i="1" s="1"/>
  <c r="AV168" i="1"/>
  <c r="BF168" i="1" s="1"/>
  <c r="AX52" i="1"/>
  <c r="BH52" i="1" s="1"/>
  <c r="AV65" i="1"/>
  <c r="BF65" i="1" s="1"/>
  <c r="AW26" i="1"/>
  <c r="BG26" i="1" s="1"/>
  <c r="AT246" i="1"/>
  <c r="BD246" i="1" s="1"/>
  <c r="AV298" i="1"/>
  <c r="BF298" i="1" s="1"/>
  <c r="AT168" i="1"/>
  <c r="BD168" i="1" s="1"/>
  <c r="AW272" i="1"/>
  <c r="AT78" i="1"/>
  <c r="BD78" i="1" s="1"/>
  <c r="AX91" i="1"/>
  <c r="BH91" i="1" s="1"/>
  <c r="AT26" i="1"/>
  <c r="BD26" i="1" s="1"/>
  <c r="AV78" i="1"/>
  <c r="BF78" i="1" s="1"/>
  <c r="AW259" i="1"/>
  <c r="AX298" i="1"/>
  <c r="AX272" i="1"/>
  <c r="AV194" i="1"/>
  <c r="BF194" i="1" s="1"/>
  <c r="AT104" i="1"/>
  <c r="BD104" i="1" s="1"/>
  <c r="AU13" i="1"/>
  <c r="BE13" i="1" s="1"/>
  <c r="AX285" i="1"/>
  <c r="AU311" i="1"/>
  <c r="BE311" i="1" s="1"/>
  <c r="AT130" i="1"/>
  <c r="BD130" i="1" s="1"/>
  <c r="AV143" i="1"/>
  <c r="BF143" i="1" s="1"/>
  <c r="AT52" i="1"/>
  <c r="BD52" i="1" s="1"/>
  <c r="AV52" i="1"/>
  <c r="BF52" i="1" s="1"/>
  <c r="AT13" i="1"/>
  <c r="BD13" i="1" s="1"/>
  <c r="AX207" i="1"/>
  <c r="AW285" i="1"/>
  <c r="AX220" i="1"/>
  <c r="AX181" i="1"/>
  <c r="AU130" i="1"/>
  <c r="BE130" i="1" s="1"/>
  <c r="AW52" i="1"/>
  <c r="BG52" i="1" s="1"/>
  <c r="AU78" i="1"/>
  <c r="BE78" i="1" s="1"/>
  <c r="AX233" i="1"/>
  <c r="AW246" i="1"/>
  <c r="AU220" i="1"/>
  <c r="BE220" i="1" s="1"/>
  <c r="AT272" i="1"/>
  <c r="BD272" i="1" s="1"/>
  <c r="AV181" i="1"/>
  <c r="BF181" i="1" s="1"/>
  <c r="AU91" i="1"/>
  <c r="BE91" i="1" s="1"/>
  <c r="AW13" i="1"/>
  <c r="BG13" i="1" s="1"/>
  <c r="AT266" i="1"/>
  <c r="BD266" i="1" s="1"/>
  <c r="AW305" i="1"/>
  <c r="AU150" i="1"/>
  <c r="BE150" i="1" s="1"/>
  <c r="AU214" i="1"/>
  <c r="BE214" i="1" s="1"/>
  <c r="AW240" i="1"/>
  <c r="AU305" i="1"/>
  <c r="BE305" i="1" s="1"/>
  <c r="AX318" i="1"/>
  <c r="AW266" i="1"/>
  <c r="AU227" i="1"/>
  <c r="BE227" i="1" s="1"/>
  <c r="AT318" i="1"/>
  <c r="BD318" i="1" s="1"/>
  <c r="AW253" i="1"/>
  <c r="AU292" i="1"/>
  <c r="BE292" i="1" s="1"/>
  <c r="AT227" i="1"/>
  <c r="BD227" i="1" s="1"/>
  <c r="AU175" i="1"/>
  <c r="BE175" i="1" s="1"/>
  <c r="AX214" i="1"/>
  <c r="AV318" i="1"/>
  <c r="BF318" i="1" s="1"/>
  <c r="AX292" i="1"/>
  <c r="AT214" i="1"/>
  <c r="BD214" i="1" s="1"/>
  <c r="AV240" i="1"/>
  <c r="BF240" i="1" s="1"/>
  <c r="AV163" i="1"/>
  <c r="BF163" i="1" s="1"/>
  <c r="AX137" i="1"/>
  <c r="BH137" i="1" s="1"/>
  <c r="AT240" i="1"/>
  <c r="BD240" i="1" s="1"/>
  <c r="AX227" i="1"/>
  <c r="AV188" i="1"/>
  <c r="BF188" i="1" s="1"/>
  <c r="AU159" i="1"/>
  <c r="BE159" i="1" s="1"/>
  <c r="AX159" i="1"/>
  <c r="BH159" i="1" s="1"/>
  <c r="AW98" i="1"/>
  <c r="BG98" i="1" s="1"/>
  <c r="AT279" i="1"/>
  <c r="BD279" i="1" s="1"/>
  <c r="AV150" i="1"/>
  <c r="BF150" i="1" s="1"/>
  <c r="AW20" i="1"/>
  <c r="BG20" i="1" s="1"/>
  <c r="AU20" i="1"/>
  <c r="BE20" i="1" s="1"/>
  <c r="AV279" i="1"/>
  <c r="BF279" i="1" s="1"/>
  <c r="AX163" i="1"/>
  <c r="BH163" i="1" s="1"/>
  <c r="AU59" i="1"/>
  <c r="BE59" i="1" s="1"/>
  <c r="AW59" i="1"/>
  <c r="BG59" i="1" s="1"/>
  <c r="AX188" i="1"/>
  <c r="AU318" i="1"/>
  <c r="BE318" i="1" s="1"/>
  <c r="AW227" i="1"/>
  <c r="AU240" i="1"/>
  <c r="BE240" i="1" s="1"/>
  <c r="AT253" i="1"/>
  <c r="BD253" i="1" s="1"/>
  <c r="AW292" i="1"/>
  <c r="AX111" i="1"/>
  <c r="BH111" i="1" s="1"/>
  <c r="AX266" i="1"/>
  <c r="AV214" i="1"/>
  <c r="BF214" i="1" s="1"/>
  <c r="AV159" i="1"/>
  <c r="BF159" i="1" s="1"/>
  <c r="AT137" i="1"/>
  <c r="BD137" i="1" s="1"/>
  <c r="AV111" i="1"/>
  <c r="BF111" i="1" s="1"/>
  <c r="AU46" i="1"/>
  <c r="BE46" i="1" s="1"/>
  <c r="AU167" i="1"/>
  <c r="BE167" i="1" s="1"/>
  <c r="AU72" i="1"/>
  <c r="BE72" i="1" s="1"/>
  <c r="AW72" i="1"/>
  <c r="BG72" i="1" s="1"/>
  <c r="AU201" i="1"/>
  <c r="BE201" i="1" s="1"/>
  <c r="AW137" i="1"/>
  <c r="BG137" i="1" s="1"/>
  <c r="AX72" i="1"/>
  <c r="BH72" i="1" s="1"/>
  <c r="AX98" i="1"/>
  <c r="BH98" i="1" s="1"/>
  <c r="AU266" i="1"/>
  <c r="BE266" i="1" s="1"/>
  <c r="AV227" i="1"/>
  <c r="BF227" i="1" s="1"/>
  <c r="AU253" i="1"/>
  <c r="BE253" i="1" s="1"/>
  <c r="AT292" i="1"/>
  <c r="BD292" i="1" s="1"/>
  <c r="AV266" i="1"/>
  <c r="BF266" i="1" s="1"/>
  <c r="AU188" i="1"/>
  <c r="BE188" i="1" s="1"/>
  <c r="AV292" i="1"/>
  <c r="BF292" i="1" s="1"/>
  <c r="AW318" i="1"/>
  <c r="AV253" i="1"/>
  <c r="BF253" i="1" s="1"/>
  <c r="AT111" i="1"/>
  <c r="BD111" i="1" s="1"/>
  <c r="AX201" i="1"/>
  <c r="AV175" i="1"/>
  <c r="BF175" i="1" s="1"/>
  <c r="AU279" i="1"/>
  <c r="BE279" i="1" s="1"/>
  <c r="AW150" i="1"/>
  <c r="BG150" i="1" s="1"/>
  <c r="AT85" i="1"/>
  <c r="BD85" i="1" s="1"/>
  <c r="AV20" i="1"/>
  <c r="BF20" i="1" s="1"/>
  <c r="AT150" i="1"/>
  <c r="BD150" i="1" s="1"/>
  <c r="AX167" i="1"/>
  <c r="BH167" i="1" s="1"/>
  <c r="AX46" i="1"/>
  <c r="BH46" i="1" s="1"/>
  <c r="AV59" i="1"/>
  <c r="BF59" i="1" s="1"/>
  <c r="AT175" i="1"/>
  <c r="BD175" i="1" s="1"/>
  <c r="AW279" i="1"/>
  <c r="AT72" i="1"/>
  <c r="BD72" i="1" s="1"/>
  <c r="AT98" i="1"/>
  <c r="BD98" i="1" s="1"/>
  <c r="AX253" i="1"/>
  <c r="AX240" i="1"/>
  <c r="AX305" i="1"/>
  <c r="AV201" i="1"/>
  <c r="BF201" i="1" s="1"/>
  <c r="AU163" i="1"/>
  <c r="BE163" i="1" s="1"/>
  <c r="AV305" i="1"/>
  <c r="BF305" i="1" s="1"/>
  <c r="AW214" i="1"/>
  <c r="AT305" i="1"/>
  <c r="BD305" i="1" s="1"/>
  <c r="AX175" i="1"/>
  <c r="AW175" i="1"/>
  <c r="AW159" i="1"/>
  <c r="BG159" i="1" s="1"/>
  <c r="AX150" i="1"/>
  <c r="BH150" i="1" s="1"/>
  <c r="AW188" i="1"/>
  <c r="AT59" i="1"/>
  <c r="BD59" i="1" s="1"/>
  <c r="AV72" i="1"/>
  <c r="BF72" i="1" s="1"/>
  <c r="AT201" i="1"/>
  <c r="BD201" i="1" s="1"/>
  <c r="AV137" i="1"/>
  <c r="BF137" i="1" s="1"/>
  <c r="AT20" i="1"/>
  <c r="BD20" i="1" s="1"/>
  <c r="AX33" i="1"/>
  <c r="BH33" i="1" s="1"/>
  <c r="AW111" i="1"/>
  <c r="BG111" i="1" s="1"/>
  <c r="AT167" i="1"/>
  <c r="BD167" i="1" s="1"/>
  <c r="AT46" i="1"/>
  <c r="BD46" i="1" s="1"/>
  <c r="AV46" i="1"/>
  <c r="BF46" i="1" s="1"/>
  <c r="AT163" i="1"/>
  <c r="BD163" i="1" s="1"/>
  <c r="AW46" i="1"/>
  <c r="BG46" i="1" s="1"/>
  <c r="AT188" i="1"/>
  <c r="BD188" i="1" s="1"/>
  <c r="AU85" i="1"/>
  <c r="BE85" i="1" s="1"/>
  <c r="AW85" i="1"/>
  <c r="BG85" i="1" s="1"/>
  <c r="AX20" i="1"/>
  <c r="BH20" i="1" s="1"/>
  <c r="AU111" i="1"/>
  <c r="BE111" i="1" s="1"/>
  <c r="AT33" i="1"/>
  <c r="BD33" i="1" s="1"/>
  <c r="AU137" i="1"/>
  <c r="BE137" i="1" s="1"/>
  <c r="AT159" i="1"/>
  <c r="BD159" i="1" s="1"/>
  <c r="AX85" i="1"/>
  <c r="BH85" i="1" s="1"/>
  <c r="AV33" i="1"/>
  <c r="BF33" i="1" s="1"/>
  <c r="AV98" i="1"/>
  <c r="BF98" i="1" s="1"/>
  <c r="AV167" i="1"/>
  <c r="BF167" i="1" s="1"/>
  <c r="AW201" i="1"/>
  <c r="AX59" i="1"/>
  <c r="BH59" i="1" s="1"/>
  <c r="AV85" i="1"/>
  <c r="BF85" i="1" s="1"/>
  <c r="AW167" i="1"/>
  <c r="BG167" i="1" s="1"/>
  <c r="AU98" i="1"/>
  <c r="BE98" i="1" s="1"/>
  <c r="AX279" i="1"/>
  <c r="AW163" i="1"/>
  <c r="BG163" i="1" s="1"/>
  <c r="AW33" i="1"/>
  <c r="BG33" i="1" s="1"/>
  <c r="AU33" i="1"/>
  <c r="BE33" i="1" s="1"/>
  <c r="AT218" i="1"/>
  <c r="AV244" i="1"/>
  <c r="BF244" i="1" s="1"/>
  <c r="AU179" i="1"/>
  <c r="BE179" i="1" s="1"/>
  <c r="AT205" i="1"/>
  <c r="AU76" i="1"/>
  <c r="BE76" i="1" s="1"/>
  <c r="AX24" i="1"/>
  <c r="BH24" i="1" s="1"/>
  <c r="AU24" i="1"/>
  <c r="BE24" i="1" s="1"/>
  <c r="AU244" i="1"/>
  <c r="BE244" i="1" s="1"/>
  <c r="AT257" i="1"/>
  <c r="AX283" i="1"/>
  <c r="AT115" i="1"/>
  <c r="AW154" i="1"/>
  <c r="BG154" i="1" s="1"/>
  <c r="AT37" i="1"/>
  <c r="AW63" i="1"/>
  <c r="BG63" i="1" s="1"/>
  <c r="AU257" i="1"/>
  <c r="BE257" i="1" s="1"/>
  <c r="AX296" i="1"/>
  <c r="AW231" i="1"/>
  <c r="AX179" i="1"/>
  <c r="AW205" i="1"/>
  <c r="AX76" i="1"/>
  <c r="BH76" i="1" s="1"/>
  <c r="AT24" i="1"/>
  <c r="AV309" i="1"/>
  <c r="BF309" i="1" s="1"/>
  <c r="AT296" i="1"/>
  <c r="AW283" i="1"/>
  <c r="AT179" i="1"/>
  <c r="AW192" i="1"/>
  <c r="AT76" i="1"/>
  <c r="AX102" i="1"/>
  <c r="BH102" i="1" s="1"/>
  <c r="AX244" i="1"/>
  <c r="AW257" i="1"/>
  <c r="AV231" i="1"/>
  <c r="BF231" i="1" s="1"/>
  <c r="AX141" i="1"/>
  <c r="BH141" i="1" s="1"/>
  <c r="AV141" i="1"/>
  <c r="BF141" i="1" s="1"/>
  <c r="AX50" i="1"/>
  <c r="BH50" i="1" s="1"/>
  <c r="AV76" i="1"/>
  <c r="BF76" i="1" s="1"/>
  <c r="AT244" i="1"/>
  <c r="AX309" i="1"/>
  <c r="AV283" i="1"/>
  <c r="BF283" i="1" s="1"/>
  <c r="AT141" i="1"/>
  <c r="AU115" i="1"/>
  <c r="BE115" i="1" s="1"/>
  <c r="AT50" i="1"/>
  <c r="AV63" i="1"/>
  <c r="BF63" i="1" s="1"/>
  <c r="AV296" i="1"/>
  <c r="BF296" i="1" s="1"/>
  <c r="AT283" i="1"/>
  <c r="AW141" i="1"/>
  <c r="BG141" i="1" s="1"/>
  <c r="AW50" i="1"/>
  <c r="BG50" i="1" s="1"/>
  <c r="AU296" i="1"/>
  <c r="BE296" i="1" s="1"/>
  <c r="AT309" i="1"/>
  <c r="AV205" i="1"/>
  <c r="BF205" i="1" s="1"/>
  <c r="AW115" i="1"/>
  <c r="BG115" i="1" s="1"/>
  <c r="AW102" i="1"/>
  <c r="BG102" i="1" s="1"/>
  <c r="AW37" i="1"/>
  <c r="BG37" i="1" s="1"/>
  <c r="AV50" i="1"/>
  <c r="BF50" i="1" s="1"/>
  <c r="AT322" i="1"/>
  <c r="AW270" i="1"/>
  <c r="AW309" i="1"/>
  <c r="AT154" i="1"/>
  <c r="AV154" i="1"/>
  <c r="BF154" i="1" s="1"/>
  <c r="AT63" i="1"/>
  <c r="AV89" i="1"/>
  <c r="BF89" i="1" s="1"/>
  <c r="AX270" i="1"/>
  <c r="AU154" i="1"/>
  <c r="BE154" i="1" s="1"/>
  <c r="AU63" i="1"/>
  <c r="BE63" i="1" s="1"/>
  <c r="AT270" i="1"/>
  <c r="AX231" i="1"/>
  <c r="AU141" i="1"/>
  <c r="BE141" i="1" s="1"/>
  <c r="AT192" i="1"/>
  <c r="AU50" i="1"/>
  <c r="BE50" i="1" s="1"/>
  <c r="AW89" i="1"/>
  <c r="BG89" i="1" s="1"/>
  <c r="AX218" i="1"/>
  <c r="AV322" i="1"/>
  <c r="BF322" i="1" s="1"/>
  <c r="AV192" i="1"/>
  <c r="BF192" i="1" s="1"/>
  <c r="AX205" i="1"/>
  <c r="AU89" i="1"/>
  <c r="BE89" i="1" s="1"/>
  <c r="AW24" i="1"/>
  <c r="BG24" i="1" s="1"/>
  <c r="AU37" i="1"/>
  <c r="BE37" i="1" s="1"/>
  <c r="AU309" i="1"/>
  <c r="BE309" i="1" s="1"/>
  <c r="AU283" i="1"/>
  <c r="BE283" i="1" s="1"/>
  <c r="AV102" i="1"/>
  <c r="BF102" i="1" s="1"/>
  <c r="AU218" i="1"/>
  <c r="BE218" i="1" s="1"/>
  <c r="AW322" i="1"/>
  <c r="AW296" i="1"/>
  <c r="AU205" i="1"/>
  <c r="BE205" i="1" s="1"/>
  <c r="AV115" i="1"/>
  <c r="BF115" i="1" s="1"/>
  <c r="AX89" i="1"/>
  <c r="BH89" i="1" s="1"/>
  <c r="AV37" i="1"/>
  <c r="BF37" i="1" s="1"/>
  <c r="AU322" i="1"/>
  <c r="BE322" i="1" s="1"/>
  <c r="AX257" i="1"/>
  <c r="AT231" i="1"/>
  <c r="AX115" i="1"/>
  <c r="BH115" i="1" s="1"/>
  <c r="AW179" i="1"/>
  <c r="AX37" i="1"/>
  <c r="BH37" i="1" s="1"/>
  <c r="AW76" i="1"/>
  <c r="BG76" i="1" s="1"/>
  <c r="AV218" i="1"/>
  <c r="BF218" i="1" s="1"/>
  <c r="AX192" i="1"/>
  <c r="AU102" i="1"/>
  <c r="BE102" i="1" s="1"/>
  <c r="AX322" i="1"/>
  <c r="AW218" i="1"/>
  <c r="AV270" i="1"/>
  <c r="BF270" i="1" s="1"/>
  <c r="AX154" i="1"/>
  <c r="BH154" i="1" s="1"/>
  <c r="AV179" i="1"/>
  <c r="BF179" i="1" s="1"/>
  <c r="AX63" i="1"/>
  <c r="BH63" i="1" s="1"/>
  <c r="AT102" i="1"/>
  <c r="AU270" i="1"/>
  <c r="BE270" i="1" s="1"/>
  <c r="AW244" i="1"/>
  <c r="AV257" i="1"/>
  <c r="BF257" i="1" s="1"/>
  <c r="AU192" i="1"/>
  <c r="BE192" i="1" s="1"/>
  <c r="AU231" i="1"/>
  <c r="BE231" i="1" s="1"/>
  <c r="AT89" i="1"/>
  <c r="AV24" i="1"/>
  <c r="BF24" i="1" s="1"/>
  <c r="AV208" i="1"/>
  <c r="BF208" i="1" s="1"/>
  <c r="AT208" i="1"/>
  <c r="BD208" i="1" s="1"/>
  <c r="AT182" i="1"/>
  <c r="BD182" i="1" s="1"/>
  <c r="AX105" i="1"/>
  <c r="BH105" i="1" s="1"/>
  <c r="AW53" i="1"/>
  <c r="BG53" i="1" s="1"/>
  <c r="AU40" i="1"/>
  <c r="BE40" i="1" s="1"/>
  <c r="AW14" i="1"/>
  <c r="BG14" i="1" s="1"/>
  <c r="AW312" i="1"/>
  <c r="AU234" i="1"/>
  <c r="BE234" i="1" s="1"/>
  <c r="AU286" i="1"/>
  <c r="BE286" i="1" s="1"/>
  <c r="AW273" i="1"/>
  <c r="AU182" i="1"/>
  <c r="BE182" i="1" s="1"/>
  <c r="AX92" i="1"/>
  <c r="BH92" i="1" s="1"/>
  <c r="AT14" i="1"/>
  <c r="BD14" i="1" s="1"/>
  <c r="AW208" i="1"/>
  <c r="AU247" i="1"/>
  <c r="BE247" i="1" s="1"/>
  <c r="AT221" i="1"/>
  <c r="BD221" i="1" s="1"/>
  <c r="AV144" i="1"/>
  <c r="BF144" i="1" s="1"/>
  <c r="AT144" i="1"/>
  <c r="BD144" i="1" s="1"/>
  <c r="AV53" i="1"/>
  <c r="BF53" i="1" s="1"/>
  <c r="AT79" i="1"/>
  <c r="BD79" i="1" s="1"/>
  <c r="AT299" i="1"/>
  <c r="BD299" i="1" s="1"/>
  <c r="AV299" i="1"/>
  <c r="BF299" i="1" s="1"/>
  <c r="AT273" i="1"/>
  <c r="BD273" i="1" s="1"/>
  <c r="AV182" i="1"/>
  <c r="BF182" i="1" s="1"/>
  <c r="AU105" i="1"/>
  <c r="BE105" i="1" s="1"/>
  <c r="AW92" i="1"/>
  <c r="BG92" i="1" s="1"/>
  <c r="AT53" i="1"/>
  <c r="BD53" i="1" s="1"/>
  <c r="AV260" i="1"/>
  <c r="BF260" i="1" s="1"/>
  <c r="AX247" i="1"/>
  <c r="AW169" i="1"/>
  <c r="AW221" i="1"/>
  <c r="AW40" i="1"/>
  <c r="BG40" i="1" s="1"/>
  <c r="AX27" i="1"/>
  <c r="BH27" i="1" s="1"/>
  <c r="AV27" i="1"/>
  <c r="BF27" i="1" s="1"/>
  <c r="AV312" i="1"/>
  <c r="BF312" i="1" s="1"/>
  <c r="AX260" i="1"/>
  <c r="AV131" i="1"/>
  <c r="BF131" i="1" s="1"/>
  <c r="AU92" i="1"/>
  <c r="BE92" i="1" s="1"/>
  <c r="AV105" i="1"/>
  <c r="BF105" i="1" s="1"/>
  <c r="AW247" i="1"/>
  <c r="AX234" i="1"/>
  <c r="AW299" i="1"/>
  <c r="AV273" i="1"/>
  <c r="BF273" i="1" s="1"/>
  <c r="AT131" i="1"/>
  <c r="BD131" i="1" s="1"/>
  <c r="AU27" i="1"/>
  <c r="BE27" i="1" s="1"/>
  <c r="AT66" i="1"/>
  <c r="BD66" i="1" s="1"/>
  <c r="AX299" i="1"/>
  <c r="AX208" i="1"/>
  <c r="AX273" i="1"/>
  <c r="AV195" i="1"/>
  <c r="BF195" i="1" s="1"/>
  <c r="AW105" i="1"/>
  <c r="BG105" i="1" s="1"/>
  <c r="AU14" i="1"/>
  <c r="BE14" i="1" s="1"/>
  <c r="AX53" i="1"/>
  <c r="BH53" i="1" s="1"/>
  <c r="AV286" i="1"/>
  <c r="BF286" i="1" s="1"/>
  <c r="AT260" i="1"/>
  <c r="BD260" i="1" s="1"/>
  <c r="AU169" i="1"/>
  <c r="BE169" i="1" s="1"/>
  <c r="AT92" i="1"/>
  <c r="BD92" i="1" s="1"/>
  <c r="AX66" i="1"/>
  <c r="BH66" i="1" s="1"/>
  <c r="AV234" i="1"/>
  <c r="BF234" i="1" s="1"/>
  <c r="AT312" i="1"/>
  <c r="BD312" i="1" s="1"/>
  <c r="AT195" i="1"/>
  <c r="BD195" i="1" s="1"/>
  <c r="AU144" i="1"/>
  <c r="BE144" i="1" s="1"/>
  <c r="AW79" i="1"/>
  <c r="BG79" i="1" s="1"/>
  <c r="AU66" i="1"/>
  <c r="BE66" i="1" s="1"/>
  <c r="AT40" i="1"/>
  <c r="BD40" i="1" s="1"/>
  <c r="AW286" i="1"/>
  <c r="AT234" i="1"/>
  <c r="BD234" i="1" s="1"/>
  <c r="AX182" i="1"/>
  <c r="AU131" i="1"/>
  <c r="BE131" i="1" s="1"/>
  <c r="AW66" i="1"/>
  <c r="BG66" i="1" s="1"/>
  <c r="AU53" i="1"/>
  <c r="BE53" i="1" s="1"/>
  <c r="AW27" i="1"/>
  <c r="BG27" i="1" s="1"/>
  <c r="AW234" i="1"/>
  <c r="AX312" i="1"/>
  <c r="AX195" i="1"/>
  <c r="AX169" i="1"/>
  <c r="AV40" i="1"/>
  <c r="BF40" i="1" s="1"/>
  <c r="AX40" i="1"/>
  <c r="BH40" i="1" s="1"/>
  <c r="AV247" i="1"/>
  <c r="BF247" i="1" s="1"/>
  <c r="AU299" i="1"/>
  <c r="BE299" i="1" s="1"/>
  <c r="AW144" i="1"/>
  <c r="BG144" i="1" s="1"/>
  <c r="AU273" i="1"/>
  <c r="BE273" i="1" s="1"/>
  <c r="AV14" i="1"/>
  <c r="BF14" i="1" s="1"/>
  <c r="AT27" i="1"/>
  <c r="BD27" i="1" s="1"/>
  <c r="AU312" i="1"/>
  <c r="BE312" i="1" s="1"/>
  <c r="AU221" i="1"/>
  <c r="BE221" i="1" s="1"/>
  <c r="AW131" i="1"/>
  <c r="BG131" i="1" s="1"/>
  <c r="AU195" i="1"/>
  <c r="BE195" i="1" s="1"/>
  <c r="AT105" i="1"/>
  <c r="BD105" i="1" s="1"/>
  <c r="AX14" i="1"/>
  <c r="BH14" i="1" s="1"/>
  <c r="AW260" i="1"/>
  <c r="AV221" i="1"/>
  <c r="BF221" i="1" s="1"/>
  <c r="AW195" i="1"/>
  <c r="AX131" i="1"/>
  <c r="BH131" i="1" s="1"/>
  <c r="AU79" i="1"/>
  <c r="BE79" i="1" s="1"/>
  <c r="AX286" i="1"/>
  <c r="AU208" i="1"/>
  <c r="BE208" i="1" s="1"/>
  <c r="AT247" i="1"/>
  <c r="BD247" i="1" s="1"/>
  <c r="AW182" i="1"/>
  <c r="AT169" i="1"/>
  <c r="BD169" i="1" s="1"/>
  <c r="AV79" i="1"/>
  <c r="BF79" i="1" s="1"/>
  <c r="AV92" i="1"/>
  <c r="BF92" i="1" s="1"/>
  <c r="AT286" i="1"/>
  <c r="BD286" i="1" s="1"/>
  <c r="AU260" i="1"/>
  <c r="BE260" i="1" s="1"/>
  <c r="AX221" i="1"/>
  <c r="AV169" i="1"/>
  <c r="BF169" i="1" s="1"/>
  <c r="AX144" i="1"/>
  <c r="BH144" i="1" s="1"/>
  <c r="AV66" i="1"/>
  <c r="BF66" i="1" s="1"/>
  <c r="AX79" i="1"/>
  <c r="BH79" i="1" s="1"/>
  <c r="AX314" i="1"/>
  <c r="AW262" i="1"/>
  <c r="AV275" i="1"/>
  <c r="BF275" i="1" s="1"/>
  <c r="AW107" i="1"/>
  <c r="BG107" i="1" s="1"/>
  <c r="AV133" i="1"/>
  <c r="BF133" i="1" s="1"/>
  <c r="AX42" i="1"/>
  <c r="BH42" i="1" s="1"/>
  <c r="AV68" i="1"/>
  <c r="BF68" i="1" s="1"/>
  <c r="AX210" i="1"/>
  <c r="AT223" i="1"/>
  <c r="AU133" i="1"/>
  <c r="BE133" i="1" s="1"/>
  <c r="AX184" i="1"/>
  <c r="AU68" i="1"/>
  <c r="BE68" i="1" s="1"/>
  <c r="AU94" i="1"/>
  <c r="BE94" i="1" s="1"/>
  <c r="AX29" i="1"/>
  <c r="BH29" i="1" s="1"/>
  <c r="AU288" i="1"/>
  <c r="BE288" i="1" s="1"/>
  <c r="AX223" i="1"/>
  <c r="AU146" i="1"/>
  <c r="BE146" i="1" s="1"/>
  <c r="AT197" i="1"/>
  <c r="AU81" i="1"/>
  <c r="BE81" i="1" s="1"/>
  <c r="AT16" i="1"/>
  <c r="AU16" i="1"/>
  <c r="BE16" i="1" s="1"/>
  <c r="AU314" i="1"/>
  <c r="BE314" i="1" s="1"/>
  <c r="AX249" i="1"/>
  <c r="AV236" i="1"/>
  <c r="BF236" i="1" s="1"/>
  <c r="AU184" i="1"/>
  <c r="BE184" i="1" s="1"/>
  <c r="AW133" i="1"/>
  <c r="BG133" i="1" s="1"/>
  <c r="AV94" i="1"/>
  <c r="BF94" i="1" s="1"/>
  <c r="AW42" i="1"/>
  <c r="BG42" i="1" s="1"/>
  <c r="AT262" i="1"/>
  <c r="AV314" i="1"/>
  <c r="BF314" i="1" s="1"/>
  <c r="AU197" i="1"/>
  <c r="BE197" i="1" s="1"/>
  <c r="AW146" i="1"/>
  <c r="BG146" i="1" s="1"/>
  <c r="AT107" i="1"/>
  <c r="AW55" i="1"/>
  <c r="BG55" i="1" s="1"/>
  <c r="AU262" i="1"/>
  <c r="BE262" i="1" s="1"/>
  <c r="AX288" i="1"/>
  <c r="AW288" i="1"/>
  <c r="AT146" i="1"/>
  <c r="AW184" i="1"/>
  <c r="AT68" i="1"/>
  <c r="AX94" i="1"/>
  <c r="BH94" i="1" s="1"/>
  <c r="AU236" i="1"/>
  <c r="BE236" i="1" s="1"/>
  <c r="AT249" i="1"/>
  <c r="AV210" i="1"/>
  <c r="BF210" i="1" s="1"/>
  <c r="AX171" i="1"/>
  <c r="AV107" i="1"/>
  <c r="BF107" i="1" s="1"/>
  <c r="AX81" i="1"/>
  <c r="BH81" i="1" s="1"/>
  <c r="AV29" i="1"/>
  <c r="BF29" i="1" s="1"/>
  <c r="AU210" i="1"/>
  <c r="BE210" i="1" s="1"/>
  <c r="AW236" i="1"/>
  <c r="AV223" i="1"/>
  <c r="BF223" i="1" s="1"/>
  <c r="AX146" i="1"/>
  <c r="BH146" i="1" s="1"/>
  <c r="AW197" i="1"/>
  <c r="AX68" i="1"/>
  <c r="BH68" i="1" s="1"/>
  <c r="AX16" i="1"/>
  <c r="BH16" i="1" s="1"/>
  <c r="AT314" i="1"/>
  <c r="AW249" i="1"/>
  <c r="AV197" i="1"/>
  <c r="BF197" i="1" s="1"/>
  <c r="AX275" i="1"/>
  <c r="AU107" i="1"/>
  <c r="BE107" i="1" s="1"/>
  <c r="AT42" i="1"/>
  <c r="AV55" i="1"/>
  <c r="BF55" i="1" s="1"/>
  <c r="AU249" i="1"/>
  <c r="BE249" i="1" s="1"/>
  <c r="AT288" i="1"/>
  <c r="AV249" i="1"/>
  <c r="BF249" i="1" s="1"/>
  <c r="AX133" i="1"/>
  <c r="BH133" i="1" s="1"/>
  <c r="AV171" i="1"/>
  <c r="BF171" i="1" s="1"/>
  <c r="AX55" i="1"/>
  <c r="BH55" i="1" s="1"/>
  <c r="AT94" i="1"/>
  <c r="AT210" i="1"/>
  <c r="AU223" i="1"/>
  <c r="BE223" i="1" s="1"/>
  <c r="AU55" i="1"/>
  <c r="BE55" i="1" s="1"/>
  <c r="AT29" i="1"/>
  <c r="AT236" i="1"/>
  <c r="AW301" i="1"/>
  <c r="AU171" i="1"/>
  <c r="BE171" i="1" s="1"/>
  <c r="AX197" i="1"/>
  <c r="AW94" i="1"/>
  <c r="BG94" i="1" s="1"/>
  <c r="AW16" i="1"/>
  <c r="BG16" i="1" s="1"/>
  <c r="AU29" i="1"/>
  <c r="BE29" i="1" s="1"/>
  <c r="AV262" i="1"/>
  <c r="BF262" i="1" s="1"/>
  <c r="AT275" i="1"/>
  <c r="AW29" i="1"/>
  <c r="BG29" i="1" s="1"/>
  <c r="AX262" i="1"/>
  <c r="AW223" i="1"/>
  <c r="AU275" i="1"/>
  <c r="BE275" i="1" s="1"/>
  <c r="AW171" i="1"/>
  <c r="AU42" i="1"/>
  <c r="BE42" i="1" s="1"/>
  <c r="AW68" i="1"/>
  <c r="BG68" i="1" s="1"/>
  <c r="AU301" i="1"/>
  <c r="BE301" i="1" s="1"/>
  <c r="AT184" i="1"/>
  <c r="AW81" i="1"/>
  <c r="BG81" i="1" s="1"/>
  <c r="AV288" i="1"/>
  <c r="BF288" i="1" s="1"/>
  <c r="AW314" i="1"/>
  <c r="AT301" i="1"/>
  <c r="AT171" i="1"/>
  <c r="AW275" i="1"/>
  <c r="AT81" i="1"/>
  <c r="AV16" i="1"/>
  <c r="BF16" i="1" s="1"/>
  <c r="AX236" i="1"/>
  <c r="AV184" i="1"/>
  <c r="BF184" i="1" s="1"/>
  <c r="AX107" i="1"/>
  <c r="BH107" i="1" s="1"/>
  <c r="AV42" i="1"/>
  <c r="BF42" i="1" s="1"/>
  <c r="AV301" i="1"/>
  <c r="BF301" i="1" s="1"/>
  <c r="AW210" i="1"/>
  <c r="AX301" i="1"/>
  <c r="AT133" i="1"/>
  <c r="AV146" i="1"/>
  <c r="BF146" i="1" s="1"/>
  <c r="AT55" i="1"/>
  <c r="AV81" i="1"/>
  <c r="BF81" i="1" s="1"/>
  <c r="AX289" i="1"/>
  <c r="AX237" i="1"/>
  <c r="AW250" i="1"/>
  <c r="AT211" i="1"/>
  <c r="BD211" i="1" s="1"/>
  <c r="AV211" i="1"/>
  <c r="BF211" i="1" s="1"/>
  <c r="AT250" i="1"/>
  <c r="BD250" i="1" s="1"/>
  <c r="AW224" i="1"/>
  <c r="AT315" i="1"/>
  <c r="BD315" i="1" s="1"/>
  <c r="AW263" i="1"/>
  <c r="AU250" i="1"/>
  <c r="BE250" i="1" s="1"/>
  <c r="AX276" i="1"/>
  <c r="AT289" i="1"/>
  <c r="BD289" i="1" s="1"/>
  <c r="AU198" i="1"/>
  <c r="BE198" i="1" s="1"/>
  <c r="AW276" i="1"/>
  <c r="AV95" i="1"/>
  <c r="BF95" i="1" s="1"/>
  <c r="AV17" i="1"/>
  <c r="BF17" i="1" s="1"/>
  <c r="AX17" i="1"/>
  <c r="BH17" i="1" s="1"/>
  <c r="AX315" i="1"/>
  <c r="AV224" i="1"/>
  <c r="BF224" i="1" s="1"/>
  <c r="AT198" i="1"/>
  <c r="BD198" i="1" s="1"/>
  <c r="AV198" i="1"/>
  <c r="BF198" i="1" s="1"/>
  <c r="AW17" i="1"/>
  <c r="BG17" i="1" s="1"/>
  <c r="AW95" i="1"/>
  <c r="BG95" i="1" s="1"/>
  <c r="AV315" i="1"/>
  <c r="BF315" i="1" s="1"/>
  <c r="AT172" i="1"/>
  <c r="BD172" i="1" s="1"/>
  <c r="AW185" i="1"/>
  <c r="AT82" i="1"/>
  <c r="BD82" i="1" s="1"/>
  <c r="AT95" i="1"/>
  <c r="BD95" i="1" s="1"/>
  <c r="AW30" i="1"/>
  <c r="BG30" i="1" s="1"/>
  <c r="AX211" i="1"/>
  <c r="AW289" i="1"/>
  <c r="AX302" i="1"/>
  <c r="AV263" i="1"/>
  <c r="BF263" i="1" s="1"/>
  <c r="AX134" i="1"/>
  <c r="BH134" i="1" s="1"/>
  <c r="AV147" i="1"/>
  <c r="BF147" i="1" s="1"/>
  <c r="AT69" i="1"/>
  <c r="BD69" i="1" s="1"/>
  <c r="AV69" i="1"/>
  <c r="BF69" i="1" s="1"/>
  <c r="AT263" i="1"/>
  <c r="BD263" i="1" s="1"/>
  <c r="AU263" i="1"/>
  <c r="BE263" i="1" s="1"/>
  <c r="AW147" i="1"/>
  <c r="BG147" i="1" s="1"/>
  <c r="AU134" i="1"/>
  <c r="BE134" i="1" s="1"/>
  <c r="AW56" i="1"/>
  <c r="BG56" i="1" s="1"/>
  <c r="AU43" i="1"/>
  <c r="BE43" i="1" s="1"/>
  <c r="AU315" i="1"/>
  <c r="BE315" i="1" s="1"/>
  <c r="AW108" i="1"/>
  <c r="BG108" i="1" s="1"/>
  <c r="AU108" i="1"/>
  <c r="BE108" i="1" s="1"/>
  <c r="AT56" i="1"/>
  <c r="BD56" i="1" s="1"/>
  <c r="AV43" i="1"/>
  <c r="BF43" i="1" s="1"/>
  <c r="AX250" i="1"/>
  <c r="AW302" i="1"/>
  <c r="AU185" i="1"/>
  <c r="BE185" i="1" s="1"/>
  <c r="AV302" i="1"/>
  <c r="BF302" i="1" s="1"/>
  <c r="AX198" i="1"/>
  <c r="AV276" i="1"/>
  <c r="BF276" i="1" s="1"/>
  <c r="AT43" i="1"/>
  <c r="BD43" i="1" s="1"/>
  <c r="AU17" i="1"/>
  <c r="BE17" i="1" s="1"/>
  <c r="AW211" i="1"/>
  <c r="AX172" i="1"/>
  <c r="AW198" i="1"/>
  <c r="AX82" i="1"/>
  <c r="BH82" i="1" s="1"/>
  <c r="AX95" i="1"/>
  <c r="BH95" i="1" s="1"/>
  <c r="AT17" i="1"/>
  <c r="BD17" i="1" s="1"/>
  <c r="AT237" i="1"/>
  <c r="BD237" i="1" s="1"/>
  <c r="AV289" i="1"/>
  <c r="BF289" i="1" s="1"/>
  <c r="AX185" i="1"/>
  <c r="AV185" i="1"/>
  <c r="BF185" i="1" s="1"/>
  <c r="AU95" i="1"/>
  <c r="BE95" i="1" s="1"/>
  <c r="AU82" i="1"/>
  <c r="BE82" i="1" s="1"/>
  <c r="AU289" i="1"/>
  <c r="BE289" i="1" s="1"/>
  <c r="AW237" i="1"/>
  <c r="AU211" i="1"/>
  <c r="BE211" i="1" s="1"/>
  <c r="AT147" i="1"/>
  <c r="BD147" i="1" s="1"/>
  <c r="AX263" i="1"/>
  <c r="AU224" i="1"/>
  <c r="BE224" i="1" s="1"/>
  <c r="AW172" i="1"/>
  <c r="AU147" i="1"/>
  <c r="BE147" i="1" s="1"/>
  <c r="AW69" i="1"/>
  <c r="BG69" i="1" s="1"/>
  <c r="AU56" i="1"/>
  <c r="BE56" i="1" s="1"/>
  <c r="AV250" i="1"/>
  <c r="BF250" i="1" s="1"/>
  <c r="AT134" i="1"/>
  <c r="BD134" i="1" s="1"/>
  <c r="AV134" i="1"/>
  <c r="BF134" i="1" s="1"/>
  <c r="AX56" i="1"/>
  <c r="BH56" i="1" s="1"/>
  <c r="AV56" i="1"/>
  <c r="BF56" i="1" s="1"/>
  <c r="AU302" i="1"/>
  <c r="BE302" i="1" s="1"/>
  <c r="AT224" i="1"/>
  <c r="BD224" i="1" s="1"/>
  <c r="AW134" i="1"/>
  <c r="BG134" i="1" s="1"/>
  <c r="AX108" i="1"/>
  <c r="BH108" i="1" s="1"/>
  <c r="AW43" i="1"/>
  <c r="BG43" i="1" s="1"/>
  <c r="AX30" i="1"/>
  <c r="BH30" i="1" s="1"/>
  <c r="AW315" i="1"/>
  <c r="AU276" i="1"/>
  <c r="BE276" i="1" s="1"/>
  <c r="AV108" i="1"/>
  <c r="BF108" i="1" s="1"/>
  <c r="AT108" i="1"/>
  <c r="BD108" i="1" s="1"/>
  <c r="AV30" i="1"/>
  <c r="BF30" i="1" s="1"/>
  <c r="AT30" i="1"/>
  <c r="BD30" i="1" s="1"/>
  <c r="AV237" i="1"/>
  <c r="BF237" i="1" s="1"/>
  <c r="AX147" i="1"/>
  <c r="BH147" i="1" s="1"/>
  <c r="AV172" i="1"/>
  <c r="BF172" i="1" s="1"/>
  <c r="AX69" i="1"/>
  <c r="BH69" i="1" s="1"/>
  <c r="AV82" i="1"/>
  <c r="BF82" i="1" s="1"/>
  <c r="AU237" i="1"/>
  <c r="BE237" i="1" s="1"/>
  <c r="AT276" i="1"/>
  <c r="BD276" i="1" s="1"/>
  <c r="AX224" i="1"/>
  <c r="AX43" i="1"/>
  <c r="BH43" i="1" s="1"/>
  <c r="AU30" i="1"/>
  <c r="BE30" i="1" s="1"/>
  <c r="AT302" i="1"/>
  <c r="BD302" i="1" s="1"/>
  <c r="AT185" i="1"/>
  <c r="BD185" i="1" s="1"/>
  <c r="AU172" i="1"/>
  <c r="BE172" i="1" s="1"/>
  <c r="AW82" i="1"/>
  <c r="BG82" i="1" s="1"/>
  <c r="AU69" i="1"/>
  <c r="BE69" i="1" s="1"/>
  <c r="AU321" i="1"/>
  <c r="BE321" i="1" s="1"/>
  <c r="AT256" i="1"/>
  <c r="BD256" i="1" s="1"/>
  <c r="AT295" i="1"/>
  <c r="BD295" i="1" s="1"/>
  <c r="AV191" i="1"/>
  <c r="BF191" i="1" s="1"/>
  <c r="AV160" i="1"/>
  <c r="BF160" i="1" s="1"/>
  <c r="AW153" i="1"/>
  <c r="BG153" i="1" s="1"/>
  <c r="AX23" i="1"/>
  <c r="BH23" i="1" s="1"/>
  <c r="AW62" i="1"/>
  <c r="BG62" i="1" s="1"/>
  <c r="AV269" i="1"/>
  <c r="BF269" i="1" s="1"/>
  <c r="AX269" i="1"/>
  <c r="AX295" i="1"/>
  <c r="AV140" i="1"/>
  <c r="BF140" i="1" s="1"/>
  <c r="AX178" i="1"/>
  <c r="AV164" i="1"/>
  <c r="BF164" i="1" s="1"/>
  <c r="AU49" i="1"/>
  <c r="BE49" i="1" s="1"/>
  <c r="AU101" i="1"/>
  <c r="BE101" i="1" s="1"/>
  <c r="AV256" i="1"/>
  <c r="BF256" i="1" s="1"/>
  <c r="AT269" i="1"/>
  <c r="BD269" i="1" s="1"/>
  <c r="AW256" i="1"/>
  <c r="AU114" i="1"/>
  <c r="BE114" i="1" s="1"/>
  <c r="AT178" i="1"/>
  <c r="BD178" i="1" s="1"/>
  <c r="AU160" i="1"/>
  <c r="BE160" i="1" s="1"/>
  <c r="AX36" i="1"/>
  <c r="BH36" i="1" s="1"/>
  <c r="AW88" i="1"/>
  <c r="BG88" i="1" s="1"/>
  <c r="AT321" i="1"/>
  <c r="BD321" i="1" s="1"/>
  <c r="AW217" i="1"/>
  <c r="AU164" i="1"/>
  <c r="BE164" i="1" s="1"/>
  <c r="AU140" i="1"/>
  <c r="BE140" i="1" s="1"/>
  <c r="AV282" i="1"/>
  <c r="BF282" i="1" s="1"/>
  <c r="AV62" i="1"/>
  <c r="BF62" i="1" s="1"/>
  <c r="AX62" i="1"/>
  <c r="BH62" i="1" s="1"/>
  <c r="AU269" i="1"/>
  <c r="BE269" i="1" s="1"/>
  <c r="AU282" i="1"/>
  <c r="BE282" i="1" s="1"/>
  <c r="AW204" i="1"/>
  <c r="AW160" i="1"/>
  <c r="BG160" i="1" s="1"/>
  <c r="AX140" i="1"/>
  <c r="BH140" i="1" s="1"/>
  <c r="AT101" i="1"/>
  <c r="BD101" i="1" s="1"/>
  <c r="AT88" i="1"/>
  <c r="BD88" i="1" s="1"/>
  <c r="AU36" i="1"/>
  <c r="BE36" i="1" s="1"/>
  <c r="AU243" i="1"/>
  <c r="BE243" i="1" s="1"/>
  <c r="AU308" i="1"/>
  <c r="BE308" i="1" s="1"/>
  <c r="AW269" i="1"/>
  <c r="AU178" i="1"/>
  <c r="BE178" i="1" s="1"/>
  <c r="AV156" i="1"/>
  <c r="BF156" i="1" s="1"/>
  <c r="AW140" i="1"/>
  <c r="BG140" i="1" s="1"/>
  <c r="AT23" i="1"/>
  <c r="BD23" i="1" s="1"/>
  <c r="AW49" i="1"/>
  <c r="BG49" i="1" s="1"/>
  <c r="AV295" i="1"/>
  <c r="BF295" i="1" s="1"/>
  <c r="AV308" i="1"/>
  <c r="BF308" i="1" s="1"/>
  <c r="AX308" i="1"/>
  <c r="AX164" i="1"/>
  <c r="BH164" i="1" s="1"/>
  <c r="AX153" i="1"/>
  <c r="BH153" i="1" s="1"/>
  <c r="AV114" i="1"/>
  <c r="BF114" i="1" s="1"/>
  <c r="AV101" i="1"/>
  <c r="BF101" i="1" s="1"/>
  <c r="AV36" i="1"/>
  <c r="BF36" i="1" s="1"/>
  <c r="AW295" i="1"/>
  <c r="AX217" i="1"/>
  <c r="AX282" i="1"/>
  <c r="AT156" i="1"/>
  <c r="BD156" i="1" s="1"/>
  <c r="AU204" i="1"/>
  <c r="BE204" i="1" s="1"/>
  <c r="AT191" i="1"/>
  <c r="BD191" i="1" s="1"/>
  <c r="AU75" i="1"/>
  <c r="BE75" i="1" s="1"/>
  <c r="AW36" i="1"/>
  <c r="BG36" i="1" s="1"/>
  <c r="AX243" i="1"/>
  <c r="AT308" i="1"/>
  <c r="BD308" i="1" s="1"/>
  <c r="AX160" i="1"/>
  <c r="BH160" i="1" s="1"/>
  <c r="AX114" i="1"/>
  <c r="BH114" i="1" s="1"/>
  <c r="AX204" i="1"/>
  <c r="AV49" i="1"/>
  <c r="BF49" i="1" s="1"/>
  <c r="AT62" i="1"/>
  <c r="BD62" i="1" s="1"/>
  <c r="AU256" i="1"/>
  <c r="BE256" i="1" s="1"/>
  <c r="AW321" i="1"/>
  <c r="AW191" i="1"/>
  <c r="AW156" i="1"/>
  <c r="BG156" i="1" s="1"/>
  <c r="AT140" i="1"/>
  <c r="BD140" i="1" s="1"/>
  <c r="AV88" i="1"/>
  <c r="BF88" i="1" s="1"/>
  <c r="AX75" i="1"/>
  <c r="BH75" i="1" s="1"/>
  <c r="AU23" i="1"/>
  <c r="BE23" i="1" s="1"/>
  <c r="AX321" i="1"/>
  <c r="AW243" i="1"/>
  <c r="AV178" i="1"/>
  <c r="BF178" i="1" s="1"/>
  <c r="AU153" i="1"/>
  <c r="BE153" i="1" s="1"/>
  <c r="AW114" i="1"/>
  <c r="BG114" i="1" s="1"/>
  <c r="AV75" i="1"/>
  <c r="BF75" i="1" s="1"/>
  <c r="AT75" i="1"/>
  <c r="BD75" i="1" s="1"/>
  <c r="AW308" i="1"/>
  <c r="AX256" i="1"/>
  <c r="AW230" i="1"/>
  <c r="AV204" i="1"/>
  <c r="BF204" i="1" s="1"/>
  <c r="AW164" i="1"/>
  <c r="BG164" i="1" s="1"/>
  <c r="AU156" i="1"/>
  <c r="BE156" i="1" s="1"/>
  <c r="AT36" i="1"/>
  <c r="BD36" i="1" s="1"/>
  <c r="AW75" i="1"/>
  <c r="BG75" i="1" s="1"/>
  <c r="AV217" i="1"/>
  <c r="BF217" i="1" s="1"/>
  <c r="AT217" i="1"/>
  <c r="BD217" i="1" s="1"/>
  <c r="AT282" i="1"/>
  <c r="BD282" i="1" s="1"/>
  <c r="AV153" i="1"/>
  <c r="BF153" i="1" s="1"/>
  <c r="AU191" i="1"/>
  <c r="BE191" i="1" s="1"/>
  <c r="AW178" i="1"/>
  <c r="AU62" i="1"/>
  <c r="BE62" i="1" s="1"/>
  <c r="AW23" i="1"/>
  <c r="BG23" i="1" s="1"/>
  <c r="AV321" i="1"/>
  <c r="BF321" i="1" s="1"/>
  <c r="AT243" i="1"/>
  <c r="BD243" i="1" s="1"/>
  <c r="AX230" i="1"/>
  <c r="AT160" i="1"/>
  <c r="BD160" i="1" s="1"/>
  <c r="AT114" i="1"/>
  <c r="BD114" i="1" s="1"/>
  <c r="AT204" i="1"/>
  <c r="BD204" i="1" s="1"/>
  <c r="AW101" i="1"/>
  <c r="BG101" i="1" s="1"/>
  <c r="AX49" i="1"/>
  <c r="BH49" i="1" s="1"/>
  <c r="AV243" i="1"/>
  <c r="BF243" i="1" s="1"/>
  <c r="AU295" i="1"/>
  <c r="BE295" i="1" s="1"/>
  <c r="AT230" i="1"/>
  <c r="BD230" i="1" s="1"/>
  <c r="AX156" i="1"/>
  <c r="BH156" i="1" s="1"/>
  <c r="AW282" i="1"/>
  <c r="AX191" i="1"/>
  <c r="AU88" i="1"/>
  <c r="BE88" i="1" s="1"/>
  <c r="AT49" i="1"/>
  <c r="BD49" i="1" s="1"/>
  <c r="AU217" i="1"/>
  <c r="BE217" i="1" s="1"/>
  <c r="AU230" i="1"/>
  <c r="BE230" i="1" s="1"/>
  <c r="AV230" i="1"/>
  <c r="BF230" i="1" s="1"/>
  <c r="AT164" i="1"/>
  <c r="BD164" i="1" s="1"/>
  <c r="AT153" i="1"/>
  <c r="BD153" i="1" s="1"/>
  <c r="AX101" i="1"/>
  <c r="BH101" i="1" s="1"/>
  <c r="AX88" i="1"/>
  <c r="BH88" i="1" s="1"/>
  <c r="AV23" i="1"/>
  <c r="BF23" i="1" s="1"/>
  <c r="AX323" i="1"/>
  <c r="AW219" i="1"/>
  <c r="AT258" i="1"/>
  <c r="BD258" i="1" s="1"/>
  <c r="AU297" i="1"/>
  <c r="BE297" i="1" s="1"/>
  <c r="AT310" i="1"/>
  <c r="BD310" i="1" s="1"/>
  <c r="AX297" i="1"/>
  <c r="AT271" i="1"/>
  <c r="BD271" i="1" s="1"/>
  <c r="AX245" i="1"/>
  <c r="AW258" i="1"/>
  <c r="AW323" i="1"/>
  <c r="AT219" i="1"/>
  <c r="BD219" i="1" s="1"/>
  <c r="AX271" i="1"/>
  <c r="AW297" i="1"/>
  <c r="AU219" i="1"/>
  <c r="BE219" i="1" s="1"/>
  <c r="AW180" i="1"/>
  <c r="AU155" i="1"/>
  <c r="BE155" i="1" s="1"/>
  <c r="AW232" i="1"/>
  <c r="AT206" i="1"/>
  <c r="BD206" i="1" s="1"/>
  <c r="AX116" i="1"/>
  <c r="BH116" i="1" s="1"/>
  <c r="AV38" i="1"/>
  <c r="BF38" i="1" s="1"/>
  <c r="AT38" i="1"/>
  <c r="BD38" i="1" s="1"/>
  <c r="AV258" i="1"/>
  <c r="BF258" i="1" s="1"/>
  <c r="AW116" i="1"/>
  <c r="BG116" i="1" s="1"/>
  <c r="AV193" i="1"/>
  <c r="BF193" i="1" s="1"/>
  <c r="AW77" i="1"/>
  <c r="BG77" i="1" s="1"/>
  <c r="AU64" i="1"/>
  <c r="BE64" i="1" s="1"/>
  <c r="AV323" i="1"/>
  <c r="BF323" i="1" s="1"/>
  <c r="AX155" i="1"/>
  <c r="BH155" i="1" s="1"/>
  <c r="AV142" i="1"/>
  <c r="BF142" i="1" s="1"/>
  <c r="AW38" i="1"/>
  <c r="BG38" i="1" s="1"/>
  <c r="AW103" i="1"/>
  <c r="BG103" i="1" s="1"/>
  <c r="AV219" i="1"/>
  <c r="BF219" i="1" s="1"/>
  <c r="AT155" i="1"/>
  <c r="BD155" i="1" s="1"/>
  <c r="AU116" i="1"/>
  <c r="BE116" i="1" s="1"/>
  <c r="AU103" i="1"/>
  <c r="BE103" i="1" s="1"/>
  <c r="AU90" i="1"/>
  <c r="BE90" i="1" s="1"/>
  <c r="AV245" i="1"/>
  <c r="BF245" i="1" s="1"/>
  <c r="AU310" i="1"/>
  <c r="BE310" i="1" s="1"/>
  <c r="AW310" i="1"/>
  <c r="AT180" i="1"/>
  <c r="BD180" i="1" s="1"/>
  <c r="AT232" i="1"/>
  <c r="BD232" i="1" s="1"/>
  <c r="AV103" i="1"/>
  <c r="BF103" i="1" s="1"/>
  <c r="AU232" i="1"/>
  <c r="BE232" i="1" s="1"/>
  <c r="AW142" i="1"/>
  <c r="BG142" i="1" s="1"/>
  <c r="AX77" i="1"/>
  <c r="BH77" i="1" s="1"/>
  <c r="AV90" i="1"/>
  <c r="BF90" i="1" s="1"/>
  <c r="AU271" i="1"/>
  <c r="BE271" i="1" s="1"/>
  <c r="AX193" i="1"/>
  <c r="AT116" i="1"/>
  <c r="BD116" i="1" s="1"/>
  <c r="AV25" i="1"/>
  <c r="BF25" i="1" s="1"/>
  <c r="AX25" i="1"/>
  <c r="BH25" i="1" s="1"/>
  <c r="AV297" i="1"/>
  <c r="BF297" i="1" s="1"/>
  <c r="AX232" i="1"/>
  <c r="AU180" i="1"/>
  <c r="BE180" i="1" s="1"/>
  <c r="AW64" i="1"/>
  <c r="BG64" i="1" s="1"/>
  <c r="AU51" i="1"/>
  <c r="BE51" i="1" s="1"/>
  <c r="AU258" i="1"/>
  <c r="BE258" i="1" s="1"/>
  <c r="AX284" i="1"/>
  <c r="AU142" i="1"/>
  <c r="BE142" i="1" s="1"/>
  <c r="AW51" i="1"/>
  <c r="BG51" i="1" s="1"/>
  <c r="AX38" i="1"/>
  <c r="BH38" i="1" s="1"/>
  <c r="AT297" i="1"/>
  <c r="BD297" i="1" s="1"/>
  <c r="AW284" i="1"/>
  <c r="AT142" i="1"/>
  <c r="BD142" i="1" s="1"/>
  <c r="AV180" i="1"/>
  <c r="BF180" i="1" s="1"/>
  <c r="AW245" i="1"/>
  <c r="AU193" i="1"/>
  <c r="BE193" i="1" s="1"/>
  <c r="AW193" i="1"/>
  <c r="AX51" i="1"/>
  <c r="BH51" i="1" s="1"/>
  <c r="AU38" i="1"/>
  <c r="BE38" i="1" s="1"/>
  <c r="AT323" i="1"/>
  <c r="BD323" i="1" s="1"/>
  <c r="AU323" i="1"/>
  <c r="BE323" i="1" s="1"/>
  <c r="AV116" i="1"/>
  <c r="BF116" i="1" s="1"/>
  <c r="AT77" i="1"/>
  <c r="BD77" i="1" s="1"/>
  <c r="AV77" i="1"/>
  <c r="BF77" i="1" s="1"/>
  <c r="AV310" i="1"/>
  <c r="BF310" i="1" s="1"/>
  <c r="AT193" i="1"/>
  <c r="BD193" i="1" s="1"/>
  <c r="AX90" i="1"/>
  <c r="BH90" i="1" s="1"/>
  <c r="AX103" i="1"/>
  <c r="BH103" i="1" s="1"/>
  <c r="AT25" i="1"/>
  <c r="BD25" i="1" s="1"/>
  <c r="AV232" i="1"/>
  <c r="BF232" i="1" s="1"/>
  <c r="AW155" i="1"/>
  <c r="BG155" i="1" s="1"/>
  <c r="AT90" i="1"/>
  <c r="BD90" i="1" s="1"/>
  <c r="AT103" i="1"/>
  <c r="BD103" i="1" s="1"/>
  <c r="AW25" i="1"/>
  <c r="BG25" i="1" s="1"/>
  <c r="AT245" i="1"/>
  <c r="BD245" i="1" s="1"/>
  <c r="AX310" i="1"/>
  <c r="AV284" i="1"/>
  <c r="BF284" i="1" s="1"/>
  <c r="AX206" i="1"/>
  <c r="AT284" i="1"/>
  <c r="BD284" i="1" s="1"/>
  <c r="AV271" i="1"/>
  <c r="BF271" i="1" s="1"/>
  <c r="AX142" i="1"/>
  <c r="BH142" i="1" s="1"/>
  <c r="AV206" i="1"/>
  <c r="BF206" i="1" s="1"/>
  <c r="AW90" i="1"/>
  <c r="BG90" i="1" s="1"/>
  <c r="AU77" i="1"/>
  <c r="BE77" i="1" s="1"/>
  <c r="AW271" i="1"/>
  <c r="AX180" i="1"/>
  <c r="AV155" i="1"/>
  <c r="BF155" i="1" s="1"/>
  <c r="AT51" i="1"/>
  <c r="BD51" i="1" s="1"/>
  <c r="AU25" i="1"/>
  <c r="BE25" i="1" s="1"/>
  <c r="AX219" i="1"/>
  <c r="AU245" i="1"/>
  <c r="BE245" i="1" s="1"/>
  <c r="AU284" i="1"/>
  <c r="BE284" i="1" s="1"/>
  <c r="AX64" i="1"/>
  <c r="BH64" i="1" s="1"/>
  <c r="AV64" i="1"/>
  <c r="BF64" i="1" s="1"/>
  <c r="AX258" i="1"/>
  <c r="AU206" i="1"/>
  <c r="BE206" i="1" s="1"/>
  <c r="AW206" i="1"/>
  <c r="AT64" i="1"/>
  <c r="BD64" i="1" s="1"/>
  <c r="AV51" i="1"/>
  <c r="BF51" i="1" s="1"/>
  <c r="AV255" i="1"/>
  <c r="BF255" i="1" s="1"/>
  <c r="AX320" i="1"/>
  <c r="AW177" i="1"/>
  <c r="AU152" i="1"/>
  <c r="BE152" i="1" s="1"/>
  <c r="AW61" i="1"/>
  <c r="BG61" i="1" s="1"/>
  <c r="AX35" i="1"/>
  <c r="BH35" i="1" s="1"/>
  <c r="AU320" i="1"/>
  <c r="BE320" i="1" s="1"/>
  <c r="AX242" i="1"/>
  <c r="AW152" i="1"/>
  <c r="BG152" i="1" s="1"/>
  <c r="AU139" i="1"/>
  <c r="BE139" i="1" s="1"/>
  <c r="AW48" i="1"/>
  <c r="BG48" i="1" s="1"/>
  <c r="AT35" i="1"/>
  <c r="AW216" i="1"/>
  <c r="AU255" i="1"/>
  <c r="BE255" i="1" s="1"/>
  <c r="AT320" i="1"/>
  <c r="AW203" i="1"/>
  <c r="AX177" i="1"/>
  <c r="AV61" i="1"/>
  <c r="BF61" i="1" s="1"/>
  <c r="AT87" i="1"/>
  <c r="AX294" i="1"/>
  <c r="AU216" i="1"/>
  <c r="BE216" i="1" s="1"/>
  <c r="AX229" i="1"/>
  <c r="AW229" i="1"/>
  <c r="AU203" i="1"/>
  <c r="BE203" i="1" s="1"/>
  <c r="AV87" i="1"/>
  <c r="BF87" i="1" s="1"/>
  <c r="AV100" i="1"/>
  <c r="BF100" i="1" s="1"/>
  <c r="AT294" i="1"/>
  <c r="AU268" i="1"/>
  <c r="BE268" i="1" s="1"/>
  <c r="AT229" i="1"/>
  <c r="AW281" i="1"/>
  <c r="AU190" i="1"/>
  <c r="BE190" i="1" s="1"/>
  <c r="AV74" i="1"/>
  <c r="BF74" i="1" s="1"/>
  <c r="AX87" i="1"/>
  <c r="BH87" i="1" s="1"/>
  <c r="AT307" i="1"/>
  <c r="AT255" i="1"/>
  <c r="AU307" i="1"/>
  <c r="BE307" i="1" s="1"/>
  <c r="AV139" i="1"/>
  <c r="BF139" i="1" s="1"/>
  <c r="AX139" i="1"/>
  <c r="BH139" i="1" s="1"/>
  <c r="AV22" i="1"/>
  <c r="BF22" i="1" s="1"/>
  <c r="AT61" i="1"/>
  <c r="AW255" i="1"/>
  <c r="AU294" i="1"/>
  <c r="BE294" i="1" s="1"/>
  <c r="AT216" i="1"/>
  <c r="AV177" i="1"/>
  <c r="BF177" i="1" s="1"/>
  <c r="AX152" i="1"/>
  <c r="BH152" i="1" s="1"/>
  <c r="AU35" i="1"/>
  <c r="BE35" i="1" s="1"/>
  <c r="AT74" i="1"/>
  <c r="AX307" i="1"/>
  <c r="AX268" i="1"/>
  <c r="AX255" i="1"/>
  <c r="AV152" i="1"/>
  <c r="BF152" i="1" s="1"/>
  <c r="AT152" i="1"/>
  <c r="AU22" i="1"/>
  <c r="BE22" i="1" s="1"/>
  <c r="AX61" i="1"/>
  <c r="BH61" i="1" s="1"/>
  <c r="AV216" i="1"/>
  <c r="BF216" i="1" s="1"/>
  <c r="AU229" i="1"/>
  <c r="BE229" i="1" s="1"/>
  <c r="AX190" i="1"/>
  <c r="AV190" i="1"/>
  <c r="BF190" i="1" s="1"/>
  <c r="AW87" i="1"/>
  <c r="BG87" i="1" s="1"/>
  <c r="AU61" i="1"/>
  <c r="BE61" i="1" s="1"/>
  <c r="AW22" i="1"/>
  <c r="BG22" i="1" s="1"/>
  <c r="AV242" i="1"/>
  <c r="BF242" i="1" s="1"/>
  <c r="AV281" i="1"/>
  <c r="BF281" i="1" s="1"/>
  <c r="AX203" i="1"/>
  <c r="AT281" i="1"/>
  <c r="AW113" i="1"/>
  <c r="BG113" i="1" s="1"/>
  <c r="AU87" i="1"/>
  <c r="BE87" i="1" s="1"/>
  <c r="AT48" i="1"/>
  <c r="AW294" i="1"/>
  <c r="AT268" i="1"/>
  <c r="AT203" i="1"/>
  <c r="AV203" i="1"/>
  <c r="BF203" i="1" s="1"/>
  <c r="AU100" i="1"/>
  <c r="BE100" i="1" s="1"/>
  <c r="AU74" i="1"/>
  <c r="BE74" i="1" s="1"/>
  <c r="AW35" i="1"/>
  <c r="BG35" i="1" s="1"/>
  <c r="AW320" i="1"/>
  <c r="AU242" i="1"/>
  <c r="BE242" i="1" s="1"/>
  <c r="AX216" i="1"/>
  <c r="AW139" i="1"/>
  <c r="BG139" i="1" s="1"/>
  <c r="AX113" i="1"/>
  <c r="BH113" i="1" s="1"/>
  <c r="AX100" i="1"/>
  <c r="BH100" i="1" s="1"/>
  <c r="AX22" i="1"/>
  <c r="BH22" i="1" s="1"/>
  <c r="AW242" i="1"/>
  <c r="AV294" i="1"/>
  <c r="BF294" i="1" s="1"/>
  <c r="AW307" i="1"/>
  <c r="AV113" i="1"/>
  <c r="BF113" i="1" s="1"/>
  <c r="AT113" i="1"/>
  <c r="AT100" i="1"/>
  <c r="AT22" i="1"/>
  <c r="AW268" i="1"/>
  <c r="AV307" i="1"/>
  <c r="BF307" i="1" s="1"/>
  <c r="AT242" i="1"/>
  <c r="AW190" i="1"/>
  <c r="AT177" i="1"/>
  <c r="AV48" i="1"/>
  <c r="BF48" i="1" s="1"/>
  <c r="AX74" i="1"/>
  <c r="BH74" i="1" s="1"/>
  <c r="AV320" i="1"/>
  <c r="BF320" i="1" s="1"/>
  <c r="AV229" i="1"/>
  <c r="BF229" i="1" s="1"/>
  <c r="AX281" i="1"/>
  <c r="AU113" i="1"/>
  <c r="BE113" i="1" s="1"/>
  <c r="AT139" i="1"/>
  <c r="AW100" i="1"/>
  <c r="BG100" i="1" s="1"/>
  <c r="AX48" i="1"/>
  <c r="BH48" i="1" s="1"/>
  <c r="AV268" i="1"/>
  <c r="BF268" i="1" s="1"/>
  <c r="AU281" i="1"/>
  <c r="BE281" i="1" s="1"/>
  <c r="AT190" i="1"/>
  <c r="AU177" i="1"/>
  <c r="BE177" i="1" s="1"/>
  <c r="AW74" i="1"/>
  <c r="BG74" i="1" s="1"/>
  <c r="AU48" i="1"/>
  <c r="BE48" i="1" s="1"/>
  <c r="AV35" i="1"/>
  <c r="BF35" i="1" s="1"/>
  <c r="BZ321" i="1" l="1"/>
  <c r="CA295" i="1"/>
  <c r="BZ256" i="1"/>
  <c r="BZ282" i="1"/>
  <c r="CB160" i="1"/>
  <c r="BZ295" i="1"/>
  <c r="CB243" i="1"/>
  <c r="CD164" i="1"/>
  <c r="CC160" i="1"/>
  <c r="CD114" i="1"/>
  <c r="CD153" i="1"/>
  <c r="CB49" i="1"/>
  <c r="CB204" i="1"/>
  <c r="CC164" i="1"/>
  <c r="CD140" i="1"/>
  <c r="BZ101" i="1"/>
  <c r="CB114" i="1"/>
  <c r="CD75" i="1"/>
  <c r="CC75" i="1"/>
  <c r="CC153" i="1"/>
  <c r="CA164" i="1"/>
  <c r="CB101" i="1"/>
  <c r="CC140" i="1"/>
  <c r="BZ62" i="1"/>
  <c r="CB36" i="1"/>
  <c r="BZ270" i="1"/>
  <c r="CA270" i="1"/>
  <c r="CB283" i="1"/>
  <c r="CA244" i="1"/>
  <c r="CA309" i="1"/>
  <c r="CA192" i="1"/>
  <c r="CA141" i="1"/>
  <c r="CD63" i="1"/>
  <c r="BZ192" i="1"/>
  <c r="CD154" i="1"/>
  <c r="CB115" i="1"/>
  <c r="CC63" i="1"/>
  <c r="CD37" i="1"/>
  <c r="CD115" i="1"/>
  <c r="CB141" i="1"/>
  <c r="CD76" i="1"/>
  <c r="BZ231" i="1"/>
  <c r="BZ115" i="1"/>
  <c r="CC154" i="1"/>
  <c r="CA63" i="1"/>
  <c r="CB235" i="1"/>
  <c r="CA313" i="1"/>
  <c r="BZ235" i="1"/>
  <c r="CB287" i="1"/>
  <c r="CD80" i="1"/>
  <c r="CC67" i="1"/>
  <c r="CA54" i="1"/>
  <c r="CA196" i="1"/>
  <c r="CC132" i="1"/>
  <c r="BZ54" i="1"/>
  <c r="CB28" i="1"/>
  <c r="CB248" i="1"/>
  <c r="CA119" i="1"/>
  <c r="CA93" i="1"/>
  <c r="CB54" i="1"/>
  <c r="CB222" i="1"/>
  <c r="BZ106" i="1"/>
  <c r="CB119" i="1"/>
  <c r="CB320" i="1"/>
  <c r="CA242" i="1"/>
  <c r="CB268" i="1"/>
  <c r="BZ242" i="1"/>
  <c r="CA203" i="1"/>
  <c r="BZ281" i="1"/>
  <c r="CC100" i="1"/>
  <c r="BZ87" i="1"/>
  <c r="BZ113" i="1"/>
  <c r="CD100" i="1"/>
  <c r="CB229" i="1"/>
  <c r="BZ139" i="1"/>
  <c r="BZ48" i="1"/>
  <c r="CA152" i="1"/>
  <c r="CC113" i="1"/>
  <c r="CC152" i="1"/>
  <c r="CD126" i="1"/>
  <c r="CB48" i="1"/>
  <c r="BZ289" i="1"/>
  <c r="CA211" i="1"/>
  <c r="CB198" i="1"/>
  <c r="CA224" i="1"/>
  <c r="CB237" i="1"/>
  <c r="BZ237" i="1"/>
  <c r="CB147" i="1"/>
  <c r="CD108" i="1"/>
  <c r="BZ276" i="1"/>
  <c r="CD147" i="1"/>
  <c r="BZ108" i="1"/>
  <c r="CB69" i="1"/>
  <c r="CA147" i="1"/>
  <c r="CA198" i="1"/>
  <c r="BZ95" i="1"/>
  <c r="BZ69" i="1"/>
  <c r="CA43" i="1"/>
  <c r="CD43" i="1"/>
  <c r="CB260" i="1"/>
  <c r="CA260" i="1"/>
  <c r="CA221" i="1"/>
  <c r="CA247" i="1"/>
  <c r="CB312" i="1"/>
  <c r="CA234" i="1"/>
  <c r="CB131" i="1"/>
  <c r="CA92" i="1"/>
  <c r="CB79" i="1"/>
  <c r="CC144" i="1"/>
  <c r="CB66" i="1"/>
  <c r="CB53" i="1"/>
  <c r="CA66" i="1"/>
  <c r="CA79" i="1"/>
  <c r="BZ118" i="1"/>
  <c r="CD92" i="1"/>
  <c r="CC27" i="1"/>
  <c r="BZ182" i="1"/>
  <c r="CA321" i="1"/>
  <c r="BZ243" i="1"/>
  <c r="CB295" i="1"/>
  <c r="BZ204" i="1"/>
  <c r="CB217" i="1"/>
  <c r="CA308" i="1"/>
  <c r="CA127" i="1"/>
  <c r="CA101" i="1"/>
  <c r="CD101" i="1"/>
  <c r="CB308" i="1"/>
  <c r="CB191" i="1"/>
  <c r="CD160" i="1"/>
  <c r="BZ127" i="1"/>
  <c r="CD156" i="1"/>
  <c r="CA88" i="1"/>
  <c r="CA191" i="1"/>
  <c r="CB156" i="1"/>
  <c r="CC127" i="1"/>
  <c r="CA62" i="1"/>
  <c r="CD62" i="1"/>
  <c r="BZ160" i="1"/>
  <c r="BZ88" i="1"/>
  <c r="CB88" i="1"/>
  <c r="BZ49" i="1"/>
  <c r="BZ257" i="1"/>
  <c r="CB322" i="1"/>
  <c r="CA257" i="1"/>
  <c r="CB270" i="1"/>
  <c r="CA218" i="1"/>
  <c r="BZ218" i="1"/>
  <c r="CB296" i="1"/>
  <c r="CA231" i="1"/>
  <c r="CA128" i="1"/>
  <c r="CD50" i="1"/>
  <c r="CA154" i="1"/>
  <c r="CB89" i="1"/>
  <c r="CB154" i="1"/>
  <c r="CC50" i="1"/>
  <c r="BZ283" i="1"/>
  <c r="CA102" i="1"/>
  <c r="CA89" i="1"/>
  <c r="CB63" i="1"/>
  <c r="BZ37" i="1"/>
  <c r="CC128" i="1"/>
  <c r="CC102" i="1"/>
  <c r="CA50" i="1"/>
  <c r="BZ248" i="1"/>
  <c r="BZ287" i="1"/>
  <c r="CB209" i="1"/>
  <c r="CA235" i="1"/>
  <c r="BZ209" i="1"/>
  <c r="CA261" i="1"/>
  <c r="CD67" i="1"/>
  <c r="CC119" i="1"/>
  <c r="CA41" i="1"/>
  <c r="CD54" i="1"/>
  <c r="CB93" i="1"/>
  <c r="CB80" i="1"/>
  <c r="BZ41" i="1"/>
  <c r="CA300" i="1"/>
  <c r="CA106" i="1"/>
  <c r="CD145" i="1"/>
  <c r="CB41" i="1"/>
  <c r="CB274" i="1"/>
  <c r="CA132" i="1"/>
  <c r="BZ145" i="1"/>
  <c r="CB106" i="1"/>
  <c r="CA307" i="1"/>
  <c r="CB242" i="1"/>
  <c r="CA216" i="1"/>
  <c r="CB255" i="1"/>
  <c r="CA268" i="1"/>
  <c r="BZ216" i="1"/>
  <c r="CA190" i="1"/>
  <c r="CA87" i="1"/>
  <c r="BZ74" i="1"/>
  <c r="CC87" i="1"/>
  <c r="CA61" i="1"/>
  <c r="CD61" i="1"/>
  <c r="CB35" i="1"/>
  <c r="CB126" i="1"/>
  <c r="BZ100" i="1"/>
  <c r="CC61" i="1"/>
  <c r="CB139" i="1"/>
  <c r="CA100" i="1"/>
  <c r="CB87" i="1"/>
  <c r="CA139" i="1"/>
  <c r="CD113" i="1"/>
  <c r="CA35" i="1"/>
  <c r="CA289" i="1"/>
  <c r="CB263" i="1"/>
  <c r="BZ263" i="1"/>
  <c r="CB185" i="1"/>
  <c r="CA276" i="1"/>
  <c r="CB211" i="1"/>
  <c r="BZ211" i="1"/>
  <c r="CC134" i="1"/>
  <c r="CB95" i="1"/>
  <c r="CC82" i="1"/>
  <c r="CA250" i="1"/>
  <c r="BZ198" i="1"/>
  <c r="CB134" i="1"/>
  <c r="CC56" i="1"/>
  <c r="BZ147" i="1"/>
  <c r="CC147" i="1"/>
  <c r="CA108" i="1"/>
  <c r="CB56" i="1"/>
  <c r="CD30" i="1"/>
  <c r="CA185" i="1"/>
  <c r="CC95" i="1"/>
  <c r="CA95" i="1"/>
  <c r="BZ30" i="1"/>
  <c r="CB286" i="1"/>
  <c r="BZ286" i="1"/>
  <c r="BZ312" i="1"/>
  <c r="CA273" i="1"/>
  <c r="BZ299" i="1"/>
  <c r="CA286" i="1"/>
  <c r="CB234" i="1"/>
  <c r="CA208" i="1"/>
  <c r="CC131" i="1"/>
  <c r="CC66" i="1"/>
  <c r="CB40" i="1"/>
  <c r="CD27" i="1"/>
  <c r="CB273" i="1"/>
  <c r="CB144" i="1"/>
  <c r="BZ105" i="1"/>
  <c r="CA53" i="1"/>
  <c r="BZ66" i="1"/>
  <c r="BZ92" i="1"/>
  <c r="CC40" i="1"/>
  <c r="BZ240" i="1"/>
  <c r="CC163" i="1"/>
  <c r="CB214" i="1"/>
  <c r="CB227" i="1"/>
  <c r="CA318" i="1"/>
  <c r="CD167" i="1"/>
  <c r="BZ227" i="1"/>
  <c r="BZ124" i="1"/>
  <c r="CC111" i="1"/>
  <c r="CD85" i="1"/>
  <c r="CB163" i="1"/>
  <c r="CA201" i="1"/>
  <c r="CC137" i="1"/>
  <c r="CA111" i="1"/>
  <c r="CC33" i="1"/>
  <c r="CB167" i="1"/>
  <c r="CA150" i="1"/>
  <c r="CB85" i="1"/>
  <c r="CB150" i="1"/>
  <c r="CC46" i="1"/>
  <c r="CA163" i="1"/>
  <c r="BZ201" i="1"/>
  <c r="CD124" i="1"/>
  <c r="BZ150" i="1"/>
  <c r="CA72" i="1"/>
  <c r="CB59" i="1"/>
  <c r="BZ33" i="1"/>
  <c r="CB219" i="1"/>
  <c r="BZ245" i="1"/>
  <c r="BZ297" i="1"/>
  <c r="CA245" i="1"/>
  <c r="CB232" i="1"/>
  <c r="CA310" i="1"/>
  <c r="CB90" i="1"/>
  <c r="CA77" i="1"/>
  <c r="CD77" i="1"/>
  <c r="CA38" i="1"/>
  <c r="CC38" i="1"/>
  <c r="CC129" i="1"/>
  <c r="CA142" i="1"/>
  <c r="CC77" i="1"/>
  <c r="CB155" i="1"/>
  <c r="CD116" i="1"/>
  <c r="BZ206" i="1"/>
  <c r="CB142" i="1"/>
  <c r="CC64" i="1"/>
  <c r="CB262" i="1"/>
  <c r="BZ249" i="1"/>
  <c r="BZ210" i="1"/>
  <c r="CA262" i="1"/>
  <c r="CB275" i="1"/>
  <c r="BZ275" i="1"/>
  <c r="CA94" i="1"/>
  <c r="CA81" i="1"/>
  <c r="CB55" i="1"/>
  <c r="BZ29" i="1"/>
  <c r="BZ223" i="1"/>
  <c r="BZ107" i="1"/>
  <c r="CC146" i="1"/>
  <c r="CA55" i="1"/>
  <c r="CA223" i="1"/>
  <c r="CA120" i="1"/>
  <c r="CD42" i="1"/>
  <c r="CA243" i="1"/>
  <c r="BZ217" i="1"/>
  <c r="CA269" i="1"/>
  <c r="CB269" i="1"/>
  <c r="BZ191" i="1"/>
  <c r="BZ308" i="1"/>
  <c r="CA230" i="1"/>
  <c r="CA114" i="1"/>
  <c r="CA160" i="1"/>
  <c r="CA75" i="1"/>
  <c r="CB230" i="1"/>
  <c r="BZ164" i="1"/>
  <c r="CC156" i="1"/>
  <c r="BZ114" i="1"/>
  <c r="CB140" i="1"/>
  <c r="CD36" i="1"/>
  <c r="CB153" i="1"/>
  <c r="BZ140" i="1"/>
  <c r="CC114" i="1"/>
  <c r="CA49" i="1"/>
  <c r="CD49" i="1"/>
  <c r="CA282" i="1"/>
  <c r="BZ75" i="1"/>
  <c r="CB75" i="1"/>
  <c r="CC62" i="1"/>
  <c r="CA36" i="1"/>
  <c r="BZ296" i="1"/>
  <c r="CB244" i="1"/>
  <c r="CB309" i="1"/>
  <c r="CB257" i="1"/>
  <c r="CB192" i="1"/>
  <c r="CA283" i="1"/>
  <c r="BZ141" i="1"/>
  <c r="CA115" i="1"/>
  <c r="CC37" i="1"/>
  <c r="CC89" i="1"/>
  <c r="CB76" i="1"/>
  <c r="BZ63" i="1"/>
  <c r="CB37" i="1"/>
  <c r="BZ205" i="1"/>
  <c r="BZ154" i="1"/>
  <c r="CA76" i="1"/>
  <c r="CB50" i="1"/>
  <c r="CD141" i="1"/>
  <c r="CC115" i="1"/>
  <c r="CD89" i="1"/>
  <c r="BZ261" i="1"/>
  <c r="BZ274" i="1"/>
  <c r="CA248" i="1"/>
  <c r="CA209" i="1"/>
  <c r="CA287" i="1"/>
  <c r="CA183" i="1"/>
  <c r="BZ132" i="1"/>
  <c r="CC106" i="1"/>
  <c r="BZ28" i="1"/>
  <c r="CD41" i="1"/>
  <c r="BZ80" i="1"/>
  <c r="CB67" i="1"/>
  <c r="CC54" i="1"/>
  <c r="CA28" i="1"/>
  <c r="CA222" i="1"/>
  <c r="CD119" i="1"/>
  <c r="CD93" i="1"/>
  <c r="CB196" i="1"/>
  <c r="CD132" i="1"/>
  <c r="CA80" i="1"/>
  <c r="CB216" i="1"/>
  <c r="BZ268" i="1"/>
  <c r="BZ203" i="1"/>
  <c r="CB294" i="1"/>
  <c r="BZ294" i="1"/>
  <c r="CA255" i="1"/>
  <c r="CA229" i="1"/>
  <c r="BZ307" i="1"/>
  <c r="CB281" i="1"/>
  <c r="CA74" i="1"/>
  <c r="CD139" i="1"/>
  <c r="CC74" i="1"/>
  <c r="CA48" i="1"/>
  <c r="CD48" i="1"/>
  <c r="CB113" i="1"/>
  <c r="CB74" i="1"/>
  <c r="CC48" i="1"/>
  <c r="CA126" i="1"/>
  <c r="CC139" i="1"/>
  <c r="CD87" i="1"/>
  <c r="CD152" i="1"/>
  <c r="CA315" i="1"/>
  <c r="CB224" i="1"/>
  <c r="CB250" i="1"/>
  <c r="CB289" i="1"/>
  <c r="CA263" i="1"/>
  <c r="CD134" i="1"/>
  <c r="BZ56" i="1"/>
  <c r="BZ302" i="1"/>
  <c r="BZ185" i="1"/>
  <c r="BZ134" i="1"/>
  <c r="CC43" i="1"/>
  <c r="CD95" i="1"/>
  <c r="CA82" i="1"/>
  <c r="CD82" i="1"/>
  <c r="CB43" i="1"/>
  <c r="CA134" i="1"/>
  <c r="CC69" i="1"/>
  <c r="BZ234" i="1"/>
  <c r="CA195" i="1"/>
  <c r="BZ221" i="1"/>
  <c r="CB247" i="1"/>
  <c r="CB208" i="1"/>
  <c r="BZ260" i="1"/>
  <c r="CA105" i="1"/>
  <c r="BZ247" i="1"/>
  <c r="CA131" i="1"/>
  <c r="CD105" i="1"/>
  <c r="CA27" i="1"/>
  <c r="CB195" i="1"/>
  <c r="BZ79" i="1"/>
  <c r="CC79" i="1"/>
  <c r="CA40" i="1"/>
  <c r="CD53" i="1"/>
  <c r="CB27" i="1"/>
  <c r="CB105" i="1"/>
  <c r="BZ53" i="1"/>
  <c r="BZ214" i="1"/>
  <c r="CB292" i="1"/>
  <c r="CA292" i="1"/>
  <c r="CA266" i="1"/>
  <c r="CB279" i="1"/>
  <c r="CA240" i="1"/>
  <c r="CC167" i="1"/>
  <c r="BZ111" i="1"/>
  <c r="BZ98" i="1"/>
  <c r="BZ72" i="1"/>
  <c r="CA305" i="1"/>
  <c r="CA188" i="1"/>
  <c r="CC159" i="1"/>
  <c r="BZ85" i="1"/>
  <c r="CC85" i="1"/>
  <c r="CB72" i="1"/>
  <c r="BZ59" i="1"/>
  <c r="CB33" i="1"/>
  <c r="CB201" i="1"/>
  <c r="CA167" i="1"/>
  <c r="CD111" i="1"/>
  <c r="CD98" i="1"/>
  <c r="CB159" i="1"/>
  <c r="CB46" i="1"/>
  <c r="CA217" i="1"/>
  <c r="CA256" i="1"/>
  <c r="CB256" i="1"/>
  <c r="BZ269" i="1"/>
  <c r="BZ230" i="1"/>
  <c r="CB164" i="1"/>
  <c r="CB321" i="1"/>
  <c r="CD127" i="1"/>
  <c r="CA156" i="1"/>
  <c r="CB62" i="1"/>
  <c r="CB282" i="1"/>
  <c r="CA140" i="1"/>
  <c r="BZ153" i="1"/>
  <c r="CB127" i="1"/>
  <c r="CD88" i="1"/>
  <c r="CC88" i="1"/>
  <c r="BZ156" i="1"/>
  <c r="BZ36" i="1"/>
  <c r="CC36" i="1"/>
  <c r="CA204" i="1"/>
  <c r="CA153" i="1"/>
  <c r="CC101" i="1"/>
  <c r="CC49" i="1"/>
  <c r="CA296" i="1"/>
  <c r="CB218" i="1"/>
  <c r="CB231" i="1"/>
  <c r="CA322" i="1"/>
  <c r="BZ322" i="1"/>
  <c r="CB205" i="1"/>
  <c r="CA205" i="1"/>
  <c r="CC141" i="1"/>
  <c r="CC76" i="1"/>
  <c r="CB128" i="1"/>
  <c r="BZ50" i="1"/>
  <c r="CD128" i="1"/>
  <c r="CB102" i="1"/>
  <c r="CA37" i="1"/>
  <c r="BZ309" i="1"/>
  <c r="CB313" i="1"/>
  <c r="CB261" i="1"/>
  <c r="CB145" i="1"/>
  <c r="CC80" i="1"/>
  <c r="CC145" i="1"/>
  <c r="CC28" i="1"/>
  <c r="CA274" i="1"/>
  <c r="CA145" i="1"/>
  <c r="CC93" i="1"/>
  <c r="CC41" i="1"/>
  <c r="CD106" i="1"/>
  <c r="CA67" i="1"/>
  <c r="CB300" i="1"/>
  <c r="CB183" i="1"/>
  <c r="BZ119" i="1"/>
  <c r="CB132" i="1"/>
  <c r="CD28" i="1"/>
  <c r="CA294" i="1"/>
  <c r="BZ190" i="1"/>
  <c r="CA320" i="1"/>
  <c r="BZ255" i="1"/>
  <c r="BZ320" i="1"/>
  <c r="CA281" i="1"/>
  <c r="BZ229" i="1"/>
  <c r="CB203" i="1"/>
  <c r="CB152" i="1"/>
  <c r="BZ126" i="1"/>
  <c r="BZ152" i="1"/>
  <c r="BZ35" i="1"/>
  <c r="CC35" i="1"/>
  <c r="CB307" i="1"/>
  <c r="CB100" i="1"/>
  <c r="BZ61" i="1"/>
  <c r="CA113" i="1"/>
  <c r="CC126" i="1"/>
  <c r="CB190" i="1"/>
  <c r="CD74" i="1"/>
  <c r="CB61" i="1"/>
  <c r="CD35" i="1"/>
  <c r="CA237" i="1"/>
  <c r="CB276" i="1"/>
  <c r="CA302" i="1"/>
  <c r="CB302" i="1"/>
  <c r="CB315" i="1"/>
  <c r="BZ315" i="1"/>
  <c r="BZ250" i="1"/>
  <c r="CB108" i="1"/>
  <c r="BZ43" i="1"/>
  <c r="BZ224" i="1"/>
  <c r="BZ121" i="1"/>
  <c r="CB30" i="1"/>
  <c r="CB82" i="1"/>
  <c r="CA69" i="1"/>
  <c r="CD69" i="1"/>
  <c r="CA30" i="1"/>
  <c r="CC30" i="1"/>
  <c r="CC108" i="1"/>
  <c r="BZ82" i="1"/>
  <c r="CA56" i="1"/>
  <c r="CD56" i="1"/>
  <c r="BZ208" i="1"/>
  <c r="CA182" i="1"/>
  <c r="BZ273" i="1"/>
  <c r="CA299" i="1"/>
  <c r="CA312" i="1"/>
  <c r="CA144" i="1"/>
  <c r="CC105" i="1"/>
  <c r="CB182" i="1"/>
  <c r="CD79" i="1"/>
  <c r="CD144" i="1"/>
  <c r="CD66" i="1"/>
  <c r="CC92" i="1"/>
  <c r="CD131" i="1"/>
  <c r="BZ144" i="1"/>
  <c r="BZ27" i="1"/>
  <c r="CD40" i="1"/>
  <c r="BZ195" i="1"/>
  <c r="CB299" i="1"/>
  <c r="CB92" i="1"/>
  <c r="BZ40" i="1"/>
  <c r="BZ266" i="1"/>
  <c r="CB318" i="1"/>
  <c r="CA253" i="1"/>
  <c r="CB266" i="1"/>
  <c r="CA214" i="1"/>
  <c r="BZ163" i="1"/>
  <c r="BZ159" i="1"/>
  <c r="CC150" i="1"/>
  <c r="CA59" i="1"/>
  <c r="CA227" i="1"/>
  <c r="CA137" i="1"/>
  <c r="CD59" i="1"/>
  <c r="CC72" i="1"/>
  <c r="CB124" i="1"/>
  <c r="BZ46" i="1"/>
  <c r="CB188" i="1"/>
  <c r="CD163" i="1"/>
  <c r="CA98" i="1"/>
  <c r="CB137" i="1"/>
  <c r="CB98" i="1"/>
  <c r="CA33" i="1"/>
  <c r="CB297" i="1"/>
  <c r="CB310" i="1"/>
  <c r="CB323" i="1"/>
  <c r="CA258" i="1"/>
  <c r="CA193" i="1"/>
  <c r="CB258" i="1"/>
  <c r="BZ271" i="1"/>
  <c r="CB206" i="1"/>
  <c r="CA284" i="1"/>
  <c r="BZ155" i="1"/>
  <c r="CC155" i="1"/>
  <c r="CA116" i="1"/>
  <c r="CB64" i="1"/>
  <c r="CD38" i="1"/>
  <c r="BZ103" i="1"/>
  <c r="BZ77" i="1"/>
  <c r="CA51" i="1"/>
  <c r="CD51" i="1"/>
  <c r="CB129" i="1"/>
  <c r="CD142" i="1"/>
  <c r="BZ64" i="1"/>
  <c r="BZ232" i="1"/>
  <c r="BZ129" i="1"/>
  <c r="CB38" i="1"/>
  <c r="CA236" i="1"/>
  <c r="BZ262" i="1"/>
  <c r="CB236" i="1"/>
  <c r="CB301" i="1"/>
  <c r="CD120" i="1"/>
  <c r="CD94" i="1"/>
  <c r="CB94" i="1"/>
  <c r="CA29" i="1"/>
  <c r="CA249" i="1"/>
  <c r="CD133" i="1"/>
  <c r="CC107" i="1"/>
  <c r="CD81" i="1"/>
  <c r="CB249" i="1"/>
  <c r="CA197" i="1"/>
  <c r="CC133" i="1"/>
  <c r="BZ81" i="1"/>
  <c r="CC68" i="1"/>
  <c r="CB120" i="1"/>
  <c r="BZ42" i="1"/>
  <c r="CC122" i="1"/>
  <c r="CB311" i="1"/>
  <c r="BZ311" i="1"/>
  <c r="CA311" i="1"/>
  <c r="CB220" i="1"/>
  <c r="CB246" i="1"/>
  <c r="CB285" i="1"/>
  <c r="CC104" i="1"/>
  <c r="BZ78" i="1"/>
  <c r="BZ26" i="1"/>
  <c r="CB117" i="1"/>
  <c r="CD130" i="1"/>
  <c r="BZ52" i="1"/>
  <c r="BZ298" i="1"/>
  <c r="BZ181" i="1"/>
  <c r="CB130" i="1"/>
  <c r="BZ104" i="1"/>
  <c r="CB78" i="1"/>
  <c r="CA104" i="1"/>
  <c r="CB52" i="1"/>
  <c r="CA65" i="1"/>
  <c r="CA319" i="1"/>
  <c r="BZ254" i="1"/>
  <c r="CB189" i="1"/>
  <c r="CB293" i="1"/>
  <c r="CB306" i="1"/>
  <c r="CB241" i="1"/>
  <c r="BZ319" i="1"/>
  <c r="CA293" i="1"/>
  <c r="BZ202" i="1"/>
  <c r="CB166" i="1"/>
  <c r="CC158" i="1"/>
  <c r="CC60" i="1"/>
  <c r="CB73" i="1"/>
  <c r="CA73" i="1"/>
  <c r="CD73" i="1"/>
  <c r="CA34" i="1"/>
  <c r="CC34" i="1"/>
  <c r="BZ99" i="1"/>
  <c r="BZ86" i="1"/>
  <c r="CA60" i="1"/>
  <c r="CD60" i="1"/>
  <c r="CB112" i="1"/>
  <c r="CC86" i="1"/>
  <c r="CB213" i="1"/>
  <c r="CA239" i="1"/>
  <c r="BZ239" i="1"/>
  <c r="CB291" i="1"/>
  <c r="CB265" i="1"/>
  <c r="BZ226" i="1"/>
  <c r="BZ252" i="1"/>
  <c r="CB97" i="1"/>
  <c r="CC136" i="1"/>
  <c r="BZ58" i="1"/>
  <c r="CB32" i="1"/>
  <c r="CA304" i="1"/>
  <c r="CA110" i="1"/>
  <c r="CD149" i="1"/>
  <c r="CB45" i="1"/>
  <c r="CB200" i="1"/>
  <c r="CD136" i="1"/>
  <c r="BZ97" i="1"/>
  <c r="CA84" i="1"/>
  <c r="CA187" i="1"/>
  <c r="BZ136" i="1"/>
  <c r="CC110" i="1"/>
  <c r="BZ32" i="1"/>
  <c r="CC32" i="1"/>
  <c r="CD161" i="1"/>
  <c r="CC157" i="1"/>
  <c r="CD157" i="1"/>
  <c r="BZ165" i="1"/>
  <c r="CB221" i="1"/>
  <c r="BZ131" i="1"/>
  <c r="CC53" i="1"/>
  <c r="BZ318" i="1"/>
  <c r="BZ167" i="1"/>
  <c r="BZ292" i="1"/>
  <c r="CB240" i="1"/>
  <c r="CB305" i="1"/>
  <c r="CB253" i="1"/>
  <c r="BZ253" i="1"/>
  <c r="BZ305" i="1"/>
  <c r="CD137" i="1"/>
  <c r="CC124" i="1"/>
  <c r="CC98" i="1"/>
  <c r="CA46" i="1"/>
  <c r="CA279" i="1"/>
  <c r="BZ137" i="1"/>
  <c r="CA124" i="1"/>
  <c r="CD46" i="1"/>
  <c r="BZ188" i="1"/>
  <c r="CD150" i="1"/>
  <c r="CB111" i="1"/>
  <c r="CC59" i="1"/>
  <c r="CD33" i="1"/>
  <c r="BZ279" i="1"/>
  <c r="CA159" i="1"/>
  <c r="CD159" i="1"/>
  <c r="CA85" i="1"/>
  <c r="CD72" i="1"/>
  <c r="CB245" i="1"/>
  <c r="BZ323" i="1"/>
  <c r="CA297" i="1"/>
  <c r="CA206" i="1"/>
  <c r="CA323" i="1"/>
  <c r="BZ258" i="1"/>
  <c r="CB193" i="1"/>
  <c r="CD103" i="1"/>
  <c r="CA90" i="1"/>
  <c r="CD90" i="1"/>
  <c r="CB51" i="1"/>
  <c r="CC103" i="1"/>
  <c r="CA103" i="1"/>
  <c r="BZ38" i="1"/>
  <c r="CB116" i="1"/>
  <c r="CD129" i="1"/>
  <c r="BZ51" i="1"/>
  <c r="BZ284" i="1"/>
  <c r="CD155" i="1"/>
  <c r="BZ116" i="1"/>
  <c r="CA210" i="1"/>
  <c r="CB288" i="1"/>
  <c r="BZ288" i="1"/>
  <c r="CB210" i="1"/>
  <c r="CB223" i="1"/>
  <c r="CD107" i="1"/>
  <c r="CB133" i="1"/>
  <c r="CD68" i="1"/>
  <c r="BZ301" i="1"/>
  <c r="BZ94" i="1"/>
  <c r="CA301" i="1"/>
  <c r="CA184" i="1"/>
  <c r="CA133" i="1"/>
  <c r="CD55" i="1"/>
  <c r="CD146" i="1"/>
  <c r="CB107" i="1"/>
  <c r="CC55" i="1"/>
  <c r="CD29" i="1"/>
  <c r="CB233" i="1"/>
  <c r="BZ233" i="1"/>
  <c r="CA194" i="1"/>
  <c r="CA233" i="1"/>
  <c r="CB272" i="1"/>
  <c r="CA298" i="1"/>
  <c r="CB298" i="1"/>
  <c r="BZ91" i="1"/>
  <c r="CA91" i="1"/>
  <c r="BZ246" i="1"/>
  <c r="CB104" i="1"/>
  <c r="CD117" i="1"/>
  <c r="BZ39" i="1"/>
  <c r="BZ220" i="1"/>
  <c r="CD65" i="1"/>
  <c r="CC52" i="1"/>
  <c r="CB65" i="1"/>
  <c r="CC143" i="1"/>
  <c r="CD78" i="1"/>
  <c r="CB39" i="1"/>
  <c r="CD26" i="1"/>
  <c r="BZ293" i="1"/>
  <c r="CA241" i="1"/>
  <c r="CB228" i="1"/>
  <c r="CA306" i="1"/>
  <c r="CA166" i="1"/>
  <c r="CB215" i="1"/>
  <c r="BZ241" i="1"/>
  <c r="BZ306" i="1"/>
  <c r="BZ189" i="1"/>
  <c r="CB158" i="1"/>
  <c r="BZ138" i="1"/>
  <c r="CC47" i="1"/>
  <c r="BZ151" i="1"/>
  <c r="CA158" i="1"/>
  <c r="CA125" i="1"/>
  <c r="CA151" i="1"/>
  <c r="BZ166" i="1"/>
  <c r="CC99" i="1"/>
  <c r="BZ73" i="1"/>
  <c r="CA47" i="1"/>
  <c r="CD47" i="1"/>
  <c r="CB162" i="1"/>
  <c r="BZ162" i="1"/>
  <c r="CD138" i="1"/>
  <c r="BZ60" i="1"/>
  <c r="CB252" i="1"/>
  <c r="CA252" i="1"/>
  <c r="CA213" i="1"/>
  <c r="BZ213" i="1"/>
  <c r="CA265" i="1"/>
  <c r="BZ265" i="1"/>
  <c r="BZ278" i="1"/>
  <c r="BZ84" i="1"/>
  <c r="CB84" i="1"/>
  <c r="BZ45" i="1"/>
  <c r="CA226" i="1"/>
  <c r="CD123" i="1"/>
  <c r="CD97" i="1"/>
  <c r="CB304" i="1"/>
  <c r="CB187" i="1"/>
  <c r="BZ123" i="1"/>
  <c r="CB136" i="1"/>
  <c r="CD32" i="1"/>
  <c r="CB149" i="1"/>
  <c r="CC84" i="1"/>
  <c r="CC149" i="1"/>
  <c r="CA165" i="1"/>
  <c r="CB161" i="1"/>
  <c r="BZ161" i="1"/>
  <c r="CD165" i="1"/>
  <c r="CA146" i="1"/>
  <c r="CB81" i="1"/>
  <c r="CB146" i="1"/>
  <c r="CC42" i="1"/>
  <c r="CB122" i="1"/>
  <c r="CB207" i="1"/>
  <c r="BZ207" i="1"/>
  <c r="CA285" i="1"/>
  <c r="BZ285" i="1"/>
  <c r="CA207" i="1"/>
  <c r="CB194" i="1"/>
  <c r="CA220" i="1"/>
  <c r="CA181" i="1"/>
  <c r="CC91" i="1"/>
  <c r="CA52" i="1"/>
  <c r="CD52" i="1"/>
  <c r="CB143" i="1"/>
  <c r="CD104" i="1"/>
  <c r="BZ272" i="1"/>
  <c r="CD143" i="1"/>
  <c r="BZ130" i="1"/>
  <c r="CC39" i="1"/>
  <c r="BZ143" i="1"/>
  <c r="CA78" i="1"/>
  <c r="CA143" i="1"/>
  <c r="CA26" i="1"/>
  <c r="CB267" i="1"/>
  <c r="CA215" i="1"/>
  <c r="CB280" i="1"/>
  <c r="CA228" i="1"/>
  <c r="CD162" i="1"/>
  <c r="CA267" i="1"/>
  <c r="BZ215" i="1"/>
  <c r="BZ228" i="1"/>
  <c r="CA162" i="1"/>
  <c r="CD151" i="1"/>
  <c r="BZ125" i="1"/>
  <c r="CB34" i="1"/>
  <c r="CD166" i="1"/>
  <c r="CD99" i="1"/>
  <c r="CC151" i="1"/>
  <c r="CA112" i="1"/>
  <c r="CB60" i="1"/>
  <c r="CD34" i="1"/>
  <c r="CC162" i="1"/>
  <c r="CC125" i="1"/>
  <c r="CD158" i="1"/>
  <c r="CA99" i="1"/>
  <c r="BZ34" i="1"/>
  <c r="CC138" i="1"/>
  <c r="BZ158" i="1"/>
  <c r="CD125" i="1"/>
  <c r="BZ47" i="1"/>
  <c r="CB317" i="1"/>
  <c r="BZ304" i="1"/>
  <c r="CA291" i="1"/>
  <c r="BZ200" i="1"/>
  <c r="CA278" i="1"/>
  <c r="BZ71" i="1"/>
  <c r="CB71" i="1"/>
  <c r="CC58" i="1"/>
  <c r="CA32" i="1"/>
  <c r="CD110" i="1"/>
  <c r="CA71" i="1"/>
  <c r="CB226" i="1"/>
  <c r="BZ110" i="1"/>
  <c r="CB123" i="1"/>
  <c r="CD84" i="1"/>
  <c r="CC71" i="1"/>
  <c r="CA58" i="1"/>
  <c r="CD58" i="1"/>
  <c r="CB157" i="1"/>
  <c r="CC165" i="1"/>
  <c r="CB165" i="1"/>
  <c r="CA157" i="1"/>
  <c r="CA271" i="1"/>
  <c r="BZ219" i="1"/>
  <c r="CB271" i="1"/>
  <c r="CA219" i="1"/>
  <c r="CB284" i="1"/>
  <c r="CA232" i="1"/>
  <c r="CB77" i="1"/>
  <c r="CA129" i="1"/>
  <c r="CA155" i="1"/>
  <c r="CC116" i="1"/>
  <c r="BZ90" i="1"/>
  <c r="CA64" i="1"/>
  <c r="CD64" i="1"/>
  <c r="CC142" i="1"/>
  <c r="CB103" i="1"/>
  <c r="CC90" i="1"/>
  <c r="BZ310" i="1"/>
  <c r="BZ193" i="1"/>
  <c r="BZ142" i="1"/>
  <c r="CC51" i="1"/>
  <c r="CA314" i="1"/>
  <c r="CB184" i="1"/>
  <c r="CA288" i="1"/>
  <c r="CB314" i="1"/>
  <c r="CB197" i="1"/>
  <c r="CA68" i="1"/>
  <c r="CB42" i="1"/>
  <c r="CC120" i="1"/>
  <c r="CC94" i="1"/>
  <c r="CA42" i="1"/>
  <c r="CA275" i="1"/>
  <c r="BZ133" i="1"/>
  <c r="CA107" i="1"/>
  <c r="CC29" i="1"/>
  <c r="CC81" i="1"/>
  <c r="CB68" i="1"/>
  <c r="BZ55" i="1"/>
  <c r="CB29" i="1"/>
  <c r="CD122" i="1"/>
  <c r="BZ122" i="1"/>
  <c r="CA122" i="1"/>
  <c r="CA259" i="1"/>
  <c r="CB259" i="1"/>
  <c r="BZ259" i="1"/>
  <c r="CB181" i="1"/>
  <c r="CA272" i="1"/>
  <c r="CC117" i="1"/>
  <c r="CA130" i="1"/>
  <c r="CA39" i="1"/>
  <c r="CD39" i="1"/>
  <c r="CC130" i="1"/>
  <c r="CB91" i="1"/>
  <c r="CC78" i="1"/>
  <c r="CA246" i="1"/>
  <c r="BZ194" i="1"/>
  <c r="BZ65" i="1"/>
  <c r="BZ117" i="1"/>
  <c r="CB26" i="1"/>
  <c r="CD91" i="1"/>
  <c r="CA117" i="1"/>
  <c r="CC65" i="1"/>
  <c r="CC26" i="1"/>
  <c r="CB254" i="1"/>
  <c r="BZ267" i="1"/>
  <c r="CB202" i="1"/>
  <c r="CA280" i="1"/>
  <c r="CA189" i="1"/>
  <c r="CB319" i="1"/>
  <c r="CA254" i="1"/>
  <c r="CA202" i="1"/>
  <c r="BZ280" i="1"/>
  <c r="CB138" i="1"/>
  <c r="BZ112" i="1"/>
  <c r="CB86" i="1"/>
  <c r="CA86" i="1"/>
  <c r="CD86" i="1"/>
  <c r="CB47" i="1"/>
  <c r="CC112" i="1"/>
  <c r="CA138" i="1"/>
  <c r="CC73" i="1"/>
  <c r="CC166" i="1"/>
  <c r="CB125" i="1"/>
  <c r="CB151" i="1"/>
  <c r="CD112" i="1"/>
  <c r="BZ291" i="1"/>
  <c r="CB239" i="1"/>
  <c r="CA317" i="1"/>
  <c r="BZ317" i="1"/>
  <c r="BZ187" i="1"/>
  <c r="CA200" i="1"/>
  <c r="CA149" i="1"/>
  <c r="CC97" i="1"/>
  <c r="CC45" i="1"/>
  <c r="CA123" i="1"/>
  <c r="CA97" i="1"/>
  <c r="CB58" i="1"/>
  <c r="CB278" i="1"/>
  <c r="CA136" i="1"/>
  <c r="BZ149" i="1"/>
  <c r="CB110" i="1"/>
  <c r="CD71" i="1"/>
  <c r="CC123" i="1"/>
  <c r="CA45" i="1"/>
  <c r="CD45" i="1"/>
  <c r="CA161" i="1"/>
  <c r="BZ157" i="1"/>
  <c r="CC161" i="1"/>
  <c r="BT235" i="1"/>
  <c r="CE235" i="1" s="1"/>
  <c r="AX290" i="1"/>
  <c r="AU212" i="1"/>
  <c r="BE212" i="1" s="1"/>
  <c r="CA212" i="1" s="1"/>
  <c r="AX225" i="1"/>
  <c r="AW199" i="1"/>
  <c r="AU199" i="1"/>
  <c r="BE199" i="1" s="1"/>
  <c r="CA199" i="1" s="1"/>
  <c r="AV83" i="1"/>
  <c r="BF83" i="1" s="1"/>
  <c r="CB83" i="1" s="1"/>
  <c r="AX83" i="1"/>
  <c r="BH83" i="1" s="1"/>
  <c r="CD83" i="1" s="1"/>
  <c r="AU316" i="1"/>
  <c r="BE316" i="1" s="1"/>
  <c r="CA316" i="1" s="1"/>
  <c r="AU225" i="1"/>
  <c r="BE225" i="1" s="1"/>
  <c r="CA225" i="1" s="1"/>
  <c r="AW135" i="1"/>
  <c r="BG135" i="1" s="1"/>
  <c r="CC135" i="1" s="1"/>
  <c r="AX109" i="1"/>
  <c r="BH109" i="1" s="1"/>
  <c r="CD109" i="1" s="1"/>
  <c r="AW44" i="1"/>
  <c r="BG44" i="1" s="1"/>
  <c r="CC44" i="1" s="1"/>
  <c r="AX18" i="1"/>
  <c r="BH18" i="1" s="1"/>
  <c r="AT303" i="1"/>
  <c r="BD303" i="1" s="1"/>
  <c r="BZ303" i="1" s="1"/>
  <c r="AX251" i="1"/>
  <c r="AT277" i="1"/>
  <c r="BD277" i="1" s="1"/>
  <c r="BZ277" i="1" s="1"/>
  <c r="AW225" i="1"/>
  <c r="AX135" i="1"/>
  <c r="BH135" i="1" s="1"/>
  <c r="CD135" i="1" s="1"/>
  <c r="AW96" i="1"/>
  <c r="BG96" i="1" s="1"/>
  <c r="CC96" i="1" s="1"/>
  <c r="AX44" i="1"/>
  <c r="BH44" i="1" s="1"/>
  <c r="CD44" i="1" s="1"/>
  <c r="AW238" i="1"/>
  <c r="AV290" i="1"/>
  <c r="BF290" i="1" s="1"/>
  <c r="CB290" i="1" s="1"/>
  <c r="AU303" i="1"/>
  <c r="BE303" i="1" s="1"/>
  <c r="CA303" i="1" s="1"/>
  <c r="AW277" i="1"/>
  <c r="AU277" i="1"/>
  <c r="BE277" i="1" s="1"/>
  <c r="CA277" i="1" s="1"/>
  <c r="AT96" i="1"/>
  <c r="BD96" i="1" s="1"/>
  <c r="BZ96" i="1" s="1"/>
  <c r="AV96" i="1"/>
  <c r="BF96" i="1" s="1"/>
  <c r="CB96" i="1" s="1"/>
  <c r="AW251" i="1"/>
  <c r="AT238" i="1"/>
  <c r="BD238" i="1" s="1"/>
  <c r="BZ238" i="1" s="1"/>
  <c r="AX212" i="1"/>
  <c r="AV135" i="1"/>
  <c r="BF135" i="1" s="1"/>
  <c r="CB135" i="1" s="1"/>
  <c r="AX148" i="1"/>
  <c r="BH148" i="1" s="1"/>
  <c r="CD148" i="1" s="1"/>
  <c r="AU31" i="1"/>
  <c r="BE31" i="1" s="1"/>
  <c r="CA31" i="1" s="1"/>
  <c r="AX57" i="1"/>
  <c r="BH57" i="1" s="1"/>
  <c r="CD57" i="1" s="1"/>
  <c r="AT290" i="1"/>
  <c r="BD290" i="1" s="1"/>
  <c r="BZ290" i="1" s="1"/>
  <c r="AU264" i="1"/>
  <c r="BE264" i="1" s="1"/>
  <c r="CA264" i="1" s="1"/>
  <c r="AT225" i="1"/>
  <c r="BD225" i="1" s="1"/>
  <c r="BZ225" i="1" s="1"/>
  <c r="AW186" i="1"/>
  <c r="AU186" i="1"/>
  <c r="BE186" i="1" s="1"/>
  <c r="CA186" i="1" s="1"/>
  <c r="AV70" i="1"/>
  <c r="BF70" i="1" s="1"/>
  <c r="CB70" i="1" s="1"/>
  <c r="AT83" i="1"/>
  <c r="BD83" i="1" s="1"/>
  <c r="BZ83" i="1" s="1"/>
  <c r="AV212" i="1"/>
  <c r="BF212" i="1" s="1"/>
  <c r="CB212" i="1" s="1"/>
  <c r="AX264" i="1"/>
  <c r="AT186" i="1"/>
  <c r="BD186" i="1" s="1"/>
  <c r="BZ186" i="1" s="1"/>
  <c r="AU173" i="1"/>
  <c r="BE173" i="1" s="1"/>
  <c r="AW83" i="1"/>
  <c r="BG83" i="1" s="1"/>
  <c r="CC83" i="1" s="1"/>
  <c r="AU44" i="1"/>
  <c r="BE44" i="1" s="1"/>
  <c r="CA44" i="1" s="1"/>
  <c r="AV31" i="1"/>
  <c r="BF31" i="1" s="1"/>
  <c r="CB31" i="1" s="1"/>
  <c r="AW264" i="1"/>
  <c r="AT316" i="1"/>
  <c r="BD316" i="1" s="1"/>
  <c r="BZ316" i="1" s="1"/>
  <c r="AX238" i="1"/>
  <c r="AV148" i="1"/>
  <c r="BF148" i="1" s="1"/>
  <c r="CB148" i="1" s="1"/>
  <c r="AT173" i="1"/>
  <c r="BD173" i="1" s="1"/>
  <c r="AV44" i="1"/>
  <c r="BF44" i="1" s="1"/>
  <c r="CB44" i="1" s="1"/>
  <c r="AT70" i="1"/>
  <c r="BD70" i="1" s="1"/>
  <c r="BZ70" i="1" s="1"/>
  <c r="AV238" i="1"/>
  <c r="BF238" i="1" s="1"/>
  <c r="CB238" i="1" s="1"/>
  <c r="AV225" i="1"/>
  <c r="BF225" i="1" s="1"/>
  <c r="CB225" i="1" s="1"/>
  <c r="AT199" i="1"/>
  <c r="BD199" i="1" s="1"/>
  <c r="BZ199" i="1" s="1"/>
  <c r="AV199" i="1"/>
  <c r="BF199" i="1" s="1"/>
  <c r="CB199" i="1" s="1"/>
  <c r="AW109" i="1"/>
  <c r="BG109" i="1" s="1"/>
  <c r="CC109" i="1" s="1"/>
  <c r="AU70" i="1"/>
  <c r="BE70" i="1" s="1"/>
  <c r="CA70" i="1" s="1"/>
  <c r="AW31" i="1"/>
  <c r="BG31" i="1" s="1"/>
  <c r="CC31" i="1" s="1"/>
  <c r="AX303" i="1"/>
  <c r="AT212" i="1"/>
  <c r="BD212" i="1" s="1"/>
  <c r="BZ212" i="1" s="1"/>
  <c r="AX277" i="1"/>
  <c r="AU109" i="1"/>
  <c r="BE109" i="1" s="1"/>
  <c r="CA109" i="1" s="1"/>
  <c r="AT148" i="1"/>
  <c r="BD148" i="1" s="1"/>
  <c r="BZ148" i="1" s="1"/>
  <c r="AU18" i="1"/>
  <c r="BE18" i="1" s="1"/>
  <c r="AT57" i="1"/>
  <c r="BD57" i="1" s="1"/>
  <c r="BZ57" i="1" s="1"/>
  <c r="AW316" i="1"/>
  <c r="AU238" i="1"/>
  <c r="BE238" i="1" s="1"/>
  <c r="CA238" i="1" s="1"/>
  <c r="AT264" i="1"/>
  <c r="BD264" i="1" s="1"/>
  <c r="BZ264" i="1" s="1"/>
  <c r="AV109" i="1"/>
  <c r="BF109" i="1" s="1"/>
  <c r="CB109" i="1" s="1"/>
  <c r="AT109" i="1"/>
  <c r="BD109" i="1" s="1"/>
  <c r="BZ109" i="1" s="1"/>
  <c r="AX96" i="1"/>
  <c r="BH96" i="1" s="1"/>
  <c r="CD96" i="1" s="1"/>
  <c r="AT18" i="1"/>
  <c r="BD18" i="1" s="1"/>
  <c r="AV316" i="1"/>
  <c r="BF316" i="1" s="1"/>
  <c r="CB316" i="1" s="1"/>
  <c r="AW303" i="1"/>
  <c r="AX199" i="1"/>
  <c r="AV277" i="1"/>
  <c r="BF277" i="1" s="1"/>
  <c r="CB277" i="1" s="1"/>
  <c r="AT135" i="1"/>
  <c r="BD135" i="1" s="1"/>
  <c r="BZ135" i="1" s="1"/>
  <c r="AU83" i="1"/>
  <c r="BE83" i="1" s="1"/>
  <c r="CA83" i="1" s="1"/>
  <c r="AT44" i="1"/>
  <c r="BD44" i="1" s="1"/>
  <c r="BZ44" i="1" s="1"/>
  <c r="AV251" i="1"/>
  <c r="BF251" i="1" s="1"/>
  <c r="CB251" i="1" s="1"/>
  <c r="AV303" i="1"/>
  <c r="BF303" i="1" s="1"/>
  <c r="CB303" i="1" s="1"/>
  <c r="AW148" i="1"/>
  <c r="BG148" i="1" s="1"/>
  <c r="CC148" i="1" s="1"/>
  <c r="AU135" i="1"/>
  <c r="BE135" i="1" s="1"/>
  <c r="CA135" i="1" s="1"/>
  <c r="AW57" i="1"/>
  <c r="BG57" i="1" s="1"/>
  <c r="CC57" i="1" s="1"/>
  <c r="AT31" i="1"/>
  <c r="BD31" i="1" s="1"/>
  <c r="BZ31" i="1" s="1"/>
  <c r="AW290" i="1"/>
  <c r="AU290" i="1"/>
  <c r="BE290" i="1" s="1"/>
  <c r="CA290" i="1" s="1"/>
  <c r="AX186" i="1"/>
  <c r="AV186" i="1"/>
  <c r="BF186" i="1" s="1"/>
  <c r="CB186" i="1" s="1"/>
  <c r="AU96" i="1"/>
  <c r="BE96" i="1" s="1"/>
  <c r="AU57" i="1"/>
  <c r="BE57" i="1" s="1"/>
  <c r="CA57" i="1" s="1"/>
  <c r="AW18" i="1"/>
  <c r="BG18" i="1" s="1"/>
  <c r="AW212" i="1"/>
  <c r="AU251" i="1"/>
  <c r="BE251" i="1" s="1"/>
  <c r="CA251" i="1" s="1"/>
  <c r="AX316" i="1"/>
  <c r="AV173" i="1"/>
  <c r="BF173" i="1" s="1"/>
  <c r="AX173" i="1"/>
  <c r="AV57" i="1"/>
  <c r="BF57" i="1" s="1"/>
  <c r="CB57" i="1" s="1"/>
  <c r="AX70" i="1"/>
  <c r="BH70" i="1" s="1"/>
  <c r="CD70" i="1" s="1"/>
  <c r="AV264" i="1"/>
  <c r="BF264" i="1" s="1"/>
  <c r="CB264" i="1" s="1"/>
  <c r="AT251" i="1"/>
  <c r="BD251" i="1" s="1"/>
  <c r="BZ251" i="1" s="1"/>
  <c r="AW173" i="1"/>
  <c r="AU148" i="1"/>
  <c r="BE148" i="1" s="1"/>
  <c r="CA148" i="1" s="1"/>
  <c r="AW70" i="1"/>
  <c r="BG70" i="1" s="1"/>
  <c r="CC70" i="1" s="1"/>
  <c r="AX31" i="1"/>
  <c r="BH31" i="1" s="1"/>
  <c r="CD31" i="1" s="1"/>
  <c r="AV18" i="1"/>
  <c r="BF18" i="1" s="1"/>
  <c r="CB174" i="1" l="1"/>
  <c r="CA174" i="1"/>
  <c r="CA176" i="1"/>
  <c r="BZ168" i="1"/>
  <c r="BZ173" i="1"/>
  <c r="BZ171" i="1"/>
  <c r="BZ174" i="1"/>
  <c r="CB168" i="1"/>
  <c r="CB173" i="1"/>
  <c r="CA171" i="1"/>
  <c r="BZ176" i="1"/>
  <c r="CA173" i="1"/>
  <c r="BZ180" i="1"/>
  <c r="CA175" i="1"/>
  <c r="CB176" i="1"/>
  <c r="CA168" i="1"/>
  <c r="CA180" i="1"/>
  <c r="BZ175" i="1"/>
  <c r="CB175" i="1"/>
  <c r="CA169" i="1"/>
  <c r="BZ169" i="1"/>
  <c r="CA172" i="1"/>
  <c r="CA170" i="1"/>
  <c r="BZ178" i="1"/>
  <c r="CA178" i="1"/>
  <c r="BZ172" i="1"/>
  <c r="CB177" i="1"/>
  <c r="BZ179" i="1"/>
  <c r="CB179" i="1"/>
  <c r="CB171" i="1"/>
  <c r="CB180" i="1"/>
  <c r="CB169" i="1"/>
  <c r="BZ177" i="1"/>
  <c r="CB170" i="1"/>
  <c r="CA179" i="1"/>
  <c r="CB172" i="1"/>
  <c r="CA177" i="1"/>
  <c r="BZ170" i="1"/>
  <c r="CB178" i="1"/>
  <c r="CD102" i="1"/>
  <c r="BZ93" i="1"/>
  <c r="CA96" i="1"/>
  <c r="CB99" i="1"/>
  <c r="CB20" i="1"/>
  <c r="CD20" i="1"/>
  <c r="CA14" i="1"/>
  <c r="BZ15" i="1"/>
  <c r="CB24" i="1"/>
  <c r="CC24" i="1"/>
  <c r="CD23" i="1"/>
  <c r="BZ17" i="1"/>
  <c r="CD17" i="1"/>
  <c r="CA22" i="1"/>
  <c r="CC25" i="1"/>
  <c r="BZ20" i="1"/>
  <c r="CC17" i="1"/>
  <c r="BZ21" i="1"/>
  <c r="CD21" i="1"/>
  <c r="CA13" i="1"/>
  <c r="CD18" i="1"/>
  <c r="CA25" i="1"/>
  <c r="CA19" i="1"/>
  <c r="CD13" i="1"/>
  <c r="BZ16" i="1"/>
  <c r="BZ19" i="1"/>
  <c r="CB19" i="1"/>
  <c r="BZ13" i="1"/>
  <c r="CA18" i="1"/>
  <c r="CD16" i="1"/>
  <c r="CA20" i="1"/>
  <c r="CB13" i="1"/>
  <c r="AF30" i="54" s="1"/>
  <c r="CC18" i="1"/>
  <c r="CB18" i="1"/>
  <c r="AF35" i="54" s="1"/>
  <c r="CB15" i="1"/>
  <c r="CA15" i="1"/>
  <c r="BZ24" i="1"/>
  <c r="CB23" i="1"/>
  <c r="BZ14" i="1"/>
  <c r="CB14" i="1"/>
  <c r="BZ22" i="1"/>
  <c r="CD15" i="1"/>
  <c r="CA24" i="1"/>
  <c r="CC23" i="1"/>
  <c r="CD14" i="1"/>
  <c r="BZ25" i="1"/>
  <c r="CC14" i="1"/>
  <c r="CB21" i="1"/>
  <c r="CD19" i="1"/>
  <c r="CC13" i="1"/>
  <c r="CC19" i="1"/>
  <c r="CA21" i="1"/>
  <c r="CA16" i="1"/>
  <c r="CB25" i="1"/>
  <c r="CD25" i="1"/>
  <c r="CC21" i="1"/>
  <c r="BZ18" i="1"/>
  <c r="CB16" i="1"/>
  <c r="AF110" i="54" s="1"/>
  <c r="CC16" i="1"/>
  <c r="CB22" i="1"/>
  <c r="AF260" i="54" s="1"/>
  <c r="CA23" i="1"/>
  <c r="CA17" i="1"/>
  <c r="CB17" i="1"/>
  <c r="CD22" i="1"/>
  <c r="CC22" i="1"/>
  <c r="CC15" i="1"/>
  <c r="CD24" i="1"/>
  <c r="BZ23" i="1"/>
  <c r="BT146" i="1"/>
  <c r="CE146" i="1" s="1"/>
  <c r="BZ146" i="1"/>
  <c r="BT184" i="1"/>
  <c r="CE184" i="1" s="1"/>
  <c r="BZ184" i="1"/>
  <c r="BT68" i="1"/>
  <c r="CE68" i="1" s="1"/>
  <c r="BZ68" i="1"/>
  <c r="BT120" i="1"/>
  <c r="CE120" i="1" s="1"/>
  <c r="BZ120" i="1"/>
  <c r="BT236" i="1"/>
  <c r="CE236" i="1" s="1"/>
  <c r="BZ236" i="1"/>
  <c r="BT314" i="1"/>
  <c r="CE314" i="1" s="1"/>
  <c r="BZ314" i="1"/>
  <c r="BT313" i="1"/>
  <c r="CE313" i="1" s="1"/>
  <c r="BZ313" i="1"/>
  <c r="BT102" i="1"/>
  <c r="CE102" i="1" s="1"/>
  <c r="BZ102" i="1"/>
  <c r="BT89" i="1"/>
  <c r="CE89" i="1" s="1"/>
  <c r="BZ89" i="1"/>
  <c r="CC20" i="1"/>
  <c r="AP76" i="54" s="1"/>
  <c r="CC121" i="1"/>
  <c r="CB118" i="1"/>
  <c r="CD118" i="1"/>
  <c r="BT222" i="1"/>
  <c r="CE222" i="1" s="1"/>
  <c r="BZ222" i="1"/>
  <c r="BT67" i="1"/>
  <c r="CE67" i="1" s="1"/>
  <c r="BZ67" i="1"/>
  <c r="BT183" i="1"/>
  <c r="CE183" i="1" s="1"/>
  <c r="BZ183" i="1"/>
  <c r="BT244" i="1"/>
  <c r="CE244" i="1" s="1"/>
  <c r="BZ244" i="1"/>
  <c r="BT197" i="1"/>
  <c r="CE197" i="1" s="1"/>
  <c r="BZ197" i="1"/>
  <c r="CD121" i="1"/>
  <c r="BT300" i="1"/>
  <c r="CE300" i="1" s="1"/>
  <c r="BZ300" i="1"/>
  <c r="BT196" i="1"/>
  <c r="CE196" i="1" s="1"/>
  <c r="BZ196" i="1"/>
  <c r="BT76" i="1"/>
  <c r="CE76" i="1" s="1"/>
  <c r="BZ76" i="1"/>
  <c r="BT128" i="1"/>
  <c r="CE128" i="1" s="1"/>
  <c r="BZ128" i="1"/>
  <c r="CC118" i="1"/>
  <c r="CB121" i="1"/>
  <c r="CA118" i="1"/>
  <c r="CA121" i="1"/>
  <c r="BT248" i="1"/>
  <c r="CE248" i="1" s="1"/>
  <c r="BT145" i="1"/>
  <c r="CE145" i="1" s="1"/>
  <c r="BT41" i="1"/>
  <c r="CE41" i="1" s="1"/>
  <c r="BT209" i="1"/>
  <c r="CE209" i="1" s="1"/>
  <c r="BT37" i="1"/>
  <c r="CE37" i="1" s="1"/>
  <c r="BT283" i="1"/>
  <c r="CE283" i="1" s="1"/>
  <c r="BT257" i="1"/>
  <c r="CE257" i="1" s="1"/>
  <c r="BT170" i="1"/>
  <c r="BT231" i="1"/>
  <c r="CE231" i="1" s="1"/>
  <c r="BT126" i="1"/>
  <c r="CE126" i="1" s="1"/>
  <c r="BT29" i="1"/>
  <c r="CE29" i="1" s="1"/>
  <c r="BT205" i="1"/>
  <c r="CE205" i="1" s="1"/>
  <c r="BT133" i="1"/>
  <c r="CE133" i="1" s="1"/>
  <c r="BT288" i="1"/>
  <c r="CE288" i="1" s="1"/>
  <c r="BT15" i="1"/>
  <c r="BT93" i="1"/>
  <c r="CE93" i="1" s="1"/>
  <c r="BT210" i="1"/>
  <c r="CE210" i="1" s="1"/>
  <c r="BT296" i="1"/>
  <c r="CE296" i="1" s="1"/>
  <c r="BT63" i="1"/>
  <c r="CE63" i="1" s="1"/>
  <c r="BT275" i="1"/>
  <c r="CE275" i="1" s="1"/>
  <c r="BT274" i="1"/>
  <c r="CE274" i="1" s="1"/>
  <c r="BT107" i="1"/>
  <c r="CE107" i="1" s="1"/>
  <c r="BT179" i="1"/>
  <c r="BT54" i="1"/>
  <c r="CE54" i="1" s="1"/>
  <c r="BT192" i="1"/>
  <c r="CE192" i="1" s="1"/>
  <c r="BT106" i="1"/>
  <c r="CE106" i="1" s="1"/>
  <c r="BT115" i="1"/>
  <c r="CE115" i="1" s="1"/>
  <c r="BT262" i="1"/>
  <c r="CE262" i="1" s="1"/>
  <c r="BT94" i="1"/>
  <c r="CE94" i="1" s="1"/>
  <c r="BT50" i="1"/>
  <c r="CE50" i="1" s="1"/>
  <c r="BT132" i="1"/>
  <c r="CE132" i="1" s="1"/>
  <c r="BT249" i="1"/>
  <c r="CE249" i="1" s="1"/>
  <c r="BT223" i="1"/>
  <c r="CE223" i="1" s="1"/>
  <c r="BT55" i="1"/>
  <c r="CE55" i="1" s="1"/>
  <c r="BT171" i="1"/>
  <c r="BT16" i="1"/>
  <c r="BT42" i="1"/>
  <c r="CE42" i="1" s="1"/>
  <c r="BT81" i="1"/>
  <c r="CE81" i="1" s="1"/>
  <c r="BT309" i="1"/>
  <c r="CE309" i="1" s="1"/>
  <c r="BT322" i="1"/>
  <c r="CE322" i="1" s="1"/>
  <c r="BT80" i="1"/>
  <c r="CE80" i="1" s="1"/>
  <c r="BT28" i="1"/>
  <c r="CE28" i="1" s="1"/>
  <c r="BT261" i="1"/>
  <c r="CE261" i="1" s="1"/>
  <c r="BT154" i="1"/>
  <c r="CE154" i="1" s="1"/>
  <c r="BT141" i="1"/>
  <c r="CE141" i="1" s="1"/>
  <c r="BT287" i="1"/>
  <c r="CE287" i="1" s="1"/>
  <c r="BT24" i="1"/>
  <c r="BT218" i="1"/>
  <c r="CE218" i="1" s="1"/>
  <c r="BT270" i="1"/>
  <c r="CE270" i="1" s="1"/>
  <c r="BT119" i="1"/>
  <c r="CE119" i="1" s="1"/>
  <c r="BT301" i="1"/>
  <c r="CE301" i="1" s="1"/>
  <c r="AF90" i="54" l="1"/>
  <c r="AJ90" i="54" s="1"/>
  <c r="AF224" i="54"/>
  <c r="AG224" i="54" s="1"/>
  <c r="AH224" i="54" s="1"/>
  <c r="AI224" i="54" s="1"/>
  <c r="AK224" i="54" s="1"/>
  <c r="AT76" i="54"/>
  <c r="AQ76" i="54"/>
  <c r="AR76" i="54" s="1"/>
  <c r="AS76" i="54" s="1"/>
  <c r="AG110" i="54"/>
  <c r="AH110" i="54" s="1"/>
  <c r="AI110" i="54" s="1"/>
  <c r="AK110" i="54" s="1"/>
  <c r="AJ110" i="54"/>
  <c r="AF20" i="54"/>
  <c r="AG30" i="54"/>
  <c r="AH30" i="54" s="1"/>
  <c r="AI30" i="54" s="1"/>
  <c r="AK30" i="54" s="1"/>
  <c r="AJ30" i="54"/>
  <c r="AJ260" i="54"/>
  <c r="AG260" i="54"/>
  <c r="AH260" i="54" s="1"/>
  <c r="AI260" i="54" s="1"/>
  <c r="AK260" i="54" s="1"/>
  <c r="AG35" i="54"/>
  <c r="AH35" i="54" s="1"/>
  <c r="AI35" i="54" s="1"/>
  <c r="AK35" i="54" s="1"/>
  <c r="AJ35" i="54"/>
  <c r="L326" i="54"/>
  <c r="L196" i="54"/>
  <c r="L131" i="54"/>
  <c r="L300" i="54"/>
  <c r="L144" i="54"/>
  <c r="L118" i="54"/>
  <c r="L287" i="54"/>
  <c r="L92" i="54"/>
  <c r="L66" i="54"/>
  <c r="L79" i="54"/>
  <c r="L248" i="54"/>
  <c r="L365" i="54"/>
  <c r="L40" i="54"/>
  <c r="L27" i="54"/>
  <c r="V137" i="54"/>
  <c r="V150" i="54"/>
  <c r="V358" i="54"/>
  <c r="V241" i="54"/>
  <c r="V33" i="54"/>
  <c r="V79" i="54"/>
  <c r="V92" i="54"/>
  <c r="V300" i="54"/>
  <c r="V183" i="54"/>
  <c r="V391" i="54"/>
  <c r="L113" i="54"/>
  <c r="L282" i="54"/>
  <c r="L126" i="54"/>
  <c r="L100" i="54"/>
  <c r="L269" i="54"/>
  <c r="L74" i="54"/>
  <c r="L48" i="54"/>
  <c r="L61" i="54"/>
  <c r="L321" i="54"/>
  <c r="L230" i="54"/>
  <c r="L347" i="54"/>
  <c r="L22" i="54"/>
  <c r="V188" i="54"/>
  <c r="V396" i="54"/>
  <c r="V71" i="54"/>
  <c r="V279" i="54"/>
  <c r="V155" i="54"/>
  <c r="V168" i="54"/>
  <c r="V376" i="54"/>
  <c r="V51" i="54"/>
  <c r="V259" i="54"/>
  <c r="L164" i="54"/>
  <c r="L216" i="54"/>
  <c r="L138" i="54"/>
  <c r="L151" i="54"/>
  <c r="L203" i="54"/>
  <c r="L307" i="54"/>
  <c r="L86" i="54"/>
  <c r="L99" i="54"/>
  <c r="L112" i="54"/>
  <c r="L385" i="54"/>
  <c r="L268" i="54"/>
  <c r="L60" i="54"/>
  <c r="L34" i="54"/>
  <c r="L47" i="54"/>
  <c r="V41" i="54"/>
  <c r="V54" i="54"/>
  <c r="V262" i="54"/>
  <c r="V353" i="54"/>
  <c r="V145" i="54"/>
  <c r="L182" i="54"/>
  <c r="L234" i="54"/>
  <c r="L156" i="54"/>
  <c r="L169" i="54"/>
  <c r="L130" i="54"/>
  <c r="L221" i="54"/>
  <c r="L104" i="54"/>
  <c r="L117" i="54"/>
  <c r="L403" i="54"/>
  <c r="L78" i="54"/>
  <c r="L65" i="54"/>
  <c r="L52" i="54"/>
  <c r="L286" i="54"/>
  <c r="L302" i="54"/>
  <c r="L146" i="54"/>
  <c r="L315" i="54"/>
  <c r="L198" i="54"/>
  <c r="L120" i="54"/>
  <c r="L133" i="54"/>
  <c r="L185" i="54"/>
  <c r="L289" i="54"/>
  <c r="L68" i="54"/>
  <c r="L81" i="54"/>
  <c r="L94" i="54"/>
  <c r="L367" i="54"/>
  <c r="L42" i="54"/>
  <c r="L250" i="54"/>
  <c r="L29" i="54"/>
  <c r="L16" i="54"/>
  <c r="AF287" i="54"/>
  <c r="AF66" i="54"/>
  <c r="L262" i="54"/>
  <c r="L93" i="54"/>
  <c r="L106" i="54"/>
  <c r="L80" i="54"/>
  <c r="L249" i="54"/>
  <c r="L41" i="54"/>
  <c r="L54" i="54"/>
  <c r="L28" i="54"/>
  <c r="L314" i="54"/>
  <c r="L210" i="54"/>
  <c r="L184" i="54"/>
  <c r="V18" i="54"/>
  <c r="V226" i="54"/>
  <c r="V109" i="54"/>
  <c r="V317" i="54"/>
  <c r="V206" i="54"/>
  <c r="V89" i="54"/>
  <c r="V297" i="54"/>
  <c r="V61" i="54"/>
  <c r="V74" i="54"/>
  <c r="V282" i="54"/>
  <c r="V165" i="54"/>
  <c r="V373" i="54"/>
  <c r="L95" i="54"/>
  <c r="L264" i="54"/>
  <c r="L108" i="54"/>
  <c r="L82" i="54"/>
  <c r="L251" i="54"/>
  <c r="L56" i="54"/>
  <c r="L30" i="54"/>
  <c r="L43" i="54"/>
  <c r="L329" i="54"/>
  <c r="L212" i="54"/>
  <c r="L244" i="54"/>
  <c r="L75" i="54"/>
  <c r="L88" i="54"/>
  <c r="L62" i="54"/>
  <c r="L322" i="54"/>
  <c r="L231" i="54"/>
  <c r="L23" i="54"/>
  <c r="L36" i="54"/>
  <c r="L296" i="54"/>
  <c r="L192" i="54"/>
  <c r="L166" i="54"/>
  <c r="L179" i="54"/>
  <c r="L357" i="54"/>
  <c r="L188" i="54"/>
  <c r="L292" i="54"/>
  <c r="L19" i="54"/>
  <c r="L32" i="54"/>
  <c r="L370" i="54"/>
  <c r="L162" i="54"/>
  <c r="L279" i="54"/>
  <c r="L175" i="54"/>
  <c r="L240" i="54"/>
  <c r="L110" i="54"/>
  <c r="L123" i="54"/>
  <c r="L136" i="54"/>
  <c r="V23" i="54"/>
  <c r="V36" i="54"/>
  <c r="V244" i="54"/>
  <c r="V335" i="54"/>
  <c r="V127" i="54"/>
  <c r="V307" i="54"/>
  <c r="V99" i="54"/>
  <c r="V320" i="54"/>
  <c r="V112" i="54"/>
  <c r="V203" i="54"/>
  <c r="V251" i="54"/>
  <c r="V43" i="54"/>
  <c r="V56" i="54"/>
  <c r="V264" i="54"/>
  <c r="V355" i="54"/>
  <c r="V147" i="54"/>
  <c r="L337" i="54"/>
  <c r="L272" i="54"/>
  <c r="L142" i="54"/>
  <c r="L155" i="54"/>
  <c r="L350" i="54"/>
  <c r="L259" i="54"/>
  <c r="L168" i="54"/>
  <c r="L90" i="54"/>
  <c r="L220" i="54"/>
  <c r="L103" i="54"/>
  <c r="L116" i="54"/>
  <c r="L375" i="54"/>
  <c r="L206" i="54"/>
  <c r="L310" i="54"/>
  <c r="L50" i="54"/>
  <c r="L24" i="54"/>
  <c r="L37" i="54"/>
  <c r="L388" i="54"/>
  <c r="L193" i="54"/>
  <c r="L180" i="54"/>
  <c r="L297" i="54"/>
  <c r="L154" i="54"/>
  <c r="L128" i="54"/>
  <c r="L258" i="54"/>
  <c r="L141" i="54"/>
  <c r="V117" i="54"/>
  <c r="V325" i="54"/>
  <c r="V338" i="54"/>
  <c r="V130" i="54"/>
  <c r="V221" i="54"/>
  <c r="L254" i="54"/>
  <c r="L176" i="54"/>
  <c r="L332" i="54"/>
  <c r="L241" i="54"/>
  <c r="L150" i="54"/>
  <c r="L124" i="54"/>
  <c r="L137" i="54"/>
  <c r="L306" i="54"/>
  <c r="L98" i="54"/>
  <c r="L85" i="54"/>
  <c r="L202" i="54"/>
  <c r="L72" i="54"/>
  <c r="L226" i="54"/>
  <c r="L395" i="54"/>
  <c r="L57" i="54"/>
  <c r="L70" i="54"/>
  <c r="L44" i="54"/>
  <c r="L213" i="54"/>
  <c r="L18" i="54"/>
  <c r="L161" i="54"/>
  <c r="L278" i="54"/>
  <c r="L148" i="54"/>
  <c r="L174" i="54"/>
  <c r="V81" i="54"/>
  <c r="V289" i="54"/>
  <c r="V302" i="54"/>
  <c r="V94" i="54"/>
  <c r="V185" i="54"/>
  <c r="V393" i="54"/>
  <c r="AL183" i="56"/>
  <c r="AL79" i="56"/>
  <c r="AL274" i="56"/>
  <c r="AL170" i="56"/>
  <c r="AL300" i="56"/>
  <c r="AL196" i="56"/>
  <c r="AL326" i="56"/>
  <c r="AL222" i="56"/>
  <c r="AL352" i="56"/>
  <c r="AL248" i="56"/>
  <c r="AL144" i="56"/>
  <c r="AL66" i="56"/>
  <c r="AL92" i="56"/>
  <c r="AL118" i="56"/>
  <c r="AL40" i="56"/>
  <c r="AL27" i="56"/>
  <c r="AL391" i="56"/>
  <c r="N382" i="56"/>
  <c r="N395" i="56"/>
  <c r="N304" i="56"/>
  <c r="N330" i="56"/>
  <c r="N369" i="56"/>
  <c r="N278" i="56"/>
  <c r="N174" i="56"/>
  <c r="N70" i="56"/>
  <c r="N317" i="56"/>
  <c r="N213" i="56"/>
  <c r="N109" i="56"/>
  <c r="N356" i="56"/>
  <c r="N200" i="56"/>
  <c r="N96" i="56"/>
  <c r="N343" i="56"/>
  <c r="N239" i="56"/>
  <c r="N135" i="56"/>
  <c r="N31" i="56"/>
  <c r="N226" i="56"/>
  <c r="N122" i="56"/>
  <c r="N18" i="56"/>
  <c r="N265" i="56"/>
  <c r="N161" i="56"/>
  <c r="N57" i="56"/>
  <c r="N252" i="56"/>
  <c r="N148" i="56"/>
  <c r="N44" i="56"/>
  <c r="N291" i="56"/>
  <c r="N187" i="56"/>
  <c r="N83" i="56"/>
  <c r="Z377" i="56"/>
  <c r="Z403" i="56"/>
  <c r="Z338" i="56"/>
  <c r="Z234" i="56"/>
  <c r="Z130" i="56"/>
  <c r="Z26" i="56"/>
  <c r="Z364" i="56"/>
  <c r="Z260" i="56"/>
  <c r="Z156" i="56"/>
  <c r="Z52" i="56"/>
  <c r="Z390" i="56"/>
  <c r="Z286" i="56"/>
  <c r="Z182" i="56"/>
  <c r="Z78" i="56"/>
  <c r="Z312" i="56"/>
  <c r="Z208" i="56"/>
  <c r="Z104" i="56"/>
  <c r="Z273" i="56"/>
  <c r="Z169" i="56"/>
  <c r="Z65" i="56"/>
  <c r="Z299" i="56"/>
  <c r="Z195" i="56"/>
  <c r="Z91" i="56"/>
  <c r="Z325" i="56"/>
  <c r="Z221" i="56"/>
  <c r="Z117" i="56"/>
  <c r="Z351" i="56"/>
  <c r="Z247" i="56"/>
  <c r="Z143" i="56"/>
  <c r="Z39" i="56"/>
  <c r="AL384" i="56"/>
  <c r="AL319" i="56"/>
  <c r="AL215" i="56"/>
  <c r="AL111" i="56"/>
  <c r="AL345" i="56"/>
  <c r="AL241" i="56"/>
  <c r="AL137" i="56"/>
  <c r="AL267" i="56"/>
  <c r="AL293" i="56"/>
  <c r="AL189" i="56"/>
  <c r="AL85" i="56"/>
  <c r="AL59" i="56"/>
  <c r="AL163" i="56"/>
  <c r="AL397" i="56"/>
  <c r="AL371" i="56"/>
  <c r="AL98" i="56"/>
  <c r="AL202" i="56"/>
  <c r="AL124" i="56"/>
  <c r="AL306" i="56"/>
  <c r="AL228" i="56"/>
  <c r="AL332" i="56"/>
  <c r="AL20" i="56"/>
  <c r="AL358" i="56"/>
  <c r="AL280" i="56"/>
  <c r="AL46" i="56"/>
  <c r="AL33" i="56"/>
  <c r="AL150" i="56"/>
  <c r="AL72" i="56"/>
  <c r="AL254" i="56"/>
  <c r="AL176" i="56"/>
  <c r="Z392" i="56"/>
  <c r="Z353" i="56"/>
  <c r="Z249" i="56"/>
  <c r="Z145" i="56"/>
  <c r="Z41" i="56"/>
  <c r="Z379" i="56"/>
  <c r="Z275" i="56"/>
  <c r="Z171" i="56"/>
  <c r="Z67" i="56"/>
  <c r="Z405" i="56"/>
  <c r="Z301" i="56"/>
  <c r="Z197" i="56"/>
  <c r="Z93" i="56"/>
  <c r="Z327" i="56"/>
  <c r="Z223" i="56"/>
  <c r="Z119" i="56"/>
  <c r="Z288" i="56"/>
  <c r="Z184" i="56"/>
  <c r="Z80" i="56"/>
  <c r="Z314" i="56"/>
  <c r="Z210" i="56"/>
  <c r="Z106" i="56"/>
  <c r="Z366" i="56"/>
  <c r="Z340" i="56"/>
  <c r="Z236" i="56"/>
  <c r="Z132" i="56"/>
  <c r="Z262" i="56"/>
  <c r="Z158" i="56"/>
  <c r="Z54" i="56"/>
  <c r="Z28" i="56"/>
  <c r="AL369" i="56"/>
  <c r="AL304" i="56"/>
  <c r="AL200" i="56"/>
  <c r="AL96" i="56"/>
  <c r="AL330" i="56"/>
  <c r="AL226" i="56"/>
  <c r="AL122" i="56"/>
  <c r="AL356" i="56"/>
  <c r="AL252" i="56"/>
  <c r="AL278" i="56"/>
  <c r="AL174" i="56"/>
  <c r="AL148" i="56"/>
  <c r="AL44" i="56"/>
  <c r="AL70" i="56"/>
  <c r="AL382" i="56"/>
  <c r="AL187" i="56"/>
  <c r="AL109" i="56"/>
  <c r="AL31" i="56"/>
  <c r="AL291" i="56"/>
  <c r="AL213" i="56"/>
  <c r="AL317" i="56"/>
  <c r="AL83" i="56"/>
  <c r="AL395" i="56"/>
  <c r="AL135" i="56"/>
  <c r="AL57" i="56"/>
  <c r="AL18" i="56"/>
  <c r="AL239" i="56"/>
  <c r="AL161" i="56"/>
  <c r="AL343" i="56"/>
  <c r="AL265" i="56"/>
  <c r="N377" i="56"/>
  <c r="N390" i="56"/>
  <c r="N364" i="56"/>
  <c r="N403" i="56"/>
  <c r="N312" i="56"/>
  <c r="N234" i="56"/>
  <c r="N130" i="56"/>
  <c r="N26" i="56"/>
  <c r="N273" i="56"/>
  <c r="N169" i="56"/>
  <c r="N65" i="56"/>
  <c r="N338" i="56"/>
  <c r="N260" i="56"/>
  <c r="N156" i="56"/>
  <c r="N52" i="56"/>
  <c r="N299" i="56"/>
  <c r="N195" i="56"/>
  <c r="N91" i="56"/>
  <c r="N286" i="56"/>
  <c r="N182" i="56"/>
  <c r="N78" i="56"/>
  <c r="N325" i="56"/>
  <c r="N221" i="56"/>
  <c r="N117" i="56"/>
  <c r="N208" i="56"/>
  <c r="N104" i="56"/>
  <c r="N351" i="56"/>
  <c r="N247" i="56"/>
  <c r="N143" i="56"/>
  <c r="N39" i="56"/>
  <c r="AL289" i="56"/>
  <c r="AL185" i="56"/>
  <c r="AL81" i="56"/>
  <c r="AL315" i="56"/>
  <c r="AL211" i="56"/>
  <c r="AL107" i="56"/>
  <c r="AL341" i="56"/>
  <c r="AL237" i="56"/>
  <c r="AL393" i="56"/>
  <c r="AL263" i="56"/>
  <c r="AL159" i="56"/>
  <c r="AL55" i="56"/>
  <c r="AL133" i="56"/>
  <c r="AL367" i="56"/>
  <c r="AL276" i="56"/>
  <c r="AL42" i="56"/>
  <c r="AL198" i="56"/>
  <c r="AL16" i="56"/>
  <c r="AL302" i="56"/>
  <c r="AL380" i="56"/>
  <c r="AL68" i="56"/>
  <c r="AL172" i="56"/>
  <c r="AL94" i="56"/>
  <c r="AL120" i="56"/>
  <c r="AL224" i="56"/>
  <c r="AL146" i="56"/>
  <c r="AL328" i="56"/>
  <c r="AL250" i="56"/>
  <c r="AL29" i="56"/>
  <c r="AL354" i="56"/>
  <c r="AL138" i="56"/>
  <c r="AL242" i="56"/>
  <c r="AL398" i="56"/>
  <c r="AL333" i="56"/>
  <c r="AL229" i="56"/>
  <c r="AL125" i="56"/>
  <c r="AL359" i="56"/>
  <c r="AL255" i="56"/>
  <c r="AL281" i="56"/>
  <c r="AL177" i="56"/>
  <c r="AL372" i="56"/>
  <c r="AL307" i="56"/>
  <c r="AL203" i="56"/>
  <c r="AL21" i="56"/>
  <c r="AL151" i="56"/>
  <c r="AL47" i="56"/>
  <c r="AL73" i="56"/>
  <c r="AL99" i="56"/>
  <c r="AL34" i="56"/>
  <c r="AL123" i="56"/>
  <c r="AL227" i="56"/>
  <c r="AL383" i="56"/>
  <c r="AL318" i="56"/>
  <c r="AL214" i="56"/>
  <c r="AL344" i="56"/>
  <c r="AL240" i="56"/>
  <c r="AL266" i="56"/>
  <c r="AL162" i="56"/>
  <c r="AL292" i="56"/>
  <c r="AL188" i="56"/>
  <c r="AL136" i="56"/>
  <c r="AL110" i="56"/>
  <c r="AL32" i="56"/>
  <c r="AL58" i="56"/>
  <c r="AL84" i="56"/>
  <c r="AL45" i="56"/>
  <c r="AL19" i="56"/>
  <c r="AL405" i="56"/>
  <c r="AL275" i="56"/>
  <c r="AL171" i="56"/>
  <c r="AL301" i="56"/>
  <c r="AL197" i="56"/>
  <c r="AL93" i="56"/>
  <c r="AL379" i="56"/>
  <c r="AL327" i="56"/>
  <c r="AL223" i="56"/>
  <c r="AL353" i="56"/>
  <c r="AL249" i="56"/>
  <c r="AL145" i="56"/>
  <c r="AL119" i="56"/>
  <c r="AL67" i="56"/>
  <c r="AL392" i="56"/>
  <c r="AL158" i="56"/>
  <c r="AL80" i="56"/>
  <c r="AL262" i="56"/>
  <c r="AL184" i="56"/>
  <c r="AL28" i="56"/>
  <c r="AL366" i="56"/>
  <c r="AL288" i="56"/>
  <c r="AL54" i="56"/>
  <c r="AL340" i="56"/>
  <c r="AL106" i="56"/>
  <c r="AL210" i="56"/>
  <c r="AL132" i="56"/>
  <c r="AL314" i="56"/>
  <c r="AL236" i="56"/>
  <c r="AL41" i="56"/>
  <c r="N405" i="56"/>
  <c r="N379" i="56"/>
  <c r="N392" i="56"/>
  <c r="N301" i="56"/>
  <c r="N353" i="56"/>
  <c r="N249" i="56"/>
  <c r="N145" i="56"/>
  <c r="N41" i="56"/>
  <c r="N288" i="56"/>
  <c r="N184" i="56"/>
  <c r="N80" i="56"/>
  <c r="N275" i="56"/>
  <c r="N171" i="56"/>
  <c r="N67" i="56"/>
  <c r="N314" i="56"/>
  <c r="N210" i="56"/>
  <c r="N106" i="56"/>
  <c r="N327" i="56"/>
  <c r="N197" i="56"/>
  <c r="N93" i="56"/>
  <c r="N340" i="56"/>
  <c r="N236" i="56"/>
  <c r="N132" i="56"/>
  <c r="N28" i="56"/>
  <c r="N223" i="56"/>
  <c r="N119" i="56"/>
  <c r="N366" i="56"/>
  <c r="N262" i="56"/>
  <c r="N158" i="56"/>
  <c r="N54" i="56"/>
  <c r="AL390" i="56"/>
  <c r="AL364" i="56"/>
  <c r="AL260" i="56"/>
  <c r="AL156" i="56"/>
  <c r="AL403" i="56"/>
  <c r="AL286" i="56"/>
  <c r="AL182" i="56"/>
  <c r="AL312" i="56"/>
  <c r="AL208" i="56"/>
  <c r="AL338" i="56"/>
  <c r="AL234" i="56"/>
  <c r="AL130" i="56"/>
  <c r="AL52" i="56"/>
  <c r="AL104" i="56"/>
  <c r="AL78" i="56"/>
  <c r="AL377" i="56"/>
  <c r="AL247" i="56"/>
  <c r="AL169" i="56"/>
  <c r="AL351" i="56"/>
  <c r="AL273" i="56"/>
  <c r="AL143" i="56"/>
  <c r="AL65" i="56"/>
  <c r="AL91" i="56"/>
  <c r="AL195" i="56"/>
  <c r="AL117" i="56"/>
  <c r="AL39" i="56"/>
  <c r="AL299" i="56"/>
  <c r="AL221" i="56"/>
  <c r="AL325" i="56"/>
  <c r="AL26" i="56"/>
  <c r="N397" i="56"/>
  <c r="N371" i="56"/>
  <c r="N384" i="56"/>
  <c r="N319" i="56"/>
  <c r="N345" i="56"/>
  <c r="N189" i="56"/>
  <c r="N85" i="56"/>
  <c r="N332" i="56"/>
  <c r="N228" i="56"/>
  <c r="N124" i="56"/>
  <c r="N20" i="56"/>
  <c r="N215" i="56"/>
  <c r="N111" i="56"/>
  <c r="N358" i="56"/>
  <c r="N254" i="56"/>
  <c r="N150" i="56"/>
  <c r="N46" i="56"/>
  <c r="N241" i="56"/>
  <c r="N137" i="56"/>
  <c r="N33" i="56"/>
  <c r="N280" i="56"/>
  <c r="N176" i="56"/>
  <c r="N72" i="56"/>
  <c r="N293" i="56"/>
  <c r="N267" i="56"/>
  <c r="N163" i="56"/>
  <c r="N59" i="56"/>
  <c r="N306" i="56"/>
  <c r="N202" i="56"/>
  <c r="N98" i="56"/>
  <c r="Z404" i="56"/>
  <c r="Z391" i="56"/>
  <c r="Z352" i="56"/>
  <c r="Z248" i="56"/>
  <c r="Z144" i="56"/>
  <c r="Z40" i="56"/>
  <c r="Z339" i="56"/>
  <c r="Z274" i="56"/>
  <c r="Z170" i="56"/>
  <c r="Z66" i="56"/>
  <c r="Z365" i="56"/>
  <c r="Z300" i="56"/>
  <c r="Z196" i="56"/>
  <c r="Z92" i="56"/>
  <c r="Z326" i="56"/>
  <c r="Z222" i="56"/>
  <c r="Z118" i="56"/>
  <c r="Z378" i="56"/>
  <c r="Z313" i="56"/>
  <c r="Z209" i="56"/>
  <c r="Z105" i="56"/>
  <c r="Z235" i="56"/>
  <c r="Z131" i="56"/>
  <c r="Z27" i="56"/>
  <c r="Z261" i="56"/>
  <c r="Z157" i="56"/>
  <c r="Z287" i="56"/>
  <c r="Z183" i="56"/>
  <c r="Z79" i="56"/>
  <c r="Z53" i="56"/>
  <c r="N378" i="56"/>
  <c r="N404" i="56"/>
  <c r="N391" i="56"/>
  <c r="N365" i="56"/>
  <c r="N261" i="56"/>
  <c r="N157" i="56"/>
  <c r="N53" i="56"/>
  <c r="N287" i="56"/>
  <c r="N183" i="56"/>
  <c r="N79" i="56"/>
  <c r="N339" i="56"/>
  <c r="N235" i="56"/>
  <c r="N131" i="56"/>
  <c r="N27" i="56"/>
  <c r="N105" i="56"/>
  <c r="N352" i="56"/>
  <c r="N248" i="56"/>
  <c r="N144" i="56"/>
  <c r="N40" i="56"/>
  <c r="N209" i="56"/>
  <c r="N274" i="56"/>
  <c r="N170" i="56"/>
  <c r="N66" i="56"/>
  <c r="N313" i="56"/>
  <c r="N300" i="56"/>
  <c r="N196" i="56"/>
  <c r="N92" i="56"/>
  <c r="N326" i="56"/>
  <c r="N222" i="56"/>
  <c r="N118" i="56"/>
  <c r="Z395" i="56"/>
  <c r="Z369" i="56"/>
  <c r="Z382" i="56"/>
  <c r="Z278" i="56"/>
  <c r="Z174" i="56"/>
  <c r="Z70" i="56"/>
  <c r="Z304" i="56"/>
  <c r="Z200" i="56"/>
  <c r="Z96" i="56"/>
  <c r="Z330" i="56"/>
  <c r="Z226" i="56"/>
  <c r="Z122" i="56"/>
  <c r="Z356" i="56"/>
  <c r="Z252" i="56"/>
  <c r="Z148" i="56"/>
  <c r="Z44" i="56"/>
  <c r="Z317" i="56"/>
  <c r="Z213" i="56"/>
  <c r="Z109" i="56"/>
  <c r="Z18" i="56"/>
  <c r="Z343" i="56"/>
  <c r="Z239" i="56"/>
  <c r="Z135" i="56"/>
  <c r="Z31" i="56"/>
  <c r="Z265" i="56"/>
  <c r="Z161" i="56"/>
  <c r="Z57" i="56"/>
  <c r="Z291" i="56"/>
  <c r="Z187" i="56"/>
  <c r="Z83" i="56"/>
  <c r="Z397" i="56"/>
  <c r="Z293" i="56"/>
  <c r="Z189" i="56"/>
  <c r="Z85" i="56"/>
  <c r="Z319" i="56"/>
  <c r="Z215" i="56"/>
  <c r="Z111" i="56"/>
  <c r="Z345" i="56"/>
  <c r="Z241" i="56"/>
  <c r="Z137" i="56"/>
  <c r="Z33" i="56"/>
  <c r="Z384" i="56"/>
  <c r="Z371" i="56"/>
  <c r="Z267" i="56"/>
  <c r="Z163" i="56"/>
  <c r="Z59" i="56"/>
  <c r="Z332" i="56"/>
  <c r="Z228" i="56"/>
  <c r="Z124" i="56"/>
  <c r="Z20" i="56"/>
  <c r="Z358" i="56"/>
  <c r="Z254" i="56"/>
  <c r="Z150" i="56"/>
  <c r="Z46" i="56"/>
  <c r="Z280" i="56"/>
  <c r="Z176" i="56"/>
  <c r="Z72" i="56"/>
  <c r="Z306" i="56"/>
  <c r="Z202" i="56"/>
  <c r="Z98" i="56"/>
  <c r="N393" i="56"/>
  <c r="N367" i="56"/>
  <c r="N380" i="56"/>
  <c r="N289" i="56"/>
  <c r="N315" i="56"/>
  <c r="N341" i="56"/>
  <c r="N263" i="56"/>
  <c r="N159" i="56"/>
  <c r="N55" i="56"/>
  <c r="N302" i="56"/>
  <c r="N198" i="56"/>
  <c r="N94" i="56"/>
  <c r="N185" i="56"/>
  <c r="N81" i="56"/>
  <c r="N328" i="56"/>
  <c r="N224" i="56"/>
  <c r="N120" i="56"/>
  <c r="N16" i="56"/>
  <c r="N211" i="56"/>
  <c r="N107" i="56"/>
  <c r="N354" i="56"/>
  <c r="N250" i="56"/>
  <c r="N146" i="56"/>
  <c r="N42" i="56"/>
  <c r="N237" i="56"/>
  <c r="N133" i="56"/>
  <c r="N29" i="56"/>
  <c r="N276" i="56"/>
  <c r="N172" i="56"/>
  <c r="N68" i="56"/>
  <c r="Z380" i="56"/>
  <c r="Z367" i="56"/>
  <c r="Z263" i="56"/>
  <c r="Z159" i="56"/>
  <c r="Z55" i="56"/>
  <c r="Z393" i="56"/>
  <c r="Z289" i="56"/>
  <c r="Z185" i="56"/>
  <c r="Z81" i="56"/>
  <c r="Z315" i="56"/>
  <c r="Z211" i="56"/>
  <c r="Z107" i="56"/>
  <c r="Z341" i="56"/>
  <c r="Z237" i="56"/>
  <c r="Z133" i="56"/>
  <c r="Z29" i="56"/>
  <c r="Z302" i="56"/>
  <c r="Z198" i="56"/>
  <c r="Z94" i="56"/>
  <c r="Z328" i="56"/>
  <c r="Z224" i="56"/>
  <c r="Z120" i="56"/>
  <c r="Z16" i="56"/>
  <c r="Z250" i="56"/>
  <c r="Z146" i="56"/>
  <c r="Z42" i="56"/>
  <c r="Z354" i="56"/>
  <c r="Z276" i="56"/>
  <c r="Z172" i="56"/>
  <c r="Z68" i="56"/>
  <c r="AL375" i="56"/>
  <c r="AL349" i="56"/>
  <c r="AL245" i="56"/>
  <c r="AL141" i="56"/>
  <c r="AL271" i="56"/>
  <c r="AL167" i="56"/>
  <c r="AL388" i="56"/>
  <c r="AL297" i="56"/>
  <c r="AL193" i="56"/>
  <c r="AL323" i="56"/>
  <c r="AL219" i="56"/>
  <c r="AL115" i="56"/>
  <c r="AL89" i="56"/>
  <c r="AL63" i="56"/>
  <c r="AL336" i="56"/>
  <c r="AL258" i="56"/>
  <c r="AL362" i="56"/>
  <c r="AL128" i="56"/>
  <c r="AL232" i="56"/>
  <c r="AL154" i="56"/>
  <c r="AL50" i="56"/>
  <c r="AL180" i="56"/>
  <c r="AL102" i="56"/>
  <c r="AL37" i="56"/>
  <c r="AL24" i="56"/>
  <c r="AL401" i="56"/>
  <c r="AL284" i="56"/>
  <c r="AL206" i="56"/>
  <c r="AL310" i="56"/>
  <c r="AL76" i="56"/>
  <c r="N401" i="56"/>
  <c r="N375" i="56"/>
  <c r="N349" i="56"/>
  <c r="N388" i="56"/>
  <c r="N219" i="56"/>
  <c r="N115" i="56"/>
  <c r="N362" i="56"/>
  <c r="N258" i="56"/>
  <c r="N154" i="56"/>
  <c r="N50" i="56"/>
  <c r="N245" i="56"/>
  <c r="N141" i="56"/>
  <c r="N37" i="56"/>
  <c r="N284" i="56"/>
  <c r="N180" i="56"/>
  <c r="N76" i="56"/>
  <c r="N297" i="56"/>
  <c r="N271" i="56"/>
  <c r="N167" i="56"/>
  <c r="N63" i="56"/>
  <c r="N310" i="56"/>
  <c r="N206" i="56"/>
  <c r="N102" i="56"/>
  <c r="N323" i="56"/>
  <c r="N193" i="56"/>
  <c r="N89" i="56"/>
  <c r="N336" i="56"/>
  <c r="N232" i="56"/>
  <c r="N128" i="56"/>
  <c r="N24" i="56"/>
  <c r="Z385" i="56"/>
  <c r="Z398" i="56"/>
  <c r="Z307" i="56"/>
  <c r="Z203" i="56"/>
  <c r="Z99" i="56"/>
  <c r="Z372" i="56"/>
  <c r="Z333" i="56"/>
  <c r="Z229" i="56"/>
  <c r="Z125" i="56"/>
  <c r="Z21" i="56"/>
  <c r="Z255" i="56"/>
  <c r="Z151" i="56"/>
  <c r="Z47" i="56"/>
  <c r="Z359" i="56"/>
  <c r="Z281" i="56"/>
  <c r="Z177" i="56"/>
  <c r="Z73" i="56"/>
  <c r="Z268" i="56"/>
  <c r="Z164" i="56"/>
  <c r="Z60" i="56"/>
  <c r="Z294" i="56"/>
  <c r="Z190" i="56"/>
  <c r="Z86" i="56"/>
  <c r="Z320" i="56"/>
  <c r="Z216" i="56"/>
  <c r="Z112" i="56"/>
  <c r="Z346" i="56"/>
  <c r="Z242" i="56"/>
  <c r="Z138" i="56"/>
  <c r="Z34" i="56"/>
  <c r="Z381" i="56"/>
  <c r="Z394" i="56"/>
  <c r="Z355" i="56"/>
  <c r="Z277" i="56"/>
  <c r="Z173" i="56"/>
  <c r="Z69" i="56"/>
  <c r="Z303" i="56"/>
  <c r="Z199" i="56"/>
  <c r="Z95" i="56"/>
  <c r="Z329" i="56"/>
  <c r="Z225" i="56"/>
  <c r="Z121" i="56"/>
  <c r="Z17" i="56"/>
  <c r="Z251" i="56"/>
  <c r="Z147" i="56"/>
  <c r="Z43" i="56"/>
  <c r="Z342" i="56"/>
  <c r="Z238" i="56"/>
  <c r="Z134" i="56"/>
  <c r="Z30" i="56"/>
  <c r="Z264" i="56"/>
  <c r="Z160" i="56"/>
  <c r="Z56" i="56"/>
  <c r="Z290" i="56"/>
  <c r="Z186" i="56"/>
  <c r="Z368" i="56"/>
  <c r="Z316" i="56"/>
  <c r="Z212" i="56"/>
  <c r="Z108" i="56"/>
  <c r="Z82" i="56"/>
  <c r="AL64" i="56"/>
  <c r="AL168" i="56"/>
  <c r="AL363" i="56"/>
  <c r="AL259" i="56"/>
  <c r="AL155" i="56"/>
  <c r="AL402" i="56"/>
  <c r="AL285" i="56"/>
  <c r="AL311" i="56"/>
  <c r="AL207" i="56"/>
  <c r="AL337" i="56"/>
  <c r="AL233" i="56"/>
  <c r="AL129" i="56"/>
  <c r="AL51" i="56"/>
  <c r="AL77" i="56"/>
  <c r="AL103" i="56"/>
  <c r="AL181" i="56"/>
  <c r="AL25" i="56"/>
  <c r="AL376" i="56"/>
  <c r="AL38" i="56"/>
  <c r="Z323" i="56"/>
  <c r="Z219" i="56"/>
  <c r="Z115" i="56"/>
  <c r="Z349" i="56"/>
  <c r="Z245" i="56"/>
  <c r="Z141" i="56"/>
  <c r="Z37" i="56"/>
  <c r="Z388" i="56"/>
  <c r="Z375" i="56"/>
  <c r="Z271" i="56"/>
  <c r="Z167" i="56"/>
  <c r="Z63" i="56"/>
  <c r="Z401" i="56"/>
  <c r="Z362" i="56"/>
  <c r="Z297" i="56"/>
  <c r="Z193" i="56"/>
  <c r="Z89" i="56"/>
  <c r="Z258" i="56"/>
  <c r="Z154" i="56"/>
  <c r="Z50" i="56"/>
  <c r="Z284" i="56"/>
  <c r="Z180" i="56"/>
  <c r="Z76" i="56"/>
  <c r="Z310" i="56"/>
  <c r="Z206" i="56"/>
  <c r="Z102" i="56"/>
  <c r="Z336" i="56"/>
  <c r="Z232" i="56"/>
  <c r="Z128" i="56"/>
  <c r="Z24" i="56"/>
  <c r="N385" i="56"/>
  <c r="N320" i="56"/>
  <c r="N216" i="56"/>
  <c r="N112" i="56"/>
  <c r="N372" i="56"/>
  <c r="N346" i="56"/>
  <c r="N242" i="56"/>
  <c r="N138" i="56"/>
  <c r="N34" i="56"/>
  <c r="N294" i="56"/>
  <c r="N190" i="56"/>
  <c r="N86" i="56"/>
  <c r="N307" i="56"/>
  <c r="N203" i="56"/>
  <c r="N99" i="56"/>
  <c r="N60" i="56"/>
  <c r="N333" i="56"/>
  <c r="N229" i="56"/>
  <c r="N125" i="56"/>
  <c r="N21" i="56"/>
  <c r="N164" i="56"/>
  <c r="N359" i="56"/>
  <c r="N255" i="56"/>
  <c r="N151" i="56"/>
  <c r="N47" i="56"/>
  <c r="N398" i="56"/>
  <c r="N268" i="56"/>
  <c r="N281" i="56"/>
  <c r="N177" i="56"/>
  <c r="N73" i="56"/>
  <c r="Z308" i="56"/>
  <c r="Z204" i="56"/>
  <c r="Z100" i="56"/>
  <c r="Z399" i="56"/>
  <c r="Z334" i="56"/>
  <c r="Z230" i="56"/>
  <c r="Z126" i="56"/>
  <c r="Z22" i="56"/>
  <c r="Z360" i="56"/>
  <c r="Z256" i="56"/>
  <c r="Z152" i="56"/>
  <c r="Z48" i="56"/>
  <c r="Z373" i="56"/>
  <c r="Z386" i="56"/>
  <c r="Z282" i="56"/>
  <c r="Z178" i="56"/>
  <c r="Z74" i="56"/>
  <c r="Z347" i="56"/>
  <c r="Z243" i="56"/>
  <c r="Z139" i="56"/>
  <c r="Z35" i="56"/>
  <c r="Z269" i="56"/>
  <c r="Z165" i="56"/>
  <c r="Z61" i="56"/>
  <c r="Z295" i="56"/>
  <c r="Z191" i="56"/>
  <c r="Z87" i="56"/>
  <c r="Z321" i="56"/>
  <c r="Z217" i="56"/>
  <c r="Z113" i="56"/>
  <c r="N389" i="56"/>
  <c r="N376" i="56"/>
  <c r="N350" i="56"/>
  <c r="N246" i="56"/>
  <c r="N142" i="56"/>
  <c r="N38" i="56"/>
  <c r="N402" i="56"/>
  <c r="N272" i="56"/>
  <c r="N168" i="56"/>
  <c r="N64" i="56"/>
  <c r="N324" i="56"/>
  <c r="N220" i="56"/>
  <c r="N116" i="56"/>
  <c r="N194" i="56"/>
  <c r="N337" i="56"/>
  <c r="N233" i="56"/>
  <c r="N129" i="56"/>
  <c r="N25" i="56"/>
  <c r="N298" i="56"/>
  <c r="N363" i="56"/>
  <c r="N259" i="56"/>
  <c r="N155" i="56"/>
  <c r="N51" i="56"/>
  <c r="N285" i="56"/>
  <c r="N181" i="56"/>
  <c r="N77" i="56"/>
  <c r="N90" i="56"/>
  <c r="N311" i="56"/>
  <c r="N207" i="56"/>
  <c r="N103" i="56"/>
  <c r="Z396" i="56"/>
  <c r="Z357" i="56"/>
  <c r="Z383" i="56"/>
  <c r="Z292" i="56"/>
  <c r="Z188" i="56"/>
  <c r="Z84" i="56"/>
  <c r="Z370" i="56"/>
  <c r="Z318" i="56"/>
  <c r="Z214" i="56"/>
  <c r="Z110" i="56"/>
  <c r="Z344" i="56"/>
  <c r="Z240" i="56"/>
  <c r="Z136" i="56"/>
  <c r="Z32" i="56"/>
  <c r="Z266" i="56"/>
  <c r="Z162" i="56"/>
  <c r="Z58" i="56"/>
  <c r="Z253" i="56"/>
  <c r="Z149" i="56"/>
  <c r="Z45" i="56"/>
  <c r="Z331" i="56"/>
  <c r="Z279" i="56"/>
  <c r="Z175" i="56"/>
  <c r="Z71" i="56"/>
  <c r="Z305" i="56"/>
  <c r="Z201" i="56"/>
  <c r="Z227" i="56"/>
  <c r="Z123" i="56"/>
  <c r="Z19" i="56"/>
  <c r="Z97" i="56"/>
  <c r="AL399" i="56"/>
  <c r="AL334" i="56"/>
  <c r="AL230" i="56"/>
  <c r="AL126" i="56"/>
  <c r="AL360" i="56"/>
  <c r="AL256" i="56"/>
  <c r="AL152" i="56"/>
  <c r="AL282" i="56"/>
  <c r="AL373" i="56"/>
  <c r="AL308" i="56"/>
  <c r="AL204" i="56"/>
  <c r="AL100" i="56"/>
  <c r="AL74" i="56"/>
  <c r="AL178" i="56"/>
  <c r="AL48" i="56"/>
  <c r="AL347" i="56"/>
  <c r="AL113" i="56"/>
  <c r="AL217" i="56"/>
  <c r="AL139" i="56"/>
  <c r="AL321" i="56"/>
  <c r="AL243" i="56"/>
  <c r="AL35" i="56"/>
  <c r="AL269" i="56"/>
  <c r="AL191" i="56"/>
  <c r="AL22" i="56"/>
  <c r="AL295" i="56"/>
  <c r="AL61" i="56"/>
  <c r="AL386" i="56"/>
  <c r="AL165" i="56"/>
  <c r="AL87" i="56"/>
  <c r="AL212" i="56"/>
  <c r="AL108" i="56"/>
  <c r="AL368" i="56"/>
  <c r="AL303" i="56"/>
  <c r="AL199" i="56"/>
  <c r="AL329" i="56"/>
  <c r="AL225" i="56"/>
  <c r="AL355" i="56"/>
  <c r="AL251" i="56"/>
  <c r="AL147" i="56"/>
  <c r="AL277" i="56"/>
  <c r="AL173" i="56"/>
  <c r="AL95" i="56"/>
  <c r="AL17" i="56"/>
  <c r="AL43" i="56"/>
  <c r="AL121" i="56"/>
  <c r="AL69" i="56"/>
  <c r="AL30" i="56"/>
  <c r="N400" i="56"/>
  <c r="N374" i="56"/>
  <c r="N335" i="56"/>
  <c r="N231" i="56"/>
  <c r="N127" i="56"/>
  <c r="N23" i="56"/>
  <c r="N387" i="56"/>
  <c r="N361" i="56"/>
  <c r="N257" i="56"/>
  <c r="N153" i="56"/>
  <c r="N49" i="56"/>
  <c r="N309" i="56"/>
  <c r="N205" i="56"/>
  <c r="N101" i="56"/>
  <c r="N283" i="56"/>
  <c r="N322" i="56"/>
  <c r="N218" i="56"/>
  <c r="N114" i="56"/>
  <c r="N348" i="56"/>
  <c r="N244" i="56"/>
  <c r="N140" i="56"/>
  <c r="N36" i="56"/>
  <c r="N75" i="56"/>
  <c r="N270" i="56"/>
  <c r="N166" i="56"/>
  <c r="N62" i="56"/>
  <c r="N179" i="56"/>
  <c r="N296" i="56"/>
  <c r="N192" i="56"/>
  <c r="N88" i="56"/>
  <c r="N370" i="56"/>
  <c r="N396" i="56"/>
  <c r="N305" i="56"/>
  <c r="N201" i="56"/>
  <c r="N97" i="56"/>
  <c r="N331" i="56"/>
  <c r="N227" i="56"/>
  <c r="N123" i="56"/>
  <c r="N19" i="56"/>
  <c r="N279" i="56"/>
  <c r="N175" i="56"/>
  <c r="N71" i="56"/>
  <c r="N45" i="56"/>
  <c r="N292" i="56"/>
  <c r="N188" i="56"/>
  <c r="N84" i="56"/>
  <c r="N149" i="56"/>
  <c r="N318" i="56"/>
  <c r="N214" i="56"/>
  <c r="N110" i="56"/>
  <c r="N383" i="56"/>
  <c r="N253" i="56"/>
  <c r="N344" i="56"/>
  <c r="N240" i="56"/>
  <c r="N136" i="56"/>
  <c r="N32" i="56"/>
  <c r="N357" i="56"/>
  <c r="N266" i="56"/>
  <c r="N162" i="56"/>
  <c r="N58" i="56"/>
  <c r="N386" i="56"/>
  <c r="N334" i="56"/>
  <c r="N373" i="56"/>
  <c r="N360" i="56"/>
  <c r="N399" i="56"/>
  <c r="N204" i="56"/>
  <c r="N100" i="56"/>
  <c r="N347" i="56"/>
  <c r="N243" i="56"/>
  <c r="N139" i="56"/>
  <c r="N35" i="56"/>
  <c r="N308" i="56"/>
  <c r="N230" i="56"/>
  <c r="N126" i="56"/>
  <c r="N22" i="56"/>
  <c r="N269" i="56"/>
  <c r="N165" i="56"/>
  <c r="N61" i="56"/>
  <c r="N256" i="56"/>
  <c r="N152" i="56"/>
  <c r="N48" i="56"/>
  <c r="N295" i="56"/>
  <c r="N191" i="56"/>
  <c r="N87" i="56"/>
  <c r="N282" i="56"/>
  <c r="N178" i="56"/>
  <c r="N74" i="56"/>
  <c r="N321" i="56"/>
  <c r="N217" i="56"/>
  <c r="N113" i="56"/>
  <c r="N381" i="56"/>
  <c r="N290" i="56"/>
  <c r="N186" i="56"/>
  <c r="N82" i="56"/>
  <c r="N316" i="56"/>
  <c r="N212" i="56"/>
  <c r="N108" i="56"/>
  <c r="N394" i="56"/>
  <c r="N264" i="56"/>
  <c r="N160" i="56"/>
  <c r="N56" i="56"/>
  <c r="N134" i="56"/>
  <c r="N277" i="56"/>
  <c r="N173" i="56"/>
  <c r="N69" i="56"/>
  <c r="N368" i="56"/>
  <c r="N238" i="56"/>
  <c r="N303" i="56"/>
  <c r="N199" i="56"/>
  <c r="N95" i="56"/>
  <c r="N342" i="56"/>
  <c r="N329" i="56"/>
  <c r="N225" i="56"/>
  <c r="N121" i="56"/>
  <c r="N17" i="56"/>
  <c r="N30" i="56"/>
  <c r="N355" i="56"/>
  <c r="N251" i="56"/>
  <c r="N147" i="56"/>
  <c r="N43" i="56"/>
  <c r="Z389" i="56"/>
  <c r="Z402" i="56"/>
  <c r="Z337" i="56"/>
  <c r="Z233" i="56"/>
  <c r="Z129" i="56"/>
  <c r="Z25" i="56"/>
  <c r="Z259" i="56"/>
  <c r="Z155" i="56"/>
  <c r="Z51" i="56"/>
  <c r="Z376" i="56"/>
  <c r="Z350" i="56"/>
  <c r="Z285" i="56"/>
  <c r="Z181" i="56"/>
  <c r="Z77" i="56"/>
  <c r="Z311" i="56"/>
  <c r="Z207" i="56"/>
  <c r="Z103" i="56"/>
  <c r="Z298" i="56"/>
  <c r="Z194" i="56"/>
  <c r="Z90" i="56"/>
  <c r="Z324" i="56"/>
  <c r="Z220" i="56"/>
  <c r="Z116" i="56"/>
  <c r="Z363" i="56"/>
  <c r="Z246" i="56"/>
  <c r="Z142" i="56"/>
  <c r="Z272" i="56"/>
  <c r="Z168" i="56"/>
  <c r="Z64" i="56"/>
  <c r="Z38" i="56"/>
  <c r="Z400" i="56"/>
  <c r="Z387" i="56"/>
  <c r="Z374" i="56"/>
  <c r="Z322" i="56"/>
  <c r="Z218" i="56"/>
  <c r="Z114" i="56"/>
  <c r="Z348" i="56"/>
  <c r="Z244" i="56"/>
  <c r="Z140" i="56"/>
  <c r="Z36" i="56"/>
  <c r="Z335" i="56"/>
  <c r="Z270" i="56"/>
  <c r="Z166" i="56"/>
  <c r="Z62" i="56"/>
  <c r="Z361" i="56"/>
  <c r="Z296" i="56"/>
  <c r="Z192" i="56"/>
  <c r="Z88" i="56"/>
  <c r="Z283" i="56"/>
  <c r="Z179" i="56"/>
  <c r="Z75" i="56"/>
  <c r="Z309" i="56"/>
  <c r="Z205" i="56"/>
  <c r="Z101" i="56"/>
  <c r="Z231" i="56"/>
  <c r="Z127" i="56"/>
  <c r="Z257" i="56"/>
  <c r="Z153" i="56"/>
  <c r="Z49" i="56"/>
  <c r="Z23" i="56"/>
  <c r="AL49" i="56"/>
  <c r="AL153" i="56"/>
  <c r="AL257" i="56"/>
  <c r="AL348" i="56"/>
  <c r="AL244" i="56"/>
  <c r="AL140" i="56"/>
  <c r="AL270" i="56"/>
  <c r="AL387" i="56"/>
  <c r="AL296" i="56"/>
  <c r="AL192" i="56"/>
  <c r="AL322" i="56"/>
  <c r="AL218" i="56"/>
  <c r="AL36" i="56"/>
  <c r="AL62" i="56"/>
  <c r="AL166" i="56"/>
  <c r="AL88" i="56"/>
  <c r="AL114" i="56"/>
  <c r="AL23" i="56"/>
  <c r="AP323" i="54"/>
  <c r="AP206" i="54"/>
  <c r="AP336" i="54"/>
  <c r="AP258" i="54"/>
  <c r="AP375" i="54"/>
  <c r="AP167" i="54"/>
  <c r="AP401" i="54"/>
  <c r="AP180" i="54"/>
  <c r="AP362" i="54"/>
  <c r="AP388" i="54"/>
  <c r="AP349" i="54"/>
  <c r="AP310" i="54"/>
  <c r="AP102" i="54"/>
  <c r="AP219" i="54"/>
  <c r="AP232" i="54"/>
  <c r="AP154" i="54"/>
  <c r="AP271" i="54"/>
  <c r="AP284" i="54"/>
  <c r="AP63" i="54"/>
  <c r="AP128" i="54"/>
  <c r="AP141" i="54"/>
  <c r="AP245" i="54"/>
  <c r="AP24" i="54"/>
  <c r="AP297" i="54"/>
  <c r="AP37" i="54"/>
  <c r="AP50" i="54"/>
  <c r="AP115" i="54"/>
  <c r="AP89" i="54"/>
  <c r="AP193" i="54"/>
  <c r="L404" i="54"/>
  <c r="L313" i="54"/>
  <c r="L105" i="54"/>
  <c r="L339" i="54"/>
  <c r="L157" i="54"/>
  <c r="L222" i="54"/>
  <c r="L235" i="54"/>
  <c r="L391" i="54"/>
  <c r="L209" i="54"/>
  <c r="L274" i="54"/>
  <c r="L170" i="54"/>
  <c r="L352" i="54"/>
  <c r="L261" i="54"/>
  <c r="L53" i="54"/>
  <c r="L378" i="54"/>
  <c r="L183" i="54"/>
  <c r="AZ379" i="54"/>
  <c r="AZ392" i="54"/>
  <c r="AZ288" i="54"/>
  <c r="AZ262" i="54"/>
  <c r="AZ158" i="54"/>
  <c r="AZ275" i="54"/>
  <c r="AZ197" i="54"/>
  <c r="AZ106" i="54"/>
  <c r="AZ67" i="54"/>
  <c r="AZ80" i="54"/>
  <c r="AZ301" i="54"/>
  <c r="AZ405" i="54"/>
  <c r="AZ210" i="54"/>
  <c r="AZ327" i="54"/>
  <c r="AZ236" i="54"/>
  <c r="AZ41" i="54"/>
  <c r="AZ314" i="54"/>
  <c r="AZ171" i="54"/>
  <c r="AZ249" i="54"/>
  <c r="AZ132" i="54"/>
  <c r="AZ145" i="54"/>
  <c r="AZ93" i="54"/>
  <c r="AZ28" i="54"/>
  <c r="AZ366" i="54"/>
  <c r="AZ340" i="54"/>
  <c r="AZ353" i="54"/>
  <c r="AZ223" i="54"/>
  <c r="AZ184" i="54"/>
  <c r="AZ54" i="54"/>
  <c r="AZ119" i="54"/>
  <c r="AP226" i="54"/>
  <c r="AP135" i="54"/>
  <c r="AP148" i="54"/>
  <c r="AP330" i="54"/>
  <c r="AP356" i="54"/>
  <c r="AP369" i="54"/>
  <c r="AP278" i="54"/>
  <c r="AP187" i="54"/>
  <c r="AP200" i="54"/>
  <c r="AP382" i="54"/>
  <c r="AP122" i="54"/>
  <c r="AP317" i="54"/>
  <c r="AP239" i="54"/>
  <c r="AP252" i="54"/>
  <c r="AP343" i="54"/>
  <c r="AP174" i="54"/>
  <c r="AP395" i="54"/>
  <c r="AP291" i="54"/>
  <c r="AP304" i="54"/>
  <c r="AP109" i="54"/>
  <c r="AP213" i="54"/>
  <c r="AP83" i="54"/>
  <c r="AP18" i="54"/>
  <c r="AP57" i="54"/>
  <c r="AP161" i="54"/>
  <c r="AP70" i="54"/>
  <c r="AP44" i="54"/>
  <c r="AP265" i="54"/>
  <c r="AP96" i="54"/>
  <c r="AP31" i="54"/>
  <c r="AP390" i="54"/>
  <c r="AP377" i="54"/>
  <c r="AP130" i="54"/>
  <c r="AP247" i="54"/>
  <c r="AP260" i="54"/>
  <c r="AP182" i="54"/>
  <c r="AP299" i="54"/>
  <c r="AP351" i="54"/>
  <c r="AP312" i="54"/>
  <c r="AP234" i="54"/>
  <c r="AP403" i="54"/>
  <c r="AP143" i="54"/>
  <c r="AP338" i="54"/>
  <c r="AP364" i="54"/>
  <c r="AP286" i="54"/>
  <c r="AP195" i="54"/>
  <c r="AP208" i="54"/>
  <c r="AP221" i="54"/>
  <c r="AP65" i="54"/>
  <c r="AP273" i="54"/>
  <c r="AP78" i="54"/>
  <c r="AP169" i="54"/>
  <c r="AP104" i="54"/>
  <c r="AP39" i="54"/>
  <c r="AP325" i="54"/>
  <c r="AP117" i="54"/>
  <c r="AP91" i="54"/>
  <c r="AP156" i="54"/>
  <c r="AP26" i="54"/>
  <c r="AP52" i="54"/>
  <c r="AZ351" i="54"/>
  <c r="AZ325" i="54"/>
  <c r="AZ286" i="54"/>
  <c r="AZ143" i="54"/>
  <c r="AZ221" i="54"/>
  <c r="AZ104" i="54"/>
  <c r="AZ338" i="54"/>
  <c r="AZ377" i="54"/>
  <c r="AZ195" i="54"/>
  <c r="AZ156" i="54"/>
  <c r="AZ117" i="54"/>
  <c r="AZ273" i="54"/>
  <c r="AZ26" i="54"/>
  <c r="AZ91" i="54"/>
  <c r="AZ39" i="54"/>
  <c r="AZ130" i="54"/>
  <c r="AZ390" i="54"/>
  <c r="AZ364" i="54"/>
  <c r="AZ299" i="54"/>
  <c r="AZ234" i="54"/>
  <c r="AZ208" i="54"/>
  <c r="AZ78" i="54"/>
  <c r="AZ247" i="54"/>
  <c r="AZ52" i="54"/>
  <c r="AZ403" i="54"/>
  <c r="AZ312" i="54"/>
  <c r="AZ182" i="54"/>
  <c r="AZ260" i="54"/>
  <c r="AZ65" i="54"/>
  <c r="AZ169" i="54"/>
  <c r="AF280" i="54"/>
  <c r="AF397" i="54"/>
  <c r="AF241" i="54"/>
  <c r="AF33" i="54"/>
  <c r="AF150" i="54"/>
  <c r="AF358" i="54"/>
  <c r="AF215" i="54"/>
  <c r="AF124" i="54"/>
  <c r="AF46" i="54"/>
  <c r="AF319" i="54"/>
  <c r="AF332" i="54"/>
  <c r="AF85" i="54"/>
  <c r="AF306" i="54"/>
  <c r="AF202" i="54"/>
  <c r="AF267" i="54"/>
  <c r="AF59" i="54"/>
  <c r="AF228" i="54"/>
  <c r="AF371" i="54"/>
  <c r="AF384" i="54"/>
  <c r="AF293" i="54"/>
  <c r="AF137" i="54"/>
  <c r="AF254" i="54"/>
  <c r="AF111" i="54"/>
  <c r="AF176" i="54"/>
  <c r="AF72" i="54"/>
  <c r="AF345" i="54"/>
  <c r="AF189" i="54"/>
  <c r="AF98" i="54"/>
  <c r="AF163" i="54"/>
  <c r="V371" i="54"/>
  <c r="V163" i="54"/>
  <c r="V280" i="54"/>
  <c r="V72" i="54"/>
  <c r="V202" i="54"/>
  <c r="V85" i="54"/>
  <c r="V215" i="54"/>
  <c r="V332" i="54"/>
  <c r="V124" i="54"/>
  <c r="V306" i="54"/>
  <c r="V189" i="54"/>
  <c r="V46" i="54"/>
  <c r="V267" i="54"/>
  <c r="V59" i="54"/>
  <c r="V384" i="54"/>
  <c r="V176" i="54"/>
  <c r="V293" i="54"/>
  <c r="V254" i="54"/>
  <c r="V345" i="54"/>
  <c r="V319" i="54"/>
  <c r="V111" i="54"/>
  <c r="V228" i="54"/>
  <c r="V20" i="54"/>
  <c r="V98" i="54"/>
  <c r="V397" i="54"/>
  <c r="V313" i="54"/>
  <c r="V105" i="54"/>
  <c r="V222" i="54"/>
  <c r="V144" i="54"/>
  <c r="V27" i="54"/>
  <c r="V196" i="54"/>
  <c r="V287" i="54"/>
  <c r="V365" i="54"/>
  <c r="V157" i="54"/>
  <c r="V274" i="54"/>
  <c r="V66" i="54"/>
  <c r="V248" i="54"/>
  <c r="V131" i="54"/>
  <c r="V404" i="54"/>
  <c r="V209" i="54"/>
  <c r="V326" i="54"/>
  <c r="V118" i="54"/>
  <c r="V352" i="54"/>
  <c r="V235" i="54"/>
  <c r="V261" i="54"/>
  <c r="V53" i="54"/>
  <c r="V378" i="54"/>
  <c r="V170" i="54"/>
  <c r="V40" i="54"/>
  <c r="V339" i="54"/>
  <c r="AF377" i="54"/>
  <c r="AF286" i="54"/>
  <c r="AF221" i="54"/>
  <c r="AF130" i="54"/>
  <c r="AF195" i="54"/>
  <c r="AF208" i="54"/>
  <c r="AF312" i="54"/>
  <c r="AF299" i="54"/>
  <c r="AF273" i="54"/>
  <c r="AF65" i="54"/>
  <c r="AF182" i="54"/>
  <c r="AF247" i="54"/>
  <c r="AF156" i="54"/>
  <c r="AF351" i="54"/>
  <c r="AF364" i="54"/>
  <c r="AF117" i="54"/>
  <c r="AF234" i="54"/>
  <c r="AF91" i="54"/>
  <c r="AF39" i="54"/>
  <c r="AF390" i="54"/>
  <c r="AF403" i="54"/>
  <c r="AF325" i="54"/>
  <c r="AF169" i="54"/>
  <c r="AF78" i="54"/>
  <c r="AF338" i="54"/>
  <c r="AF143" i="54"/>
  <c r="AF104" i="54"/>
  <c r="AF52" i="54"/>
  <c r="AF26" i="54"/>
  <c r="AP188" i="54"/>
  <c r="AP305" i="54"/>
  <c r="AP318" i="54"/>
  <c r="AP240" i="54"/>
  <c r="AP357" i="54"/>
  <c r="AP149" i="54"/>
  <c r="AP383" i="54"/>
  <c r="AP344" i="54"/>
  <c r="AP370" i="54"/>
  <c r="AP331" i="54"/>
  <c r="AP292" i="54"/>
  <c r="AP201" i="54"/>
  <c r="AP396" i="54"/>
  <c r="AP136" i="54"/>
  <c r="AP253" i="54"/>
  <c r="AP266" i="54"/>
  <c r="AP45" i="54"/>
  <c r="AP58" i="54"/>
  <c r="AP214" i="54"/>
  <c r="AP97" i="54"/>
  <c r="AP279" i="54"/>
  <c r="AP19" i="54"/>
  <c r="AP32" i="54"/>
  <c r="AP227" i="54"/>
  <c r="AP123" i="54"/>
  <c r="AP162" i="54"/>
  <c r="AP71" i="54"/>
  <c r="AP84" i="54"/>
  <c r="AP175" i="54"/>
  <c r="AP110" i="54"/>
  <c r="AF305" i="54"/>
  <c r="AF318" i="54"/>
  <c r="AF71" i="54"/>
  <c r="AF188" i="54"/>
  <c r="AF253" i="54"/>
  <c r="AF19" i="54"/>
  <c r="AF32" i="54"/>
  <c r="AF357" i="54"/>
  <c r="AF370" i="54"/>
  <c r="AF123" i="54"/>
  <c r="AF240" i="54"/>
  <c r="AF396" i="54"/>
  <c r="AF97" i="54"/>
  <c r="AF162" i="54"/>
  <c r="AF45" i="54"/>
  <c r="AF331" i="54"/>
  <c r="AF175" i="54"/>
  <c r="AF344" i="54"/>
  <c r="AF279" i="54"/>
  <c r="AF84" i="54"/>
  <c r="AF149" i="54"/>
  <c r="AF58" i="54"/>
  <c r="AF266" i="54"/>
  <c r="AF383" i="54"/>
  <c r="AF227" i="54"/>
  <c r="AF292" i="54"/>
  <c r="AF136" i="54"/>
  <c r="AF201" i="54"/>
  <c r="AF214" i="54"/>
  <c r="L386" i="54"/>
  <c r="L295" i="54"/>
  <c r="L87" i="54"/>
  <c r="L399" i="54"/>
  <c r="L178" i="54"/>
  <c r="L139" i="54"/>
  <c r="L204" i="54"/>
  <c r="L217" i="54"/>
  <c r="L373" i="54"/>
  <c r="L191" i="54"/>
  <c r="L256" i="54"/>
  <c r="L152" i="54"/>
  <c r="L334" i="54"/>
  <c r="L243" i="54"/>
  <c r="L35" i="54"/>
  <c r="L308" i="54"/>
  <c r="L360" i="54"/>
  <c r="L165" i="54"/>
  <c r="AP168" i="54"/>
  <c r="AP285" i="54"/>
  <c r="AP298" i="54"/>
  <c r="AP220" i="54"/>
  <c r="AP324" i="54"/>
  <c r="AP272" i="54"/>
  <c r="AP181" i="54"/>
  <c r="AP376" i="54"/>
  <c r="AP402" i="54"/>
  <c r="AP116" i="54"/>
  <c r="AP233" i="54"/>
  <c r="AP363" i="54"/>
  <c r="AP246" i="54"/>
  <c r="AP194" i="54"/>
  <c r="AP337" i="54"/>
  <c r="AP350" i="54"/>
  <c r="AP25" i="54"/>
  <c r="AP90" i="54"/>
  <c r="AP259" i="54"/>
  <c r="AP311" i="54"/>
  <c r="AP77" i="54"/>
  <c r="AP38" i="54"/>
  <c r="AP142" i="54"/>
  <c r="AP155" i="54"/>
  <c r="AP207" i="54"/>
  <c r="AP103" i="54"/>
  <c r="AP389" i="54"/>
  <c r="AP51" i="54"/>
  <c r="AP64" i="54"/>
  <c r="AP129" i="54"/>
  <c r="AZ333" i="54"/>
  <c r="AZ307" i="54"/>
  <c r="AZ216" i="54"/>
  <c r="AZ203" i="54"/>
  <c r="AZ255" i="54"/>
  <c r="AZ86" i="54"/>
  <c r="AZ359" i="54"/>
  <c r="AZ320" i="54"/>
  <c r="AZ281" i="54"/>
  <c r="AZ177" i="54"/>
  <c r="AZ138" i="54"/>
  <c r="AZ99" i="54"/>
  <c r="AZ73" i="54"/>
  <c r="AZ21" i="54"/>
  <c r="AZ229" i="54"/>
  <c r="AZ372" i="54"/>
  <c r="AZ346" i="54"/>
  <c r="AZ190" i="54"/>
  <c r="AZ242" i="54"/>
  <c r="AZ60" i="54"/>
  <c r="AZ34" i="54"/>
  <c r="AZ125" i="54"/>
  <c r="AZ151" i="54"/>
  <c r="AZ385" i="54"/>
  <c r="AZ398" i="54"/>
  <c r="AZ294" i="54"/>
  <c r="AZ268" i="54"/>
  <c r="AZ164" i="54"/>
  <c r="AZ112" i="54"/>
  <c r="AZ47" i="54"/>
  <c r="AF359" i="54"/>
  <c r="AF203" i="54"/>
  <c r="AF112" i="54"/>
  <c r="AF177" i="54"/>
  <c r="AF190" i="54"/>
  <c r="AF60" i="54"/>
  <c r="AF242" i="54"/>
  <c r="AF294" i="54"/>
  <c r="AF281" i="54"/>
  <c r="AF255" i="54"/>
  <c r="AF47" i="54"/>
  <c r="AF164" i="54"/>
  <c r="AF229" i="54"/>
  <c r="AF138" i="54"/>
  <c r="AF333" i="54"/>
  <c r="AF346" i="54"/>
  <c r="AF99" i="54"/>
  <c r="AF216" i="54"/>
  <c r="AF73" i="54"/>
  <c r="AF21" i="54"/>
  <c r="AF385" i="54"/>
  <c r="AF398" i="54"/>
  <c r="AF307" i="54"/>
  <c r="AF151" i="54"/>
  <c r="AF268" i="54"/>
  <c r="AF320" i="54"/>
  <c r="AF125" i="54"/>
  <c r="AF86" i="54"/>
  <c r="AF34" i="54"/>
  <c r="AF372" i="54"/>
  <c r="V201" i="54"/>
  <c r="V318" i="54"/>
  <c r="V110" i="54"/>
  <c r="V32" i="54"/>
  <c r="V331" i="54"/>
  <c r="V253" i="54"/>
  <c r="V45" i="54"/>
  <c r="V370" i="54"/>
  <c r="V162" i="54"/>
  <c r="V136" i="54"/>
  <c r="V19" i="54"/>
  <c r="V305" i="54"/>
  <c r="V97" i="54"/>
  <c r="V214" i="54"/>
  <c r="V240" i="54"/>
  <c r="V123" i="54"/>
  <c r="V84" i="54"/>
  <c r="V175" i="54"/>
  <c r="V357" i="54"/>
  <c r="V149" i="54"/>
  <c r="V266" i="54"/>
  <c r="V58" i="54"/>
  <c r="V344" i="54"/>
  <c r="V227" i="54"/>
  <c r="V292" i="54"/>
  <c r="V383" i="54"/>
  <c r="V389" i="54"/>
  <c r="V181" i="54"/>
  <c r="V298" i="54"/>
  <c r="V90" i="54"/>
  <c r="V220" i="54"/>
  <c r="V103" i="54"/>
  <c r="V233" i="54"/>
  <c r="V25" i="54"/>
  <c r="V350" i="54"/>
  <c r="V142" i="54"/>
  <c r="V324" i="54"/>
  <c r="V207" i="54"/>
  <c r="V64" i="54"/>
  <c r="V285" i="54"/>
  <c r="V77" i="54"/>
  <c r="V402" i="54"/>
  <c r="V194" i="54"/>
  <c r="V311" i="54"/>
  <c r="V272" i="54"/>
  <c r="V363" i="54"/>
  <c r="V337" i="54"/>
  <c r="V129" i="54"/>
  <c r="V246" i="54"/>
  <c r="V38" i="54"/>
  <c r="V116" i="54"/>
  <c r="AP244" i="54"/>
  <c r="AP153" i="54"/>
  <c r="AP166" i="54"/>
  <c r="AP348" i="54"/>
  <c r="AP374" i="54"/>
  <c r="AP387" i="54"/>
  <c r="AP296" i="54"/>
  <c r="AP322" i="54"/>
  <c r="AP205" i="54"/>
  <c r="AP218" i="54"/>
  <c r="AP400" i="54"/>
  <c r="AP140" i="54"/>
  <c r="AP335" i="54"/>
  <c r="AP257" i="54"/>
  <c r="AP270" i="54"/>
  <c r="AP192" i="54"/>
  <c r="AP309" i="54"/>
  <c r="AP127" i="54"/>
  <c r="AP231" i="54"/>
  <c r="AP283" i="54"/>
  <c r="AP23" i="54"/>
  <c r="AP36" i="54"/>
  <c r="AP101" i="54"/>
  <c r="AP75" i="54"/>
  <c r="AP179" i="54"/>
  <c r="AP88" i="54"/>
  <c r="AP62" i="54"/>
  <c r="AP114" i="54"/>
  <c r="AP49" i="54"/>
  <c r="AP361" i="54"/>
  <c r="AP316" i="54"/>
  <c r="AP264" i="54"/>
  <c r="AP342" i="54"/>
  <c r="AP173" i="54"/>
  <c r="AP355" i="54"/>
  <c r="AP186" i="54"/>
  <c r="AP368" i="54"/>
  <c r="AP394" i="54"/>
  <c r="AP108" i="54"/>
  <c r="AP225" i="54"/>
  <c r="AP238" i="54"/>
  <c r="AP160" i="54"/>
  <c r="AP277" i="54"/>
  <c r="AP290" i="54"/>
  <c r="AP212" i="54"/>
  <c r="AP329" i="54"/>
  <c r="AP134" i="54"/>
  <c r="AP30" i="54"/>
  <c r="AP121" i="54"/>
  <c r="AP43" i="54"/>
  <c r="AP56" i="54"/>
  <c r="AP251" i="54"/>
  <c r="AP381" i="54"/>
  <c r="AP95" i="54"/>
  <c r="AP17" i="54"/>
  <c r="AP303" i="54"/>
  <c r="AP147" i="54"/>
  <c r="AP199" i="54"/>
  <c r="AP69" i="54"/>
  <c r="AP82" i="54"/>
  <c r="AZ400" i="54"/>
  <c r="AZ374" i="54"/>
  <c r="AZ244" i="54"/>
  <c r="AZ140" i="54"/>
  <c r="AZ257" i="54"/>
  <c r="AZ335" i="54"/>
  <c r="AZ218" i="54"/>
  <c r="AZ179" i="54"/>
  <c r="AZ88" i="54"/>
  <c r="AZ49" i="54"/>
  <c r="AZ361" i="54"/>
  <c r="AZ322" i="54"/>
  <c r="AZ387" i="54"/>
  <c r="AZ283" i="54"/>
  <c r="AZ192" i="54"/>
  <c r="AZ270" i="54"/>
  <c r="AZ127" i="54"/>
  <c r="AZ62" i="54"/>
  <c r="AZ296" i="54"/>
  <c r="AZ309" i="54"/>
  <c r="AZ153" i="54"/>
  <c r="AZ231" i="54"/>
  <c r="AZ75" i="54"/>
  <c r="AZ348" i="54"/>
  <c r="AZ205" i="54"/>
  <c r="AZ166" i="54"/>
  <c r="AZ36" i="54"/>
  <c r="AZ101" i="54"/>
  <c r="AZ114" i="54"/>
  <c r="AZ23" i="54"/>
  <c r="AF298" i="54"/>
  <c r="AF259" i="54"/>
  <c r="AF51" i="54"/>
  <c r="AF168" i="54"/>
  <c r="AF376" i="54"/>
  <c r="AF233" i="54"/>
  <c r="AF142" i="54"/>
  <c r="AF64" i="54"/>
  <c r="AF337" i="54"/>
  <c r="AF350" i="54"/>
  <c r="AF103" i="54"/>
  <c r="AF324" i="54"/>
  <c r="AF285" i="54"/>
  <c r="AF220" i="54"/>
  <c r="AF77" i="54"/>
  <c r="AF246" i="54"/>
  <c r="AF25" i="54"/>
  <c r="AF389" i="54"/>
  <c r="AF402" i="54"/>
  <c r="AF311" i="54"/>
  <c r="AF155" i="54"/>
  <c r="AF272" i="54"/>
  <c r="AF129" i="54"/>
  <c r="AF194" i="54"/>
  <c r="AF363" i="54"/>
  <c r="AF207" i="54"/>
  <c r="AF116" i="54"/>
  <c r="AF181" i="54"/>
  <c r="AF38" i="54"/>
  <c r="AP354" i="54"/>
  <c r="AP380" i="54"/>
  <c r="AP302" i="54"/>
  <c r="AP94" i="54"/>
  <c r="AP211" i="54"/>
  <c r="AP224" i="54"/>
  <c r="AP146" i="54"/>
  <c r="AP263" i="54"/>
  <c r="AP315" i="54"/>
  <c r="AP276" i="54"/>
  <c r="AP198" i="54"/>
  <c r="AP367" i="54"/>
  <c r="AP393" i="54"/>
  <c r="AP328" i="54"/>
  <c r="AP250" i="54"/>
  <c r="AP159" i="54"/>
  <c r="AP341" i="54"/>
  <c r="AP172" i="54"/>
  <c r="AP185" i="54"/>
  <c r="AP29" i="54"/>
  <c r="AP237" i="54"/>
  <c r="AP120" i="54"/>
  <c r="AP42" i="54"/>
  <c r="AP81" i="54"/>
  <c r="AP68" i="54"/>
  <c r="AP289" i="54"/>
  <c r="AP55" i="54"/>
  <c r="AP133" i="54"/>
  <c r="AP107" i="54"/>
  <c r="AP16" i="54"/>
  <c r="L346" i="54"/>
  <c r="L125" i="54"/>
  <c r="L190" i="54"/>
  <c r="L398" i="54"/>
  <c r="L359" i="54"/>
  <c r="L177" i="54"/>
  <c r="L333" i="54"/>
  <c r="L242" i="54"/>
  <c r="L320" i="54"/>
  <c r="L229" i="54"/>
  <c r="L21" i="54"/>
  <c r="L294" i="54"/>
  <c r="L372" i="54"/>
  <c r="L281" i="54"/>
  <c r="L73" i="54"/>
  <c r="L255" i="54"/>
  <c r="AZ289" i="54"/>
  <c r="AZ315" i="54"/>
  <c r="AZ198" i="54"/>
  <c r="AZ185" i="54"/>
  <c r="AZ68" i="54"/>
  <c r="AZ341" i="54"/>
  <c r="AZ302" i="54"/>
  <c r="AZ159" i="54"/>
  <c r="AZ120" i="54"/>
  <c r="AZ224" i="54"/>
  <c r="AZ81" i="54"/>
  <c r="AZ354" i="54"/>
  <c r="AZ328" i="54"/>
  <c r="AZ393" i="54"/>
  <c r="AZ211" i="54"/>
  <c r="AZ263" i="54"/>
  <c r="AZ172" i="54"/>
  <c r="AZ42" i="54"/>
  <c r="AZ107" i="54"/>
  <c r="AZ16" i="54"/>
  <c r="AZ367" i="54"/>
  <c r="AZ380" i="54"/>
  <c r="AZ276" i="54"/>
  <c r="AZ250" i="54"/>
  <c r="AZ146" i="54"/>
  <c r="AZ237" i="54"/>
  <c r="AZ94" i="54"/>
  <c r="AZ29" i="54"/>
  <c r="AZ55" i="54"/>
  <c r="AZ133" i="54"/>
  <c r="AP352" i="54"/>
  <c r="AP378" i="54"/>
  <c r="AP300" i="54"/>
  <c r="AP365" i="54"/>
  <c r="AP209" i="54"/>
  <c r="AP391" i="54"/>
  <c r="AP339" i="54"/>
  <c r="AP222" i="54"/>
  <c r="AP404" i="54"/>
  <c r="AP144" i="54"/>
  <c r="AP261" i="54"/>
  <c r="AP274" i="54"/>
  <c r="AP196" i="54"/>
  <c r="AP313" i="54"/>
  <c r="AP248" i="54"/>
  <c r="AP157" i="54"/>
  <c r="AP326" i="54"/>
  <c r="AP170" i="54"/>
  <c r="AP27" i="54"/>
  <c r="AP105" i="54"/>
  <c r="AP40" i="54"/>
  <c r="AP66" i="54"/>
  <c r="AP79" i="54"/>
  <c r="AP118" i="54"/>
  <c r="AP92" i="54"/>
  <c r="AP287" i="54"/>
  <c r="AP131" i="54"/>
  <c r="AP53" i="54"/>
  <c r="AP183" i="54"/>
  <c r="AP235" i="54"/>
  <c r="V275" i="54"/>
  <c r="V67" i="54"/>
  <c r="V392" i="54"/>
  <c r="V184" i="54"/>
  <c r="V314" i="54"/>
  <c r="V197" i="54"/>
  <c r="V366" i="54"/>
  <c r="V327" i="54"/>
  <c r="V119" i="54"/>
  <c r="V236" i="54"/>
  <c r="V28" i="54"/>
  <c r="V301" i="54"/>
  <c r="V379" i="54"/>
  <c r="V171" i="54"/>
  <c r="V288" i="54"/>
  <c r="V80" i="54"/>
  <c r="V106" i="54"/>
  <c r="V405" i="54"/>
  <c r="V223" i="54"/>
  <c r="V340" i="54"/>
  <c r="V132" i="54"/>
  <c r="V210" i="54"/>
  <c r="V93" i="54"/>
  <c r="V158" i="54"/>
  <c r="V249" i="54"/>
  <c r="AZ382" i="54"/>
  <c r="AZ356" i="54"/>
  <c r="AZ226" i="54"/>
  <c r="AZ239" i="54"/>
  <c r="AZ200" i="54"/>
  <c r="AZ161" i="54"/>
  <c r="AZ70" i="54"/>
  <c r="AZ31" i="54"/>
  <c r="AZ395" i="54"/>
  <c r="AZ343" i="54"/>
  <c r="AZ304" i="54"/>
  <c r="AZ369" i="54"/>
  <c r="AZ174" i="54"/>
  <c r="AZ252" i="54"/>
  <c r="AZ44" i="54"/>
  <c r="AZ317" i="54"/>
  <c r="AZ278" i="54"/>
  <c r="AZ265" i="54"/>
  <c r="AZ135" i="54"/>
  <c r="AZ122" i="54"/>
  <c r="AZ57" i="54"/>
  <c r="AZ330" i="54"/>
  <c r="AZ291" i="54"/>
  <c r="AZ187" i="54"/>
  <c r="AZ148" i="54"/>
  <c r="AZ109" i="54"/>
  <c r="AZ18" i="54"/>
  <c r="AZ213" i="54"/>
  <c r="AZ83" i="54"/>
  <c r="AZ96" i="54"/>
  <c r="L364" i="54"/>
  <c r="L143" i="54"/>
  <c r="L208" i="54"/>
  <c r="L26" i="54"/>
  <c r="L377" i="54"/>
  <c r="L325" i="54"/>
  <c r="L195" i="54"/>
  <c r="L351" i="54"/>
  <c r="L260" i="54"/>
  <c r="L338" i="54"/>
  <c r="L247" i="54"/>
  <c r="L39" i="54"/>
  <c r="L312" i="54"/>
  <c r="L390" i="54"/>
  <c r="L299" i="54"/>
  <c r="L91" i="54"/>
  <c r="L273" i="54"/>
  <c r="AF341" i="54"/>
  <c r="AF185" i="54"/>
  <c r="AF94" i="54"/>
  <c r="AF159" i="54"/>
  <c r="AF354" i="54"/>
  <c r="AF289" i="54"/>
  <c r="AF172" i="54"/>
  <c r="AF276" i="54"/>
  <c r="AF393" i="54"/>
  <c r="AF237" i="54"/>
  <c r="AF29" i="54"/>
  <c r="AF146" i="54"/>
  <c r="AF211" i="54"/>
  <c r="AF120" i="54"/>
  <c r="AF16" i="54"/>
  <c r="AF315" i="54"/>
  <c r="AF328" i="54"/>
  <c r="AF81" i="54"/>
  <c r="AF198" i="54"/>
  <c r="AF263" i="54"/>
  <c r="AF55" i="54"/>
  <c r="AF367" i="54"/>
  <c r="AF380" i="54"/>
  <c r="AF133" i="54"/>
  <c r="AF250" i="54"/>
  <c r="AF107" i="54"/>
  <c r="AF302" i="54"/>
  <c r="AF68" i="54"/>
  <c r="AF42" i="54"/>
  <c r="L328" i="54"/>
  <c r="L107" i="54"/>
  <c r="L380" i="54"/>
  <c r="L341" i="54"/>
  <c r="L159" i="54"/>
  <c r="L224" i="54"/>
  <c r="L172" i="54"/>
  <c r="L393" i="54"/>
  <c r="L211" i="54"/>
  <c r="L276" i="54"/>
  <c r="L354" i="54"/>
  <c r="L263" i="54"/>
  <c r="L55" i="54"/>
  <c r="L237" i="54"/>
  <c r="AF339" i="54"/>
  <c r="AF183" i="54"/>
  <c r="AF92" i="54"/>
  <c r="AF157" i="54"/>
  <c r="AF352" i="54"/>
  <c r="AF118" i="54"/>
  <c r="AF53" i="54"/>
  <c r="AF391" i="54"/>
  <c r="AF235" i="54"/>
  <c r="AF144" i="54"/>
  <c r="AF209" i="54"/>
  <c r="AF300" i="54"/>
  <c r="AF313" i="54"/>
  <c r="AF326" i="54"/>
  <c r="AF404" i="54"/>
  <c r="AF79" i="54"/>
  <c r="AF196" i="54"/>
  <c r="AF261" i="54"/>
  <c r="AF27" i="54"/>
  <c r="AF222" i="54"/>
  <c r="AF365" i="54"/>
  <c r="AF378" i="54"/>
  <c r="AF131" i="54"/>
  <c r="AF248" i="54"/>
  <c r="AF105" i="54"/>
  <c r="AF274" i="54"/>
  <c r="AF170" i="54"/>
  <c r="AF40" i="54"/>
  <c r="L366" i="54"/>
  <c r="L275" i="54"/>
  <c r="L67" i="54"/>
  <c r="L301" i="54"/>
  <c r="L145" i="54"/>
  <c r="L392" i="54"/>
  <c r="L119" i="54"/>
  <c r="L158" i="54"/>
  <c r="L353" i="54"/>
  <c r="L171" i="54"/>
  <c r="L379" i="54"/>
  <c r="L236" i="54"/>
  <c r="L340" i="54"/>
  <c r="L405" i="54"/>
  <c r="L223" i="54"/>
  <c r="L288" i="54"/>
  <c r="L327" i="54"/>
  <c r="L197" i="54"/>
  <c r="L132" i="54"/>
  <c r="V239" i="54"/>
  <c r="V31" i="54"/>
  <c r="V356" i="54"/>
  <c r="V148" i="54"/>
  <c r="V278" i="54"/>
  <c r="V161" i="54"/>
  <c r="V330" i="54"/>
  <c r="V291" i="54"/>
  <c r="V83" i="54"/>
  <c r="V200" i="54"/>
  <c r="V382" i="54"/>
  <c r="V265" i="54"/>
  <c r="V343" i="54"/>
  <c r="V135" i="54"/>
  <c r="V252" i="54"/>
  <c r="V44" i="54"/>
  <c r="V70" i="54"/>
  <c r="V369" i="54"/>
  <c r="V395" i="54"/>
  <c r="V187" i="54"/>
  <c r="V304" i="54"/>
  <c r="V96" i="54"/>
  <c r="V174" i="54"/>
  <c r="V57" i="54"/>
  <c r="V122" i="54"/>
  <c r="V213" i="54"/>
  <c r="AF343" i="54"/>
  <c r="AF356" i="54"/>
  <c r="AF109" i="54"/>
  <c r="AF226" i="54"/>
  <c r="AF278" i="54"/>
  <c r="AF83" i="54"/>
  <c r="AF252" i="54"/>
  <c r="AF395" i="54"/>
  <c r="AF317" i="54"/>
  <c r="AF330" i="54"/>
  <c r="AF161" i="54"/>
  <c r="AF70" i="54"/>
  <c r="AF291" i="54"/>
  <c r="AF135" i="54"/>
  <c r="AF18" i="54"/>
  <c r="AF148" i="54"/>
  <c r="AF369" i="54"/>
  <c r="AF213" i="54"/>
  <c r="AF122" i="54"/>
  <c r="AF187" i="54"/>
  <c r="AF200" i="54"/>
  <c r="AF96" i="54"/>
  <c r="AF31" i="54"/>
  <c r="AF304" i="54"/>
  <c r="AF265" i="54"/>
  <c r="AF57" i="54"/>
  <c r="AF382" i="54"/>
  <c r="AF174" i="54"/>
  <c r="AF239" i="54"/>
  <c r="AF44" i="54"/>
  <c r="AF399" i="54"/>
  <c r="AF321" i="54"/>
  <c r="AF165" i="54"/>
  <c r="AF74" i="54"/>
  <c r="AF139" i="54"/>
  <c r="AF282" i="54"/>
  <c r="AF100" i="54"/>
  <c r="AF22" i="54"/>
  <c r="AF373" i="54"/>
  <c r="AF217" i="54"/>
  <c r="AF126" i="54"/>
  <c r="AF191" i="54"/>
  <c r="AF334" i="54"/>
  <c r="AF308" i="54"/>
  <c r="AF386" i="54"/>
  <c r="AF269" i="54"/>
  <c r="AF61" i="54"/>
  <c r="AF178" i="54"/>
  <c r="AF243" i="54"/>
  <c r="AF295" i="54"/>
  <c r="AF48" i="54"/>
  <c r="AF347" i="54"/>
  <c r="AF360" i="54"/>
  <c r="AF113" i="54"/>
  <c r="AF230" i="54"/>
  <c r="AF87" i="54"/>
  <c r="AF256" i="54"/>
  <c r="AF152" i="54"/>
  <c r="AF204" i="54"/>
  <c r="AP334" i="54"/>
  <c r="AP360" i="54"/>
  <c r="AP282" i="54"/>
  <c r="AP191" i="54"/>
  <c r="AP373" i="54"/>
  <c r="AP321" i="54"/>
  <c r="AP204" i="54"/>
  <c r="AP386" i="54"/>
  <c r="AP126" i="54"/>
  <c r="AP243" i="54"/>
  <c r="AP256" i="54"/>
  <c r="AP178" i="54"/>
  <c r="AP295" i="54"/>
  <c r="AP308" i="54"/>
  <c r="AP230" i="54"/>
  <c r="AP347" i="54"/>
  <c r="AP139" i="54"/>
  <c r="AP152" i="54"/>
  <c r="AP399" i="54"/>
  <c r="AP22" i="54"/>
  <c r="AP48" i="54"/>
  <c r="AP61" i="54"/>
  <c r="AP100" i="54"/>
  <c r="AP74" i="54"/>
  <c r="AP269" i="54"/>
  <c r="AP113" i="54"/>
  <c r="AP35" i="54"/>
  <c r="AP165" i="54"/>
  <c r="AP217" i="54"/>
  <c r="AP87" i="54"/>
  <c r="AF381" i="54"/>
  <c r="AF394" i="54"/>
  <c r="AF147" i="54"/>
  <c r="AF264" i="54"/>
  <c r="AF121" i="54"/>
  <c r="AF82" i="54"/>
  <c r="AF56" i="54"/>
  <c r="AF186" i="54"/>
  <c r="AF355" i="54"/>
  <c r="AF199" i="54"/>
  <c r="AF108" i="54"/>
  <c r="AF173" i="54"/>
  <c r="AF277" i="54"/>
  <c r="AF290" i="54"/>
  <c r="AF368" i="54"/>
  <c r="AF251" i="54"/>
  <c r="AF43" i="54"/>
  <c r="AF160" i="54"/>
  <c r="AF225" i="54"/>
  <c r="AF316" i="54"/>
  <c r="AF329" i="54"/>
  <c r="AF342" i="54"/>
  <c r="AF95" i="54"/>
  <c r="AF212" i="54"/>
  <c r="AF303" i="54"/>
  <c r="AF69" i="54"/>
  <c r="AF238" i="54"/>
  <c r="AF134" i="54"/>
  <c r="AF17" i="54"/>
  <c r="V219" i="54"/>
  <c r="V336" i="54"/>
  <c r="V128" i="54"/>
  <c r="V50" i="54"/>
  <c r="V349" i="54"/>
  <c r="V271" i="54"/>
  <c r="V63" i="54"/>
  <c r="V388" i="54"/>
  <c r="V180" i="54"/>
  <c r="V154" i="54"/>
  <c r="V37" i="54"/>
  <c r="V323" i="54"/>
  <c r="V115" i="54"/>
  <c r="V232" i="54"/>
  <c r="V24" i="54"/>
  <c r="V258" i="54"/>
  <c r="V141" i="54"/>
  <c r="V102" i="54"/>
  <c r="V193" i="54"/>
  <c r="V375" i="54"/>
  <c r="V167" i="54"/>
  <c r="V284" i="54"/>
  <c r="V76" i="54"/>
  <c r="V362" i="54"/>
  <c r="V245" i="54"/>
  <c r="V310" i="54"/>
  <c r="V401" i="54"/>
  <c r="AZ344" i="54"/>
  <c r="AZ331" i="54"/>
  <c r="AZ253" i="54"/>
  <c r="AZ201" i="54"/>
  <c r="AZ162" i="54"/>
  <c r="AZ32" i="54"/>
  <c r="AZ97" i="54"/>
  <c r="AZ58" i="54"/>
  <c r="AZ396" i="54"/>
  <c r="AZ370" i="54"/>
  <c r="AZ357" i="54"/>
  <c r="AZ279" i="54"/>
  <c r="AZ240" i="54"/>
  <c r="AZ266" i="54"/>
  <c r="AZ136" i="54"/>
  <c r="AZ214" i="54"/>
  <c r="AZ123" i="54"/>
  <c r="AZ84" i="54"/>
  <c r="AZ45" i="54"/>
  <c r="AZ318" i="54"/>
  <c r="AZ383" i="54"/>
  <c r="AZ188" i="54"/>
  <c r="AZ175" i="54"/>
  <c r="AZ292" i="54"/>
  <c r="AZ305" i="54"/>
  <c r="AZ227" i="54"/>
  <c r="AZ149" i="54"/>
  <c r="AZ71" i="54"/>
  <c r="AZ19" i="54"/>
  <c r="AZ110" i="54"/>
  <c r="V295" i="54"/>
  <c r="V87" i="54"/>
  <c r="V204" i="54"/>
  <c r="V126" i="54"/>
  <c r="V178" i="54"/>
  <c r="V269" i="54"/>
  <c r="V347" i="54"/>
  <c r="V139" i="54"/>
  <c r="V256" i="54"/>
  <c r="V48" i="54"/>
  <c r="V230" i="54"/>
  <c r="V113" i="54"/>
  <c r="V386" i="54"/>
  <c r="V399" i="54"/>
  <c r="V191" i="54"/>
  <c r="V308" i="54"/>
  <c r="V100" i="54"/>
  <c r="V334" i="54"/>
  <c r="V217" i="54"/>
  <c r="V243" i="54"/>
  <c r="V35" i="54"/>
  <c r="V360" i="54"/>
  <c r="V152" i="54"/>
  <c r="V22" i="54"/>
  <c r="V321" i="54"/>
  <c r="L368" i="54"/>
  <c r="L277" i="54"/>
  <c r="L69" i="54"/>
  <c r="L381" i="54"/>
  <c r="L160" i="54"/>
  <c r="L121" i="54"/>
  <c r="L186" i="54"/>
  <c r="L199" i="54"/>
  <c r="L355" i="54"/>
  <c r="L173" i="54"/>
  <c r="L238" i="54"/>
  <c r="L303" i="54"/>
  <c r="L134" i="54"/>
  <c r="L316" i="54"/>
  <c r="L394" i="54"/>
  <c r="L225" i="54"/>
  <c r="L17" i="54"/>
  <c r="L290" i="54"/>
  <c r="L342" i="54"/>
  <c r="L147" i="54"/>
  <c r="AF361" i="54"/>
  <c r="AF374" i="54"/>
  <c r="AF127" i="54"/>
  <c r="AF244" i="54"/>
  <c r="AF296" i="54"/>
  <c r="AF101" i="54"/>
  <c r="AF270" i="54"/>
  <c r="AF166" i="54"/>
  <c r="AF335" i="54"/>
  <c r="AF348" i="54"/>
  <c r="AF179" i="54"/>
  <c r="AF88" i="54"/>
  <c r="AF153" i="54"/>
  <c r="AF36" i="54"/>
  <c r="AF387" i="54"/>
  <c r="AF231" i="54"/>
  <c r="AF140" i="54"/>
  <c r="AF205" i="54"/>
  <c r="AF218" i="54"/>
  <c r="AF114" i="54"/>
  <c r="AF49" i="54"/>
  <c r="AF309" i="54"/>
  <c r="AF322" i="54"/>
  <c r="AF75" i="54"/>
  <c r="AF400" i="54"/>
  <c r="AF192" i="54"/>
  <c r="AF283" i="54"/>
  <c r="AF257" i="54"/>
  <c r="AF23" i="54"/>
  <c r="AF62" i="54"/>
  <c r="L348" i="54"/>
  <c r="L257" i="54"/>
  <c r="L49" i="54"/>
  <c r="L283" i="54"/>
  <c r="L127" i="54"/>
  <c r="L400" i="54"/>
  <c r="L374" i="54"/>
  <c r="L309" i="54"/>
  <c r="L101" i="54"/>
  <c r="L140" i="54"/>
  <c r="L335" i="54"/>
  <c r="L153" i="54"/>
  <c r="L361" i="54"/>
  <c r="L218" i="54"/>
  <c r="L387" i="54"/>
  <c r="L205" i="54"/>
  <c r="L270" i="54"/>
  <c r="L114" i="54"/>
  <c r="L383" i="54"/>
  <c r="L201" i="54"/>
  <c r="L318" i="54"/>
  <c r="L266" i="54"/>
  <c r="L58" i="54"/>
  <c r="L344" i="54"/>
  <c r="L253" i="54"/>
  <c r="L45" i="54"/>
  <c r="L71" i="54"/>
  <c r="L396" i="54"/>
  <c r="L305" i="54"/>
  <c r="L97" i="54"/>
  <c r="L227" i="54"/>
  <c r="L84" i="54"/>
  <c r="L331" i="54"/>
  <c r="L149" i="54"/>
  <c r="L214" i="54"/>
  <c r="AZ381" i="54"/>
  <c r="AZ394" i="54"/>
  <c r="AZ290" i="54"/>
  <c r="AZ329" i="54"/>
  <c r="AZ355" i="54"/>
  <c r="AZ264" i="54"/>
  <c r="AZ277" i="54"/>
  <c r="AZ160" i="54"/>
  <c r="AZ238" i="54"/>
  <c r="AZ108" i="54"/>
  <c r="AZ121" i="54"/>
  <c r="AZ43" i="54"/>
  <c r="AZ303" i="54"/>
  <c r="AZ212" i="54"/>
  <c r="AZ251" i="54"/>
  <c r="AZ199" i="54"/>
  <c r="AZ82" i="54"/>
  <c r="AZ316" i="54"/>
  <c r="AZ173" i="54"/>
  <c r="AZ134" i="54"/>
  <c r="AZ95" i="54"/>
  <c r="AZ69" i="54"/>
  <c r="AZ30" i="54"/>
  <c r="AZ368" i="54"/>
  <c r="AZ342" i="54"/>
  <c r="AZ225" i="54"/>
  <c r="AZ186" i="54"/>
  <c r="AZ147" i="54"/>
  <c r="AZ56" i="54"/>
  <c r="AZ17" i="54"/>
  <c r="V257" i="54"/>
  <c r="V49" i="54"/>
  <c r="V374" i="54"/>
  <c r="V166" i="54"/>
  <c r="V296" i="54"/>
  <c r="V179" i="54"/>
  <c r="V348" i="54"/>
  <c r="V309" i="54"/>
  <c r="V101" i="54"/>
  <c r="V218" i="54"/>
  <c r="V400" i="54"/>
  <c r="V283" i="54"/>
  <c r="V361" i="54"/>
  <c r="V153" i="54"/>
  <c r="V270" i="54"/>
  <c r="V62" i="54"/>
  <c r="V88" i="54"/>
  <c r="V387" i="54"/>
  <c r="V205" i="54"/>
  <c r="V322" i="54"/>
  <c r="V114" i="54"/>
  <c r="V192" i="54"/>
  <c r="V75" i="54"/>
  <c r="V140" i="54"/>
  <c r="V231" i="54"/>
  <c r="V333" i="54"/>
  <c r="V125" i="54"/>
  <c r="V242" i="54"/>
  <c r="V34" i="54"/>
  <c r="V372" i="54"/>
  <c r="V255" i="54"/>
  <c r="V385" i="54"/>
  <c r="V177" i="54"/>
  <c r="V294" i="54"/>
  <c r="V86" i="54"/>
  <c r="V60" i="54"/>
  <c r="V359" i="54"/>
  <c r="V216" i="54"/>
  <c r="V229" i="54"/>
  <c r="V21" i="54"/>
  <c r="V346" i="54"/>
  <c r="V138" i="54"/>
  <c r="V164" i="54"/>
  <c r="V47" i="54"/>
  <c r="V281" i="54"/>
  <c r="V73" i="54"/>
  <c r="V398" i="54"/>
  <c r="V190" i="54"/>
  <c r="V268" i="54"/>
  <c r="V151" i="54"/>
  <c r="AZ399" i="54"/>
  <c r="AZ308" i="54"/>
  <c r="AZ347" i="54"/>
  <c r="AZ178" i="54"/>
  <c r="AZ256" i="54"/>
  <c r="AZ48" i="54"/>
  <c r="AZ373" i="54"/>
  <c r="AZ321" i="54"/>
  <c r="AZ139" i="54"/>
  <c r="AZ269" i="54"/>
  <c r="AZ217" i="54"/>
  <c r="AZ100" i="54"/>
  <c r="AZ35" i="54"/>
  <c r="AZ334" i="54"/>
  <c r="AZ191" i="54"/>
  <c r="AZ152" i="54"/>
  <c r="AZ113" i="54"/>
  <c r="AZ22" i="54"/>
  <c r="AZ87" i="54"/>
  <c r="AZ61" i="54"/>
  <c r="AZ386" i="54"/>
  <c r="AZ360" i="54"/>
  <c r="AZ230" i="54"/>
  <c r="AZ295" i="54"/>
  <c r="AZ243" i="54"/>
  <c r="AZ204" i="54"/>
  <c r="AZ165" i="54"/>
  <c r="AZ282" i="54"/>
  <c r="AZ74" i="54"/>
  <c r="AZ126" i="54"/>
  <c r="V277" i="54"/>
  <c r="V69" i="54"/>
  <c r="V394" i="54"/>
  <c r="V186" i="54"/>
  <c r="V108" i="54"/>
  <c r="V160" i="54"/>
  <c r="V329" i="54"/>
  <c r="V121" i="54"/>
  <c r="V238" i="54"/>
  <c r="V30" i="54"/>
  <c r="V212" i="54"/>
  <c r="V95" i="54"/>
  <c r="V368" i="54"/>
  <c r="V381" i="54"/>
  <c r="V173" i="54"/>
  <c r="V290" i="54"/>
  <c r="V82" i="54"/>
  <c r="V316" i="54"/>
  <c r="V199" i="54"/>
  <c r="V225" i="54"/>
  <c r="V17" i="54"/>
  <c r="V342" i="54"/>
  <c r="V134" i="54"/>
  <c r="V303" i="54"/>
  <c r="AZ324" i="54"/>
  <c r="AZ363" i="54"/>
  <c r="AZ285" i="54"/>
  <c r="AZ181" i="54"/>
  <c r="AZ142" i="54"/>
  <c r="AZ129" i="54"/>
  <c r="AZ103" i="54"/>
  <c r="AZ77" i="54"/>
  <c r="AZ376" i="54"/>
  <c r="AZ350" i="54"/>
  <c r="AZ233" i="54"/>
  <c r="AZ194" i="54"/>
  <c r="AZ64" i="54"/>
  <c r="AZ155" i="54"/>
  <c r="AZ90" i="54"/>
  <c r="AZ389" i="54"/>
  <c r="AZ402" i="54"/>
  <c r="AZ298" i="54"/>
  <c r="AZ272" i="54"/>
  <c r="AZ246" i="54"/>
  <c r="AZ168" i="54"/>
  <c r="AZ116" i="54"/>
  <c r="AZ207" i="54"/>
  <c r="AZ38" i="54"/>
  <c r="AZ311" i="54"/>
  <c r="AZ337" i="54"/>
  <c r="AZ259" i="54"/>
  <c r="AZ220" i="54"/>
  <c r="AZ25" i="54"/>
  <c r="AZ51" i="54"/>
  <c r="L363" i="54"/>
  <c r="L181" i="54"/>
  <c r="L246" i="54"/>
  <c r="L207" i="54"/>
  <c r="L324" i="54"/>
  <c r="L233" i="54"/>
  <c r="L25" i="54"/>
  <c r="L298" i="54"/>
  <c r="L311" i="54"/>
  <c r="L38" i="54"/>
  <c r="L376" i="54"/>
  <c r="L402" i="54"/>
  <c r="L285" i="54"/>
  <c r="L77" i="54"/>
  <c r="L51" i="54"/>
  <c r="L129" i="54"/>
  <c r="L389" i="54"/>
  <c r="L194" i="54"/>
  <c r="L64" i="54"/>
  <c r="AP150" i="54"/>
  <c r="AP267" i="54"/>
  <c r="AP280" i="54"/>
  <c r="AP202" i="54"/>
  <c r="AP397" i="54"/>
  <c r="AP254" i="54"/>
  <c r="AP163" i="54"/>
  <c r="AP358" i="54"/>
  <c r="AP384" i="54"/>
  <c r="AP306" i="54"/>
  <c r="AP98" i="54"/>
  <c r="AP215" i="54"/>
  <c r="AP228" i="54"/>
  <c r="AP176" i="54"/>
  <c r="AP85" i="54"/>
  <c r="AP124" i="54"/>
  <c r="AP72" i="54"/>
  <c r="AP371" i="54"/>
  <c r="AP241" i="54"/>
  <c r="AP293" i="54"/>
  <c r="AP345" i="54"/>
  <c r="AP59" i="54"/>
  <c r="AP137" i="54"/>
  <c r="AP20" i="54"/>
  <c r="AP319" i="54"/>
  <c r="AP33" i="54"/>
  <c r="AP332" i="54"/>
  <c r="AP46" i="54"/>
  <c r="AP111" i="54"/>
  <c r="AP189" i="54"/>
  <c r="L401" i="54"/>
  <c r="L219" i="54"/>
  <c r="L284" i="54"/>
  <c r="L76" i="54"/>
  <c r="L362" i="54"/>
  <c r="L271" i="54"/>
  <c r="L63" i="54"/>
  <c r="L89" i="54"/>
  <c r="L115" i="54"/>
  <c r="L245" i="54"/>
  <c r="L102" i="54"/>
  <c r="L349" i="54"/>
  <c r="L336" i="54"/>
  <c r="L167" i="54"/>
  <c r="L323" i="54"/>
  <c r="L232" i="54"/>
  <c r="AP372" i="54"/>
  <c r="AP398" i="54"/>
  <c r="AP359" i="54"/>
  <c r="AP112" i="54"/>
  <c r="AP229" i="54"/>
  <c r="AP242" i="54"/>
  <c r="AP164" i="54"/>
  <c r="AP281" i="54"/>
  <c r="AP333" i="54"/>
  <c r="AP294" i="54"/>
  <c r="AP216" i="54"/>
  <c r="AP385" i="54"/>
  <c r="AP346" i="54"/>
  <c r="AP320" i="54"/>
  <c r="AP268" i="54"/>
  <c r="AP177" i="54"/>
  <c r="AP190" i="54"/>
  <c r="AP203" i="54"/>
  <c r="AP47" i="54"/>
  <c r="AP255" i="54"/>
  <c r="AP60" i="54"/>
  <c r="AP21" i="54"/>
  <c r="AP151" i="54"/>
  <c r="AP86" i="54"/>
  <c r="AP307" i="54"/>
  <c r="AP99" i="54"/>
  <c r="AP73" i="54"/>
  <c r="AP138" i="54"/>
  <c r="AP125" i="54"/>
  <c r="AP34" i="54"/>
  <c r="V351" i="54"/>
  <c r="V143" i="54"/>
  <c r="V260" i="54"/>
  <c r="V52" i="54"/>
  <c r="V390" i="54"/>
  <c r="V273" i="54"/>
  <c r="V26" i="54"/>
  <c r="V403" i="54"/>
  <c r="V195" i="54"/>
  <c r="V312" i="54"/>
  <c r="V104" i="54"/>
  <c r="V78" i="54"/>
  <c r="V377" i="54"/>
  <c r="V234" i="54"/>
  <c r="V247" i="54"/>
  <c r="V39" i="54"/>
  <c r="V364" i="54"/>
  <c r="V156" i="54"/>
  <c r="V182" i="54"/>
  <c r="V65" i="54"/>
  <c r="V299" i="54"/>
  <c r="V91" i="54"/>
  <c r="V208" i="54"/>
  <c r="V286" i="54"/>
  <c r="V169" i="54"/>
  <c r="AZ306" i="54"/>
  <c r="AZ163" i="54"/>
  <c r="AZ124" i="54"/>
  <c r="AZ85" i="54"/>
  <c r="AZ59" i="54"/>
  <c r="AZ20" i="54"/>
  <c r="AZ358" i="54"/>
  <c r="AZ332" i="54"/>
  <c r="AZ215" i="54"/>
  <c r="AZ176" i="54"/>
  <c r="AZ46" i="54"/>
  <c r="AZ137" i="54"/>
  <c r="AZ111" i="54"/>
  <c r="AZ371" i="54"/>
  <c r="AZ384" i="54"/>
  <c r="AZ397" i="54"/>
  <c r="AZ280" i="54"/>
  <c r="AZ345" i="54"/>
  <c r="AZ254" i="54"/>
  <c r="AZ228" i="54"/>
  <c r="AZ150" i="54"/>
  <c r="AZ98" i="54"/>
  <c r="AZ72" i="54"/>
  <c r="AZ293" i="54"/>
  <c r="AZ319" i="54"/>
  <c r="AZ241" i="54"/>
  <c r="AZ202" i="54"/>
  <c r="AZ267" i="54"/>
  <c r="AZ189" i="54"/>
  <c r="AZ33" i="54"/>
  <c r="L345" i="54"/>
  <c r="L163" i="54"/>
  <c r="L228" i="54"/>
  <c r="L189" i="54"/>
  <c r="L397" i="54"/>
  <c r="L215" i="54"/>
  <c r="L280" i="54"/>
  <c r="L293" i="54"/>
  <c r="L20" i="54"/>
  <c r="L358" i="54"/>
  <c r="L384" i="54"/>
  <c r="L319" i="54"/>
  <c r="L267" i="54"/>
  <c r="L59" i="54"/>
  <c r="L33" i="54"/>
  <c r="L111" i="54"/>
  <c r="L371" i="54"/>
  <c r="L46" i="54"/>
  <c r="AZ326" i="54"/>
  <c r="AZ287" i="54"/>
  <c r="AZ196" i="54"/>
  <c r="AZ274" i="54"/>
  <c r="AZ27" i="54"/>
  <c r="AZ391" i="54"/>
  <c r="AZ300" i="54"/>
  <c r="AZ157" i="54"/>
  <c r="AZ79" i="54"/>
  <c r="AZ118" i="54"/>
  <c r="AZ66" i="54"/>
  <c r="AZ352" i="54"/>
  <c r="AZ209" i="54"/>
  <c r="AZ170" i="54"/>
  <c r="AZ40" i="54"/>
  <c r="AZ131" i="54"/>
  <c r="AZ105" i="54"/>
  <c r="AZ404" i="54"/>
  <c r="AZ365" i="54"/>
  <c r="AZ378" i="54"/>
  <c r="AZ339" i="54"/>
  <c r="AZ248" i="54"/>
  <c r="AZ313" i="54"/>
  <c r="AZ144" i="54"/>
  <c r="AZ261" i="54"/>
  <c r="AZ222" i="54"/>
  <c r="AZ183" i="54"/>
  <c r="AZ92" i="54"/>
  <c r="AZ235" i="54"/>
  <c r="AZ53" i="54"/>
  <c r="AP262" i="54"/>
  <c r="AP327" i="54"/>
  <c r="AP171" i="54"/>
  <c r="AP184" i="54"/>
  <c r="AP366" i="54"/>
  <c r="AP392" i="54"/>
  <c r="AP405" i="54"/>
  <c r="AP314" i="54"/>
  <c r="AP106" i="54"/>
  <c r="AP340" i="54"/>
  <c r="AP223" i="54"/>
  <c r="AP236" i="54"/>
  <c r="AP158" i="54"/>
  <c r="AP353" i="54"/>
  <c r="AP275" i="54"/>
  <c r="AP288" i="54"/>
  <c r="AP210" i="54"/>
  <c r="AP249" i="54"/>
  <c r="AP301" i="54"/>
  <c r="AP41" i="54"/>
  <c r="AP54" i="54"/>
  <c r="AP379" i="54"/>
  <c r="AP145" i="54"/>
  <c r="AP119" i="54"/>
  <c r="AP93" i="54"/>
  <c r="AP197" i="54"/>
  <c r="AP80" i="54"/>
  <c r="AP132" i="54"/>
  <c r="AP67" i="54"/>
  <c r="AP28" i="54"/>
  <c r="AF379" i="54"/>
  <c r="AF392" i="54"/>
  <c r="AF145" i="54"/>
  <c r="AF262" i="54"/>
  <c r="AF119" i="54"/>
  <c r="AF353" i="54"/>
  <c r="AF366" i="54"/>
  <c r="AF197" i="54"/>
  <c r="AF106" i="54"/>
  <c r="AF171" i="54"/>
  <c r="AF54" i="54"/>
  <c r="AF288" i="54"/>
  <c r="AF405" i="54"/>
  <c r="AF249" i="54"/>
  <c r="AF41" i="54"/>
  <c r="AF158" i="54"/>
  <c r="AF223" i="54"/>
  <c r="AF236" i="54"/>
  <c r="AF132" i="54"/>
  <c r="AF67" i="54"/>
  <c r="AF28" i="54"/>
  <c r="AF314" i="54"/>
  <c r="AF327" i="54"/>
  <c r="AF340" i="54"/>
  <c r="AF93" i="54"/>
  <c r="AF210" i="54"/>
  <c r="AF301" i="54"/>
  <c r="AF275" i="54"/>
  <c r="AF80" i="54"/>
  <c r="AF184" i="54"/>
  <c r="L330" i="54"/>
  <c r="L239" i="54"/>
  <c r="L31" i="54"/>
  <c r="L304" i="54"/>
  <c r="L317" i="54"/>
  <c r="L265" i="54"/>
  <c r="L109" i="54"/>
  <c r="L382" i="54"/>
  <c r="L356" i="54"/>
  <c r="L291" i="54"/>
  <c r="L83" i="54"/>
  <c r="L122" i="54"/>
  <c r="L135" i="54"/>
  <c r="L343" i="54"/>
  <c r="L200" i="54"/>
  <c r="L369" i="54"/>
  <c r="L187" i="54"/>
  <c r="L252" i="54"/>
  <c r="L96" i="54"/>
  <c r="V315" i="54"/>
  <c r="V107" i="54"/>
  <c r="V224" i="54"/>
  <c r="V16" i="54"/>
  <c r="V354" i="54"/>
  <c r="V237" i="54"/>
  <c r="V367" i="54"/>
  <c r="V159" i="54"/>
  <c r="V276" i="54"/>
  <c r="V68" i="54"/>
  <c r="V42" i="54"/>
  <c r="V341" i="54"/>
  <c r="V198" i="54"/>
  <c r="V211" i="54"/>
  <c r="V328" i="54"/>
  <c r="V120" i="54"/>
  <c r="V146" i="54"/>
  <c r="V29" i="54"/>
  <c r="V263" i="54"/>
  <c r="V55" i="54"/>
  <c r="V380" i="54"/>
  <c r="V172" i="54"/>
  <c r="V250" i="54"/>
  <c r="V133" i="54"/>
  <c r="AZ362" i="54"/>
  <c r="AZ336" i="54"/>
  <c r="AZ349" i="54"/>
  <c r="AZ271" i="54"/>
  <c r="AZ219" i="54"/>
  <c r="AZ180" i="54"/>
  <c r="AZ50" i="54"/>
  <c r="AZ115" i="54"/>
  <c r="AZ375" i="54"/>
  <c r="AZ388" i="54"/>
  <c r="AZ284" i="54"/>
  <c r="AZ401" i="54"/>
  <c r="AZ258" i="54"/>
  <c r="AZ154" i="54"/>
  <c r="AZ102" i="54"/>
  <c r="AZ297" i="54"/>
  <c r="AZ206" i="54"/>
  <c r="AZ232" i="54"/>
  <c r="AZ193" i="54"/>
  <c r="AZ76" i="54"/>
  <c r="AZ24" i="54"/>
  <c r="AZ310" i="54"/>
  <c r="AZ323" i="54"/>
  <c r="AZ245" i="54"/>
  <c r="AZ167" i="54"/>
  <c r="AZ128" i="54"/>
  <c r="AZ89" i="54"/>
  <c r="AZ141" i="54"/>
  <c r="AZ37" i="54"/>
  <c r="AZ63" i="54"/>
  <c r="AF323" i="54"/>
  <c r="AF336" i="54"/>
  <c r="AF310" i="54"/>
  <c r="AF89" i="54"/>
  <c r="AF206" i="54"/>
  <c r="AF271" i="54"/>
  <c r="AF50" i="54"/>
  <c r="AF375" i="54"/>
  <c r="AF388" i="54"/>
  <c r="AF141" i="54"/>
  <c r="AF258" i="54"/>
  <c r="AF115" i="54"/>
  <c r="AF180" i="54"/>
  <c r="AF63" i="54"/>
  <c r="AF76" i="54"/>
  <c r="AF349" i="54"/>
  <c r="AF193" i="54"/>
  <c r="AF362" i="54"/>
  <c r="AF297" i="54"/>
  <c r="AF102" i="54"/>
  <c r="AF167" i="54"/>
  <c r="AF128" i="54"/>
  <c r="AF284" i="54"/>
  <c r="AF401" i="54"/>
  <c r="AF245" i="54"/>
  <c r="AF37" i="54"/>
  <c r="AF154" i="54"/>
  <c r="AF219" i="54"/>
  <c r="AF232" i="54"/>
  <c r="AF24" i="54"/>
  <c r="AL378" i="56"/>
  <c r="AL365" i="56"/>
  <c r="AL261" i="56"/>
  <c r="AL157" i="56"/>
  <c r="AL53" i="56"/>
  <c r="AL404" i="56"/>
  <c r="AL287" i="56"/>
  <c r="AL313" i="56"/>
  <c r="AL209" i="56"/>
  <c r="AL105" i="56"/>
  <c r="AL339" i="56"/>
  <c r="AL235" i="56"/>
  <c r="AL131" i="56"/>
  <c r="AL320" i="56"/>
  <c r="AL216" i="56"/>
  <c r="AL112" i="56"/>
  <c r="AL346" i="56"/>
  <c r="AL385" i="56"/>
  <c r="AL268" i="56"/>
  <c r="AL164" i="56"/>
  <c r="AL60" i="56"/>
  <c r="AL294" i="56"/>
  <c r="AL190" i="56"/>
  <c r="AL86" i="56"/>
  <c r="AL305" i="56"/>
  <c r="AL201" i="56"/>
  <c r="AL97" i="56"/>
  <c r="AL331" i="56"/>
  <c r="AL370" i="56"/>
  <c r="AL357" i="56"/>
  <c r="AL253" i="56"/>
  <c r="AL149" i="56"/>
  <c r="AL396" i="56"/>
  <c r="AL279" i="56"/>
  <c r="AL175" i="56"/>
  <c r="AL71" i="56"/>
  <c r="AL350" i="56"/>
  <c r="AL246" i="56"/>
  <c r="AL142" i="56"/>
  <c r="AL389" i="56"/>
  <c r="AL272" i="56"/>
  <c r="AL298" i="56"/>
  <c r="AL194" i="56"/>
  <c r="AL90" i="56"/>
  <c r="AL324" i="56"/>
  <c r="AL220" i="56"/>
  <c r="AL116" i="56"/>
  <c r="AL290" i="56"/>
  <c r="AL186" i="56"/>
  <c r="AL82" i="56"/>
  <c r="AL316" i="56"/>
  <c r="AL342" i="56"/>
  <c r="AL238" i="56"/>
  <c r="AL134" i="56"/>
  <c r="AL381" i="56"/>
  <c r="AL394" i="56"/>
  <c r="AL264" i="56"/>
  <c r="AL160" i="56"/>
  <c r="AL56" i="56"/>
  <c r="AL335" i="56"/>
  <c r="AL231" i="56"/>
  <c r="AL127" i="56"/>
  <c r="AL374" i="56"/>
  <c r="AL361" i="56"/>
  <c r="AL400" i="56"/>
  <c r="AL283" i="56"/>
  <c r="AL179" i="56"/>
  <c r="AL75" i="56"/>
  <c r="AL309" i="56"/>
  <c r="AL205" i="56"/>
  <c r="AL101" i="56"/>
  <c r="AU76" i="54"/>
  <c r="CE171" i="1"/>
  <c r="CE179" i="1"/>
  <c r="CE170" i="1"/>
  <c r="CE24" i="1"/>
  <c r="CE16" i="1"/>
  <c r="CE15" i="1"/>
  <c r="AG90" i="54" l="1"/>
  <c r="X258" i="60"/>
  <c r="X222" i="60"/>
  <c r="X33" i="60"/>
  <c r="X108" i="60"/>
  <c r="AE74" i="60"/>
  <c r="AG74" i="60" s="1"/>
  <c r="X28" i="60"/>
  <c r="AJ224" i="54"/>
  <c r="AP361" i="56"/>
  <c r="AM361" i="56"/>
  <c r="AN361" i="56" s="1"/>
  <c r="AO361" i="56" s="1"/>
  <c r="AQ361" i="56" s="1"/>
  <c r="AP342" i="56"/>
  <c r="AM342" i="56"/>
  <c r="AN342" i="56" s="1"/>
  <c r="AP389" i="56"/>
  <c r="AM389" i="56"/>
  <c r="AN389" i="56" s="1"/>
  <c r="AO389" i="56" s="1"/>
  <c r="AQ389" i="56" s="1"/>
  <c r="AP294" i="56"/>
  <c r="AM294" i="56"/>
  <c r="AP309" i="56"/>
  <c r="AM309" i="56"/>
  <c r="AN309" i="56" s="1"/>
  <c r="AO309" i="56" s="1"/>
  <c r="AQ309" i="56" s="1"/>
  <c r="AP400" i="56"/>
  <c r="AM400" i="56"/>
  <c r="AN400" i="56" s="1"/>
  <c r="AO400" i="56" s="1"/>
  <c r="AQ400" i="56" s="1"/>
  <c r="AP231" i="56"/>
  <c r="AM231" i="56"/>
  <c r="AN231" i="56" s="1"/>
  <c r="AO231" i="56" s="1"/>
  <c r="AQ231" i="56" s="1"/>
  <c r="AP264" i="56"/>
  <c r="AM264" i="56"/>
  <c r="AN264" i="56" s="1"/>
  <c r="AO264" i="56" s="1"/>
  <c r="AQ264" i="56" s="1"/>
  <c r="AP238" i="56"/>
  <c r="AM238" i="56"/>
  <c r="AN238" i="56" s="1"/>
  <c r="AO238" i="56" s="1"/>
  <c r="AQ238" i="56" s="1"/>
  <c r="AP186" i="56"/>
  <c r="AM186" i="56"/>
  <c r="AN186" i="56" s="1"/>
  <c r="AO186" i="56" s="1"/>
  <c r="AQ186" i="56" s="1"/>
  <c r="AP75" i="56"/>
  <c r="AM75" i="56"/>
  <c r="AN75" i="56" s="1"/>
  <c r="AP394" i="56"/>
  <c r="AM394" i="56"/>
  <c r="AN394" i="56" s="1"/>
  <c r="AO394" i="56" s="1"/>
  <c r="AQ394" i="56" s="1"/>
  <c r="AP90" i="56"/>
  <c r="AM90" i="56"/>
  <c r="AP357" i="56"/>
  <c r="AM357" i="56"/>
  <c r="AN357" i="56" s="1"/>
  <c r="AO357" i="56" s="1"/>
  <c r="AQ357" i="56" s="1"/>
  <c r="AP320" i="56"/>
  <c r="AM320" i="56"/>
  <c r="AN320" i="56" s="1"/>
  <c r="AP157" i="56"/>
  <c r="AM157" i="56"/>
  <c r="AN157" i="56" s="1"/>
  <c r="AO157" i="56" s="1"/>
  <c r="AQ157" i="56" s="1"/>
  <c r="AG232" i="54"/>
  <c r="AH232" i="54" s="1"/>
  <c r="AI232" i="54" s="1"/>
  <c r="AK232" i="54" s="1"/>
  <c r="AJ232" i="54"/>
  <c r="AG245" i="54"/>
  <c r="AJ245" i="54"/>
  <c r="AG167" i="54"/>
  <c r="AH167" i="54" s="1"/>
  <c r="AI167" i="54" s="1"/>
  <c r="AK167" i="54" s="1"/>
  <c r="AJ167" i="54"/>
  <c r="AG193" i="54"/>
  <c r="AH193" i="54" s="1"/>
  <c r="AI193" i="54" s="1"/>
  <c r="AK193" i="54" s="1"/>
  <c r="AJ193" i="54"/>
  <c r="AG180" i="54"/>
  <c r="AH180" i="54" s="1"/>
  <c r="AI180" i="54" s="1"/>
  <c r="AK180" i="54" s="1"/>
  <c r="AJ180" i="54"/>
  <c r="AG388" i="54"/>
  <c r="AH388" i="54" s="1"/>
  <c r="AJ388" i="54"/>
  <c r="AG206" i="54"/>
  <c r="AH206" i="54" s="1"/>
  <c r="AI206" i="54" s="1"/>
  <c r="AK206" i="54" s="1"/>
  <c r="AJ206" i="54"/>
  <c r="AG323" i="54"/>
  <c r="AH323" i="54" s="1"/>
  <c r="AJ323" i="54"/>
  <c r="BD89" i="54"/>
  <c r="BA89" i="54"/>
  <c r="BB89" i="54" s="1"/>
  <c r="BC89" i="54" s="1"/>
  <c r="BE89" i="54" s="1"/>
  <c r="BD323" i="54"/>
  <c r="BA323" i="54"/>
  <c r="BB323" i="54" s="1"/>
  <c r="BC323" i="54" s="1"/>
  <c r="BE323" i="54" s="1"/>
  <c r="BD193" i="54"/>
  <c r="BA193" i="54"/>
  <c r="BB193" i="54" s="1"/>
  <c r="BC193" i="54" s="1"/>
  <c r="BD102" i="54"/>
  <c r="BA102" i="54"/>
  <c r="BB102" i="54" s="1"/>
  <c r="BC102" i="54" s="1"/>
  <c r="BE102" i="54" s="1"/>
  <c r="BD284" i="54"/>
  <c r="BA284" i="54"/>
  <c r="BB284" i="54" s="1"/>
  <c r="BC284" i="54" s="1"/>
  <c r="BE284" i="54" s="1"/>
  <c r="BD50" i="54"/>
  <c r="BA50" i="54"/>
  <c r="BB50" i="54" s="1"/>
  <c r="BC50" i="54" s="1"/>
  <c r="BE50" i="54" s="1"/>
  <c r="BD349" i="54"/>
  <c r="BA349" i="54"/>
  <c r="BB349" i="54" s="1"/>
  <c r="W250" i="54"/>
  <c r="X250" i="54" s="1"/>
  <c r="Y250" i="54" s="1"/>
  <c r="AA250" i="54" s="1"/>
  <c r="Z250" i="54"/>
  <c r="W263" i="54"/>
  <c r="X263" i="54" s="1"/>
  <c r="Y263" i="54" s="1"/>
  <c r="AA263" i="54" s="1"/>
  <c r="Z263" i="54"/>
  <c r="W328" i="54"/>
  <c r="X328" i="54" s="1"/>
  <c r="Z328" i="54"/>
  <c r="Z42" i="54"/>
  <c r="W42" i="54"/>
  <c r="X42" i="54" s="1"/>
  <c r="Y42" i="54" s="1"/>
  <c r="AA42" i="54" s="1"/>
  <c r="W367" i="54"/>
  <c r="X367" i="54" s="1"/>
  <c r="Y367" i="54" s="1"/>
  <c r="AA367" i="54" s="1"/>
  <c r="Z367" i="54"/>
  <c r="W224" i="54"/>
  <c r="X224" i="54" s="1"/>
  <c r="Y224" i="54" s="1"/>
  <c r="AA224" i="54" s="1"/>
  <c r="Z224" i="54"/>
  <c r="AM279" i="56"/>
  <c r="AN279" i="56" s="1"/>
  <c r="AO279" i="56" s="1"/>
  <c r="AQ279" i="56" s="1"/>
  <c r="AP279" i="56"/>
  <c r="AP385" i="56"/>
  <c r="AM385" i="56"/>
  <c r="AN385" i="56" s="1"/>
  <c r="AO385" i="56" s="1"/>
  <c r="AQ385" i="56" s="1"/>
  <c r="AP313" i="56"/>
  <c r="AM313" i="56"/>
  <c r="AN313" i="56" s="1"/>
  <c r="AO313" i="56" s="1"/>
  <c r="AQ313" i="56" s="1"/>
  <c r="AN294" i="56"/>
  <c r="AO294" i="56" s="1"/>
  <c r="AQ294" i="56" s="1"/>
  <c r="AP335" i="56"/>
  <c r="AM335" i="56"/>
  <c r="AN335" i="56" s="1"/>
  <c r="AO335" i="56" s="1"/>
  <c r="AQ335" i="56" s="1"/>
  <c r="AP290" i="56"/>
  <c r="AM290" i="56"/>
  <c r="AN290" i="56" s="1"/>
  <c r="AO290" i="56" s="1"/>
  <c r="AQ290" i="56" s="1"/>
  <c r="AP201" i="56"/>
  <c r="AM201" i="56"/>
  <c r="AN201" i="56" s="1"/>
  <c r="AO201" i="56" s="1"/>
  <c r="AQ201" i="56" s="1"/>
  <c r="AP235" i="56"/>
  <c r="AM235" i="56"/>
  <c r="AN235" i="56" s="1"/>
  <c r="AO235" i="56" s="1"/>
  <c r="AQ235" i="56" s="1"/>
  <c r="AP101" i="56"/>
  <c r="AM101" i="56"/>
  <c r="AN101" i="56" s="1"/>
  <c r="AO101" i="56" s="1"/>
  <c r="AQ101" i="56" s="1"/>
  <c r="AP179" i="56"/>
  <c r="AM179" i="56"/>
  <c r="AN179" i="56" s="1"/>
  <c r="AO179" i="56" s="1"/>
  <c r="AQ179" i="56" s="1"/>
  <c r="AP374" i="56"/>
  <c r="AM374" i="56"/>
  <c r="AN374" i="56" s="1"/>
  <c r="AO374" i="56" s="1"/>
  <c r="AQ374" i="56" s="1"/>
  <c r="AP56" i="56"/>
  <c r="AM56" i="56"/>
  <c r="AN56" i="56" s="1"/>
  <c r="AO56" i="56" s="1"/>
  <c r="AQ56" i="56" s="1"/>
  <c r="AP381" i="56"/>
  <c r="AM381" i="56"/>
  <c r="AN381" i="56" s="1"/>
  <c r="AO381" i="56" s="1"/>
  <c r="AQ381" i="56" s="1"/>
  <c r="AP316" i="56"/>
  <c r="AM316" i="56"/>
  <c r="AP116" i="56"/>
  <c r="AM116" i="56"/>
  <c r="AN116" i="56" s="1"/>
  <c r="AO116" i="56" s="1"/>
  <c r="AQ116" i="56" s="1"/>
  <c r="AP194" i="56"/>
  <c r="AM194" i="56"/>
  <c r="AN194" i="56" s="1"/>
  <c r="AO194" i="56" s="1"/>
  <c r="AQ194" i="56" s="1"/>
  <c r="AP142" i="56"/>
  <c r="AM142" i="56"/>
  <c r="AN142" i="56" s="1"/>
  <c r="AO142" i="56" s="1"/>
  <c r="AQ142" i="56" s="1"/>
  <c r="AP396" i="56"/>
  <c r="AM396" i="56"/>
  <c r="AN396" i="56" s="1"/>
  <c r="AO396" i="56" s="1"/>
  <c r="AQ396" i="56" s="1"/>
  <c r="AP370" i="56"/>
  <c r="AM370" i="56"/>
  <c r="AP305" i="56"/>
  <c r="AM305" i="56"/>
  <c r="AN305" i="56" s="1"/>
  <c r="AO305" i="56" s="1"/>
  <c r="AQ305" i="56" s="1"/>
  <c r="AP60" i="56"/>
  <c r="AM60" i="56"/>
  <c r="AN60" i="56" s="1"/>
  <c r="AO60" i="56" s="1"/>
  <c r="AQ60" i="56" s="1"/>
  <c r="AP346" i="56"/>
  <c r="AM346" i="56"/>
  <c r="AP339" i="56"/>
  <c r="AM339" i="56"/>
  <c r="AM287" i="56"/>
  <c r="AN287" i="56" s="1"/>
  <c r="AO287" i="56" s="1"/>
  <c r="AQ287" i="56" s="1"/>
  <c r="AP287" i="56"/>
  <c r="AP261" i="56"/>
  <c r="AM261" i="56"/>
  <c r="AN261" i="56" s="1"/>
  <c r="AO261" i="56" s="1"/>
  <c r="AQ261" i="56" s="1"/>
  <c r="AG219" i="54"/>
  <c r="AH219" i="54" s="1"/>
  <c r="AI219" i="54" s="1"/>
  <c r="AK219" i="54" s="1"/>
  <c r="AJ219" i="54"/>
  <c r="AG401" i="54"/>
  <c r="AH401" i="54" s="1"/>
  <c r="AI401" i="54" s="1"/>
  <c r="AK401" i="54" s="1"/>
  <c r="AJ401" i="54"/>
  <c r="AJ102" i="54"/>
  <c r="AG102" i="54"/>
  <c r="AH102" i="54" s="1"/>
  <c r="AI102" i="54" s="1"/>
  <c r="AK102" i="54" s="1"/>
  <c r="AJ349" i="54"/>
  <c r="AG349" i="54"/>
  <c r="AH349" i="54" s="1"/>
  <c r="AI349" i="54" s="1"/>
  <c r="AK349" i="54" s="1"/>
  <c r="AG115" i="54"/>
  <c r="AH115" i="54" s="1"/>
  <c r="AI115" i="54" s="1"/>
  <c r="AK115" i="54" s="1"/>
  <c r="AJ115" i="54"/>
  <c r="AG375" i="54"/>
  <c r="AH375" i="54" s="1"/>
  <c r="AI375" i="54" s="1"/>
  <c r="AK375" i="54" s="1"/>
  <c r="AJ375" i="54"/>
  <c r="AG89" i="54"/>
  <c r="AH89" i="54" s="1"/>
  <c r="AI89" i="54" s="1"/>
  <c r="AK89" i="54" s="1"/>
  <c r="AJ89" i="54"/>
  <c r="BD63" i="54"/>
  <c r="BA63" i="54"/>
  <c r="BB63" i="54" s="1"/>
  <c r="BC63" i="54" s="1"/>
  <c r="BE63" i="54" s="1"/>
  <c r="BD128" i="54"/>
  <c r="BA128" i="54"/>
  <c r="BD310" i="54"/>
  <c r="BA310" i="54"/>
  <c r="BD232" i="54"/>
  <c r="BA232" i="54"/>
  <c r="BB232" i="54" s="1"/>
  <c r="BC232" i="54" s="1"/>
  <c r="BE232" i="54" s="1"/>
  <c r="BD154" i="54"/>
  <c r="BA154" i="54"/>
  <c r="BD388" i="54"/>
  <c r="BA388" i="54"/>
  <c r="BA180" i="54"/>
  <c r="BB180" i="54" s="1"/>
  <c r="BC180" i="54" s="1"/>
  <c r="BE180" i="54" s="1"/>
  <c r="BD180" i="54"/>
  <c r="BD336" i="54"/>
  <c r="BA336" i="54"/>
  <c r="BB336" i="54" s="1"/>
  <c r="BC336" i="54" s="1"/>
  <c r="BE336" i="54" s="1"/>
  <c r="W172" i="54"/>
  <c r="X172" i="54" s="1"/>
  <c r="Y172" i="54" s="1"/>
  <c r="AA172" i="54" s="1"/>
  <c r="Z172" i="54"/>
  <c r="W29" i="54"/>
  <c r="X29" i="54" s="1"/>
  <c r="Y29" i="54" s="1"/>
  <c r="AA29" i="54" s="1"/>
  <c r="Z29" i="54"/>
  <c r="W211" i="54"/>
  <c r="X211" i="54" s="1"/>
  <c r="Y211" i="54" s="1"/>
  <c r="AA211" i="54" s="1"/>
  <c r="Z211" i="54"/>
  <c r="W68" i="54"/>
  <c r="Z68" i="54"/>
  <c r="W237" i="54"/>
  <c r="Z237" i="54"/>
  <c r="W107" i="54"/>
  <c r="X107" i="54" s="1"/>
  <c r="Y107" i="54" s="1"/>
  <c r="AA107" i="54" s="1"/>
  <c r="Z107" i="54"/>
  <c r="AJ80" i="54"/>
  <c r="AG80" i="54"/>
  <c r="AH80" i="54" s="1"/>
  <c r="AI80" i="54" s="1"/>
  <c r="AK80" i="54" s="1"/>
  <c r="AG93" i="54"/>
  <c r="AJ93" i="54"/>
  <c r="AG28" i="54"/>
  <c r="AH28" i="54" s="1"/>
  <c r="AI28" i="54" s="1"/>
  <c r="AK28" i="54" s="1"/>
  <c r="AJ28" i="54"/>
  <c r="AG223" i="54"/>
  <c r="AH223" i="54" s="1"/>
  <c r="AI223" i="54" s="1"/>
  <c r="AK223" i="54" s="1"/>
  <c r="AJ223" i="54"/>
  <c r="AG405" i="54"/>
  <c r="AH405" i="54" s="1"/>
  <c r="AI405" i="54" s="1"/>
  <c r="AK405" i="54" s="1"/>
  <c r="AJ405" i="54"/>
  <c r="AJ106" i="54"/>
  <c r="AG106" i="54"/>
  <c r="AH106" i="54" s="1"/>
  <c r="AI106" i="54" s="1"/>
  <c r="AK106" i="54" s="1"/>
  <c r="AG119" i="54"/>
  <c r="AH119" i="54" s="1"/>
  <c r="AI119" i="54" s="1"/>
  <c r="AK119" i="54" s="1"/>
  <c r="AJ119" i="54"/>
  <c r="AG379" i="54"/>
  <c r="AH379" i="54" s="1"/>
  <c r="AI379" i="54" s="1"/>
  <c r="AK379" i="54" s="1"/>
  <c r="AJ379" i="54"/>
  <c r="AT80" i="54"/>
  <c r="AQ80" i="54"/>
  <c r="AR80" i="54" s="1"/>
  <c r="AS80" i="54" s="1"/>
  <c r="AU80" i="54" s="1"/>
  <c r="AT145" i="54"/>
  <c r="AQ145" i="54"/>
  <c r="AT301" i="54"/>
  <c r="AQ301" i="54"/>
  <c r="AR301" i="54" s="1"/>
  <c r="AS301" i="54" s="1"/>
  <c r="AU301" i="54" s="1"/>
  <c r="AT275" i="54"/>
  <c r="AQ275" i="54"/>
  <c r="AR275" i="54" s="1"/>
  <c r="AS275" i="54" s="1"/>
  <c r="AU275" i="54" s="1"/>
  <c r="AT223" i="54"/>
  <c r="AQ223" i="54"/>
  <c r="AR223" i="54" s="1"/>
  <c r="AS223" i="54" s="1"/>
  <c r="AU223" i="54" s="1"/>
  <c r="AT405" i="54"/>
  <c r="AQ405" i="54"/>
  <c r="AR405" i="54" s="1"/>
  <c r="AS405" i="54" s="1"/>
  <c r="AU405" i="54" s="1"/>
  <c r="AT171" i="54"/>
  <c r="AQ171" i="54"/>
  <c r="AR171" i="54" s="1"/>
  <c r="AS171" i="54" s="1"/>
  <c r="AU171" i="54" s="1"/>
  <c r="BD235" i="54"/>
  <c r="BA235" i="54"/>
  <c r="BD261" i="54"/>
  <c r="BA261" i="54"/>
  <c r="BD339" i="54"/>
  <c r="BA339" i="54"/>
  <c r="BD105" i="54"/>
  <c r="BA105" i="54"/>
  <c r="BB105" i="54" s="1"/>
  <c r="BC105" i="54" s="1"/>
  <c r="BE105" i="54" s="1"/>
  <c r="BD209" i="54"/>
  <c r="BA209" i="54"/>
  <c r="BA79" i="54"/>
  <c r="BB79" i="54" s="1"/>
  <c r="BC79" i="54" s="1"/>
  <c r="BE79" i="54" s="1"/>
  <c r="BD79" i="54"/>
  <c r="BA27" i="54"/>
  <c r="BB27" i="54" s="1"/>
  <c r="BC27" i="54" s="1"/>
  <c r="BE27" i="54" s="1"/>
  <c r="BD27" i="54"/>
  <c r="BD326" i="54"/>
  <c r="BA326" i="54"/>
  <c r="P33" i="54"/>
  <c r="M33" i="54"/>
  <c r="P384" i="54"/>
  <c r="M384" i="54"/>
  <c r="N384" i="54" s="1"/>
  <c r="O384" i="54" s="1"/>
  <c r="Q384" i="54" s="1"/>
  <c r="P280" i="54"/>
  <c r="M280" i="54"/>
  <c r="N280" i="54" s="1"/>
  <c r="O280" i="54" s="1"/>
  <c r="Q280" i="54" s="1"/>
  <c r="P228" i="54"/>
  <c r="M228" i="54"/>
  <c r="N228" i="54" s="1"/>
  <c r="O228" i="54" s="1"/>
  <c r="Q228" i="54" s="1"/>
  <c r="BD189" i="54"/>
  <c r="BA189" i="54"/>
  <c r="BD319" i="54"/>
  <c r="BA319" i="54"/>
  <c r="BB319" i="54" s="1"/>
  <c r="BC319" i="54" s="1"/>
  <c r="BE319" i="54" s="1"/>
  <c r="BD150" i="54"/>
  <c r="BA150" i="54"/>
  <c r="BD280" i="54"/>
  <c r="BA280" i="54"/>
  <c r="BB280" i="54" s="1"/>
  <c r="BC280" i="54" s="1"/>
  <c r="BE280" i="54" s="1"/>
  <c r="BD111" i="54"/>
  <c r="BA111" i="54"/>
  <c r="BB111" i="54" s="1"/>
  <c r="BC111" i="54" s="1"/>
  <c r="BE111" i="54" s="1"/>
  <c r="BD215" i="54"/>
  <c r="BA215" i="54"/>
  <c r="BA59" i="54"/>
  <c r="BB59" i="54" s="1"/>
  <c r="BC59" i="54" s="1"/>
  <c r="BE59" i="54" s="1"/>
  <c r="BD59" i="54"/>
  <c r="BD306" i="54"/>
  <c r="BA306" i="54"/>
  <c r="BB306" i="54" s="1"/>
  <c r="BC306" i="54" s="1"/>
  <c r="W91" i="54"/>
  <c r="Z91" i="54"/>
  <c r="W156" i="54"/>
  <c r="X156" i="54" s="1"/>
  <c r="Y156" i="54" s="1"/>
  <c r="AA156" i="54" s="1"/>
  <c r="Z156" i="54"/>
  <c r="Z234" i="54"/>
  <c r="W234" i="54"/>
  <c r="X234" i="54" s="1"/>
  <c r="Y234" i="54" s="1"/>
  <c r="AA234" i="54" s="1"/>
  <c r="Z312" i="54"/>
  <c r="W312" i="54"/>
  <c r="X312" i="54" s="1"/>
  <c r="Y312" i="54" s="1"/>
  <c r="AA312" i="54" s="1"/>
  <c r="W273" i="54"/>
  <c r="Z273" i="54"/>
  <c r="W143" i="54"/>
  <c r="X143" i="54" s="1"/>
  <c r="Y143" i="54" s="1"/>
  <c r="AA143" i="54" s="1"/>
  <c r="Z143" i="54"/>
  <c r="AT125" i="54"/>
  <c r="AQ125" i="54"/>
  <c r="AR125" i="54" s="1"/>
  <c r="AS125" i="54" s="1"/>
  <c r="AU125" i="54" s="1"/>
  <c r="AT307" i="54"/>
  <c r="AQ307" i="54"/>
  <c r="AR307" i="54" s="1"/>
  <c r="AS307" i="54" s="1"/>
  <c r="AT60" i="54"/>
  <c r="AQ60" i="54"/>
  <c r="AR60" i="54" s="1"/>
  <c r="AS60" i="54" s="1"/>
  <c r="AU60" i="54" s="1"/>
  <c r="AT190" i="54"/>
  <c r="AQ190" i="54"/>
  <c r="AR190" i="54" s="1"/>
  <c r="AS190" i="54" s="1"/>
  <c r="AU190" i="54" s="1"/>
  <c r="AT346" i="54"/>
  <c r="AQ346" i="54"/>
  <c r="AQ333" i="54"/>
  <c r="AR333" i="54" s="1"/>
  <c r="AS333" i="54" s="1"/>
  <c r="AU333" i="54" s="1"/>
  <c r="AT333" i="54"/>
  <c r="AT229" i="54"/>
  <c r="AQ229" i="54"/>
  <c r="AT372" i="54"/>
  <c r="AQ372" i="54"/>
  <c r="AR372" i="54" s="1"/>
  <c r="AS372" i="54" s="1"/>
  <c r="AU372" i="54" s="1"/>
  <c r="P336" i="54"/>
  <c r="M336" i="54"/>
  <c r="P115" i="54"/>
  <c r="M115" i="54"/>
  <c r="P362" i="54"/>
  <c r="M362" i="54"/>
  <c r="P401" i="54"/>
  <c r="M401" i="54"/>
  <c r="AQ332" i="54"/>
  <c r="AR332" i="54" s="1"/>
  <c r="AS332" i="54" s="1"/>
  <c r="AU332" i="54" s="1"/>
  <c r="AT332" i="54"/>
  <c r="AT137" i="54"/>
  <c r="AQ137" i="54"/>
  <c r="AT241" i="54"/>
  <c r="AQ241" i="54"/>
  <c r="AR241" i="54" s="1"/>
  <c r="AS241" i="54" s="1"/>
  <c r="AU241" i="54" s="1"/>
  <c r="AT85" i="54"/>
  <c r="AQ85" i="54"/>
  <c r="AR85" i="54" s="1"/>
  <c r="AS85" i="54" s="1"/>
  <c r="AU85" i="54" s="1"/>
  <c r="AT98" i="54"/>
  <c r="AQ98" i="54"/>
  <c r="AR98" i="54" s="1"/>
  <c r="AS98" i="54" s="1"/>
  <c r="AU98" i="54" s="1"/>
  <c r="AT163" i="54"/>
  <c r="AQ163" i="54"/>
  <c r="AR163" i="54" s="1"/>
  <c r="AS163" i="54" s="1"/>
  <c r="AU163" i="54" s="1"/>
  <c r="AT280" i="54"/>
  <c r="AQ280" i="54"/>
  <c r="AR280" i="54" s="1"/>
  <c r="AS280" i="54" s="1"/>
  <c r="P389" i="54"/>
  <c r="M389" i="54"/>
  <c r="N389" i="54" s="1"/>
  <c r="O389" i="54" s="1"/>
  <c r="Q389" i="54" s="1"/>
  <c r="P285" i="54"/>
  <c r="M285" i="54"/>
  <c r="P311" i="54"/>
  <c r="M311" i="54"/>
  <c r="N311" i="54" s="1"/>
  <c r="O311" i="54" s="1"/>
  <c r="Q311" i="54" s="1"/>
  <c r="P324" i="54"/>
  <c r="M324" i="54"/>
  <c r="N324" i="54" s="1"/>
  <c r="O324" i="54" s="1"/>
  <c r="Q324" i="54" s="1"/>
  <c r="P363" i="54"/>
  <c r="M363" i="54"/>
  <c r="N363" i="54" s="1"/>
  <c r="O363" i="54" s="1"/>
  <c r="Q363" i="54" s="1"/>
  <c r="BD259" i="54"/>
  <c r="BA259" i="54"/>
  <c r="BB259" i="54" s="1"/>
  <c r="BC259" i="54" s="1"/>
  <c r="BD207" i="54"/>
  <c r="BA207" i="54"/>
  <c r="BD272" i="54"/>
  <c r="BA272" i="54"/>
  <c r="BD90" i="54"/>
  <c r="BA90" i="54"/>
  <c r="BB90" i="54" s="1"/>
  <c r="BC90" i="54" s="1"/>
  <c r="BE90" i="54" s="1"/>
  <c r="BD233" i="54"/>
  <c r="BA233" i="54"/>
  <c r="BB233" i="54" s="1"/>
  <c r="BC233" i="54" s="1"/>
  <c r="BE233" i="54" s="1"/>
  <c r="BD103" i="54"/>
  <c r="BA103" i="54"/>
  <c r="BB103" i="54" s="1"/>
  <c r="BC103" i="54" s="1"/>
  <c r="BE103" i="54" s="1"/>
  <c r="BD285" i="54"/>
  <c r="BA285" i="54"/>
  <c r="BB285" i="54" s="1"/>
  <c r="BC285" i="54" s="1"/>
  <c r="W134" i="54"/>
  <c r="Z134" i="54"/>
  <c r="Z199" i="54"/>
  <c r="W199" i="54"/>
  <c r="W173" i="54"/>
  <c r="Z173" i="54"/>
  <c r="W212" i="54"/>
  <c r="Z212" i="54"/>
  <c r="W329" i="54"/>
  <c r="X329" i="54" s="1"/>
  <c r="Y329" i="54" s="1"/>
  <c r="AA329" i="54" s="1"/>
  <c r="Z329" i="54"/>
  <c r="W394" i="54"/>
  <c r="X394" i="54" s="1"/>
  <c r="Y394" i="54" s="1"/>
  <c r="AA394" i="54" s="1"/>
  <c r="Z394" i="54"/>
  <c r="BD74" i="54"/>
  <c r="BA74" i="54"/>
  <c r="BB74" i="54" s="1"/>
  <c r="BC74" i="54" s="1"/>
  <c r="BE74" i="54" s="1"/>
  <c r="BD243" i="54"/>
  <c r="BA243" i="54"/>
  <c r="BB243" i="54" s="1"/>
  <c r="BC243" i="54" s="1"/>
  <c r="BD386" i="54"/>
  <c r="BA386" i="54"/>
  <c r="BB386" i="54" s="1"/>
  <c r="BC386" i="54" s="1"/>
  <c r="BD113" i="54"/>
  <c r="BA113" i="54"/>
  <c r="BB113" i="54" s="1"/>
  <c r="BC113" i="54" s="1"/>
  <c r="BE113" i="54" s="1"/>
  <c r="BD35" i="54"/>
  <c r="BA35" i="54"/>
  <c r="BB35" i="54" s="1"/>
  <c r="BC35" i="54" s="1"/>
  <c r="BE35" i="54" s="1"/>
  <c r="BD139" i="54"/>
  <c r="BA139" i="54"/>
  <c r="BD256" i="54"/>
  <c r="BA256" i="54"/>
  <c r="BB256" i="54" s="1"/>
  <c r="BC256" i="54" s="1"/>
  <c r="BE256" i="54" s="1"/>
  <c r="BD399" i="54"/>
  <c r="BA399" i="54"/>
  <c r="BB399" i="54" s="1"/>
  <c r="BC399" i="54" s="1"/>
  <c r="BE399" i="54" s="1"/>
  <c r="W268" i="54"/>
  <c r="X268" i="54" s="1"/>
  <c r="Y268" i="54" s="1"/>
  <c r="AA268" i="54" s="1"/>
  <c r="Z268" i="54"/>
  <c r="W281" i="54"/>
  <c r="X281" i="54" s="1"/>
  <c r="Y281" i="54" s="1"/>
  <c r="AA281" i="54" s="1"/>
  <c r="Z281" i="54"/>
  <c r="W346" i="54"/>
  <c r="X346" i="54" s="1"/>
  <c r="Y346" i="54" s="1"/>
  <c r="AA346" i="54" s="1"/>
  <c r="Z346" i="54"/>
  <c r="W359" i="54"/>
  <c r="X359" i="54" s="1"/>
  <c r="Y359" i="54" s="1"/>
  <c r="AA359" i="54" s="1"/>
  <c r="Z359" i="54"/>
  <c r="W177" i="54"/>
  <c r="X177" i="54" s="1"/>
  <c r="Y177" i="54" s="1"/>
  <c r="AA177" i="54" s="1"/>
  <c r="Z177" i="54"/>
  <c r="W34" i="54"/>
  <c r="X34" i="54" s="1"/>
  <c r="Y34" i="54" s="1"/>
  <c r="AA34" i="54" s="1"/>
  <c r="Z34" i="54"/>
  <c r="Z231" i="54"/>
  <c r="W231" i="54"/>
  <c r="W114" i="54"/>
  <c r="X114" i="54" s="1"/>
  <c r="Y114" i="54" s="1"/>
  <c r="AA114" i="54" s="1"/>
  <c r="Z114" i="54"/>
  <c r="Z88" i="54"/>
  <c r="W88" i="54"/>
  <c r="W361" i="54"/>
  <c r="X361" i="54" s="1"/>
  <c r="Y361" i="54" s="1"/>
  <c r="AA361" i="54" s="1"/>
  <c r="Z361" i="54"/>
  <c r="W101" i="54"/>
  <c r="Z101" i="54"/>
  <c r="W296" i="54"/>
  <c r="X296" i="54" s="1"/>
  <c r="Y296" i="54" s="1"/>
  <c r="AA296" i="54" s="1"/>
  <c r="Z296" i="54"/>
  <c r="W257" i="54"/>
  <c r="X257" i="54" s="1"/>
  <c r="Y257" i="54" s="1"/>
  <c r="AA257" i="54" s="1"/>
  <c r="Z257" i="54"/>
  <c r="BA186" i="54"/>
  <c r="BB186" i="54" s="1"/>
  <c r="BC186" i="54" s="1"/>
  <c r="BE186" i="54" s="1"/>
  <c r="BD186" i="54"/>
  <c r="BA30" i="54"/>
  <c r="BB30" i="54" s="1"/>
  <c r="BC30" i="54" s="1"/>
  <c r="BE30" i="54" s="1"/>
  <c r="BD30" i="54"/>
  <c r="BD173" i="54"/>
  <c r="BA173" i="54"/>
  <c r="BD251" i="54"/>
  <c r="BA251" i="54"/>
  <c r="BB251" i="54" s="1"/>
  <c r="BC251" i="54" s="1"/>
  <c r="BE251" i="54" s="1"/>
  <c r="BD121" i="54"/>
  <c r="BA121" i="54"/>
  <c r="BB121" i="54" s="1"/>
  <c r="BC121" i="54" s="1"/>
  <c r="BE121" i="54" s="1"/>
  <c r="BD277" i="54"/>
  <c r="BA277" i="54"/>
  <c r="BB277" i="54" s="1"/>
  <c r="BC277" i="54" s="1"/>
  <c r="BE277" i="54" s="1"/>
  <c r="BD290" i="54"/>
  <c r="BA290" i="54"/>
  <c r="P114" i="54"/>
  <c r="M114" i="54"/>
  <c r="N114" i="54" s="1"/>
  <c r="O114" i="54" s="1"/>
  <c r="Q114" i="54" s="1"/>
  <c r="M218" i="54"/>
  <c r="N218" i="54" s="1"/>
  <c r="O218" i="54" s="1"/>
  <c r="Q218" i="54" s="1"/>
  <c r="P218" i="54"/>
  <c r="M140" i="54"/>
  <c r="N140" i="54" s="1"/>
  <c r="O140" i="54" s="1"/>
  <c r="Q140" i="54" s="1"/>
  <c r="P140" i="54"/>
  <c r="P400" i="54"/>
  <c r="M400" i="54"/>
  <c r="P257" i="54"/>
  <c r="M257" i="54"/>
  <c r="AJ257" i="54"/>
  <c r="AG257" i="54"/>
  <c r="AH257" i="54" s="1"/>
  <c r="AI257" i="54" s="1"/>
  <c r="AK257" i="54" s="1"/>
  <c r="AJ75" i="54"/>
  <c r="AG75" i="54"/>
  <c r="AH75" i="54" s="1"/>
  <c r="AI75" i="54" s="1"/>
  <c r="AK75" i="54" s="1"/>
  <c r="AG114" i="54"/>
  <c r="AH114" i="54" s="1"/>
  <c r="AI114" i="54" s="1"/>
  <c r="AK114" i="54" s="1"/>
  <c r="AJ114" i="54"/>
  <c r="AG231" i="54"/>
  <c r="AH231" i="54" s="1"/>
  <c r="AI231" i="54" s="1"/>
  <c r="AK231" i="54" s="1"/>
  <c r="AJ231" i="54"/>
  <c r="AG88" i="54"/>
  <c r="AH88" i="54" s="1"/>
  <c r="AI88" i="54" s="1"/>
  <c r="AK88" i="54" s="1"/>
  <c r="AJ88" i="54"/>
  <c r="AG166" i="54"/>
  <c r="AJ166" i="54"/>
  <c r="AG244" i="54"/>
  <c r="AJ244" i="54"/>
  <c r="P147" i="54"/>
  <c r="M147" i="54"/>
  <c r="N147" i="54" s="1"/>
  <c r="O147" i="54" s="1"/>
  <c r="Q147" i="54" s="1"/>
  <c r="P225" i="54"/>
  <c r="M225" i="54"/>
  <c r="N225" i="54" s="1"/>
  <c r="O225" i="54" s="1"/>
  <c r="Q225" i="54" s="1"/>
  <c r="P303" i="54"/>
  <c r="M303" i="54"/>
  <c r="N303" i="54" s="1"/>
  <c r="O303" i="54" s="1"/>
  <c r="Q303" i="54" s="1"/>
  <c r="P199" i="54"/>
  <c r="M199" i="54"/>
  <c r="P381" i="54"/>
  <c r="M381" i="54"/>
  <c r="N381" i="54" s="1"/>
  <c r="O381" i="54" s="1"/>
  <c r="Q381" i="54" s="1"/>
  <c r="W321" i="54"/>
  <c r="Z321" i="54"/>
  <c r="Z35" i="54"/>
  <c r="W35" i="54"/>
  <c r="X35" i="54" s="1"/>
  <c r="Y35" i="54" s="1"/>
  <c r="AA35" i="54" s="1"/>
  <c r="W100" i="54"/>
  <c r="X100" i="54" s="1"/>
  <c r="Y100" i="54" s="1"/>
  <c r="AA100" i="54" s="1"/>
  <c r="Z100" i="54"/>
  <c r="Z386" i="54"/>
  <c r="W386" i="54"/>
  <c r="X386" i="54" s="1"/>
  <c r="Y386" i="54" s="1"/>
  <c r="AA386" i="54" s="1"/>
  <c r="W256" i="54"/>
  <c r="X256" i="54" s="1"/>
  <c r="Y256" i="54" s="1"/>
  <c r="AA256" i="54" s="1"/>
  <c r="Z256" i="54"/>
  <c r="W178" i="54"/>
  <c r="X178" i="54" s="1"/>
  <c r="Y178" i="54" s="1"/>
  <c r="AA178" i="54" s="1"/>
  <c r="Z178" i="54"/>
  <c r="W295" i="54"/>
  <c r="X295" i="54" s="1"/>
  <c r="Y295" i="54" s="1"/>
  <c r="AA295" i="54" s="1"/>
  <c r="Z295" i="54"/>
  <c r="BD149" i="54"/>
  <c r="BA149" i="54"/>
  <c r="BD175" i="54"/>
  <c r="BA175" i="54"/>
  <c r="BA45" i="54"/>
  <c r="BB45" i="54" s="1"/>
  <c r="BC45" i="54" s="1"/>
  <c r="BE45" i="54" s="1"/>
  <c r="BD45" i="54"/>
  <c r="BD136" i="54"/>
  <c r="BA136" i="54"/>
  <c r="BB136" i="54" s="1"/>
  <c r="BC136" i="54" s="1"/>
  <c r="BE136" i="54" s="1"/>
  <c r="BD357" i="54"/>
  <c r="BA357" i="54"/>
  <c r="BB357" i="54" s="1"/>
  <c r="BC357" i="54" s="1"/>
  <c r="BE357" i="54" s="1"/>
  <c r="BD97" i="54"/>
  <c r="BA97" i="54"/>
  <c r="BD253" i="54"/>
  <c r="BA253" i="54"/>
  <c r="BB253" i="54" s="1"/>
  <c r="BC253" i="54" s="1"/>
  <c r="W245" i="54"/>
  <c r="Z245" i="54"/>
  <c r="Z167" i="54"/>
  <c r="W167" i="54"/>
  <c r="X167" i="54" s="1"/>
  <c r="Y167" i="54" s="1"/>
  <c r="AA167" i="54" s="1"/>
  <c r="Z141" i="54"/>
  <c r="W141" i="54"/>
  <c r="X141" i="54" s="1"/>
  <c r="Y141" i="54" s="1"/>
  <c r="AA141" i="54" s="1"/>
  <c r="W115" i="54"/>
  <c r="X115" i="54" s="1"/>
  <c r="Y115" i="54" s="1"/>
  <c r="AA115" i="54" s="1"/>
  <c r="Z115" i="54"/>
  <c r="W180" i="54"/>
  <c r="X180" i="54" s="1"/>
  <c r="Y180" i="54" s="1"/>
  <c r="AA180" i="54" s="1"/>
  <c r="Z180" i="54"/>
  <c r="Z349" i="54"/>
  <c r="W349" i="54"/>
  <c r="X349" i="54" s="1"/>
  <c r="Y349" i="54" s="1"/>
  <c r="AA349" i="54" s="1"/>
  <c r="W219" i="54"/>
  <c r="Z219" i="54"/>
  <c r="AG69" i="54"/>
  <c r="AH69" i="54" s="1"/>
  <c r="AI69" i="54" s="1"/>
  <c r="AK69" i="54" s="1"/>
  <c r="AJ69" i="54"/>
  <c r="AG342" i="54"/>
  <c r="AH342" i="54" s="1"/>
  <c r="AI342" i="54" s="1"/>
  <c r="AK342" i="54" s="1"/>
  <c r="AJ342" i="54"/>
  <c r="AJ160" i="54"/>
  <c r="AG160" i="54"/>
  <c r="AG290" i="54"/>
  <c r="AJ290" i="54"/>
  <c r="AG199" i="54"/>
  <c r="AH199" i="54" s="1"/>
  <c r="AI199" i="54" s="1"/>
  <c r="AK199" i="54" s="1"/>
  <c r="AJ199" i="54"/>
  <c r="AG82" i="54"/>
  <c r="AJ82" i="54"/>
  <c r="AJ394" i="54"/>
  <c r="AG394" i="54"/>
  <c r="AH394" i="54" s="1"/>
  <c r="AI394" i="54" s="1"/>
  <c r="AK394" i="54" s="1"/>
  <c r="AT165" i="54"/>
  <c r="AQ165" i="54"/>
  <c r="AT74" i="54"/>
  <c r="AQ74" i="54"/>
  <c r="AR74" i="54" s="1"/>
  <c r="AS74" i="54" s="1"/>
  <c r="AU74" i="54" s="1"/>
  <c r="AT22" i="54"/>
  <c r="AQ22" i="54"/>
  <c r="AR22" i="54" s="1"/>
  <c r="AS22" i="54" s="1"/>
  <c r="AU22" i="54" s="1"/>
  <c r="AT347" i="54"/>
  <c r="AQ347" i="54"/>
  <c r="AT178" i="54"/>
  <c r="AQ178" i="54"/>
  <c r="AT386" i="54"/>
  <c r="AQ386" i="54"/>
  <c r="AR386" i="54" s="1"/>
  <c r="AS386" i="54" s="1"/>
  <c r="AT191" i="54"/>
  <c r="AQ191" i="54"/>
  <c r="AR191" i="54" s="1"/>
  <c r="AS191" i="54" s="1"/>
  <c r="AU191" i="54" s="1"/>
  <c r="AG204" i="54"/>
  <c r="AH204" i="54" s="1"/>
  <c r="AI204" i="54" s="1"/>
  <c r="AK204" i="54" s="1"/>
  <c r="AJ204" i="54"/>
  <c r="AG230" i="54"/>
  <c r="AJ230" i="54"/>
  <c r="AG48" i="54"/>
  <c r="AH48" i="54" s="1"/>
  <c r="AI48" i="54" s="1"/>
  <c r="AK48" i="54" s="1"/>
  <c r="AJ48" i="54"/>
  <c r="AG61" i="54"/>
  <c r="AH61" i="54" s="1"/>
  <c r="AI61" i="54" s="1"/>
  <c r="AK61" i="54" s="1"/>
  <c r="AJ61" i="54"/>
  <c r="AG334" i="54"/>
  <c r="AH334" i="54" s="1"/>
  <c r="AI334" i="54" s="1"/>
  <c r="AK334" i="54" s="1"/>
  <c r="AJ334" i="54"/>
  <c r="AG373" i="54"/>
  <c r="AJ373" i="54"/>
  <c r="AG139" i="54"/>
  <c r="AH139" i="54" s="1"/>
  <c r="AI139" i="54" s="1"/>
  <c r="AK139" i="54" s="1"/>
  <c r="AJ139" i="54"/>
  <c r="AG399" i="54"/>
  <c r="AH399" i="54" s="1"/>
  <c r="AI399" i="54" s="1"/>
  <c r="AK399" i="54" s="1"/>
  <c r="AJ399" i="54"/>
  <c r="AJ382" i="54"/>
  <c r="AG382" i="54"/>
  <c r="AG31" i="54"/>
  <c r="AH31" i="54" s="1"/>
  <c r="AI31" i="54" s="1"/>
  <c r="AK31" i="54" s="1"/>
  <c r="AJ31" i="54"/>
  <c r="AG122" i="54"/>
  <c r="AH122" i="54" s="1"/>
  <c r="AI122" i="54" s="1"/>
  <c r="AK122" i="54" s="1"/>
  <c r="AJ122" i="54"/>
  <c r="AG18" i="54"/>
  <c r="AH18" i="54" s="1"/>
  <c r="AI18" i="54" s="1"/>
  <c r="AK18" i="54" s="1"/>
  <c r="AJ18" i="54"/>
  <c r="AG161" i="54"/>
  <c r="AJ161" i="54"/>
  <c r="AG252" i="54"/>
  <c r="AH252" i="54" s="1"/>
  <c r="AI252" i="54" s="1"/>
  <c r="AK252" i="54" s="1"/>
  <c r="AJ252" i="54"/>
  <c r="AG109" i="54"/>
  <c r="AH109" i="54" s="1"/>
  <c r="AI109" i="54" s="1"/>
  <c r="AK109" i="54" s="1"/>
  <c r="AJ109" i="54"/>
  <c r="W122" i="54"/>
  <c r="X122" i="54" s="1"/>
  <c r="Y122" i="54" s="1"/>
  <c r="AA122" i="54" s="1"/>
  <c r="Z122" i="54"/>
  <c r="W304" i="54"/>
  <c r="X304" i="54" s="1"/>
  <c r="Y304" i="54" s="1"/>
  <c r="AA304" i="54" s="1"/>
  <c r="Z304" i="54"/>
  <c r="W70" i="54"/>
  <c r="Z70" i="54"/>
  <c r="W343" i="54"/>
  <c r="X343" i="54" s="1"/>
  <c r="Y343" i="54" s="1"/>
  <c r="AA343" i="54" s="1"/>
  <c r="Z343" i="54"/>
  <c r="W83" i="54"/>
  <c r="X83" i="54" s="1"/>
  <c r="Y83" i="54" s="1"/>
  <c r="AA83" i="54" s="1"/>
  <c r="Z83" i="54"/>
  <c r="W278" i="54"/>
  <c r="Z278" i="54"/>
  <c r="W239" i="54"/>
  <c r="Z239" i="54"/>
  <c r="AG40" i="54"/>
  <c r="AH40" i="54" s="1"/>
  <c r="AI40" i="54" s="1"/>
  <c r="AK40" i="54" s="1"/>
  <c r="AJ40" i="54"/>
  <c r="AJ248" i="54"/>
  <c r="AG248" i="54"/>
  <c r="AH248" i="54" s="1"/>
  <c r="AI248" i="54" s="1"/>
  <c r="AK248" i="54" s="1"/>
  <c r="AG222" i="54"/>
  <c r="AH222" i="54" s="1"/>
  <c r="AI222" i="54" s="1"/>
  <c r="AK222" i="54" s="1"/>
  <c r="AJ222" i="54"/>
  <c r="AG79" i="54"/>
  <c r="AH79" i="54" s="1"/>
  <c r="AI79" i="54" s="1"/>
  <c r="AK79" i="54" s="1"/>
  <c r="AJ79" i="54"/>
  <c r="AG300" i="54"/>
  <c r="AH300" i="54" s="1"/>
  <c r="AI300" i="54" s="1"/>
  <c r="AK300" i="54" s="1"/>
  <c r="AJ300" i="54"/>
  <c r="AG391" i="54"/>
  <c r="AH391" i="54" s="1"/>
  <c r="AI391" i="54" s="1"/>
  <c r="AK391" i="54" s="1"/>
  <c r="AJ391" i="54"/>
  <c r="AG157" i="54"/>
  <c r="AJ157" i="54"/>
  <c r="P237" i="54"/>
  <c r="M237" i="54"/>
  <c r="N237" i="54" s="1"/>
  <c r="O237" i="54" s="1"/>
  <c r="Q237" i="54" s="1"/>
  <c r="P276" i="54"/>
  <c r="M276" i="54"/>
  <c r="N276" i="54" s="1"/>
  <c r="O276" i="54" s="1"/>
  <c r="Q276" i="54" s="1"/>
  <c r="M224" i="54"/>
  <c r="N224" i="54" s="1"/>
  <c r="O224" i="54" s="1"/>
  <c r="Q224" i="54" s="1"/>
  <c r="P224" i="54"/>
  <c r="P107" i="54"/>
  <c r="M107" i="54"/>
  <c r="AJ302" i="54"/>
  <c r="AG302" i="54"/>
  <c r="AH302" i="54" s="1"/>
  <c r="AI302" i="54" s="1"/>
  <c r="AK302" i="54" s="1"/>
  <c r="AG380" i="54"/>
  <c r="AJ380" i="54"/>
  <c r="AG198" i="54"/>
  <c r="AH198" i="54" s="1"/>
  <c r="AI198" i="54" s="1"/>
  <c r="AK198" i="54" s="1"/>
  <c r="AJ198" i="54"/>
  <c r="AJ16" i="54"/>
  <c r="AG16" i="54"/>
  <c r="AH16" i="54" s="1"/>
  <c r="AI16" i="54" s="1"/>
  <c r="AK16" i="54" s="1"/>
  <c r="AG29" i="54"/>
  <c r="AH29" i="54" s="1"/>
  <c r="AI29" i="54" s="1"/>
  <c r="AK29" i="54" s="1"/>
  <c r="AJ29" i="54"/>
  <c r="AG172" i="54"/>
  <c r="AJ172" i="54"/>
  <c r="AJ94" i="54"/>
  <c r="AG94" i="54"/>
  <c r="AH94" i="54" s="1"/>
  <c r="AI94" i="54" s="1"/>
  <c r="AK94" i="54" s="1"/>
  <c r="BD96" i="54"/>
  <c r="BA96" i="54"/>
  <c r="BB96" i="54" s="1"/>
  <c r="BC96" i="54" s="1"/>
  <c r="BE96" i="54" s="1"/>
  <c r="BD109" i="54"/>
  <c r="BA109" i="54"/>
  <c r="BB109" i="54" s="1"/>
  <c r="BC109" i="54" s="1"/>
  <c r="BE109" i="54" s="1"/>
  <c r="BD330" i="54"/>
  <c r="BA330" i="54"/>
  <c r="BD265" i="54"/>
  <c r="BA265" i="54"/>
  <c r="BB265" i="54" s="1"/>
  <c r="BC265" i="54" s="1"/>
  <c r="BE265" i="54" s="1"/>
  <c r="BD252" i="54"/>
  <c r="BA252" i="54"/>
  <c r="BB252" i="54" s="1"/>
  <c r="BC252" i="54" s="1"/>
  <c r="BE252" i="54" s="1"/>
  <c r="BD343" i="54"/>
  <c r="BA343" i="54"/>
  <c r="BD161" i="54"/>
  <c r="BA161" i="54"/>
  <c r="BD356" i="54"/>
  <c r="BA356" i="54"/>
  <c r="BB356" i="54" s="1"/>
  <c r="BC356" i="54" s="1"/>
  <c r="BE356" i="54" s="1"/>
  <c r="W93" i="54"/>
  <c r="X93" i="54" s="1"/>
  <c r="Y93" i="54" s="1"/>
  <c r="AA93" i="54" s="1"/>
  <c r="Z93" i="54"/>
  <c r="Z223" i="54"/>
  <c r="W223" i="54"/>
  <c r="X223" i="54" s="1"/>
  <c r="Y223" i="54" s="1"/>
  <c r="AA223" i="54" s="1"/>
  <c r="W288" i="54"/>
  <c r="X288" i="54" s="1"/>
  <c r="Y288" i="54" s="1"/>
  <c r="AA288" i="54" s="1"/>
  <c r="Z288" i="54"/>
  <c r="Z28" i="54"/>
  <c r="W28" i="54"/>
  <c r="X28" i="54" s="1"/>
  <c r="Y28" i="54" s="1"/>
  <c r="AA28" i="54" s="1"/>
  <c r="Z366" i="54"/>
  <c r="W366" i="54"/>
  <c r="X366" i="54" s="1"/>
  <c r="Y366" i="54" s="1"/>
  <c r="AA366" i="54" s="1"/>
  <c r="Z392" i="54"/>
  <c r="W392" i="54"/>
  <c r="X392" i="54" s="1"/>
  <c r="Y392" i="54" s="1"/>
  <c r="AA392" i="54" s="1"/>
  <c r="AT183" i="54"/>
  <c r="AQ183" i="54"/>
  <c r="AT92" i="54"/>
  <c r="AQ92" i="54"/>
  <c r="AR92" i="54" s="1"/>
  <c r="AS92" i="54" s="1"/>
  <c r="AU92" i="54" s="1"/>
  <c r="AT40" i="54"/>
  <c r="AQ40" i="54"/>
  <c r="AR40" i="54" s="1"/>
  <c r="AS40" i="54" s="1"/>
  <c r="AU40" i="54" s="1"/>
  <c r="AQ326" i="54"/>
  <c r="AR326" i="54" s="1"/>
  <c r="AS326" i="54" s="1"/>
  <c r="AU326" i="54" s="1"/>
  <c r="AT326" i="54"/>
  <c r="AT196" i="54"/>
  <c r="AQ196" i="54"/>
  <c r="AR196" i="54" s="1"/>
  <c r="AS196" i="54" s="1"/>
  <c r="AU196" i="54" s="1"/>
  <c r="AT404" i="54"/>
  <c r="AQ404" i="54"/>
  <c r="AR404" i="54" s="1"/>
  <c r="AS404" i="54" s="1"/>
  <c r="AU404" i="54" s="1"/>
  <c r="AT209" i="54"/>
  <c r="AQ209" i="54"/>
  <c r="AR209" i="54" s="1"/>
  <c r="AS209" i="54" s="1"/>
  <c r="AU209" i="54" s="1"/>
  <c r="AT352" i="54"/>
  <c r="AQ352" i="54"/>
  <c r="BD94" i="54"/>
  <c r="BA94" i="54"/>
  <c r="BB94" i="54" s="1"/>
  <c r="BC94" i="54" s="1"/>
  <c r="BD276" i="54"/>
  <c r="BA276" i="54"/>
  <c r="BB276" i="54" s="1"/>
  <c r="BC276" i="54" s="1"/>
  <c r="BE276" i="54" s="1"/>
  <c r="BD107" i="54"/>
  <c r="BA107" i="54"/>
  <c r="BB107" i="54" s="1"/>
  <c r="BC107" i="54" s="1"/>
  <c r="BE107" i="54" s="1"/>
  <c r="BD211" i="54"/>
  <c r="BA211" i="54"/>
  <c r="BB211" i="54" s="1"/>
  <c r="BC211" i="54" s="1"/>
  <c r="BE211" i="54" s="1"/>
  <c r="BD81" i="54"/>
  <c r="BA81" i="54"/>
  <c r="BB81" i="54" s="1"/>
  <c r="BC81" i="54" s="1"/>
  <c r="BE81" i="54" s="1"/>
  <c r="BD302" i="54"/>
  <c r="BA302" i="54"/>
  <c r="BB302" i="54" s="1"/>
  <c r="BC302" i="54" s="1"/>
  <c r="BD198" i="54"/>
  <c r="BA198" i="54"/>
  <c r="BB198" i="54" s="1"/>
  <c r="BC198" i="54" s="1"/>
  <c r="BE198" i="54" s="1"/>
  <c r="P372" i="54"/>
  <c r="M372" i="54"/>
  <c r="P320" i="54"/>
  <c r="M320" i="54"/>
  <c r="P359" i="54"/>
  <c r="M359" i="54"/>
  <c r="P346" i="54"/>
  <c r="M346" i="54"/>
  <c r="AT16" i="54"/>
  <c r="AQ16" i="54"/>
  <c r="AR16" i="54" s="1"/>
  <c r="AS16" i="54" s="1"/>
  <c r="AU16" i="54" s="1"/>
  <c r="AT289" i="54"/>
  <c r="AQ289" i="54"/>
  <c r="AR289" i="54" s="1"/>
  <c r="AS289" i="54" s="1"/>
  <c r="AU289" i="54" s="1"/>
  <c r="AT120" i="54"/>
  <c r="AQ120" i="54"/>
  <c r="AR120" i="54" s="1"/>
  <c r="AS120" i="54" s="1"/>
  <c r="AU120" i="54" s="1"/>
  <c r="AT172" i="54"/>
  <c r="AQ172" i="54"/>
  <c r="AR172" i="54" s="1"/>
  <c r="AS172" i="54" s="1"/>
  <c r="AU172" i="54" s="1"/>
  <c r="AQ328" i="54"/>
  <c r="AR328" i="54" s="1"/>
  <c r="AS328" i="54" s="1"/>
  <c r="AU328" i="54" s="1"/>
  <c r="AT328" i="54"/>
  <c r="AT276" i="54"/>
  <c r="AQ276" i="54"/>
  <c r="AR276" i="54" s="1"/>
  <c r="AS276" i="54" s="1"/>
  <c r="AU276" i="54" s="1"/>
  <c r="AT224" i="54"/>
  <c r="AQ224" i="54"/>
  <c r="AT380" i="54"/>
  <c r="AQ380" i="54"/>
  <c r="AR380" i="54" s="1"/>
  <c r="AS380" i="54" s="1"/>
  <c r="AU380" i="54" s="1"/>
  <c r="AG38" i="54"/>
  <c r="AH38" i="54" s="1"/>
  <c r="AI38" i="54" s="1"/>
  <c r="AK38" i="54" s="1"/>
  <c r="AJ38" i="54"/>
  <c r="AG363" i="54"/>
  <c r="AJ363" i="54"/>
  <c r="AG155" i="54"/>
  <c r="AJ155" i="54"/>
  <c r="AG25" i="54"/>
  <c r="AH25" i="54" s="1"/>
  <c r="AI25" i="54" s="1"/>
  <c r="AK25" i="54" s="1"/>
  <c r="AJ25" i="54"/>
  <c r="AG285" i="54"/>
  <c r="AJ285" i="54"/>
  <c r="AG337" i="54"/>
  <c r="AH337" i="54" s="1"/>
  <c r="AI337" i="54" s="1"/>
  <c r="AK337" i="54" s="1"/>
  <c r="AJ337" i="54"/>
  <c r="AG376" i="54"/>
  <c r="AH376" i="54" s="1"/>
  <c r="AI376" i="54" s="1"/>
  <c r="AK376" i="54" s="1"/>
  <c r="AJ376" i="54"/>
  <c r="AG298" i="54"/>
  <c r="AH298" i="54" s="1"/>
  <c r="AI298" i="54" s="1"/>
  <c r="AK298" i="54" s="1"/>
  <c r="AJ298" i="54"/>
  <c r="BD114" i="54"/>
  <c r="BA114" i="54"/>
  <c r="BB114" i="54" s="1"/>
  <c r="BC114" i="54" s="1"/>
  <c r="BD205" i="54"/>
  <c r="BA205" i="54"/>
  <c r="BD153" i="54"/>
  <c r="BA153" i="54"/>
  <c r="BD127" i="54"/>
  <c r="BA127" i="54"/>
  <c r="BD387" i="54"/>
  <c r="BA387" i="54"/>
  <c r="BD88" i="54"/>
  <c r="BA88" i="54"/>
  <c r="BB88" i="54" s="1"/>
  <c r="BC88" i="54" s="1"/>
  <c r="BE88" i="54" s="1"/>
  <c r="BD257" i="54"/>
  <c r="BA257" i="54"/>
  <c r="BB257" i="54" s="1"/>
  <c r="BC257" i="54" s="1"/>
  <c r="BE257" i="54" s="1"/>
  <c r="BD400" i="54"/>
  <c r="BA400" i="54"/>
  <c r="AT147" i="54"/>
  <c r="AQ147" i="54"/>
  <c r="AR147" i="54" s="1"/>
  <c r="AS147" i="54" s="1"/>
  <c r="AU147" i="54" s="1"/>
  <c r="AT381" i="54"/>
  <c r="AQ381" i="54"/>
  <c r="AR381" i="54" s="1"/>
  <c r="AS381" i="54" s="1"/>
  <c r="AT121" i="54"/>
  <c r="AQ121" i="54"/>
  <c r="AR121" i="54" s="1"/>
  <c r="AS121" i="54" s="1"/>
  <c r="AU121" i="54" s="1"/>
  <c r="AT212" i="54"/>
  <c r="AQ212" i="54"/>
  <c r="AT238" i="54"/>
  <c r="AQ238" i="54"/>
  <c r="AQ368" i="54"/>
  <c r="AR368" i="54" s="1"/>
  <c r="AS368" i="54" s="1"/>
  <c r="AU368" i="54" s="1"/>
  <c r="AT368" i="54"/>
  <c r="AT342" i="54"/>
  <c r="AQ342" i="54"/>
  <c r="AR342" i="54" s="1"/>
  <c r="AS342" i="54" s="1"/>
  <c r="AU342" i="54" s="1"/>
  <c r="AT361" i="54"/>
  <c r="AQ361" i="54"/>
  <c r="AT88" i="54"/>
  <c r="AQ88" i="54"/>
  <c r="AR88" i="54" s="1"/>
  <c r="AS88" i="54" s="1"/>
  <c r="AU88" i="54" s="1"/>
  <c r="AT36" i="54"/>
  <c r="AQ36" i="54"/>
  <c r="AR36" i="54" s="1"/>
  <c r="AS36" i="54" s="1"/>
  <c r="AU36" i="54" s="1"/>
  <c r="AT127" i="54"/>
  <c r="AQ127" i="54"/>
  <c r="AR127" i="54" s="1"/>
  <c r="AS127" i="54" s="1"/>
  <c r="AU127" i="54" s="1"/>
  <c r="AT257" i="54"/>
  <c r="AQ257" i="54"/>
  <c r="AT218" i="54"/>
  <c r="AQ218" i="54"/>
  <c r="AT387" i="54"/>
  <c r="AQ387" i="54"/>
  <c r="AT153" i="54"/>
  <c r="AQ153" i="54"/>
  <c r="AR153" i="54" s="1"/>
  <c r="AS153" i="54" s="1"/>
  <c r="AU153" i="54" s="1"/>
  <c r="Z246" i="54"/>
  <c r="W246" i="54"/>
  <c r="X246" i="54" s="1"/>
  <c r="Y246" i="54" s="1"/>
  <c r="AA246" i="54" s="1"/>
  <c r="Z272" i="54"/>
  <c r="W272" i="54"/>
  <c r="X272" i="54" s="1"/>
  <c r="Y272" i="54" s="1"/>
  <c r="AA272" i="54" s="1"/>
  <c r="Z77" i="54"/>
  <c r="W77" i="54"/>
  <c r="X77" i="54" s="1"/>
  <c r="Y77" i="54" s="1"/>
  <c r="AA77" i="54" s="1"/>
  <c r="W324" i="54"/>
  <c r="Z324" i="54"/>
  <c r="Z233" i="54"/>
  <c r="W233" i="54"/>
  <c r="X233" i="54" s="1"/>
  <c r="Y233" i="54" s="1"/>
  <c r="AA233" i="54" s="1"/>
  <c r="Z298" i="54"/>
  <c r="W298" i="54"/>
  <c r="W344" i="54"/>
  <c r="Z344" i="54"/>
  <c r="Z357" i="54"/>
  <c r="W357" i="54"/>
  <c r="W240" i="54"/>
  <c r="X240" i="54" s="1"/>
  <c r="Y240" i="54" s="1"/>
  <c r="AA240" i="54" s="1"/>
  <c r="Z240" i="54"/>
  <c r="W19" i="54"/>
  <c r="Z19" i="54"/>
  <c r="W45" i="54"/>
  <c r="X45" i="54" s="1"/>
  <c r="Y45" i="54" s="1"/>
  <c r="AA45" i="54" s="1"/>
  <c r="Z45" i="54"/>
  <c r="W110" i="54"/>
  <c r="Z110" i="54"/>
  <c r="AG34" i="54"/>
  <c r="AH34" i="54" s="1"/>
  <c r="AI34" i="54" s="1"/>
  <c r="AK34" i="54" s="1"/>
  <c r="AJ34" i="54"/>
  <c r="AG268" i="54"/>
  <c r="AH268" i="54" s="1"/>
  <c r="AI268" i="54" s="1"/>
  <c r="AK268" i="54" s="1"/>
  <c r="AJ268" i="54"/>
  <c r="AG385" i="54"/>
  <c r="AJ385" i="54"/>
  <c r="AJ99" i="54"/>
  <c r="AG99" i="54"/>
  <c r="AH99" i="54" s="1"/>
  <c r="AI99" i="54" s="1"/>
  <c r="AK99" i="54" s="1"/>
  <c r="AG229" i="54"/>
  <c r="AH229" i="54" s="1"/>
  <c r="AI229" i="54" s="1"/>
  <c r="AK229" i="54" s="1"/>
  <c r="AJ229" i="54"/>
  <c r="AJ281" i="54"/>
  <c r="AG281" i="54"/>
  <c r="AH281" i="54" s="1"/>
  <c r="AI281" i="54" s="1"/>
  <c r="AK281" i="54" s="1"/>
  <c r="AG190" i="54"/>
  <c r="AH190" i="54" s="1"/>
  <c r="AI190" i="54" s="1"/>
  <c r="AK190" i="54" s="1"/>
  <c r="AJ190" i="54"/>
  <c r="AG359" i="54"/>
  <c r="AJ359" i="54"/>
  <c r="BD268" i="54"/>
  <c r="BA268" i="54"/>
  <c r="BB268" i="54" s="1"/>
  <c r="BC268" i="54" s="1"/>
  <c r="BE268" i="54" s="1"/>
  <c r="BD151" i="54"/>
  <c r="BA151" i="54"/>
  <c r="BD242" i="54"/>
  <c r="BA242" i="54"/>
  <c r="BB242" i="54" s="1"/>
  <c r="BC242" i="54" s="1"/>
  <c r="BE242" i="54" s="1"/>
  <c r="BD229" i="54"/>
  <c r="BA229" i="54"/>
  <c r="BB229" i="54" s="1"/>
  <c r="BC229" i="54" s="1"/>
  <c r="BD138" i="54"/>
  <c r="BA138" i="54"/>
  <c r="BB138" i="54" s="1"/>
  <c r="BC138" i="54" s="1"/>
  <c r="BD359" i="54"/>
  <c r="BA359" i="54"/>
  <c r="BB359" i="54" s="1"/>
  <c r="BC359" i="54" s="1"/>
  <c r="BD216" i="54"/>
  <c r="BA216" i="54"/>
  <c r="AT51" i="54"/>
  <c r="AQ51" i="54"/>
  <c r="AR51" i="54" s="1"/>
  <c r="AS51" i="54" s="1"/>
  <c r="AU51" i="54" s="1"/>
  <c r="AT155" i="54"/>
  <c r="AQ155" i="54"/>
  <c r="AR155" i="54" s="1"/>
  <c r="AS155" i="54" s="1"/>
  <c r="AU155" i="54" s="1"/>
  <c r="AT311" i="54"/>
  <c r="AQ311" i="54"/>
  <c r="AT350" i="54"/>
  <c r="AQ350" i="54"/>
  <c r="AT363" i="54"/>
  <c r="AQ363" i="54"/>
  <c r="AR363" i="54" s="1"/>
  <c r="AS363" i="54" s="1"/>
  <c r="AQ376" i="54"/>
  <c r="AR376" i="54" s="1"/>
  <c r="AS376" i="54" s="1"/>
  <c r="AU376" i="54" s="1"/>
  <c r="AT376" i="54"/>
  <c r="AT220" i="54"/>
  <c r="AQ220" i="54"/>
  <c r="AR220" i="54" s="1"/>
  <c r="AS220" i="54" s="1"/>
  <c r="P165" i="54"/>
  <c r="M165" i="54"/>
  <c r="P243" i="54"/>
  <c r="M243" i="54"/>
  <c r="N243" i="54" s="1"/>
  <c r="O243" i="54" s="1"/>
  <c r="Q243" i="54" s="1"/>
  <c r="P191" i="54"/>
  <c r="M191" i="54"/>
  <c r="N191" i="54" s="1"/>
  <c r="O191" i="54" s="1"/>
  <c r="Q191" i="54" s="1"/>
  <c r="P139" i="54"/>
  <c r="M139" i="54"/>
  <c r="P295" i="54"/>
  <c r="M295" i="54"/>
  <c r="AG136" i="54"/>
  <c r="AH136" i="54" s="1"/>
  <c r="AI136" i="54" s="1"/>
  <c r="AK136" i="54" s="1"/>
  <c r="AJ136" i="54"/>
  <c r="AG266" i="54"/>
  <c r="AJ266" i="54"/>
  <c r="AG279" i="54"/>
  <c r="AH279" i="54" s="1"/>
  <c r="AI279" i="54" s="1"/>
  <c r="AK279" i="54" s="1"/>
  <c r="AJ279" i="54"/>
  <c r="AG45" i="54"/>
  <c r="AH45" i="54" s="1"/>
  <c r="AI45" i="54" s="1"/>
  <c r="AK45" i="54" s="1"/>
  <c r="AJ45" i="54"/>
  <c r="AG240" i="54"/>
  <c r="AH240" i="54" s="1"/>
  <c r="AI240" i="54" s="1"/>
  <c r="AK240" i="54" s="1"/>
  <c r="AJ240" i="54"/>
  <c r="AG32" i="54"/>
  <c r="AH32" i="54" s="1"/>
  <c r="AI32" i="54" s="1"/>
  <c r="AK32" i="54" s="1"/>
  <c r="AJ32" i="54"/>
  <c r="AG71" i="54"/>
  <c r="AH71" i="54" s="1"/>
  <c r="AI71" i="54" s="1"/>
  <c r="AK71" i="54" s="1"/>
  <c r="AJ71" i="54"/>
  <c r="AT175" i="54"/>
  <c r="AQ175" i="54"/>
  <c r="AT123" i="54"/>
  <c r="AQ123" i="54"/>
  <c r="AR123" i="54" s="1"/>
  <c r="AS123" i="54" s="1"/>
  <c r="AU123" i="54" s="1"/>
  <c r="AT279" i="54"/>
  <c r="AQ279" i="54"/>
  <c r="AT45" i="54"/>
  <c r="AQ45" i="54"/>
  <c r="AR45" i="54" s="1"/>
  <c r="AS45" i="54" s="1"/>
  <c r="AU45" i="54" s="1"/>
  <c r="AT396" i="54"/>
  <c r="AQ396" i="54"/>
  <c r="AT370" i="54"/>
  <c r="AQ370" i="54"/>
  <c r="AT357" i="54"/>
  <c r="AQ357" i="54"/>
  <c r="AT188" i="54"/>
  <c r="AQ188" i="54"/>
  <c r="AR188" i="54" s="1"/>
  <c r="AS188" i="54" s="1"/>
  <c r="AU188" i="54" s="1"/>
  <c r="AG143" i="54"/>
  <c r="AH143" i="54" s="1"/>
  <c r="AI143" i="54" s="1"/>
  <c r="AK143" i="54" s="1"/>
  <c r="AJ143" i="54"/>
  <c r="AG325" i="54"/>
  <c r="AH325" i="54" s="1"/>
  <c r="AI325" i="54" s="1"/>
  <c r="AK325" i="54" s="1"/>
  <c r="AJ325" i="54"/>
  <c r="AG91" i="54"/>
  <c r="AJ91" i="54"/>
  <c r="AG351" i="54"/>
  <c r="AH351" i="54" s="1"/>
  <c r="AI351" i="54" s="1"/>
  <c r="AK351" i="54" s="1"/>
  <c r="AJ351" i="54"/>
  <c r="AG65" i="54"/>
  <c r="AH65" i="54" s="1"/>
  <c r="AI65" i="54" s="1"/>
  <c r="AK65" i="54" s="1"/>
  <c r="AJ65" i="54"/>
  <c r="AG208" i="54"/>
  <c r="AH208" i="54" s="1"/>
  <c r="AI208" i="54" s="1"/>
  <c r="AK208" i="54" s="1"/>
  <c r="AJ208" i="54"/>
  <c r="AJ286" i="54"/>
  <c r="AG286" i="54"/>
  <c r="AH286" i="54" s="1"/>
  <c r="AI286" i="54" s="1"/>
  <c r="AK286" i="54" s="1"/>
  <c r="Z378" i="54"/>
  <c r="W378" i="54"/>
  <c r="X378" i="54" s="1"/>
  <c r="Y378" i="54" s="1"/>
  <c r="AA378" i="54" s="1"/>
  <c r="W352" i="54"/>
  <c r="Z352" i="54"/>
  <c r="W404" i="54"/>
  <c r="X404" i="54" s="1"/>
  <c r="Y404" i="54" s="1"/>
  <c r="AA404" i="54" s="1"/>
  <c r="Z404" i="54"/>
  <c r="Z274" i="54"/>
  <c r="W274" i="54"/>
  <c r="X274" i="54" s="1"/>
  <c r="Y274" i="54" s="1"/>
  <c r="AA274" i="54" s="1"/>
  <c r="W196" i="54"/>
  <c r="X196" i="54" s="1"/>
  <c r="Y196" i="54" s="1"/>
  <c r="AA196" i="54" s="1"/>
  <c r="Z196" i="54"/>
  <c r="Z105" i="54"/>
  <c r="W105" i="54"/>
  <c r="X105" i="54" s="1"/>
  <c r="Y105" i="54" s="1"/>
  <c r="AA105" i="54" s="1"/>
  <c r="W228" i="54"/>
  <c r="Z228" i="54"/>
  <c r="Z254" i="54"/>
  <c r="W254" i="54"/>
  <c r="X254" i="54" s="1"/>
  <c r="Y254" i="54" s="1"/>
  <c r="AA254" i="54" s="1"/>
  <c r="W59" i="54"/>
  <c r="Z59" i="54"/>
  <c r="Z306" i="54"/>
  <c r="W306" i="54"/>
  <c r="X306" i="54" s="1"/>
  <c r="Y306" i="54" s="1"/>
  <c r="AA306" i="54" s="1"/>
  <c r="W85" i="54"/>
  <c r="X85" i="54" s="1"/>
  <c r="Y85" i="54" s="1"/>
  <c r="AA85" i="54" s="1"/>
  <c r="Z85" i="54"/>
  <c r="Z163" i="54"/>
  <c r="W163" i="54"/>
  <c r="X163" i="54" s="1"/>
  <c r="Y163" i="54" s="1"/>
  <c r="AA163" i="54" s="1"/>
  <c r="AG189" i="54"/>
  <c r="AH189" i="54" s="1"/>
  <c r="AI189" i="54" s="1"/>
  <c r="AK189" i="54" s="1"/>
  <c r="AJ189" i="54"/>
  <c r="AG111" i="54"/>
  <c r="AH111" i="54" s="1"/>
  <c r="AI111" i="54" s="1"/>
  <c r="AK111" i="54" s="1"/>
  <c r="AJ111" i="54"/>
  <c r="AJ384" i="54"/>
  <c r="AG384" i="54"/>
  <c r="AJ267" i="54"/>
  <c r="AG267" i="54"/>
  <c r="AG332" i="54"/>
  <c r="AH332" i="54" s="1"/>
  <c r="AI332" i="54" s="1"/>
  <c r="AK332" i="54" s="1"/>
  <c r="AJ332" i="54"/>
  <c r="AJ215" i="54"/>
  <c r="AG215" i="54"/>
  <c r="AH215" i="54" s="1"/>
  <c r="AI215" i="54" s="1"/>
  <c r="AK215" i="54" s="1"/>
  <c r="AJ241" i="54"/>
  <c r="AG241" i="54"/>
  <c r="AH241" i="54" s="1"/>
  <c r="AI241" i="54" s="1"/>
  <c r="AK241" i="54" s="1"/>
  <c r="BA182" i="54"/>
  <c r="BB182" i="54" s="1"/>
  <c r="BC182" i="54" s="1"/>
  <c r="BE182" i="54" s="1"/>
  <c r="BD182" i="54"/>
  <c r="BD247" i="54"/>
  <c r="BA247" i="54"/>
  <c r="BB247" i="54" s="1"/>
  <c r="BC247" i="54" s="1"/>
  <c r="BE247" i="54" s="1"/>
  <c r="BD299" i="54"/>
  <c r="BA299" i="54"/>
  <c r="BB299" i="54" s="1"/>
  <c r="BC299" i="54" s="1"/>
  <c r="BE299" i="54" s="1"/>
  <c r="BA39" i="54"/>
  <c r="BB39" i="54" s="1"/>
  <c r="BC39" i="54" s="1"/>
  <c r="BE39" i="54" s="1"/>
  <c r="BD39" i="54"/>
  <c r="BD117" i="54"/>
  <c r="BA117" i="54"/>
  <c r="BB117" i="54" s="1"/>
  <c r="BC117" i="54" s="1"/>
  <c r="BE117" i="54" s="1"/>
  <c r="BD338" i="54"/>
  <c r="BA338" i="54"/>
  <c r="BD286" i="54"/>
  <c r="BA286" i="54"/>
  <c r="BB286" i="54" s="1"/>
  <c r="BC286" i="54" s="1"/>
  <c r="BE286" i="54" s="1"/>
  <c r="AT26" i="54"/>
  <c r="AQ26" i="54"/>
  <c r="AR26" i="54" s="1"/>
  <c r="AS26" i="54" s="1"/>
  <c r="AU26" i="54" s="1"/>
  <c r="AT325" i="54"/>
  <c r="AQ325" i="54"/>
  <c r="AR325" i="54" s="1"/>
  <c r="AS325" i="54" s="1"/>
  <c r="AU325" i="54" s="1"/>
  <c r="AT78" i="54"/>
  <c r="AQ78" i="54"/>
  <c r="AR78" i="54" s="1"/>
  <c r="AS78" i="54" s="1"/>
  <c r="AU78" i="54" s="1"/>
  <c r="AT208" i="54"/>
  <c r="AQ208" i="54"/>
  <c r="AR208" i="54" s="1"/>
  <c r="AS208" i="54" s="1"/>
  <c r="AU208" i="54" s="1"/>
  <c r="AQ338" i="54"/>
  <c r="AR338" i="54" s="1"/>
  <c r="AS338" i="54" s="1"/>
  <c r="AU338" i="54" s="1"/>
  <c r="AT338" i="54"/>
  <c r="AT312" i="54"/>
  <c r="AQ312" i="54"/>
  <c r="AT260" i="54"/>
  <c r="AQ260" i="54"/>
  <c r="AT390" i="54"/>
  <c r="AQ390" i="54"/>
  <c r="AR390" i="54" s="1"/>
  <c r="AS390" i="54" s="1"/>
  <c r="AT44" i="54"/>
  <c r="AQ44" i="54"/>
  <c r="AR44" i="54" s="1"/>
  <c r="AS44" i="54" s="1"/>
  <c r="AU44" i="54" s="1"/>
  <c r="AT18" i="54"/>
  <c r="AQ18" i="54"/>
  <c r="AR18" i="54" s="1"/>
  <c r="AS18" i="54" s="1"/>
  <c r="AU18" i="54" s="1"/>
  <c r="AT304" i="54"/>
  <c r="AQ304" i="54"/>
  <c r="AT343" i="54"/>
  <c r="AQ343" i="54"/>
  <c r="AT122" i="54"/>
  <c r="AQ122" i="54"/>
  <c r="AR122" i="54" s="1"/>
  <c r="AS122" i="54" s="1"/>
  <c r="AU122" i="54" s="1"/>
  <c r="AT278" i="54"/>
  <c r="AQ278" i="54"/>
  <c r="AR278" i="54" s="1"/>
  <c r="AS278" i="54" s="1"/>
  <c r="AU278" i="54" s="1"/>
  <c r="AT148" i="54"/>
  <c r="AQ148" i="54"/>
  <c r="AR148" i="54" s="1"/>
  <c r="AS148" i="54" s="1"/>
  <c r="AU148" i="54" s="1"/>
  <c r="BA184" i="54"/>
  <c r="BB184" i="54" s="1"/>
  <c r="BC184" i="54" s="1"/>
  <c r="BE184" i="54" s="1"/>
  <c r="BD184" i="54"/>
  <c r="BD366" i="54"/>
  <c r="BA366" i="54"/>
  <c r="BB366" i="54" s="1"/>
  <c r="BC366" i="54" s="1"/>
  <c r="BE366" i="54" s="1"/>
  <c r="BD132" i="54"/>
  <c r="BA132" i="54"/>
  <c r="BA41" i="54"/>
  <c r="BB41" i="54" s="1"/>
  <c r="BC41" i="54" s="1"/>
  <c r="BE41" i="54" s="1"/>
  <c r="BD41" i="54"/>
  <c r="BD405" i="54"/>
  <c r="BA405" i="54"/>
  <c r="BD106" i="54"/>
  <c r="BA106" i="54"/>
  <c r="BD262" i="54"/>
  <c r="BA262" i="54"/>
  <c r="BB262" i="54" s="1"/>
  <c r="BC262" i="54" s="1"/>
  <c r="BE262" i="54" s="1"/>
  <c r="P183" i="54"/>
  <c r="M183" i="54"/>
  <c r="P352" i="54"/>
  <c r="M352" i="54"/>
  <c r="N352" i="54" s="1"/>
  <c r="O352" i="54" s="1"/>
  <c r="Q352" i="54" s="1"/>
  <c r="P391" i="54"/>
  <c r="M391" i="54"/>
  <c r="P339" i="54"/>
  <c r="M339" i="54"/>
  <c r="N339" i="54" s="1"/>
  <c r="O339" i="54" s="1"/>
  <c r="Q339" i="54" s="1"/>
  <c r="AT115" i="54"/>
  <c r="AQ115" i="54"/>
  <c r="AR115" i="54" s="1"/>
  <c r="AS115" i="54" s="1"/>
  <c r="AU115" i="54" s="1"/>
  <c r="AT24" i="54"/>
  <c r="AQ24" i="54"/>
  <c r="AR24" i="54" s="1"/>
  <c r="AS24" i="54" s="1"/>
  <c r="AU24" i="54" s="1"/>
  <c r="AT63" i="54"/>
  <c r="AQ63" i="54"/>
  <c r="AR63" i="54" s="1"/>
  <c r="AS63" i="54" s="1"/>
  <c r="AU63" i="54" s="1"/>
  <c r="AT232" i="54"/>
  <c r="AQ232" i="54"/>
  <c r="AR232" i="54" s="1"/>
  <c r="AS232" i="54" s="1"/>
  <c r="AU232" i="54" s="1"/>
  <c r="AT349" i="54"/>
  <c r="AQ349" i="54"/>
  <c r="AT401" i="54"/>
  <c r="AQ401" i="54"/>
  <c r="AR401" i="54" s="1"/>
  <c r="AS401" i="54" s="1"/>
  <c r="AU401" i="54" s="1"/>
  <c r="AQ336" i="54"/>
  <c r="AR336" i="54" s="1"/>
  <c r="AS336" i="54" s="1"/>
  <c r="AU336" i="54" s="1"/>
  <c r="AT336" i="54"/>
  <c r="AP166" i="56"/>
  <c r="AM166" i="56"/>
  <c r="AP322" i="56"/>
  <c r="AM322" i="56"/>
  <c r="AN322" i="56" s="1"/>
  <c r="AO322" i="56" s="1"/>
  <c r="AQ322" i="56" s="1"/>
  <c r="AP270" i="56"/>
  <c r="AM270" i="56"/>
  <c r="AP257" i="56"/>
  <c r="AM257" i="56"/>
  <c r="AN257" i="56" s="1"/>
  <c r="AO257" i="56" s="1"/>
  <c r="AQ257" i="56" s="1"/>
  <c r="AD49" i="56"/>
  <c r="AA49" i="56"/>
  <c r="AB49" i="56" s="1"/>
  <c r="AC49" i="56" s="1"/>
  <c r="AE49" i="56" s="1"/>
  <c r="AD231" i="56"/>
  <c r="AA231" i="56"/>
  <c r="AB231" i="56" s="1"/>
  <c r="AC231" i="56" s="1"/>
  <c r="AE231" i="56" s="1"/>
  <c r="AD75" i="56"/>
  <c r="AA75" i="56"/>
  <c r="AD192" i="56"/>
  <c r="AA192" i="56"/>
  <c r="AB192" i="56" s="1"/>
  <c r="AC192" i="56" s="1"/>
  <c r="AE192" i="56" s="1"/>
  <c r="AD166" i="56"/>
  <c r="AA166" i="56"/>
  <c r="AB166" i="56" s="1"/>
  <c r="AC166" i="56" s="1"/>
  <c r="AE166" i="56" s="1"/>
  <c r="AD140" i="56"/>
  <c r="AA140" i="56"/>
  <c r="AD218" i="56"/>
  <c r="AA218" i="56"/>
  <c r="AB218" i="56" s="1"/>
  <c r="AC218" i="56" s="1"/>
  <c r="AE218" i="56" s="1"/>
  <c r="AD400" i="56"/>
  <c r="AA400" i="56"/>
  <c r="AB400" i="56" s="1"/>
  <c r="AC400" i="56" s="1"/>
  <c r="AE400" i="56" s="1"/>
  <c r="AD272" i="56"/>
  <c r="AA272" i="56"/>
  <c r="AD116" i="56"/>
  <c r="AA116" i="56"/>
  <c r="AB116" i="56" s="1"/>
  <c r="AC116" i="56" s="1"/>
  <c r="AE116" i="56" s="1"/>
  <c r="AD194" i="56"/>
  <c r="AA194" i="56"/>
  <c r="AD311" i="56"/>
  <c r="AA311" i="56"/>
  <c r="AB311" i="56" s="1"/>
  <c r="AC311" i="56" s="1"/>
  <c r="AE311" i="56" s="1"/>
  <c r="AD350" i="56"/>
  <c r="AA350" i="56"/>
  <c r="AB350" i="56" s="1"/>
  <c r="AC350" i="56" s="1"/>
  <c r="AE350" i="56" s="1"/>
  <c r="AD259" i="56"/>
  <c r="AA259" i="56"/>
  <c r="AD337" i="56"/>
  <c r="AA337" i="56"/>
  <c r="AB337" i="56" s="1"/>
  <c r="AC337" i="56" s="1"/>
  <c r="AE337" i="56" s="1"/>
  <c r="O147" i="56"/>
  <c r="P147" i="56" s="1"/>
  <c r="Q147" i="56" s="1"/>
  <c r="S147" i="56" s="1"/>
  <c r="R147" i="56"/>
  <c r="O17" i="56"/>
  <c r="P17" i="56" s="1"/>
  <c r="Q17" i="56" s="1"/>
  <c r="S17" i="56" s="1"/>
  <c r="R17" i="56"/>
  <c r="R342" i="56"/>
  <c r="O342" i="56"/>
  <c r="P342" i="56" s="1"/>
  <c r="Q342" i="56" s="1"/>
  <c r="S342" i="56" s="1"/>
  <c r="R238" i="56"/>
  <c r="O238" i="56"/>
  <c r="P238" i="56" s="1"/>
  <c r="Q238" i="56" s="1"/>
  <c r="S238" i="56" s="1"/>
  <c r="O277" i="56"/>
  <c r="P277" i="56" s="1"/>
  <c r="Q277" i="56" s="1"/>
  <c r="S277" i="56" s="1"/>
  <c r="R277" i="56"/>
  <c r="R264" i="56"/>
  <c r="O264" i="56"/>
  <c r="P264" i="56" s="1"/>
  <c r="Q264" i="56" s="1"/>
  <c r="S264" i="56" s="1"/>
  <c r="R316" i="56"/>
  <c r="O316" i="56"/>
  <c r="P316" i="56" s="1"/>
  <c r="Q316" i="56" s="1"/>
  <c r="S316" i="56" s="1"/>
  <c r="R381" i="56"/>
  <c r="O381" i="56"/>
  <c r="P381" i="56" s="1"/>
  <c r="Q381" i="56" s="1"/>
  <c r="S381" i="56" s="1"/>
  <c r="R74" i="56"/>
  <c r="O74" i="56"/>
  <c r="P74" i="56" s="1"/>
  <c r="Q74" i="56" s="1"/>
  <c r="S74" i="56" s="1"/>
  <c r="R191" i="56"/>
  <c r="O191" i="56"/>
  <c r="P191" i="56" s="1"/>
  <c r="Q191" i="56" s="1"/>
  <c r="S191" i="56" s="1"/>
  <c r="R256" i="56"/>
  <c r="O256" i="56"/>
  <c r="R22" i="56"/>
  <c r="O22" i="56"/>
  <c r="P22" i="56" s="1"/>
  <c r="Q22" i="56" s="1"/>
  <c r="S22" i="56" s="1"/>
  <c r="R35" i="56"/>
  <c r="O35" i="56"/>
  <c r="R100" i="56"/>
  <c r="O100" i="56"/>
  <c r="P100" i="56" s="1"/>
  <c r="Q100" i="56" s="1"/>
  <c r="S100" i="56" s="1"/>
  <c r="R373" i="56"/>
  <c r="O373" i="56"/>
  <c r="R179" i="56"/>
  <c r="O179" i="56"/>
  <c r="P179" i="56" s="1"/>
  <c r="Q179" i="56" s="1"/>
  <c r="S179" i="56" s="1"/>
  <c r="R75" i="56"/>
  <c r="O75" i="56"/>
  <c r="P75" i="56" s="1"/>
  <c r="Q75" i="56" s="1"/>
  <c r="S75" i="56" s="1"/>
  <c r="R348" i="56"/>
  <c r="O348" i="56"/>
  <c r="P348" i="56" s="1"/>
  <c r="Q348" i="56" s="1"/>
  <c r="S348" i="56" s="1"/>
  <c r="R283" i="56"/>
  <c r="O283" i="56"/>
  <c r="R49" i="56"/>
  <c r="O49" i="56"/>
  <c r="P49" i="56" s="1"/>
  <c r="Q49" i="56" s="1"/>
  <c r="S49" i="56" s="1"/>
  <c r="R387" i="56"/>
  <c r="O387" i="56"/>
  <c r="P387" i="56" s="1"/>
  <c r="Q387" i="56" s="1"/>
  <c r="S387" i="56" s="1"/>
  <c r="R335" i="56"/>
  <c r="O335" i="56"/>
  <c r="P335" i="56" s="1"/>
  <c r="Q335" i="56" s="1"/>
  <c r="S335" i="56" s="1"/>
  <c r="AP69" i="56"/>
  <c r="AM69" i="56"/>
  <c r="AN69" i="56" s="1"/>
  <c r="AO69" i="56" s="1"/>
  <c r="AQ69" i="56" s="1"/>
  <c r="AP95" i="56"/>
  <c r="AM95" i="56"/>
  <c r="AN95" i="56" s="1"/>
  <c r="AO95" i="56" s="1"/>
  <c r="AQ95" i="56" s="1"/>
  <c r="AP251" i="56"/>
  <c r="AM251" i="56"/>
  <c r="AN251" i="56" s="1"/>
  <c r="AO251" i="56" s="1"/>
  <c r="AQ251" i="56" s="1"/>
  <c r="AP199" i="56"/>
  <c r="AM199" i="56"/>
  <c r="AP212" i="56"/>
  <c r="AM212" i="56"/>
  <c r="AN212" i="56" s="1"/>
  <c r="AO212" i="56" s="1"/>
  <c r="AQ212" i="56" s="1"/>
  <c r="AP61" i="56"/>
  <c r="AM61" i="56"/>
  <c r="AN61" i="56" s="1"/>
  <c r="AO61" i="56" s="1"/>
  <c r="AQ61" i="56" s="1"/>
  <c r="AP269" i="56"/>
  <c r="AM269" i="56"/>
  <c r="AN269" i="56" s="1"/>
  <c r="AO269" i="56" s="1"/>
  <c r="AQ269" i="56" s="1"/>
  <c r="AP139" i="56"/>
  <c r="AM139" i="56"/>
  <c r="AN139" i="56" s="1"/>
  <c r="AO139" i="56" s="1"/>
  <c r="AQ139" i="56" s="1"/>
  <c r="AP48" i="56"/>
  <c r="AM48" i="56"/>
  <c r="AN48" i="56" s="1"/>
  <c r="AO48" i="56" s="1"/>
  <c r="AQ48" i="56" s="1"/>
  <c r="AP204" i="56"/>
  <c r="AM204" i="56"/>
  <c r="AN204" i="56" s="1"/>
  <c r="AO204" i="56" s="1"/>
  <c r="AQ204" i="56" s="1"/>
  <c r="AP152" i="56"/>
  <c r="AM152" i="56"/>
  <c r="AP230" i="56"/>
  <c r="AM230" i="56"/>
  <c r="AN230" i="56" s="1"/>
  <c r="AO230" i="56" s="1"/>
  <c r="AQ230" i="56" s="1"/>
  <c r="AD19" i="56"/>
  <c r="AA19" i="56"/>
  <c r="AB19" i="56" s="1"/>
  <c r="AC19" i="56" s="1"/>
  <c r="AE19" i="56" s="1"/>
  <c r="AA305" i="56"/>
  <c r="AB305" i="56" s="1"/>
  <c r="AC305" i="56" s="1"/>
  <c r="AE305" i="56" s="1"/>
  <c r="AD305" i="56"/>
  <c r="AD331" i="56"/>
  <c r="AA331" i="56"/>
  <c r="AD58" i="56"/>
  <c r="AA58" i="56"/>
  <c r="AB58" i="56" s="1"/>
  <c r="AC58" i="56" s="1"/>
  <c r="AE58" i="56" s="1"/>
  <c r="AD136" i="56"/>
  <c r="AA136" i="56"/>
  <c r="AD214" i="56"/>
  <c r="AA214" i="56"/>
  <c r="AD188" i="56"/>
  <c r="AA188" i="56"/>
  <c r="AB188" i="56" s="1"/>
  <c r="AC188" i="56" s="1"/>
  <c r="AE188" i="56" s="1"/>
  <c r="AA396" i="56"/>
  <c r="AB396" i="56" s="1"/>
  <c r="AC396" i="56" s="1"/>
  <c r="AE396" i="56" s="1"/>
  <c r="AD396" i="56"/>
  <c r="R90" i="56"/>
  <c r="O90" i="56"/>
  <c r="P90" i="56" s="1"/>
  <c r="Q90" i="56" s="1"/>
  <c r="S90" i="56" s="1"/>
  <c r="R51" i="56"/>
  <c r="O51" i="56"/>
  <c r="P51" i="56" s="1"/>
  <c r="Q51" i="56" s="1"/>
  <c r="S51" i="56" s="1"/>
  <c r="R298" i="56"/>
  <c r="O298" i="56"/>
  <c r="P298" i="56" s="1"/>
  <c r="Q298" i="56" s="1"/>
  <c r="S298" i="56" s="1"/>
  <c r="R337" i="56"/>
  <c r="O337" i="56"/>
  <c r="R324" i="56"/>
  <c r="O324" i="56"/>
  <c r="P324" i="56" s="1"/>
  <c r="Q324" i="56" s="1"/>
  <c r="S324" i="56" s="1"/>
  <c r="R402" i="56"/>
  <c r="O402" i="56"/>
  <c r="P402" i="56" s="1"/>
  <c r="Q402" i="56" s="1"/>
  <c r="S402" i="56" s="1"/>
  <c r="R350" i="56"/>
  <c r="O350" i="56"/>
  <c r="P350" i="56" s="1"/>
  <c r="Q350" i="56" s="1"/>
  <c r="S350" i="56" s="1"/>
  <c r="AD217" i="56"/>
  <c r="AA217" i="56"/>
  <c r="AD295" i="56"/>
  <c r="AA295" i="56"/>
  <c r="AB295" i="56" s="1"/>
  <c r="AC295" i="56" s="1"/>
  <c r="AE295" i="56" s="1"/>
  <c r="AD35" i="56"/>
  <c r="AA35" i="56"/>
  <c r="AB35" i="56" s="1"/>
  <c r="AC35" i="56" s="1"/>
  <c r="AE35" i="56" s="1"/>
  <c r="AD74" i="56"/>
  <c r="AA74" i="56"/>
  <c r="AB74" i="56" s="1"/>
  <c r="AC74" i="56" s="1"/>
  <c r="AE74" i="56" s="1"/>
  <c r="AA373" i="56"/>
  <c r="AB373" i="56" s="1"/>
  <c r="AC373" i="56" s="1"/>
  <c r="AE373" i="56" s="1"/>
  <c r="AD373" i="56"/>
  <c r="AD360" i="56"/>
  <c r="AA360" i="56"/>
  <c r="AD334" i="56"/>
  <c r="AA334" i="56"/>
  <c r="AD308" i="56"/>
  <c r="AA308" i="56"/>
  <c r="AB308" i="56" s="1"/>
  <c r="AC308" i="56" s="1"/>
  <c r="AE308" i="56" s="1"/>
  <c r="R268" i="56"/>
  <c r="O268" i="56"/>
  <c r="R255" i="56"/>
  <c r="O255" i="56"/>
  <c r="R125" i="56"/>
  <c r="O125" i="56"/>
  <c r="R99" i="56"/>
  <c r="O99" i="56"/>
  <c r="P99" i="56" s="1"/>
  <c r="Q99" i="56" s="1"/>
  <c r="S99" i="56" s="1"/>
  <c r="R190" i="56"/>
  <c r="O190" i="56"/>
  <c r="P190" i="56" s="1"/>
  <c r="Q190" i="56" s="1"/>
  <c r="S190" i="56" s="1"/>
  <c r="R242" i="56"/>
  <c r="O242" i="56"/>
  <c r="P242" i="56" s="1"/>
  <c r="Q242" i="56" s="1"/>
  <c r="S242" i="56" s="1"/>
  <c r="R216" i="56"/>
  <c r="O216" i="56"/>
  <c r="AD232" i="56"/>
  <c r="AA232" i="56"/>
  <c r="AD310" i="56"/>
  <c r="AA310" i="56"/>
  <c r="AB310" i="56" s="1"/>
  <c r="AC310" i="56" s="1"/>
  <c r="AE310" i="56" s="1"/>
  <c r="AD50" i="56"/>
  <c r="AA50" i="56"/>
  <c r="AD193" i="56"/>
  <c r="AA193" i="56"/>
  <c r="AA63" i="56"/>
  <c r="AB63" i="56" s="1"/>
  <c r="AC63" i="56" s="1"/>
  <c r="AE63" i="56" s="1"/>
  <c r="AD63" i="56"/>
  <c r="AD388" i="56"/>
  <c r="AA388" i="56"/>
  <c r="AD349" i="56"/>
  <c r="AA349" i="56"/>
  <c r="AB349" i="56" s="1"/>
  <c r="AC349" i="56" s="1"/>
  <c r="AE349" i="56" s="1"/>
  <c r="AP38" i="56"/>
  <c r="AM38" i="56"/>
  <c r="AN38" i="56" s="1"/>
  <c r="AO38" i="56" s="1"/>
  <c r="AQ38" i="56" s="1"/>
  <c r="AP103" i="56"/>
  <c r="AM103" i="56"/>
  <c r="AP233" i="56"/>
  <c r="AM233" i="56"/>
  <c r="AN233" i="56" s="1"/>
  <c r="AO233" i="56" s="1"/>
  <c r="AQ233" i="56" s="1"/>
  <c r="AP285" i="56"/>
  <c r="AM285" i="56"/>
  <c r="AN285" i="56" s="1"/>
  <c r="AO285" i="56" s="1"/>
  <c r="AQ285" i="56" s="1"/>
  <c r="AP363" i="56"/>
  <c r="AM363" i="56"/>
  <c r="AN363" i="56" s="1"/>
  <c r="AO363" i="56" s="1"/>
  <c r="AQ363" i="56" s="1"/>
  <c r="AD108" i="56"/>
  <c r="AA108" i="56"/>
  <c r="AB108" i="56" s="1"/>
  <c r="AC108" i="56" s="1"/>
  <c r="AE108" i="56" s="1"/>
  <c r="AD186" i="56"/>
  <c r="AA186" i="56"/>
  <c r="AB186" i="56" s="1"/>
  <c r="AC186" i="56" s="1"/>
  <c r="AE186" i="56" s="1"/>
  <c r="AD264" i="56"/>
  <c r="AA264" i="56"/>
  <c r="AB264" i="56" s="1"/>
  <c r="AC264" i="56" s="1"/>
  <c r="AE264" i="56" s="1"/>
  <c r="AD342" i="56"/>
  <c r="AA342" i="56"/>
  <c r="AB342" i="56" s="1"/>
  <c r="AC342" i="56" s="1"/>
  <c r="AE342" i="56" s="1"/>
  <c r="AD17" i="56"/>
  <c r="AA17" i="56"/>
  <c r="AB17" i="56" s="1"/>
  <c r="AC17" i="56" s="1"/>
  <c r="AE17" i="56" s="1"/>
  <c r="AD95" i="56"/>
  <c r="AA95" i="56"/>
  <c r="AD173" i="56"/>
  <c r="AA173" i="56"/>
  <c r="AB173" i="56" s="1"/>
  <c r="AC173" i="56" s="1"/>
  <c r="AE173" i="56" s="1"/>
  <c r="AD381" i="56"/>
  <c r="AA381" i="56"/>
  <c r="AB381" i="56" s="1"/>
  <c r="AC381" i="56" s="1"/>
  <c r="AE381" i="56" s="1"/>
  <c r="AD346" i="56"/>
  <c r="AA346" i="56"/>
  <c r="AB346" i="56" s="1"/>
  <c r="AC346" i="56" s="1"/>
  <c r="AE346" i="56" s="1"/>
  <c r="AA86" i="56"/>
  <c r="AB86" i="56" s="1"/>
  <c r="AC86" i="56" s="1"/>
  <c r="AE86" i="56" s="1"/>
  <c r="AD86" i="56"/>
  <c r="AD164" i="56"/>
  <c r="AA164" i="56"/>
  <c r="AA281" i="56"/>
  <c r="AB281" i="56" s="1"/>
  <c r="AC281" i="56" s="1"/>
  <c r="AE281" i="56" s="1"/>
  <c r="AD281" i="56"/>
  <c r="AD255" i="56"/>
  <c r="AA255" i="56"/>
  <c r="AA333" i="56"/>
  <c r="AB333" i="56" s="1"/>
  <c r="AC333" i="56" s="1"/>
  <c r="AE333" i="56" s="1"/>
  <c r="AD333" i="56"/>
  <c r="AD307" i="56"/>
  <c r="AA307" i="56"/>
  <c r="O128" i="56"/>
  <c r="P128" i="56" s="1"/>
  <c r="Q128" i="56" s="1"/>
  <c r="S128" i="56" s="1"/>
  <c r="R128" i="56"/>
  <c r="R193" i="56"/>
  <c r="O193" i="56"/>
  <c r="P193" i="56" s="1"/>
  <c r="Q193" i="56" s="1"/>
  <c r="S193" i="56" s="1"/>
  <c r="R310" i="56"/>
  <c r="O310" i="56"/>
  <c r="P310" i="56" s="1"/>
  <c r="Q310" i="56" s="1"/>
  <c r="S310" i="56" s="1"/>
  <c r="R297" i="56"/>
  <c r="O297" i="56"/>
  <c r="R37" i="56"/>
  <c r="O37" i="56"/>
  <c r="P37" i="56" s="1"/>
  <c r="Q37" i="56" s="1"/>
  <c r="S37" i="56" s="1"/>
  <c r="R154" i="56"/>
  <c r="O154" i="56"/>
  <c r="P154" i="56" s="1"/>
  <c r="Q154" i="56" s="1"/>
  <c r="S154" i="56" s="1"/>
  <c r="R219" i="56"/>
  <c r="O219" i="56"/>
  <c r="P219" i="56" s="1"/>
  <c r="Q219" i="56" s="1"/>
  <c r="S219" i="56" s="1"/>
  <c r="R401" i="56"/>
  <c r="O401" i="56"/>
  <c r="P401" i="56" s="1"/>
  <c r="Q401" i="56" s="1"/>
  <c r="S401" i="56" s="1"/>
  <c r="AP284" i="56"/>
  <c r="AM284" i="56"/>
  <c r="AN284" i="56" s="1"/>
  <c r="AO284" i="56" s="1"/>
  <c r="AQ284" i="56" s="1"/>
  <c r="AP102" i="56"/>
  <c r="AM102" i="56"/>
  <c r="AN102" i="56" s="1"/>
  <c r="AO102" i="56" s="1"/>
  <c r="AQ102" i="56" s="1"/>
  <c r="AP232" i="56"/>
  <c r="AM232" i="56"/>
  <c r="AM336" i="56"/>
  <c r="AN336" i="56" s="1"/>
  <c r="AO336" i="56" s="1"/>
  <c r="AQ336" i="56" s="1"/>
  <c r="AP336" i="56"/>
  <c r="AP219" i="56"/>
  <c r="AM219" i="56"/>
  <c r="AN219" i="56" s="1"/>
  <c r="AO219" i="56" s="1"/>
  <c r="AQ219" i="56" s="1"/>
  <c r="AP388" i="56"/>
  <c r="AM388" i="56"/>
  <c r="AP245" i="56"/>
  <c r="AM245" i="56"/>
  <c r="AD172" i="56"/>
  <c r="AA172" i="56"/>
  <c r="AD146" i="56"/>
  <c r="AA146" i="56"/>
  <c r="AB146" i="56" s="1"/>
  <c r="AC146" i="56" s="1"/>
  <c r="AE146" i="56" s="1"/>
  <c r="AD224" i="56"/>
  <c r="AA224" i="56"/>
  <c r="AB224" i="56" s="1"/>
  <c r="AC224" i="56" s="1"/>
  <c r="AE224" i="56" s="1"/>
  <c r="AD302" i="56"/>
  <c r="AA302" i="56"/>
  <c r="AD341" i="56"/>
  <c r="AA341" i="56"/>
  <c r="AD81" i="56"/>
  <c r="AA81" i="56"/>
  <c r="AB81" i="56" s="1"/>
  <c r="AC81" i="56" s="1"/>
  <c r="AE81" i="56" s="1"/>
  <c r="AD55" i="56"/>
  <c r="AA55" i="56"/>
  <c r="AB55" i="56" s="1"/>
  <c r="AC55" i="56" s="1"/>
  <c r="AE55" i="56" s="1"/>
  <c r="AD380" i="56"/>
  <c r="AA380" i="56"/>
  <c r="R29" i="56"/>
  <c r="O29" i="56"/>
  <c r="P29" i="56" s="1"/>
  <c r="Q29" i="56" s="1"/>
  <c r="S29" i="56" s="1"/>
  <c r="R146" i="56"/>
  <c r="O146" i="56"/>
  <c r="P146" i="56" s="1"/>
  <c r="Q146" i="56" s="1"/>
  <c r="S146" i="56" s="1"/>
  <c r="R211" i="56"/>
  <c r="O211" i="56"/>
  <c r="P211" i="56" s="1"/>
  <c r="Q211" i="56" s="1"/>
  <c r="S211" i="56" s="1"/>
  <c r="R328" i="56"/>
  <c r="O328" i="56"/>
  <c r="P328" i="56" s="1"/>
  <c r="Q328" i="56" s="1"/>
  <c r="S328" i="56" s="1"/>
  <c r="R198" i="56"/>
  <c r="O198" i="56"/>
  <c r="R263" i="56"/>
  <c r="O263" i="56"/>
  <c r="P263" i="56" s="1"/>
  <c r="Q263" i="56" s="1"/>
  <c r="S263" i="56" s="1"/>
  <c r="R380" i="56"/>
  <c r="O380" i="56"/>
  <c r="AD202" i="56"/>
  <c r="AA202" i="56"/>
  <c r="AB202" i="56" s="1"/>
  <c r="AC202" i="56" s="1"/>
  <c r="AE202" i="56" s="1"/>
  <c r="AD280" i="56"/>
  <c r="AA280" i="56"/>
  <c r="AB280" i="56" s="1"/>
  <c r="AC280" i="56" s="1"/>
  <c r="AE280" i="56" s="1"/>
  <c r="AD358" i="56"/>
  <c r="AA358" i="56"/>
  <c r="AB358" i="56" s="1"/>
  <c r="AC358" i="56" s="1"/>
  <c r="AE358" i="56" s="1"/>
  <c r="AD332" i="56"/>
  <c r="AA332" i="56"/>
  <c r="AB332" i="56" s="1"/>
  <c r="AC332" i="56" s="1"/>
  <c r="AE332" i="56" s="1"/>
  <c r="AD371" i="56"/>
  <c r="AA371" i="56"/>
  <c r="AB371" i="56" s="1"/>
  <c r="AC371" i="56" s="1"/>
  <c r="AE371" i="56" s="1"/>
  <c r="AA241" i="56"/>
  <c r="AB241" i="56" s="1"/>
  <c r="AC241" i="56" s="1"/>
  <c r="AE241" i="56" s="1"/>
  <c r="AD241" i="56"/>
  <c r="AD319" i="56"/>
  <c r="AA319" i="56"/>
  <c r="AB319" i="56" s="1"/>
  <c r="AC319" i="56" s="1"/>
  <c r="AE319" i="56" s="1"/>
  <c r="AD397" i="56"/>
  <c r="AA397" i="56"/>
  <c r="AB397" i="56" s="1"/>
  <c r="AC397" i="56" s="1"/>
  <c r="AE397" i="56" s="1"/>
  <c r="AD57" i="56"/>
  <c r="AA57" i="56"/>
  <c r="AD135" i="56"/>
  <c r="AA135" i="56"/>
  <c r="AB135" i="56" s="1"/>
  <c r="AC135" i="56" s="1"/>
  <c r="AE135" i="56" s="1"/>
  <c r="AD109" i="56"/>
  <c r="AA109" i="56"/>
  <c r="AB109" i="56" s="1"/>
  <c r="AC109" i="56" s="1"/>
  <c r="AE109" i="56" s="1"/>
  <c r="AD148" i="56"/>
  <c r="AA148" i="56"/>
  <c r="AB148" i="56" s="1"/>
  <c r="AC148" i="56" s="1"/>
  <c r="AE148" i="56" s="1"/>
  <c r="AA226" i="56"/>
  <c r="AB226" i="56" s="1"/>
  <c r="AC226" i="56" s="1"/>
  <c r="AE226" i="56" s="1"/>
  <c r="AD226" i="56"/>
  <c r="AD304" i="56"/>
  <c r="AA304" i="56"/>
  <c r="AB304" i="56" s="1"/>
  <c r="AC304" i="56" s="1"/>
  <c r="AE304" i="56" s="1"/>
  <c r="AD382" i="56"/>
  <c r="AA382" i="56"/>
  <c r="R222" i="56"/>
  <c r="O222" i="56"/>
  <c r="P222" i="56" s="1"/>
  <c r="Q222" i="56" s="1"/>
  <c r="S222" i="56" s="1"/>
  <c r="R300" i="56"/>
  <c r="O300" i="56"/>
  <c r="P300" i="56" s="1"/>
  <c r="Q300" i="56" s="1"/>
  <c r="S300" i="56" s="1"/>
  <c r="R274" i="56"/>
  <c r="O274" i="56"/>
  <c r="R248" i="56"/>
  <c r="O248" i="56"/>
  <c r="P248" i="56" s="1"/>
  <c r="Q248" i="56" s="1"/>
  <c r="S248" i="56" s="1"/>
  <c r="R131" i="56"/>
  <c r="O131" i="56"/>
  <c r="R183" i="56"/>
  <c r="O183" i="56"/>
  <c r="P183" i="56" s="1"/>
  <c r="Q183" i="56" s="1"/>
  <c r="S183" i="56" s="1"/>
  <c r="R261" i="56"/>
  <c r="O261" i="56"/>
  <c r="P261" i="56" s="1"/>
  <c r="Q261" i="56" s="1"/>
  <c r="S261" i="56" s="1"/>
  <c r="R378" i="56"/>
  <c r="O378" i="56"/>
  <c r="AD287" i="56"/>
  <c r="AA287" i="56"/>
  <c r="AB287" i="56" s="1"/>
  <c r="AC287" i="56" s="1"/>
  <c r="AE287" i="56" s="1"/>
  <c r="AA131" i="56"/>
  <c r="AB131" i="56" s="1"/>
  <c r="AC131" i="56" s="1"/>
  <c r="AE131" i="56" s="1"/>
  <c r="AD131" i="56"/>
  <c r="AD313" i="56"/>
  <c r="AA313" i="56"/>
  <c r="AB313" i="56" s="1"/>
  <c r="AC313" i="56" s="1"/>
  <c r="AE313" i="56" s="1"/>
  <c r="AD326" i="56"/>
  <c r="AA326" i="56"/>
  <c r="AD365" i="56"/>
  <c r="AA365" i="56"/>
  <c r="AB365" i="56" s="1"/>
  <c r="AC365" i="56" s="1"/>
  <c r="AE365" i="56" s="1"/>
  <c r="AD339" i="56"/>
  <c r="AA339" i="56"/>
  <c r="AD352" i="56"/>
  <c r="AA352" i="56"/>
  <c r="R59" i="56"/>
  <c r="O59" i="56"/>
  <c r="P59" i="56" s="1"/>
  <c r="Q59" i="56" s="1"/>
  <c r="S59" i="56" s="1"/>
  <c r="R72" i="56"/>
  <c r="O72" i="56"/>
  <c r="R137" i="56"/>
  <c r="O137" i="56"/>
  <c r="O254" i="56"/>
  <c r="P254" i="56" s="1"/>
  <c r="Q254" i="56" s="1"/>
  <c r="S254" i="56" s="1"/>
  <c r="R254" i="56"/>
  <c r="R20" i="56"/>
  <c r="O20" i="56"/>
  <c r="P20" i="56" s="1"/>
  <c r="Q20" i="56" s="1"/>
  <c r="S20" i="56" s="1"/>
  <c r="R85" i="56"/>
  <c r="O85" i="56"/>
  <c r="P85" i="56" s="1"/>
  <c r="Q85" i="56" s="1"/>
  <c r="S85" i="56" s="1"/>
  <c r="R384" i="56"/>
  <c r="O384" i="56"/>
  <c r="AM325" i="56"/>
  <c r="AN325" i="56" s="1"/>
  <c r="AO325" i="56" s="1"/>
  <c r="AQ325" i="56" s="1"/>
  <c r="AP325" i="56"/>
  <c r="AP117" i="56"/>
  <c r="AM117" i="56"/>
  <c r="AN117" i="56" s="1"/>
  <c r="AO117" i="56" s="1"/>
  <c r="AQ117" i="56" s="1"/>
  <c r="AP143" i="56"/>
  <c r="AM143" i="56"/>
  <c r="AN143" i="56" s="1"/>
  <c r="AO143" i="56" s="1"/>
  <c r="AQ143" i="56" s="1"/>
  <c r="AP247" i="56"/>
  <c r="AM247" i="56"/>
  <c r="AM52" i="56"/>
  <c r="AN52" i="56" s="1"/>
  <c r="AO52" i="56" s="1"/>
  <c r="AQ52" i="56" s="1"/>
  <c r="AP52" i="56"/>
  <c r="AP208" i="56"/>
  <c r="AM208" i="56"/>
  <c r="AN208" i="56" s="1"/>
  <c r="AO208" i="56" s="1"/>
  <c r="AQ208" i="56" s="1"/>
  <c r="AP403" i="56"/>
  <c r="AM403" i="56"/>
  <c r="AP390" i="56"/>
  <c r="AM390" i="56"/>
  <c r="AN390" i="56" s="1"/>
  <c r="AO390" i="56" s="1"/>
  <c r="AQ390" i="56" s="1"/>
  <c r="AP236" i="56"/>
  <c r="AM236" i="56"/>
  <c r="AN236" i="56" s="1"/>
  <c r="AO236" i="56" s="1"/>
  <c r="AQ236" i="56" s="1"/>
  <c r="AP106" i="56"/>
  <c r="AM106" i="56"/>
  <c r="AN106" i="56" s="1"/>
  <c r="AO106" i="56" s="1"/>
  <c r="AQ106" i="56" s="1"/>
  <c r="AP366" i="56"/>
  <c r="AM366" i="56"/>
  <c r="AN366" i="56" s="1"/>
  <c r="AO366" i="56" s="1"/>
  <c r="AQ366" i="56" s="1"/>
  <c r="AP80" i="56"/>
  <c r="AM80" i="56"/>
  <c r="AN80" i="56" s="1"/>
  <c r="AO80" i="56" s="1"/>
  <c r="AQ80" i="56" s="1"/>
  <c r="AP119" i="56"/>
  <c r="AM119" i="56"/>
  <c r="AN119" i="56" s="1"/>
  <c r="AO119" i="56" s="1"/>
  <c r="AQ119" i="56" s="1"/>
  <c r="AP223" i="56"/>
  <c r="AM223" i="56"/>
  <c r="AN223" i="56" s="1"/>
  <c r="AO223" i="56" s="1"/>
  <c r="AQ223" i="56" s="1"/>
  <c r="AP197" i="56"/>
  <c r="AM197" i="56"/>
  <c r="AN197" i="56" s="1"/>
  <c r="AO197" i="56" s="1"/>
  <c r="AQ197" i="56" s="1"/>
  <c r="AP405" i="56"/>
  <c r="AM405" i="56"/>
  <c r="AN405" i="56" s="1"/>
  <c r="AO405" i="56" s="1"/>
  <c r="AQ405" i="56" s="1"/>
  <c r="AP58" i="56"/>
  <c r="AM58" i="56"/>
  <c r="AN58" i="56" s="1"/>
  <c r="AO58" i="56" s="1"/>
  <c r="AQ58" i="56" s="1"/>
  <c r="AP188" i="56"/>
  <c r="AM188" i="56"/>
  <c r="AN188" i="56" s="1"/>
  <c r="AO188" i="56" s="1"/>
  <c r="AQ188" i="56" s="1"/>
  <c r="AP240" i="56"/>
  <c r="AM240" i="56"/>
  <c r="AN240" i="56" s="1"/>
  <c r="AO240" i="56" s="1"/>
  <c r="AQ240" i="56" s="1"/>
  <c r="AP383" i="56"/>
  <c r="AM383" i="56"/>
  <c r="AN383" i="56" s="1"/>
  <c r="AO383" i="56" s="1"/>
  <c r="AQ383" i="56" s="1"/>
  <c r="AM99" i="56"/>
  <c r="AN99" i="56" s="1"/>
  <c r="AO99" i="56" s="1"/>
  <c r="AQ99" i="56" s="1"/>
  <c r="AP99" i="56"/>
  <c r="AP21" i="56"/>
  <c r="AM21" i="56"/>
  <c r="AP177" i="56"/>
  <c r="AM177" i="56"/>
  <c r="AN177" i="56" s="1"/>
  <c r="AO177" i="56" s="1"/>
  <c r="AQ177" i="56" s="1"/>
  <c r="AM125" i="56"/>
  <c r="AN125" i="56" s="1"/>
  <c r="AO125" i="56" s="1"/>
  <c r="AQ125" i="56" s="1"/>
  <c r="AP125" i="56"/>
  <c r="AP242" i="56"/>
  <c r="AM242" i="56"/>
  <c r="AN242" i="56" s="1"/>
  <c r="AO242" i="56" s="1"/>
  <c r="AQ242" i="56" s="1"/>
  <c r="AM29" i="56"/>
  <c r="AN29" i="56" s="1"/>
  <c r="AO29" i="56" s="1"/>
  <c r="AQ29" i="56" s="1"/>
  <c r="AP29" i="56"/>
  <c r="AP224" i="56"/>
  <c r="AM224" i="56"/>
  <c r="AM68" i="56"/>
  <c r="AN68" i="56" s="1"/>
  <c r="AO68" i="56" s="1"/>
  <c r="AQ68" i="56" s="1"/>
  <c r="AP68" i="56"/>
  <c r="AP198" i="56"/>
  <c r="AM198" i="56"/>
  <c r="AN198" i="56" s="1"/>
  <c r="AO198" i="56" s="1"/>
  <c r="AQ198" i="56" s="1"/>
  <c r="AP133" i="56"/>
  <c r="AM133" i="56"/>
  <c r="AN133" i="56" s="1"/>
  <c r="AO133" i="56" s="1"/>
  <c r="AQ133" i="56" s="1"/>
  <c r="AP393" i="56"/>
  <c r="AM393" i="56"/>
  <c r="AN393" i="56" s="1"/>
  <c r="AO393" i="56" s="1"/>
  <c r="AQ393" i="56" s="1"/>
  <c r="AP211" i="56"/>
  <c r="AM211" i="56"/>
  <c r="AN211" i="56" s="1"/>
  <c r="AO211" i="56" s="1"/>
  <c r="AQ211" i="56" s="1"/>
  <c r="AP289" i="56"/>
  <c r="AM289" i="56"/>
  <c r="AM343" i="56"/>
  <c r="AN343" i="56" s="1"/>
  <c r="AO343" i="56" s="1"/>
  <c r="AQ343" i="56" s="1"/>
  <c r="AP343" i="56"/>
  <c r="AP57" i="56"/>
  <c r="AM57" i="56"/>
  <c r="AN57" i="56" s="1"/>
  <c r="AO57" i="56" s="1"/>
  <c r="AQ57" i="56" s="1"/>
  <c r="AP317" i="56"/>
  <c r="AM317" i="56"/>
  <c r="AN317" i="56" s="1"/>
  <c r="AO317" i="56" s="1"/>
  <c r="AQ317" i="56" s="1"/>
  <c r="AP109" i="56"/>
  <c r="AM109" i="56"/>
  <c r="AN109" i="56" s="1"/>
  <c r="AO109" i="56" s="1"/>
  <c r="AQ109" i="56" s="1"/>
  <c r="AP44" i="56"/>
  <c r="AM44" i="56"/>
  <c r="AN44" i="56" s="1"/>
  <c r="AO44" i="56" s="1"/>
  <c r="AQ44" i="56" s="1"/>
  <c r="AP252" i="56"/>
  <c r="AM252" i="56"/>
  <c r="AN252" i="56" s="1"/>
  <c r="AO252" i="56" s="1"/>
  <c r="AQ252" i="56" s="1"/>
  <c r="AP330" i="56"/>
  <c r="AM330" i="56"/>
  <c r="AN330" i="56" s="1"/>
  <c r="AO330" i="56" s="1"/>
  <c r="AQ330" i="56" s="1"/>
  <c r="AP369" i="56"/>
  <c r="AM369" i="56"/>
  <c r="AD262" i="56"/>
  <c r="AA262" i="56"/>
  <c r="AB262" i="56" s="1"/>
  <c r="AC262" i="56" s="1"/>
  <c r="AE262" i="56" s="1"/>
  <c r="AD366" i="56"/>
  <c r="AA366" i="56"/>
  <c r="AB366" i="56" s="1"/>
  <c r="AC366" i="56" s="1"/>
  <c r="AE366" i="56" s="1"/>
  <c r="AD80" i="56"/>
  <c r="AA80" i="56"/>
  <c r="AB80" i="56" s="1"/>
  <c r="AC80" i="56" s="1"/>
  <c r="AE80" i="56" s="1"/>
  <c r="AD223" i="56"/>
  <c r="AA223" i="56"/>
  <c r="AB223" i="56" s="1"/>
  <c r="AC223" i="56" s="1"/>
  <c r="AE223" i="56" s="1"/>
  <c r="AD301" i="56"/>
  <c r="AA301" i="56"/>
  <c r="AD275" i="56"/>
  <c r="AA275" i="56"/>
  <c r="AA249" i="56"/>
  <c r="AB249" i="56" s="1"/>
  <c r="AC249" i="56" s="1"/>
  <c r="AE249" i="56" s="1"/>
  <c r="AD249" i="56"/>
  <c r="AP150" i="56"/>
  <c r="AM150" i="56"/>
  <c r="AN150" i="56" s="1"/>
  <c r="AO150" i="56" s="1"/>
  <c r="AQ150" i="56" s="1"/>
  <c r="AP358" i="56"/>
  <c r="AM358" i="56"/>
  <c r="AN358" i="56" s="1"/>
  <c r="AO358" i="56" s="1"/>
  <c r="AQ358" i="56" s="1"/>
  <c r="AM306" i="56"/>
  <c r="AN306" i="56" s="1"/>
  <c r="AO306" i="56" s="1"/>
  <c r="AQ306" i="56" s="1"/>
  <c r="AP306" i="56"/>
  <c r="AM371" i="56"/>
  <c r="AN371" i="56" s="1"/>
  <c r="AO371" i="56" s="1"/>
  <c r="AQ371" i="56" s="1"/>
  <c r="AP371" i="56"/>
  <c r="AP85" i="56"/>
  <c r="AM85" i="56"/>
  <c r="AN85" i="56" s="1"/>
  <c r="AO85" i="56" s="1"/>
  <c r="AQ85" i="56" s="1"/>
  <c r="AP137" i="56"/>
  <c r="AM137" i="56"/>
  <c r="AN137" i="56" s="1"/>
  <c r="AO137" i="56" s="1"/>
  <c r="AQ137" i="56" s="1"/>
  <c r="AP215" i="56"/>
  <c r="AM215" i="56"/>
  <c r="AN215" i="56" s="1"/>
  <c r="AO215" i="56" s="1"/>
  <c r="AQ215" i="56" s="1"/>
  <c r="AD143" i="56"/>
  <c r="AA143" i="56"/>
  <c r="AB143" i="56" s="1"/>
  <c r="AC143" i="56" s="1"/>
  <c r="AE143" i="56" s="1"/>
  <c r="AD221" i="56"/>
  <c r="AA221" i="56"/>
  <c r="AB221" i="56" s="1"/>
  <c r="AC221" i="56" s="1"/>
  <c r="AE221" i="56" s="1"/>
  <c r="AD299" i="56"/>
  <c r="AA299" i="56"/>
  <c r="AB299" i="56" s="1"/>
  <c r="AC299" i="56" s="1"/>
  <c r="AE299" i="56" s="1"/>
  <c r="AD104" i="56"/>
  <c r="AA104" i="56"/>
  <c r="AB104" i="56" s="1"/>
  <c r="AC104" i="56" s="1"/>
  <c r="AE104" i="56" s="1"/>
  <c r="AD182" i="56"/>
  <c r="AA182" i="56"/>
  <c r="AB182" i="56" s="1"/>
  <c r="AC182" i="56" s="1"/>
  <c r="AE182" i="56" s="1"/>
  <c r="AD156" i="56"/>
  <c r="AA156" i="56"/>
  <c r="AB156" i="56" s="1"/>
  <c r="AC156" i="56" s="1"/>
  <c r="AE156" i="56" s="1"/>
  <c r="AD130" i="56"/>
  <c r="AA130" i="56"/>
  <c r="AB130" i="56" s="1"/>
  <c r="AC130" i="56" s="1"/>
  <c r="AE130" i="56" s="1"/>
  <c r="AD377" i="56"/>
  <c r="AA377" i="56"/>
  <c r="AB377" i="56" s="1"/>
  <c r="AC377" i="56" s="1"/>
  <c r="AE377" i="56" s="1"/>
  <c r="AP27" i="56"/>
  <c r="AM27" i="56"/>
  <c r="AN27" i="56" s="1"/>
  <c r="AO27" i="56" s="1"/>
  <c r="AQ27" i="56" s="1"/>
  <c r="AP66" i="56"/>
  <c r="AM66" i="56"/>
  <c r="AN66" i="56" s="1"/>
  <c r="AO66" i="56" s="1"/>
  <c r="AQ66" i="56" s="1"/>
  <c r="AP222" i="56"/>
  <c r="AM222" i="56"/>
  <c r="AN222" i="56" s="1"/>
  <c r="AO222" i="56" s="1"/>
  <c r="AQ222" i="56" s="1"/>
  <c r="AP170" i="56"/>
  <c r="AM170" i="56"/>
  <c r="W302" i="54"/>
  <c r="X302" i="54" s="1"/>
  <c r="Y302" i="54" s="1"/>
  <c r="AA302" i="54" s="1"/>
  <c r="Z302" i="54"/>
  <c r="P98" i="54"/>
  <c r="M98" i="54"/>
  <c r="M150" i="54"/>
  <c r="N150" i="54" s="1"/>
  <c r="O150" i="54" s="1"/>
  <c r="Q150" i="54" s="1"/>
  <c r="P150" i="54"/>
  <c r="P254" i="54"/>
  <c r="M254" i="54"/>
  <c r="Z325" i="54"/>
  <c r="W325" i="54"/>
  <c r="P128" i="54"/>
  <c r="M128" i="54"/>
  <c r="M193" i="54"/>
  <c r="N193" i="54" s="1"/>
  <c r="O193" i="54" s="1"/>
  <c r="Q193" i="54" s="1"/>
  <c r="P193" i="54"/>
  <c r="P50" i="54"/>
  <c r="M50" i="54"/>
  <c r="N50" i="54" s="1"/>
  <c r="O50" i="54" s="1"/>
  <c r="Q50" i="54" s="1"/>
  <c r="P90" i="54"/>
  <c r="M90" i="54"/>
  <c r="P155" i="54"/>
  <c r="M155" i="54"/>
  <c r="N155" i="54" s="1"/>
  <c r="O155" i="54" s="1"/>
  <c r="Q155" i="54" s="1"/>
  <c r="W147" i="54"/>
  <c r="X147" i="54" s="1"/>
  <c r="Y147" i="54" s="1"/>
  <c r="AA147" i="54" s="1"/>
  <c r="Z147" i="54"/>
  <c r="W43" i="54"/>
  <c r="X43" i="54" s="1"/>
  <c r="Y43" i="54" s="1"/>
  <c r="AA43" i="54" s="1"/>
  <c r="Z43" i="54"/>
  <c r="W203" i="54"/>
  <c r="X203" i="54" s="1"/>
  <c r="Y203" i="54" s="1"/>
  <c r="AA203" i="54" s="1"/>
  <c r="Z203" i="54"/>
  <c r="W307" i="54"/>
  <c r="X307" i="54" s="1"/>
  <c r="Y307" i="54" s="1"/>
  <c r="AA307" i="54" s="1"/>
  <c r="Z307" i="54"/>
  <c r="W36" i="54"/>
  <c r="X36" i="54" s="1"/>
  <c r="Y36" i="54" s="1"/>
  <c r="AA36" i="54" s="1"/>
  <c r="Z36" i="54"/>
  <c r="P296" i="54"/>
  <c r="M296" i="54"/>
  <c r="N296" i="54" s="1"/>
  <c r="O296" i="54" s="1"/>
  <c r="Q296" i="54" s="1"/>
  <c r="P322" i="54"/>
  <c r="M322" i="54"/>
  <c r="N322" i="54" s="1"/>
  <c r="O322" i="54" s="1"/>
  <c r="Q322" i="54" s="1"/>
  <c r="P244" i="54"/>
  <c r="M244" i="54"/>
  <c r="N244" i="54" s="1"/>
  <c r="O244" i="54" s="1"/>
  <c r="Q244" i="54" s="1"/>
  <c r="P30" i="54"/>
  <c r="M30" i="54"/>
  <c r="N30" i="54" s="1"/>
  <c r="O30" i="54" s="1"/>
  <c r="Q30" i="54" s="1"/>
  <c r="P108" i="54"/>
  <c r="M108" i="54"/>
  <c r="N108" i="54" s="1"/>
  <c r="O108" i="54" s="1"/>
  <c r="Q108" i="54" s="1"/>
  <c r="Z165" i="54"/>
  <c r="W165" i="54"/>
  <c r="X165" i="54" s="1"/>
  <c r="Y165" i="54" s="1"/>
  <c r="AA165" i="54" s="1"/>
  <c r="Z297" i="54"/>
  <c r="W297" i="54"/>
  <c r="X297" i="54" s="1"/>
  <c r="Y297" i="54" s="1"/>
  <c r="AA297" i="54" s="1"/>
  <c r="W109" i="54"/>
  <c r="X109" i="54" s="1"/>
  <c r="Y109" i="54" s="1"/>
  <c r="AA109" i="54" s="1"/>
  <c r="Z109" i="54"/>
  <c r="P16" i="54"/>
  <c r="M16" i="54"/>
  <c r="P367" i="54"/>
  <c r="M367" i="54"/>
  <c r="P289" i="54"/>
  <c r="M289" i="54"/>
  <c r="P198" i="54"/>
  <c r="M198" i="54"/>
  <c r="Z353" i="54"/>
  <c r="W353" i="54"/>
  <c r="X353" i="54" s="1"/>
  <c r="Y353" i="54" s="1"/>
  <c r="AA353" i="54" s="1"/>
  <c r="P47" i="54"/>
  <c r="M47" i="54"/>
  <c r="P385" i="54"/>
  <c r="M385" i="54"/>
  <c r="P307" i="54"/>
  <c r="M307" i="54"/>
  <c r="N307" i="54" s="1"/>
  <c r="O307" i="54" s="1"/>
  <c r="Q307" i="54" s="1"/>
  <c r="P216" i="54"/>
  <c r="M216" i="54"/>
  <c r="N216" i="54" s="1"/>
  <c r="O216" i="54" s="1"/>
  <c r="Q216" i="54" s="1"/>
  <c r="Z376" i="54"/>
  <c r="W376" i="54"/>
  <c r="W71" i="54"/>
  <c r="X71" i="54" s="1"/>
  <c r="Y71" i="54" s="1"/>
  <c r="AA71" i="54" s="1"/>
  <c r="Z71" i="54"/>
  <c r="P347" i="54"/>
  <c r="M347" i="54"/>
  <c r="P48" i="54"/>
  <c r="M48" i="54"/>
  <c r="M126" i="54"/>
  <c r="N126" i="54" s="1"/>
  <c r="O126" i="54" s="1"/>
  <c r="Q126" i="54" s="1"/>
  <c r="P126" i="54"/>
  <c r="Z183" i="54"/>
  <c r="W183" i="54"/>
  <c r="X183" i="54" s="1"/>
  <c r="Y183" i="54" s="1"/>
  <c r="AA183" i="54" s="1"/>
  <c r="W33" i="54"/>
  <c r="X33" i="54" s="1"/>
  <c r="Y33" i="54" s="1"/>
  <c r="AA33" i="54" s="1"/>
  <c r="Z33" i="54"/>
  <c r="Z137" i="54"/>
  <c r="W137" i="54"/>
  <c r="X137" i="54" s="1"/>
  <c r="Y137" i="54" s="1"/>
  <c r="AA137" i="54" s="1"/>
  <c r="P248" i="54"/>
  <c r="M248" i="54"/>
  <c r="N248" i="54" s="1"/>
  <c r="O248" i="54" s="1"/>
  <c r="Q248" i="54" s="1"/>
  <c r="P287" i="54"/>
  <c r="M287" i="54"/>
  <c r="P131" i="54"/>
  <c r="M131" i="54"/>
  <c r="N131" i="54" s="1"/>
  <c r="O131" i="54" s="1"/>
  <c r="Q131" i="54" s="1"/>
  <c r="AP205" i="56"/>
  <c r="AM205" i="56"/>
  <c r="AN205" i="56" s="1"/>
  <c r="AO205" i="56" s="1"/>
  <c r="AQ205" i="56" s="1"/>
  <c r="AP283" i="56"/>
  <c r="AM283" i="56"/>
  <c r="AN283" i="56" s="1"/>
  <c r="AO283" i="56" s="1"/>
  <c r="AQ283" i="56" s="1"/>
  <c r="AP127" i="56"/>
  <c r="AM127" i="56"/>
  <c r="AN127" i="56" s="1"/>
  <c r="AO127" i="56" s="1"/>
  <c r="AQ127" i="56" s="1"/>
  <c r="AP160" i="56"/>
  <c r="AM160" i="56"/>
  <c r="AN160" i="56" s="1"/>
  <c r="AO160" i="56" s="1"/>
  <c r="AQ160" i="56" s="1"/>
  <c r="AP134" i="56"/>
  <c r="AM134" i="56"/>
  <c r="AP82" i="56"/>
  <c r="AM82" i="56"/>
  <c r="AN82" i="56" s="1"/>
  <c r="AO82" i="56" s="1"/>
  <c r="AQ82" i="56" s="1"/>
  <c r="AP220" i="56"/>
  <c r="AM220" i="56"/>
  <c r="AN220" i="56" s="1"/>
  <c r="AO220" i="56" s="1"/>
  <c r="AQ220" i="56" s="1"/>
  <c r="AP298" i="56"/>
  <c r="AM298" i="56"/>
  <c r="AN298" i="56" s="1"/>
  <c r="AO298" i="56" s="1"/>
  <c r="AQ298" i="56" s="1"/>
  <c r="AP246" i="56"/>
  <c r="AM246" i="56"/>
  <c r="AP71" i="56"/>
  <c r="AM71" i="56"/>
  <c r="AP149" i="56"/>
  <c r="AM149" i="56"/>
  <c r="AN149" i="56" s="1"/>
  <c r="AO149" i="56" s="1"/>
  <c r="AQ149" i="56" s="1"/>
  <c r="AP331" i="56"/>
  <c r="AM331" i="56"/>
  <c r="AN331" i="56" s="1"/>
  <c r="AO331" i="56" s="1"/>
  <c r="AQ331" i="56" s="1"/>
  <c r="AP86" i="56"/>
  <c r="AM86" i="56"/>
  <c r="AP164" i="56"/>
  <c r="AM164" i="56"/>
  <c r="AN164" i="56" s="1"/>
  <c r="AP112" i="56"/>
  <c r="AM112" i="56"/>
  <c r="AN112" i="56" s="1"/>
  <c r="AO112" i="56" s="1"/>
  <c r="AQ112" i="56" s="1"/>
  <c r="AP105" i="56"/>
  <c r="AM105" i="56"/>
  <c r="AP404" i="56"/>
  <c r="AM404" i="56"/>
  <c r="AN404" i="56" s="1"/>
  <c r="AO404" i="56" s="1"/>
  <c r="AQ404" i="56" s="1"/>
  <c r="AP365" i="56"/>
  <c r="AM365" i="56"/>
  <c r="AN365" i="56" s="1"/>
  <c r="AO365" i="56" s="1"/>
  <c r="AQ365" i="56" s="1"/>
  <c r="AG154" i="54"/>
  <c r="AH154" i="54" s="1"/>
  <c r="AI154" i="54" s="1"/>
  <c r="AK154" i="54" s="1"/>
  <c r="AJ154" i="54"/>
  <c r="AG284" i="54"/>
  <c r="AJ284" i="54"/>
  <c r="AG297" i="54"/>
  <c r="AH297" i="54" s="1"/>
  <c r="AI297" i="54" s="1"/>
  <c r="AK297" i="54" s="1"/>
  <c r="AJ297" i="54"/>
  <c r="AG76" i="54"/>
  <c r="AH76" i="54" s="1"/>
  <c r="AI76" i="54" s="1"/>
  <c r="AK76" i="54" s="1"/>
  <c r="AJ76" i="54"/>
  <c r="AG258" i="54"/>
  <c r="AH258" i="54" s="1"/>
  <c r="AI258" i="54" s="1"/>
  <c r="AK258" i="54" s="1"/>
  <c r="AJ258" i="54"/>
  <c r="AG50" i="54"/>
  <c r="AH50" i="54" s="1"/>
  <c r="AI50" i="54" s="1"/>
  <c r="AK50" i="54" s="1"/>
  <c r="AJ50" i="54"/>
  <c r="AG310" i="54"/>
  <c r="AH310" i="54" s="1"/>
  <c r="AI310" i="54" s="1"/>
  <c r="AK310" i="54" s="1"/>
  <c r="AJ310" i="54"/>
  <c r="BD37" i="54"/>
  <c r="BA37" i="54"/>
  <c r="BB37" i="54" s="1"/>
  <c r="BC37" i="54" s="1"/>
  <c r="BE37" i="54" s="1"/>
  <c r="BD167" i="54"/>
  <c r="BA167" i="54"/>
  <c r="BA24" i="54"/>
  <c r="BB24" i="54" s="1"/>
  <c r="BC24" i="54" s="1"/>
  <c r="BE24" i="54" s="1"/>
  <c r="BD24" i="54"/>
  <c r="BA206" i="54"/>
  <c r="BB206" i="54" s="1"/>
  <c r="BC206" i="54" s="1"/>
  <c r="BE206" i="54" s="1"/>
  <c r="BD206" i="54"/>
  <c r="BD258" i="54"/>
  <c r="BA258" i="54"/>
  <c r="BB258" i="54" s="1"/>
  <c r="BC258" i="54" s="1"/>
  <c r="BE258" i="54" s="1"/>
  <c r="BD375" i="54"/>
  <c r="BA375" i="54"/>
  <c r="BB375" i="54" s="1"/>
  <c r="BC375" i="54" s="1"/>
  <c r="BE375" i="54" s="1"/>
  <c r="BD219" i="54"/>
  <c r="BA219" i="54"/>
  <c r="BB219" i="54" s="1"/>
  <c r="BC219" i="54" s="1"/>
  <c r="BE219" i="54" s="1"/>
  <c r="BD362" i="54"/>
  <c r="BA362" i="54"/>
  <c r="BB362" i="54" s="1"/>
  <c r="BC362" i="54" s="1"/>
  <c r="BE362" i="54" s="1"/>
  <c r="Z380" i="54"/>
  <c r="W380" i="54"/>
  <c r="X380" i="54" s="1"/>
  <c r="Y380" i="54" s="1"/>
  <c r="AA380" i="54" s="1"/>
  <c r="W146" i="54"/>
  <c r="X146" i="54" s="1"/>
  <c r="Y146" i="54" s="1"/>
  <c r="AA146" i="54" s="1"/>
  <c r="Z146" i="54"/>
  <c r="Z198" i="54"/>
  <c r="W198" i="54"/>
  <c r="X198" i="54" s="1"/>
  <c r="Y198" i="54" s="1"/>
  <c r="AA198" i="54" s="1"/>
  <c r="W276" i="54"/>
  <c r="X276" i="54" s="1"/>
  <c r="Y276" i="54" s="1"/>
  <c r="AA276" i="54" s="1"/>
  <c r="Z276" i="54"/>
  <c r="W354" i="54"/>
  <c r="X354" i="54" s="1"/>
  <c r="Y354" i="54" s="1"/>
  <c r="AA354" i="54" s="1"/>
  <c r="Z354" i="54"/>
  <c r="W315" i="54"/>
  <c r="X315" i="54" s="1"/>
  <c r="Y315" i="54" s="1"/>
  <c r="AA315" i="54" s="1"/>
  <c r="Z315" i="54"/>
  <c r="AJ275" i="54"/>
  <c r="AG275" i="54"/>
  <c r="AH275" i="54" s="1"/>
  <c r="AI275" i="54" s="1"/>
  <c r="AK275" i="54" s="1"/>
  <c r="AG340" i="54"/>
  <c r="AH340" i="54" s="1"/>
  <c r="AI340" i="54" s="1"/>
  <c r="AK340" i="54" s="1"/>
  <c r="AJ340" i="54"/>
  <c r="AG67" i="54"/>
  <c r="AH67" i="54" s="1"/>
  <c r="AI67" i="54" s="1"/>
  <c r="AK67" i="54" s="1"/>
  <c r="AJ67" i="54"/>
  <c r="AG158" i="54"/>
  <c r="AH158" i="54" s="1"/>
  <c r="AI158" i="54" s="1"/>
  <c r="AK158" i="54" s="1"/>
  <c r="AJ158" i="54"/>
  <c r="AJ288" i="54"/>
  <c r="AG288" i="54"/>
  <c r="AG197" i="54"/>
  <c r="AH197" i="54" s="1"/>
  <c r="AI197" i="54" s="1"/>
  <c r="AK197" i="54" s="1"/>
  <c r="AJ197" i="54"/>
  <c r="AG262" i="54"/>
  <c r="AH262" i="54" s="1"/>
  <c r="AI262" i="54" s="1"/>
  <c r="AK262" i="54" s="1"/>
  <c r="AJ262" i="54"/>
  <c r="AT28" i="54"/>
  <c r="AQ28" i="54"/>
  <c r="AR28" i="54" s="1"/>
  <c r="AS28" i="54" s="1"/>
  <c r="AU28" i="54" s="1"/>
  <c r="AT197" i="54"/>
  <c r="AQ197" i="54"/>
  <c r="AT379" i="54"/>
  <c r="AQ379" i="54"/>
  <c r="AT249" i="54"/>
  <c r="AQ249" i="54"/>
  <c r="AR249" i="54" s="1"/>
  <c r="AS249" i="54" s="1"/>
  <c r="AU249" i="54" s="1"/>
  <c r="AT353" i="54"/>
  <c r="AQ353" i="54"/>
  <c r="AT340" i="54"/>
  <c r="AQ340" i="54"/>
  <c r="AR340" i="54" s="1"/>
  <c r="AS340" i="54" s="1"/>
  <c r="AU340" i="54" s="1"/>
  <c r="AT392" i="54"/>
  <c r="AQ392" i="54"/>
  <c r="AR392" i="54" s="1"/>
  <c r="AS392" i="54" s="1"/>
  <c r="AU392" i="54" s="1"/>
  <c r="AQ327" i="54"/>
  <c r="AR327" i="54" s="1"/>
  <c r="AS327" i="54" s="1"/>
  <c r="AU327" i="54" s="1"/>
  <c r="AT327" i="54"/>
  <c r="BD92" i="54"/>
  <c r="BA92" i="54"/>
  <c r="BD144" i="54"/>
  <c r="BA144" i="54"/>
  <c r="BA378" i="54"/>
  <c r="BB378" i="54" s="1"/>
  <c r="BC378" i="54" s="1"/>
  <c r="BE378" i="54" s="1"/>
  <c r="BD378" i="54"/>
  <c r="BD131" i="54"/>
  <c r="BA131" i="54"/>
  <c r="BD352" i="54"/>
  <c r="BA352" i="54"/>
  <c r="BB352" i="54" s="1"/>
  <c r="BC352" i="54" s="1"/>
  <c r="BD157" i="54"/>
  <c r="BA157" i="54"/>
  <c r="BB157" i="54" s="1"/>
  <c r="BC157" i="54" s="1"/>
  <c r="BD274" i="54"/>
  <c r="BA274" i="54"/>
  <c r="BB274" i="54" s="1"/>
  <c r="BC274" i="54" s="1"/>
  <c r="BE274" i="54" s="1"/>
  <c r="P46" i="54"/>
  <c r="M46" i="54"/>
  <c r="N46" i="54" s="1"/>
  <c r="O46" i="54" s="1"/>
  <c r="Q46" i="54" s="1"/>
  <c r="P59" i="54"/>
  <c r="M59" i="54"/>
  <c r="P358" i="54"/>
  <c r="M358" i="54"/>
  <c r="N358" i="54" s="1"/>
  <c r="O358" i="54" s="1"/>
  <c r="Q358" i="54" s="1"/>
  <c r="P215" i="54"/>
  <c r="M215" i="54"/>
  <c r="N215" i="54" s="1"/>
  <c r="O215" i="54" s="1"/>
  <c r="Q215" i="54" s="1"/>
  <c r="P163" i="54"/>
  <c r="M163" i="54"/>
  <c r="N163" i="54" s="1"/>
  <c r="O163" i="54" s="1"/>
  <c r="Q163" i="54" s="1"/>
  <c r="BD267" i="54"/>
  <c r="BA267" i="54"/>
  <c r="BB267" i="54" s="1"/>
  <c r="BC267" i="54" s="1"/>
  <c r="BE267" i="54" s="1"/>
  <c r="BD293" i="54"/>
  <c r="BA293" i="54"/>
  <c r="BD228" i="54"/>
  <c r="BA228" i="54"/>
  <c r="BB228" i="54" s="1"/>
  <c r="BC228" i="54" s="1"/>
  <c r="BE228" i="54" s="1"/>
  <c r="BD397" i="54"/>
  <c r="BA397" i="54"/>
  <c r="BB397" i="54" s="1"/>
  <c r="BC397" i="54" s="1"/>
  <c r="BE397" i="54" s="1"/>
  <c r="BD137" i="54"/>
  <c r="BA137" i="54"/>
  <c r="BD332" i="54"/>
  <c r="BA332" i="54"/>
  <c r="BB332" i="54" s="1"/>
  <c r="BC332" i="54" s="1"/>
  <c r="BE332" i="54" s="1"/>
  <c r="BD85" i="54"/>
  <c r="BA85" i="54"/>
  <c r="BB85" i="54" s="1"/>
  <c r="BC85" i="54" s="1"/>
  <c r="BE85" i="54" s="1"/>
  <c r="W169" i="54"/>
  <c r="X169" i="54" s="1"/>
  <c r="Y169" i="54" s="1"/>
  <c r="AA169" i="54" s="1"/>
  <c r="Z169" i="54"/>
  <c r="W299" i="54"/>
  <c r="X299" i="54" s="1"/>
  <c r="Y299" i="54" s="1"/>
  <c r="AA299" i="54" s="1"/>
  <c r="Z299" i="54"/>
  <c r="W364" i="54"/>
  <c r="X364" i="54" s="1"/>
  <c r="Y364" i="54" s="1"/>
  <c r="AA364" i="54" s="1"/>
  <c r="Z364" i="54"/>
  <c r="Z377" i="54"/>
  <c r="W377" i="54"/>
  <c r="X377" i="54" s="1"/>
  <c r="Y377" i="54" s="1"/>
  <c r="AA377" i="54" s="1"/>
  <c r="W195" i="54"/>
  <c r="Z195" i="54"/>
  <c r="W390" i="54"/>
  <c r="X390" i="54" s="1"/>
  <c r="Y390" i="54" s="1"/>
  <c r="AA390" i="54" s="1"/>
  <c r="Z390" i="54"/>
  <c r="W351" i="54"/>
  <c r="X351" i="54" s="1"/>
  <c r="Y351" i="54" s="1"/>
  <c r="AA351" i="54" s="1"/>
  <c r="Z351" i="54"/>
  <c r="AT138" i="54"/>
  <c r="AQ138" i="54"/>
  <c r="AR138" i="54" s="1"/>
  <c r="AS138" i="54" s="1"/>
  <c r="AU138" i="54" s="1"/>
  <c r="AT86" i="54"/>
  <c r="AQ86" i="54"/>
  <c r="AR86" i="54" s="1"/>
  <c r="AS86" i="54" s="1"/>
  <c r="AU86" i="54" s="1"/>
  <c r="AT255" i="54"/>
  <c r="AQ255" i="54"/>
  <c r="AT177" i="54"/>
  <c r="AQ177" i="54"/>
  <c r="AT385" i="54"/>
  <c r="AQ385" i="54"/>
  <c r="AR385" i="54" s="1"/>
  <c r="AS385" i="54" s="1"/>
  <c r="AU385" i="54" s="1"/>
  <c r="AT281" i="54"/>
  <c r="AQ281" i="54"/>
  <c r="AT112" i="54"/>
  <c r="AQ112" i="54"/>
  <c r="AR112" i="54" s="1"/>
  <c r="AS112" i="54" s="1"/>
  <c r="AU112" i="54" s="1"/>
  <c r="P232" i="54"/>
  <c r="M232" i="54"/>
  <c r="N232" i="54" s="1"/>
  <c r="O232" i="54" s="1"/>
  <c r="Q232" i="54" s="1"/>
  <c r="P349" i="54"/>
  <c r="M349" i="54"/>
  <c r="P89" i="54"/>
  <c r="M89" i="54"/>
  <c r="P76" i="54"/>
  <c r="M76" i="54"/>
  <c r="AT189" i="54"/>
  <c r="AQ189" i="54"/>
  <c r="AR189" i="54" s="1"/>
  <c r="AS189" i="54" s="1"/>
  <c r="AT33" i="54"/>
  <c r="AQ33" i="54"/>
  <c r="AR33" i="54" s="1"/>
  <c r="AS33" i="54" s="1"/>
  <c r="AU33" i="54" s="1"/>
  <c r="AT59" i="54"/>
  <c r="AQ59" i="54"/>
  <c r="AR59" i="54" s="1"/>
  <c r="AS59" i="54" s="1"/>
  <c r="AU59" i="54" s="1"/>
  <c r="AT371" i="54"/>
  <c r="AQ371" i="54"/>
  <c r="AT176" i="54"/>
  <c r="AQ176" i="54"/>
  <c r="AR176" i="54" s="1"/>
  <c r="AS176" i="54" s="1"/>
  <c r="AU176" i="54" s="1"/>
  <c r="AT306" i="54"/>
  <c r="AQ306" i="54"/>
  <c r="AR306" i="54" s="1"/>
  <c r="AS306" i="54" s="1"/>
  <c r="AT254" i="54"/>
  <c r="AQ254" i="54"/>
  <c r="AQ267" i="54"/>
  <c r="AR267" i="54" s="1"/>
  <c r="AS267" i="54" s="1"/>
  <c r="AU267" i="54" s="1"/>
  <c r="AT267" i="54"/>
  <c r="P129" i="54"/>
  <c r="M129" i="54"/>
  <c r="N129" i="54" s="1"/>
  <c r="O129" i="54" s="1"/>
  <c r="Q129" i="54" s="1"/>
  <c r="P402" i="54"/>
  <c r="M402" i="54"/>
  <c r="N402" i="54" s="1"/>
  <c r="O402" i="54" s="1"/>
  <c r="Q402" i="54" s="1"/>
  <c r="P298" i="54"/>
  <c r="M298" i="54"/>
  <c r="P207" i="54"/>
  <c r="M207" i="54"/>
  <c r="N207" i="54" s="1"/>
  <c r="O207" i="54" s="1"/>
  <c r="Q207" i="54" s="1"/>
  <c r="BA51" i="54"/>
  <c r="BB51" i="54" s="1"/>
  <c r="BC51" i="54" s="1"/>
  <c r="BE51" i="54" s="1"/>
  <c r="BD51" i="54"/>
  <c r="BD337" i="54"/>
  <c r="BA337" i="54"/>
  <c r="BD116" i="54"/>
  <c r="BA116" i="54"/>
  <c r="BD298" i="54"/>
  <c r="BA298" i="54"/>
  <c r="BD155" i="54"/>
  <c r="BA155" i="54"/>
  <c r="BB155" i="54" s="1"/>
  <c r="BC155" i="54" s="1"/>
  <c r="BE155" i="54" s="1"/>
  <c r="BD350" i="54"/>
  <c r="BA350" i="54"/>
  <c r="BB350" i="54" s="1"/>
  <c r="BC350" i="54" s="1"/>
  <c r="BE350" i="54" s="1"/>
  <c r="BD129" i="54"/>
  <c r="BA129" i="54"/>
  <c r="BB129" i="54" s="1"/>
  <c r="BC129" i="54" s="1"/>
  <c r="BE129" i="54" s="1"/>
  <c r="BD363" i="54"/>
  <c r="BA363" i="54"/>
  <c r="BB363" i="54" s="1"/>
  <c r="BC363" i="54" s="1"/>
  <c r="Z342" i="54"/>
  <c r="W342" i="54"/>
  <c r="X342" i="54" s="1"/>
  <c r="Y342" i="54" s="1"/>
  <c r="AA342" i="54" s="1"/>
  <c r="W316" i="54"/>
  <c r="X316" i="54" s="1"/>
  <c r="Y316" i="54" s="1"/>
  <c r="AA316" i="54" s="1"/>
  <c r="Z316" i="54"/>
  <c r="W381" i="54"/>
  <c r="X381" i="54" s="1"/>
  <c r="Y381" i="54" s="1"/>
  <c r="AA381" i="54" s="1"/>
  <c r="Z381" i="54"/>
  <c r="W30" i="54"/>
  <c r="X30" i="54" s="1"/>
  <c r="Y30" i="54" s="1"/>
  <c r="AA30" i="54" s="1"/>
  <c r="Z30" i="54"/>
  <c r="W160" i="54"/>
  <c r="X160" i="54" s="1"/>
  <c r="Y160" i="54" s="1"/>
  <c r="AA160" i="54" s="1"/>
  <c r="Z160" i="54"/>
  <c r="W69" i="54"/>
  <c r="Z69" i="54"/>
  <c r="BD282" i="54"/>
  <c r="BA282" i="54"/>
  <c r="BB282" i="54" s="1"/>
  <c r="BC282" i="54" s="1"/>
  <c r="BE282" i="54" s="1"/>
  <c r="BD295" i="54"/>
  <c r="BA295" i="54"/>
  <c r="BB295" i="54" s="1"/>
  <c r="BC295" i="54" s="1"/>
  <c r="BE295" i="54" s="1"/>
  <c r="BD61" i="54"/>
  <c r="BA61" i="54"/>
  <c r="BB61" i="54" s="1"/>
  <c r="BC61" i="54" s="1"/>
  <c r="BE61" i="54" s="1"/>
  <c r="BD152" i="54"/>
  <c r="BA152" i="54"/>
  <c r="BD100" i="54"/>
  <c r="BA100" i="54"/>
  <c r="BB100" i="54" s="1"/>
  <c r="BC100" i="54" s="1"/>
  <c r="BD321" i="54"/>
  <c r="BA321" i="54"/>
  <c r="BA178" i="54"/>
  <c r="BB178" i="54" s="1"/>
  <c r="BC178" i="54" s="1"/>
  <c r="BE178" i="54" s="1"/>
  <c r="BD178" i="54"/>
  <c r="W190" i="54"/>
  <c r="X190" i="54" s="1"/>
  <c r="Y190" i="54" s="1"/>
  <c r="AA190" i="54" s="1"/>
  <c r="Z190" i="54"/>
  <c r="W47" i="54"/>
  <c r="X47" i="54" s="1"/>
  <c r="Y47" i="54" s="1"/>
  <c r="AA47" i="54" s="1"/>
  <c r="Z47" i="54"/>
  <c r="Z21" i="54"/>
  <c r="W21" i="54"/>
  <c r="X21" i="54" s="1"/>
  <c r="Y21" i="54" s="1"/>
  <c r="AA21" i="54" s="1"/>
  <c r="Z60" i="54"/>
  <c r="W60" i="54"/>
  <c r="X60" i="54" s="1"/>
  <c r="Y60" i="54" s="1"/>
  <c r="AA60" i="54" s="1"/>
  <c r="W385" i="54"/>
  <c r="X385" i="54" s="1"/>
  <c r="Y385" i="54" s="1"/>
  <c r="AA385" i="54" s="1"/>
  <c r="Z385" i="54"/>
  <c r="W242" i="54"/>
  <c r="X242" i="54" s="1"/>
  <c r="Y242" i="54" s="1"/>
  <c r="AA242" i="54" s="1"/>
  <c r="Z242" i="54"/>
  <c r="Z140" i="54"/>
  <c r="W140" i="54"/>
  <c r="X140" i="54" s="1"/>
  <c r="Y140" i="54" s="1"/>
  <c r="AA140" i="54" s="1"/>
  <c r="W322" i="54"/>
  <c r="X322" i="54" s="1"/>
  <c r="Y322" i="54" s="1"/>
  <c r="AA322" i="54" s="1"/>
  <c r="Z322" i="54"/>
  <c r="W62" i="54"/>
  <c r="X62" i="54" s="1"/>
  <c r="Y62" i="54" s="1"/>
  <c r="AA62" i="54" s="1"/>
  <c r="Z62" i="54"/>
  <c r="W283" i="54"/>
  <c r="Z283" i="54"/>
  <c r="W309" i="54"/>
  <c r="Z309" i="54"/>
  <c r="Z166" i="54"/>
  <c r="W166" i="54"/>
  <c r="X166" i="54" s="1"/>
  <c r="Y166" i="54" s="1"/>
  <c r="AA166" i="54" s="1"/>
  <c r="BA17" i="54"/>
  <c r="BB17" i="54" s="1"/>
  <c r="BC17" i="54" s="1"/>
  <c r="BE17" i="54" s="1"/>
  <c r="BD17" i="54"/>
  <c r="BD225" i="54"/>
  <c r="BA225" i="54"/>
  <c r="BB225" i="54" s="1"/>
  <c r="BC225" i="54" s="1"/>
  <c r="BE225" i="54" s="1"/>
  <c r="BA69" i="54"/>
  <c r="BB69" i="54" s="1"/>
  <c r="BC69" i="54" s="1"/>
  <c r="BE69" i="54" s="1"/>
  <c r="BD69" i="54"/>
  <c r="BD316" i="54"/>
  <c r="BA316" i="54"/>
  <c r="BD212" i="54"/>
  <c r="BA212" i="54"/>
  <c r="BD108" i="54"/>
  <c r="BA108" i="54"/>
  <c r="BD264" i="54"/>
  <c r="BA264" i="54"/>
  <c r="BB264" i="54" s="1"/>
  <c r="BC264" i="54" s="1"/>
  <c r="BE264" i="54" s="1"/>
  <c r="BD394" i="54"/>
  <c r="BA394" i="54"/>
  <c r="BB394" i="54" s="1"/>
  <c r="BC394" i="54" s="1"/>
  <c r="BE394" i="54" s="1"/>
  <c r="M270" i="54"/>
  <c r="N270" i="54" s="1"/>
  <c r="O270" i="54" s="1"/>
  <c r="Q270" i="54" s="1"/>
  <c r="P270" i="54"/>
  <c r="P361" i="54"/>
  <c r="M361" i="54"/>
  <c r="N361" i="54" s="1"/>
  <c r="O361" i="54" s="1"/>
  <c r="Q361" i="54" s="1"/>
  <c r="P101" i="54"/>
  <c r="M101" i="54"/>
  <c r="N101" i="54" s="1"/>
  <c r="O101" i="54" s="1"/>
  <c r="Q101" i="54" s="1"/>
  <c r="P127" i="54"/>
  <c r="M127" i="54"/>
  <c r="N127" i="54" s="1"/>
  <c r="O127" i="54" s="1"/>
  <c r="Q127" i="54" s="1"/>
  <c r="P348" i="54"/>
  <c r="M348" i="54"/>
  <c r="AG283" i="54"/>
  <c r="AH283" i="54" s="1"/>
  <c r="AI283" i="54" s="1"/>
  <c r="AK283" i="54" s="1"/>
  <c r="AJ283" i="54"/>
  <c r="AG322" i="54"/>
  <c r="AJ322" i="54"/>
  <c r="AG218" i="54"/>
  <c r="AH218" i="54" s="1"/>
  <c r="AI218" i="54" s="1"/>
  <c r="AK218" i="54" s="1"/>
  <c r="AJ218" i="54"/>
  <c r="AG387" i="54"/>
  <c r="AJ387" i="54"/>
  <c r="AJ179" i="54"/>
  <c r="AG179" i="54"/>
  <c r="AJ270" i="54"/>
  <c r="AG270" i="54"/>
  <c r="AH270" i="54" s="1"/>
  <c r="AI270" i="54" s="1"/>
  <c r="AK270" i="54" s="1"/>
  <c r="AG127" i="54"/>
  <c r="AJ127" i="54"/>
  <c r="P342" i="54"/>
  <c r="M342" i="54"/>
  <c r="N342" i="54" s="1"/>
  <c r="O342" i="54" s="1"/>
  <c r="Q342" i="54" s="1"/>
  <c r="P394" i="54"/>
  <c r="M394" i="54"/>
  <c r="N394" i="54" s="1"/>
  <c r="O394" i="54" s="1"/>
  <c r="Q394" i="54" s="1"/>
  <c r="P238" i="54"/>
  <c r="M238" i="54"/>
  <c r="N238" i="54" s="1"/>
  <c r="O238" i="54" s="1"/>
  <c r="Q238" i="54" s="1"/>
  <c r="P186" i="54"/>
  <c r="M186" i="54"/>
  <c r="P69" i="54"/>
  <c r="M69" i="54"/>
  <c r="N69" i="54" s="1"/>
  <c r="O69" i="54" s="1"/>
  <c r="Q69" i="54" s="1"/>
  <c r="W22" i="54"/>
  <c r="X22" i="54" s="1"/>
  <c r="Y22" i="54" s="1"/>
  <c r="AA22" i="54" s="1"/>
  <c r="Z22" i="54"/>
  <c r="W243" i="54"/>
  <c r="Z243" i="54"/>
  <c r="W308" i="54"/>
  <c r="X308" i="54" s="1"/>
  <c r="Y308" i="54" s="1"/>
  <c r="AA308" i="54" s="1"/>
  <c r="Z308" i="54"/>
  <c r="W113" i="54"/>
  <c r="X113" i="54" s="1"/>
  <c r="Y113" i="54" s="1"/>
  <c r="AA113" i="54" s="1"/>
  <c r="Z113" i="54"/>
  <c r="W139" i="54"/>
  <c r="Z139" i="54"/>
  <c r="W126" i="54"/>
  <c r="Z126" i="54"/>
  <c r="BD110" i="54"/>
  <c r="BA110" i="54"/>
  <c r="BB110" i="54" s="1"/>
  <c r="BC110" i="54" s="1"/>
  <c r="BE110" i="54" s="1"/>
  <c r="BD227" i="54"/>
  <c r="BA227" i="54"/>
  <c r="BA188" i="54"/>
  <c r="BB188" i="54" s="1"/>
  <c r="BC188" i="54" s="1"/>
  <c r="BE188" i="54" s="1"/>
  <c r="BD188" i="54"/>
  <c r="BD84" i="54"/>
  <c r="BA84" i="54"/>
  <c r="BD266" i="54"/>
  <c r="BA266" i="54"/>
  <c r="BB266" i="54" s="1"/>
  <c r="BC266" i="54" s="1"/>
  <c r="BE266" i="54" s="1"/>
  <c r="BA370" i="54"/>
  <c r="BB370" i="54" s="1"/>
  <c r="BC370" i="54" s="1"/>
  <c r="BE370" i="54" s="1"/>
  <c r="BD370" i="54"/>
  <c r="BA32" i="54"/>
  <c r="BB32" i="54" s="1"/>
  <c r="BC32" i="54" s="1"/>
  <c r="BE32" i="54" s="1"/>
  <c r="BD32" i="54"/>
  <c r="BD331" i="54"/>
  <c r="BA331" i="54"/>
  <c r="W362" i="54"/>
  <c r="X362" i="54" s="1"/>
  <c r="Y362" i="54" s="1"/>
  <c r="AA362" i="54" s="1"/>
  <c r="Z362" i="54"/>
  <c r="Z375" i="54"/>
  <c r="W375" i="54"/>
  <c r="W258" i="54"/>
  <c r="X258" i="54" s="1"/>
  <c r="Y258" i="54" s="1"/>
  <c r="AA258" i="54" s="1"/>
  <c r="Z258" i="54"/>
  <c r="Z323" i="54"/>
  <c r="W323" i="54"/>
  <c r="X323" i="54" s="1"/>
  <c r="Y323" i="54" s="1"/>
  <c r="AA323" i="54" s="1"/>
  <c r="W388" i="54"/>
  <c r="X388" i="54" s="1"/>
  <c r="Y388" i="54" s="1"/>
  <c r="AA388" i="54" s="1"/>
  <c r="Z388" i="54"/>
  <c r="W50" i="54"/>
  <c r="X50" i="54" s="1"/>
  <c r="Y50" i="54" s="1"/>
  <c r="AA50" i="54" s="1"/>
  <c r="Z50" i="54"/>
  <c r="AG17" i="54"/>
  <c r="AH17" i="54" s="1"/>
  <c r="AI17" i="54" s="1"/>
  <c r="AK17" i="54" s="1"/>
  <c r="AJ17" i="54"/>
  <c r="AJ303" i="54"/>
  <c r="AG303" i="54"/>
  <c r="AH303" i="54" s="1"/>
  <c r="AI303" i="54" s="1"/>
  <c r="AK303" i="54" s="1"/>
  <c r="AJ329" i="54"/>
  <c r="AG329" i="54"/>
  <c r="AH329" i="54" s="1"/>
  <c r="AI329" i="54" s="1"/>
  <c r="AK329" i="54" s="1"/>
  <c r="AG43" i="54"/>
  <c r="AH43" i="54" s="1"/>
  <c r="AI43" i="54" s="1"/>
  <c r="AK43" i="54" s="1"/>
  <c r="AJ43" i="54"/>
  <c r="AG277" i="54"/>
  <c r="AH277" i="54" s="1"/>
  <c r="AI277" i="54" s="1"/>
  <c r="AK277" i="54" s="1"/>
  <c r="AJ277" i="54"/>
  <c r="AG355" i="54"/>
  <c r="AH355" i="54" s="1"/>
  <c r="AI355" i="54" s="1"/>
  <c r="AK355" i="54" s="1"/>
  <c r="AJ355" i="54"/>
  <c r="AG121" i="54"/>
  <c r="AH121" i="54" s="1"/>
  <c r="AI121" i="54" s="1"/>
  <c r="AK121" i="54" s="1"/>
  <c r="AJ121" i="54"/>
  <c r="AG381" i="54"/>
  <c r="AH381" i="54" s="1"/>
  <c r="AI381" i="54" s="1"/>
  <c r="AK381" i="54" s="1"/>
  <c r="AJ381" i="54"/>
  <c r="AT35" i="54"/>
  <c r="AQ35" i="54"/>
  <c r="AR35" i="54" s="1"/>
  <c r="AS35" i="54" s="1"/>
  <c r="AU35" i="54" s="1"/>
  <c r="AT100" i="54"/>
  <c r="AQ100" i="54"/>
  <c r="AR100" i="54" s="1"/>
  <c r="AS100" i="54" s="1"/>
  <c r="AU100" i="54" s="1"/>
  <c r="AT399" i="54"/>
  <c r="AQ399" i="54"/>
  <c r="AT230" i="54"/>
  <c r="AQ230" i="54"/>
  <c r="AT256" i="54"/>
  <c r="AQ256" i="54"/>
  <c r="AT204" i="54"/>
  <c r="AQ204" i="54"/>
  <c r="AR204" i="54" s="1"/>
  <c r="AS204" i="54" s="1"/>
  <c r="AU204" i="54" s="1"/>
  <c r="AT282" i="54"/>
  <c r="AQ282" i="54"/>
  <c r="AR282" i="54" s="1"/>
  <c r="AS282" i="54" s="1"/>
  <c r="AU282" i="54" s="1"/>
  <c r="AG152" i="54"/>
  <c r="AH152" i="54" s="1"/>
  <c r="AI152" i="54" s="1"/>
  <c r="AK152" i="54" s="1"/>
  <c r="AJ152" i="54"/>
  <c r="AG113" i="54"/>
  <c r="AH113" i="54" s="1"/>
  <c r="AI113" i="54" s="1"/>
  <c r="AK113" i="54" s="1"/>
  <c r="AJ113" i="54"/>
  <c r="AG295" i="54"/>
  <c r="AH295" i="54" s="1"/>
  <c r="AI295" i="54" s="1"/>
  <c r="AK295" i="54" s="1"/>
  <c r="AJ295" i="54"/>
  <c r="AG269" i="54"/>
  <c r="AH269" i="54" s="1"/>
  <c r="AI269" i="54" s="1"/>
  <c r="AK269" i="54" s="1"/>
  <c r="AJ269" i="54"/>
  <c r="AG191" i="54"/>
  <c r="AH191" i="54" s="1"/>
  <c r="AI191" i="54" s="1"/>
  <c r="AK191" i="54" s="1"/>
  <c r="AJ191" i="54"/>
  <c r="AJ22" i="54"/>
  <c r="AG22" i="54"/>
  <c r="AH22" i="54" s="1"/>
  <c r="AI22" i="54" s="1"/>
  <c r="AK22" i="54" s="1"/>
  <c r="AJ74" i="54"/>
  <c r="AG74" i="54"/>
  <c r="AH74" i="54" s="1"/>
  <c r="AI74" i="54" s="1"/>
  <c r="AK74" i="54" s="1"/>
  <c r="AG44" i="54"/>
  <c r="AH44" i="54" s="1"/>
  <c r="AI44" i="54" s="1"/>
  <c r="AK44" i="54" s="1"/>
  <c r="AJ44" i="54"/>
  <c r="AJ57" i="54"/>
  <c r="AG57" i="54"/>
  <c r="AH57" i="54" s="1"/>
  <c r="AI57" i="54" s="1"/>
  <c r="AK57" i="54" s="1"/>
  <c r="AG96" i="54"/>
  <c r="AH96" i="54" s="1"/>
  <c r="AI96" i="54" s="1"/>
  <c r="AK96" i="54" s="1"/>
  <c r="AJ96" i="54"/>
  <c r="AG213" i="54"/>
  <c r="AJ213" i="54"/>
  <c r="AG135" i="54"/>
  <c r="AH135" i="54" s="1"/>
  <c r="AI135" i="54" s="1"/>
  <c r="AK135" i="54" s="1"/>
  <c r="AJ135" i="54"/>
  <c r="AG330" i="54"/>
  <c r="AH330" i="54" s="1"/>
  <c r="AI330" i="54" s="1"/>
  <c r="AK330" i="54" s="1"/>
  <c r="AJ330" i="54"/>
  <c r="AJ83" i="54"/>
  <c r="AG83" i="54"/>
  <c r="AG356" i="54"/>
  <c r="AJ356" i="54"/>
  <c r="W57" i="54"/>
  <c r="Z57" i="54"/>
  <c r="Z187" i="54"/>
  <c r="W187" i="54"/>
  <c r="W44" i="54"/>
  <c r="X44" i="54" s="1"/>
  <c r="Y44" i="54" s="1"/>
  <c r="AA44" i="54" s="1"/>
  <c r="Z44" i="54"/>
  <c r="W265" i="54"/>
  <c r="Z265" i="54"/>
  <c r="W291" i="54"/>
  <c r="X291" i="54" s="1"/>
  <c r="Y291" i="54" s="1"/>
  <c r="AA291" i="54" s="1"/>
  <c r="Z291" i="54"/>
  <c r="W148" i="54"/>
  <c r="X148" i="54" s="1"/>
  <c r="Y148" i="54" s="1"/>
  <c r="AA148" i="54" s="1"/>
  <c r="Z148" i="54"/>
  <c r="AG170" i="54"/>
  <c r="AH170" i="54" s="1"/>
  <c r="AI170" i="54" s="1"/>
  <c r="AK170" i="54" s="1"/>
  <c r="AJ170" i="54"/>
  <c r="AG131" i="54"/>
  <c r="AH131" i="54" s="1"/>
  <c r="AI131" i="54" s="1"/>
  <c r="AK131" i="54" s="1"/>
  <c r="AJ131" i="54"/>
  <c r="AJ27" i="54"/>
  <c r="AG27" i="54"/>
  <c r="AH27" i="54" s="1"/>
  <c r="AI27" i="54" s="1"/>
  <c r="AK27" i="54" s="1"/>
  <c r="AG404" i="54"/>
  <c r="AH404" i="54" s="1"/>
  <c r="AI404" i="54" s="1"/>
  <c r="AK404" i="54" s="1"/>
  <c r="AJ404" i="54"/>
  <c r="AJ209" i="54"/>
  <c r="AG209" i="54"/>
  <c r="AH209" i="54" s="1"/>
  <c r="AI209" i="54" s="1"/>
  <c r="AK209" i="54" s="1"/>
  <c r="AJ53" i="54"/>
  <c r="AG53" i="54"/>
  <c r="AH53" i="54" s="1"/>
  <c r="AI53" i="54" s="1"/>
  <c r="AK53" i="54" s="1"/>
  <c r="AJ92" i="54"/>
  <c r="AG92" i="54"/>
  <c r="AH92" i="54" s="1"/>
  <c r="AI92" i="54" s="1"/>
  <c r="AK92" i="54" s="1"/>
  <c r="P55" i="54"/>
  <c r="M55" i="54"/>
  <c r="P211" i="54"/>
  <c r="M211" i="54"/>
  <c r="P159" i="54"/>
  <c r="M159" i="54"/>
  <c r="P328" i="54"/>
  <c r="M328" i="54"/>
  <c r="AG107" i="54"/>
  <c r="AH107" i="54" s="1"/>
  <c r="AI107" i="54" s="1"/>
  <c r="AK107" i="54" s="1"/>
  <c r="AJ107" i="54"/>
  <c r="AJ367" i="54"/>
  <c r="AG367" i="54"/>
  <c r="AH367" i="54" s="1"/>
  <c r="AI367" i="54" s="1"/>
  <c r="AK367" i="54" s="1"/>
  <c r="AG81" i="54"/>
  <c r="AJ81" i="54"/>
  <c r="AG120" i="54"/>
  <c r="AH120" i="54" s="1"/>
  <c r="AI120" i="54" s="1"/>
  <c r="AK120" i="54" s="1"/>
  <c r="AJ120" i="54"/>
  <c r="AG237" i="54"/>
  <c r="AJ237" i="54"/>
  <c r="AG289" i="54"/>
  <c r="AH289" i="54" s="1"/>
  <c r="AI289" i="54" s="1"/>
  <c r="AK289" i="54" s="1"/>
  <c r="AJ289" i="54"/>
  <c r="AJ185" i="54"/>
  <c r="AG185" i="54"/>
  <c r="BD83" i="54"/>
  <c r="BA83" i="54"/>
  <c r="BD148" i="54"/>
  <c r="BA148" i="54"/>
  <c r="BA57" i="54"/>
  <c r="BB57" i="54" s="1"/>
  <c r="BC57" i="54" s="1"/>
  <c r="BE57" i="54" s="1"/>
  <c r="BD57" i="54"/>
  <c r="BD278" i="54"/>
  <c r="BA278" i="54"/>
  <c r="BD174" i="54"/>
  <c r="BA174" i="54"/>
  <c r="BB174" i="54" s="1"/>
  <c r="BC174" i="54" s="1"/>
  <c r="BE174" i="54" s="1"/>
  <c r="BD395" i="54"/>
  <c r="BA395" i="54"/>
  <c r="BB395" i="54" s="1"/>
  <c r="BC395" i="54" s="1"/>
  <c r="BD200" i="54"/>
  <c r="BA200" i="54"/>
  <c r="BB200" i="54" s="1"/>
  <c r="BC200" i="54" s="1"/>
  <c r="BE200" i="54" s="1"/>
  <c r="BD382" i="54"/>
  <c r="BA382" i="54"/>
  <c r="W210" i="54"/>
  <c r="X210" i="54" s="1"/>
  <c r="Y210" i="54" s="1"/>
  <c r="AA210" i="54" s="1"/>
  <c r="Z210" i="54"/>
  <c r="W405" i="54"/>
  <c r="X405" i="54" s="1"/>
  <c r="Y405" i="54" s="1"/>
  <c r="AA405" i="54" s="1"/>
  <c r="Z405" i="54"/>
  <c r="W171" i="54"/>
  <c r="X171" i="54" s="1"/>
  <c r="Y171" i="54" s="1"/>
  <c r="AA171" i="54" s="1"/>
  <c r="Z171" i="54"/>
  <c r="W236" i="54"/>
  <c r="X236" i="54" s="1"/>
  <c r="Y236" i="54" s="1"/>
  <c r="AA236" i="54" s="1"/>
  <c r="Z236" i="54"/>
  <c r="Z197" i="54"/>
  <c r="W197" i="54"/>
  <c r="X197" i="54" s="1"/>
  <c r="Y197" i="54" s="1"/>
  <c r="AA197" i="54" s="1"/>
  <c r="W67" i="54"/>
  <c r="Z67" i="54"/>
  <c r="AT53" i="54"/>
  <c r="AQ53" i="54"/>
  <c r="AT118" i="54"/>
  <c r="AQ118" i="54"/>
  <c r="AR118" i="54" s="1"/>
  <c r="AS118" i="54" s="1"/>
  <c r="AU118" i="54" s="1"/>
  <c r="AT105" i="54"/>
  <c r="AQ105" i="54"/>
  <c r="AR105" i="54" s="1"/>
  <c r="AS105" i="54" s="1"/>
  <c r="AU105" i="54" s="1"/>
  <c r="AT157" i="54"/>
  <c r="AQ157" i="54"/>
  <c r="AR157" i="54" s="1"/>
  <c r="AS157" i="54" s="1"/>
  <c r="AU157" i="54" s="1"/>
  <c r="AT274" i="54"/>
  <c r="AQ274" i="54"/>
  <c r="AT222" i="54"/>
  <c r="AQ222" i="54"/>
  <c r="AT365" i="54"/>
  <c r="AQ365" i="54"/>
  <c r="BD133" i="54"/>
  <c r="BA133" i="54"/>
  <c r="BD237" i="54"/>
  <c r="BA237" i="54"/>
  <c r="BB237" i="54" s="1"/>
  <c r="BC237" i="54" s="1"/>
  <c r="BE237" i="54" s="1"/>
  <c r="BD380" i="54"/>
  <c r="BA380" i="54"/>
  <c r="BB380" i="54" s="1"/>
  <c r="BC380" i="54" s="1"/>
  <c r="BE380" i="54" s="1"/>
  <c r="BD42" i="54"/>
  <c r="BA42" i="54"/>
  <c r="BB42" i="54" s="1"/>
  <c r="BC42" i="54" s="1"/>
  <c r="BE42" i="54" s="1"/>
  <c r="BD393" i="54"/>
  <c r="BA393" i="54"/>
  <c r="BB393" i="54" s="1"/>
  <c r="BC393" i="54" s="1"/>
  <c r="BD224" i="54"/>
  <c r="BA224" i="54"/>
  <c r="BB224" i="54" s="1"/>
  <c r="BC224" i="54" s="1"/>
  <c r="BE224" i="54" s="1"/>
  <c r="BD341" i="54"/>
  <c r="BA341" i="54"/>
  <c r="BD315" i="54"/>
  <c r="BA315" i="54"/>
  <c r="BB315" i="54" s="1"/>
  <c r="BC315" i="54" s="1"/>
  <c r="BE315" i="54" s="1"/>
  <c r="P255" i="54"/>
  <c r="M255" i="54"/>
  <c r="P294" i="54"/>
  <c r="M294" i="54"/>
  <c r="M242" i="54"/>
  <c r="N242" i="54" s="1"/>
  <c r="O242" i="54" s="1"/>
  <c r="Q242" i="54" s="1"/>
  <c r="P242" i="54"/>
  <c r="P398" i="54"/>
  <c r="M398" i="54"/>
  <c r="AT107" i="54"/>
  <c r="AQ107" i="54"/>
  <c r="AR107" i="54" s="1"/>
  <c r="AS107" i="54" s="1"/>
  <c r="AU107" i="54" s="1"/>
  <c r="AT68" i="54"/>
  <c r="AQ68" i="54"/>
  <c r="AR68" i="54" s="1"/>
  <c r="AS68" i="54" s="1"/>
  <c r="AU68" i="54" s="1"/>
  <c r="AT237" i="54"/>
  <c r="AQ237" i="54"/>
  <c r="AR237" i="54" s="1"/>
  <c r="AS237" i="54" s="1"/>
  <c r="AU237" i="54" s="1"/>
  <c r="AT341" i="54"/>
  <c r="AQ341" i="54"/>
  <c r="AR341" i="54" s="1"/>
  <c r="AS341" i="54" s="1"/>
  <c r="AU341" i="54" s="1"/>
  <c r="AT393" i="54"/>
  <c r="AQ393" i="54"/>
  <c r="AR393" i="54" s="1"/>
  <c r="AS393" i="54" s="1"/>
  <c r="AQ315" i="54"/>
  <c r="AR315" i="54" s="1"/>
  <c r="AS315" i="54" s="1"/>
  <c r="AU315" i="54" s="1"/>
  <c r="AT315" i="54"/>
  <c r="AT211" i="54"/>
  <c r="AQ211" i="54"/>
  <c r="AR211" i="54" s="1"/>
  <c r="AS211" i="54" s="1"/>
  <c r="AU211" i="54" s="1"/>
  <c r="AT354" i="54"/>
  <c r="AQ354" i="54"/>
  <c r="AR354" i="54" s="1"/>
  <c r="AS354" i="54" s="1"/>
  <c r="AU354" i="54" s="1"/>
  <c r="AG181" i="54"/>
  <c r="AJ181" i="54"/>
  <c r="AG194" i="54"/>
  <c r="AH194" i="54" s="1"/>
  <c r="AI194" i="54" s="1"/>
  <c r="AK194" i="54" s="1"/>
  <c r="AJ194" i="54"/>
  <c r="AG311" i="54"/>
  <c r="AH311" i="54" s="1"/>
  <c r="AI311" i="54" s="1"/>
  <c r="AK311" i="54" s="1"/>
  <c r="AJ311" i="54"/>
  <c r="AG246" i="54"/>
  <c r="AH246" i="54" s="1"/>
  <c r="AI246" i="54" s="1"/>
  <c r="AK246" i="54" s="1"/>
  <c r="AJ246" i="54"/>
  <c r="AJ324" i="54"/>
  <c r="AG324" i="54"/>
  <c r="AH324" i="54" s="1"/>
  <c r="AI324" i="54" s="1"/>
  <c r="AK324" i="54" s="1"/>
  <c r="AG64" i="54"/>
  <c r="AH64" i="54" s="1"/>
  <c r="AI64" i="54" s="1"/>
  <c r="AK64" i="54" s="1"/>
  <c r="AJ64" i="54"/>
  <c r="AG168" i="54"/>
  <c r="AJ168" i="54"/>
  <c r="BD101" i="54"/>
  <c r="BA101" i="54"/>
  <c r="BB101" i="54" s="1"/>
  <c r="BC101" i="54" s="1"/>
  <c r="BE101" i="54" s="1"/>
  <c r="BD348" i="54"/>
  <c r="BA348" i="54"/>
  <c r="BB348" i="54" s="1"/>
  <c r="BC348" i="54" s="1"/>
  <c r="BD309" i="54"/>
  <c r="BA309" i="54"/>
  <c r="BB309" i="54" s="1"/>
  <c r="BC309" i="54" s="1"/>
  <c r="BE309" i="54" s="1"/>
  <c r="BD270" i="54"/>
  <c r="BA270" i="54"/>
  <c r="BB270" i="54" s="1"/>
  <c r="BC270" i="54" s="1"/>
  <c r="BE270" i="54" s="1"/>
  <c r="BD322" i="54"/>
  <c r="BA322" i="54"/>
  <c r="BD179" i="54"/>
  <c r="BA179" i="54"/>
  <c r="BD140" i="54"/>
  <c r="BA140" i="54"/>
  <c r="BB140" i="54" s="1"/>
  <c r="BC140" i="54" s="1"/>
  <c r="BE140" i="54" s="1"/>
  <c r="AT82" i="54"/>
  <c r="AQ82" i="54"/>
  <c r="AR82" i="54" s="1"/>
  <c r="AS82" i="54" s="1"/>
  <c r="AU82" i="54" s="1"/>
  <c r="AT303" i="54"/>
  <c r="AQ303" i="54"/>
  <c r="AT251" i="54"/>
  <c r="AQ251" i="54"/>
  <c r="AR251" i="54" s="1"/>
  <c r="AS251" i="54" s="1"/>
  <c r="AT30" i="54"/>
  <c r="AQ30" i="54"/>
  <c r="AR30" i="54" s="1"/>
  <c r="AS30" i="54" s="1"/>
  <c r="AU30" i="54" s="1"/>
  <c r="AT290" i="54"/>
  <c r="AQ290" i="54"/>
  <c r="AT225" i="54"/>
  <c r="AQ225" i="54"/>
  <c r="AR225" i="54" s="1"/>
  <c r="AS225" i="54" s="1"/>
  <c r="AU225" i="54" s="1"/>
  <c r="AT186" i="54"/>
  <c r="AQ186" i="54"/>
  <c r="AR186" i="54" s="1"/>
  <c r="AS186" i="54" s="1"/>
  <c r="AU186" i="54" s="1"/>
  <c r="AT264" i="54"/>
  <c r="AQ264" i="54"/>
  <c r="AT49" i="54"/>
  <c r="AQ49" i="54"/>
  <c r="AR49" i="54" s="1"/>
  <c r="AS49" i="54" s="1"/>
  <c r="AU49" i="54" s="1"/>
  <c r="AT179" i="54"/>
  <c r="AQ179" i="54"/>
  <c r="AR179" i="54" s="1"/>
  <c r="AS179" i="54" s="1"/>
  <c r="AU179" i="54" s="1"/>
  <c r="AT23" i="54"/>
  <c r="AQ23" i="54"/>
  <c r="AR23" i="54" s="1"/>
  <c r="AS23" i="54" s="1"/>
  <c r="AU23" i="54" s="1"/>
  <c r="AT309" i="54"/>
  <c r="AQ309" i="54"/>
  <c r="AQ335" i="54"/>
  <c r="AR335" i="54" s="1"/>
  <c r="AS335" i="54" s="1"/>
  <c r="AU335" i="54" s="1"/>
  <c r="AT335" i="54"/>
  <c r="AT205" i="54"/>
  <c r="AQ205" i="54"/>
  <c r="AT374" i="54"/>
  <c r="AQ374" i="54"/>
  <c r="AT244" i="54"/>
  <c r="AQ244" i="54"/>
  <c r="W129" i="54"/>
  <c r="X129" i="54" s="1"/>
  <c r="Y129" i="54" s="1"/>
  <c r="AA129" i="54" s="1"/>
  <c r="Z129" i="54"/>
  <c r="Z311" i="54"/>
  <c r="W311" i="54"/>
  <c r="X311" i="54" s="1"/>
  <c r="Y311" i="54" s="1"/>
  <c r="AA311" i="54" s="1"/>
  <c r="W285" i="54"/>
  <c r="X285" i="54" s="1"/>
  <c r="Y285" i="54" s="1"/>
  <c r="AA285" i="54" s="1"/>
  <c r="Z285" i="54"/>
  <c r="W142" i="54"/>
  <c r="Z142" i="54"/>
  <c r="W103" i="54"/>
  <c r="X103" i="54" s="1"/>
  <c r="Y103" i="54" s="1"/>
  <c r="AA103" i="54" s="1"/>
  <c r="Z103" i="54"/>
  <c r="Z181" i="54"/>
  <c r="W181" i="54"/>
  <c r="X181" i="54" s="1"/>
  <c r="Y181" i="54" s="1"/>
  <c r="AA181" i="54" s="1"/>
  <c r="W383" i="54"/>
  <c r="X383" i="54" s="1"/>
  <c r="Y383" i="54" s="1"/>
  <c r="AA383" i="54" s="1"/>
  <c r="Z383" i="54"/>
  <c r="Z58" i="54"/>
  <c r="W58" i="54"/>
  <c r="W175" i="54"/>
  <c r="X175" i="54" s="1"/>
  <c r="Y175" i="54" s="1"/>
  <c r="AA175" i="54" s="1"/>
  <c r="Z175" i="54"/>
  <c r="W214" i="54"/>
  <c r="X214" i="54" s="1"/>
  <c r="Y214" i="54" s="1"/>
  <c r="AA214" i="54" s="1"/>
  <c r="Z214" i="54"/>
  <c r="W136" i="54"/>
  <c r="Z136" i="54"/>
  <c r="Z253" i="54"/>
  <c r="W253" i="54"/>
  <c r="X253" i="54" s="1"/>
  <c r="Y253" i="54" s="1"/>
  <c r="AA253" i="54" s="1"/>
  <c r="W318" i="54"/>
  <c r="X318" i="54" s="1"/>
  <c r="Y318" i="54" s="1"/>
  <c r="AA318" i="54" s="1"/>
  <c r="Z318" i="54"/>
  <c r="AG86" i="54"/>
  <c r="AJ86" i="54"/>
  <c r="AJ151" i="54"/>
  <c r="AG151" i="54"/>
  <c r="AH151" i="54" s="1"/>
  <c r="AI151" i="54" s="1"/>
  <c r="AK151" i="54" s="1"/>
  <c r="AG21" i="54"/>
  <c r="AH21" i="54" s="1"/>
  <c r="AI21" i="54" s="1"/>
  <c r="AK21" i="54" s="1"/>
  <c r="AJ21" i="54"/>
  <c r="AG346" i="54"/>
  <c r="AH346" i="54" s="1"/>
  <c r="AI346" i="54" s="1"/>
  <c r="AK346" i="54" s="1"/>
  <c r="AJ346" i="54"/>
  <c r="AG164" i="54"/>
  <c r="AH164" i="54" s="1"/>
  <c r="AI164" i="54" s="1"/>
  <c r="AK164" i="54" s="1"/>
  <c r="AJ164" i="54"/>
  <c r="AG294" i="54"/>
  <c r="AH294" i="54" s="1"/>
  <c r="AI294" i="54" s="1"/>
  <c r="AK294" i="54" s="1"/>
  <c r="AJ294" i="54"/>
  <c r="AG177" i="54"/>
  <c r="AJ177" i="54"/>
  <c r="BA47" i="54"/>
  <c r="BB47" i="54" s="1"/>
  <c r="BC47" i="54" s="1"/>
  <c r="BE47" i="54" s="1"/>
  <c r="BD47" i="54"/>
  <c r="BD294" i="54"/>
  <c r="BA294" i="54"/>
  <c r="BD125" i="54"/>
  <c r="BA125" i="54"/>
  <c r="BB125" i="54" s="1"/>
  <c r="BC125" i="54" s="1"/>
  <c r="BE125" i="54" s="1"/>
  <c r="BA190" i="54"/>
  <c r="BB190" i="54" s="1"/>
  <c r="BC190" i="54" s="1"/>
  <c r="BE190" i="54" s="1"/>
  <c r="BD190" i="54"/>
  <c r="BA21" i="54"/>
  <c r="BB21" i="54" s="1"/>
  <c r="BC21" i="54" s="1"/>
  <c r="BE21" i="54" s="1"/>
  <c r="BD21" i="54"/>
  <c r="BD177" i="54"/>
  <c r="BA177" i="54"/>
  <c r="BD86" i="54"/>
  <c r="BA86" i="54"/>
  <c r="BB86" i="54" s="1"/>
  <c r="BC86" i="54" s="1"/>
  <c r="BE86" i="54" s="1"/>
  <c r="BD307" i="54"/>
  <c r="BA307" i="54"/>
  <c r="BB307" i="54" s="1"/>
  <c r="BC307" i="54" s="1"/>
  <c r="AT389" i="54"/>
  <c r="AQ389" i="54"/>
  <c r="AT142" i="54"/>
  <c r="AQ142" i="54"/>
  <c r="AR142" i="54" s="1"/>
  <c r="AS142" i="54" s="1"/>
  <c r="AU142" i="54" s="1"/>
  <c r="AT259" i="54"/>
  <c r="AQ259" i="54"/>
  <c r="AQ337" i="54"/>
  <c r="AR337" i="54" s="1"/>
  <c r="AS337" i="54" s="1"/>
  <c r="AU337" i="54" s="1"/>
  <c r="AT337" i="54"/>
  <c r="AT233" i="54"/>
  <c r="AQ233" i="54"/>
  <c r="AR233" i="54" s="1"/>
  <c r="AS233" i="54" s="1"/>
  <c r="AT181" i="54"/>
  <c r="AQ181" i="54"/>
  <c r="AR181" i="54" s="1"/>
  <c r="AS181" i="54" s="1"/>
  <c r="AT298" i="54"/>
  <c r="AQ298" i="54"/>
  <c r="AR298" i="54" s="1"/>
  <c r="AS298" i="54" s="1"/>
  <c r="AU298" i="54" s="1"/>
  <c r="P360" i="54"/>
  <c r="M360" i="54"/>
  <c r="P334" i="54"/>
  <c r="M334" i="54"/>
  <c r="N334" i="54" s="1"/>
  <c r="O334" i="54" s="1"/>
  <c r="Q334" i="54" s="1"/>
  <c r="P373" i="54"/>
  <c r="M373" i="54"/>
  <c r="M178" i="54"/>
  <c r="N178" i="54" s="1"/>
  <c r="O178" i="54" s="1"/>
  <c r="Q178" i="54" s="1"/>
  <c r="P178" i="54"/>
  <c r="P386" i="54"/>
  <c r="M386" i="54"/>
  <c r="AG292" i="54"/>
  <c r="AH292" i="54" s="1"/>
  <c r="AI292" i="54" s="1"/>
  <c r="AK292" i="54" s="1"/>
  <c r="AJ292" i="54"/>
  <c r="AG58" i="54"/>
  <c r="AH58" i="54" s="1"/>
  <c r="AI58" i="54" s="1"/>
  <c r="AK58" i="54" s="1"/>
  <c r="AJ58" i="54"/>
  <c r="AG344" i="54"/>
  <c r="AH344" i="54" s="1"/>
  <c r="AI344" i="54" s="1"/>
  <c r="AK344" i="54" s="1"/>
  <c r="AJ344" i="54"/>
  <c r="AG162" i="54"/>
  <c r="AJ162" i="54"/>
  <c r="AG123" i="54"/>
  <c r="AH123" i="54" s="1"/>
  <c r="AI123" i="54" s="1"/>
  <c r="AK123" i="54" s="1"/>
  <c r="AJ123" i="54"/>
  <c r="AG19" i="54"/>
  <c r="AH19" i="54" s="1"/>
  <c r="AI19" i="54" s="1"/>
  <c r="AK19" i="54" s="1"/>
  <c r="AJ19" i="54"/>
  <c r="AG318" i="54"/>
  <c r="AJ318" i="54"/>
  <c r="AT84" i="54"/>
  <c r="AQ84" i="54"/>
  <c r="AR84" i="54" s="1"/>
  <c r="AS84" i="54" s="1"/>
  <c r="AU84" i="54" s="1"/>
  <c r="AT227" i="54"/>
  <c r="AQ227" i="54"/>
  <c r="AT97" i="54"/>
  <c r="AQ97" i="54"/>
  <c r="AR97" i="54" s="1"/>
  <c r="AS97" i="54" s="1"/>
  <c r="AU97" i="54" s="1"/>
  <c r="AT266" i="54"/>
  <c r="AQ266" i="54"/>
  <c r="AT201" i="54"/>
  <c r="AQ201" i="54"/>
  <c r="AT344" i="54"/>
  <c r="AQ344" i="54"/>
  <c r="AT240" i="54"/>
  <c r="AQ240" i="54"/>
  <c r="AG26" i="54"/>
  <c r="AH26" i="54" s="1"/>
  <c r="AI26" i="54" s="1"/>
  <c r="AK26" i="54" s="1"/>
  <c r="AJ26" i="54"/>
  <c r="AG338" i="54"/>
  <c r="AH338" i="54" s="1"/>
  <c r="AI338" i="54" s="1"/>
  <c r="AK338" i="54" s="1"/>
  <c r="AJ338" i="54"/>
  <c r="AG403" i="54"/>
  <c r="AH403" i="54" s="1"/>
  <c r="AI403" i="54" s="1"/>
  <c r="AK403" i="54" s="1"/>
  <c r="AJ403" i="54"/>
  <c r="AG234" i="54"/>
  <c r="AJ234" i="54"/>
  <c r="AG156" i="54"/>
  <c r="AH156" i="54" s="1"/>
  <c r="AI156" i="54" s="1"/>
  <c r="AK156" i="54" s="1"/>
  <c r="AJ156" i="54"/>
  <c r="AG273" i="54"/>
  <c r="AH273" i="54" s="1"/>
  <c r="AI273" i="54" s="1"/>
  <c r="AK273" i="54" s="1"/>
  <c r="AJ273" i="54"/>
  <c r="AG195" i="54"/>
  <c r="AH195" i="54" s="1"/>
  <c r="AI195" i="54" s="1"/>
  <c r="AK195" i="54" s="1"/>
  <c r="AJ195" i="54"/>
  <c r="AG377" i="54"/>
  <c r="AJ377" i="54"/>
  <c r="Z339" i="54"/>
  <c r="W339" i="54"/>
  <c r="X339" i="54" s="1"/>
  <c r="Y339" i="54" s="1"/>
  <c r="AA339" i="54" s="1"/>
  <c r="W53" i="54"/>
  <c r="Z53" i="54"/>
  <c r="W118" i="54"/>
  <c r="Z118" i="54"/>
  <c r="Z131" i="54"/>
  <c r="W131" i="54"/>
  <c r="X131" i="54" s="1"/>
  <c r="Y131" i="54" s="1"/>
  <c r="AA131" i="54" s="1"/>
  <c r="Z157" i="54"/>
  <c r="W157" i="54"/>
  <c r="W27" i="54"/>
  <c r="Z27" i="54"/>
  <c r="Z313" i="54"/>
  <c r="W313" i="54"/>
  <c r="W397" i="54"/>
  <c r="Z397" i="54"/>
  <c r="W111" i="54"/>
  <c r="X111" i="54" s="1"/>
  <c r="Y111" i="54" s="1"/>
  <c r="AA111" i="54" s="1"/>
  <c r="Z111" i="54"/>
  <c r="Z293" i="54"/>
  <c r="W293" i="54"/>
  <c r="Z267" i="54"/>
  <c r="W267" i="54"/>
  <c r="Z124" i="54"/>
  <c r="W124" i="54"/>
  <c r="W202" i="54"/>
  <c r="X202" i="54" s="1"/>
  <c r="Y202" i="54" s="1"/>
  <c r="AA202" i="54" s="1"/>
  <c r="Z202" i="54"/>
  <c r="Z371" i="54"/>
  <c r="W371" i="54"/>
  <c r="X371" i="54" s="1"/>
  <c r="Y371" i="54" s="1"/>
  <c r="AA371" i="54" s="1"/>
  <c r="AJ345" i="54"/>
  <c r="AG345" i="54"/>
  <c r="AH345" i="54" s="1"/>
  <c r="AI345" i="54" s="1"/>
  <c r="AK345" i="54" s="1"/>
  <c r="AG254" i="54"/>
  <c r="AH254" i="54" s="1"/>
  <c r="AI254" i="54" s="1"/>
  <c r="AK254" i="54" s="1"/>
  <c r="AJ254" i="54"/>
  <c r="AG371" i="54"/>
  <c r="AH371" i="54" s="1"/>
  <c r="AI371" i="54" s="1"/>
  <c r="AK371" i="54" s="1"/>
  <c r="AJ371" i="54"/>
  <c r="AG202" i="54"/>
  <c r="AH202" i="54" s="1"/>
  <c r="AI202" i="54" s="1"/>
  <c r="AK202" i="54" s="1"/>
  <c r="AJ202" i="54"/>
  <c r="AG319" i="54"/>
  <c r="AH319" i="54" s="1"/>
  <c r="AI319" i="54" s="1"/>
  <c r="AK319" i="54" s="1"/>
  <c r="AJ319" i="54"/>
  <c r="AG358" i="54"/>
  <c r="AH358" i="54" s="1"/>
  <c r="AI358" i="54" s="1"/>
  <c r="AK358" i="54" s="1"/>
  <c r="AJ358" i="54"/>
  <c r="AG397" i="54"/>
  <c r="AH397" i="54" s="1"/>
  <c r="AI397" i="54" s="1"/>
  <c r="AK397" i="54" s="1"/>
  <c r="AJ397" i="54"/>
  <c r="BD169" i="54"/>
  <c r="BA169" i="54"/>
  <c r="BB169" i="54" s="1"/>
  <c r="BC169" i="54" s="1"/>
  <c r="BE169" i="54" s="1"/>
  <c r="BD312" i="54"/>
  <c r="BA312" i="54"/>
  <c r="BD78" i="54"/>
  <c r="BA78" i="54"/>
  <c r="BB78" i="54" s="1"/>
  <c r="BC78" i="54" s="1"/>
  <c r="BE78" i="54" s="1"/>
  <c r="BD364" i="54"/>
  <c r="BA364" i="54"/>
  <c r="BB364" i="54" s="1"/>
  <c r="BC364" i="54" s="1"/>
  <c r="BD91" i="54"/>
  <c r="BA91" i="54"/>
  <c r="BD156" i="54"/>
  <c r="BA156" i="54"/>
  <c r="BD104" i="54"/>
  <c r="BA104" i="54"/>
  <c r="BB104" i="54" s="1"/>
  <c r="BC104" i="54" s="1"/>
  <c r="BE104" i="54" s="1"/>
  <c r="BD325" i="54"/>
  <c r="BA325" i="54"/>
  <c r="AT156" i="54"/>
  <c r="AQ156" i="54"/>
  <c r="AR156" i="54" s="1"/>
  <c r="AS156" i="54" s="1"/>
  <c r="AU156" i="54" s="1"/>
  <c r="AT39" i="54"/>
  <c r="AQ39" i="54"/>
  <c r="AR39" i="54" s="1"/>
  <c r="AS39" i="54" s="1"/>
  <c r="AU39" i="54" s="1"/>
  <c r="AQ273" i="54"/>
  <c r="AR273" i="54" s="1"/>
  <c r="AS273" i="54" s="1"/>
  <c r="AU273" i="54" s="1"/>
  <c r="AT273" i="54"/>
  <c r="AT195" i="54"/>
  <c r="AQ195" i="54"/>
  <c r="AT143" i="54"/>
  <c r="AQ143" i="54"/>
  <c r="AR143" i="54" s="1"/>
  <c r="AS143" i="54" s="1"/>
  <c r="AU143" i="54" s="1"/>
  <c r="AT351" i="54"/>
  <c r="AQ351" i="54"/>
  <c r="AT247" i="54"/>
  <c r="AQ247" i="54"/>
  <c r="AR247" i="54" s="1"/>
  <c r="AS247" i="54" s="1"/>
  <c r="AU247" i="54" s="1"/>
  <c r="AT31" i="54"/>
  <c r="AQ31" i="54"/>
  <c r="AR31" i="54" s="1"/>
  <c r="AS31" i="54" s="1"/>
  <c r="AU31" i="54" s="1"/>
  <c r="AT70" i="54"/>
  <c r="AQ70" i="54"/>
  <c r="AR70" i="54" s="1"/>
  <c r="AS70" i="54" s="1"/>
  <c r="AU70" i="54" s="1"/>
  <c r="AT83" i="54"/>
  <c r="AQ83" i="54"/>
  <c r="AR83" i="54" s="1"/>
  <c r="AS83" i="54" s="1"/>
  <c r="AU83" i="54" s="1"/>
  <c r="AT291" i="54"/>
  <c r="AQ291" i="54"/>
  <c r="AR291" i="54" s="1"/>
  <c r="AS291" i="54" s="1"/>
  <c r="AU291" i="54" s="1"/>
  <c r="AT252" i="54"/>
  <c r="AQ252" i="54"/>
  <c r="AT382" i="54"/>
  <c r="AQ382" i="54"/>
  <c r="AQ369" i="54"/>
  <c r="AR369" i="54" s="1"/>
  <c r="AS369" i="54" s="1"/>
  <c r="AU369" i="54" s="1"/>
  <c r="AT369" i="54"/>
  <c r="AT135" i="54"/>
  <c r="AQ135" i="54"/>
  <c r="AR135" i="54" s="1"/>
  <c r="AS135" i="54" s="1"/>
  <c r="AU135" i="54" s="1"/>
  <c r="BD223" i="54"/>
  <c r="BA223" i="54"/>
  <c r="BB223" i="54" s="1"/>
  <c r="BC223" i="54" s="1"/>
  <c r="BE223" i="54" s="1"/>
  <c r="BA28" i="54"/>
  <c r="BB28" i="54" s="1"/>
  <c r="BC28" i="54" s="1"/>
  <c r="BE28" i="54" s="1"/>
  <c r="BD28" i="54"/>
  <c r="BD249" i="54"/>
  <c r="BA249" i="54"/>
  <c r="BB249" i="54" s="1"/>
  <c r="BC249" i="54" s="1"/>
  <c r="BE249" i="54" s="1"/>
  <c r="BD236" i="54"/>
  <c r="BA236" i="54"/>
  <c r="BB236" i="54" s="1"/>
  <c r="BC236" i="54" s="1"/>
  <c r="BD301" i="54"/>
  <c r="BA301" i="54"/>
  <c r="BD197" i="54"/>
  <c r="BA197" i="54"/>
  <c r="BD288" i="54"/>
  <c r="BA288" i="54"/>
  <c r="BB288" i="54" s="1"/>
  <c r="BC288" i="54" s="1"/>
  <c r="BE288" i="54" s="1"/>
  <c r="P378" i="54"/>
  <c r="M378" i="54"/>
  <c r="N378" i="54" s="1"/>
  <c r="O378" i="54" s="1"/>
  <c r="Q378" i="54" s="1"/>
  <c r="P170" i="54"/>
  <c r="M170" i="54"/>
  <c r="P235" i="54"/>
  <c r="M235" i="54"/>
  <c r="P105" i="54"/>
  <c r="M105" i="54"/>
  <c r="N105" i="54" s="1"/>
  <c r="O105" i="54" s="1"/>
  <c r="Q105" i="54" s="1"/>
  <c r="AT50" i="54"/>
  <c r="AQ50" i="54"/>
  <c r="AR50" i="54" s="1"/>
  <c r="AS50" i="54" s="1"/>
  <c r="AU50" i="54" s="1"/>
  <c r="AT245" i="54"/>
  <c r="AQ245" i="54"/>
  <c r="AR245" i="54" s="1"/>
  <c r="AS245" i="54" s="1"/>
  <c r="AU245" i="54" s="1"/>
  <c r="AT284" i="54"/>
  <c r="AQ284" i="54"/>
  <c r="AR284" i="54" s="1"/>
  <c r="AS284" i="54" s="1"/>
  <c r="AU284" i="54" s="1"/>
  <c r="AT219" i="54"/>
  <c r="AQ219" i="54"/>
  <c r="AR219" i="54" s="1"/>
  <c r="AS219" i="54" s="1"/>
  <c r="AU219" i="54" s="1"/>
  <c r="AT388" i="54"/>
  <c r="AQ388" i="54"/>
  <c r="AT167" i="54"/>
  <c r="AQ167" i="54"/>
  <c r="AR167" i="54" s="1"/>
  <c r="AS167" i="54" s="1"/>
  <c r="AU167" i="54" s="1"/>
  <c r="AT206" i="54"/>
  <c r="AQ206" i="54"/>
  <c r="AP23" i="56"/>
  <c r="AM23" i="56"/>
  <c r="AN23" i="56" s="1"/>
  <c r="AO23" i="56" s="1"/>
  <c r="AQ23" i="56" s="1"/>
  <c r="AP62" i="56"/>
  <c r="AM62" i="56"/>
  <c r="AN62" i="56" s="1"/>
  <c r="AO62" i="56" s="1"/>
  <c r="AQ62" i="56" s="1"/>
  <c r="AP192" i="56"/>
  <c r="AM192" i="56"/>
  <c r="AN192" i="56" s="1"/>
  <c r="AO192" i="56" s="1"/>
  <c r="AQ192" i="56" s="1"/>
  <c r="AP140" i="56"/>
  <c r="AM140" i="56"/>
  <c r="AN140" i="56" s="1"/>
  <c r="AO140" i="56" s="1"/>
  <c r="AQ140" i="56" s="1"/>
  <c r="AP153" i="56"/>
  <c r="AM153" i="56"/>
  <c r="AN153" i="56" s="1"/>
  <c r="AO153" i="56" s="1"/>
  <c r="AQ153" i="56" s="1"/>
  <c r="AA153" i="56"/>
  <c r="AB153" i="56" s="1"/>
  <c r="AC153" i="56" s="1"/>
  <c r="AE153" i="56" s="1"/>
  <c r="AD153" i="56"/>
  <c r="AD101" i="56"/>
  <c r="AA101" i="56"/>
  <c r="AB101" i="56" s="1"/>
  <c r="AC101" i="56" s="1"/>
  <c r="AE101" i="56" s="1"/>
  <c r="AD179" i="56"/>
  <c r="AA179" i="56"/>
  <c r="AB179" i="56" s="1"/>
  <c r="AC179" i="56" s="1"/>
  <c r="AE179" i="56" s="1"/>
  <c r="AD296" i="56"/>
  <c r="AA296" i="56"/>
  <c r="AD270" i="56"/>
  <c r="AA270" i="56"/>
  <c r="AB270" i="56" s="1"/>
  <c r="AC270" i="56" s="1"/>
  <c r="AE270" i="56" s="1"/>
  <c r="AD244" i="56"/>
  <c r="AA244" i="56"/>
  <c r="AB244" i="56" s="1"/>
  <c r="AC244" i="56" s="1"/>
  <c r="AE244" i="56" s="1"/>
  <c r="AD322" i="56"/>
  <c r="AA322" i="56"/>
  <c r="AD38" i="56"/>
  <c r="AA38" i="56"/>
  <c r="AA142" i="56"/>
  <c r="AB142" i="56" s="1"/>
  <c r="AC142" i="56" s="1"/>
  <c r="AE142" i="56" s="1"/>
  <c r="AD142" i="56"/>
  <c r="AD220" i="56"/>
  <c r="AA220" i="56"/>
  <c r="AD298" i="56"/>
  <c r="AA298" i="56"/>
  <c r="AB298" i="56" s="1"/>
  <c r="AC298" i="56" s="1"/>
  <c r="AE298" i="56" s="1"/>
  <c r="AD77" i="56"/>
  <c r="AA77" i="56"/>
  <c r="AB77" i="56" s="1"/>
  <c r="AC77" i="56" s="1"/>
  <c r="AE77" i="56" s="1"/>
  <c r="AD376" i="56"/>
  <c r="AA376" i="56"/>
  <c r="AB376" i="56" s="1"/>
  <c r="AC376" i="56" s="1"/>
  <c r="AE376" i="56" s="1"/>
  <c r="AD25" i="56"/>
  <c r="AA25" i="56"/>
  <c r="AB25" i="56" s="1"/>
  <c r="AC25" i="56" s="1"/>
  <c r="AE25" i="56" s="1"/>
  <c r="AD402" i="56"/>
  <c r="AA402" i="56"/>
  <c r="AB402" i="56" s="1"/>
  <c r="AC402" i="56" s="1"/>
  <c r="AE402" i="56" s="1"/>
  <c r="R251" i="56"/>
  <c r="O251" i="56"/>
  <c r="P251" i="56" s="1"/>
  <c r="Q251" i="56" s="1"/>
  <c r="S251" i="56" s="1"/>
  <c r="R121" i="56"/>
  <c r="O121" i="56"/>
  <c r="P121" i="56" s="1"/>
  <c r="Q121" i="56" s="1"/>
  <c r="S121" i="56" s="1"/>
  <c r="R95" i="56"/>
  <c r="O95" i="56"/>
  <c r="R368" i="56"/>
  <c r="O368" i="56"/>
  <c r="P368" i="56" s="1"/>
  <c r="Q368" i="56" s="1"/>
  <c r="S368" i="56" s="1"/>
  <c r="R134" i="56"/>
  <c r="O134" i="56"/>
  <c r="R394" i="56"/>
  <c r="O394" i="56"/>
  <c r="P394" i="56" s="1"/>
  <c r="Q394" i="56" s="1"/>
  <c r="S394" i="56" s="1"/>
  <c r="R82" i="56"/>
  <c r="O82" i="56"/>
  <c r="P82" i="56" s="1"/>
  <c r="Q82" i="56" s="1"/>
  <c r="S82" i="56" s="1"/>
  <c r="O113" i="56"/>
  <c r="P113" i="56" s="1"/>
  <c r="Q113" i="56" s="1"/>
  <c r="S113" i="56" s="1"/>
  <c r="R113" i="56"/>
  <c r="R178" i="56"/>
  <c r="O178" i="56"/>
  <c r="P178" i="56" s="1"/>
  <c r="Q178" i="56" s="1"/>
  <c r="S178" i="56" s="1"/>
  <c r="R295" i="56"/>
  <c r="O295" i="56"/>
  <c r="R61" i="56"/>
  <c r="O61" i="56"/>
  <c r="R126" i="56"/>
  <c r="O126" i="56"/>
  <c r="R139" i="56"/>
  <c r="O139" i="56"/>
  <c r="P139" i="56" s="1"/>
  <c r="Q139" i="56" s="1"/>
  <c r="S139" i="56" s="1"/>
  <c r="R204" i="56"/>
  <c r="O204" i="56"/>
  <c r="P204" i="56" s="1"/>
  <c r="Q204" i="56" s="1"/>
  <c r="S204" i="56" s="1"/>
  <c r="O334" i="56"/>
  <c r="P334" i="56" s="1"/>
  <c r="Q334" i="56" s="1"/>
  <c r="S334" i="56" s="1"/>
  <c r="R334" i="56"/>
  <c r="O88" i="56"/>
  <c r="P88" i="56" s="1"/>
  <c r="Q88" i="56" s="1"/>
  <c r="S88" i="56" s="1"/>
  <c r="R88" i="56"/>
  <c r="O62" i="56"/>
  <c r="P62" i="56" s="1"/>
  <c r="Q62" i="56" s="1"/>
  <c r="S62" i="56" s="1"/>
  <c r="R62" i="56"/>
  <c r="O36" i="56"/>
  <c r="P36" i="56" s="1"/>
  <c r="Q36" i="56" s="1"/>
  <c r="S36" i="56" s="1"/>
  <c r="R36" i="56"/>
  <c r="R114" i="56"/>
  <c r="O114" i="56"/>
  <c r="R101" i="56"/>
  <c r="O101" i="56"/>
  <c r="P101" i="56" s="1"/>
  <c r="Q101" i="56" s="1"/>
  <c r="S101" i="56" s="1"/>
  <c r="R153" i="56"/>
  <c r="O153" i="56"/>
  <c r="P153" i="56" s="1"/>
  <c r="Q153" i="56" s="1"/>
  <c r="S153" i="56" s="1"/>
  <c r="R23" i="56"/>
  <c r="O23" i="56"/>
  <c r="R374" i="56"/>
  <c r="O374" i="56"/>
  <c r="P374" i="56" s="1"/>
  <c r="Q374" i="56" s="1"/>
  <c r="S374" i="56" s="1"/>
  <c r="AP121" i="56"/>
  <c r="AM121" i="56"/>
  <c r="AN121" i="56" s="1"/>
  <c r="AO121" i="56" s="1"/>
  <c r="AQ121" i="56" s="1"/>
  <c r="AP173" i="56"/>
  <c r="AM173" i="56"/>
  <c r="AN173" i="56" s="1"/>
  <c r="AO173" i="56" s="1"/>
  <c r="AQ173" i="56" s="1"/>
  <c r="AP355" i="56"/>
  <c r="AM355" i="56"/>
  <c r="AN355" i="56" s="1"/>
  <c r="AO355" i="56" s="1"/>
  <c r="AQ355" i="56" s="1"/>
  <c r="AP303" i="56"/>
  <c r="AM303" i="56"/>
  <c r="AP87" i="56"/>
  <c r="AM87" i="56"/>
  <c r="AN87" i="56" s="1"/>
  <c r="AO87" i="56" s="1"/>
  <c r="AQ87" i="56" s="1"/>
  <c r="AP295" i="56"/>
  <c r="AM295" i="56"/>
  <c r="AN295" i="56" s="1"/>
  <c r="AO295" i="56" s="1"/>
  <c r="AQ295" i="56" s="1"/>
  <c r="AP35" i="56"/>
  <c r="AM35" i="56"/>
  <c r="AN35" i="56" s="1"/>
  <c r="AO35" i="56" s="1"/>
  <c r="AQ35" i="56" s="1"/>
  <c r="AP217" i="56"/>
  <c r="AM217" i="56"/>
  <c r="AN217" i="56" s="1"/>
  <c r="AO217" i="56" s="1"/>
  <c r="AQ217" i="56" s="1"/>
  <c r="AP178" i="56"/>
  <c r="AM178" i="56"/>
  <c r="AP308" i="56"/>
  <c r="AM308" i="56"/>
  <c r="AN308" i="56" s="1"/>
  <c r="AO308" i="56" s="1"/>
  <c r="AQ308" i="56" s="1"/>
  <c r="AP256" i="56"/>
  <c r="AM256" i="56"/>
  <c r="AN256" i="56" s="1"/>
  <c r="AO256" i="56" s="1"/>
  <c r="AQ256" i="56" s="1"/>
  <c r="AP334" i="56"/>
  <c r="AM334" i="56"/>
  <c r="AN334" i="56" s="1"/>
  <c r="AO334" i="56" s="1"/>
  <c r="AQ334" i="56" s="1"/>
  <c r="AA123" i="56"/>
  <c r="AB123" i="56" s="1"/>
  <c r="AC123" i="56" s="1"/>
  <c r="AE123" i="56" s="1"/>
  <c r="AD123" i="56"/>
  <c r="AA71" i="56"/>
  <c r="AB71" i="56" s="1"/>
  <c r="AC71" i="56" s="1"/>
  <c r="AE71" i="56" s="1"/>
  <c r="AD71" i="56"/>
  <c r="AD45" i="56"/>
  <c r="AA45" i="56"/>
  <c r="AB45" i="56" s="1"/>
  <c r="AC45" i="56" s="1"/>
  <c r="AE45" i="56" s="1"/>
  <c r="AD162" i="56"/>
  <c r="AA162" i="56"/>
  <c r="AD240" i="56"/>
  <c r="AA240" i="56"/>
  <c r="AB240" i="56" s="1"/>
  <c r="AC240" i="56" s="1"/>
  <c r="AE240" i="56" s="1"/>
  <c r="AD318" i="56"/>
  <c r="AA318" i="56"/>
  <c r="AD292" i="56"/>
  <c r="AA292" i="56"/>
  <c r="R103" i="56"/>
  <c r="O103" i="56"/>
  <c r="P103" i="56" s="1"/>
  <c r="Q103" i="56" s="1"/>
  <c r="S103" i="56" s="1"/>
  <c r="R77" i="56"/>
  <c r="O77" i="56"/>
  <c r="P77" i="56" s="1"/>
  <c r="Q77" i="56" s="1"/>
  <c r="S77" i="56" s="1"/>
  <c r="O155" i="56"/>
  <c r="P155" i="56" s="1"/>
  <c r="Q155" i="56" s="1"/>
  <c r="S155" i="56" s="1"/>
  <c r="R155" i="56"/>
  <c r="R25" i="56"/>
  <c r="O25" i="56"/>
  <c r="P25" i="56" s="1"/>
  <c r="Q25" i="56" s="1"/>
  <c r="S25" i="56" s="1"/>
  <c r="R194" i="56"/>
  <c r="O194" i="56"/>
  <c r="P194" i="56" s="1"/>
  <c r="Q194" i="56" s="1"/>
  <c r="S194" i="56" s="1"/>
  <c r="R64" i="56"/>
  <c r="O64" i="56"/>
  <c r="P64" i="56" s="1"/>
  <c r="Q64" i="56" s="1"/>
  <c r="S64" i="56" s="1"/>
  <c r="R38" i="56"/>
  <c r="O38" i="56"/>
  <c r="P38" i="56" s="1"/>
  <c r="Q38" i="56" s="1"/>
  <c r="S38" i="56" s="1"/>
  <c r="R376" i="56"/>
  <c r="O376" i="56"/>
  <c r="P376" i="56" s="1"/>
  <c r="Q376" i="56" s="1"/>
  <c r="S376" i="56" s="1"/>
  <c r="AD321" i="56"/>
  <c r="AA321" i="56"/>
  <c r="AB321" i="56" s="1"/>
  <c r="AC321" i="56" s="1"/>
  <c r="AE321" i="56" s="1"/>
  <c r="AD61" i="56"/>
  <c r="AA61" i="56"/>
  <c r="AD139" i="56"/>
  <c r="AA139" i="56"/>
  <c r="AB139" i="56" s="1"/>
  <c r="AC139" i="56" s="1"/>
  <c r="AE139" i="56" s="1"/>
  <c r="AD178" i="56"/>
  <c r="AA178" i="56"/>
  <c r="AB178" i="56" s="1"/>
  <c r="AC178" i="56" s="1"/>
  <c r="AE178" i="56" s="1"/>
  <c r="AD48" i="56"/>
  <c r="AA48" i="56"/>
  <c r="AB48" i="56" s="1"/>
  <c r="AC48" i="56" s="1"/>
  <c r="AE48" i="56" s="1"/>
  <c r="AA22" i="56"/>
  <c r="AB22" i="56" s="1"/>
  <c r="AC22" i="56" s="1"/>
  <c r="AE22" i="56" s="1"/>
  <c r="AD22" i="56"/>
  <c r="AD399" i="56"/>
  <c r="AA399" i="56"/>
  <c r="R73" i="56"/>
  <c r="O73" i="56"/>
  <c r="P73" i="56" s="1"/>
  <c r="Q73" i="56" s="1"/>
  <c r="S73" i="56" s="1"/>
  <c r="R398" i="56"/>
  <c r="O398" i="56"/>
  <c r="P398" i="56" s="1"/>
  <c r="Q398" i="56" s="1"/>
  <c r="S398" i="56" s="1"/>
  <c r="O359" i="56"/>
  <c r="P359" i="56" s="1"/>
  <c r="Q359" i="56" s="1"/>
  <c r="S359" i="56" s="1"/>
  <c r="R359" i="56"/>
  <c r="R229" i="56"/>
  <c r="O229" i="56"/>
  <c r="P229" i="56" s="1"/>
  <c r="Q229" i="56" s="1"/>
  <c r="S229" i="56" s="1"/>
  <c r="O203" i="56"/>
  <c r="P203" i="56" s="1"/>
  <c r="Q203" i="56" s="1"/>
  <c r="S203" i="56" s="1"/>
  <c r="R203" i="56"/>
  <c r="R294" i="56"/>
  <c r="O294" i="56"/>
  <c r="P294" i="56" s="1"/>
  <c r="Q294" i="56" s="1"/>
  <c r="S294" i="56" s="1"/>
  <c r="R346" i="56"/>
  <c r="O346" i="56"/>
  <c r="P346" i="56" s="1"/>
  <c r="Q346" i="56" s="1"/>
  <c r="S346" i="56" s="1"/>
  <c r="R320" i="56"/>
  <c r="O320" i="56"/>
  <c r="P320" i="56" s="1"/>
  <c r="Q320" i="56" s="1"/>
  <c r="S320" i="56" s="1"/>
  <c r="AD336" i="56"/>
  <c r="AA336" i="56"/>
  <c r="AB336" i="56" s="1"/>
  <c r="AC336" i="56" s="1"/>
  <c r="AE336" i="56" s="1"/>
  <c r="AD76" i="56"/>
  <c r="AA76" i="56"/>
  <c r="AB76" i="56" s="1"/>
  <c r="AC76" i="56" s="1"/>
  <c r="AE76" i="56" s="1"/>
  <c r="AD154" i="56"/>
  <c r="AA154" i="56"/>
  <c r="AB154" i="56" s="1"/>
  <c r="AC154" i="56" s="1"/>
  <c r="AE154" i="56" s="1"/>
  <c r="AD297" i="56"/>
  <c r="AA297" i="56"/>
  <c r="AB297" i="56" s="1"/>
  <c r="AC297" i="56" s="1"/>
  <c r="AE297" i="56" s="1"/>
  <c r="AD167" i="56"/>
  <c r="AA167" i="56"/>
  <c r="AA37" i="56"/>
  <c r="AB37" i="56" s="1"/>
  <c r="AC37" i="56" s="1"/>
  <c r="AE37" i="56" s="1"/>
  <c r="AD37" i="56"/>
  <c r="AD115" i="56"/>
  <c r="AA115" i="56"/>
  <c r="AB115" i="56" s="1"/>
  <c r="AC115" i="56" s="1"/>
  <c r="AE115" i="56" s="1"/>
  <c r="AP376" i="56"/>
  <c r="AM376" i="56"/>
  <c r="AN376" i="56" s="1"/>
  <c r="AO376" i="56" s="1"/>
  <c r="AQ376" i="56" s="1"/>
  <c r="AP77" i="56"/>
  <c r="AM77" i="56"/>
  <c r="AN77" i="56" s="1"/>
  <c r="AO77" i="56" s="1"/>
  <c r="AQ77" i="56" s="1"/>
  <c r="AP337" i="56"/>
  <c r="AM337" i="56"/>
  <c r="AP402" i="56"/>
  <c r="AM402" i="56"/>
  <c r="AP168" i="56"/>
  <c r="AM168" i="56"/>
  <c r="AD212" i="56"/>
  <c r="AA212" i="56"/>
  <c r="AB212" i="56" s="1"/>
  <c r="AC212" i="56" s="1"/>
  <c r="AE212" i="56" s="1"/>
  <c r="AD290" i="56"/>
  <c r="AA290" i="56"/>
  <c r="AB290" i="56" s="1"/>
  <c r="AC290" i="56" s="1"/>
  <c r="AE290" i="56" s="1"/>
  <c r="AD30" i="56"/>
  <c r="AA30" i="56"/>
  <c r="AB30" i="56" s="1"/>
  <c r="AC30" i="56" s="1"/>
  <c r="AE30" i="56" s="1"/>
  <c r="AD43" i="56"/>
  <c r="AA43" i="56"/>
  <c r="AB43" i="56" s="1"/>
  <c r="AC43" i="56" s="1"/>
  <c r="AE43" i="56" s="1"/>
  <c r="AD121" i="56"/>
  <c r="AA121" i="56"/>
  <c r="AD199" i="56"/>
  <c r="AA199" i="56"/>
  <c r="AB199" i="56" s="1"/>
  <c r="AC199" i="56" s="1"/>
  <c r="AE199" i="56" s="1"/>
  <c r="AA277" i="56"/>
  <c r="AB277" i="56" s="1"/>
  <c r="AC277" i="56" s="1"/>
  <c r="AE277" i="56" s="1"/>
  <c r="AD277" i="56"/>
  <c r="AD34" i="56"/>
  <c r="AA34" i="56"/>
  <c r="AB34" i="56" s="1"/>
  <c r="AC34" i="56" s="1"/>
  <c r="AE34" i="56" s="1"/>
  <c r="AA112" i="56"/>
  <c r="AB112" i="56" s="1"/>
  <c r="AC112" i="56" s="1"/>
  <c r="AE112" i="56" s="1"/>
  <c r="AD112" i="56"/>
  <c r="AD190" i="56"/>
  <c r="AA190" i="56"/>
  <c r="AB190" i="56" s="1"/>
  <c r="AC190" i="56" s="1"/>
  <c r="AE190" i="56" s="1"/>
  <c r="AD268" i="56"/>
  <c r="AA268" i="56"/>
  <c r="AD359" i="56"/>
  <c r="AA359" i="56"/>
  <c r="AD21" i="56"/>
  <c r="AA21" i="56"/>
  <c r="AB21" i="56" s="1"/>
  <c r="AC21" i="56" s="1"/>
  <c r="AE21" i="56" s="1"/>
  <c r="AD372" i="56"/>
  <c r="AA372" i="56"/>
  <c r="AB372" i="56" s="1"/>
  <c r="AC372" i="56" s="1"/>
  <c r="AE372" i="56" s="1"/>
  <c r="AD398" i="56"/>
  <c r="AA398" i="56"/>
  <c r="AB398" i="56" s="1"/>
  <c r="AC398" i="56" s="1"/>
  <c r="AE398" i="56" s="1"/>
  <c r="R232" i="56"/>
  <c r="O232" i="56"/>
  <c r="P232" i="56" s="1"/>
  <c r="Q232" i="56" s="1"/>
  <c r="S232" i="56" s="1"/>
  <c r="O323" i="56"/>
  <c r="P323" i="56" s="1"/>
  <c r="Q323" i="56" s="1"/>
  <c r="S323" i="56" s="1"/>
  <c r="R323" i="56"/>
  <c r="R63" i="56"/>
  <c r="O63" i="56"/>
  <c r="P63" i="56" s="1"/>
  <c r="Q63" i="56" s="1"/>
  <c r="S63" i="56" s="1"/>
  <c r="R76" i="56"/>
  <c r="O76" i="56"/>
  <c r="R141" i="56"/>
  <c r="O141" i="56"/>
  <c r="P141" i="56" s="1"/>
  <c r="Q141" i="56" s="1"/>
  <c r="S141" i="56" s="1"/>
  <c r="R258" i="56"/>
  <c r="O258" i="56"/>
  <c r="P258" i="56" s="1"/>
  <c r="Q258" i="56" s="1"/>
  <c r="S258" i="56" s="1"/>
  <c r="R388" i="56"/>
  <c r="O388" i="56"/>
  <c r="AM76" i="56"/>
  <c r="AN76" i="56" s="1"/>
  <c r="AO76" i="56" s="1"/>
  <c r="AQ76" i="56" s="1"/>
  <c r="AP76" i="56"/>
  <c r="AP401" i="56"/>
  <c r="AM401" i="56"/>
  <c r="AP180" i="56"/>
  <c r="AM180" i="56"/>
  <c r="AN180" i="56" s="1"/>
  <c r="AO180" i="56" s="1"/>
  <c r="AQ180" i="56" s="1"/>
  <c r="AP128" i="56"/>
  <c r="AM128" i="56"/>
  <c r="AN128" i="56" s="1"/>
  <c r="AO128" i="56" s="1"/>
  <c r="AQ128" i="56" s="1"/>
  <c r="AP63" i="56"/>
  <c r="AM63" i="56"/>
  <c r="AN63" i="56" s="1"/>
  <c r="AO63" i="56" s="1"/>
  <c r="AQ63" i="56" s="1"/>
  <c r="AP323" i="56"/>
  <c r="AM323" i="56"/>
  <c r="AP167" i="56"/>
  <c r="AM167" i="56"/>
  <c r="AN167" i="56" s="1"/>
  <c r="AO167" i="56" s="1"/>
  <c r="AQ167" i="56" s="1"/>
  <c r="AP349" i="56"/>
  <c r="AM349" i="56"/>
  <c r="AN349" i="56" s="1"/>
  <c r="AO349" i="56" s="1"/>
  <c r="AQ349" i="56" s="1"/>
  <c r="AD276" i="56"/>
  <c r="AA276" i="56"/>
  <c r="AD250" i="56"/>
  <c r="AA250" i="56"/>
  <c r="AD328" i="56"/>
  <c r="AA328" i="56"/>
  <c r="AB328" i="56" s="1"/>
  <c r="AC328" i="56" s="1"/>
  <c r="AE328" i="56" s="1"/>
  <c r="AA29" i="56"/>
  <c r="AB29" i="56" s="1"/>
  <c r="AC29" i="56" s="1"/>
  <c r="AE29" i="56" s="1"/>
  <c r="AD29" i="56"/>
  <c r="AD107" i="56"/>
  <c r="AA107" i="56"/>
  <c r="AB107" i="56" s="1"/>
  <c r="AC107" i="56" s="1"/>
  <c r="AE107" i="56" s="1"/>
  <c r="AD185" i="56"/>
  <c r="AA185" i="56"/>
  <c r="AB185" i="56" s="1"/>
  <c r="AC185" i="56" s="1"/>
  <c r="AE185" i="56" s="1"/>
  <c r="AD159" i="56"/>
  <c r="AA159" i="56"/>
  <c r="R68" i="56"/>
  <c r="O68" i="56"/>
  <c r="R133" i="56"/>
  <c r="O133" i="56"/>
  <c r="R250" i="56"/>
  <c r="O250" i="56"/>
  <c r="P250" i="56" s="1"/>
  <c r="Q250" i="56" s="1"/>
  <c r="S250" i="56" s="1"/>
  <c r="R16" i="56"/>
  <c r="O16" i="56"/>
  <c r="P16" i="56" s="1"/>
  <c r="Q16" i="56" s="1"/>
  <c r="S16" i="56" s="1"/>
  <c r="R81" i="56"/>
  <c r="O81" i="56"/>
  <c r="P81" i="56" s="1"/>
  <c r="Q81" i="56" s="1"/>
  <c r="S81" i="56" s="1"/>
  <c r="R302" i="56"/>
  <c r="O302" i="56"/>
  <c r="P302" i="56" s="1"/>
  <c r="Q302" i="56" s="1"/>
  <c r="S302" i="56" s="1"/>
  <c r="R341" i="56"/>
  <c r="O341" i="56"/>
  <c r="P341" i="56" s="1"/>
  <c r="Q341" i="56" s="1"/>
  <c r="S341" i="56" s="1"/>
  <c r="R367" i="56"/>
  <c r="O367" i="56"/>
  <c r="P367" i="56" s="1"/>
  <c r="Q367" i="56" s="1"/>
  <c r="S367" i="56" s="1"/>
  <c r="AD306" i="56"/>
  <c r="AA306" i="56"/>
  <c r="AD46" i="56"/>
  <c r="AA46" i="56"/>
  <c r="AB46" i="56" s="1"/>
  <c r="AC46" i="56" s="1"/>
  <c r="AE46" i="56" s="1"/>
  <c r="AD20" i="56"/>
  <c r="AA20" i="56"/>
  <c r="AB20" i="56" s="1"/>
  <c r="AC20" i="56" s="1"/>
  <c r="AE20" i="56" s="1"/>
  <c r="AA59" i="56"/>
  <c r="AB59" i="56" s="1"/>
  <c r="AC59" i="56" s="1"/>
  <c r="AE59" i="56" s="1"/>
  <c r="AD59" i="56"/>
  <c r="AD384" i="56"/>
  <c r="AA384" i="56"/>
  <c r="AD345" i="56"/>
  <c r="AA345" i="56"/>
  <c r="AB345" i="56" s="1"/>
  <c r="AC345" i="56" s="1"/>
  <c r="AE345" i="56" s="1"/>
  <c r="AD85" i="56"/>
  <c r="AA85" i="56"/>
  <c r="AB85" i="56" s="1"/>
  <c r="AC85" i="56" s="1"/>
  <c r="AE85" i="56" s="1"/>
  <c r="AD83" i="56"/>
  <c r="AA83" i="56"/>
  <c r="AB83" i="56" s="1"/>
  <c r="AC83" i="56" s="1"/>
  <c r="AE83" i="56" s="1"/>
  <c r="AD161" i="56"/>
  <c r="AA161" i="56"/>
  <c r="AB161" i="56" s="1"/>
  <c r="AC161" i="56" s="1"/>
  <c r="AE161" i="56" s="1"/>
  <c r="AD239" i="56"/>
  <c r="AA239" i="56"/>
  <c r="AD213" i="56"/>
  <c r="AA213" i="56"/>
  <c r="AD252" i="56"/>
  <c r="AA252" i="56"/>
  <c r="AB252" i="56" s="1"/>
  <c r="AC252" i="56" s="1"/>
  <c r="AE252" i="56" s="1"/>
  <c r="AD330" i="56"/>
  <c r="AA330" i="56"/>
  <c r="AD70" i="56"/>
  <c r="AA70" i="56"/>
  <c r="AB70" i="56" s="1"/>
  <c r="AC70" i="56" s="1"/>
  <c r="AE70" i="56" s="1"/>
  <c r="AA369" i="56"/>
  <c r="AB369" i="56" s="1"/>
  <c r="AC369" i="56" s="1"/>
  <c r="AE369" i="56" s="1"/>
  <c r="AD369" i="56"/>
  <c r="R326" i="56"/>
  <c r="O326" i="56"/>
  <c r="R313" i="56"/>
  <c r="AR313" i="56" s="1"/>
  <c r="O313" i="56"/>
  <c r="P313" i="56" s="1"/>
  <c r="Q313" i="56" s="1"/>
  <c r="S313" i="56" s="1"/>
  <c r="R209" i="56"/>
  <c r="O209" i="56"/>
  <c r="P209" i="56" s="1"/>
  <c r="Q209" i="56" s="1"/>
  <c r="S209" i="56" s="1"/>
  <c r="R352" i="56"/>
  <c r="O352" i="56"/>
  <c r="R235" i="56"/>
  <c r="O235" i="56"/>
  <c r="P235" i="56" s="1"/>
  <c r="Q235" i="56" s="1"/>
  <c r="S235" i="56" s="1"/>
  <c r="R287" i="56"/>
  <c r="O287" i="56"/>
  <c r="R365" i="56"/>
  <c r="O365" i="56"/>
  <c r="P365" i="56" s="1"/>
  <c r="Q365" i="56" s="1"/>
  <c r="S365" i="56" s="1"/>
  <c r="AD53" i="56"/>
  <c r="AA53" i="56"/>
  <c r="AA157" i="56"/>
  <c r="AB157" i="56" s="1"/>
  <c r="AC157" i="56" s="1"/>
  <c r="AE157" i="56" s="1"/>
  <c r="AD157" i="56"/>
  <c r="AD235" i="56"/>
  <c r="AA235" i="56"/>
  <c r="AD378" i="56"/>
  <c r="AA378" i="56"/>
  <c r="AD92" i="56"/>
  <c r="AA92" i="56"/>
  <c r="AB92" i="56" s="1"/>
  <c r="AC92" i="56" s="1"/>
  <c r="AE92" i="56" s="1"/>
  <c r="AD66" i="56"/>
  <c r="AA66" i="56"/>
  <c r="AD40" i="56"/>
  <c r="AA40" i="56"/>
  <c r="AB40" i="56" s="1"/>
  <c r="AC40" i="56" s="1"/>
  <c r="AE40" i="56" s="1"/>
  <c r="AD391" i="56"/>
  <c r="AA391" i="56"/>
  <c r="R98" i="56"/>
  <c r="O98" i="56"/>
  <c r="P98" i="56" s="1"/>
  <c r="Q98" i="56" s="1"/>
  <c r="S98" i="56" s="1"/>
  <c r="R163" i="56"/>
  <c r="O163" i="56"/>
  <c r="P163" i="56" s="1"/>
  <c r="Q163" i="56" s="1"/>
  <c r="S163" i="56" s="1"/>
  <c r="R176" i="56"/>
  <c r="O176" i="56"/>
  <c r="P176" i="56" s="1"/>
  <c r="Q176" i="56" s="1"/>
  <c r="S176" i="56" s="1"/>
  <c r="R241" i="56"/>
  <c r="O241" i="56"/>
  <c r="R358" i="56"/>
  <c r="O358" i="56"/>
  <c r="P358" i="56" s="1"/>
  <c r="Q358" i="56" s="1"/>
  <c r="S358" i="56" s="1"/>
  <c r="O124" i="56"/>
  <c r="P124" i="56" s="1"/>
  <c r="Q124" i="56" s="1"/>
  <c r="S124" i="56" s="1"/>
  <c r="R124" i="56"/>
  <c r="R189" i="56"/>
  <c r="O189" i="56"/>
  <c r="P189" i="56" s="1"/>
  <c r="Q189" i="56" s="1"/>
  <c r="S189" i="56" s="1"/>
  <c r="R371" i="56"/>
  <c r="O371" i="56"/>
  <c r="P371" i="56" s="1"/>
  <c r="Q371" i="56" s="1"/>
  <c r="S371" i="56" s="1"/>
  <c r="AP221" i="56"/>
  <c r="AM221" i="56"/>
  <c r="AP195" i="56"/>
  <c r="AM195" i="56"/>
  <c r="AN195" i="56" s="1"/>
  <c r="AO195" i="56" s="1"/>
  <c r="AQ195" i="56" s="1"/>
  <c r="AP273" i="56"/>
  <c r="AM273" i="56"/>
  <c r="AN273" i="56" s="1"/>
  <c r="AO273" i="56" s="1"/>
  <c r="AQ273" i="56" s="1"/>
  <c r="AP377" i="56"/>
  <c r="AM377" i="56"/>
  <c r="AP130" i="56"/>
  <c r="AM130" i="56"/>
  <c r="AN130" i="56" s="1"/>
  <c r="AO130" i="56" s="1"/>
  <c r="AQ130" i="56" s="1"/>
  <c r="AP312" i="56"/>
  <c r="AM312" i="56"/>
  <c r="AP156" i="56"/>
  <c r="AM156" i="56"/>
  <c r="AN156" i="56" s="1"/>
  <c r="AO156" i="56" s="1"/>
  <c r="AQ156" i="56" s="1"/>
  <c r="AP314" i="56"/>
  <c r="AM314" i="56"/>
  <c r="AN314" i="56" s="1"/>
  <c r="AO314" i="56" s="1"/>
  <c r="AQ314" i="56" s="1"/>
  <c r="AP340" i="56"/>
  <c r="AM340" i="56"/>
  <c r="AN340" i="56" s="1"/>
  <c r="AO340" i="56" s="1"/>
  <c r="AQ340" i="56" s="1"/>
  <c r="AP28" i="56"/>
  <c r="AM28" i="56"/>
  <c r="AN28" i="56" s="1"/>
  <c r="AO28" i="56" s="1"/>
  <c r="AQ28" i="56" s="1"/>
  <c r="AP158" i="56"/>
  <c r="AM158" i="56"/>
  <c r="AN158" i="56" s="1"/>
  <c r="AO158" i="56" s="1"/>
  <c r="AQ158" i="56" s="1"/>
  <c r="AP145" i="56"/>
  <c r="AM145" i="56"/>
  <c r="AN145" i="56" s="1"/>
  <c r="AO145" i="56" s="1"/>
  <c r="AQ145" i="56" s="1"/>
  <c r="AP327" i="56"/>
  <c r="AM327" i="56"/>
  <c r="AN327" i="56" s="1"/>
  <c r="AO327" i="56" s="1"/>
  <c r="AQ327" i="56" s="1"/>
  <c r="AP301" i="56"/>
  <c r="AM301" i="56"/>
  <c r="AN301" i="56" s="1"/>
  <c r="AO301" i="56" s="1"/>
  <c r="AQ301" i="56" s="1"/>
  <c r="AP19" i="56"/>
  <c r="AM19" i="56"/>
  <c r="AN19" i="56" s="1"/>
  <c r="AO19" i="56" s="1"/>
  <c r="AQ19" i="56" s="1"/>
  <c r="AP32" i="56"/>
  <c r="AM32" i="56"/>
  <c r="AN32" i="56" s="1"/>
  <c r="AO32" i="56" s="1"/>
  <c r="AQ32" i="56" s="1"/>
  <c r="AP292" i="56"/>
  <c r="AM292" i="56"/>
  <c r="AP344" i="56"/>
  <c r="AM344" i="56"/>
  <c r="AN344" i="56" s="1"/>
  <c r="AO344" i="56" s="1"/>
  <c r="AQ344" i="56" s="1"/>
  <c r="AP227" i="56"/>
  <c r="AM227" i="56"/>
  <c r="AN227" i="56" s="1"/>
  <c r="AO227" i="56" s="1"/>
  <c r="AQ227" i="56" s="1"/>
  <c r="AP73" i="56"/>
  <c r="AM73" i="56"/>
  <c r="AN73" i="56" s="1"/>
  <c r="AO73" i="56" s="1"/>
  <c r="AQ73" i="56" s="1"/>
  <c r="AP203" i="56"/>
  <c r="AM203" i="56"/>
  <c r="AN203" i="56" s="1"/>
  <c r="AO203" i="56" s="1"/>
  <c r="AQ203" i="56" s="1"/>
  <c r="AP281" i="56"/>
  <c r="AM281" i="56"/>
  <c r="AP229" i="56"/>
  <c r="AM229" i="56"/>
  <c r="AN229" i="56" s="1"/>
  <c r="AO229" i="56" s="1"/>
  <c r="AQ229" i="56" s="1"/>
  <c r="AP138" i="56"/>
  <c r="AM138" i="56"/>
  <c r="AN138" i="56" s="1"/>
  <c r="AO138" i="56" s="1"/>
  <c r="AQ138" i="56" s="1"/>
  <c r="AP250" i="56"/>
  <c r="AM250" i="56"/>
  <c r="AP120" i="56"/>
  <c r="AM120" i="56"/>
  <c r="AN120" i="56" s="1"/>
  <c r="AO120" i="56" s="1"/>
  <c r="AQ120" i="56" s="1"/>
  <c r="AP380" i="56"/>
  <c r="AM380" i="56"/>
  <c r="AP42" i="56"/>
  <c r="AM42" i="56"/>
  <c r="AN42" i="56" s="1"/>
  <c r="AO42" i="56" s="1"/>
  <c r="AQ42" i="56" s="1"/>
  <c r="AP55" i="56"/>
  <c r="AM55" i="56"/>
  <c r="AP237" i="56"/>
  <c r="AM237" i="56"/>
  <c r="AP315" i="56"/>
  <c r="AM315" i="56"/>
  <c r="AN315" i="56" s="1"/>
  <c r="AO315" i="56" s="1"/>
  <c r="AQ315" i="56" s="1"/>
  <c r="AP161" i="56"/>
  <c r="AM161" i="56"/>
  <c r="AP135" i="56"/>
  <c r="AM135" i="56"/>
  <c r="AN135" i="56" s="1"/>
  <c r="AO135" i="56" s="1"/>
  <c r="AQ135" i="56" s="1"/>
  <c r="AP213" i="56"/>
  <c r="AM213" i="56"/>
  <c r="AP187" i="56"/>
  <c r="AM187" i="56"/>
  <c r="AN187" i="56" s="1"/>
  <c r="AO187" i="56" s="1"/>
  <c r="AQ187" i="56" s="1"/>
  <c r="AP148" i="56"/>
  <c r="AM148" i="56"/>
  <c r="AN148" i="56" s="1"/>
  <c r="AO148" i="56" s="1"/>
  <c r="AQ148" i="56" s="1"/>
  <c r="AP356" i="56"/>
  <c r="AM356" i="56"/>
  <c r="AN356" i="56" s="1"/>
  <c r="AO356" i="56" s="1"/>
  <c r="AQ356" i="56" s="1"/>
  <c r="AP96" i="56"/>
  <c r="AM96" i="56"/>
  <c r="AN96" i="56" s="1"/>
  <c r="AO96" i="56" s="1"/>
  <c r="AQ96" i="56" s="1"/>
  <c r="AD28" i="56"/>
  <c r="AA28" i="56"/>
  <c r="AD132" i="56"/>
  <c r="AA132" i="56"/>
  <c r="AB132" i="56" s="1"/>
  <c r="AC132" i="56" s="1"/>
  <c r="AE132" i="56" s="1"/>
  <c r="AD106" i="56"/>
  <c r="AA106" i="56"/>
  <c r="AB106" i="56" s="1"/>
  <c r="AC106" i="56" s="1"/>
  <c r="AE106" i="56" s="1"/>
  <c r="AD184" i="56"/>
  <c r="AA184" i="56"/>
  <c r="AD327" i="56"/>
  <c r="AA327" i="56"/>
  <c r="AD405" i="56"/>
  <c r="AA405" i="56"/>
  <c r="AD379" i="56"/>
  <c r="AA379" i="56"/>
  <c r="AD353" i="56"/>
  <c r="AA353" i="56"/>
  <c r="AB353" i="56" s="1"/>
  <c r="AC353" i="56" s="1"/>
  <c r="AE353" i="56" s="1"/>
  <c r="AP176" i="56"/>
  <c r="AM176" i="56"/>
  <c r="AN176" i="56" s="1"/>
  <c r="AO176" i="56" s="1"/>
  <c r="AQ176" i="56" s="1"/>
  <c r="AM33" i="56"/>
  <c r="AN33" i="56" s="1"/>
  <c r="AO33" i="56" s="1"/>
  <c r="AQ33" i="56" s="1"/>
  <c r="AP33" i="56"/>
  <c r="AP20" i="56"/>
  <c r="AM20" i="56"/>
  <c r="AN20" i="56" s="1"/>
  <c r="AO20" i="56" s="1"/>
  <c r="AQ20" i="56" s="1"/>
  <c r="AP124" i="56"/>
  <c r="AM124" i="56"/>
  <c r="AP397" i="56"/>
  <c r="AM397" i="56"/>
  <c r="AN397" i="56" s="1"/>
  <c r="AO397" i="56" s="1"/>
  <c r="AQ397" i="56" s="1"/>
  <c r="AP189" i="56"/>
  <c r="AM189" i="56"/>
  <c r="AN189" i="56" s="1"/>
  <c r="AO189" i="56" s="1"/>
  <c r="AQ189" i="56" s="1"/>
  <c r="AP241" i="56"/>
  <c r="AM241" i="56"/>
  <c r="AP319" i="56"/>
  <c r="AM319" i="56"/>
  <c r="AD247" i="56"/>
  <c r="AA247" i="56"/>
  <c r="AB247" i="56" s="1"/>
  <c r="AC247" i="56" s="1"/>
  <c r="AE247" i="56" s="1"/>
  <c r="AD325" i="56"/>
  <c r="AA325" i="56"/>
  <c r="AB325" i="56" s="1"/>
  <c r="AC325" i="56" s="1"/>
  <c r="AE325" i="56" s="1"/>
  <c r="AD65" i="56"/>
  <c r="AA65" i="56"/>
  <c r="AB65" i="56" s="1"/>
  <c r="AC65" i="56" s="1"/>
  <c r="AE65" i="56" s="1"/>
  <c r="AA208" i="56"/>
  <c r="AB208" i="56" s="1"/>
  <c r="AC208" i="56" s="1"/>
  <c r="AE208" i="56" s="1"/>
  <c r="AD208" i="56"/>
  <c r="AD286" i="56"/>
  <c r="AA286" i="56"/>
  <c r="AB286" i="56" s="1"/>
  <c r="AC286" i="56" s="1"/>
  <c r="AE286" i="56" s="1"/>
  <c r="AD260" i="56"/>
  <c r="AA260" i="56"/>
  <c r="AA234" i="56"/>
  <c r="AB234" i="56" s="1"/>
  <c r="AC234" i="56" s="1"/>
  <c r="AE234" i="56" s="1"/>
  <c r="AD234" i="56"/>
  <c r="AP40" i="56"/>
  <c r="AM40" i="56"/>
  <c r="AN40" i="56" s="1"/>
  <c r="AO40" i="56" s="1"/>
  <c r="AQ40" i="56" s="1"/>
  <c r="AP144" i="56"/>
  <c r="AM144" i="56"/>
  <c r="AN144" i="56" s="1"/>
  <c r="AO144" i="56" s="1"/>
  <c r="AQ144" i="56" s="1"/>
  <c r="AP326" i="56"/>
  <c r="AM326" i="56"/>
  <c r="AN326" i="56" s="1"/>
  <c r="AO326" i="56" s="1"/>
  <c r="AQ326" i="56" s="1"/>
  <c r="AP274" i="56"/>
  <c r="AM274" i="56"/>
  <c r="W393" i="54"/>
  <c r="Z393" i="54"/>
  <c r="W289" i="54"/>
  <c r="Z289" i="54"/>
  <c r="P72" i="54"/>
  <c r="M72" i="54"/>
  <c r="N72" i="54" s="1"/>
  <c r="O72" i="54" s="1"/>
  <c r="Q72" i="54" s="1"/>
  <c r="P306" i="54"/>
  <c r="M306" i="54"/>
  <c r="N306" i="54" s="1"/>
  <c r="O306" i="54" s="1"/>
  <c r="Q306" i="54" s="1"/>
  <c r="P241" i="54"/>
  <c r="M241" i="54"/>
  <c r="W221" i="54"/>
  <c r="Z221" i="54"/>
  <c r="W117" i="54"/>
  <c r="X117" i="54" s="1"/>
  <c r="Y117" i="54" s="1"/>
  <c r="AA117" i="54" s="1"/>
  <c r="Z117" i="54"/>
  <c r="P154" i="54"/>
  <c r="M154" i="54"/>
  <c r="N154" i="54" s="1"/>
  <c r="O154" i="54" s="1"/>
  <c r="Q154" i="54" s="1"/>
  <c r="P388" i="54"/>
  <c r="M388" i="54"/>
  <c r="P310" i="54"/>
  <c r="M310" i="54"/>
  <c r="N310" i="54" s="1"/>
  <c r="O310" i="54" s="1"/>
  <c r="Q310" i="54" s="1"/>
  <c r="P116" i="54"/>
  <c r="M116" i="54"/>
  <c r="N116" i="54" s="1"/>
  <c r="O116" i="54" s="1"/>
  <c r="Q116" i="54" s="1"/>
  <c r="P168" i="54"/>
  <c r="M168" i="54"/>
  <c r="N168" i="54" s="1"/>
  <c r="O168" i="54" s="1"/>
  <c r="Q168" i="54" s="1"/>
  <c r="P142" i="54"/>
  <c r="M142" i="54"/>
  <c r="W355" i="54"/>
  <c r="X355" i="54" s="1"/>
  <c r="Y355" i="54" s="1"/>
  <c r="AA355" i="54" s="1"/>
  <c r="Z355" i="54"/>
  <c r="W251" i="54"/>
  <c r="Z251" i="54"/>
  <c r="Z112" i="54"/>
  <c r="W112" i="54"/>
  <c r="X112" i="54" s="1"/>
  <c r="Y112" i="54" s="1"/>
  <c r="AA112" i="54" s="1"/>
  <c r="Z127" i="54"/>
  <c r="W127" i="54"/>
  <c r="X127" i="54" s="1"/>
  <c r="Y127" i="54" s="1"/>
  <c r="AA127" i="54" s="1"/>
  <c r="Z23" i="54"/>
  <c r="W23" i="54"/>
  <c r="X23" i="54" s="1"/>
  <c r="Y23" i="54" s="1"/>
  <c r="AA23" i="54" s="1"/>
  <c r="P179" i="54"/>
  <c r="M179" i="54"/>
  <c r="N179" i="54" s="1"/>
  <c r="O179" i="54" s="1"/>
  <c r="Q179" i="54" s="1"/>
  <c r="P36" i="54"/>
  <c r="M36" i="54"/>
  <c r="N36" i="54" s="1"/>
  <c r="O36" i="54" s="1"/>
  <c r="Q36" i="54" s="1"/>
  <c r="P62" i="54"/>
  <c r="M62" i="54"/>
  <c r="P212" i="54"/>
  <c r="M212" i="54"/>
  <c r="N212" i="54" s="1"/>
  <c r="O212" i="54" s="1"/>
  <c r="Q212" i="54" s="1"/>
  <c r="P56" i="54"/>
  <c r="M56" i="54"/>
  <c r="N56" i="54" s="1"/>
  <c r="O56" i="54" s="1"/>
  <c r="Q56" i="54" s="1"/>
  <c r="P264" i="54"/>
  <c r="M264" i="54"/>
  <c r="N264" i="54" s="1"/>
  <c r="O264" i="54" s="1"/>
  <c r="Q264" i="54" s="1"/>
  <c r="W282" i="54"/>
  <c r="X282" i="54" s="1"/>
  <c r="Y282" i="54" s="1"/>
  <c r="AA282" i="54" s="1"/>
  <c r="Z282" i="54"/>
  <c r="W89" i="54"/>
  <c r="X89" i="54" s="1"/>
  <c r="Y89" i="54" s="1"/>
  <c r="AA89" i="54" s="1"/>
  <c r="Z89" i="54"/>
  <c r="Z226" i="54"/>
  <c r="W226" i="54"/>
  <c r="X226" i="54" s="1"/>
  <c r="Y226" i="54" s="1"/>
  <c r="AA226" i="54" s="1"/>
  <c r="P29" i="54"/>
  <c r="M29" i="54"/>
  <c r="P94" i="54"/>
  <c r="M94" i="54"/>
  <c r="M185" i="54"/>
  <c r="N185" i="54" s="1"/>
  <c r="O185" i="54" s="1"/>
  <c r="Q185" i="54" s="1"/>
  <c r="P185" i="54"/>
  <c r="P315" i="54"/>
  <c r="M315" i="54"/>
  <c r="Z262" i="54"/>
  <c r="W262" i="54"/>
  <c r="X262" i="54" s="1"/>
  <c r="Y262" i="54" s="1"/>
  <c r="AA262" i="54" s="1"/>
  <c r="P34" i="54"/>
  <c r="M34" i="54"/>
  <c r="N34" i="54" s="1"/>
  <c r="O34" i="54" s="1"/>
  <c r="Q34" i="54" s="1"/>
  <c r="P112" i="54"/>
  <c r="M112" i="54"/>
  <c r="P203" i="54"/>
  <c r="M203" i="54"/>
  <c r="M164" i="54"/>
  <c r="N164" i="54" s="1"/>
  <c r="O164" i="54" s="1"/>
  <c r="Q164" i="54" s="1"/>
  <c r="P164" i="54"/>
  <c r="W168" i="54"/>
  <c r="X168" i="54" s="1"/>
  <c r="Y168" i="54" s="1"/>
  <c r="AA168" i="54" s="1"/>
  <c r="Z168" i="54"/>
  <c r="Z396" i="54"/>
  <c r="W396" i="54"/>
  <c r="X396" i="54" s="1"/>
  <c r="Y396" i="54" s="1"/>
  <c r="AA396" i="54" s="1"/>
  <c r="P230" i="54"/>
  <c r="M230" i="54"/>
  <c r="P74" i="54"/>
  <c r="M74" i="54"/>
  <c r="P282" i="54"/>
  <c r="M282" i="54"/>
  <c r="W300" i="54"/>
  <c r="Z300" i="54"/>
  <c r="W241" i="54"/>
  <c r="Z241" i="54"/>
  <c r="M27" i="54"/>
  <c r="N27" i="54" s="1"/>
  <c r="O27" i="54" s="1"/>
  <c r="Q27" i="54" s="1"/>
  <c r="P27" i="54"/>
  <c r="P79" i="54"/>
  <c r="M79" i="54"/>
  <c r="N79" i="54" s="1"/>
  <c r="O79" i="54" s="1"/>
  <c r="Q79" i="54" s="1"/>
  <c r="P118" i="54"/>
  <c r="M118" i="54"/>
  <c r="N118" i="54" s="1"/>
  <c r="O118" i="54" s="1"/>
  <c r="Q118" i="54" s="1"/>
  <c r="P196" i="54"/>
  <c r="M196" i="54"/>
  <c r="N196" i="54" s="1"/>
  <c r="O196" i="54" s="1"/>
  <c r="Q196" i="54" s="1"/>
  <c r="AP324" i="56"/>
  <c r="AM324" i="56"/>
  <c r="AN324" i="56" s="1"/>
  <c r="AO324" i="56" s="1"/>
  <c r="AQ324" i="56" s="1"/>
  <c r="AP272" i="56"/>
  <c r="AM272" i="56"/>
  <c r="AP350" i="56"/>
  <c r="AM350" i="56"/>
  <c r="AN350" i="56" s="1"/>
  <c r="AO350" i="56" s="1"/>
  <c r="AQ350" i="56" s="1"/>
  <c r="AP175" i="56"/>
  <c r="AM175" i="56"/>
  <c r="AN175" i="56" s="1"/>
  <c r="AO175" i="56" s="1"/>
  <c r="AQ175" i="56" s="1"/>
  <c r="AP253" i="56"/>
  <c r="AM253" i="56"/>
  <c r="AN253" i="56" s="1"/>
  <c r="AO253" i="56" s="1"/>
  <c r="AQ253" i="56" s="1"/>
  <c r="AP97" i="56"/>
  <c r="AM97" i="56"/>
  <c r="AN97" i="56" s="1"/>
  <c r="AO97" i="56" s="1"/>
  <c r="AQ97" i="56" s="1"/>
  <c r="AP190" i="56"/>
  <c r="AM190" i="56"/>
  <c r="AP268" i="56"/>
  <c r="AM268" i="56"/>
  <c r="AP216" i="56"/>
  <c r="AM216" i="56"/>
  <c r="AN216" i="56" s="1"/>
  <c r="AO216" i="56" s="1"/>
  <c r="AQ216" i="56" s="1"/>
  <c r="AP131" i="56"/>
  <c r="AM131" i="56"/>
  <c r="AP209" i="56"/>
  <c r="AM209" i="56"/>
  <c r="AP53" i="56"/>
  <c r="AM53" i="56"/>
  <c r="AN53" i="56" s="1"/>
  <c r="AO53" i="56" s="1"/>
  <c r="AQ53" i="56" s="1"/>
  <c r="AP378" i="56"/>
  <c r="AM378" i="56"/>
  <c r="AG24" i="54"/>
  <c r="AH24" i="54" s="1"/>
  <c r="AI24" i="54" s="1"/>
  <c r="AK24" i="54" s="1"/>
  <c r="AJ24" i="54"/>
  <c r="AJ37" i="54"/>
  <c r="AG37" i="54"/>
  <c r="AH37" i="54" s="1"/>
  <c r="AI37" i="54" s="1"/>
  <c r="AK37" i="54" s="1"/>
  <c r="AG128" i="54"/>
  <c r="AH128" i="54" s="1"/>
  <c r="AI128" i="54" s="1"/>
  <c r="AK128" i="54" s="1"/>
  <c r="AJ128" i="54"/>
  <c r="AG362" i="54"/>
  <c r="AH362" i="54" s="1"/>
  <c r="AI362" i="54" s="1"/>
  <c r="AK362" i="54" s="1"/>
  <c r="AJ362" i="54"/>
  <c r="AG63" i="54"/>
  <c r="AH63" i="54" s="1"/>
  <c r="AI63" i="54" s="1"/>
  <c r="AK63" i="54" s="1"/>
  <c r="AJ63" i="54"/>
  <c r="AG141" i="54"/>
  <c r="AJ141" i="54"/>
  <c r="AJ271" i="54"/>
  <c r="AG271" i="54"/>
  <c r="AG336" i="54"/>
  <c r="AH336" i="54" s="1"/>
  <c r="AI336" i="54" s="1"/>
  <c r="AK336" i="54" s="1"/>
  <c r="AJ336" i="54"/>
  <c r="BD141" i="54"/>
  <c r="BA141" i="54"/>
  <c r="BD245" i="54"/>
  <c r="BA245" i="54"/>
  <c r="BB245" i="54" s="1"/>
  <c r="BC245" i="54" s="1"/>
  <c r="BE245" i="54" s="1"/>
  <c r="BA76" i="54"/>
  <c r="BB76" i="54" s="1"/>
  <c r="BC76" i="54" s="1"/>
  <c r="BE76" i="54" s="1"/>
  <c r="BD76" i="54"/>
  <c r="BD297" i="54"/>
  <c r="BA297" i="54"/>
  <c r="BD401" i="54"/>
  <c r="BA401" i="54"/>
  <c r="BB401" i="54" s="1"/>
  <c r="BC401" i="54" s="1"/>
  <c r="BE401" i="54" s="1"/>
  <c r="BD115" i="54"/>
  <c r="BA115" i="54"/>
  <c r="BB115" i="54" s="1"/>
  <c r="BC115" i="54" s="1"/>
  <c r="BE115" i="54" s="1"/>
  <c r="BD271" i="54"/>
  <c r="BA271" i="54"/>
  <c r="BB271" i="54" s="1"/>
  <c r="BC271" i="54" s="1"/>
  <c r="BE271" i="54" s="1"/>
  <c r="W133" i="54"/>
  <c r="Z133" i="54"/>
  <c r="W55" i="54"/>
  <c r="Z55" i="54"/>
  <c r="W120" i="54"/>
  <c r="X120" i="54" s="1"/>
  <c r="Y120" i="54" s="1"/>
  <c r="AA120" i="54" s="1"/>
  <c r="Z120" i="54"/>
  <c r="W341" i="54"/>
  <c r="X341" i="54" s="1"/>
  <c r="Y341" i="54" s="1"/>
  <c r="AA341" i="54" s="1"/>
  <c r="Z341" i="54"/>
  <c r="W159" i="54"/>
  <c r="X159" i="54" s="1"/>
  <c r="Y159" i="54" s="1"/>
  <c r="AA159" i="54" s="1"/>
  <c r="Z159" i="54"/>
  <c r="Z16" i="54"/>
  <c r="W16" i="54"/>
  <c r="X16" i="54" s="1"/>
  <c r="Y16" i="54" s="1"/>
  <c r="AA16" i="54" s="1"/>
  <c r="AG301" i="54"/>
  <c r="AH301" i="54" s="1"/>
  <c r="AI301" i="54" s="1"/>
  <c r="AK301" i="54" s="1"/>
  <c r="AJ301" i="54"/>
  <c r="AG327" i="54"/>
  <c r="AH327" i="54" s="1"/>
  <c r="AI327" i="54" s="1"/>
  <c r="AK327" i="54" s="1"/>
  <c r="AJ327" i="54"/>
  <c r="AG132" i="54"/>
  <c r="AH132" i="54" s="1"/>
  <c r="AI132" i="54" s="1"/>
  <c r="AK132" i="54" s="1"/>
  <c r="AJ132" i="54"/>
  <c r="AJ41" i="54"/>
  <c r="AG41" i="54"/>
  <c r="AH41" i="54" s="1"/>
  <c r="AI41" i="54" s="1"/>
  <c r="AK41" i="54" s="1"/>
  <c r="AJ54" i="54"/>
  <c r="AG54" i="54"/>
  <c r="AH54" i="54" s="1"/>
  <c r="AI54" i="54" s="1"/>
  <c r="AK54" i="54" s="1"/>
  <c r="AG366" i="54"/>
  <c r="AH366" i="54" s="1"/>
  <c r="AI366" i="54" s="1"/>
  <c r="AK366" i="54" s="1"/>
  <c r="AJ366" i="54"/>
  <c r="AG145" i="54"/>
  <c r="AH145" i="54" s="1"/>
  <c r="AI145" i="54" s="1"/>
  <c r="AK145" i="54" s="1"/>
  <c r="AJ145" i="54"/>
  <c r="AT67" i="54"/>
  <c r="AQ67" i="54"/>
  <c r="AR67" i="54" s="1"/>
  <c r="AS67" i="54" s="1"/>
  <c r="AU67" i="54" s="1"/>
  <c r="AT93" i="54"/>
  <c r="AQ93" i="54"/>
  <c r="AR93" i="54" s="1"/>
  <c r="AS93" i="54" s="1"/>
  <c r="AU93" i="54" s="1"/>
  <c r="AT54" i="54"/>
  <c r="AQ54" i="54"/>
  <c r="AR54" i="54" s="1"/>
  <c r="AS54" i="54" s="1"/>
  <c r="AU54" i="54" s="1"/>
  <c r="AT210" i="54"/>
  <c r="AQ210" i="54"/>
  <c r="AR210" i="54" s="1"/>
  <c r="AS210" i="54" s="1"/>
  <c r="AU210" i="54" s="1"/>
  <c r="AT158" i="54"/>
  <c r="AQ158" i="54"/>
  <c r="AR158" i="54" s="1"/>
  <c r="AS158" i="54" s="1"/>
  <c r="AU158" i="54" s="1"/>
  <c r="AT106" i="54"/>
  <c r="AQ106" i="54"/>
  <c r="AR106" i="54" s="1"/>
  <c r="AS106" i="54" s="1"/>
  <c r="AU106" i="54" s="1"/>
  <c r="AT366" i="54"/>
  <c r="AQ366" i="54"/>
  <c r="AR366" i="54" s="1"/>
  <c r="AS366" i="54" s="1"/>
  <c r="AU366" i="54" s="1"/>
  <c r="AT262" i="54"/>
  <c r="AQ262" i="54"/>
  <c r="BD183" i="54"/>
  <c r="BA183" i="54"/>
  <c r="BD313" i="54"/>
  <c r="BA313" i="54"/>
  <c r="BB313" i="54" s="1"/>
  <c r="BC313" i="54" s="1"/>
  <c r="BE313" i="54" s="1"/>
  <c r="BD365" i="54"/>
  <c r="BA365" i="54"/>
  <c r="BB365" i="54" s="1"/>
  <c r="BC365" i="54" s="1"/>
  <c r="BA40" i="54"/>
  <c r="BB40" i="54" s="1"/>
  <c r="BC40" i="54" s="1"/>
  <c r="BE40" i="54" s="1"/>
  <c r="BD40" i="54"/>
  <c r="BA66" i="54"/>
  <c r="BB66" i="54" s="1"/>
  <c r="BC66" i="54" s="1"/>
  <c r="BE66" i="54" s="1"/>
  <c r="BD66" i="54"/>
  <c r="BD300" i="54"/>
  <c r="BA300" i="54"/>
  <c r="BA196" i="54"/>
  <c r="BB196" i="54" s="1"/>
  <c r="BC196" i="54" s="1"/>
  <c r="BE196" i="54" s="1"/>
  <c r="BD196" i="54"/>
  <c r="P371" i="54"/>
  <c r="M371" i="54"/>
  <c r="N371" i="54" s="1"/>
  <c r="O371" i="54" s="1"/>
  <c r="Q371" i="54" s="1"/>
  <c r="P267" i="54"/>
  <c r="M267" i="54"/>
  <c r="P20" i="54"/>
  <c r="M20" i="54"/>
  <c r="N20" i="54" s="1"/>
  <c r="O20" i="54" s="1"/>
  <c r="Q20" i="54" s="1"/>
  <c r="P397" i="54"/>
  <c r="M397" i="54"/>
  <c r="P345" i="54"/>
  <c r="M345" i="54"/>
  <c r="N345" i="54" s="1"/>
  <c r="O345" i="54" s="1"/>
  <c r="Q345" i="54" s="1"/>
  <c r="BA202" i="54"/>
  <c r="BB202" i="54" s="1"/>
  <c r="BC202" i="54" s="1"/>
  <c r="BE202" i="54" s="1"/>
  <c r="BD202" i="54"/>
  <c r="BA72" i="54"/>
  <c r="BB72" i="54" s="1"/>
  <c r="BC72" i="54" s="1"/>
  <c r="BE72" i="54" s="1"/>
  <c r="BD72" i="54"/>
  <c r="BD254" i="54"/>
  <c r="BA254" i="54"/>
  <c r="BB254" i="54" s="1"/>
  <c r="BC254" i="54" s="1"/>
  <c r="BE254" i="54" s="1"/>
  <c r="BD384" i="54"/>
  <c r="BA384" i="54"/>
  <c r="BA46" i="54"/>
  <c r="BB46" i="54" s="1"/>
  <c r="BC46" i="54" s="1"/>
  <c r="BE46" i="54" s="1"/>
  <c r="BD46" i="54"/>
  <c r="BD358" i="54"/>
  <c r="BA358" i="54"/>
  <c r="BB358" i="54" s="1"/>
  <c r="BC358" i="54" s="1"/>
  <c r="BE358" i="54" s="1"/>
  <c r="BD124" i="54"/>
  <c r="BA124" i="54"/>
  <c r="Z286" i="54"/>
  <c r="W286" i="54"/>
  <c r="X286" i="54" s="1"/>
  <c r="Y286" i="54" s="1"/>
  <c r="AA286" i="54" s="1"/>
  <c r="Z65" i="54"/>
  <c r="W65" i="54"/>
  <c r="X65" i="54" s="1"/>
  <c r="Y65" i="54" s="1"/>
  <c r="AA65" i="54" s="1"/>
  <c r="Z39" i="54"/>
  <c r="W39" i="54"/>
  <c r="X39" i="54" s="1"/>
  <c r="Y39" i="54" s="1"/>
  <c r="AA39" i="54" s="1"/>
  <c r="Z78" i="54"/>
  <c r="W78" i="54"/>
  <c r="W403" i="54"/>
  <c r="Z403" i="54"/>
  <c r="Z52" i="54"/>
  <c r="W52" i="54"/>
  <c r="X52" i="54" s="1"/>
  <c r="Y52" i="54" s="1"/>
  <c r="AA52" i="54" s="1"/>
  <c r="AT73" i="54"/>
  <c r="AQ73" i="54"/>
  <c r="AR73" i="54" s="1"/>
  <c r="AS73" i="54" s="1"/>
  <c r="AU73" i="54" s="1"/>
  <c r="AT151" i="54"/>
  <c r="AQ151" i="54"/>
  <c r="AR151" i="54" s="1"/>
  <c r="AS151" i="54" s="1"/>
  <c r="AU151" i="54" s="1"/>
  <c r="AT47" i="54"/>
  <c r="AQ47" i="54"/>
  <c r="AR47" i="54" s="1"/>
  <c r="AS47" i="54" s="1"/>
  <c r="AU47" i="54" s="1"/>
  <c r="AT268" i="54"/>
  <c r="AQ268" i="54"/>
  <c r="AT216" i="54"/>
  <c r="AQ216" i="54"/>
  <c r="AR216" i="54" s="1"/>
  <c r="AS216" i="54" s="1"/>
  <c r="AU216" i="54" s="1"/>
  <c r="AT164" i="54"/>
  <c r="AQ164" i="54"/>
  <c r="AR164" i="54" s="1"/>
  <c r="AS164" i="54" s="1"/>
  <c r="AU164" i="54" s="1"/>
  <c r="AT359" i="54"/>
  <c r="AQ359" i="54"/>
  <c r="P323" i="54"/>
  <c r="M323" i="54"/>
  <c r="N323" i="54" s="1"/>
  <c r="O323" i="54" s="1"/>
  <c r="Q323" i="54" s="1"/>
  <c r="P102" i="54"/>
  <c r="M102" i="54"/>
  <c r="P63" i="54"/>
  <c r="M63" i="54"/>
  <c r="M284" i="54"/>
  <c r="N284" i="54" s="1"/>
  <c r="O284" i="54" s="1"/>
  <c r="Q284" i="54" s="1"/>
  <c r="P284" i="54"/>
  <c r="AT111" i="54"/>
  <c r="AQ111" i="54"/>
  <c r="AR111" i="54" s="1"/>
  <c r="AS111" i="54" s="1"/>
  <c r="AU111" i="54" s="1"/>
  <c r="AQ319" i="54"/>
  <c r="AR319" i="54" s="1"/>
  <c r="AS319" i="54" s="1"/>
  <c r="AU319" i="54" s="1"/>
  <c r="AT319" i="54"/>
  <c r="AT345" i="54"/>
  <c r="AQ345" i="54"/>
  <c r="AT72" i="54"/>
  <c r="AQ72" i="54"/>
  <c r="AR72" i="54" s="1"/>
  <c r="AS72" i="54" s="1"/>
  <c r="AU72" i="54" s="1"/>
  <c r="AT228" i="54"/>
  <c r="AQ228" i="54"/>
  <c r="AR228" i="54" s="1"/>
  <c r="AS228" i="54" s="1"/>
  <c r="AU228" i="54" s="1"/>
  <c r="AT384" i="54"/>
  <c r="AQ384" i="54"/>
  <c r="AT397" i="54"/>
  <c r="AQ397" i="54"/>
  <c r="AT150" i="54"/>
  <c r="AQ150" i="54"/>
  <c r="AR150" i="54" s="1"/>
  <c r="AS150" i="54" s="1"/>
  <c r="AU150" i="54" s="1"/>
  <c r="P64" i="54"/>
  <c r="M64" i="54"/>
  <c r="P51" i="54"/>
  <c r="M51" i="54"/>
  <c r="P376" i="54"/>
  <c r="M376" i="54"/>
  <c r="N376" i="54" s="1"/>
  <c r="O376" i="54" s="1"/>
  <c r="Q376" i="54" s="1"/>
  <c r="P25" i="54"/>
  <c r="M25" i="54"/>
  <c r="N25" i="54" s="1"/>
  <c r="O25" i="54" s="1"/>
  <c r="Q25" i="54" s="1"/>
  <c r="M246" i="54"/>
  <c r="N246" i="54" s="1"/>
  <c r="O246" i="54" s="1"/>
  <c r="Q246" i="54" s="1"/>
  <c r="P246" i="54"/>
  <c r="BA25" i="54"/>
  <c r="BB25" i="54" s="1"/>
  <c r="BC25" i="54" s="1"/>
  <c r="BE25" i="54" s="1"/>
  <c r="BD25" i="54"/>
  <c r="BD311" i="54"/>
  <c r="BA311" i="54"/>
  <c r="BD168" i="54"/>
  <c r="BA168" i="54"/>
  <c r="BD402" i="54"/>
  <c r="BA402" i="54"/>
  <c r="BB402" i="54" s="1"/>
  <c r="BC402" i="54" s="1"/>
  <c r="BE402" i="54" s="1"/>
  <c r="BA64" i="54"/>
  <c r="BB64" i="54" s="1"/>
  <c r="BC64" i="54" s="1"/>
  <c r="BE64" i="54" s="1"/>
  <c r="BD64" i="54"/>
  <c r="BD376" i="54"/>
  <c r="BA376" i="54"/>
  <c r="BD142" i="54"/>
  <c r="BA142" i="54"/>
  <c r="BD324" i="54"/>
  <c r="BA324" i="54"/>
  <c r="BB324" i="54" s="1"/>
  <c r="BC324" i="54" s="1"/>
  <c r="W17" i="54"/>
  <c r="X17" i="54" s="1"/>
  <c r="Y17" i="54" s="1"/>
  <c r="AA17" i="54" s="1"/>
  <c r="Z17" i="54"/>
  <c r="W82" i="54"/>
  <c r="X82" i="54" s="1"/>
  <c r="Y82" i="54" s="1"/>
  <c r="AA82" i="54" s="1"/>
  <c r="Z82" i="54"/>
  <c r="W368" i="54"/>
  <c r="Z368" i="54"/>
  <c r="W238" i="54"/>
  <c r="X238" i="54" s="1"/>
  <c r="Y238" i="54" s="1"/>
  <c r="AA238" i="54" s="1"/>
  <c r="Z238" i="54"/>
  <c r="W108" i="54"/>
  <c r="X108" i="54" s="1"/>
  <c r="Y108" i="54" s="1"/>
  <c r="AA108" i="54" s="1"/>
  <c r="Z108" i="54"/>
  <c r="Z277" i="54"/>
  <c r="W277" i="54"/>
  <c r="X277" i="54" s="1"/>
  <c r="Y277" i="54" s="1"/>
  <c r="AA277" i="54" s="1"/>
  <c r="BD165" i="54"/>
  <c r="BA165" i="54"/>
  <c r="BD230" i="54"/>
  <c r="BA230" i="54"/>
  <c r="BB230" i="54" s="1"/>
  <c r="BC230" i="54" s="1"/>
  <c r="BD87" i="54"/>
  <c r="BA87" i="54"/>
  <c r="BD191" i="54"/>
  <c r="BA191" i="54"/>
  <c r="BD217" i="54"/>
  <c r="BA217" i="54"/>
  <c r="BB217" i="54" s="1"/>
  <c r="BC217" i="54" s="1"/>
  <c r="BE217" i="54" s="1"/>
  <c r="BD373" i="54"/>
  <c r="BA373" i="54"/>
  <c r="BD347" i="54"/>
  <c r="BA347" i="54"/>
  <c r="Z398" i="54"/>
  <c r="W398" i="54"/>
  <c r="X398" i="54" s="1"/>
  <c r="Y398" i="54" s="1"/>
  <c r="AA398" i="54" s="1"/>
  <c r="Z164" i="54"/>
  <c r="W164" i="54"/>
  <c r="X164" i="54" s="1"/>
  <c r="Y164" i="54" s="1"/>
  <c r="AA164" i="54" s="1"/>
  <c r="W229" i="54"/>
  <c r="Z229" i="54"/>
  <c r="Z86" i="54"/>
  <c r="W86" i="54"/>
  <c r="Z255" i="54"/>
  <c r="W255" i="54"/>
  <c r="W125" i="54"/>
  <c r="X125" i="54" s="1"/>
  <c r="Y125" i="54" s="1"/>
  <c r="AA125" i="54" s="1"/>
  <c r="Z125" i="54"/>
  <c r="W75" i="54"/>
  <c r="X75" i="54" s="1"/>
  <c r="Y75" i="54" s="1"/>
  <c r="AA75" i="54" s="1"/>
  <c r="Z75" i="54"/>
  <c r="Z205" i="54"/>
  <c r="W205" i="54"/>
  <c r="X205" i="54" s="1"/>
  <c r="Y205" i="54" s="1"/>
  <c r="AA205" i="54" s="1"/>
  <c r="W270" i="54"/>
  <c r="Z270" i="54"/>
  <c r="W400" i="54"/>
  <c r="X400" i="54" s="1"/>
  <c r="Y400" i="54" s="1"/>
  <c r="AA400" i="54" s="1"/>
  <c r="Z400" i="54"/>
  <c r="Z348" i="54"/>
  <c r="W348" i="54"/>
  <c r="W374" i="54"/>
  <c r="X374" i="54" s="1"/>
  <c r="Y374" i="54" s="1"/>
  <c r="AA374" i="54" s="1"/>
  <c r="Z374" i="54"/>
  <c r="BA56" i="54"/>
  <c r="BB56" i="54" s="1"/>
  <c r="BC56" i="54" s="1"/>
  <c r="BE56" i="54" s="1"/>
  <c r="BD56" i="54"/>
  <c r="BD342" i="54"/>
  <c r="BA342" i="54"/>
  <c r="BB342" i="54" s="1"/>
  <c r="BC342" i="54" s="1"/>
  <c r="BE342" i="54" s="1"/>
  <c r="BD95" i="54"/>
  <c r="BA95" i="54"/>
  <c r="BD82" i="54"/>
  <c r="BA82" i="54"/>
  <c r="BB82" i="54" s="1"/>
  <c r="BC82" i="54" s="1"/>
  <c r="BE82" i="54" s="1"/>
  <c r="BD303" i="54"/>
  <c r="BA303" i="54"/>
  <c r="BD238" i="54"/>
  <c r="BA238" i="54"/>
  <c r="BB238" i="54" s="1"/>
  <c r="BC238" i="54" s="1"/>
  <c r="BE238" i="54" s="1"/>
  <c r="BD355" i="54"/>
  <c r="BA355" i="54"/>
  <c r="BB355" i="54" s="1"/>
  <c r="BC355" i="54" s="1"/>
  <c r="BE355" i="54" s="1"/>
  <c r="BD381" i="54"/>
  <c r="BA381" i="54"/>
  <c r="BB381" i="54" s="1"/>
  <c r="BC381" i="54" s="1"/>
  <c r="BE381" i="54" s="1"/>
  <c r="P205" i="54"/>
  <c r="M205" i="54"/>
  <c r="N205" i="54" s="1"/>
  <c r="O205" i="54" s="1"/>
  <c r="Q205" i="54" s="1"/>
  <c r="P153" i="54"/>
  <c r="M153" i="54"/>
  <c r="P309" i="54"/>
  <c r="M309" i="54"/>
  <c r="N309" i="54" s="1"/>
  <c r="O309" i="54" s="1"/>
  <c r="Q309" i="54" s="1"/>
  <c r="P283" i="54"/>
  <c r="M283" i="54"/>
  <c r="N283" i="54" s="1"/>
  <c r="O283" i="54" s="1"/>
  <c r="Q283" i="54" s="1"/>
  <c r="AG62" i="54"/>
  <c r="AH62" i="54" s="1"/>
  <c r="AI62" i="54" s="1"/>
  <c r="AK62" i="54" s="1"/>
  <c r="AJ62" i="54"/>
  <c r="AG192" i="54"/>
  <c r="AH192" i="54" s="1"/>
  <c r="AI192" i="54" s="1"/>
  <c r="AK192" i="54" s="1"/>
  <c r="AJ192" i="54"/>
  <c r="AG309" i="54"/>
  <c r="AH309" i="54" s="1"/>
  <c r="AI309" i="54" s="1"/>
  <c r="AK309" i="54" s="1"/>
  <c r="AJ309" i="54"/>
  <c r="AG205" i="54"/>
  <c r="AH205" i="54" s="1"/>
  <c r="AI205" i="54" s="1"/>
  <c r="AK205" i="54" s="1"/>
  <c r="AJ205" i="54"/>
  <c r="AJ36" i="54"/>
  <c r="AG36" i="54"/>
  <c r="AH36" i="54" s="1"/>
  <c r="AI36" i="54" s="1"/>
  <c r="AK36" i="54" s="1"/>
  <c r="AG348" i="54"/>
  <c r="AH348" i="54" s="1"/>
  <c r="AI348" i="54" s="1"/>
  <c r="AK348" i="54" s="1"/>
  <c r="AJ348" i="54"/>
  <c r="AJ101" i="54"/>
  <c r="AG101" i="54"/>
  <c r="AH101" i="54" s="1"/>
  <c r="AI101" i="54" s="1"/>
  <c r="AK101" i="54" s="1"/>
  <c r="AJ374" i="54"/>
  <c r="AG374" i="54"/>
  <c r="P290" i="54"/>
  <c r="M290" i="54"/>
  <c r="P316" i="54"/>
  <c r="M316" i="54"/>
  <c r="P173" i="54"/>
  <c r="M173" i="54"/>
  <c r="P121" i="54"/>
  <c r="M121" i="54"/>
  <c r="P277" i="54"/>
  <c r="M277" i="54"/>
  <c r="N277" i="54" s="1"/>
  <c r="O277" i="54" s="1"/>
  <c r="Q277" i="54" s="1"/>
  <c r="Z152" i="54"/>
  <c r="W152" i="54"/>
  <c r="X152" i="54" s="1"/>
  <c r="Y152" i="54" s="1"/>
  <c r="AA152" i="54" s="1"/>
  <c r="Z217" i="54"/>
  <c r="W217" i="54"/>
  <c r="X217" i="54" s="1"/>
  <c r="Y217" i="54" s="1"/>
  <c r="AA217" i="54" s="1"/>
  <c r="W191" i="54"/>
  <c r="Z191" i="54"/>
  <c r="Z230" i="54"/>
  <c r="W230" i="54"/>
  <c r="X230" i="54" s="1"/>
  <c r="Y230" i="54" s="1"/>
  <c r="AA230" i="54" s="1"/>
  <c r="W347" i="54"/>
  <c r="X347" i="54" s="1"/>
  <c r="Y347" i="54" s="1"/>
  <c r="AA347" i="54" s="1"/>
  <c r="Z347" i="54"/>
  <c r="W204" i="54"/>
  <c r="X204" i="54" s="1"/>
  <c r="Y204" i="54" s="1"/>
  <c r="AA204" i="54" s="1"/>
  <c r="Z204" i="54"/>
  <c r="BA19" i="54"/>
  <c r="BB19" i="54" s="1"/>
  <c r="BC19" i="54" s="1"/>
  <c r="BE19" i="54" s="1"/>
  <c r="BD19" i="54"/>
  <c r="BD305" i="54"/>
  <c r="BA305" i="54"/>
  <c r="BB305" i="54" s="1"/>
  <c r="BC305" i="54" s="1"/>
  <c r="BE305" i="54" s="1"/>
  <c r="BD383" i="54"/>
  <c r="BA383" i="54"/>
  <c r="BD123" i="54"/>
  <c r="BA123" i="54"/>
  <c r="BB123" i="54" s="1"/>
  <c r="BC123" i="54" s="1"/>
  <c r="BE123" i="54" s="1"/>
  <c r="BD240" i="54"/>
  <c r="BA240" i="54"/>
  <c r="BB240" i="54" s="1"/>
  <c r="BC240" i="54" s="1"/>
  <c r="BE240" i="54" s="1"/>
  <c r="BD396" i="54"/>
  <c r="BA396" i="54"/>
  <c r="BD162" i="54"/>
  <c r="BA162" i="54"/>
  <c r="BB162" i="54" s="1"/>
  <c r="BC162" i="54" s="1"/>
  <c r="BE162" i="54" s="1"/>
  <c r="BD344" i="54"/>
  <c r="BA344" i="54"/>
  <c r="BB344" i="54" s="1"/>
  <c r="BC344" i="54" s="1"/>
  <c r="Z401" i="54"/>
  <c r="W401" i="54"/>
  <c r="W76" i="54"/>
  <c r="X76" i="54" s="1"/>
  <c r="Y76" i="54" s="1"/>
  <c r="AA76" i="54" s="1"/>
  <c r="Z76" i="54"/>
  <c r="W193" i="54"/>
  <c r="X193" i="54" s="1"/>
  <c r="Y193" i="54" s="1"/>
  <c r="AA193" i="54" s="1"/>
  <c r="Z193" i="54"/>
  <c r="Z24" i="54"/>
  <c r="W24" i="54"/>
  <c r="X24" i="54" s="1"/>
  <c r="Y24" i="54" s="1"/>
  <c r="AA24" i="54" s="1"/>
  <c r="W37" i="54"/>
  <c r="X37" i="54" s="1"/>
  <c r="Y37" i="54" s="1"/>
  <c r="AA37" i="54" s="1"/>
  <c r="Z37" i="54"/>
  <c r="W63" i="54"/>
  <c r="Z63" i="54"/>
  <c r="Z128" i="54"/>
  <c r="W128" i="54"/>
  <c r="X128" i="54" s="1"/>
  <c r="Y128" i="54" s="1"/>
  <c r="AA128" i="54" s="1"/>
  <c r="AG134" i="54"/>
  <c r="AH134" i="54" s="1"/>
  <c r="AI134" i="54" s="1"/>
  <c r="AK134" i="54" s="1"/>
  <c r="AJ134" i="54"/>
  <c r="AG212" i="54"/>
  <c r="AH212" i="54" s="1"/>
  <c r="AI212" i="54" s="1"/>
  <c r="AK212" i="54" s="1"/>
  <c r="AJ212" i="54"/>
  <c r="AG316" i="54"/>
  <c r="AH316" i="54" s="1"/>
  <c r="AI316" i="54" s="1"/>
  <c r="AK316" i="54" s="1"/>
  <c r="AJ316" i="54"/>
  <c r="AG251" i="54"/>
  <c r="AH251" i="54" s="1"/>
  <c r="AI251" i="54" s="1"/>
  <c r="AK251" i="54" s="1"/>
  <c r="AJ251" i="54"/>
  <c r="AG173" i="54"/>
  <c r="AJ173" i="54"/>
  <c r="AG186" i="54"/>
  <c r="AJ186" i="54"/>
  <c r="AJ264" i="54"/>
  <c r="AG264" i="54"/>
  <c r="AT87" i="54"/>
  <c r="AQ87" i="54"/>
  <c r="AR87" i="54" s="1"/>
  <c r="AS87" i="54" s="1"/>
  <c r="AU87" i="54" s="1"/>
  <c r="AT113" i="54"/>
  <c r="AQ113" i="54"/>
  <c r="AR113" i="54" s="1"/>
  <c r="AS113" i="54" s="1"/>
  <c r="AU113" i="54" s="1"/>
  <c r="AT61" i="54"/>
  <c r="AQ61" i="54"/>
  <c r="AR61" i="54" s="1"/>
  <c r="AS61" i="54" s="1"/>
  <c r="AU61" i="54" s="1"/>
  <c r="AT152" i="54"/>
  <c r="AQ152" i="54"/>
  <c r="AR152" i="54" s="1"/>
  <c r="AS152" i="54" s="1"/>
  <c r="AU152" i="54" s="1"/>
  <c r="AT308" i="54"/>
  <c r="AQ308" i="54"/>
  <c r="AT243" i="54"/>
  <c r="AQ243" i="54"/>
  <c r="AR243" i="54" s="1"/>
  <c r="AS243" i="54" s="1"/>
  <c r="AU243" i="54" s="1"/>
  <c r="AQ321" i="54"/>
  <c r="AR321" i="54" s="1"/>
  <c r="AS321" i="54" s="1"/>
  <c r="AU321" i="54" s="1"/>
  <c r="AT321" i="54"/>
  <c r="AT360" i="54"/>
  <c r="AQ360" i="54"/>
  <c r="AG256" i="54"/>
  <c r="AH256" i="54" s="1"/>
  <c r="AI256" i="54" s="1"/>
  <c r="AK256" i="54" s="1"/>
  <c r="AJ256" i="54"/>
  <c r="AG360" i="54"/>
  <c r="AJ360" i="54"/>
  <c r="AG243" i="54"/>
  <c r="AJ243" i="54"/>
  <c r="AG386" i="54"/>
  <c r="AJ386" i="54"/>
  <c r="AG126" i="54"/>
  <c r="AH126" i="54" s="1"/>
  <c r="AI126" i="54" s="1"/>
  <c r="AK126" i="54" s="1"/>
  <c r="AJ126" i="54"/>
  <c r="AG100" i="54"/>
  <c r="AH100" i="54" s="1"/>
  <c r="AI100" i="54" s="1"/>
  <c r="AK100" i="54" s="1"/>
  <c r="AJ100" i="54"/>
  <c r="AG165" i="54"/>
  <c r="AJ165" i="54"/>
  <c r="AG239" i="54"/>
  <c r="AH239" i="54" s="1"/>
  <c r="AI239" i="54" s="1"/>
  <c r="AK239" i="54" s="1"/>
  <c r="AJ239" i="54"/>
  <c r="AG265" i="54"/>
  <c r="AH265" i="54" s="1"/>
  <c r="AI265" i="54" s="1"/>
  <c r="AK265" i="54" s="1"/>
  <c r="AJ265" i="54"/>
  <c r="AG200" i="54"/>
  <c r="AH200" i="54" s="1"/>
  <c r="AI200" i="54" s="1"/>
  <c r="AK200" i="54" s="1"/>
  <c r="AJ200" i="54"/>
  <c r="AG369" i="54"/>
  <c r="AJ369" i="54"/>
  <c r="AG291" i="54"/>
  <c r="AH291" i="54" s="1"/>
  <c r="AI291" i="54" s="1"/>
  <c r="AK291" i="54" s="1"/>
  <c r="AJ291" i="54"/>
  <c r="AG317" i="54"/>
  <c r="AH317" i="54" s="1"/>
  <c r="AI317" i="54" s="1"/>
  <c r="AK317" i="54" s="1"/>
  <c r="AJ317" i="54"/>
  <c r="AG278" i="54"/>
  <c r="AJ278" i="54"/>
  <c r="AG343" i="54"/>
  <c r="AH343" i="54" s="1"/>
  <c r="AI343" i="54" s="1"/>
  <c r="AK343" i="54" s="1"/>
  <c r="AJ343" i="54"/>
  <c r="W174" i="54"/>
  <c r="X174" i="54" s="1"/>
  <c r="Y174" i="54" s="1"/>
  <c r="AA174" i="54" s="1"/>
  <c r="Z174" i="54"/>
  <c r="W395" i="54"/>
  <c r="Z395" i="54"/>
  <c r="W252" i="54"/>
  <c r="Z252" i="54"/>
  <c r="W382" i="54"/>
  <c r="X382" i="54" s="1"/>
  <c r="Y382" i="54" s="1"/>
  <c r="AA382" i="54" s="1"/>
  <c r="Z382" i="54"/>
  <c r="W330" i="54"/>
  <c r="X330" i="54" s="1"/>
  <c r="Y330" i="54" s="1"/>
  <c r="AA330" i="54" s="1"/>
  <c r="Z330" i="54"/>
  <c r="W356" i="54"/>
  <c r="X356" i="54" s="1"/>
  <c r="Y356" i="54" s="1"/>
  <c r="AA356" i="54" s="1"/>
  <c r="Z356" i="54"/>
  <c r="AJ274" i="54"/>
  <c r="AG274" i="54"/>
  <c r="AG378" i="54"/>
  <c r="AJ378" i="54"/>
  <c r="AJ261" i="54"/>
  <c r="AG261" i="54"/>
  <c r="AH261" i="54" s="1"/>
  <c r="AI261" i="54" s="1"/>
  <c r="AK261" i="54" s="1"/>
  <c r="AG326" i="54"/>
  <c r="AJ326" i="54"/>
  <c r="AG144" i="54"/>
  <c r="AH144" i="54" s="1"/>
  <c r="AI144" i="54" s="1"/>
  <c r="AK144" i="54" s="1"/>
  <c r="AJ144" i="54"/>
  <c r="AJ118" i="54"/>
  <c r="AG118" i="54"/>
  <c r="AH118" i="54" s="1"/>
  <c r="AI118" i="54" s="1"/>
  <c r="AK118" i="54" s="1"/>
  <c r="AJ183" i="54"/>
  <c r="AG183" i="54"/>
  <c r="P263" i="54"/>
  <c r="M263" i="54"/>
  <c r="N263" i="54" s="1"/>
  <c r="O263" i="54" s="1"/>
  <c r="Q263" i="54" s="1"/>
  <c r="P393" i="54"/>
  <c r="M393" i="54"/>
  <c r="P341" i="54"/>
  <c r="M341" i="54"/>
  <c r="N341" i="54" s="1"/>
  <c r="O341" i="54" s="1"/>
  <c r="Q341" i="54" s="1"/>
  <c r="AG42" i="54"/>
  <c r="AH42" i="54" s="1"/>
  <c r="AI42" i="54" s="1"/>
  <c r="AK42" i="54" s="1"/>
  <c r="AJ42" i="54"/>
  <c r="AJ250" i="54"/>
  <c r="AG250" i="54"/>
  <c r="AH250" i="54" s="1"/>
  <c r="AI250" i="54" s="1"/>
  <c r="AK250" i="54" s="1"/>
  <c r="AJ55" i="54"/>
  <c r="AG55" i="54"/>
  <c r="AH55" i="54" s="1"/>
  <c r="AI55" i="54" s="1"/>
  <c r="AK55" i="54" s="1"/>
  <c r="AG328" i="54"/>
  <c r="AH328" i="54" s="1"/>
  <c r="AI328" i="54" s="1"/>
  <c r="AK328" i="54" s="1"/>
  <c r="AJ328" i="54"/>
  <c r="AJ211" i="54"/>
  <c r="AG211" i="54"/>
  <c r="AH211" i="54" s="1"/>
  <c r="AI211" i="54" s="1"/>
  <c r="AK211" i="54" s="1"/>
  <c r="AG393" i="54"/>
  <c r="AH393" i="54" s="1"/>
  <c r="AI393" i="54" s="1"/>
  <c r="AK393" i="54" s="1"/>
  <c r="AJ393" i="54"/>
  <c r="AG354" i="54"/>
  <c r="AJ354" i="54"/>
  <c r="AG341" i="54"/>
  <c r="AH341" i="54" s="1"/>
  <c r="AI341" i="54" s="1"/>
  <c r="AK341" i="54" s="1"/>
  <c r="AJ341" i="54"/>
  <c r="BD213" i="54"/>
  <c r="BA213" i="54"/>
  <c r="BB213" i="54" s="1"/>
  <c r="BC213" i="54" s="1"/>
  <c r="BE213" i="54" s="1"/>
  <c r="BD187" i="54"/>
  <c r="BA187" i="54"/>
  <c r="BB187" i="54" s="1"/>
  <c r="BC187" i="54" s="1"/>
  <c r="BD122" i="54"/>
  <c r="BA122" i="54"/>
  <c r="BB122" i="54" s="1"/>
  <c r="BC122" i="54" s="1"/>
  <c r="BD317" i="54"/>
  <c r="BA317" i="54"/>
  <c r="BB317" i="54" s="1"/>
  <c r="BC317" i="54" s="1"/>
  <c r="BD369" i="54"/>
  <c r="BA369" i="54"/>
  <c r="BB369" i="54" s="1"/>
  <c r="BC369" i="54" s="1"/>
  <c r="BE369" i="54" s="1"/>
  <c r="BA31" i="54"/>
  <c r="BB31" i="54" s="1"/>
  <c r="BC31" i="54" s="1"/>
  <c r="BE31" i="54" s="1"/>
  <c r="BD31" i="54"/>
  <c r="BD239" i="54"/>
  <c r="BA239" i="54"/>
  <c r="BB239" i="54" s="1"/>
  <c r="BC239" i="54" s="1"/>
  <c r="W249" i="54"/>
  <c r="X249" i="54" s="1"/>
  <c r="Y249" i="54" s="1"/>
  <c r="AA249" i="54" s="1"/>
  <c r="Z249" i="54"/>
  <c r="Z132" i="54"/>
  <c r="W132" i="54"/>
  <c r="W106" i="54"/>
  <c r="X106" i="54" s="1"/>
  <c r="Y106" i="54" s="1"/>
  <c r="AA106" i="54" s="1"/>
  <c r="Z106" i="54"/>
  <c r="W379" i="54"/>
  <c r="X379" i="54" s="1"/>
  <c r="Y379" i="54" s="1"/>
  <c r="AA379" i="54" s="1"/>
  <c r="Z379" i="54"/>
  <c r="W119" i="54"/>
  <c r="X119" i="54" s="1"/>
  <c r="Y119" i="54" s="1"/>
  <c r="AA119" i="54" s="1"/>
  <c r="Z119" i="54"/>
  <c r="W314" i="54"/>
  <c r="X314" i="54" s="1"/>
  <c r="Y314" i="54" s="1"/>
  <c r="AA314" i="54" s="1"/>
  <c r="Z314" i="54"/>
  <c r="W275" i="54"/>
  <c r="X275" i="54" s="1"/>
  <c r="Y275" i="54" s="1"/>
  <c r="AA275" i="54" s="1"/>
  <c r="Z275" i="54"/>
  <c r="AT131" i="54"/>
  <c r="AQ131" i="54"/>
  <c r="AR131" i="54" s="1"/>
  <c r="AS131" i="54" s="1"/>
  <c r="AU131" i="54" s="1"/>
  <c r="AT79" i="54"/>
  <c r="AQ79" i="54"/>
  <c r="AR79" i="54" s="1"/>
  <c r="AS79" i="54" s="1"/>
  <c r="AU79" i="54" s="1"/>
  <c r="AT27" i="54"/>
  <c r="AQ27" i="54"/>
  <c r="AR27" i="54" s="1"/>
  <c r="AS27" i="54" s="1"/>
  <c r="AU27" i="54" s="1"/>
  <c r="AT248" i="54"/>
  <c r="AQ248" i="54"/>
  <c r="AT261" i="54"/>
  <c r="AQ261" i="54"/>
  <c r="AR261" i="54" s="1"/>
  <c r="AS261" i="54" s="1"/>
  <c r="AQ339" i="54"/>
  <c r="AR339" i="54" s="1"/>
  <c r="AS339" i="54" s="1"/>
  <c r="AU339" i="54" s="1"/>
  <c r="AT339" i="54"/>
  <c r="AT300" i="54"/>
  <c r="AQ300" i="54"/>
  <c r="AR300" i="54" s="1"/>
  <c r="AS300" i="54" s="1"/>
  <c r="AU300" i="54" s="1"/>
  <c r="BA55" i="54"/>
  <c r="BB55" i="54" s="1"/>
  <c r="BC55" i="54" s="1"/>
  <c r="BE55" i="54" s="1"/>
  <c r="BD55" i="54"/>
  <c r="BD146" i="54"/>
  <c r="BA146" i="54"/>
  <c r="BB146" i="54" s="1"/>
  <c r="BC146" i="54" s="1"/>
  <c r="BA367" i="54"/>
  <c r="BB367" i="54" s="1"/>
  <c r="BC367" i="54" s="1"/>
  <c r="BE367" i="54" s="1"/>
  <c r="BD367" i="54"/>
  <c r="BA172" i="54"/>
  <c r="BB172" i="54" s="1"/>
  <c r="BC172" i="54" s="1"/>
  <c r="BE172" i="54" s="1"/>
  <c r="BD172" i="54"/>
  <c r="BD328" i="54"/>
  <c r="BA328" i="54"/>
  <c r="BB328" i="54" s="1"/>
  <c r="BC328" i="54" s="1"/>
  <c r="BE328" i="54" s="1"/>
  <c r="BD120" i="54"/>
  <c r="BA120" i="54"/>
  <c r="BB120" i="54" s="1"/>
  <c r="BC120" i="54" s="1"/>
  <c r="BE120" i="54" s="1"/>
  <c r="BD68" i="54"/>
  <c r="BA68" i="54"/>
  <c r="BB68" i="54" s="1"/>
  <c r="BC68" i="54" s="1"/>
  <c r="BE68" i="54" s="1"/>
  <c r="BD289" i="54"/>
  <c r="BA289" i="54"/>
  <c r="P73" i="54"/>
  <c r="M73" i="54"/>
  <c r="P21" i="54"/>
  <c r="M21" i="54"/>
  <c r="N21" i="54" s="1"/>
  <c r="O21" i="54" s="1"/>
  <c r="Q21" i="54" s="1"/>
  <c r="P333" i="54"/>
  <c r="M333" i="54"/>
  <c r="P190" i="54"/>
  <c r="M190" i="54"/>
  <c r="AT133" i="54"/>
  <c r="AQ133" i="54"/>
  <c r="AT81" i="54"/>
  <c r="AQ81" i="54"/>
  <c r="AR81" i="54" s="1"/>
  <c r="AS81" i="54" s="1"/>
  <c r="AU81" i="54" s="1"/>
  <c r="AT29" i="54"/>
  <c r="AQ29" i="54"/>
  <c r="AR29" i="54" s="1"/>
  <c r="AS29" i="54" s="1"/>
  <c r="AU29" i="54" s="1"/>
  <c r="AT159" i="54"/>
  <c r="AQ159" i="54"/>
  <c r="AR159" i="54" s="1"/>
  <c r="AS159" i="54" s="1"/>
  <c r="AU159" i="54" s="1"/>
  <c r="AT367" i="54"/>
  <c r="AQ367" i="54"/>
  <c r="AT263" i="54"/>
  <c r="AQ263" i="54"/>
  <c r="AR263" i="54" s="1"/>
  <c r="AS263" i="54" s="1"/>
  <c r="AU263" i="54" s="1"/>
  <c r="AT94" i="54"/>
  <c r="AQ94" i="54"/>
  <c r="AR94" i="54" s="1"/>
  <c r="AS94" i="54" s="1"/>
  <c r="AU94" i="54" s="1"/>
  <c r="AG116" i="54"/>
  <c r="AH116" i="54" s="1"/>
  <c r="AI116" i="54" s="1"/>
  <c r="AK116" i="54" s="1"/>
  <c r="AJ116" i="54"/>
  <c r="AJ129" i="54"/>
  <c r="AG129" i="54"/>
  <c r="AH129" i="54" s="1"/>
  <c r="AI129" i="54" s="1"/>
  <c r="AK129" i="54" s="1"/>
  <c r="AG402" i="54"/>
  <c r="AH402" i="54" s="1"/>
  <c r="AI402" i="54" s="1"/>
  <c r="AK402" i="54" s="1"/>
  <c r="AJ402" i="54"/>
  <c r="AG77" i="54"/>
  <c r="AH77" i="54" s="1"/>
  <c r="AI77" i="54" s="1"/>
  <c r="AK77" i="54" s="1"/>
  <c r="AJ77" i="54"/>
  <c r="AJ103" i="54"/>
  <c r="AG103" i="54"/>
  <c r="AH103" i="54" s="1"/>
  <c r="AI103" i="54" s="1"/>
  <c r="AK103" i="54" s="1"/>
  <c r="AG142" i="54"/>
  <c r="AH142" i="54" s="1"/>
  <c r="AI142" i="54" s="1"/>
  <c r="AK142" i="54" s="1"/>
  <c r="AJ142" i="54"/>
  <c r="AG51" i="54"/>
  <c r="AH51" i="54" s="1"/>
  <c r="AI51" i="54" s="1"/>
  <c r="AK51" i="54" s="1"/>
  <c r="AJ51" i="54"/>
  <c r="BA36" i="54"/>
  <c r="BB36" i="54" s="1"/>
  <c r="BC36" i="54" s="1"/>
  <c r="BE36" i="54" s="1"/>
  <c r="BD36" i="54"/>
  <c r="BA75" i="54"/>
  <c r="BB75" i="54" s="1"/>
  <c r="BC75" i="54" s="1"/>
  <c r="BE75" i="54" s="1"/>
  <c r="BD75" i="54"/>
  <c r="BD296" i="54"/>
  <c r="BA296" i="54"/>
  <c r="BA192" i="54"/>
  <c r="BB192" i="54" s="1"/>
  <c r="BC192" i="54" s="1"/>
  <c r="BE192" i="54" s="1"/>
  <c r="BD192" i="54"/>
  <c r="BD361" i="54"/>
  <c r="BA361" i="54"/>
  <c r="BB361" i="54" s="1"/>
  <c r="BC361" i="54" s="1"/>
  <c r="BE361" i="54" s="1"/>
  <c r="BD218" i="54"/>
  <c r="BA218" i="54"/>
  <c r="BD244" i="54"/>
  <c r="BA244" i="54"/>
  <c r="BB244" i="54" s="1"/>
  <c r="BC244" i="54" s="1"/>
  <c r="BE244" i="54" s="1"/>
  <c r="AT69" i="54"/>
  <c r="AQ69" i="54"/>
  <c r="AR69" i="54" s="1"/>
  <c r="AS69" i="54" s="1"/>
  <c r="AU69" i="54" s="1"/>
  <c r="AT17" i="54"/>
  <c r="AQ17" i="54"/>
  <c r="AR17" i="54" s="1"/>
  <c r="AS17" i="54" s="1"/>
  <c r="AU17" i="54" s="1"/>
  <c r="AT56" i="54"/>
  <c r="AQ56" i="54"/>
  <c r="AR56" i="54" s="1"/>
  <c r="AS56" i="54" s="1"/>
  <c r="AU56" i="54" s="1"/>
  <c r="AT134" i="54"/>
  <c r="AQ134" i="54"/>
  <c r="AR134" i="54" s="1"/>
  <c r="AS134" i="54" s="1"/>
  <c r="AU134" i="54" s="1"/>
  <c r="AT277" i="54"/>
  <c r="AQ277" i="54"/>
  <c r="AT108" i="54"/>
  <c r="AQ108" i="54"/>
  <c r="AT355" i="54"/>
  <c r="AQ355" i="54"/>
  <c r="AQ316" i="54"/>
  <c r="AR316" i="54" s="1"/>
  <c r="AS316" i="54" s="1"/>
  <c r="AU316" i="54" s="1"/>
  <c r="AT316" i="54"/>
  <c r="AT114" i="54"/>
  <c r="AQ114" i="54"/>
  <c r="AR114" i="54" s="1"/>
  <c r="AS114" i="54" s="1"/>
  <c r="AT75" i="54"/>
  <c r="AQ75" i="54"/>
  <c r="AR75" i="54" s="1"/>
  <c r="AS75" i="54" s="1"/>
  <c r="AU75" i="54" s="1"/>
  <c r="AT283" i="54"/>
  <c r="AQ283" i="54"/>
  <c r="AR283" i="54" s="1"/>
  <c r="AS283" i="54" s="1"/>
  <c r="AU283" i="54" s="1"/>
  <c r="AT192" i="54"/>
  <c r="AQ192" i="54"/>
  <c r="AR192" i="54" s="1"/>
  <c r="AS192" i="54" s="1"/>
  <c r="AU192" i="54" s="1"/>
  <c r="AT140" i="54"/>
  <c r="AQ140" i="54"/>
  <c r="AR140" i="54" s="1"/>
  <c r="AS140" i="54" s="1"/>
  <c r="AU140" i="54" s="1"/>
  <c r="AT322" i="54"/>
  <c r="AQ322" i="54"/>
  <c r="AR322" i="54" s="1"/>
  <c r="AS322" i="54" s="1"/>
  <c r="AU322" i="54" s="1"/>
  <c r="AT348" i="54"/>
  <c r="AQ348" i="54"/>
  <c r="W116" i="54"/>
  <c r="Z116" i="54"/>
  <c r="W337" i="54"/>
  <c r="Z337" i="54"/>
  <c r="W194" i="54"/>
  <c r="Z194" i="54"/>
  <c r="W64" i="54"/>
  <c r="X64" i="54" s="1"/>
  <c r="Y64" i="54" s="1"/>
  <c r="AA64" i="54" s="1"/>
  <c r="Z64" i="54"/>
  <c r="Z350" i="54"/>
  <c r="W350" i="54"/>
  <c r="X350" i="54" s="1"/>
  <c r="Y350" i="54" s="1"/>
  <c r="AA350" i="54" s="1"/>
  <c r="Z220" i="54"/>
  <c r="W220" i="54"/>
  <c r="X220" i="54" s="1"/>
  <c r="Y220" i="54" s="1"/>
  <c r="AA220" i="54" s="1"/>
  <c r="W389" i="54"/>
  <c r="X389" i="54" s="1"/>
  <c r="Y389" i="54" s="1"/>
  <c r="AA389" i="54" s="1"/>
  <c r="Z389" i="54"/>
  <c r="W292" i="54"/>
  <c r="X292" i="54" s="1"/>
  <c r="Y292" i="54" s="1"/>
  <c r="AA292" i="54" s="1"/>
  <c r="Z292" i="54"/>
  <c r="W266" i="54"/>
  <c r="X266" i="54" s="1"/>
  <c r="Y266" i="54" s="1"/>
  <c r="AA266" i="54" s="1"/>
  <c r="Z266" i="54"/>
  <c r="W84" i="54"/>
  <c r="X84" i="54" s="1"/>
  <c r="Y84" i="54" s="1"/>
  <c r="AA84" i="54" s="1"/>
  <c r="Z84" i="54"/>
  <c r="W97" i="54"/>
  <c r="X97" i="54" s="1"/>
  <c r="Y97" i="54" s="1"/>
  <c r="AA97" i="54" s="1"/>
  <c r="Z97" i="54"/>
  <c r="Z162" i="54"/>
  <c r="W162" i="54"/>
  <c r="W331" i="54"/>
  <c r="X331" i="54" s="1"/>
  <c r="Y331" i="54" s="1"/>
  <c r="AA331" i="54" s="1"/>
  <c r="Z331" i="54"/>
  <c r="Z201" i="54"/>
  <c r="W201" i="54"/>
  <c r="X201" i="54" s="1"/>
  <c r="Y201" i="54" s="1"/>
  <c r="AA201" i="54" s="1"/>
  <c r="AG125" i="54"/>
  <c r="AH125" i="54" s="1"/>
  <c r="AI125" i="54" s="1"/>
  <c r="AK125" i="54" s="1"/>
  <c r="AJ125" i="54"/>
  <c r="AJ307" i="54"/>
  <c r="AG307" i="54"/>
  <c r="AH307" i="54" s="1"/>
  <c r="AI307" i="54" s="1"/>
  <c r="AK307" i="54" s="1"/>
  <c r="AG73" i="54"/>
  <c r="AH73" i="54" s="1"/>
  <c r="AI73" i="54" s="1"/>
  <c r="AK73" i="54" s="1"/>
  <c r="AJ73" i="54"/>
  <c r="AG333" i="54"/>
  <c r="AH333" i="54" s="1"/>
  <c r="AI333" i="54" s="1"/>
  <c r="AK333" i="54" s="1"/>
  <c r="AJ333" i="54"/>
  <c r="AJ47" i="54"/>
  <c r="AG47" i="54"/>
  <c r="AH47" i="54" s="1"/>
  <c r="AI47" i="54" s="1"/>
  <c r="AK47" i="54" s="1"/>
  <c r="AG242" i="54"/>
  <c r="AH242" i="54" s="1"/>
  <c r="AI242" i="54" s="1"/>
  <c r="AK242" i="54" s="1"/>
  <c r="AJ242" i="54"/>
  <c r="AJ112" i="54"/>
  <c r="AG112" i="54"/>
  <c r="AH112" i="54" s="1"/>
  <c r="AI112" i="54" s="1"/>
  <c r="AK112" i="54" s="1"/>
  <c r="BD112" i="54"/>
  <c r="BA112" i="54"/>
  <c r="BD398" i="54"/>
  <c r="BA398" i="54"/>
  <c r="BB398" i="54" s="1"/>
  <c r="BC398" i="54" s="1"/>
  <c r="BE398" i="54" s="1"/>
  <c r="BA34" i="54"/>
  <c r="BB34" i="54" s="1"/>
  <c r="BC34" i="54" s="1"/>
  <c r="BE34" i="54" s="1"/>
  <c r="BD34" i="54"/>
  <c r="BD346" i="54"/>
  <c r="BA346" i="54"/>
  <c r="BB346" i="54" s="1"/>
  <c r="BC346" i="54" s="1"/>
  <c r="BE346" i="54" s="1"/>
  <c r="BA73" i="54"/>
  <c r="BB73" i="54" s="1"/>
  <c r="BC73" i="54" s="1"/>
  <c r="BE73" i="54" s="1"/>
  <c r="BD73" i="54"/>
  <c r="BD281" i="54"/>
  <c r="BA281" i="54"/>
  <c r="BB281" i="54" s="1"/>
  <c r="BC281" i="54" s="1"/>
  <c r="BE281" i="54" s="1"/>
  <c r="BD255" i="54"/>
  <c r="BA255" i="54"/>
  <c r="BB255" i="54" s="1"/>
  <c r="BC255" i="54" s="1"/>
  <c r="BE255" i="54" s="1"/>
  <c r="BD333" i="54"/>
  <c r="BA333" i="54"/>
  <c r="AT129" i="54"/>
  <c r="AQ129" i="54"/>
  <c r="AR129" i="54" s="1"/>
  <c r="AS129" i="54" s="1"/>
  <c r="AU129" i="54" s="1"/>
  <c r="AT103" i="54"/>
  <c r="AQ103" i="54"/>
  <c r="AT38" i="54"/>
  <c r="AQ38" i="54"/>
  <c r="AR38" i="54" s="1"/>
  <c r="AS38" i="54" s="1"/>
  <c r="AU38" i="54" s="1"/>
  <c r="AT90" i="54"/>
  <c r="AQ90" i="54"/>
  <c r="AR90" i="54" s="1"/>
  <c r="AS90" i="54" s="1"/>
  <c r="AU90" i="54" s="1"/>
  <c r="AT194" i="54"/>
  <c r="AQ194" i="54"/>
  <c r="AR194" i="54" s="1"/>
  <c r="AS194" i="54" s="1"/>
  <c r="AU194" i="54" s="1"/>
  <c r="AT116" i="54"/>
  <c r="AQ116" i="54"/>
  <c r="AT272" i="54"/>
  <c r="AQ272" i="54"/>
  <c r="AR272" i="54" s="1"/>
  <c r="AS272" i="54" s="1"/>
  <c r="AU272" i="54" s="1"/>
  <c r="AT285" i="54"/>
  <c r="AQ285" i="54"/>
  <c r="P308" i="54"/>
  <c r="M308" i="54"/>
  <c r="P152" i="54"/>
  <c r="M152" i="54"/>
  <c r="P217" i="54"/>
  <c r="M217" i="54"/>
  <c r="P399" i="54"/>
  <c r="M399" i="54"/>
  <c r="AG214" i="54"/>
  <c r="AH214" i="54" s="1"/>
  <c r="AI214" i="54" s="1"/>
  <c r="AK214" i="54" s="1"/>
  <c r="AJ214" i="54"/>
  <c r="AG227" i="54"/>
  <c r="AJ227" i="54"/>
  <c r="AG149" i="54"/>
  <c r="AH149" i="54" s="1"/>
  <c r="AI149" i="54" s="1"/>
  <c r="AK149" i="54" s="1"/>
  <c r="AJ149" i="54"/>
  <c r="AG175" i="54"/>
  <c r="AJ175" i="54"/>
  <c r="AG97" i="54"/>
  <c r="AH97" i="54" s="1"/>
  <c r="AI97" i="54" s="1"/>
  <c r="AK97" i="54" s="1"/>
  <c r="AJ97" i="54"/>
  <c r="AG370" i="54"/>
  <c r="AJ370" i="54"/>
  <c r="AG253" i="54"/>
  <c r="AH253" i="54" s="1"/>
  <c r="AI253" i="54" s="1"/>
  <c r="AK253" i="54" s="1"/>
  <c r="AJ253" i="54"/>
  <c r="AG305" i="54"/>
  <c r="AJ305" i="54"/>
  <c r="AT71" i="54"/>
  <c r="AQ71" i="54"/>
  <c r="AR71" i="54" s="1"/>
  <c r="AS71" i="54" s="1"/>
  <c r="AU71" i="54" s="1"/>
  <c r="AT32" i="54"/>
  <c r="AQ32" i="54"/>
  <c r="AR32" i="54" s="1"/>
  <c r="AS32" i="54" s="1"/>
  <c r="AU32" i="54" s="1"/>
  <c r="AT214" i="54"/>
  <c r="AQ214" i="54"/>
  <c r="AR214" i="54" s="1"/>
  <c r="AS214" i="54" s="1"/>
  <c r="AU214" i="54" s="1"/>
  <c r="AT253" i="54"/>
  <c r="AQ253" i="54"/>
  <c r="AT292" i="54"/>
  <c r="AQ292" i="54"/>
  <c r="AR292" i="54" s="1"/>
  <c r="AS292" i="54" s="1"/>
  <c r="AU292" i="54" s="1"/>
  <c r="AT383" i="54"/>
  <c r="AQ383" i="54"/>
  <c r="AR383" i="54" s="1"/>
  <c r="AS383" i="54" s="1"/>
  <c r="AT318" i="54"/>
  <c r="AQ318" i="54"/>
  <c r="AR318" i="54" s="1"/>
  <c r="AS318" i="54" s="1"/>
  <c r="AU318" i="54" s="1"/>
  <c r="AG52" i="54"/>
  <c r="AH52" i="54" s="1"/>
  <c r="AI52" i="54" s="1"/>
  <c r="AK52" i="54" s="1"/>
  <c r="AJ52" i="54"/>
  <c r="AG78" i="54"/>
  <c r="AH78" i="54" s="1"/>
  <c r="AI78" i="54" s="1"/>
  <c r="AK78" i="54" s="1"/>
  <c r="AJ78" i="54"/>
  <c r="AG390" i="54"/>
  <c r="AH390" i="54" s="1"/>
  <c r="AI390" i="54" s="1"/>
  <c r="AK390" i="54" s="1"/>
  <c r="AJ390" i="54"/>
  <c r="AJ117" i="54"/>
  <c r="AG117" i="54"/>
  <c r="AH117" i="54" s="1"/>
  <c r="AI117" i="54" s="1"/>
  <c r="AK117" i="54" s="1"/>
  <c r="AJ247" i="54"/>
  <c r="AG247" i="54"/>
  <c r="AH247" i="54" s="1"/>
  <c r="AI247" i="54" s="1"/>
  <c r="AK247" i="54" s="1"/>
  <c r="AJ299" i="54"/>
  <c r="AG299" i="54"/>
  <c r="AH299" i="54" s="1"/>
  <c r="AI299" i="54" s="1"/>
  <c r="AK299" i="54" s="1"/>
  <c r="AG130" i="54"/>
  <c r="AH130" i="54" s="1"/>
  <c r="AI130" i="54" s="1"/>
  <c r="AK130" i="54" s="1"/>
  <c r="AJ130" i="54"/>
  <c r="Z40" i="54"/>
  <c r="W40" i="54"/>
  <c r="X40" i="54" s="1"/>
  <c r="Y40" i="54" s="1"/>
  <c r="AA40" i="54" s="1"/>
  <c r="Z261" i="54"/>
  <c r="W261" i="54"/>
  <c r="X261" i="54" s="1"/>
  <c r="Y261" i="54" s="1"/>
  <c r="AA261" i="54" s="1"/>
  <c r="Z326" i="54"/>
  <c r="W326" i="54"/>
  <c r="X326" i="54" s="1"/>
  <c r="Y326" i="54" s="1"/>
  <c r="AA326" i="54" s="1"/>
  <c r="W248" i="54"/>
  <c r="X248" i="54" s="1"/>
  <c r="Y248" i="54" s="1"/>
  <c r="AA248" i="54" s="1"/>
  <c r="Z248" i="54"/>
  <c r="Z365" i="54"/>
  <c r="W365" i="54"/>
  <c r="X365" i="54" s="1"/>
  <c r="Y365" i="54" s="1"/>
  <c r="AA365" i="54" s="1"/>
  <c r="Z144" i="54"/>
  <c r="W144" i="54"/>
  <c r="X144" i="54" s="1"/>
  <c r="Y144" i="54" s="1"/>
  <c r="AA144" i="54" s="1"/>
  <c r="Z98" i="54"/>
  <c r="W98" i="54"/>
  <c r="X98" i="54" s="1"/>
  <c r="Y98" i="54" s="1"/>
  <c r="AA98" i="54" s="1"/>
  <c r="W319" i="54"/>
  <c r="Z319" i="54"/>
  <c r="Z176" i="54"/>
  <c r="W176" i="54"/>
  <c r="X176" i="54" s="1"/>
  <c r="Y176" i="54" s="1"/>
  <c r="AA176" i="54" s="1"/>
  <c r="W46" i="54"/>
  <c r="X46" i="54" s="1"/>
  <c r="Y46" i="54" s="1"/>
  <c r="AA46" i="54" s="1"/>
  <c r="Z46" i="54"/>
  <c r="Z332" i="54"/>
  <c r="W332" i="54"/>
  <c r="W72" i="54"/>
  <c r="X72" i="54" s="1"/>
  <c r="Y72" i="54" s="1"/>
  <c r="AA72" i="54" s="1"/>
  <c r="Z72" i="54"/>
  <c r="AJ163" i="54"/>
  <c r="AG163" i="54"/>
  <c r="AH163" i="54" s="1"/>
  <c r="AI163" i="54" s="1"/>
  <c r="AK163" i="54" s="1"/>
  <c r="AG72" i="54"/>
  <c r="AH72" i="54" s="1"/>
  <c r="AI72" i="54" s="1"/>
  <c r="AK72" i="54" s="1"/>
  <c r="AJ72" i="54"/>
  <c r="AG137" i="54"/>
  <c r="AH137" i="54" s="1"/>
  <c r="AI137" i="54" s="1"/>
  <c r="AK137" i="54" s="1"/>
  <c r="AJ137" i="54"/>
  <c r="AJ228" i="54"/>
  <c r="AG228" i="54"/>
  <c r="AH228" i="54" s="1"/>
  <c r="AI228" i="54" s="1"/>
  <c r="AK228" i="54" s="1"/>
  <c r="AJ306" i="54"/>
  <c r="AG306" i="54"/>
  <c r="AH306" i="54" s="1"/>
  <c r="AI306" i="54" s="1"/>
  <c r="AK306" i="54" s="1"/>
  <c r="AG46" i="54"/>
  <c r="AH46" i="54" s="1"/>
  <c r="AI46" i="54" s="1"/>
  <c r="AK46" i="54" s="1"/>
  <c r="AJ46" i="54"/>
  <c r="AG150" i="54"/>
  <c r="AH150" i="54" s="1"/>
  <c r="AI150" i="54" s="1"/>
  <c r="AK150" i="54" s="1"/>
  <c r="AJ150" i="54"/>
  <c r="AJ280" i="54"/>
  <c r="AG280" i="54"/>
  <c r="BA65" i="54"/>
  <c r="BB65" i="54" s="1"/>
  <c r="BC65" i="54" s="1"/>
  <c r="BE65" i="54" s="1"/>
  <c r="BD65" i="54"/>
  <c r="BD403" i="54"/>
  <c r="BA403" i="54"/>
  <c r="BB403" i="54" s="1"/>
  <c r="BC403" i="54" s="1"/>
  <c r="BD208" i="54"/>
  <c r="BA208" i="54"/>
  <c r="BB208" i="54" s="1"/>
  <c r="BC208" i="54" s="1"/>
  <c r="BE208" i="54" s="1"/>
  <c r="BD390" i="54"/>
  <c r="BA390" i="54"/>
  <c r="BB390" i="54" s="1"/>
  <c r="BC390" i="54" s="1"/>
  <c r="BA26" i="54"/>
  <c r="BB26" i="54" s="1"/>
  <c r="BC26" i="54" s="1"/>
  <c r="BE26" i="54" s="1"/>
  <c r="BD26" i="54"/>
  <c r="BD195" i="54"/>
  <c r="BA195" i="54"/>
  <c r="BD221" i="54"/>
  <c r="BA221" i="54"/>
  <c r="BD351" i="54"/>
  <c r="BA351" i="54"/>
  <c r="AT91" i="54"/>
  <c r="AQ91" i="54"/>
  <c r="AR91" i="54" s="1"/>
  <c r="AS91" i="54" s="1"/>
  <c r="AU91" i="54" s="1"/>
  <c r="AT104" i="54"/>
  <c r="AQ104" i="54"/>
  <c r="AR104" i="54" s="1"/>
  <c r="AS104" i="54" s="1"/>
  <c r="AU104" i="54" s="1"/>
  <c r="AT65" i="54"/>
  <c r="AQ65" i="54"/>
  <c r="AR65" i="54" s="1"/>
  <c r="AS65" i="54" s="1"/>
  <c r="AU65" i="54" s="1"/>
  <c r="AT286" i="54"/>
  <c r="AQ286" i="54"/>
  <c r="AR286" i="54" s="1"/>
  <c r="AS286" i="54" s="1"/>
  <c r="AU286" i="54" s="1"/>
  <c r="AT403" i="54"/>
  <c r="AQ403" i="54"/>
  <c r="AR403" i="54" s="1"/>
  <c r="AS403" i="54" s="1"/>
  <c r="AU403" i="54" s="1"/>
  <c r="AT299" i="54"/>
  <c r="AQ299" i="54"/>
  <c r="AR299" i="54" s="1"/>
  <c r="AS299" i="54" s="1"/>
  <c r="AU299" i="54" s="1"/>
  <c r="AT130" i="54"/>
  <c r="AQ130" i="54"/>
  <c r="AR130" i="54" s="1"/>
  <c r="AS130" i="54" s="1"/>
  <c r="AU130" i="54" s="1"/>
  <c r="AT96" i="54"/>
  <c r="AQ96" i="54"/>
  <c r="AR96" i="54" s="1"/>
  <c r="AS96" i="54" s="1"/>
  <c r="AU96" i="54" s="1"/>
  <c r="AT161" i="54"/>
  <c r="AQ161" i="54"/>
  <c r="AR161" i="54" s="1"/>
  <c r="AS161" i="54" s="1"/>
  <c r="AU161" i="54" s="1"/>
  <c r="AT213" i="54"/>
  <c r="AQ213" i="54"/>
  <c r="AT395" i="54"/>
  <c r="AQ395" i="54"/>
  <c r="AR395" i="54" s="1"/>
  <c r="AS395" i="54" s="1"/>
  <c r="AU395" i="54" s="1"/>
  <c r="AT239" i="54"/>
  <c r="AQ239" i="54"/>
  <c r="AR239" i="54" s="1"/>
  <c r="AS239" i="54" s="1"/>
  <c r="AU239" i="54" s="1"/>
  <c r="AT200" i="54"/>
  <c r="AQ200" i="54"/>
  <c r="AR200" i="54" s="1"/>
  <c r="AS200" i="54" s="1"/>
  <c r="AU200" i="54" s="1"/>
  <c r="AT356" i="54"/>
  <c r="AQ356" i="54"/>
  <c r="AR356" i="54" s="1"/>
  <c r="AS356" i="54" s="1"/>
  <c r="AU356" i="54" s="1"/>
  <c r="AT226" i="54"/>
  <c r="AQ226" i="54"/>
  <c r="AR226" i="54" s="1"/>
  <c r="AS226" i="54" s="1"/>
  <c r="BD119" i="54"/>
  <c r="BA119" i="54"/>
  <c r="BB119" i="54" s="1"/>
  <c r="BC119" i="54" s="1"/>
  <c r="BE119" i="54" s="1"/>
  <c r="BD353" i="54"/>
  <c r="BA353" i="54"/>
  <c r="BB353" i="54" s="1"/>
  <c r="BC353" i="54" s="1"/>
  <c r="BE353" i="54" s="1"/>
  <c r="BD93" i="54"/>
  <c r="BA93" i="54"/>
  <c r="BB93" i="54" s="1"/>
  <c r="BC93" i="54" s="1"/>
  <c r="BE93" i="54" s="1"/>
  <c r="BD171" i="54"/>
  <c r="BA171" i="54"/>
  <c r="BD327" i="54"/>
  <c r="BA327" i="54"/>
  <c r="BB327" i="54" s="1"/>
  <c r="BC327" i="54" s="1"/>
  <c r="BA80" i="54"/>
  <c r="BB80" i="54" s="1"/>
  <c r="BC80" i="54" s="1"/>
  <c r="BE80" i="54" s="1"/>
  <c r="BD80" i="54"/>
  <c r="BD275" i="54"/>
  <c r="BA275" i="54"/>
  <c r="BB275" i="54" s="1"/>
  <c r="BC275" i="54" s="1"/>
  <c r="BE275" i="54" s="1"/>
  <c r="BD392" i="54"/>
  <c r="BA392" i="54"/>
  <c r="BB392" i="54" s="1"/>
  <c r="BC392" i="54" s="1"/>
  <c r="BE392" i="54" s="1"/>
  <c r="P53" i="54"/>
  <c r="M53" i="54"/>
  <c r="M274" i="54"/>
  <c r="N274" i="54" s="1"/>
  <c r="O274" i="54" s="1"/>
  <c r="Q274" i="54" s="1"/>
  <c r="P274" i="54"/>
  <c r="M222" i="54"/>
  <c r="N222" i="54" s="1"/>
  <c r="O222" i="54" s="1"/>
  <c r="Q222" i="54" s="1"/>
  <c r="P222" i="54"/>
  <c r="P313" i="54"/>
  <c r="M313" i="54"/>
  <c r="AT193" i="54"/>
  <c r="AQ193" i="54"/>
  <c r="AR193" i="54" s="1"/>
  <c r="AS193" i="54" s="1"/>
  <c r="AT37" i="54"/>
  <c r="AQ37" i="54"/>
  <c r="AR37" i="54" s="1"/>
  <c r="AS37" i="54" s="1"/>
  <c r="AU37" i="54" s="1"/>
  <c r="AT141" i="54"/>
  <c r="AQ141" i="54"/>
  <c r="AQ271" i="54"/>
  <c r="AR271" i="54" s="1"/>
  <c r="AS271" i="54" s="1"/>
  <c r="AU271" i="54" s="1"/>
  <c r="AT271" i="54"/>
  <c r="AT102" i="54"/>
  <c r="AQ102" i="54"/>
  <c r="AR102" i="54" s="1"/>
  <c r="AS102" i="54" s="1"/>
  <c r="AU102" i="54" s="1"/>
  <c r="AT362" i="54"/>
  <c r="AQ362" i="54"/>
  <c r="AT375" i="54"/>
  <c r="AQ375" i="54"/>
  <c r="AR375" i="54" s="1"/>
  <c r="AS375" i="54" s="1"/>
  <c r="AU375" i="54" s="1"/>
  <c r="AQ323" i="54"/>
  <c r="AR323" i="54" s="1"/>
  <c r="AS323" i="54" s="1"/>
  <c r="AU323" i="54" s="1"/>
  <c r="AT323" i="54"/>
  <c r="AP114" i="56"/>
  <c r="AM114" i="56"/>
  <c r="AP36" i="56"/>
  <c r="AM36" i="56"/>
  <c r="AN36" i="56" s="1"/>
  <c r="AO36" i="56" s="1"/>
  <c r="AQ36" i="56" s="1"/>
  <c r="AP296" i="56"/>
  <c r="AM296" i="56"/>
  <c r="AN296" i="56" s="1"/>
  <c r="AO296" i="56" s="1"/>
  <c r="AQ296" i="56" s="1"/>
  <c r="AP244" i="56"/>
  <c r="AM244" i="56"/>
  <c r="AN244" i="56" s="1"/>
  <c r="AO244" i="56" s="1"/>
  <c r="AQ244" i="56" s="1"/>
  <c r="AP49" i="56"/>
  <c r="AM49" i="56"/>
  <c r="AN49" i="56" s="1"/>
  <c r="AO49" i="56" s="1"/>
  <c r="AQ49" i="56" s="1"/>
  <c r="AD257" i="56"/>
  <c r="AA257" i="56"/>
  <c r="AD205" i="56"/>
  <c r="AA205" i="56"/>
  <c r="AD283" i="56"/>
  <c r="AA283" i="56"/>
  <c r="AB283" i="56" s="1"/>
  <c r="AC283" i="56" s="1"/>
  <c r="AE283" i="56" s="1"/>
  <c r="AD361" i="56"/>
  <c r="AA361" i="56"/>
  <c r="AB361" i="56" s="1"/>
  <c r="AC361" i="56" s="1"/>
  <c r="AE361" i="56" s="1"/>
  <c r="AD335" i="56"/>
  <c r="AA335" i="56"/>
  <c r="AD348" i="56"/>
  <c r="AA348" i="56"/>
  <c r="AB348" i="56" s="1"/>
  <c r="AC348" i="56" s="1"/>
  <c r="AE348" i="56" s="1"/>
  <c r="AD374" i="56"/>
  <c r="AA374" i="56"/>
  <c r="AD64" i="56"/>
  <c r="AA64" i="56"/>
  <c r="AB64" i="56" s="1"/>
  <c r="AC64" i="56" s="1"/>
  <c r="AE64" i="56" s="1"/>
  <c r="AD246" i="56"/>
  <c r="AA246" i="56"/>
  <c r="AD324" i="56"/>
  <c r="AA324" i="56"/>
  <c r="AD103" i="56"/>
  <c r="AA103" i="56"/>
  <c r="AB103" i="56" s="1"/>
  <c r="AC103" i="56" s="1"/>
  <c r="AE103" i="56" s="1"/>
  <c r="AD181" i="56"/>
  <c r="AA181" i="56"/>
  <c r="AB181" i="56" s="1"/>
  <c r="AC181" i="56" s="1"/>
  <c r="AE181" i="56" s="1"/>
  <c r="AD51" i="56"/>
  <c r="AA51" i="56"/>
  <c r="AB51" i="56" s="1"/>
  <c r="AC51" i="56" s="1"/>
  <c r="AE51" i="56" s="1"/>
  <c r="AD129" i="56"/>
  <c r="AA129" i="56"/>
  <c r="AB129" i="56" s="1"/>
  <c r="AC129" i="56" s="1"/>
  <c r="AE129" i="56" s="1"/>
  <c r="AA389" i="56"/>
  <c r="AB389" i="56" s="1"/>
  <c r="AC389" i="56" s="1"/>
  <c r="AE389" i="56" s="1"/>
  <c r="AD389" i="56"/>
  <c r="R355" i="56"/>
  <c r="O355" i="56"/>
  <c r="P355" i="56" s="1"/>
  <c r="Q355" i="56" s="1"/>
  <c r="S355" i="56" s="1"/>
  <c r="R225" i="56"/>
  <c r="O225" i="56"/>
  <c r="P225" i="56" s="1"/>
  <c r="Q225" i="56" s="1"/>
  <c r="S225" i="56" s="1"/>
  <c r="O199" i="56"/>
  <c r="P199" i="56" s="1"/>
  <c r="Q199" i="56" s="1"/>
  <c r="S199" i="56" s="1"/>
  <c r="R199" i="56"/>
  <c r="AR199" i="56" s="1"/>
  <c r="O69" i="56"/>
  <c r="P69" i="56" s="1"/>
  <c r="Q69" i="56" s="1"/>
  <c r="S69" i="56" s="1"/>
  <c r="R69" i="56"/>
  <c r="R56" i="56"/>
  <c r="O56" i="56"/>
  <c r="P56" i="56" s="1"/>
  <c r="Q56" i="56" s="1"/>
  <c r="S56" i="56" s="1"/>
  <c r="R108" i="56"/>
  <c r="O108" i="56"/>
  <c r="P108" i="56" s="1"/>
  <c r="Q108" i="56" s="1"/>
  <c r="S108" i="56" s="1"/>
  <c r="R186" i="56"/>
  <c r="O186" i="56"/>
  <c r="P186" i="56" s="1"/>
  <c r="Q186" i="56" s="1"/>
  <c r="S186" i="56" s="1"/>
  <c r="R217" i="56"/>
  <c r="O217" i="56"/>
  <c r="P217" i="56" s="1"/>
  <c r="Q217" i="56" s="1"/>
  <c r="S217" i="56" s="1"/>
  <c r="R282" i="56"/>
  <c r="O282" i="56"/>
  <c r="P282" i="56" s="1"/>
  <c r="Q282" i="56" s="1"/>
  <c r="S282" i="56" s="1"/>
  <c r="R48" i="56"/>
  <c r="O48" i="56"/>
  <c r="P48" i="56" s="1"/>
  <c r="Q48" i="56" s="1"/>
  <c r="S48" i="56" s="1"/>
  <c r="R165" i="56"/>
  <c r="O165" i="56"/>
  <c r="P165" i="56" s="1"/>
  <c r="Q165" i="56" s="1"/>
  <c r="S165" i="56" s="1"/>
  <c r="R230" i="56"/>
  <c r="O230" i="56"/>
  <c r="R243" i="56"/>
  <c r="O243" i="56"/>
  <c r="P243" i="56" s="1"/>
  <c r="Q243" i="56" s="1"/>
  <c r="S243" i="56" s="1"/>
  <c r="R399" i="56"/>
  <c r="O399" i="56"/>
  <c r="R386" i="56"/>
  <c r="O386" i="56"/>
  <c r="P386" i="56" s="1"/>
  <c r="Q386" i="56" s="1"/>
  <c r="S386" i="56" s="1"/>
  <c r="R192" i="56"/>
  <c r="O192" i="56"/>
  <c r="O166" i="56"/>
  <c r="P166" i="56" s="1"/>
  <c r="Q166" i="56" s="1"/>
  <c r="S166" i="56" s="1"/>
  <c r="R166" i="56"/>
  <c r="AR166" i="56" s="1"/>
  <c r="R140" i="56"/>
  <c r="O140" i="56"/>
  <c r="R218" i="56"/>
  <c r="O218" i="56"/>
  <c r="P218" i="56" s="1"/>
  <c r="Q218" i="56" s="1"/>
  <c r="S218" i="56" s="1"/>
  <c r="R205" i="56"/>
  <c r="O205" i="56"/>
  <c r="P205" i="56" s="1"/>
  <c r="Q205" i="56" s="1"/>
  <c r="S205" i="56" s="1"/>
  <c r="R257" i="56"/>
  <c r="O257" i="56"/>
  <c r="P257" i="56" s="1"/>
  <c r="Q257" i="56" s="1"/>
  <c r="S257" i="56" s="1"/>
  <c r="R127" i="56"/>
  <c r="O127" i="56"/>
  <c r="R400" i="56"/>
  <c r="O400" i="56"/>
  <c r="P400" i="56" s="1"/>
  <c r="Q400" i="56" s="1"/>
  <c r="S400" i="56" s="1"/>
  <c r="AP43" i="56"/>
  <c r="AM43" i="56"/>
  <c r="AN43" i="56" s="1"/>
  <c r="AO43" i="56" s="1"/>
  <c r="AQ43" i="56" s="1"/>
  <c r="AP277" i="56"/>
  <c r="AM277" i="56"/>
  <c r="AP225" i="56"/>
  <c r="AM225" i="56"/>
  <c r="AN225" i="56" s="1"/>
  <c r="AO225" i="56" s="1"/>
  <c r="AQ225" i="56" s="1"/>
  <c r="AP368" i="56"/>
  <c r="AM368" i="56"/>
  <c r="AP165" i="56"/>
  <c r="AM165" i="56"/>
  <c r="AN165" i="56" s="1"/>
  <c r="AO165" i="56" s="1"/>
  <c r="AQ165" i="56" s="1"/>
  <c r="AP22" i="56"/>
  <c r="AM22" i="56"/>
  <c r="AN22" i="56" s="1"/>
  <c r="AO22" i="56" s="1"/>
  <c r="AQ22" i="56" s="1"/>
  <c r="AP243" i="56"/>
  <c r="AM243" i="56"/>
  <c r="AN243" i="56" s="1"/>
  <c r="AO243" i="56" s="1"/>
  <c r="AQ243" i="56" s="1"/>
  <c r="AP113" i="56"/>
  <c r="AM113" i="56"/>
  <c r="AP74" i="56"/>
  <c r="AM74" i="56"/>
  <c r="AN74" i="56" s="1"/>
  <c r="AO74" i="56" s="1"/>
  <c r="AQ74" i="56" s="1"/>
  <c r="AP373" i="56"/>
  <c r="AM373" i="56"/>
  <c r="AP360" i="56"/>
  <c r="AM360" i="56"/>
  <c r="AN360" i="56" s="1"/>
  <c r="AO360" i="56" s="1"/>
  <c r="AQ360" i="56" s="1"/>
  <c r="AP399" i="56"/>
  <c r="AM399" i="56"/>
  <c r="AN399" i="56" s="1"/>
  <c r="AO399" i="56" s="1"/>
  <c r="AQ399" i="56" s="1"/>
  <c r="AD227" i="56"/>
  <c r="AA227" i="56"/>
  <c r="AB227" i="56" s="1"/>
  <c r="AC227" i="56" s="1"/>
  <c r="AE227" i="56" s="1"/>
  <c r="AD175" i="56"/>
  <c r="AA175" i="56"/>
  <c r="AB175" i="56" s="1"/>
  <c r="AC175" i="56" s="1"/>
  <c r="AE175" i="56" s="1"/>
  <c r="AA149" i="56"/>
  <c r="AB149" i="56" s="1"/>
  <c r="AC149" i="56" s="1"/>
  <c r="AE149" i="56" s="1"/>
  <c r="AD149" i="56"/>
  <c r="AA266" i="56"/>
  <c r="AB266" i="56" s="1"/>
  <c r="AC266" i="56" s="1"/>
  <c r="AE266" i="56" s="1"/>
  <c r="AD266" i="56"/>
  <c r="AD344" i="56"/>
  <c r="AA344" i="56"/>
  <c r="AB344" i="56" s="1"/>
  <c r="AC344" i="56" s="1"/>
  <c r="AE344" i="56" s="1"/>
  <c r="AD370" i="56"/>
  <c r="AA370" i="56"/>
  <c r="AD383" i="56"/>
  <c r="AA383" i="56"/>
  <c r="O207" i="56"/>
  <c r="P207" i="56" s="1"/>
  <c r="Q207" i="56" s="1"/>
  <c r="S207" i="56" s="1"/>
  <c r="R207" i="56"/>
  <c r="O181" i="56"/>
  <c r="P181" i="56" s="1"/>
  <c r="Q181" i="56" s="1"/>
  <c r="S181" i="56" s="1"/>
  <c r="R181" i="56"/>
  <c r="R259" i="56"/>
  <c r="O259" i="56"/>
  <c r="R129" i="56"/>
  <c r="O129" i="56"/>
  <c r="R116" i="56"/>
  <c r="O116" i="56"/>
  <c r="R168" i="56"/>
  <c r="O168" i="56"/>
  <c r="P168" i="56" s="1"/>
  <c r="Q168" i="56" s="1"/>
  <c r="S168" i="56" s="1"/>
  <c r="R142" i="56"/>
  <c r="O142" i="56"/>
  <c r="R389" i="56"/>
  <c r="O389" i="56"/>
  <c r="P389" i="56" s="1"/>
  <c r="Q389" i="56" s="1"/>
  <c r="S389" i="56" s="1"/>
  <c r="AD87" i="56"/>
  <c r="AA87" i="56"/>
  <c r="AB87" i="56" s="1"/>
  <c r="AC87" i="56" s="1"/>
  <c r="AE87" i="56" s="1"/>
  <c r="AD165" i="56"/>
  <c r="AA165" i="56"/>
  <c r="AB165" i="56" s="1"/>
  <c r="AC165" i="56" s="1"/>
  <c r="AE165" i="56" s="1"/>
  <c r="AD243" i="56"/>
  <c r="AA243" i="56"/>
  <c r="AB243" i="56" s="1"/>
  <c r="AC243" i="56" s="1"/>
  <c r="AE243" i="56" s="1"/>
  <c r="AD282" i="56"/>
  <c r="AA282" i="56"/>
  <c r="AB282" i="56" s="1"/>
  <c r="AC282" i="56" s="1"/>
  <c r="AE282" i="56" s="1"/>
  <c r="AD152" i="56"/>
  <c r="AA152" i="56"/>
  <c r="AB152" i="56" s="1"/>
  <c r="AC152" i="56" s="1"/>
  <c r="AE152" i="56" s="1"/>
  <c r="AD126" i="56"/>
  <c r="AA126" i="56"/>
  <c r="AB126" i="56" s="1"/>
  <c r="AC126" i="56" s="1"/>
  <c r="AE126" i="56" s="1"/>
  <c r="AD100" i="56"/>
  <c r="AA100" i="56"/>
  <c r="AB100" i="56" s="1"/>
  <c r="AC100" i="56" s="1"/>
  <c r="AE100" i="56" s="1"/>
  <c r="R177" i="56"/>
  <c r="O177" i="56"/>
  <c r="P177" i="56" s="1"/>
  <c r="Q177" i="56" s="1"/>
  <c r="S177" i="56" s="1"/>
  <c r="O47" i="56"/>
  <c r="P47" i="56" s="1"/>
  <c r="Q47" i="56" s="1"/>
  <c r="S47" i="56" s="1"/>
  <c r="R47" i="56"/>
  <c r="R164" i="56"/>
  <c r="O164" i="56"/>
  <c r="P164" i="56" s="1"/>
  <c r="Q164" i="56" s="1"/>
  <c r="S164" i="56" s="1"/>
  <c r="R333" i="56"/>
  <c r="O333" i="56"/>
  <c r="R307" i="56"/>
  <c r="O307" i="56"/>
  <c r="P307" i="56" s="1"/>
  <c r="Q307" i="56" s="1"/>
  <c r="S307" i="56" s="1"/>
  <c r="R34" i="56"/>
  <c r="O34" i="56"/>
  <c r="P34" i="56" s="1"/>
  <c r="Q34" i="56" s="1"/>
  <c r="S34" i="56" s="1"/>
  <c r="R372" i="56"/>
  <c r="O372" i="56"/>
  <c r="P372" i="56" s="1"/>
  <c r="Q372" i="56" s="1"/>
  <c r="S372" i="56" s="1"/>
  <c r="R385" i="56"/>
  <c r="O385" i="56"/>
  <c r="P385" i="56" s="1"/>
  <c r="Q385" i="56" s="1"/>
  <c r="S385" i="56" s="1"/>
  <c r="AD24" i="56"/>
  <c r="AA24" i="56"/>
  <c r="AB24" i="56" s="1"/>
  <c r="AC24" i="56" s="1"/>
  <c r="AE24" i="56" s="1"/>
  <c r="AD102" i="56"/>
  <c r="AA102" i="56"/>
  <c r="AB102" i="56" s="1"/>
  <c r="AC102" i="56" s="1"/>
  <c r="AE102" i="56" s="1"/>
  <c r="AD180" i="56"/>
  <c r="AA180" i="56"/>
  <c r="AD258" i="56"/>
  <c r="AA258" i="56"/>
  <c r="AB258" i="56" s="1"/>
  <c r="AC258" i="56" s="1"/>
  <c r="AE258" i="56" s="1"/>
  <c r="AD362" i="56"/>
  <c r="AA362" i="56"/>
  <c r="AB362" i="56" s="1"/>
  <c r="AC362" i="56" s="1"/>
  <c r="AE362" i="56" s="1"/>
  <c r="AD271" i="56"/>
  <c r="AA271" i="56"/>
  <c r="AB271" i="56" s="1"/>
  <c r="AC271" i="56" s="1"/>
  <c r="AE271" i="56" s="1"/>
  <c r="AD141" i="56"/>
  <c r="AA141" i="56"/>
  <c r="AD219" i="56"/>
  <c r="AA219" i="56"/>
  <c r="AP25" i="56"/>
  <c r="AM25" i="56"/>
  <c r="AN25" i="56" s="1"/>
  <c r="AO25" i="56" s="1"/>
  <c r="AQ25" i="56" s="1"/>
  <c r="AP51" i="56"/>
  <c r="AM51" i="56"/>
  <c r="AP207" i="56"/>
  <c r="AM207" i="56"/>
  <c r="AP155" i="56"/>
  <c r="AM155" i="56"/>
  <c r="AN155" i="56" s="1"/>
  <c r="AO155" i="56" s="1"/>
  <c r="AQ155" i="56" s="1"/>
  <c r="AP64" i="56"/>
  <c r="AM64" i="56"/>
  <c r="AN64" i="56" s="1"/>
  <c r="AO64" i="56" s="1"/>
  <c r="AQ64" i="56" s="1"/>
  <c r="AD316" i="56"/>
  <c r="AA316" i="56"/>
  <c r="AB316" i="56" s="1"/>
  <c r="AC316" i="56" s="1"/>
  <c r="AE316" i="56" s="1"/>
  <c r="AD56" i="56"/>
  <c r="AA56" i="56"/>
  <c r="AB56" i="56" s="1"/>
  <c r="AC56" i="56" s="1"/>
  <c r="AE56" i="56" s="1"/>
  <c r="AA134" i="56"/>
  <c r="AB134" i="56" s="1"/>
  <c r="AC134" i="56" s="1"/>
  <c r="AE134" i="56" s="1"/>
  <c r="AD134" i="56"/>
  <c r="AD147" i="56"/>
  <c r="AA147" i="56"/>
  <c r="AD225" i="56"/>
  <c r="AA225" i="56"/>
  <c r="AB225" i="56" s="1"/>
  <c r="AC225" i="56" s="1"/>
  <c r="AE225" i="56" s="1"/>
  <c r="AD303" i="56"/>
  <c r="AA303" i="56"/>
  <c r="AD355" i="56"/>
  <c r="AA355" i="56"/>
  <c r="AD138" i="56"/>
  <c r="AA138" i="56"/>
  <c r="AB138" i="56" s="1"/>
  <c r="AC138" i="56" s="1"/>
  <c r="AE138" i="56" s="1"/>
  <c r="AD216" i="56"/>
  <c r="AA216" i="56"/>
  <c r="AB216" i="56" s="1"/>
  <c r="AC216" i="56" s="1"/>
  <c r="AE216" i="56" s="1"/>
  <c r="AD294" i="56"/>
  <c r="AA294" i="56"/>
  <c r="AB294" i="56" s="1"/>
  <c r="AC294" i="56" s="1"/>
  <c r="AE294" i="56" s="1"/>
  <c r="AD73" i="56"/>
  <c r="AA73" i="56"/>
  <c r="AB73" i="56" s="1"/>
  <c r="AC73" i="56" s="1"/>
  <c r="AE73" i="56" s="1"/>
  <c r="AD47" i="56"/>
  <c r="AA47" i="56"/>
  <c r="AB47" i="56" s="1"/>
  <c r="AC47" i="56" s="1"/>
  <c r="AE47" i="56" s="1"/>
  <c r="AD125" i="56"/>
  <c r="AA125" i="56"/>
  <c r="AD99" i="56"/>
  <c r="AA99" i="56"/>
  <c r="AB99" i="56" s="1"/>
  <c r="AC99" i="56" s="1"/>
  <c r="AE99" i="56" s="1"/>
  <c r="AA385" i="56"/>
  <c r="AB385" i="56" s="1"/>
  <c r="AC385" i="56" s="1"/>
  <c r="AE385" i="56" s="1"/>
  <c r="AD385" i="56"/>
  <c r="R336" i="56"/>
  <c r="O336" i="56"/>
  <c r="P336" i="56" s="1"/>
  <c r="Q336" i="56" s="1"/>
  <c r="S336" i="56" s="1"/>
  <c r="R102" i="56"/>
  <c r="O102" i="56"/>
  <c r="R167" i="56"/>
  <c r="O167" i="56"/>
  <c r="P167" i="56" s="1"/>
  <c r="Q167" i="56" s="1"/>
  <c r="S167" i="56" s="1"/>
  <c r="R180" i="56"/>
  <c r="O180" i="56"/>
  <c r="P180" i="56" s="1"/>
  <c r="Q180" i="56" s="1"/>
  <c r="S180" i="56" s="1"/>
  <c r="R245" i="56"/>
  <c r="O245" i="56"/>
  <c r="R362" i="56"/>
  <c r="O362" i="56"/>
  <c r="R349" i="56"/>
  <c r="O349" i="56"/>
  <c r="P349" i="56" s="1"/>
  <c r="Q349" i="56" s="1"/>
  <c r="S349" i="56" s="1"/>
  <c r="AP310" i="56"/>
  <c r="AM310" i="56"/>
  <c r="AP24" i="56"/>
  <c r="AM24" i="56"/>
  <c r="AN24" i="56" s="1"/>
  <c r="AO24" i="56" s="1"/>
  <c r="AQ24" i="56" s="1"/>
  <c r="AP50" i="56"/>
  <c r="AM50" i="56"/>
  <c r="AN50" i="56" s="1"/>
  <c r="AO50" i="56" s="1"/>
  <c r="AQ50" i="56" s="1"/>
  <c r="AP362" i="56"/>
  <c r="AM362" i="56"/>
  <c r="AN362" i="56" s="1"/>
  <c r="AO362" i="56" s="1"/>
  <c r="AQ362" i="56" s="1"/>
  <c r="AP89" i="56"/>
  <c r="AM89" i="56"/>
  <c r="AN89" i="56" s="1"/>
  <c r="AO89" i="56" s="1"/>
  <c r="AQ89" i="56" s="1"/>
  <c r="AP193" i="56"/>
  <c r="AM193" i="56"/>
  <c r="AP271" i="56"/>
  <c r="AM271" i="56"/>
  <c r="AN271" i="56" s="1"/>
  <c r="AO271" i="56" s="1"/>
  <c r="AQ271" i="56" s="1"/>
  <c r="AP375" i="56"/>
  <c r="AM375" i="56"/>
  <c r="AN375" i="56" s="1"/>
  <c r="AO375" i="56" s="1"/>
  <c r="AQ375" i="56" s="1"/>
  <c r="AD354" i="56"/>
  <c r="AA354" i="56"/>
  <c r="AB354" i="56" s="1"/>
  <c r="AC354" i="56" s="1"/>
  <c r="AE354" i="56" s="1"/>
  <c r="AD16" i="56"/>
  <c r="AA16" i="56"/>
  <c r="AB16" i="56" s="1"/>
  <c r="AC16" i="56" s="1"/>
  <c r="AE16" i="56" s="1"/>
  <c r="AD94" i="56"/>
  <c r="AA94" i="56"/>
  <c r="AB94" i="56" s="1"/>
  <c r="AC94" i="56" s="1"/>
  <c r="AE94" i="56" s="1"/>
  <c r="AD133" i="56"/>
  <c r="AA133" i="56"/>
  <c r="AD211" i="56"/>
  <c r="AA211" i="56"/>
  <c r="AD289" i="56"/>
  <c r="AA289" i="56"/>
  <c r="AB289" i="56" s="1"/>
  <c r="AC289" i="56" s="1"/>
  <c r="AE289" i="56" s="1"/>
  <c r="AD263" i="56"/>
  <c r="AA263" i="56"/>
  <c r="AB263" i="56" s="1"/>
  <c r="AC263" i="56" s="1"/>
  <c r="AE263" i="56" s="1"/>
  <c r="R172" i="56"/>
  <c r="O172" i="56"/>
  <c r="P172" i="56" s="1"/>
  <c r="Q172" i="56" s="1"/>
  <c r="S172" i="56" s="1"/>
  <c r="R237" i="56"/>
  <c r="O237" i="56"/>
  <c r="P237" i="56" s="1"/>
  <c r="Q237" i="56" s="1"/>
  <c r="S237" i="56" s="1"/>
  <c r="R354" i="56"/>
  <c r="O354" i="56"/>
  <c r="O120" i="56"/>
  <c r="P120" i="56" s="1"/>
  <c r="Q120" i="56" s="1"/>
  <c r="S120" i="56" s="1"/>
  <c r="R120" i="56"/>
  <c r="R185" i="56"/>
  <c r="O185" i="56"/>
  <c r="P185" i="56" s="1"/>
  <c r="Q185" i="56" s="1"/>
  <c r="S185" i="56" s="1"/>
  <c r="R55" i="56"/>
  <c r="O55" i="56"/>
  <c r="P55" i="56" s="1"/>
  <c r="Q55" i="56" s="1"/>
  <c r="S55" i="56" s="1"/>
  <c r="R315" i="56"/>
  <c r="O315" i="56"/>
  <c r="P315" i="56" s="1"/>
  <c r="Q315" i="56" s="1"/>
  <c r="S315" i="56" s="1"/>
  <c r="R393" i="56"/>
  <c r="O393" i="56"/>
  <c r="P393" i="56" s="1"/>
  <c r="Q393" i="56" s="1"/>
  <c r="S393" i="56" s="1"/>
  <c r="AD72" i="56"/>
  <c r="AA72" i="56"/>
  <c r="AB72" i="56" s="1"/>
  <c r="AC72" i="56" s="1"/>
  <c r="AE72" i="56" s="1"/>
  <c r="AD150" i="56"/>
  <c r="AA150" i="56"/>
  <c r="AB150" i="56" s="1"/>
  <c r="AC150" i="56" s="1"/>
  <c r="AE150" i="56" s="1"/>
  <c r="AD124" i="56"/>
  <c r="AA124" i="56"/>
  <c r="AB124" i="56" s="1"/>
  <c r="AC124" i="56" s="1"/>
  <c r="AE124" i="56" s="1"/>
  <c r="AD163" i="56"/>
  <c r="AA163" i="56"/>
  <c r="AD33" i="56"/>
  <c r="AA33" i="56"/>
  <c r="AB33" i="56" s="1"/>
  <c r="AC33" i="56" s="1"/>
  <c r="AE33" i="56" s="1"/>
  <c r="AD111" i="56"/>
  <c r="AA111" i="56"/>
  <c r="AB111" i="56" s="1"/>
  <c r="AC111" i="56" s="1"/>
  <c r="AE111" i="56" s="1"/>
  <c r="AD189" i="56"/>
  <c r="AA189" i="56"/>
  <c r="AB189" i="56" s="1"/>
  <c r="AC189" i="56" s="1"/>
  <c r="AE189" i="56" s="1"/>
  <c r="AD187" i="56"/>
  <c r="AA187" i="56"/>
  <c r="AD265" i="56"/>
  <c r="AA265" i="56"/>
  <c r="AB265" i="56" s="1"/>
  <c r="AC265" i="56" s="1"/>
  <c r="AE265" i="56" s="1"/>
  <c r="AD343" i="56"/>
  <c r="AA343" i="56"/>
  <c r="AB343" i="56" s="1"/>
  <c r="AC343" i="56" s="1"/>
  <c r="AE343" i="56" s="1"/>
  <c r="AD317" i="56"/>
  <c r="AA317" i="56"/>
  <c r="AB317" i="56" s="1"/>
  <c r="AC317" i="56" s="1"/>
  <c r="AE317" i="56" s="1"/>
  <c r="AD356" i="56"/>
  <c r="AA356" i="56"/>
  <c r="AB356" i="56" s="1"/>
  <c r="AC356" i="56" s="1"/>
  <c r="AE356" i="56" s="1"/>
  <c r="AD96" i="56"/>
  <c r="AA96" i="56"/>
  <c r="AB96" i="56" s="1"/>
  <c r="AC96" i="56" s="1"/>
  <c r="AE96" i="56" s="1"/>
  <c r="AD174" i="56"/>
  <c r="AA174" i="56"/>
  <c r="AB174" i="56" s="1"/>
  <c r="AC174" i="56" s="1"/>
  <c r="AE174" i="56" s="1"/>
  <c r="AD395" i="56"/>
  <c r="AA395" i="56"/>
  <c r="R92" i="56"/>
  <c r="O92" i="56"/>
  <c r="P92" i="56" s="1"/>
  <c r="Q92" i="56" s="1"/>
  <c r="S92" i="56" s="1"/>
  <c r="O66" i="56"/>
  <c r="P66" i="56" s="1"/>
  <c r="Q66" i="56" s="1"/>
  <c r="S66" i="56" s="1"/>
  <c r="R66" i="56"/>
  <c r="O40" i="56"/>
  <c r="P40" i="56" s="1"/>
  <c r="Q40" i="56" s="1"/>
  <c r="S40" i="56" s="1"/>
  <c r="R40" i="56"/>
  <c r="R105" i="56"/>
  <c r="O105" i="56"/>
  <c r="P105" i="56" s="1"/>
  <c r="Q105" i="56" s="1"/>
  <c r="S105" i="56" s="1"/>
  <c r="R339" i="56"/>
  <c r="AR339" i="56" s="1"/>
  <c r="O339" i="56"/>
  <c r="P339" i="56" s="1"/>
  <c r="Q339" i="56" s="1"/>
  <c r="S339" i="56" s="1"/>
  <c r="R53" i="56"/>
  <c r="O53" i="56"/>
  <c r="P53" i="56" s="1"/>
  <c r="Q53" i="56" s="1"/>
  <c r="S53" i="56" s="1"/>
  <c r="R391" i="56"/>
  <c r="O391" i="56"/>
  <c r="P391" i="56" s="1"/>
  <c r="Q391" i="56" s="1"/>
  <c r="S391" i="56" s="1"/>
  <c r="AA79" i="56"/>
  <c r="AB79" i="56" s="1"/>
  <c r="AC79" i="56" s="1"/>
  <c r="AE79" i="56" s="1"/>
  <c r="AD79" i="56"/>
  <c r="AD261" i="56"/>
  <c r="AA261" i="56"/>
  <c r="AD105" i="56"/>
  <c r="AA105" i="56"/>
  <c r="AD118" i="56"/>
  <c r="AA118" i="56"/>
  <c r="AD196" i="56"/>
  <c r="AA196" i="56"/>
  <c r="AB196" i="56" s="1"/>
  <c r="AC196" i="56" s="1"/>
  <c r="AE196" i="56" s="1"/>
  <c r="AD170" i="56"/>
  <c r="AA170" i="56"/>
  <c r="AB170" i="56" s="1"/>
  <c r="AC170" i="56" s="1"/>
  <c r="AE170" i="56" s="1"/>
  <c r="AD144" i="56"/>
  <c r="AA144" i="56"/>
  <c r="AA404" i="56"/>
  <c r="AB404" i="56" s="1"/>
  <c r="AC404" i="56" s="1"/>
  <c r="AE404" i="56" s="1"/>
  <c r="AD404" i="56"/>
  <c r="R202" i="56"/>
  <c r="O202" i="56"/>
  <c r="R267" i="56"/>
  <c r="O267" i="56"/>
  <c r="R280" i="56"/>
  <c r="O280" i="56"/>
  <c r="P280" i="56" s="1"/>
  <c r="Q280" i="56" s="1"/>
  <c r="S280" i="56" s="1"/>
  <c r="R46" i="56"/>
  <c r="O46" i="56"/>
  <c r="R111" i="56"/>
  <c r="O111" i="56"/>
  <c r="P111" i="56" s="1"/>
  <c r="Q111" i="56" s="1"/>
  <c r="S111" i="56" s="1"/>
  <c r="R228" i="56"/>
  <c r="O228" i="56"/>
  <c r="P228" i="56" s="1"/>
  <c r="Q228" i="56" s="1"/>
  <c r="S228" i="56" s="1"/>
  <c r="R345" i="56"/>
  <c r="O345" i="56"/>
  <c r="P345" i="56" s="1"/>
  <c r="Q345" i="56" s="1"/>
  <c r="S345" i="56" s="1"/>
  <c r="R397" i="56"/>
  <c r="O397" i="56"/>
  <c r="P397" i="56" s="1"/>
  <c r="Q397" i="56" s="1"/>
  <c r="S397" i="56" s="1"/>
  <c r="AP299" i="56"/>
  <c r="AM299" i="56"/>
  <c r="AN299" i="56" s="1"/>
  <c r="AO299" i="56" s="1"/>
  <c r="AQ299" i="56" s="1"/>
  <c r="AM91" i="56"/>
  <c r="AN91" i="56" s="1"/>
  <c r="AO91" i="56" s="1"/>
  <c r="AQ91" i="56" s="1"/>
  <c r="AP91" i="56"/>
  <c r="AP351" i="56"/>
  <c r="AM351" i="56"/>
  <c r="AN351" i="56" s="1"/>
  <c r="AO351" i="56" s="1"/>
  <c r="AQ351" i="56" s="1"/>
  <c r="AP78" i="56"/>
  <c r="AM78" i="56"/>
  <c r="AN78" i="56" s="1"/>
  <c r="AO78" i="56" s="1"/>
  <c r="AQ78" i="56" s="1"/>
  <c r="AP234" i="56"/>
  <c r="AM234" i="56"/>
  <c r="AN234" i="56" s="1"/>
  <c r="AO234" i="56" s="1"/>
  <c r="AQ234" i="56" s="1"/>
  <c r="AP182" i="56"/>
  <c r="AM182" i="56"/>
  <c r="AP260" i="56"/>
  <c r="AM260" i="56"/>
  <c r="AN260" i="56" s="1"/>
  <c r="AO260" i="56" s="1"/>
  <c r="AQ260" i="56" s="1"/>
  <c r="AP132" i="56"/>
  <c r="AM132" i="56"/>
  <c r="AN132" i="56" s="1"/>
  <c r="AO132" i="56" s="1"/>
  <c r="AQ132" i="56" s="1"/>
  <c r="AP54" i="56"/>
  <c r="AM54" i="56"/>
  <c r="AN54" i="56" s="1"/>
  <c r="AO54" i="56" s="1"/>
  <c r="AQ54" i="56" s="1"/>
  <c r="AP184" i="56"/>
  <c r="AM184" i="56"/>
  <c r="AN184" i="56" s="1"/>
  <c r="AO184" i="56" s="1"/>
  <c r="AQ184" i="56" s="1"/>
  <c r="AP392" i="56"/>
  <c r="AM392" i="56"/>
  <c r="AN392" i="56" s="1"/>
  <c r="AO392" i="56" s="1"/>
  <c r="AQ392" i="56" s="1"/>
  <c r="AP249" i="56"/>
  <c r="AM249" i="56"/>
  <c r="AP379" i="56"/>
  <c r="AM379" i="56"/>
  <c r="AN379" i="56" s="1"/>
  <c r="AO379" i="56" s="1"/>
  <c r="AQ379" i="56" s="1"/>
  <c r="AP171" i="56"/>
  <c r="AM171" i="56"/>
  <c r="AP45" i="56"/>
  <c r="AM45" i="56"/>
  <c r="AN45" i="56" s="1"/>
  <c r="AO45" i="56" s="1"/>
  <c r="AQ45" i="56" s="1"/>
  <c r="AP110" i="56"/>
  <c r="AM110" i="56"/>
  <c r="AP162" i="56"/>
  <c r="AM162" i="56"/>
  <c r="AP214" i="56"/>
  <c r="AM214" i="56"/>
  <c r="AN214" i="56" s="1"/>
  <c r="AO214" i="56" s="1"/>
  <c r="AQ214" i="56" s="1"/>
  <c r="AP123" i="56"/>
  <c r="AM123" i="56"/>
  <c r="AN123" i="56" s="1"/>
  <c r="AO123" i="56" s="1"/>
  <c r="AQ123" i="56" s="1"/>
  <c r="AP47" i="56"/>
  <c r="AM47" i="56"/>
  <c r="AP307" i="56"/>
  <c r="AM307" i="56"/>
  <c r="AN307" i="56" s="1"/>
  <c r="AO307" i="56" s="1"/>
  <c r="AQ307" i="56" s="1"/>
  <c r="AP255" i="56"/>
  <c r="AM255" i="56"/>
  <c r="AN255" i="56" s="1"/>
  <c r="AO255" i="56" s="1"/>
  <c r="AQ255" i="56" s="1"/>
  <c r="AP333" i="56"/>
  <c r="AM333" i="56"/>
  <c r="AN333" i="56" s="1"/>
  <c r="AO333" i="56" s="1"/>
  <c r="AQ333" i="56" s="1"/>
  <c r="AM328" i="56"/>
  <c r="AN328" i="56" s="1"/>
  <c r="AO328" i="56" s="1"/>
  <c r="AQ328" i="56" s="1"/>
  <c r="AP328" i="56"/>
  <c r="AM94" i="56"/>
  <c r="AN94" i="56" s="1"/>
  <c r="AO94" i="56" s="1"/>
  <c r="AQ94" i="56" s="1"/>
  <c r="AP94" i="56"/>
  <c r="AP302" i="56"/>
  <c r="AM302" i="56"/>
  <c r="AP276" i="56"/>
  <c r="AM276" i="56"/>
  <c r="AN276" i="56" s="1"/>
  <c r="AO276" i="56" s="1"/>
  <c r="AQ276" i="56" s="1"/>
  <c r="AP159" i="56"/>
  <c r="AM159" i="56"/>
  <c r="AP341" i="56"/>
  <c r="AM341" i="56"/>
  <c r="AP81" i="56"/>
  <c r="AM81" i="56"/>
  <c r="AP239" i="56"/>
  <c r="AM239" i="56"/>
  <c r="AP395" i="56"/>
  <c r="AM395" i="56"/>
  <c r="AN395" i="56" s="1"/>
  <c r="AO395" i="56" s="1"/>
  <c r="AQ395" i="56" s="1"/>
  <c r="AP291" i="56"/>
  <c r="AM291" i="56"/>
  <c r="AN291" i="56" s="1"/>
  <c r="AO291" i="56" s="1"/>
  <c r="AQ291" i="56" s="1"/>
  <c r="AP382" i="56"/>
  <c r="AM382" i="56"/>
  <c r="AP174" i="56"/>
  <c r="AM174" i="56"/>
  <c r="AN174" i="56" s="1"/>
  <c r="AO174" i="56" s="1"/>
  <c r="AQ174" i="56" s="1"/>
  <c r="AP122" i="56"/>
  <c r="AM122" i="56"/>
  <c r="AN122" i="56" s="1"/>
  <c r="AO122" i="56" s="1"/>
  <c r="AQ122" i="56" s="1"/>
  <c r="AP200" i="56"/>
  <c r="AM200" i="56"/>
  <c r="AD54" i="56"/>
  <c r="AA54" i="56"/>
  <c r="AD236" i="56"/>
  <c r="AA236" i="56"/>
  <c r="AB236" i="56" s="1"/>
  <c r="AC236" i="56" s="1"/>
  <c r="AE236" i="56" s="1"/>
  <c r="AD210" i="56"/>
  <c r="AA210" i="56"/>
  <c r="AD288" i="56"/>
  <c r="AA288" i="56"/>
  <c r="AB288" i="56" s="1"/>
  <c r="AC288" i="56" s="1"/>
  <c r="AE288" i="56" s="1"/>
  <c r="AD93" i="56"/>
  <c r="AA93" i="56"/>
  <c r="AD67" i="56"/>
  <c r="AA67" i="56"/>
  <c r="AB67" i="56" s="1"/>
  <c r="AC67" i="56" s="1"/>
  <c r="AE67" i="56" s="1"/>
  <c r="AA41" i="56"/>
  <c r="AB41" i="56" s="1"/>
  <c r="AC41" i="56" s="1"/>
  <c r="AE41" i="56" s="1"/>
  <c r="AD41" i="56"/>
  <c r="AD392" i="56"/>
  <c r="AA392" i="56"/>
  <c r="AP254" i="56"/>
  <c r="AM254" i="56"/>
  <c r="AN254" i="56" s="1"/>
  <c r="AO254" i="56" s="1"/>
  <c r="AQ254" i="56" s="1"/>
  <c r="AP46" i="56"/>
  <c r="AM46" i="56"/>
  <c r="AN46" i="56" s="1"/>
  <c r="AO46" i="56" s="1"/>
  <c r="AQ46" i="56" s="1"/>
  <c r="AM332" i="56"/>
  <c r="AN332" i="56" s="1"/>
  <c r="AO332" i="56" s="1"/>
  <c r="AQ332" i="56" s="1"/>
  <c r="AP332" i="56"/>
  <c r="AP202" i="56"/>
  <c r="AM202" i="56"/>
  <c r="AN202" i="56" s="1"/>
  <c r="AO202" i="56" s="1"/>
  <c r="AQ202" i="56" s="1"/>
  <c r="AP163" i="56"/>
  <c r="AM163" i="56"/>
  <c r="AP293" i="56"/>
  <c r="AM293" i="56"/>
  <c r="AN293" i="56" s="1"/>
  <c r="AO293" i="56" s="1"/>
  <c r="AQ293" i="56" s="1"/>
  <c r="AP345" i="56"/>
  <c r="AM345" i="56"/>
  <c r="AP384" i="56"/>
  <c r="AM384" i="56"/>
  <c r="AD351" i="56"/>
  <c r="AA351" i="56"/>
  <c r="AD91" i="56"/>
  <c r="AA91" i="56"/>
  <c r="AB91" i="56" s="1"/>
  <c r="AC91" i="56" s="1"/>
  <c r="AE91" i="56" s="1"/>
  <c r="AD169" i="56"/>
  <c r="AA169" i="56"/>
  <c r="AD312" i="56"/>
  <c r="AA312" i="56"/>
  <c r="AD390" i="56"/>
  <c r="AA390" i="56"/>
  <c r="AD364" i="56"/>
  <c r="AA364" i="56"/>
  <c r="AB364" i="56" s="1"/>
  <c r="AC364" i="56" s="1"/>
  <c r="AE364" i="56" s="1"/>
  <c r="AD338" i="56"/>
  <c r="AA338" i="56"/>
  <c r="AP118" i="56"/>
  <c r="AM118" i="56"/>
  <c r="AN118" i="56" s="1"/>
  <c r="AO118" i="56" s="1"/>
  <c r="AQ118" i="56" s="1"/>
  <c r="AP248" i="56"/>
  <c r="AM248" i="56"/>
  <c r="AN248" i="56" s="1"/>
  <c r="AO248" i="56" s="1"/>
  <c r="AQ248" i="56" s="1"/>
  <c r="AP196" i="56"/>
  <c r="AM196" i="56"/>
  <c r="AN196" i="56" s="1"/>
  <c r="AO196" i="56" s="1"/>
  <c r="AQ196" i="56" s="1"/>
  <c r="AP79" i="56"/>
  <c r="AM79" i="56"/>
  <c r="W185" i="54"/>
  <c r="X185" i="54" s="1"/>
  <c r="Y185" i="54" s="1"/>
  <c r="AA185" i="54" s="1"/>
  <c r="Z185" i="54"/>
  <c r="W81" i="54"/>
  <c r="X81" i="54" s="1"/>
  <c r="Y81" i="54" s="1"/>
  <c r="AA81" i="54" s="1"/>
  <c r="Z81" i="54"/>
  <c r="P202" i="54"/>
  <c r="M202" i="54"/>
  <c r="N202" i="54" s="1"/>
  <c r="O202" i="54" s="1"/>
  <c r="Q202" i="54" s="1"/>
  <c r="P137" i="54"/>
  <c r="M137" i="54"/>
  <c r="N137" i="54" s="1"/>
  <c r="O137" i="54" s="1"/>
  <c r="Q137" i="54" s="1"/>
  <c r="P332" i="54"/>
  <c r="M332" i="54"/>
  <c r="N332" i="54" s="1"/>
  <c r="O332" i="54" s="1"/>
  <c r="Q332" i="54" s="1"/>
  <c r="W130" i="54"/>
  <c r="X130" i="54" s="1"/>
  <c r="Y130" i="54" s="1"/>
  <c r="AA130" i="54" s="1"/>
  <c r="Z130" i="54"/>
  <c r="P141" i="54"/>
  <c r="M141" i="54"/>
  <c r="P297" i="54"/>
  <c r="M297" i="54"/>
  <c r="N297" i="54" s="1"/>
  <c r="O297" i="54" s="1"/>
  <c r="Q297" i="54" s="1"/>
  <c r="P37" i="54"/>
  <c r="M37" i="54"/>
  <c r="P206" i="54"/>
  <c r="M206" i="54"/>
  <c r="N206" i="54" s="1"/>
  <c r="O206" i="54" s="1"/>
  <c r="Q206" i="54" s="1"/>
  <c r="P103" i="54"/>
  <c r="M103" i="54"/>
  <c r="N103" i="54" s="1"/>
  <c r="O103" i="54" s="1"/>
  <c r="Q103" i="54" s="1"/>
  <c r="P259" i="54"/>
  <c r="M259" i="54"/>
  <c r="N259" i="54" s="1"/>
  <c r="O259" i="54" s="1"/>
  <c r="Q259" i="54" s="1"/>
  <c r="P272" i="54"/>
  <c r="M272" i="54"/>
  <c r="Z264" i="54"/>
  <c r="W264" i="54"/>
  <c r="X264" i="54" s="1"/>
  <c r="Y264" i="54" s="1"/>
  <c r="AA264" i="54" s="1"/>
  <c r="W320" i="54"/>
  <c r="X320" i="54" s="1"/>
  <c r="Y320" i="54" s="1"/>
  <c r="AA320" i="54" s="1"/>
  <c r="Z320" i="54"/>
  <c r="Z335" i="54"/>
  <c r="W335" i="54"/>
  <c r="X335" i="54" s="1"/>
  <c r="Y335" i="54" s="1"/>
  <c r="AA335" i="54" s="1"/>
  <c r="P166" i="54"/>
  <c r="M166" i="54"/>
  <c r="P23" i="54"/>
  <c r="M23" i="54"/>
  <c r="N23" i="54" s="1"/>
  <c r="O23" i="54" s="1"/>
  <c r="Q23" i="54" s="1"/>
  <c r="P88" i="54"/>
  <c r="M88" i="54"/>
  <c r="N88" i="54" s="1"/>
  <c r="O88" i="54" s="1"/>
  <c r="Q88" i="54" s="1"/>
  <c r="P329" i="54"/>
  <c r="M329" i="54"/>
  <c r="N329" i="54" s="1"/>
  <c r="O329" i="54" s="1"/>
  <c r="Q329" i="54" s="1"/>
  <c r="P251" i="54"/>
  <c r="M251" i="54"/>
  <c r="P95" i="54"/>
  <c r="M95" i="54"/>
  <c r="N95" i="54" s="1"/>
  <c r="O95" i="54" s="1"/>
  <c r="Q95" i="54" s="1"/>
  <c r="Z74" i="54"/>
  <c r="W74" i="54"/>
  <c r="X74" i="54" s="1"/>
  <c r="Y74" i="54" s="1"/>
  <c r="AA74" i="54" s="1"/>
  <c r="Z206" i="54"/>
  <c r="W206" i="54"/>
  <c r="X206" i="54" s="1"/>
  <c r="Y206" i="54" s="1"/>
  <c r="AA206" i="54" s="1"/>
  <c r="W18" i="54"/>
  <c r="X18" i="54" s="1"/>
  <c r="Y18" i="54" s="1"/>
  <c r="AA18" i="54" s="1"/>
  <c r="Z18" i="54"/>
  <c r="AJ66" i="54"/>
  <c r="AG66" i="54"/>
  <c r="AH66" i="54" s="1"/>
  <c r="AI66" i="54" s="1"/>
  <c r="AK66" i="54" s="1"/>
  <c r="P250" i="54"/>
  <c r="M250" i="54"/>
  <c r="P81" i="54"/>
  <c r="M81" i="54"/>
  <c r="N81" i="54" s="1"/>
  <c r="O81" i="54" s="1"/>
  <c r="Q81" i="54" s="1"/>
  <c r="P133" i="54"/>
  <c r="M133" i="54"/>
  <c r="M146" i="54"/>
  <c r="N146" i="54" s="1"/>
  <c r="O146" i="54" s="1"/>
  <c r="Q146" i="54" s="1"/>
  <c r="P146" i="54"/>
  <c r="Z54" i="54"/>
  <c r="W54" i="54"/>
  <c r="X54" i="54" s="1"/>
  <c r="Y54" i="54" s="1"/>
  <c r="AA54" i="54" s="1"/>
  <c r="P60" i="54"/>
  <c r="M60" i="54"/>
  <c r="P99" i="54"/>
  <c r="M99" i="54"/>
  <c r="P151" i="54"/>
  <c r="M151" i="54"/>
  <c r="W259" i="54"/>
  <c r="X259" i="54" s="1"/>
  <c r="Y259" i="54" s="1"/>
  <c r="AA259" i="54" s="1"/>
  <c r="Z259" i="54"/>
  <c r="Z155" i="54"/>
  <c r="W155" i="54"/>
  <c r="X155" i="54" s="1"/>
  <c r="Y155" i="54" s="1"/>
  <c r="AA155" i="54" s="1"/>
  <c r="Z188" i="54"/>
  <c r="W188" i="54"/>
  <c r="X188" i="54" s="1"/>
  <c r="Y188" i="54" s="1"/>
  <c r="AA188" i="54" s="1"/>
  <c r="P321" i="54"/>
  <c r="M321" i="54"/>
  <c r="N321" i="54" s="1"/>
  <c r="O321" i="54" s="1"/>
  <c r="Q321" i="54" s="1"/>
  <c r="P269" i="54"/>
  <c r="M269" i="54"/>
  <c r="P113" i="54"/>
  <c r="M113" i="54"/>
  <c r="N113" i="54" s="1"/>
  <c r="O113" i="54" s="1"/>
  <c r="Q113" i="54" s="1"/>
  <c r="W92" i="54"/>
  <c r="X92" i="54" s="1"/>
  <c r="Y92" i="54" s="1"/>
  <c r="AA92" i="54" s="1"/>
  <c r="Z92" i="54"/>
  <c r="W358" i="54"/>
  <c r="X358" i="54" s="1"/>
  <c r="Y358" i="54" s="1"/>
  <c r="AA358" i="54" s="1"/>
  <c r="Z358" i="54"/>
  <c r="P40" i="54"/>
  <c r="M40" i="54"/>
  <c r="N40" i="54" s="1"/>
  <c r="O40" i="54" s="1"/>
  <c r="Q40" i="54" s="1"/>
  <c r="P66" i="54"/>
  <c r="M66" i="54"/>
  <c r="M144" i="54"/>
  <c r="N144" i="54" s="1"/>
  <c r="O144" i="54" s="1"/>
  <c r="Q144" i="54" s="1"/>
  <c r="P144" i="54"/>
  <c r="P326" i="54"/>
  <c r="M326" i="54"/>
  <c r="N326" i="54" s="1"/>
  <c r="O326" i="54" s="1"/>
  <c r="Q326" i="54" s="1"/>
  <c r="AG184" i="54"/>
  <c r="AJ184" i="54"/>
  <c r="AJ210" i="54"/>
  <c r="AG210" i="54"/>
  <c r="AH210" i="54" s="1"/>
  <c r="AI210" i="54" s="1"/>
  <c r="AK210" i="54" s="1"/>
  <c r="AJ314" i="54"/>
  <c r="AG314" i="54"/>
  <c r="AH314" i="54" s="1"/>
  <c r="AI314" i="54" s="1"/>
  <c r="AK314" i="54" s="1"/>
  <c r="AG236" i="54"/>
  <c r="AH236" i="54" s="1"/>
  <c r="AI236" i="54" s="1"/>
  <c r="AK236" i="54" s="1"/>
  <c r="AJ236" i="54"/>
  <c r="AJ249" i="54"/>
  <c r="AG249" i="54"/>
  <c r="AH249" i="54" s="1"/>
  <c r="AI249" i="54" s="1"/>
  <c r="AK249" i="54" s="1"/>
  <c r="AG171" i="54"/>
  <c r="AH171" i="54" s="1"/>
  <c r="AI171" i="54" s="1"/>
  <c r="AK171" i="54" s="1"/>
  <c r="AJ171" i="54"/>
  <c r="AJ353" i="54"/>
  <c r="AG353" i="54"/>
  <c r="AH353" i="54" s="1"/>
  <c r="AI353" i="54" s="1"/>
  <c r="AK353" i="54" s="1"/>
  <c r="AJ392" i="54"/>
  <c r="AG392" i="54"/>
  <c r="AH392" i="54" s="1"/>
  <c r="AI392" i="54" s="1"/>
  <c r="AK392" i="54" s="1"/>
  <c r="AT132" i="54"/>
  <c r="AQ132" i="54"/>
  <c r="AR132" i="54" s="1"/>
  <c r="AS132" i="54" s="1"/>
  <c r="AU132" i="54" s="1"/>
  <c r="AT119" i="54"/>
  <c r="AQ119" i="54"/>
  <c r="AR119" i="54" s="1"/>
  <c r="AS119" i="54" s="1"/>
  <c r="AU119" i="54" s="1"/>
  <c r="AT41" i="54"/>
  <c r="AQ41" i="54"/>
  <c r="AR41" i="54" s="1"/>
  <c r="AS41" i="54" s="1"/>
  <c r="AU41" i="54" s="1"/>
  <c r="AT288" i="54"/>
  <c r="AQ288" i="54"/>
  <c r="AR288" i="54" s="1"/>
  <c r="AS288" i="54" s="1"/>
  <c r="AU288" i="54" s="1"/>
  <c r="AT236" i="54"/>
  <c r="AQ236" i="54"/>
  <c r="AR236" i="54" s="1"/>
  <c r="AS236" i="54" s="1"/>
  <c r="AU236" i="54" s="1"/>
  <c r="AT314" i="54"/>
  <c r="AQ314" i="54"/>
  <c r="AT184" i="54"/>
  <c r="AQ184" i="54"/>
  <c r="AR184" i="54" s="1"/>
  <c r="AS184" i="54" s="1"/>
  <c r="AU184" i="54" s="1"/>
  <c r="BA53" i="54"/>
  <c r="BB53" i="54" s="1"/>
  <c r="BC53" i="54" s="1"/>
  <c r="BE53" i="54" s="1"/>
  <c r="BD53" i="54"/>
  <c r="BD222" i="54"/>
  <c r="BA222" i="54"/>
  <c r="BB222" i="54" s="1"/>
  <c r="BC222" i="54" s="1"/>
  <c r="BE222" i="54" s="1"/>
  <c r="BD248" i="54"/>
  <c r="BA248" i="54"/>
  <c r="BB248" i="54" s="1"/>
  <c r="BC248" i="54" s="1"/>
  <c r="BE248" i="54" s="1"/>
  <c r="BD404" i="54"/>
  <c r="BA404" i="54"/>
  <c r="BD170" i="54"/>
  <c r="BA170" i="54"/>
  <c r="BB170" i="54" s="1"/>
  <c r="BC170" i="54" s="1"/>
  <c r="BE170" i="54" s="1"/>
  <c r="BD118" i="54"/>
  <c r="BA118" i="54"/>
  <c r="BB118" i="54" s="1"/>
  <c r="BC118" i="54" s="1"/>
  <c r="BE118" i="54" s="1"/>
  <c r="BD391" i="54"/>
  <c r="BA391" i="54"/>
  <c r="BD287" i="54"/>
  <c r="BA287" i="54"/>
  <c r="BB287" i="54" s="1"/>
  <c r="BC287" i="54" s="1"/>
  <c r="BE287" i="54" s="1"/>
  <c r="P111" i="54"/>
  <c r="M111" i="54"/>
  <c r="N111" i="54" s="1"/>
  <c r="O111" i="54" s="1"/>
  <c r="Q111" i="54" s="1"/>
  <c r="P319" i="54"/>
  <c r="M319" i="54"/>
  <c r="N319" i="54" s="1"/>
  <c r="O319" i="54" s="1"/>
  <c r="Q319" i="54" s="1"/>
  <c r="P293" i="54"/>
  <c r="M293" i="54"/>
  <c r="N293" i="54" s="1"/>
  <c r="O293" i="54" s="1"/>
  <c r="Q293" i="54" s="1"/>
  <c r="P189" i="54"/>
  <c r="M189" i="54"/>
  <c r="N189" i="54" s="1"/>
  <c r="O189" i="54" s="1"/>
  <c r="Q189" i="54" s="1"/>
  <c r="BA33" i="54"/>
  <c r="BB33" i="54" s="1"/>
  <c r="BC33" i="54" s="1"/>
  <c r="BE33" i="54" s="1"/>
  <c r="BD33" i="54"/>
  <c r="BD241" i="54"/>
  <c r="BA241" i="54"/>
  <c r="BB241" i="54" s="1"/>
  <c r="BC241" i="54" s="1"/>
  <c r="BE241" i="54" s="1"/>
  <c r="BD98" i="54"/>
  <c r="BA98" i="54"/>
  <c r="BB98" i="54" s="1"/>
  <c r="BC98" i="54" s="1"/>
  <c r="BE98" i="54" s="1"/>
  <c r="BD345" i="54"/>
  <c r="BA345" i="54"/>
  <c r="BB345" i="54" s="1"/>
  <c r="BC345" i="54" s="1"/>
  <c r="BA371" i="54"/>
  <c r="BB371" i="54" s="1"/>
  <c r="BC371" i="54" s="1"/>
  <c r="BE371" i="54" s="1"/>
  <c r="BD371" i="54"/>
  <c r="BA176" i="54"/>
  <c r="BB176" i="54" s="1"/>
  <c r="BC176" i="54" s="1"/>
  <c r="BE176" i="54" s="1"/>
  <c r="BD176" i="54"/>
  <c r="BA20" i="54"/>
  <c r="BB20" i="54" s="1"/>
  <c r="BC20" i="54" s="1"/>
  <c r="BE20" i="54" s="1"/>
  <c r="BD20" i="54"/>
  <c r="BD163" i="54"/>
  <c r="BA163" i="54"/>
  <c r="Z208" i="54"/>
  <c r="W208" i="54"/>
  <c r="W182" i="54"/>
  <c r="Z182" i="54"/>
  <c r="W247" i="54"/>
  <c r="Z247" i="54"/>
  <c r="W104" i="54"/>
  <c r="X104" i="54" s="1"/>
  <c r="Y104" i="54" s="1"/>
  <c r="AA104" i="54" s="1"/>
  <c r="Z104" i="54"/>
  <c r="Z26" i="54"/>
  <c r="W26" i="54"/>
  <c r="X26" i="54" s="1"/>
  <c r="Y26" i="54" s="1"/>
  <c r="AA26" i="54" s="1"/>
  <c r="W260" i="54"/>
  <c r="Z260" i="54"/>
  <c r="AT34" i="54"/>
  <c r="AQ34" i="54"/>
  <c r="AR34" i="54" s="1"/>
  <c r="AS34" i="54" s="1"/>
  <c r="AU34" i="54" s="1"/>
  <c r="AT99" i="54"/>
  <c r="AQ99" i="54"/>
  <c r="AR99" i="54" s="1"/>
  <c r="AS99" i="54" s="1"/>
  <c r="AU99" i="54" s="1"/>
  <c r="AT21" i="54"/>
  <c r="AQ21" i="54"/>
  <c r="AR21" i="54" s="1"/>
  <c r="AS21" i="54" s="1"/>
  <c r="AU21" i="54" s="1"/>
  <c r="AT203" i="54"/>
  <c r="AQ203" i="54"/>
  <c r="AR203" i="54" s="1"/>
  <c r="AS203" i="54" s="1"/>
  <c r="AU203" i="54" s="1"/>
  <c r="AQ320" i="54"/>
  <c r="AR320" i="54" s="1"/>
  <c r="AS320" i="54" s="1"/>
  <c r="AU320" i="54" s="1"/>
  <c r="AT320" i="54"/>
  <c r="AT294" i="54"/>
  <c r="AQ294" i="54"/>
  <c r="AR294" i="54" s="1"/>
  <c r="AS294" i="54" s="1"/>
  <c r="AU294" i="54" s="1"/>
  <c r="AT242" i="54"/>
  <c r="AQ242" i="54"/>
  <c r="AT398" i="54"/>
  <c r="AQ398" i="54"/>
  <c r="P167" i="54"/>
  <c r="M167" i="54"/>
  <c r="N167" i="54" s="1"/>
  <c r="O167" i="54" s="1"/>
  <c r="Q167" i="54" s="1"/>
  <c r="P245" i="54"/>
  <c r="M245" i="54"/>
  <c r="P271" i="54"/>
  <c r="M271" i="54"/>
  <c r="N271" i="54" s="1"/>
  <c r="O271" i="54" s="1"/>
  <c r="Q271" i="54" s="1"/>
  <c r="P219" i="54"/>
  <c r="M219" i="54"/>
  <c r="N219" i="54" s="1"/>
  <c r="O219" i="54" s="1"/>
  <c r="Q219" i="54" s="1"/>
  <c r="AT46" i="54"/>
  <c r="AQ46" i="54"/>
  <c r="AR46" i="54" s="1"/>
  <c r="AS46" i="54" s="1"/>
  <c r="AU46" i="54" s="1"/>
  <c r="AT20" i="54"/>
  <c r="AQ20" i="54"/>
  <c r="AR20" i="54" s="1"/>
  <c r="AS20" i="54" s="1"/>
  <c r="AU20" i="54" s="1"/>
  <c r="AT293" i="54"/>
  <c r="AQ293" i="54"/>
  <c r="AR293" i="54" s="1"/>
  <c r="AS293" i="54" s="1"/>
  <c r="AU293" i="54" s="1"/>
  <c r="AT124" i="54"/>
  <c r="AQ124" i="54"/>
  <c r="AR124" i="54" s="1"/>
  <c r="AS124" i="54" s="1"/>
  <c r="AU124" i="54" s="1"/>
  <c r="AT215" i="54"/>
  <c r="AQ215" i="54"/>
  <c r="AR215" i="54" s="1"/>
  <c r="AS215" i="54" s="1"/>
  <c r="AU215" i="54" s="1"/>
  <c r="AT358" i="54"/>
  <c r="AQ358" i="54"/>
  <c r="AR358" i="54" s="1"/>
  <c r="AS358" i="54" s="1"/>
  <c r="AU358" i="54" s="1"/>
  <c r="AT202" i="54"/>
  <c r="AQ202" i="54"/>
  <c r="AR202" i="54" s="1"/>
  <c r="AS202" i="54" s="1"/>
  <c r="AU202" i="54" s="1"/>
  <c r="P194" i="54"/>
  <c r="M194" i="54"/>
  <c r="P77" i="54"/>
  <c r="M77" i="54"/>
  <c r="P38" i="54"/>
  <c r="M38" i="54"/>
  <c r="N38" i="54" s="1"/>
  <c r="O38" i="54" s="1"/>
  <c r="Q38" i="54" s="1"/>
  <c r="P233" i="54"/>
  <c r="M233" i="54"/>
  <c r="N233" i="54" s="1"/>
  <c r="O233" i="54" s="1"/>
  <c r="Q233" i="54" s="1"/>
  <c r="P181" i="54"/>
  <c r="M181" i="54"/>
  <c r="N181" i="54" s="1"/>
  <c r="O181" i="54" s="1"/>
  <c r="Q181" i="54" s="1"/>
  <c r="BD220" i="54"/>
  <c r="BA220" i="54"/>
  <c r="BB220" i="54" s="1"/>
  <c r="BC220" i="54" s="1"/>
  <c r="BE220" i="54" s="1"/>
  <c r="BA38" i="54"/>
  <c r="BB38" i="54" s="1"/>
  <c r="BC38" i="54" s="1"/>
  <c r="BE38" i="54" s="1"/>
  <c r="BD38" i="54"/>
  <c r="BD246" i="54"/>
  <c r="BA246" i="54"/>
  <c r="BB246" i="54" s="1"/>
  <c r="BC246" i="54" s="1"/>
  <c r="BE246" i="54" s="1"/>
  <c r="BD389" i="54"/>
  <c r="BA389" i="54"/>
  <c r="BB389" i="54" s="1"/>
  <c r="BC389" i="54" s="1"/>
  <c r="BA194" i="54"/>
  <c r="BB194" i="54" s="1"/>
  <c r="BC194" i="54" s="1"/>
  <c r="BE194" i="54" s="1"/>
  <c r="BD194" i="54"/>
  <c r="BA77" i="54"/>
  <c r="BB77" i="54" s="1"/>
  <c r="BC77" i="54" s="1"/>
  <c r="BE77" i="54" s="1"/>
  <c r="BD77" i="54"/>
  <c r="BD181" i="54"/>
  <c r="BA181" i="54"/>
  <c r="W303" i="54"/>
  <c r="X303" i="54" s="1"/>
  <c r="Y303" i="54" s="1"/>
  <c r="AA303" i="54" s="1"/>
  <c r="Z303" i="54"/>
  <c r="Z225" i="54"/>
  <c r="W225" i="54"/>
  <c r="Z290" i="54"/>
  <c r="W290" i="54"/>
  <c r="Z95" i="54"/>
  <c r="W95" i="54"/>
  <c r="X95" i="54" s="1"/>
  <c r="Y95" i="54" s="1"/>
  <c r="AA95" i="54" s="1"/>
  <c r="W121" i="54"/>
  <c r="Z121" i="54"/>
  <c r="W186" i="54"/>
  <c r="X186" i="54" s="1"/>
  <c r="Y186" i="54" s="1"/>
  <c r="AA186" i="54" s="1"/>
  <c r="Z186" i="54"/>
  <c r="BD126" i="54"/>
  <c r="BA126" i="54"/>
  <c r="BB126" i="54" s="1"/>
  <c r="BC126" i="54" s="1"/>
  <c r="BE126" i="54" s="1"/>
  <c r="BA204" i="54"/>
  <c r="BB204" i="54" s="1"/>
  <c r="BC204" i="54" s="1"/>
  <c r="BE204" i="54" s="1"/>
  <c r="BD204" i="54"/>
  <c r="BD360" i="54"/>
  <c r="BA360" i="54"/>
  <c r="BB360" i="54" s="1"/>
  <c r="BC360" i="54" s="1"/>
  <c r="BE360" i="54" s="1"/>
  <c r="BA22" i="54"/>
  <c r="BB22" i="54" s="1"/>
  <c r="BC22" i="54" s="1"/>
  <c r="BE22" i="54" s="1"/>
  <c r="BD22" i="54"/>
  <c r="BD334" i="54"/>
  <c r="BA334" i="54"/>
  <c r="BD269" i="54"/>
  <c r="BA269" i="54"/>
  <c r="BB269" i="54" s="1"/>
  <c r="BC269" i="54" s="1"/>
  <c r="BE269" i="54" s="1"/>
  <c r="BD48" i="54"/>
  <c r="BA48" i="54"/>
  <c r="BB48" i="54" s="1"/>
  <c r="BC48" i="54" s="1"/>
  <c r="BE48" i="54" s="1"/>
  <c r="BD308" i="54"/>
  <c r="BA308" i="54"/>
  <c r="W151" i="54"/>
  <c r="X151" i="54" s="1"/>
  <c r="Y151" i="54" s="1"/>
  <c r="AA151" i="54" s="1"/>
  <c r="Z151" i="54"/>
  <c r="W73" i="54"/>
  <c r="Z73" i="54"/>
  <c r="Z138" i="54"/>
  <c r="W138" i="54"/>
  <c r="X138" i="54" s="1"/>
  <c r="Y138" i="54" s="1"/>
  <c r="AA138" i="54" s="1"/>
  <c r="Z216" i="54"/>
  <c r="W216" i="54"/>
  <c r="X216" i="54" s="1"/>
  <c r="Y216" i="54" s="1"/>
  <c r="AA216" i="54" s="1"/>
  <c r="W294" i="54"/>
  <c r="X294" i="54" s="1"/>
  <c r="Y294" i="54" s="1"/>
  <c r="AA294" i="54" s="1"/>
  <c r="Z294" i="54"/>
  <c r="Z372" i="54"/>
  <c r="W372" i="54"/>
  <c r="W333" i="54"/>
  <c r="X333" i="54" s="1"/>
  <c r="Y333" i="54" s="1"/>
  <c r="AA333" i="54" s="1"/>
  <c r="Z333" i="54"/>
  <c r="W192" i="54"/>
  <c r="X192" i="54" s="1"/>
  <c r="Y192" i="54" s="1"/>
  <c r="AA192" i="54" s="1"/>
  <c r="Z192" i="54"/>
  <c r="Z387" i="54"/>
  <c r="W387" i="54"/>
  <c r="X387" i="54" s="1"/>
  <c r="Y387" i="54" s="1"/>
  <c r="AA387" i="54" s="1"/>
  <c r="W153" i="54"/>
  <c r="X153" i="54" s="1"/>
  <c r="Y153" i="54" s="1"/>
  <c r="AA153" i="54" s="1"/>
  <c r="Z153" i="54"/>
  <c r="Z218" i="54"/>
  <c r="W218" i="54"/>
  <c r="X218" i="54" s="1"/>
  <c r="Y218" i="54" s="1"/>
  <c r="AA218" i="54" s="1"/>
  <c r="W179" i="54"/>
  <c r="X179" i="54" s="1"/>
  <c r="Y179" i="54" s="1"/>
  <c r="AA179" i="54" s="1"/>
  <c r="Z179" i="54"/>
  <c r="W49" i="54"/>
  <c r="X49" i="54" s="1"/>
  <c r="Y49" i="54" s="1"/>
  <c r="AA49" i="54" s="1"/>
  <c r="Z49" i="54"/>
  <c r="BD147" i="54"/>
  <c r="BA147" i="54"/>
  <c r="BB147" i="54" s="1"/>
  <c r="BC147" i="54" s="1"/>
  <c r="BE147" i="54" s="1"/>
  <c r="BD368" i="54"/>
  <c r="BA368" i="54"/>
  <c r="BD134" i="54"/>
  <c r="BA134" i="54"/>
  <c r="BD199" i="54"/>
  <c r="BA199" i="54"/>
  <c r="BA43" i="54"/>
  <c r="BB43" i="54" s="1"/>
  <c r="BC43" i="54" s="1"/>
  <c r="BE43" i="54" s="1"/>
  <c r="BD43" i="54"/>
  <c r="BD160" i="54"/>
  <c r="BA160" i="54"/>
  <c r="BB160" i="54" s="1"/>
  <c r="BC160" i="54" s="1"/>
  <c r="BE160" i="54" s="1"/>
  <c r="BD329" i="54"/>
  <c r="BA329" i="54"/>
  <c r="P387" i="54"/>
  <c r="M387" i="54"/>
  <c r="P335" i="54"/>
  <c r="M335" i="54"/>
  <c r="N335" i="54" s="1"/>
  <c r="O335" i="54" s="1"/>
  <c r="Q335" i="54" s="1"/>
  <c r="P374" i="54"/>
  <c r="M374" i="54"/>
  <c r="N374" i="54" s="1"/>
  <c r="O374" i="54" s="1"/>
  <c r="Q374" i="54" s="1"/>
  <c r="P49" i="54"/>
  <c r="M49" i="54"/>
  <c r="AJ23" i="54"/>
  <c r="AG23" i="54"/>
  <c r="AH23" i="54" s="1"/>
  <c r="AI23" i="54" s="1"/>
  <c r="AK23" i="54" s="1"/>
  <c r="AJ400" i="54"/>
  <c r="AG400" i="54"/>
  <c r="AH400" i="54" s="1"/>
  <c r="AI400" i="54" s="1"/>
  <c r="AK400" i="54" s="1"/>
  <c r="AG49" i="54"/>
  <c r="AH49" i="54" s="1"/>
  <c r="AI49" i="54" s="1"/>
  <c r="AK49" i="54" s="1"/>
  <c r="AJ49" i="54"/>
  <c r="AJ140" i="54"/>
  <c r="AG140" i="54"/>
  <c r="AH140" i="54" s="1"/>
  <c r="AI140" i="54" s="1"/>
  <c r="AK140" i="54" s="1"/>
  <c r="AJ153" i="54"/>
  <c r="AG153" i="54"/>
  <c r="AH153" i="54" s="1"/>
  <c r="AI153" i="54" s="1"/>
  <c r="AK153" i="54" s="1"/>
  <c r="AJ335" i="54"/>
  <c r="AG335" i="54"/>
  <c r="AG296" i="54"/>
  <c r="AH296" i="54" s="1"/>
  <c r="AI296" i="54" s="1"/>
  <c r="AK296" i="54" s="1"/>
  <c r="AJ296" i="54"/>
  <c r="AG361" i="54"/>
  <c r="AJ361" i="54"/>
  <c r="P17" i="54"/>
  <c r="M17" i="54"/>
  <c r="N17" i="54" s="1"/>
  <c r="O17" i="54" s="1"/>
  <c r="Q17" i="54" s="1"/>
  <c r="BG17" i="54" s="1"/>
  <c r="P134" i="54"/>
  <c r="M134" i="54"/>
  <c r="N134" i="54" s="1"/>
  <c r="O134" i="54" s="1"/>
  <c r="Q134" i="54" s="1"/>
  <c r="P355" i="54"/>
  <c r="M355" i="54"/>
  <c r="N355" i="54" s="1"/>
  <c r="O355" i="54" s="1"/>
  <c r="Q355" i="54" s="1"/>
  <c r="M160" i="54"/>
  <c r="N160" i="54" s="1"/>
  <c r="O160" i="54" s="1"/>
  <c r="Q160" i="54" s="1"/>
  <c r="P160" i="54"/>
  <c r="P368" i="54"/>
  <c r="M368" i="54"/>
  <c r="W360" i="54"/>
  <c r="X360" i="54" s="1"/>
  <c r="Y360" i="54" s="1"/>
  <c r="AA360" i="54" s="1"/>
  <c r="Z360" i="54"/>
  <c r="Z334" i="54"/>
  <c r="W334" i="54"/>
  <c r="X334" i="54" s="1"/>
  <c r="Y334" i="54" s="1"/>
  <c r="AA334" i="54" s="1"/>
  <c r="Z399" i="54"/>
  <c r="W399" i="54"/>
  <c r="X399" i="54" s="1"/>
  <c r="Y399" i="54" s="1"/>
  <c r="AA399" i="54" s="1"/>
  <c r="W48" i="54"/>
  <c r="X48" i="54" s="1"/>
  <c r="Y48" i="54" s="1"/>
  <c r="AA48" i="54" s="1"/>
  <c r="Z48" i="54"/>
  <c r="Z269" i="54"/>
  <c r="W269" i="54"/>
  <c r="W87" i="54"/>
  <c r="Z87" i="54"/>
  <c r="BA71" i="54"/>
  <c r="BB71" i="54" s="1"/>
  <c r="BC71" i="54" s="1"/>
  <c r="BE71" i="54" s="1"/>
  <c r="BD71" i="54"/>
  <c r="BD292" i="54"/>
  <c r="BA292" i="54"/>
  <c r="BD318" i="54"/>
  <c r="BA318" i="54"/>
  <c r="BD214" i="54"/>
  <c r="BA214" i="54"/>
  <c r="BB214" i="54" s="1"/>
  <c r="BC214" i="54" s="1"/>
  <c r="BE214" i="54" s="1"/>
  <c r="BD279" i="54"/>
  <c r="BA279" i="54"/>
  <c r="BB279" i="54" s="1"/>
  <c r="BC279" i="54" s="1"/>
  <c r="BE279" i="54" s="1"/>
  <c r="BA58" i="54"/>
  <c r="BB58" i="54" s="1"/>
  <c r="BC58" i="54" s="1"/>
  <c r="BE58" i="54" s="1"/>
  <c r="BD58" i="54"/>
  <c r="BD201" i="54"/>
  <c r="BA201" i="54"/>
  <c r="W310" i="54"/>
  <c r="X310" i="54" s="1"/>
  <c r="Y310" i="54" s="1"/>
  <c r="AA310" i="54" s="1"/>
  <c r="Z310" i="54"/>
  <c r="W284" i="54"/>
  <c r="X284" i="54" s="1"/>
  <c r="Y284" i="54" s="1"/>
  <c r="AA284" i="54" s="1"/>
  <c r="Z284" i="54"/>
  <c r="W102" i="54"/>
  <c r="X102" i="54" s="1"/>
  <c r="Y102" i="54" s="1"/>
  <c r="AA102" i="54" s="1"/>
  <c r="Z102" i="54"/>
  <c r="W232" i="54"/>
  <c r="Z232" i="54"/>
  <c r="W154" i="54"/>
  <c r="X154" i="54" s="1"/>
  <c r="Y154" i="54" s="1"/>
  <c r="AA154" i="54" s="1"/>
  <c r="Z154" i="54"/>
  <c r="W271" i="54"/>
  <c r="X271" i="54" s="1"/>
  <c r="Y271" i="54" s="1"/>
  <c r="AA271" i="54" s="1"/>
  <c r="Z271" i="54"/>
  <c r="Z336" i="54"/>
  <c r="W336" i="54"/>
  <c r="AG238" i="54"/>
  <c r="AH238" i="54" s="1"/>
  <c r="AI238" i="54" s="1"/>
  <c r="AK238" i="54" s="1"/>
  <c r="AJ238" i="54"/>
  <c r="AG95" i="54"/>
  <c r="AH95" i="54" s="1"/>
  <c r="AI95" i="54" s="1"/>
  <c r="AK95" i="54" s="1"/>
  <c r="AJ95" i="54"/>
  <c r="AJ225" i="54"/>
  <c r="AG225" i="54"/>
  <c r="AG368" i="54"/>
  <c r="AH368" i="54" s="1"/>
  <c r="AI368" i="54" s="1"/>
  <c r="AK368" i="54" s="1"/>
  <c r="AJ368" i="54"/>
  <c r="AJ108" i="54"/>
  <c r="AG108" i="54"/>
  <c r="AH108" i="54" s="1"/>
  <c r="AI108" i="54" s="1"/>
  <c r="AK108" i="54" s="1"/>
  <c r="AG56" i="54"/>
  <c r="AH56" i="54" s="1"/>
  <c r="AI56" i="54" s="1"/>
  <c r="AK56" i="54" s="1"/>
  <c r="AJ56" i="54"/>
  <c r="AG147" i="54"/>
  <c r="AJ147" i="54"/>
  <c r="AT217" i="54"/>
  <c r="AQ217" i="54"/>
  <c r="AT269" i="54"/>
  <c r="AQ269" i="54"/>
  <c r="AR269" i="54" s="1"/>
  <c r="AS269" i="54" s="1"/>
  <c r="AU269" i="54" s="1"/>
  <c r="AT48" i="54"/>
  <c r="AQ48" i="54"/>
  <c r="AR48" i="54" s="1"/>
  <c r="AS48" i="54" s="1"/>
  <c r="AU48" i="54" s="1"/>
  <c r="AT139" i="54"/>
  <c r="AQ139" i="54"/>
  <c r="AR139" i="54" s="1"/>
  <c r="AS139" i="54" s="1"/>
  <c r="AU139" i="54" s="1"/>
  <c r="AT295" i="54"/>
  <c r="AQ295" i="54"/>
  <c r="AR295" i="54" s="1"/>
  <c r="AS295" i="54" s="1"/>
  <c r="AT126" i="54"/>
  <c r="AQ126" i="54"/>
  <c r="AR126" i="54" s="1"/>
  <c r="AS126" i="54" s="1"/>
  <c r="AU126" i="54" s="1"/>
  <c r="AQ373" i="54"/>
  <c r="AR373" i="54" s="1"/>
  <c r="AS373" i="54" s="1"/>
  <c r="AU373" i="54" s="1"/>
  <c r="AT373" i="54"/>
  <c r="AQ334" i="54"/>
  <c r="AR334" i="54" s="1"/>
  <c r="AS334" i="54" s="1"/>
  <c r="AU334" i="54" s="1"/>
  <c r="AT334" i="54"/>
  <c r="AG87" i="54"/>
  <c r="AJ87" i="54"/>
  <c r="AG347" i="54"/>
  <c r="AH347" i="54" s="1"/>
  <c r="AI347" i="54" s="1"/>
  <c r="AK347" i="54" s="1"/>
  <c r="AJ347" i="54"/>
  <c r="AJ178" i="54"/>
  <c r="AG178" i="54"/>
  <c r="AH178" i="54" s="1"/>
  <c r="AG308" i="54"/>
  <c r="AH308" i="54" s="1"/>
  <c r="AI308" i="54" s="1"/>
  <c r="AK308" i="54" s="1"/>
  <c r="AJ308" i="54"/>
  <c r="AG217" i="54"/>
  <c r="AJ217" i="54"/>
  <c r="AG282" i="54"/>
  <c r="AJ282" i="54"/>
  <c r="AG321" i="54"/>
  <c r="AH321" i="54" s="1"/>
  <c r="AI321" i="54" s="1"/>
  <c r="AK321" i="54" s="1"/>
  <c r="AJ321" i="54"/>
  <c r="AG174" i="54"/>
  <c r="AJ174" i="54"/>
  <c r="AJ304" i="54"/>
  <c r="AG304" i="54"/>
  <c r="AH304" i="54" s="1"/>
  <c r="AI304" i="54" s="1"/>
  <c r="AK304" i="54" s="1"/>
  <c r="AG187" i="54"/>
  <c r="AH187" i="54" s="1"/>
  <c r="AI187" i="54" s="1"/>
  <c r="AK187" i="54" s="1"/>
  <c r="AJ187" i="54"/>
  <c r="AG148" i="54"/>
  <c r="AH148" i="54" s="1"/>
  <c r="AI148" i="54" s="1"/>
  <c r="AK148" i="54" s="1"/>
  <c r="AJ148" i="54"/>
  <c r="AG70" i="54"/>
  <c r="AH70" i="54" s="1"/>
  <c r="AI70" i="54" s="1"/>
  <c r="AK70" i="54" s="1"/>
  <c r="AJ70" i="54"/>
  <c r="AG395" i="54"/>
  <c r="AH395" i="54" s="1"/>
  <c r="AI395" i="54" s="1"/>
  <c r="AK395" i="54" s="1"/>
  <c r="AJ395" i="54"/>
  <c r="AG226" i="54"/>
  <c r="AJ226" i="54"/>
  <c r="W213" i="54"/>
  <c r="Z213" i="54"/>
  <c r="W96" i="54"/>
  <c r="X96" i="54" s="1"/>
  <c r="Y96" i="54" s="1"/>
  <c r="AA96" i="54" s="1"/>
  <c r="Z96" i="54"/>
  <c r="Z369" i="54"/>
  <c r="W369" i="54"/>
  <c r="X369" i="54" s="1"/>
  <c r="Y369" i="54" s="1"/>
  <c r="AA369" i="54" s="1"/>
  <c r="W135" i="54"/>
  <c r="X135" i="54" s="1"/>
  <c r="Y135" i="54" s="1"/>
  <c r="AA135" i="54" s="1"/>
  <c r="Z135" i="54"/>
  <c r="W200" i="54"/>
  <c r="X200" i="54" s="1"/>
  <c r="Y200" i="54" s="1"/>
  <c r="AA200" i="54" s="1"/>
  <c r="Z200" i="54"/>
  <c r="Z161" i="54"/>
  <c r="W161" i="54"/>
  <c r="X161" i="54" s="1"/>
  <c r="Y161" i="54" s="1"/>
  <c r="AA161" i="54" s="1"/>
  <c r="W31" i="54"/>
  <c r="X31" i="54" s="1"/>
  <c r="Y31" i="54" s="1"/>
  <c r="AA31" i="54" s="1"/>
  <c r="Z31" i="54"/>
  <c r="AG105" i="54"/>
  <c r="AH105" i="54" s="1"/>
  <c r="AI105" i="54" s="1"/>
  <c r="AK105" i="54" s="1"/>
  <c r="AJ105" i="54"/>
  <c r="AJ365" i="54"/>
  <c r="AG365" i="54"/>
  <c r="AH365" i="54" s="1"/>
  <c r="AI365" i="54" s="1"/>
  <c r="AK365" i="54" s="1"/>
  <c r="AG196" i="54"/>
  <c r="AH196" i="54" s="1"/>
  <c r="AI196" i="54" s="1"/>
  <c r="AK196" i="54" s="1"/>
  <c r="AJ196" i="54"/>
  <c r="AG313" i="54"/>
  <c r="AH313" i="54" s="1"/>
  <c r="AI313" i="54" s="1"/>
  <c r="AK313" i="54" s="1"/>
  <c r="AJ313" i="54"/>
  <c r="AG235" i="54"/>
  <c r="AJ235" i="54"/>
  <c r="AJ352" i="54"/>
  <c r="AG352" i="54"/>
  <c r="AH352" i="54" s="1"/>
  <c r="AI352" i="54" s="1"/>
  <c r="AK352" i="54" s="1"/>
  <c r="AJ339" i="54"/>
  <c r="AG339" i="54"/>
  <c r="P354" i="54"/>
  <c r="M354" i="54"/>
  <c r="N354" i="54" s="1"/>
  <c r="O354" i="54" s="1"/>
  <c r="Q354" i="54" s="1"/>
  <c r="P172" i="54"/>
  <c r="M172" i="54"/>
  <c r="N172" i="54" s="1"/>
  <c r="O172" i="54" s="1"/>
  <c r="Q172" i="54" s="1"/>
  <c r="P380" i="54"/>
  <c r="M380" i="54"/>
  <c r="N380" i="54" s="1"/>
  <c r="O380" i="54" s="1"/>
  <c r="Q380" i="54" s="1"/>
  <c r="AJ68" i="54"/>
  <c r="AG68" i="54"/>
  <c r="AH68" i="54" s="1"/>
  <c r="AI68" i="54" s="1"/>
  <c r="AK68" i="54" s="1"/>
  <c r="AG133" i="54"/>
  <c r="AH133" i="54" s="1"/>
  <c r="AI133" i="54" s="1"/>
  <c r="AK133" i="54" s="1"/>
  <c r="AJ133" i="54"/>
  <c r="AJ263" i="54"/>
  <c r="AG263" i="54"/>
  <c r="AG315" i="54"/>
  <c r="AJ315" i="54"/>
  <c r="AG146" i="54"/>
  <c r="AH146" i="54" s="1"/>
  <c r="AI146" i="54" s="1"/>
  <c r="AK146" i="54" s="1"/>
  <c r="AJ146" i="54"/>
  <c r="AJ276" i="54"/>
  <c r="AG276" i="54"/>
  <c r="AG159" i="54"/>
  <c r="AH159" i="54" s="1"/>
  <c r="AI159" i="54" s="1"/>
  <c r="AK159" i="54" s="1"/>
  <c r="AJ159" i="54"/>
  <c r="BA18" i="54"/>
  <c r="BB18" i="54" s="1"/>
  <c r="BC18" i="54" s="1"/>
  <c r="BE18" i="54" s="1"/>
  <c r="BD18" i="54"/>
  <c r="BD291" i="54"/>
  <c r="BA291" i="54"/>
  <c r="BD135" i="54"/>
  <c r="BA135" i="54"/>
  <c r="BD44" i="54"/>
  <c r="BA44" i="54"/>
  <c r="BB44" i="54" s="1"/>
  <c r="BC44" i="54" s="1"/>
  <c r="BE44" i="54" s="1"/>
  <c r="BG44" i="54" s="1"/>
  <c r="BD304" i="54"/>
  <c r="BA304" i="54"/>
  <c r="BD70" i="54"/>
  <c r="BA70" i="54"/>
  <c r="BB70" i="54" s="1"/>
  <c r="BC70" i="54" s="1"/>
  <c r="BE70" i="54" s="1"/>
  <c r="BD226" i="54"/>
  <c r="BA226" i="54"/>
  <c r="BB226" i="54" s="1"/>
  <c r="BC226" i="54" s="1"/>
  <c r="BE226" i="54" s="1"/>
  <c r="W158" i="54"/>
  <c r="X158" i="54" s="1"/>
  <c r="Y158" i="54" s="1"/>
  <c r="AA158" i="54" s="1"/>
  <c r="Z158" i="54"/>
  <c r="W340" i="54"/>
  <c r="Z340" i="54"/>
  <c r="W80" i="54"/>
  <c r="X80" i="54" s="1"/>
  <c r="Y80" i="54" s="1"/>
  <c r="AA80" i="54" s="1"/>
  <c r="Z80" i="54"/>
  <c r="W301" i="54"/>
  <c r="Z301" i="54"/>
  <c r="W327" i="54"/>
  <c r="Z327" i="54"/>
  <c r="W184" i="54"/>
  <c r="X184" i="54" s="1"/>
  <c r="Y184" i="54" s="1"/>
  <c r="AA184" i="54" s="1"/>
  <c r="Z184" i="54"/>
  <c r="AT235" i="54"/>
  <c r="AQ235" i="54"/>
  <c r="AR235" i="54" s="1"/>
  <c r="AS235" i="54" s="1"/>
  <c r="AU235" i="54" s="1"/>
  <c r="AT287" i="54"/>
  <c r="AQ287" i="54"/>
  <c r="AT66" i="54"/>
  <c r="AQ66" i="54"/>
  <c r="AR66" i="54" s="1"/>
  <c r="AS66" i="54" s="1"/>
  <c r="AU66" i="54" s="1"/>
  <c r="AT170" i="54"/>
  <c r="AQ170" i="54"/>
  <c r="AR170" i="54" s="1"/>
  <c r="AS170" i="54" s="1"/>
  <c r="AU170" i="54" s="1"/>
  <c r="AT313" i="54"/>
  <c r="AQ313" i="54"/>
  <c r="AR313" i="54" s="1"/>
  <c r="AS313" i="54" s="1"/>
  <c r="AT144" i="54"/>
  <c r="AQ144" i="54"/>
  <c r="AR144" i="54" s="1"/>
  <c r="AS144" i="54" s="1"/>
  <c r="AU144" i="54" s="1"/>
  <c r="AT391" i="54"/>
  <c r="AQ391" i="54"/>
  <c r="AT378" i="54"/>
  <c r="AQ378" i="54"/>
  <c r="BD29" i="54"/>
  <c r="BA29" i="54"/>
  <c r="BB29" i="54" s="1"/>
  <c r="BC29" i="54" s="1"/>
  <c r="BE29" i="54" s="1"/>
  <c r="BD250" i="54"/>
  <c r="BA250" i="54"/>
  <c r="BB250" i="54" s="1"/>
  <c r="BC250" i="54" s="1"/>
  <c r="BE250" i="54" s="1"/>
  <c r="BA16" i="54"/>
  <c r="BB16" i="54" s="1"/>
  <c r="BC16" i="54" s="1"/>
  <c r="BE16" i="54" s="1"/>
  <c r="BD16" i="54"/>
  <c r="BD263" i="54"/>
  <c r="BA263" i="54"/>
  <c r="BB263" i="54" s="1"/>
  <c r="BC263" i="54" s="1"/>
  <c r="BE263" i="54" s="1"/>
  <c r="BD354" i="54"/>
  <c r="BA354" i="54"/>
  <c r="BB354" i="54" s="1"/>
  <c r="BC354" i="54" s="1"/>
  <c r="BE354" i="54" s="1"/>
  <c r="BD159" i="54"/>
  <c r="BA159" i="54"/>
  <c r="BD185" i="54"/>
  <c r="BA185" i="54"/>
  <c r="P281" i="54"/>
  <c r="M281" i="54"/>
  <c r="N281" i="54" s="1"/>
  <c r="O281" i="54" s="1"/>
  <c r="Q281" i="54" s="1"/>
  <c r="P229" i="54"/>
  <c r="M229" i="54"/>
  <c r="N229" i="54" s="1"/>
  <c r="O229" i="54" s="1"/>
  <c r="Q229" i="54" s="1"/>
  <c r="P177" i="54"/>
  <c r="M177" i="54"/>
  <c r="N177" i="54" s="1"/>
  <c r="O177" i="54" s="1"/>
  <c r="Q177" i="54" s="1"/>
  <c r="P125" i="54"/>
  <c r="M125" i="54"/>
  <c r="AT55" i="54"/>
  <c r="AQ55" i="54"/>
  <c r="AR55" i="54" s="1"/>
  <c r="AS55" i="54" s="1"/>
  <c r="AU55" i="54" s="1"/>
  <c r="AT42" i="54"/>
  <c r="AQ42" i="54"/>
  <c r="AR42" i="54" s="1"/>
  <c r="AS42" i="54" s="1"/>
  <c r="AU42" i="54" s="1"/>
  <c r="AT185" i="54"/>
  <c r="AQ185" i="54"/>
  <c r="AT250" i="54"/>
  <c r="AQ250" i="54"/>
  <c r="AT198" i="54"/>
  <c r="AQ198" i="54"/>
  <c r="AT146" i="54"/>
  <c r="AQ146" i="54"/>
  <c r="AR146" i="54" s="1"/>
  <c r="AS146" i="54" s="1"/>
  <c r="AU146" i="54" s="1"/>
  <c r="AT302" i="54"/>
  <c r="AQ302" i="54"/>
  <c r="AJ207" i="54"/>
  <c r="AG207" i="54"/>
  <c r="AH207" i="54" s="1"/>
  <c r="AI207" i="54" s="1"/>
  <c r="AK207" i="54" s="1"/>
  <c r="AG272" i="54"/>
  <c r="AH272" i="54" s="1"/>
  <c r="AI272" i="54" s="1"/>
  <c r="AK272" i="54" s="1"/>
  <c r="AJ272" i="54"/>
  <c r="AG389" i="54"/>
  <c r="AJ389" i="54"/>
  <c r="AG220" i="54"/>
  <c r="AH220" i="54" s="1"/>
  <c r="AI220" i="54" s="1"/>
  <c r="AK220" i="54" s="1"/>
  <c r="AJ220" i="54"/>
  <c r="AG350" i="54"/>
  <c r="AH350" i="54" s="1"/>
  <c r="AI350" i="54" s="1"/>
  <c r="AK350" i="54" s="1"/>
  <c r="AJ350" i="54"/>
  <c r="AG233" i="54"/>
  <c r="AJ233" i="54"/>
  <c r="AG259" i="54"/>
  <c r="AH259" i="54" s="1"/>
  <c r="AI259" i="54" s="1"/>
  <c r="AK259" i="54" s="1"/>
  <c r="AJ259" i="54"/>
  <c r="BA23" i="54"/>
  <c r="BB23" i="54" s="1"/>
  <c r="BC23" i="54" s="1"/>
  <c r="BE23" i="54" s="1"/>
  <c r="BD23" i="54"/>
  <c r="BD166" i="54"/>
  <c r="BA166" i="54"/>
  <c r="BB166" i="54" s="1"/>
  <c r="BC166" i="54" s="1"/>
  <c r="BE166" i="54" s="1"/>
  <c r="BD231" i="54"/>
  <c r="BA231" i="54"/>
  <c r="BB231" i="54" s="1"/>
  <c r="BC231" i="54" s="1"/>
  <c r="BA62" i="54"/>
  <c r="BB62" i="54" s="1"/>
  <c r="BC62" i="54" s="1"/>
  <c r="BE62" i="54" s="1"/>
  <c r="BD62" i="54"/>
  <c r="BD283" i="54"/>
  <c r="BA283" i="54"/>
  <c r="BA49" i="54"/>
  <c r="BB49" i="54" s="1"/>
  <c r="BC49" i="54" s="1"/>
  <c r="BE49" i="54" s="1"/>
  <c r="BD49" i="54"/>
  <c r="BD335" i="54"/>
  <c r="BA335" i="54"/>
  <c r="BA374" i="54"/>
  <c r="BB374" i="54" s="1"/>
  <c r="BC374" i="54" s="1"/>
  <c r="BE374" i="54" s="1"/>
  <c r="BD374" i="54"/>
  <c r="AT199" i="54"/>
  <c r="AQ199" i="54"/>
  <c r="AR199" i="54" s="1"/>
  <c r="AS199" i="54" s="1"/>
  <c r="AU199" i="54" s="1"/>
  <c r="AT95" i="54"/>
  <c r="AQ95" i="54"/>
  <c r="AR95" i="54" s="1"/>
  <c r="AS95" i="54" s="1"/>
  <c r="AU95" i="54" s="1"/>
  <c r="AT43" i="54"/>
  <c r="AQ43" i="54"/>
  <c r="AR43" i="54" s="1"/>
  <c r="AS43" i="54" s="1"/>
  <c r="AU43" i="54" s="1"/>
  <c r="AQ329" i="54"/>
  <c r="AR329" i="54" s="1"/>
  <c r="AS329" i="54" s="1"/>
  <c r="AU329" i="54" s="1"/>
  <c r="AT329" i="54"/>
  <c r="AT160" i="54"/>
  <c r="AQ160" i="54"/>
  <c r="AR160" i="54" s="1"/>
  <c r="AS160" i="54" s="1"/>
  <c r="AU160" i="54" s="1"/>
  <c r="AT394" i="54"/>
  <c r="AQ394" i="54"/>
  <c r="AR394" i="54" s="1"/>
  <c r="AS394" i="54" s="1"/>
  <c r="AU394" i="54" s="1"/>
  <c r="AT173" i="54"/>
  <c r="AQ173" i="54"/>
  <c r="AR173" i="54" s="1"/>
  <c r="AS173" i="54" s="1"/>
  <c r="AT62" i="54"/>
  <c r="AQ62" i="54"/>
  <c r="AR62" i="54" s="1"/>
  <c r="AS62" i="54" s="1"/>
  <c r="AU62" i="54" s="1"/>
  <c r="AT101" i="54"/>
  <c r="AQ101" i="54"/>
  <c r="AR101" i="54" s="1"/>
  <c r="AS101" i="54" s="1"/>
  <c r="AU101" i="54" s="1"/>
  <c r="AT231" i="54"/>
  <c r="AQ231" i="54"/>
  <c r="AT270" i="54"/>
  <c r="AQ270" i="54"/>
  <c r="AR270" i="54" s="1"/>
  <c r="AS270" i="54" s="1"/>
  <c r="AT400" i="54"/>
  <c r="AQ400" i="54"/>
  <c r="AT296" i="54"/>
  <c r="AQ296" i="54"/>
  <c r="AR296" i="54" s="1"/>
  <c r="AS296" i="54" s="1"/>
  <c r="AU296" i="54" s="1"/>
  <c r="AT166" i="54"/>
  <c r="AQ166" i="54"/>
  <c r="AR166" i="54" s="1"/>
  <c r="AS166" i="54" s="1"/>
  <c r="AU166" i="54" s="1"/>
  <c r="W38" i="54"/>
  <c r="X38" i="54" s="1"/>
  <c r="Y38" i="54" s="1"/>
  <c r="AA38" i="54" s="1"/>
  <c r="Z38" i="54"/>
  <c r="W363" i="54"/>
  <c r="X363" i="54" s="1"/>
  <c r="Y363" i="54" s="1"/>
  <c r="AA363" i="54" s="1"/>
  <c r="Z363" i="54"/>
  <c r="W402" i="54"/>
  <c r="X402" i="54" s="1"/>
  <c r="Y402" i="54" s="1"/>
  <c r="AA402" i="54" s="1"/>
  <c r="Z402" i="54"/>
  <c r="W207" i="54"/>
  <c r="X207" i="54" s="1"/>
  <c r="Y207" i="54" s="1"/>
  <c r="AA207" i="54" s="1"/>
  <c r="Z207" i="54"/>
  <c r="W25" i="54"/>
  <c r="Z25" i="54"/>
  <c r="W90" i="54"/>
  <c r="X90" i="54" s="1"/>
  <c r="Y90" i="54" s="1"/>
  <c r="AA90" i="54" s="1"/>
  <c r="Z90" i="54"/>
  <c r="Z227" i="54"/>
  <c r="W227" i="54"/>
  <c r="W149" i="54"/>
  <c r="X149" i="54" s="1"/>
  <c r="Y149" i="54" s="1"/>
  <c r="AA149" i="54" s="1"/>
  <c r="Z149" i="54"/>
  <c r="W123" i="54"/>
  <c r="X123" i="54" s="1"/>
  <c r="Y123" i="54" s="1"/>
  <c r="AA123" i="54" s="1"/>
  <c r="Z123" i="54"/>
  <c r="Z305" i="54"/>
  <c r="W305" i="54"/>
  <c r="X305" i="54" s="1"/>
  <c r="Y305" i="54" s="1"/>
  <c r="AA305" i="54" s="1"/>
  <c r="W370" i="54"/>
  <c r="X370" i="54" s="1"/>
  <c r="Y370" i="54" s="1"/>
  <c r="AA370" i="54" s="1"/>
  <c r="Z370" i="54"/>
  <c r="W32" i="54"/>
  <c r="X32" i="54" s="1"/>
  <c r="Y32" i="54" s="1"/>
  <c r="AA32" i="54" s="1"/>
  <c r="Z32" i="54"/>
  <c r="AJ372" i="54"/>
  <c r="AG372" i="54"/>
  <c r="AH372" i="54" s="1"/>
  <c r="AI372" i="54" s="1"/>
  <c r="AK372" i="54" s="1"/>
  <c r="AJ320" i="54"/>
  <c r="AG320" i="54"/>
  <c r="AH320" i="54" s="1"/>
  <c r="AI320" i="54" s="1"/>
  <c r="AK320" i="54" s="1"/>
  <c r="AG398" i="54"/>
  <c r="AH398" i="54" s="1"/>
  <c r="AI398" i="54" s="1"/>
  <c r="AK398" i="54" s="1"/>
  <c r="AJ398" i="54"/>
  <c r="AG216" i="54"/>
  <c r="AH216" i="54" s="1"/>
  <c r="AI216" i="54" s="1"/>
  <c r="AK216" i="54" s="1"/>
  <c r="AJ216" i="54"/>
  <c r="AG138" i="54"/>
  <c r="AH138" i="54" s="1"/>
  <c r="AI138" i="54" s="1"/>
  <c r="AK138" i="54" s="1"/>
  <c r="AJ138" i="54"/>
  <c r="AG255" i="54"/>
  <c r="AH255" i="54" s="1"/>
  <c r="AI255" i="54" s="1"/>
  <c r="AK255" i="54" s="1"/>
  <c r="AJ255" i="54"/>
  <c r="AG60" i="54"/>
  <c r="AH60" i="54" s="1"/>
  <c r="AI60" i="54" s="1"/>
  <c r="AK60" i="54" s="1"/>
  <c r="AJ60" i="54"/>
  <c r="AG203" i="54"/>
  <c r="AH203" i="54" s="1"/>
  <c r="AI203" i="54" s="1"/>
  <c r="AK203" i="54" s="1"/>
  <c r="AJ203" i="54"/>
  <c r="BD164" i="54"/>
  <c r="BA164" i="54"/>
  <c r="BB164" i="54" s="1"/>
  <c r="BC164" i="54" s="1"/>
  <c r="BE164" i="54" s="1"/>
  <c r="BD385" i="54"/>
  <c r="BA385" i="54"/>
  <c r="BB385" i="54" s="1"/>
  <c r="BC385" i="54" s="1"/>
  <c r="BE385" i="54" s="1"/>
  <c r="BA60" i="54"/>
  <c r="BB60" i="54" s="1"/>
  <c r="BC60" i="54" s="1"/>
  <c r="BE60" i="54" s="1"/>
  <c r="BD60" i="54"/>
  <c r="BD372" i="54"/>
  <c r="BA372" i="54"/>
  <c r="BB372" i="54" s="1"/>
  <c r="BC372" i="54" s="1"/>
  <c r="BD99" i="54"/>
  <c r="BA99" i="54"/>
  <c r="BB99" i="54" s="1"/>
  <c r="BC99" i="54" s="1"/>
  <c r="BE99" i="54" s="1"/>
  <c r="BD320" i="54"/>
  <c r="BA320" i="54"/>
  <c r="BB320" i="54" s="1"/>
  <c r="BC320" i="54" s="1"/>
  <c r="BD203" i="54"/>
  <c r="BA203" i="54"/>
  <c r="AT64" i="54"/>
  <c r="AQ64" i="54"/>
  <c r="AR64" i="54" s="1"/>
  <c r="AS64" i="54" s="1"/>
  <c r="AU64" i="54" s="1"/>
  <c r="AT207" i="54"/>
  <c r="AQ207" i="54"/>
  <c r="AR207" i="54" s="1"/>
  <c r="AS207" i="54" s="1"/>
  <c r="AU207" i="54" s="1"/>
  <c r="AT77" i="54"/>
  <c r="AQ77" i="54"/>
  <c r="AR77" i="54" s="1"/>
  <c r="AS77" i="54" s="1"/>
  <c r="AU77" i="54" s="1"/>
  <c r="AT25" i="54"/>
  <c r="AQ25" i="54"/>
  <c r="AR25" i="54" s="1"/>
  <c r="AS25" i="54" s="1"/>
  <c r="AU25" i="54" s="1"/>
  <c r="AT246" i="54"/>
  <c r="AQ246" i="54"/>
  <c r="AT402" i="54"/>
  <c r="AQ402" i="54"/>
  <c r="AR402" i="54" s="1"/>
  <c r="AS402" i="54" s="1"/>
  <c r="AU402" i="54" s="1"/>
  <c r="AQ324" i="54"/>
  <c r="AR324" i="54" s="1"/>
  <c r="AS324" i="54" s="1"/>
  <c r="AU324" i="54" s="1"/>
  <c r="AT324" i="54"/>
  <c r="AT168" i="54"/>
  <c r="AQ168" i="54"/>
  <c r="AR168" i="54" s="1"/>
  <c r="AS168" i="54" s="1"/>
  <c r="AU168" i="54" s="1"/>
  <c r="P35" i="54"/>
  <c r="M35" i="54"/>
  <c r="M256" i="54"/>
  <c r="N256" i="54" s="1"/>
  <c r="O256" i="54" s="1"/>
  <c r="Q256" i="54" s="1"/>
  <c r="P256" i="54"/>
  <c r="M204" i="54"/>
  <c r="N204" i="54" s="1"/>
  <c r="O204" i="54" s="1"/>
  <c r="Q204" i="54" s="1"/>
  <c r="P204" i="54"/>
  <c r="P87" i="54"/>
  <c r="M87" i="54"/>
  <c r="AG201" i="54"/>
  <c r="AH201" i="54" s="1"/>
  <c r="AI201" i="54" s="1"/>
  <c r="AK201" i="54" s="1"/>
  <c r="AJ201" i="54"/>
  <c r="AG383" i="54"/>
  <c r="AJ383" i="54"/>
  <c r="AG84" i="54"/>
  <c r="AJ84" i="54"/>
  <c r="AG331" i="54"/>
  <c r="AJ331" i="54"/>
  <c r="AG396" i="54"/>
  <c r="AH396" i="54" s="1"/>
  <c r="AI396" i="54" s="1"/>
  <c r="AK396" i="54" s="1"/>
  <c r="AJ396" i="54"/>
  <c r="AG357" i="54"/>
  <c r="AH357" i="54" s="1"/>
  <c r="AI357" i="54" s="1"/>
  <c r="AK357" i="54" s="1"/>
  <c r="AJ357" i="54"/>
  <c r="AG188" i="54"/>
  <c r="AH188" i="54" s="1"/>
  <c r="AI188" i="54" s="1"/>
  <c r="AK188" i="54" s="1"/>
  <c r="AJ188" i="54"/>
  <c r="AT110" i="54"/>
  <c r="AQ110" i="54"/>
  <c r="AT162" i="54"/>
  <c r="AQ162" i="54"/>
  <c r="AR162" i="54" s="1"/>
  <c r="AS162" i="54" s="1"/>
  <c r="AU162" i="54" s="1"/>
  <c r="AT19" i="54"/>
  <c r="AQ19" i="54"/>
  <c r="AR19" i="54" s="1"/>
  <c r="AS19" i="54" s="1"/>
  <c r="AU19" i="54" s="1"/>
  <c r="AT58" i="54"/>
  <c r="AQ58" i="54"/>
  <c r="AR58" i="54" s="1"/>
  <c r="AS58" i="54" s="1"/>
  <c r="AU58" i="54" s="1"/>
  <c r="AT136" i="54"/>
  <c r="AQ136" i="54"/>
  <c r="AR136" i="54" s="1"/>
  <c r="AS136" i="54" s="1"/>
  <c r="AU136" i="54" s="1"/>
  <c r="AQ331" i="54"/>
  <c r="AR331" i="54" s="1"/>
  <c r="AS331" i="54" s="1"/>
  <c r="AU331" i="54" s="1"/>
  <c r="AT331" i="54"/>
  <c r="AT149" i="54"/>
  <c r="AQ149" i="54"/>
  <c r="AR149" i="54" s="1"/>
  <c r="AS149" i="54" s="1"/>
  <c r="AU149" i="54" s="1"/>
  <c r="AT305" i="54"/>
  <c r="AQ305" i="54"/>
  <c r="AJ104" i="54"/>
  <c r="AG104" i="54"/>
  <c r="AH104" i="54" s="1"/>
  <c r="AI104" i="54" s="1"/>
  <c r="AK104" i="54" s="1"/>
  <c r="AG169" i="54"/>
  <c r="AJ169" i="54"/>
  <c r="AG39" i="54"/>
  <c r="AH39" i="54" s="1"/>
  <c r="AI39" i="54" s="1"/>
  <c r="AK39" i="54" s="1"/>
  <c r="AJ39" i="54"/>
  <c r="AG364" i="54"/>
  <c r="AH364" i="54" s="1"/>
  <c r="AI364" i="54" s="1"/>
  <c r="AK364" i="54" s="1"/>
  <c r="AJ364" i="54"/>
  <c r="AJ182" i="54"/>
  <c r="AG182" i="54"/>
  <c r="AH182" i="54" s="1"/>
  <c r="AI182" i="54" s="1"/>
  <c r="AK182" i="54" s="1"/>
  <c r="AG312" i="54"/>
  <c r="AH312" i="54" s="1"/>
  <c r="AI312" i="54" s="1"/>
  <c r="AK312" i="54" s="1"/>
  <c r="AJ312" i="54"/>
  <c r="AG221" i="54"/>
  <c r="AJ221" i="54"/>
  <c r="W170" i="54"/>
  <c r="X170" i="54" s="1"/>
  <c r="Y170" i="54" s="1"/>
  <c r="AA170" i="54" s="1"/>
  <c r="Z170" i="54"/>
  <c r="W235" i="54"/>
  <c r="Z235" i="54"/>
  <c r="W209" i="54"/>
  <c r="X209" i="54" s="1"/>
  <c r="Y209" i="54" s="1"/>
  <c r="AA209" i="54" s="1"/>
  <c r="Z209" i="54"/>
  <c r="Z66" i="54"/>
  <c r="W66" i="54"/>
  <c r="W287" i="54"/>
  <c r="Z287" i="54"/>
  <c r="Z222" i="54"/>
  <c r="W222" i="54"/>
  <c r="Z20" i="54"/>
  <c r="W20" i="54"/>
  <c r="X20" i="54" s="1"/>
  <c r="Y20" i="54" s="1"/>
  <c r="AA20" i="54" s="1"/>
  <c r="W345" i="54"/>
  <c r="X345" i="54" s="1"/>
  <c r="Y345" i="54" s="1"/>
  <c r="AA345" i="54" s="1"/>
  <c r="Z345" i="54"/>
  <c r="W384" i="54"/>
  <c r="X384" i="54" s="1"/>
  <c r="Y384" i="54" s="1"/>
  <c r="AA384" i="54" s="1"/>
  <c r="Z384" i="54"/>
  <c r="W189" i="54"/>
  <c r="X189" i="54" s="1"/>
  <c r="Y189" i="54" s="1"/>
  <c r="AA189" i="54" s="1"/>
  <c r="Z189" i="54"/>
  <c r="W215" i="54"/>
  <c r="X215" i="54" s="1"/>
  <c r="Y215" i="54" s="1"/>
  <c r="AA215" i="54" s="1"/>
  <c r="Z215" i="54"/>
  <c r="Z280" i="54"/>
  <c r="W280" i="54"/>
  <c r="X280" i="54" s="1"/>
  <c r="Y280" i="54" s="1"/>
  <c r="AA280" i="54" s="1"/>
  <c r="AJ98" i="54"/>
  <c r="AG98" i="54"/>
  <c r="AH98" i="54" s="1"/>
  <c r="AI98" i="54" s="1"/>
  <c r="AK98" i="54" s="1"/>
  <c r="AG176" i="54"/>
  <c r="AH176" i="54" s="1"/>
  <c r="AI176" i="54" s="1"/>
  <c r="AK176" i="54" s="1"/>
  <c r="AJ176" i="54"/>
  <c r="AG293" i="54"/>
  <c r="AH293" i="54" s="1"/>
  <c r="AI293" i="54" s="1"/>
  <c r="AK293" i="54" s="1"/>
  <c r="AJ293" i="54"/>
  <c r="AJ59" i="54"/>
  <c r="AG59" i="54"/>
  <c r="AH59" i="54" s="1"/>
  <c r="AI59" i="54" s="1"/>
  <c r="AK59" i="54" s="1"/>
  <c r="AG85" i="54"/>
  <c r="AJ85" i="54"/>
  <c r="AJ124" i="54"/>
  <c r="AG124" i="54"/>
  <c r="AH124" i="54" s="1"/>
  <c r="AI124" i="54" s="1"/>
  <c r="AK124" i="54" s="1"/>
  <c r="AJ33" i="54"/>
  <c r="AG33" i="54"/>
  <c r="AH33" i="54" s="1"/>
  <c r="AI33" i="54" s="1"/>
  <c r="AK33" i="54" s="1"/>
  <c r="BD260" i="54"/>
  <c r="BA260" i="54"/>
  <c r="BB260" i="54" s="1"/>
  <c r="BC260" i="54" s="1"/>
  <c r="BE260" i="54" s="1"/>
  <c r="BD52" i="54"/>
  <c r="BA52" i="54"/>
  <c r="BB52" i="54" s="1"/>
  <c r="BC52" i="54" s="1"/>
  <c r="BE52" i="54" s="1"/>
  <c r="BD234" i="54"/>
  <c r="BA234" i="54"/>
  <c r="BB234" i="54" s="1"/>
  <c r="BC234" i="54" s="1"/>
  <c r="BE234" i="54" s="1"/>
  <c r="BD130" i="54"/>
  <c r="BA130" i="54"/>
  <c r="BB130" i="54" s="1"/>
  <c r="BC130" i="54" s="1"/>
  <c r="BE130" i="54" s="1"/>
  <c r="BD273" i="54"/>
  <c r="BA273" i="54"/>
  <c r="BB273" i="54" s="1"/>
  <c r="BC273" i="54" s="1"/>
  <c r="BE273" i="54" s="1"/>
  <c r="BD377" i="54"/>
  <c r="BA377" i="54"/>
  <c r="BD143" i="54"/>
  <c r="BA143" i="54"/>
  <c r="AT52" i="54"/>
  <c r="AQ52" i="54"/>
  <c r="AR52" i="54" s="1"/>
  <c r="AS52" i="54" s="1"/>
  <c r="AU52" i="54" s="1"/>
  <c r="AT117" i="54"/>
  <c r="AQ117" i="54"/>
  <c r="AR117" i="54" s="1"/>
  <c r="AS117" i="54" s="1"/>
  <c r="AU117" i="54" s="1"/>
  <c r="AT169" i="54"/>
  <c r="AQ169" i="54"/>
  <c r="AT221" i="54"/>
  <c r="AQ221" i="54"/>
  <c r="AT364" i="54"/>
  <c r="AQ364" i="54"/>
  <c r="AT234" i="54"/>
  <c r="AQ234" i="54"/>
  <c r="AR234" i="54" s="1"/>
  <c r="AS234" i="54" s="1"/>
  <c r="AU234" i="54" s="1"/>
  <c r="AT182" i="54"/>
  <c r="AQ182" i="54"/>
  <c r="AR182" i="54" s="1"/>
  <c r="AS182" i="54" s="1"/>
  <c r="AU182" i="54" s="1"/>
  <c r="AQ377" i="54"/>
  <c r="AR377" i="54" s="1"/>
  <c r="AS377" i="54" s="1"/>
  <c r="AU377" i="54" s="1"/>
  <c r="AT377" i="54"/>
  <c r="AQ265" i="54"/>
  <c r="AR265" i="54" s="1"/>
  <c r="AS265" i="54" s="1"/>
  <c r="AU265" i="54" s="1"/>
  <c r="AT265" i="54"/>
  <c r="AT57" i="54"/>
  <c r="AQ57" i="54"/>
  <c r="AR57" i="54" s="1"/>
  <c r="AS57" i="54" s="1"/>
  <c r="AU57" i="54" s="1"/>
  <c r="AT109" i="54"/>
  <c r="AQ109" i="54"/>
  <c r="AT174" i="54"/>
  <c r="AQ174" i="54"/>
  <c r="AR174" i="54" s="1"/>
  <c r="AS174" i="54" s="1"/>
  <c r="AU174" i="54" s="1"/>
  <c r="AQ317" i="54"/>
  <c r="AR317" i="54" s="1"/>
  <c r="AS317" i="54" s="1"/>
  <c r="AU317" i="54" s="1"/>
  <c r="AT317" i="54"/>
  <c r="AT187" i="54"/>
  <c r="AQ187" i="54"/>
  <c r="AR187" i="54" s="1"/>
  <c r="AS187" i="54" s="1"/>
  <c r="AU187" i="54" s="1"/>
  <c r="AQ330" i="54"/>
  <c r="AR330" i="54" s="1"/>
  <c r="AS330" i="54" s="1"/>
  <c r="AU330" i="54" s="1"/>
  <c r="AT330" i="54"/>
  <c r="BA54" i="54"/>
  <c r="BB54" i="54" s="1"/>
  <c r="BC54" i="54" s="1"/>
  <c r="BE54" i="54" s="1"/>
  <c r="BD54" i="54"/>
  <c r="BD340" i="54"/>
  <c r="BA340" i="54"/>
  <c r="BB340" i="54" s="1"/>
  <c r="BC340" i="54" s="1"/>
  <c r="BE340" i="54" s="1"/>
  <c r="BD145" i="54"/>
  <c r="BA145" i="54"/>
  <c r="BB145" i="54" s="1"/>
  <c r="BC145" i="54" s="1"/>
  <c r="BE145" i="54" s="1"/>
  <c r="BD314" i="54"/>
  <c r="BA314" i="54"/>
  <c r="BA210" i="54"/>
  <c r="BB210" i="54" s="1"/>
  <c r="BC210" i="54" s="1"/>
  <c r="BE210" i="54" s="1"/>
  <c r="BD210" i="54"/>
  <c r="BA67" i="54"/>
  <c r="BB67" i="54" s="1"/>
  <c r="BC67" i="54" s="1"/>
  <c r="BE67" i="54" s="1"/>
  <c r="BD67" i="54"/>
  <c r="BD158" i="54"/>
  <c r="BA158" i="54"/>
  <c r="BA379" i="54"/>
  <c r="BB379" i="54" s="1"/>
  <c r="BC379" i="54" s="1"/>
  <c r="BE379" i="54" s="1"/>
  <c r="BD379" i="54"/>
  <c r="P261" i="54"/>
  <c r="M261" i="54"/>
  <c r="N261" i="54" s="1"/>
  <c r="O261" i="54" s="1"/>
  <c r="Q261" i="54" s="1"/>
  <c r="P209" i="54"/>
  <c r="M209" i="54"/>
  <c r="P157" i="54"/>
  <c r="M157" i="54"/>
  <c r="P404" i="54"/>
  <c r="M404" i="54"/>
  <c r="AT89" i="54"/>
  <c r="AQ89" i="54"/>
  <c r="AR89" i="54" s="1"/>
  <c r="AS89" i="54" s="1"/>
  <c r="AU89" i="54" s="1"/>
  <c r="AT297" i="54"/>
  <c r="AQ297" i="54"/>
  <c r="AR297" i="54" s="1"/>
  <c r="AS297" i="54" s="1"/>
  <c r="AU297" i="54" s="1"/>
  <c r="AT128" i="54"/>
  <c r="AQ128" i="54"/>
  <c r="AR128" i="54" s="1"/>
  <c r="AS128" i="54" s="1"/>
  <c r="AU128" i="54" s="1"/>
  <c r="AT154" i="54"/>
  <c r="AQ154" i="54"/>
  <c r="AR154" i="54" s="1"/>
  <c r="AS154" i="54" s="1"/>
  <c r="AU154" i="54" s="1"/>
  <c r="AT310" i="54"/>
  <c r="AQ310" i="54"/>
  <c r="AT180" i="54"/>
  <c r="AQ180" i="54"/>
  <c r="AR180" i="54" s="1"/>
  <c r="AS180" i="54" s="1"/>
  <c r="AU180" i="54" s="1"/>
  <c r="AT258" i="54"/>
  <c r="AQ258" i="54"/>
  <c r="AP88" i="56"/>
  <c r="AM88" i="56"/>
  <c r="AN88" i="56" s="1"/>
  <c r="AO88" i="56" s="1"/>
  <c r="AQ88" i="56" s="1"/>
  <c r="AP218" i="56"/>
  <c r="AM218" i="56"/>
  <c r="AN218" i="56" s="1"/>
  <c r="AO218" i="56" s="1"/>
  <c r="AQ218" i="56" s="1"/>
  <c r="AP387" i="56"/>
  <c r="AM387" i="56"/>
  <c r="AN387" i="56" s="1"/>
  <c r="AO387" i="56" s="1"/>
  <c r="AQ387" i="56" s="1"/>
  <c r="AP348" i="56"/>
  <c r="AM348" i="56"/>
  <c r="AN348" i="56" s="1"/>
  <c r="AO348" i="56" s="1"/>
  <c r="AQ348" i="56" s="1"/>
  <c r="AD23" i="56"/>
  <c r="AA23" i="56"/>
  <c r="AA127" i="56"/>
  <c r="AB127" i="56" s="1"/>
  <c r="AC127" i="56" s="1"/>
  <c r="AE127" i="56" s="1"/>
  <c r="AD127" i="56"/>
  <c r="AD309" i="56"/>
  <c r="AA309" i="56"/>
  <c r="AB309" i="56" s="1"/>
  <c r="AC309" i="56" s="1"/>
  <c r="AE309" i="56" s="1"/>
  <c r="AD88" i="56"/>
  <c r="AA88" i="56"/>
  <c r="AB88" i="56" s="1"/>
  <c r="AC88" i="56" s="1"/>
  <c r="AE88" i="56" s="1"/>
  <c r="AD62" i="56"/>
  <c r="AA62" i="56"/>
  <c r="AD36" i="56"/>
  <c r="AA36" i="56"/>
  <c r="AD114" i="56"/>
  <c r="AA114" i="56"/>
  <c r="AB114" i="56" s="1"/>
  <c r="AC114" i="56" s="1"/>
  <c r="AE114" i="56" s="1"/>
  <c r="AD387" i="56"/>
  <c r="AA387" i="56"/>
  <c r="AB387" i="56" s="1"/>
  <c r="AC387" i="56" s="1"/>
  <c r="AE387" i="56" s="1"/>
  <c r="AD168" i="56"/>
  <c r="AA168" i="56"/>
  <c r="AB168" i="56" s="1"/>
  <c r="AC168" i="56" s="1"/>
  <c r="AE168" i="56" s="1"/>
  <c r="AD363" i="56"/>
  <c r="AA363" i="56"/>
  <c r="AB363" i="56" s="1"/>
  <c r="AC363" i="56" s="1"/>
  <c r="AE363" i="56" s="1"/>
  <c r="AA90" i="56"/>
  <c r="AB90" i="56" s="1"/>
  <c r="AC90" i="56" s="1"/>
  <c r="AE90" i="56" s="1"/>
  <c r="AD90" i="56"/>
  <c r="AD207" i="56"/>
  <c r="AA207" i="56"/>
  <c r="AB207" i="56" s="1"/>
  <c r="AC207" i="56" s="1"/>
  <c r="AE207" i="56" s="1"/>
  <c r="AA285" i="56"/>
  <c r="AB285" i="56" s="1"/>
  <c r="AC285" i="56" s="1"/>
  <c r="AE285" i="56" s="1"/>
  <c r="AD285" i="56"/>
  <c r="AD155" i="56"/>
  <c r="AA155" i="56"/>
  <c r="AD233" i="56"/>
  <c r="AA233" i="56"/>
  <c r="O43" i="56"/>
  <c r="P43" i="56" s="1"/>
  <c r="Q43" i="56" s="1"/>
  <c r="S43" i="56" s="1"/>
  <c r="R43" i="56"/>
  <c r="R30" i="56"/>
  <c r="O30" i="56"/>
  <c r="P30" i="56" s="1"/>
  <c r="Q30" i="56" s="1"/>
  <c r="S30" i="56" s="1"/>
  <c r="R329" i="56"/>
  <c r="O329" i="56"/>
  <c r="P329" i="56" s="1"/>
  <c r="Q329" i="56" s="1"/>
  <c r="S329" i="56" s="1"/>
  <c r="R303" i="56"/>
  <c r="O303" i="56"/>
  <c r="R173" i="56"/>
  <c r="O173" i="56"/>
  <c r="P173" i="56" s="1"/>
  <c r="Q173" i="56" s="1"/>
  <c r="S173" i="56" s="1"/>
  <c r="R160" i="56"/>
  <c r="O160" i="56"/>
  <c r="P160" i="56" s="1"/>
  <c r="Q160" i="56" s="1"/>
  <c r="S160" i="56" s="1"/>
  <c r="R212" i="56"/>
  <c r="O212" i="56"/>
  <c r="R290" i="56"/>
  <c r="AR290" i="56" s="1"/>
  <c r="O290" i="56"/>
  <c r="P290" i="56" s="1"/>
  <c r="Q290" i="56" s="1"/>
  <c r="S290" i="56" s="1"/>
  <c r="R321" i="56"/>
  <c r="O321" i="56"/>
  <c r="P321" i="56" s="1"/>
  <c r="Q321" i="56" s="1"/>
  <c r="S321" i="56" s="1"/>
  <c r="R87" i="56"/>
  <c r="O87" i="56"/>
  <c r="R152" i="56"/>
  <c r="O152" i="56"/>
  <c r="P152" i="56" s="1"/>
  <c r="Q152" i="56" s="1"/>
  <c r="S152" i="56" s="1"/>
  <c r="R269" i="56"/>
  <c r="O269" i="56"/>
  <c r="P269" i="56" s="1"/>
  <c r="Q269" i="56" s="1"/>
  <c r="S269" i="56" s="1"/>
  <c r="R308" i="56"/>
  <c r="O308" i="56"/>
  <c r="P308" i="56" s="1"/>
  <c r="Q308" i="56" s="1"/>
  <c r="S308" i="56" s="1"/>
  <c r="R347" i="56"/>
  <c r="O347" i="56"/>
  <c r="R360" i="56"/>
  <c r="O360" i="56"/>
  <c r="P360" i="56" s="1"/>
  <c r="Q360" i="56" s="1"/>
  <c r="S360" i="56" s="1"/>
  <c r="R296" i="56"/>
  <c r="O296" i="56"/>
  <c r="R270" i="56"/>
  <c r="O270" i="56"/>
  <c r="R244" i="56"/>
  <c r="O244" i="56"/>
  <c r="P244" i="56" s="1"/>
  <c r="Q244" i="56" s="1"/>
  <c r="S244" i="56" s="1"/>
  <c r="R322" i="56"/>
  <c r="O322" i="56"/>
  <c r="R309" i="56"/>
  <c r="AR309" i="56" s="1"/>
  <c r="O309" i="56"/>
  <c r="P309" i="56" s="1"/>
  <c r="Q309" i="56" s="1"/>
  <c r="S309" i="56" s="1"/>
  <c r="R361" i="56"/>
  <c r="O361" i="56"/>
  <c r="P361" i="56" s="1"/>
  <c r="Q361" i="56" s="1"/>
  <c r="S361" i="56" s="1"/>
  <c r="R231" i="56"/>
  <c r="AR231" i="56" s="1"/>
  <c r="O231" i="56"/>
  <c r="P231" i="56" s="1"/>
  <c r="Q231" i="56" s="1"/>
  <c r="S231" i="56" s="1"/>
  <c r="AP30" i="56"/>
  <c r="AM30" i="56"/>
  <c r="AP17" i="56"/>
  <c r="AM17" i="56"/>
  <c r="AP147" i="56"/>
  <c r="AM147" i="56"/>
  <c r="AN147" i="56" s="1"/>
  <c r="AO147" i="56" s="1"/>
  <c r="AQ147" i="56" s="1"/>
  <c r="AP329" i="56"/>
  <c r="AM329" i="56"/>
  <c r="AN329" i="56" s="1"/>
  <c r="AO329" i="56" s="1"/>
  <c r="AQ329" i="56" s="1"/>
  <c r="AP108" i="56"/>
  <c r="AM108" i="56"/>
  <c r="AP386" i="56"/>
  <c r="AM386" i="56"/>
  <c r="AN386" i="56" s="1"/>
  <c r="AO386" i="56" s="1"/>
  <c r="AQ386" i="56" s="1"/>
  <c r="AP191" i="56"/>
  <c r="AM191" i="56"/>
  <c r="AN191" i="56" s="1"/>
  <c r="AO191" i="56" s="1"/>
  <c r="AQ191" i="56" s="1"/>
  <c r="AM321" i="56"/>
  <c r="AN321" i="56" s="1"/>
  <c r="AO321" i="56" s="1"/>
  <c r="AQ321" i="56" s="1"/>
  <c r="AP321" i="56"/>
  <c r="AP347" i="56"/>
  <c r="AM347" i="56"/>
  <c r="AN347" i="56" s="1"/>
  <c r="AO347" i="56" s="1"/>
  <c r="AQ347" i="56" s="1"/>
  <c r="AP100" i="56"/>
  <c r="AM100" i="56"/>
  <c r="AN100" i="56" s="1"/>
  <c r="AO100" i="56" s="1"/>
  <c r="AQ100" i="56" s="1"/>
  <c r="AP282" i="56"/>
  <c r="AM282" i="56"/>
  <c r="AN282" i="56" s="1"/>
  <c r="AO282" i="56" s="1"/>
  <c r="AQ282" i="56" s="1"/>
  <c r="AP126" i="56"/>
  <c r="AM126" i="56"/>
  <c r="AN126" i="56" s="1"/>
  <c r="AO126" i="56" s="1"/>
  <c r="AQ126" i="56" s="1"/>
  <c r="AA97" i="56"/>
  <c r="AB97" i="56" s="1"/>
  <c r="AC97" i="56" s="1"/>
  <c r="AE97" i="56" s="1"/>
  <c r="AD97" i="56"/>
  <c r="AD201" i="56"/>
  <c r="AA201" i="56"/>
  <c r="AB201" i="56" s="1"/>
  <c r="AC201" i="56" s="1"/>
  <c r="AE201" i="56" s="1"/>
  <c r="AD279" i="56"/>
  <c r="AA279" i="56"/>
  <c r="AB279" i="56" s="1"/>
  <c r="AC279" i="56" s="1"/>
  <c r="AE279" i="56" s="1"/>
  <c r="AD253" i="56"/>
  <c r="AA253" i="56"/>
  <c r="AD32" i="56"/>
  <c r="AA32" i="56"/>
  <c r="AB32" i="56" s="1"/>
  <c r="AC32" i="56" s="1"/>
  <c r="AE32" i="56" s="1"/>
  <c r="AD110" i="56"/>
  <c r="AA110" i="56"/>
  <c r="AB110" i="56" s="1"/>
  <c r="AC110" i="56" s="1"/>
  <c r="AE110" i="56" s="1"/>
  <c r="AD84" i="56"/>
  <c r="AA84" i="56"/>
  <c r="AB84" i="56" s="1"/>
  <c r="AC84" i="56" s="1"/>
  <c r="AE84" i="56" s="1"/>
  <c r="AD357" i="56"/>
  <c r="AA357" i="56"/>
  <c r="AB357" i="56" s="1"/>
  <c r="AC357" i="56" s="1"/>
  <c r="AE357" i="56" s="1"/>
  <c r="R311" i="56"/>
  <c r="O311" i="56"/>
  <c r="O285" i="56"/>
  <c r="P285" i="56" s="1"/>
  <c r="Q285" i="56" s="1"/>
  <c r="S285" i="56" s="1"/>
  <c r="R285" i="56"/>
  <c r="O363" i="56"/>
  <c r="P363" i="56" s="1"/>
  <c r="Q363" i="56" s="1"/>
  <c r="S363" i="56" s="1"/>
  <c r="R363" i="56"/>
  <c r="R233" i="56"/>
  <c r="AR233" i="56" s="1"/>
  <c r="O233" i="56"/>
  <c r="P233" i="56" s="1"/>
  <c r="Q233" i="56" s="1"/>
  <c r="S233" i="56" s="1"/>
  <c r="R220" i="56"/>
  <c r="O220" i="56"/>
  <c r="R272" i="56"/>
  <c r="O272" i="56"/>
  <c r="R246" i="56"/>
  <c r="O246" i="56"/>
  <c r="P246" i="56" s="1"/>
  <c r="Q246" i="56" s="1"/>
  <c r="S246" i="56" s="1"/>
  <c r="AD113" i="56"/>
  <c r="AA113" i="56"/>
  <c r="AB113" i="56" s="1"/>
  <c r="AC113" i="56" s="1"/>
  <c r="AE113" i="56" s="1"/>
  <c r="AD191" i="56"/>
  <c r="AA191" i="56"/>
  <c r="AB191" i="56" s="1"/>
  <c r="AC191" i="56" s="1"/>
  <c r="AE191" i="56" s="1"/>
  <c r="AD269" i="56"/>
  <c r="AA269" i="56"/>
  <c r="AD347" i="56"/>
  <c r="AA347" i="56"/>
  <c r="AB347" i="56" s="1"/>
  <c r="AC347" i="56" s="1"/>
  <c r="AE347" i="56" s="1"/>
  <c r="AD386" i="56"/>
  <c r="AA386" i="56"/>
  <c r="AB386" i="56" s="1"/>
  <c r="AC386" i="56" s="1"/>
  <c r="AE386" i="56" s="1"/>
  <c r="AD256" i="56"/>
  <c r="AA256" i="56"/>
  <c r="AB256" i="56" s="1"/>
  <c r="AC256" i="56" s="1"/>
  <c r="AE256" i="56" s="1"/>
  <c r="AA230" i="56"/>
  <c r="AB230" i="56" s="1"/>
  <c r="AC230" i="56" s="1"/>
  <c r="AE230" i="56" s="1"/>
  <c r="AD230" i="56"/>
  <c r="AA204" i="56"/>
  <c r="AB204" i="56" s="1"/>
  <c r="AC204" i="56" s="1"/>
  <c r="AE204" i="56" s="1"/>
  <c r="AD204" i="56"/>
  <c r="AR204" i="56" s="1"/>
  <c r="O281" i="56"/>
  <c r="P281" i="56" s="1"/>
  <c r="Q281" i="56" s="1"/>
  <c r="S281" i="56" s="1"/>
  <c r="R281" i="56"/>
  <c r="O151" i="56"/>
  <c r="P151" i="56" s="1"/>
  <c r="Q151" i="56" s="1"/>
  <c r="S151" i="56" s="1"/>
  <c r="R151" i="56"/>
  <c r="R21" i="56"/>
  <c r="AR21" i="56" s="1"/>
  <c r="O21" i="56"/>
  <c r="P21" i="56" s="1"/>
  <c r="Q21" i="56" s="1"/>
  <c r="S21" i="56" s="1"/>
  <c r="R60" i="56"/>
  <c r="O60" i="56"/>
  <c r="P60" i="56" s="1"/>
  <c r="Q60" i="56" s="1"/>
  <c r="S60" i="56" s="1"/>
  <c r="R86" i="56"/>
  <c r="O86" i="56"/>
  <c r="R138" i="56"/>
  <c r="O138" i="56"/>
  <c r="R112" i="56"/>
  <c r="O112" i="56"/>
  <c r="AD128" i="56"/>
  <c r="AA128" i="56"/>
  <c r="AB128" i="56" s="1"/>
  <c r="AC128" i="56" s="1"/>
  <c r="AE128" i="56" s="1"/>
  <c r="AD206" i="56"/>
  <c r="AA206" i="56"/>
  <c r="AB206" i="56" s="1"/>
  <c r="AC206" i="56" s="1"/>
  <c r="AE206" i="56" s="1"/>
  <c r="AD284" i="56"/>
  <c r="AA284" i="56"/>
  <c r="AB284" i="56" s="1"/>
  <c r="AC284" i="56" s="1"/>
  <c r="AE284" i="56" s="1"/>
  <c r="AD89" i="56"/>
  <c r="AA89" i="56"/>
  <c r="AD401" i="56"/>
  <c r="AA401" i="56"/>
  <c r="AB401" i="56" s="1"/>
  <c r="AC401" i="56" s="1"/>
  <c r="AE401" i="56" s="1"/>
  <c r="AD375" i="56"/>
  <c r="AA375" i="56"/>
  <c r="AB375" i="56" s="1"/>
  <c r="AC375" i="56" s="1"/>
  <c r="AE375" i="56" s="1"/>
  <c r="AD245" i="56"/>
  <c r="AA245" i="56"/>
  <c r="AB245" i="56" s="1"/>
  <c r="AC245" i="56" s="1"/>
  <c r="AE245" i="56" s="1"/>
  <c r="AD323" i="56"/>
  <c r="AA323" i="56"/>
  <c r="AP181" i="56"/>
  <c r="AM181" i="56"/>
  <c r="AN181" i="56" s="1"/>
  <c r="AO181" i="56" s="1"/>
  <c r="AQ181" i="56" s="1"/>
  <c r="AP129" i="56"/>
  <c r="AM129" i="56"/>
  <c r="AN129" i="56" s="1"/>
  <c r="AO129" i="56" s="1"/>
  <c r="AQ129" i="56" s="1"/>
  <c r="AP311" i="56"/>
  <c r="AM311" i="56"/>
  <c r="AP259" i="56"/>
  <c r="AM259" i="56"/>
  <c r="AN259" i="56" s="1"/>
  <c r="AO259" i="56" s="1"/>
  <c r="AQ259" i="56" s="1"/>
  <c r="AA82" i="56"/>
  <c r="AB82" i="56" s="1"/>
  <c r="AC82" i="56" s="1"/>
  <c r="AE82" i="56" s="1"/>
  <c r="AD82" i="56"/>
  <c r="AD368" i="56"/>
  <c r="AA368" i="56"/>
  <c r="AB368" i="56" s="1"/>
  <c r="AC368" i="56" s="1"/>
  <c r="AE368" i="56" s="1"/>
  <c r="AD160" i="56"/>
  <c r="AA160" i="56"/>
  <c r="AB160" i="56" s="1"/>
  <c r="AC160" i="56" s="1"/>
  <c r="AE160" i="56" s="1"/>
  <c r="AD238" i="56"/>
  <c r="AA238" i="56"/>
  <c r="AB238" i="56" s="1"/>
  <c r="AC238" i="56" s="1"/>
  <c r="AE238" i="56" s="1"/>
  <c r="AD251" i="56"/>
  <c r="AA251" i="56"/>
  <c r="AD329" i="56"/>
  <c r="AA329" i="56"/>
  <c r="AB329" i="56" s="1"/>
  <c r="AC329" i="56" s="1"/>
  <c r="AE329" i="56" s="1"/>
  <c r="AD69" i="56"/>
  <c r="AA69" i="56"/>
  <c r="AB69" i="56" s="1"/>
  <c r="AC69" i="56" s="1"/>
  <c r="AE69" i="56" s="1"/>
  <c r="AD394" i="56"/>
  <c r="AA394" i="56"/>
  <c r="AB394" i="56" s="1"/>
  <c r="AC394" i="56" s="1"/>
  <c r="AE394" i="56" s="1"/>
  <c r="AD242" i="56"/>
  <c r="AA242" i="56"/>
  <c r="AB242" i="56" s="1"/>
  <c r="AC242" i="56" s="1"/>
  <c r="AE242" i="56" s="1"/>
  <c r="AD320" i="56"/>
  <c r="AA320" i="56"/>
  <c r="AB320" i="56" s="1"/>
  <c r="AC320" i="56" s="1"/>
  <c r="AE320" i="56" s="1"/>
  <c r="AD60" i="56"/>
  <c r="AA60" i="56"/>
  <c r="AB60" i="56" s="1"/>
  <c r="AC60" i="56" s="1"/>
  <c r="AE60" i="56" s="1"/>
  <c r="AD177" i="56"/>
  <c r="AA177" i="56"/>
  <c r="AD151" i="56"/>
  <c r="AA151" i="56"/>
  <c r="AD229" i="56"/>
  <c r="AA229" i="56"/>
  <c r="AB229" i="56" s="1"/>
  <c r="AC229" i="56" s="1"/>
  <c r="AE229" i="56" s="1"/>
  <c r="AD203" i="56"/>
  <c r="AA203" i="56"/>
  <c r="R24" i="56"/>
  <c r="O24" i="56"/>
  <c r="P24" i="56" s="1"/>
  <c r="Q24" i="56" s="1"/>
  <c r="S24" i="56" s="1"/>
  <c r="R89" i="56"/>
  <c r="O89" i="56"/>
  <c r="P89" i="56" s="1"/>
  <c r="Q89" i="56" s="1"/>
  <c r="S89" i="56" s="1"/>
  <c r="R206" i="56"/>
  <c r="O206" i="56"/>
  <c r="P206" i="56" s="1"/>
  <c r="Q206" i="56" s="1"/>
  <c r="S206" i="56" s="1"/>
  <c r="R271" i="56"/>
  <c r="O271" i="56"/>
  <c r="P271" i="56" s="1"/>
  <c r="Q271" i="56" s="1"/>
  <c r="S271" i="56" s="1"/>
  <c r="R284" i="56"/>
  <c r="O284" i="56"/>
  <c r="R50" i="56"/>
  <c r="O50" i="56"/>
  <c r="R115" i="56"/>
  <c r="O115" i="56"/>
  <c r="P115" i="56" s="1"/>
  <c r="Q115" i="56" s="1"/>
  <c r="S115" i="56" s="1"/>
  <c r="R375" i="56"/>
  <c r="O375" i="56"/>
  <c r="AP206" i="56"/>
  <c r="AM206" i="56"/>
  <c r="AN206" i="56" s="1"/>
  <c r="AO206" i="56" s="1"/>
  <c r="AQ206" i="56" s="1"/>
  <c r="AM37" i="56"/>
  <c r="AN37" i="56" s="1"/>
  <c r="AO37" i="56" s="1"/>
  <c r="AQ37" i="56" s="1"/>
  <c r="AP37" i="56"/>
  <c r="AP154" i="56"/>
  <c r="AM154" i="56"/>
  <c r="AN154" i="56" s="1"/>
  <c r="AO154" i="56" s="1"/>
  <c r="AQ154" i="56" s="1"/>
  <c r="AP258" i="56"/>
  <c r="AM258" i="56"/>
  <c r="AP115" i="56"/>
  <c r="AM115" i="56"/>
  <c r="AN115" i="56" s="1"/>
  <c r="AO115" i="56" s="1"/>
  <c r="AQ115" i="56" s="1"/>
  <c r="AP297" i="56"/>
  <c r="AM297" i="56"/>
  <c r="AN297" i="56" s="1"/>
  <c r="AO297" i="56" s="1"/>
  <c r="AQ297" i="56" s="1"/>
  <c r="AP141" i="56"/>
  <c r="AM141" i="56"/>
  <c r="AN141" i="56" s="1"/>
  <c r="AO141" i="56" s="1"/>
  <c r="AQ141" i="56" s="1"/>
  <c r="AD68" i="56"/>
  <c r="AA68" i="56"/>
  <c r="AB68" i="56" s="1"/>
  <c r="AC68" i="56" s="1"/>
  <c r="AE68" i="56" s="1"/>
  <c r="AD42" i="56"/>
  <c r="AA42" i="56"/>
  <c r="AD120" i="56"/>
  <c r="AA120" i="56"/>
  <c r="AB120" i="56" s="1"/>
  <c r="AC120" i="56" s="1"/>
  <c r="AE120" i="56" s="1"/>
  <c r="AD198" i="56"/>
  <c r="AA198" i="56"/>
  <c r="AD237" i="56"/>
  <c r="AA237" i="56"/>
  <c r="AB237" i="56" s="1"/>
  <c r="AC237" i="56" s="1"/>
  <c r="AE237" i="56" s="1"/>
  <c r="AD315" i="56"/>
  <c r="AA315" i="56"/>
  <c r="AD393" i="56"/>
  <c r="AA393" i="56"/>
  <c r="AD367" i="56"/>
  <c r="AA367" i="56"/>
  <c r="AB367" i="56" s="1"/>
  <c r="AC367" i="56" s="1"/>
  <c r="AE367" i="56" s="1"/>
  <c r="R276" i="56"/>
  <c r="O276" i="56"/>
  <c r="P276" i="56" s="1"/>
  <c r="Q276" i="56" s="1"/>
  <c r="S276" i="56" s="1"/>
  <c r="R42" i="56"/>
  <c r="AR42" i="56" s="1"/>
  <c r="O42" i="56"/>
  <c r="R107" i="56"/>
  <c r="O107" i="56"/>
  <c r="R224" i="56"/>
  <c r="O224" i="56"/>
  <c r="P224" i="56" s="1"/>
  <c r="Q224" i="56" s="1"/>
  <c r="S224" i="56" s="1"/>
  <c r="R94" i="56"/>
  <c r="O94" i="56"/>
  <c r="P94" i="56" s="1"/>
  <c r="Q94" i="56" s="1"/>
  <c r="S94" i="56" s="1"/>
  <c r="R159" i="56"/>
  <c r="O159" i="56"/>
  <c r="P159" i="56" s="1"/>
  <c r="Q159" i="56" s="1"/>
  <c r="S159" i="56" s="1"/>
  <c r="R289" i="56"/>
  <c r="O289" i="56"/>
  <c r="AD98" i="56"/>
  <c r="AA98" i="56"/>
  <c r="AB98" i="56" s="1"/>
  <c r="AC98" i="56" s="1"/>
  <c r="AE98" i="56" s="1"/>
  <c r="AD176" i="56"/>
  <c r="AA176" i="56"/>
  <c r="AD254" i="56"/>
  <c r="AA254" i="56"/>
  <c r="AB254" i="56" s="1"/>
  <c r="AC254" i="56" s="1"/>
  <c r="AE254" i="56" s="1"/>
  <c r="AD228" i="56"/>
  <c r="AA228" i="56"/>
  <c r="AB228" i="56" s="1"/>
  <c r="AC228" i="56" s="1"/>
  <c r="AE228" i="56" s="1"/>
  <c r="AD267" i="56"/>
  <c r="AA267" i="56"/>
  <c r="AB267" i="56" s="1"/>
  <c r="AC267" i="56" s="1"/>
  <c r="AE267" i="56" s="1"/>
  <c r="AD137" i="56"/>
  <c r="AA137" i="56"/>
  <c r="AB137" i="56" s="1"/>
  <c r="AC137" i="56" s="1"/>
  <c r="AE137" i="56" s="1"/>
  <c r="AD215" i="56"/>
  <c r="AA215" i="56"/>
  <c r="AD293" i="56"/>
  <c r="AA293" i="56"/>
  <c r="AB293" i="56" s="1"/>
  <c r="AC293" i="56" s="1"/>
  <c r="AE293" i="56" s="1"/>
  <c r="AD291" i="56"/>
  <c r="AA291" i="56"/>
  <c r="AB291" i="56" s="1"/>
  <c r="AC291" i="56" s="1"/>
  <c r="AE291" i="56" s="1"/>
  <c r="AD31" i="56"/>
  <c r="AA31" i="56"/>
  <c r="AB31" i="56" s="1"/>
  <c r="AC31" i="56" s="1"/>
  <c r="AE31" i="56" s="1"/>
  <c r="AD18" i="56"/>
  <c r="AA18" i="56"/>
  <c r="AB18" i="56" s="1"/>
  <c r="AC18" i="56" s="1"/>
  <c r="AE18" i="56" s="1"/>
  <c r="AA44" i="56"/>
  <c r="AB44" i="56" s="1"/>
  <c r="AC44" i="56" s="1"/>
  <c r="AE44" i="56" s="1"/>
  <c r="AD44" i="56"/>
  <c r="AD122" i="56"/>
  <c r="AA122" i="56"/>
  <c r="AD200" i="56"/>
  <c r="AA200" i="56"/>
  <c r="AB200" i="56" s="1"/>
  <c r="AC200" i="56" s="1"/>
  <c r="AE200" i="56" s="1"/>
  <c r="AD278" i="56"/>
  <c r="AA278" i="56"/>
  <c r="R118" i="56"/>
  <c r="O118" i="56"/>
  <c r="P118" i="56" s="1"/>
  <c r="Q118" i="56" s="1"/>
  <c r="S118" i="56" s="1"/>
  <c r="O196" i="56"/>
  <c r="P196" i="56" s="1"/>
  <c r="Q196" i="56" s="1"/>
  <c r="S196" i="56" s="1"/>
  <c r="R196" i="56"/>
  <c r="AR196" i="56" s="1"/>
  <c r="R170" i="56"/>
  <c r="O170" i="56"/>
  <c r="P170" i="56" s="1"/>
  <c r="Q170" i="56" s="1"/>
  <c r="S170" i="56" s="1"/>
  <c r="R144" i="56"/>
  <c r="O144" i="56"/>
  <c r="R27" i="56"/>
  <c r="O27" i="56"/>
  <c r="R79" i="56"/>
  <c r="O79" i="56"/>
  <c r="P79" i="56" s="1"/>
  <c r="Q79" i="56" s="1"/>
  <c r="S79" i="56" s="1"/>
  <c r="R157" i="56"/>
  <c r="O157" i="56"/>
  <c r="P157" i="56" s="1"/>
  <c r="Q157" i="56" s="1"/>
  <c r="S157" i="56" s="1"/>
  <c r="R404" i="56"/>
  <c r="O404" i="56"/>
  <c r="P404" i="56" s="1"/>
  <c r="Q404" i="56" s="1"/>
  <c r="S404" i="56" s="1"/>
  <c r="AD183" i="56"/>
  <c r="AA183" i="56"/>
  <c r="AB183" i="56" s="1"/>
  <c r="AC183" i="56" s="1"/>
  <c r="AE183" i="56" s="1"/>
  <c r="AD27" i="56"/>
  <c r="AA27" i="56"/>
  <c r="AB27" i="56" s="1"/>
  <c r="AC27" i="56" s="1"/>
  <c r="AE27" i="56" s="1"/>
  <c r="AD209" i="56"/>
  <c r="AA209" i="56"/>
  <c r="AB209" i="56" s="1"/>
  <c r="AC209" i="56" s="1"/>
  <c r="AE209" i="56" s="1"/>
  <c r="AD222" i="56"/>
  <c r="AA222" i="56"/>
  <c r="AB222" i="56" s="1"/>
  <c r="AC222" i="56" s="1"/>
  <c r="AE222" i="56" s="1"/>
  <c r="AD300" i="56"/>
  <c r="AA300" i="56"/>
  <c r="AA274" i="56"/>
  <c r="AB274" i="56" s="1"/>
  <c r="AC274" i="56" s="1"/>
  <c r="AE274" i="56" s="1"/>
  <c r="AD274" i="56"/>
  <c r="AD248" i="56"/>
  <c r="AA248" i="56"/>
  <c r="AB248" i="56" s="1"/>
  <c r="AC248" i="56" s="1"/>
  <c r="AE248" i="56" s="1"/>
  <c r="R306" i="56"/>
  <c r="O306" i="56"/>
  <c r="P306" i="56" s="1"/>
  <c r="Q306" i="56" s="1"/>
  <c r="S306" i="56" s="1"/>
  <c r="R293" i="56"/>
  <c r="O293" i="56"/>
  <c r="R33" i="56"/>
  <c r="O33" i="56"/>
  <c r="P33" i="56" s="1"/>
  <c r="Q33" i="56" s="1"/>
  <c r="S33" i="56" s="1"/>
  <c r="R150" i="56"/>
  <c r="O150" i="56"/>
  <c r="P150" i="56" s="1"/>
  <c r="Q150" i="56" s="1"/>
  <c r="S150" i="56" s="1"/>
  <c r="R215" i="56"/>
  <c r="AR215" i="56" s="1"/>
  <c r="O215" i="56"/>
  <c r="R332" i="56"/>
  <c r="O332" i="56"/>
  <c r="P332" i="56" s="1"/>
  <c r="Q332" i="56" s="1"/>
  <c r="S332" i="56" s="1"/>
  <c r="O319" i="56"/>
  <c r="P319" i="56" s="1"/>
  <c r="Q319" i="56" s="1"/>
  <c r="S319" i="56" s="1"/>
  <c r="R319" i="56"/>
  <c r="AM26" i="56"/>
  <c r="AN26" i="56" s="1"/>
  <c r="AO26" i="56" s="1"/>
  <c r="AQ26" i="56" s="1"/>
  <c r="AP26" i="56"/>
  <c r="AP39" i="56"/>
  <c r="AM39" i="56"/>
  <c r="AN39" i="56" s="1"/>
  <c r="AO39" i="56" s="1"/>
  <c r="AQ39" i="56" s="1"/>
  <c r="AM65" i="56"/>
  <c r="AN65" i="56" s="1"/>
  <c r="AO65" i="56" s="1"/>
  <c r="AQ65" i="56" s="1"/>
  <c r="AP65" i="56"/>
  <c r="AP169" i="56"/>
  <c r="AM169" i="56"/>
  <c r="AN169" i="56" s="1"/>
  <c r="AO169" i="56" s="1"/>
  <c r="AQ169" i="56" s="1"/>
  <c r="AP104" i="56"/>
  <c r="AM104" i="56"/>
  <c r="AN104" i="56" s="1"/>
  <c r="AO104" i="56" s="1"/>
  <c r="AQ104" i="56" s="1"/>
  <c r="AP338" i="56"/>
  <c r="AM338" i="56"/>
  <c r="AN338" i="56" s="1"/>
  <c r="AO338" i="56" s="1"/>
  <c r="AQ338" i="56" s="1"/>
  <c r="AP286" i="56"/>
  <c r="AM286" i="56"/>
  <c r="AN286" i="56" s="1"/>
  <c r="AO286" i="56" s="1"/>
  <c r="AQ286" i="56" s="1"/>
  <c r="AM364" i="56"/>
  <c r="AN364" i="56" s="1"/>
  <c r="AO364" i="56" s="1"/>
  <c r="AQ364" i="56" s="1"/>
  <c r="AP364" i="56"/>
  <c r="AP41" i="56"/>
  <c r="AM41" i="56"/>
  <c r="AN41" i="56" s="1"/>
  <c r="AO41" i="56" s="1"/>
  <c r="AQ41" i="56" s="1"/>
  <c r="AP210" i="56"/>
  <c r="AM210" i="56"/>
  <c r="AN210" i="56" s="1"/>
  <c r="AO210" i="56" s="1"/>
  <c r="AQ210" i="56" s="1"/>
  <c r="AP288" i="56"/>
  <c r="AM288" i="56"/>
  <c r="AN288" i="56" s="1"/>
  <c r="AO288" i="56" s="1"/>
  <c r="AQ288" i="56" s="1"/>
  <c r="AP262" i="56"/>
  <c r="AM262" i="56"/>
  <c r="AP67" i="56"/>
  <c r="AM67" i="56"/>
  <c r="AN67" i="56" s="1"/>
  <c r="AO67" i="56" s="1"/>
  <c r="AQ67" i="56" s="1"/>
  <c r="AP353" i="56"/>
  <c r="AM353" i="56"/>
  <c r="AN353" i="56" s="1"/>
  <c r="AO353" i="56" s="1"/>
  <c r="AQ353" i="56" s="1"/>
  <c r="AP93" i="56"/>
  <c r="AM93" i="56"/>
  <c r="AN93" i="56" s="1"/>
  <c r="AO93" i="56" s="1"/>
  <c r="AQ93" i="56" s="1"/>
  <c r="AP275" i="56"/>
  <c r="AM275" i="56"/>
  <c r="AN275" i="56" s="1"/>
  <c r="AO275" i="56" s="1"/>
  <c r="AQ275" i="56" s="1"/>
  <c r="AP84" i="56"/>
  <c r="AM84" i="56"/>
  <c r="AN84" i="56" s="1"/>
  <c r="AO84" i="56" s="1"/>
  <c r="AQ84" i="56" s="1"/>
  <c r="AP136" i="56"/>
  <c r="AM136" i="56"/>
  <c r="AN136" i="56" s="1"/>
  <c r="AO136" i="56" s="1"/>
  <c r="AQ136" i="56" s="1"/>
  <c r="AP266" i="56"/>
  <c r="AM266" i="56"/>
  <c r="AN266" i="56" s="1"/>
  <c r="AO266" i="56" s="1"/>
  <c r="AQ266" i="56" s="1"/>
  <c r="AP318" i="56"/>
  <c r="AM318" i="56"/>
  <c r="AN318" i="56" s="1"/>
  <c r="AO318" i="56" s="1"/>
  <c r="AQ318" i="56" s="1"/>
  <c r="AP34" i="56"/>
  <c r="AM34" i="56"/>
  <c r="AP151" i="56"/>
  <c r="AM151" i="56"/>
  <c r="AP372" i="56"/>
  <c r="AM372" i="56"/>
  <c r="AP359" i="56"/>
  <c r="AM359" i="56"/>
  <c r="AP398" i="56"/>
  <c r="AM398" i="56"/>
  <c r="AN398" i="56" s="1"/>
  <c r="AO398" i="56" s="1"/>
  <c r="AQ398" i="56" s="1"/>
  <c r="AP354" i="56"/>
  <c r="AM354" i="56"/>
  <c r="AP146" i="56"/>
  <c r="AM146" i="56"/>
  <c r="AN146" i="56" s="1"/>
  <c r="AO146" i="56" s="1"/>
  <c r="AQ146" i="56" s="1"/>
  <c r="AP172" i="56"/>
  <c r="AM172" i="56"/>
  <c r="AN172" i="56" s="1"/>
  <c r="AO172" i="56" s="1"/>
  <c r="AQ172" i="56" s="1"/>
  <c r="AP16" i="56"/>
  <c r="AM16" i="56"/>
  <c r="AN16" i="56" s="1"/>
  <c r="AO16" i="56" s="1"/>
  <c r="AQ16" i="56" s="1"/>
  <c r="AM367" i="56"/>
  <c r="AN367" i="56" s="1"/>
  <c r="AO367" i="56" s="1"/>
  <c r="AQ367" i="56" s="1"/>
  <c r="AP367" i="56"/>
  <c r="AP263" i="56"/>
  <c r="AM263" i="56"/>
  <c r="AN263" i="56" s="1"/>
  <c r="AO263" i="56" s="1"/>
  <c r="AQ263" i="56" s="1"/>
  <c r="AP107" i="56"/>
  <c r="AM107" i="56"/>
  <c r="AN107" i="56" s="1"/>
  <c r="AO107" i="56" s="1"/>
  <c r="AQ107" i="56" s="1"/>
  <c r="AP185" i="56"/>
  <c r="AM185" i="56"/>
  <c r="AP265" i="56"/>
  <c r="AM265" i="56"/>
  <c r="AN265" i="56" s="1"/>
  <c r="AO265" i="56" s="1"/>
  <c r="AQ265" i="56" s="1"/>
  <c r="AP18" i="56"/>
  <c r="AM18" i="56"/>
  <c r="AN18" i="56" s="1"/>
  <c r="AO18" i="56" s="1"/>
  <c r="AQ18" i="56" s="1"/>
  <c r="AP83" i="56"/>
  <c r="AM83" i="56"/>
  <c r="AP31" i="56"/>
  <c r="AM31" i="56"/>
  <c r="AN31" i="56" s="1"/>
  <c r="AO31" i="56" s="1"/>
  <c r="AQ31" i="56" s="1"/>
  <c r="AP70" i="56"/>
  <c r="AM70" i="56"/>
  <c r="AP278" i="56"/>
  <c r="AM278" i="56"/>
  <c r="AN278" i="56" s="1"/>
  <c r="AO278" i="56" s="1"/>
  <c r="AQ278" i="56" s="1"/>
  <c r="AP226" i="56"/>
  <c r="AM226" i="56"/>
  <c r="AN226" i="56" s="1"/>
  <c r="AO226" i="56" s="1"/>
  <c r="AQ226" i="56" s="1"/>
  <c r="AP304" i="56"/>
  <c r="AM304" i="56"/>
  <c r="AN304" i="56" s="1"/>
  <c r="AO304" i="56" s="1"/>
  <c r="AQ304" i="56" s="1"/>
  <c r="AD158" i="56"/>
  <c r="AA158" i="56"/>
  <c r="AB158" i="56" s="1"/>
  <c r="AC158" i="56" s="1"/>
  <c r="AE158" i="56" s="1"/>
  <c r="AD340" i="56"/>
  <c r="AA340" i="56"/>
  <c r="AB340" i="56" s="1"/>
  <c r="AC340" i="56" s="1"/>
  <c r="AE340" i="56" s="1"/>
  <c r="AD314" i="56"/>
  <c r="AA314" i="56"/>
  <c r="AB314" i="56" s="1"/>
  <c r="AC314" i="56" s="1"/>
  <c r="AE314" i="56" s="1"/>
  <c r="AD119" i="56"/>
  <c r="AA119" i="56"/>
  <c r="AD197" i="56"/>
  <c r="AA197" i="56"/>
  <c r="AD171" i="56"/>
  <c r="AA171" i="56"/>
  <c r="AD145" i="56"/>
  <c r="AA145" i="56"/>
  <c r="AM72" i="56"/>
  <c r="AN72" i="56" s="1"/>
  <c r="AO72" i="56" s="1"/>
  <c r="AQ72" i="56" s="1"/>
  <c r="AP72" i="56"/>
  <c r="AP280" i="56"/>
  <c r="AM280" i="56"/>
  <c r="AN280" i="56" s="1"/>
  <c r="AO280" i="56" s="1"/>
  <c r="AQ280" i="56" s="1"/>
  <c r="AP228" i="56"/>
  <c r="AM228" i="56"/>
  <c r="AN228" i="56" s="1"/>
  <c r="AO228" i="56" s="1"/>
  <c r="AQ228" i="56" s="1"/>
  <c r="AP98" i="56"/>
  <c r="AM98" i="56"/>
  <c r="AN98" i="56" s="1"/>
  <c r="AO98" i="56" s="1"/>
  <c r="AQ98" i="56" s="1"/>
  <c r="AP59" i="56"/>
  <c r="AM59" i="56"/>
  <c r="AN59" i="56" s="1"/>
  <c r="AO59" i="56" s="1"/>
  <c r="AQ59" i="56" s="1"/>
  <c r="AP267" i="56"/>
  <c r="AM267" i="56"/>
  <c r="AP111" i="56"/>
  <c r="AM111" i="56"/>
  <c r="AN111" i="56" s="1"/>
  <c r="AO111" i="56" s="1"/>
  <c r="AQ111" i="56" s="1"/>
  <c r="AD39" i="56"/>
  <c r="AA39" i="56"/>
  <c r="AD117" i="56"/>
  <c r="AA117" i="56"/>
  <c r="AB117" i="56" s="1"/>
  <c r="AC117" i="56" s="1"/>
  <c r="AE117" i="56" s="1"/>
  <c r="AD195" i="56"/>
  <c r="AA195" i="56"/>
  <c r="AB195" i="56" s="1"/>
  <c r="AC195" i="56" s="1"/>
  <c r="AE195" i="56" s="1"/>
  <c r="AD273" i="56"/>
  <c r="AA273" i="56"/>
  <c r="AB273" i="56" s="1"/>
  <c r="AC273" i="56" s="1"/>
  <c r="AE273" i="56" s="1"/>
  <c r="AD78" i="56"/>
  <c r="AA78" i="56"/>
  <c r="AB78" i="56" s="1"/>
  <c r="AC78" i="56" s="1"/>
  <c r="AE78" i="56" s="1"/>
  <c r="AA52" i="56"/>
  <c r="AB52" i="56" s="1"/>
  <c r="AC52" i="56" s="1"/>
  <c r="AE52" i="56" s="1"/>
  <c r="AD52" i="56"/>
  <c r="AA26" i="56"/>
  <c r="AB26" i="56" s="1"/>
  <c r="AC26" i="56" s="1"/>
  <c r="AE26" i="56" s="1"/>
  <c r="AD26" i="56"/>
  <c r="AD403" i="56"/>
  <c r="AA403" i="56"/>
  <c r="AP391" i="56"/>
  <c r="AM391" i="56"/>
  <c r="AP92" i="56"/>
  <c r="AM92" i="56"/>
  <c r="AN92" i="56" s="1"/>
  <c r="AO92" i="56" s="1"/>
  <c r="AQ92" i="56" s="1"/>
  <c r="AP352" i="56"/>
  <c r="AM352" i="56"/>
  <c r="AN352" i="56" s="1"/>
  <c r="AO352" i="56" s="1"/>
  <c r="AQ352" i="56" s="1"/>
  <c r="AP300" i="56"/>
  <c r="AM300" i="56"/>
  <c r="AP183" i="56"/>
  <c r="AM183" i="56"/>
  <c r="AN183" i="56" s="1"/>
  <c r="AO183" i="56" s="1"/>
  <c r="AQ183" i="56" s="1"/>
  <c r="W94" i="54"/>
  <c r="X94" i="54" s="1"/>
  <c r="Y94" i="54" s="1"/>
  <c r="AA94" i="54" s="1"/>
  <c r="Z94" i="54"/>
  <c r="P85" i="54"/>
  <c r="M85" i="54"/>
  <c r="N85" i="54" s="1"/>
  <c r="O85" i="54" s="1"/>
  <c r="Q85" i="54" s="1"/>
  <c r="P124" i="54"/>
  <c r="M124" i="54"/>
  <c r="N124" i="54" s="1"/>
  <c r="O124" i="54" s="1"/>
  <c r="Q124" i="54" s="1"/>
  <c r="P176" i="54"/>
  <c r="M176" i="54"/>
  <c r="W338" i="54"/>
  <c r="X338" i="54" s="1"/>
  <c r="Y338" i="54" s="1"/>
  <c r="AA338" i="54" s="1"/>
  <c r="Z338" i="54"/>
  <c r="P258" i="54"/>
  <c r="M258" i="54"/>
  <c r="N258" i="54" s="1"/>
  <c r="O258" i="54" s="1"/>
  <c r="Q258" i="54" s="1"/>
  <c r="P180" i="54"/>
  <c r="M180" i="54"/>
  <c r="P24" i="54"/>
  <c r="M24" i="54"/>
  <c r="N24" i="54" s="1"/>
  <c r="O24" i="54" s="1"/>
  <c r="Q24" i="54" s="1"/>
  <c r="P375" i="54"/>
  <c r="M375" i="54"/>
  <c r="P220" i="54"/>
  <c r="M220" i="54"/>
  <c r="N220" i="54" s="1"/>
  <c r="O220" i="54" s="1"/>
  <c r="Q220" i="54" s="1"/>
  <c r="P350" i="54"/>
  <c r="M350" i="54"/>
  <c r="P337" i="54"/>
  <c r="M337" i="54"/>
  <c r="N337" i="54" s="1"/>
  <c r="O337" i="54" s="1"/>
  <c r="Q337" i="54" s="1"/>
  <c r="W56" i="54"/>
  <c r="X56" i="54" s="1"/>
  <c r="Y56" i="54" s="1"/>
  <c r="AA56" i="54" s="1"/>
  <c r="Z56" i="54"/>
  <c r="Z99" i="54"/>
  <c r="W99" i="54"/>
  <c r="X99" i="54" s="1"/>
  <c r="Y99" i="54" s="1"/>
  <c r="AA99" i="54" s="1"/>
  <c r="Z244" i="54"/>
  <c r="W244" i="54"/>
  <c r="X244" i="54" s="1"/>
  <c r="Y244" i="54" s="1"/>
  <c r="AA244" i="54" s="1"/>
  <c r="P192" i="54"/>
  <c r="M192" i="54"/>
  <c r="N192" i="54" s="1"/>
  <c r="O192" i="54" s="1"/>
  <c r="Q192" i="54" s="1"/>
  <c r="P231" i="54"/>
  <c r="M231" i="54"/>
  <c r="P75" i="54"/>
  <c r="M75" i="54"/>
  <c r="N75" i="54" s="1"/>
  <c r="O75" i="54" s="1"/>
  <c r="Q75" i="54" s="1"/>
  <c r="P43" i="54"/>
  <c r="M43" i="54"/>
  <c r="P82" i="54"/>
  <c r="M82" i="54"/>
  <c r="W373" i="54"/>
  <c r="X373" i="54" s="1"/>
  <c r="Y373" i="54" s="1"/>
  <c r="AA373" i="54" s="1"/>
  <c r="Z373" i="54"/>
  <c r="Z61" i="54"/>
  <c r="W61" i="54"/>
  <c r="W317" i="54"/>
  <c r="Z317" i="54"/>
  <c r="AJ287" i="54"/>
  <c r="AG287" i="54"/>
  <c r="AH287" i="54" s="1"/>
  <c r="AI287" i="54" s="1"/>
  <c r="AK287" i="54" s="1"/>
  <c r="P42" i="54"/>
  <c r="M42" i="54"/>
  <c r="N42" i="54" s="1"/>
  <c r="O42" i="54" s="1"/>
  <c r="Q42" i="54" s="1"/>
  <c r="P68" i="54"/>
  <c r="M68" i="54"/>
  <c r="N68" i="54" s="1"/>
  <c r="O68" i="54" s="1"/>
  <c r="Q68" i="54" s="1"/>
  <c r="P120" i="54"/>
  <c r="M120" i="54"/>
  <c r="N120" i="54" s="1"/>
  <c r="O120" i="54" s="1"/>
  <c r="Q120" i="54" s="1"/>
  <c r="P302" i="54"/>
  <c r="M302" i="54"/>
  <c r="Z145" i="54"/>
  <c r="W145" i="54"/>
  <c r="X145" i="54" s="1"/>
  <c r="Y145" i="54" s="1"/>
  <c r="AA145" i="54" s="1"/>
  <c r="W41" i="54"/>
  <c r="X41" i="54" s="1"/>
  <c r="Y41" i="54" s="1"/>
  <c r="AA41" i="54" s="1"/>
  <c r="Z41" i="54"/>
  <c r="P268" i="54"/>
  <c r="M268" i="54"/>
  <c r="N268" i="54" s="1"/>
  <c r="O268" i="54" s="1"/>
  <c r="Q268" i="54" s="1"/>
  <c r="P86" i="54"/>
  <c r="M86" i="54"/>
  <c r="P138" i="54"/>
  <c r="M138" i="54"/>
  <c r="N138" i="54" s="1"/>
  <c r="O138" i="54" s="1"/>
  <c r="Q138" i="54" s="1"/>
  <c r="W51" i="54"/>
  <c r="X51" i="54" s="1"/>
  <c r="Y51" i="54" s="1"/>
  <c r="AA51" i="54" s="1"/>
  <c r="Z51" i="54"/>
  <c r="Z279" i="54"/>
  <c r="W279" i="54"/>
  <c r="X279" i="54" s="1"/>
  <c r="Y279" i="54" s="1"/>
  <c r="AA279" i="54" s="1"/>
  <c r="P22" i="54"/>
  <c r="M22" i="54"/>
  <c r="N22" i="54" s="1"/>
  <c r="O22" i="54" s="1"/>
  <c r="Q22" i="54" s="1"/>
  <c r="P61" i="54"/>
  <c r="M61" i="54"/>
  <c r="N61" i="54" s="1"/>
  <c r="O61" i="54" s="1"/>
  <c r="Q61" i="54" s="1"/>
  <c r="P100" i="54"/>
  <c r="M100" i="54"/>
  <c r="Z391" i="54"/>
  <c r="W391" i="54"/>
  <c r="X391" i="54" s="1"/>
  <c r="Y391" i="54" s="1"/>
  <c r="AA391" i="54" s="1"/>
  <c r="W79" i="54"/>
  <c r="X79" i="54" s="1"/>
  <c r="Y79" i="54" s="1"/>
  <c r="AA79" i="54" s="1"/>
  <c r="Z79" i="54"/>
  <c r="W150" i="54"/>
  <c r="X150" i="54" s="1"/>
  <c r="Y150" i="54" s="1"/>
  <c r="AA150" i="54" s="1"/>
  <c r="Z150" i="54"/>
  <c r="P365" i="54"/>
  <c r="M365" i="54"/>
  <c r="N365" i="54" s="1"/>
  <c r="O365" i="54" s="1"/>
  <c r="Q365" i="54" s="1"/>
  <c r="P92" i="54"/>
  <c r="M92" i="54"/>
  <c r="N92" i="54" s="1"/>
  <c r="O92" i="54" s="1"/>
  <c r="Q92" i="54" s="1"/>
  <c r="P300" i="54"/>
  <c r="M300" i="54"/>
  <c r="AG20" i="54"/>
  <c r="AH20" i="54" s="1"/>
  <c r="AI20" i="54" s="1"/>
  <c r="AK20" i="54" s="1"/>
  <c r="AJ20" i="54"/>
  <c r="M96" i="54"/>
  <c r="N96" i="54" s="1"/>
  <c r="O96" i="54" s="1"/>
  <c r="Q96" i="54" s="1"/>
  <c r="P96" i="54"/>
  <c r="M252" i="54"/>
  <c r="N252" i="54" s="1"/>
  <c r="O252" i="54" s="1"/>
  <c r="Q252" i="54" s="1"/>
  <c r="P252" i="54"/>
  <c r="P187" i="54"/>
  <c r="M187" i="54"/>
  <c r="N187" i="54" s="1"/>
  <c r="P369" i="54"/>
  <c r="M369" i="54"/>
  <c r="N369" i="54" s="1"/>
  <c r="M200" i="54"/>
  <c r="N200" i="54" s="1"/>
  <c r="O200" i="54" s="1"/>
  <c r="Q200" i="54" s="1"/>
  <c r="P200" i="54"/>
  <c r="P343" i="54"/>
  <c r="M343" i="54"/>
  <c r="N343" i="54" s="1"/>
  <c r="P135" i="54"/>
  <c r="M135" i="54"/>
  <c r="N135" i="54" s="1"/>
  <c r="P122" i="54"/>
  <c r="M122" i="54"/>
  <c r="N122" i="54" s="1"/>
  <c r="P83" i="54"/>
  <c r="M83" i="54"/>
  <c r="N83" i="54" s="1"/>
  <c r="P291" i="54"/>
  <c r="M291" i="54"/>
  <c r="N291" i="54" s="1"/>
  <c r="O291" i="54" s="1"/>
  <c r="Q291" i="54" s="1"/>
  <c r="M356" i="54"/>
  <c r="N356" i="54" s="1"/>
  <c r="O356" i="54" s="1"/>
  <c r="Q356" i="54" s="1"/>
  <c r="P356" i="54"/>
  <c r="P382" i="54"/>
  <c r="M382" i="54"/>
  <c r="N382" i="54" s="1"/>
  <c r="M109" i="54"/>
  <c r="N109" i="54" s="1"/>
  <c r="O109" i="54" s="1"/>
  <c r="Q109" i="54" s="1"/>
  <c r="P109" i="54"/>
  <c r="M265" i="54"/>
  <c r="N265" i="54" s="1"/>
  <c r="P265" i="54"/>
  <c r="P317" i="54"/>
  <c r="M317" i="54"/>
  <c r="N317" i="54" s="1"/>
  <c r="O317" i="54" s="1"/>
  <c r="Q317" i="54" s="1"/>
  <c r="P304" i="54"/>
  <c r="M304" i="54"/>
  <c r="N304" i="54" s="1"/>
  <c r="P31" i="54"/>
  <c r="M31" i="54"/>
  <c r="N31" i="54" s="1"/>
  <c r="P239" i="54"/>
  <c r="M239" i="54"/>
  <c r="N239" i="54" s="1"/>
  <c r="O239" i="54" s="1"/>
  <c r="Q239" i="54" s="1"/>
  <c r="M330" i="54"/>
  <c r="N330" i="54" s="1"/>
  <c r="O330" i="54" s="1"/>
  <c r="Q330" i="54" s="1"/>
  <c r="P330" i="54"/>
  <c r="M214" i="54"/>
  <c r="N214" i="54" s="1"/>
  <c r="O214" i="54" s="1"/>
  <c r="Q214" i="54" s="1"/>
  <c r="P214" i="54"/>
  <c r="M149" i="54"/>
  <c r="N149" i="54" s="1"/>
  <c r="O149" i="54" s="1"/>
  <c r="Q149" i="54" s="1"/>
  <c r="P149" i="54"/>
  <c r="P331" i="54"/>
  <c r="M331" i="54"/>
  <c r="N331" i="54" s="1"/>
  <c r="P84" i="54"/>
  <c r="M84" i="54"/>
  <c r="N84" i="54" s="1"/>
  <c r="O84" i="54" s="1"/>
  <c r="Q84" i="54" s="1"/>
  <c r="M227" i="54"/>
  <c r="N227" i="54" s="1"/>
  <c r="P227" i="54"/>
  <c r="P97" i="54"/>
  <c r="M97" i="54"/>
  <c r="N97" i="54" s="1"/>
  <c r="O97" i="54" s="1"/>
  <c r="Q97" i="54" s="1"/>
  <c r="P305" i="54"/>
  <c r="M305" i="54"/>
  <c r="N305" i="54" s="1"/>
  <c r="O305" i="54" s="1"/>
  <c r="Q305" i="54" s="1"/>
  <c r="M396" i="54"/>
  <c r="N396" i="54" s="1"/>
  <c r="P396" i="54"/>
  <c r="P71" i="54"/>
  <c r="M71" i="54"/>
  <c r="N71" i="54" s="1"/>
  <c r="O71" i="54" s="1"/>
  <c r="Q71" i="54" s="1"/>
  <c r="M45" i="54"/>
  <c r="N45" i="54" s="1"/>
  <c r="P45" i="54"/>
  <c r="P253" i="54"/>
  <c r="M253" i="54"/>
  <c r="N253" i="54" s="1"/>
  <c r="O253" i="54" s="1"/>
  <c r="Q253" i="54" s="1"/>
  <c r="M344" i="54"/>
  <c r="N344" i="54" s="1"/>
  <c r="O344" i="54" s="1"/>
  <c r="Q344" i="54" s="1"/>
  <c r="P344" i="54"/>
  <c r="M58" i="54"/>
  <c r="N58" i="54" s="1"/>
  <c r="O58" i="54" s="1"/>
  <c r="Q58" i="54" s="1"/>
  <c r="P58" i="54"/>
  <c r="M266" i="54"/>
  <c r="N266" i="54" s="1"/>
  <c r="O266" i="54" s="1"/>
  <c r="Q266" i="54" s="1"/>
  <c r="P266" i="54"/>
  <c r="M318" i="54"/>
  <c r="N318" i="54" s="1"/>
  <c r="P318" i="54"/>
  <c r="P201" i="54"/>
  <c r="M201" i="54"/>
  <c r="N201" i="54" s="1"/>
  <c r="O201" i="54" s="1"/>
  <c r="Q201" i="54" s="1"/>
  <c r="P383" i="54"/>
  <c r="M383" i="54"/>
  <c r="N383" i="54" s="1"/>
  <c r="P132" i="54"/>
  <c r="M132" i="54"/>
  <c r="N132" i="54" s="1"/>
  <c r="M197" i="54"/>
  <c r="N197" i="54" s="1"/>
  <c r="P197" i="54"/>
  <c r="M327" i="54"/>
  <c r="N327" i="54" s="1"/>
  <c r="O327" i="54" s="1"/>
  <c r="Q327" i="54" s="1"/>
  <c r="P327" i="54"/>
  <c r="M288" i="54"/>
  <c r="N288" i="54" s="1"/>
  <c r="O288" i="54" s="1"/>
  <c r="Q288" i="54" s="1"/>
  <c r="P288" i="54"/>
  <c r="P223" i="54"/>
  <c r="M223" i="54"/>
  <c r="N223" i="54" s="1"/>
  <c r="O223" i="54" s="1"/>
  <c r="Q223" i="54" s="1"/>
  <c r="P405" i="54"/>
  <c r="M405" i="54"/>
  <c r="N405" i="54" s="1"/>
  <c r="P340" i="54"/>
  <c r="M340" i="54"/>
  <c r="N340" i="54" s="1"/>
  <c r="O340" i="54" s="1"/>
  <c r="Q340" i="54" s="1"/>
  <c r="M236" i="54"/>
  <c r="N236" i="54" s="1"/>
  <c r="O236" i="54" s="1"/>
  <c r="Q236" i="54" s="1"/>
  <c r="P236" i="54"/>
  <c r="P379" i="54"/>
  <c r="M379" i="54"/>
  <c r="N379" i="54" s="1"/>
  <c r="P171" i="54"/>
  <c r="M171" i="54"/>
  <c r="N171" i="54" s="1"/>
  <c r="O171" i="54" s="1"/>
  <c r="Q171" i="54" s="1"/>
  <c r="P353" i="54"/>
  <c r="M353" i="54"/>
  <c r="N353" i="54" s="1"/>
  <c r="O353" i="54" s="1"/>
  <c r="Q353" i="54" s="1"/>
  <c r="M158" i="54"/>
  <c r="N158" i="54" s="1"/>
  <c r="O158" i="54" s="1"/>
  <c r="Q158" i="54" s="1"/>
  <c r="P158" i="54"/>
  <c r="M119" i="54"/>
  <c r="N119" i="54" s="1"/>
  <c r="O119" i="54" s="1"/>
  <c r="Q119" i="54" s="1"/>
  <c r="P119" i="54"/>
  <c r="M392" i="54"/>
  <c r="N392" i="54" s="1"/>
  <c r="O392" i="54" s="1"/>
  <c r="Q392" i="54" s="1"/>
  <c r="BG392" i="54" s="1"/>
  <c r="P392" i="54"/>
  <c r="M145" i="54"/>
  <c r="N145" i="54" s="1"/>
  <c r="P145" i="54"/>
  <c r="P301" i="54"/>
  <c r="M301" i="54"/>
  <c r="N301" i="54" s="1"/>
  <c r="P67" i="54"/>
  <c r="M67" i="54"/>
  <c r="N67" i="54" s="1"/>
  <c r="P275" i="54"/>
  <c r="M275" i="54"/>
  <c r="N275" i="54" s="1"/>
  <c r="M366" i="54"/>
  <c r="N366" i="54" s="1"/>
  <c r="P366" i="54"/>
  <c r="M273" i="54"/>
  <c r="N273" i="54" s="1"/>
  <c r="O273" i="54" s="1"/>
  <c r="Q273" i="54" s="1"/>
  <c r="P273" i="54"/>
  <c r="M91" i="54"/>
  <c r="N91" i="54" s="1"/>
  <c r="O91" i="54" s="1"/>
  <c r="Q91" i="54" s="1"/>
  <c r="P91" i="54"/>
  <c r="P299" i="54"/>
  <c r="M299" i="54"/>
  <c r="N299" i="54" s="1"/>
  <c r="M390" i="54"/>
  <c r="N390" i="54" s="1"/>
  <c r="O390" i="54" s="1"/>
  <c r="Q390" i="54" s="1"/>
  <c r="P390" i="54"/>
  <c r="P312" i="54"/>
  <c r="M312" i="54"/>
  <c r="N312" i="54" s="1"/>
  <c r="P39" i="54"/>
  <c r="M39" i="54"/>
  <c r="N39" i="54" s="1"/>
  <c r="M247" i="54"/>
  <c r="N247" i="54" s="1"/>
  <c r="P247" i="54"/>
  <c r="P338" i="54"/>
  <c r="M338" i="54"/>
  <c r="N338" i="54" s="1"/>
  <c r="O338" i="54" s="1"/>
  <c r="Q338" i="54" s="1"/>
  <c r="M260" i="54"/>
  <c r="N260" i="54" s="1"/>
  <c r="O260" i="54" s="1"/>
  <c r="Q260" i="54" s="1"/>
  <c r="P260" i="54"/>
  <c r="P351" i="54"/>
  <c r="M351" i="54"/>
  <c r="N351" i="54" s="1"/>
  <c r="M195" i="54"/>
  <c r="N195" i="54" s="1"/>
  <c r="O195" i="54" s="1"/>
  <c r="Q195" i="54" s="1"/>
  <c r="P195" i="54"/>
  <c r="M325" i="54"/>
  <c r="N325" i="54" s="1"/>
  <c r="O325" i="54" s="1"/>
  <c r="Q325" i="54" s="1"/>
  <c r="P325" i="54"/>
  <c r="P377" i="54"/>
  <c r="M377" i="54"/>
  <c r="N377" i="54" s="1"/>
  <c r="M26" i="54"/>
  <c r="N26" i="54" s="1"/>
  <c r="O26" i="54" s="1"/>
  <c r="Q26" i="54" s="1"/>
  <c r="P26" i="54"/>
  <c r="M208" i="54"/>
  <c r="N208" i="54" s="1"/>
  <c r="O208" i="54" s="1"/>
  <c r="Q208" i="54" s="1"/>
  <c r="P208" i="54"/>
  <c r="M143" i="54"/>
  <c r="N143" i="54" s="1"/>
  <c r="P143" i="54"/>
  <c r="P364" i="54"/>
  <c r="M364" i="54"/>
  <c r="N364" i="54" s="1"/>
  <c r="O364" i="54" s="1"/>
  <c r="Q364" i="54" s="1"/>
  <c r="O58" i="56"/>
  <c r="P58" i="56" s="1"/>
  <c r="Q58" i="56" s="1"/>
  <c r="S58" i="56" s="1"/>
  <c r="R58" i="56"/>
  <c r="AR58" i="56" s="1"/>
  <c r="O162" i="56"/>
  <c r="P162" i="56" s="1"/>
  <c r="Q162" i="56" s="1"/>
  <c r="S162" i="56" s="1"/>
  <c r="R162" i="56"/>
  <c r="R266" i="56"/>
  <c r="O266" i="56"/>
  <c r="P266" i="56" s="1"/>
  <c r="R357" i="56"/>
  <c r="AR357" i="56" s="1"/>
  <c r="O357" i="56"/>
  <c r="P357" i="56" s="1"/>
  <c r="Q357" i="56" s="1"/>
  <c r="S357" i="56" s="1"/>
  <c r="O32" i="56"/>
  <c r="P32" i="56" s="1"/>
  <c r="Q32" i="56" s="1"/>
  <c r="S32" i="56" s="1"/>
  <c r="R32" i="56"/>
  <c r="AR32" i="56" s="1"/>
  <c r="O136" i="56"/>
  <c r="P136" i="56" s="1"/>
  <c r="Q136" i="56" s="1"/>
  <c r="S136" i="56" s="1"/>
  <c r="R136" i="56"/>
  <c r="R240" i="56"/>
  <c r="O240" i="56"/>
  <c r="P240" i="56" s="1"/>
  <c r="Q240" i="56" s="1"/>
  <c r="S240" i="56" s="1"/>
  <c r="R344" i="56"/>
  <c r="AR344" i="56" s="1"/>
  <c r="O344" i="56"/>
  <c r="P344" i="56" s="1"/>
  <c r="R253" i="56"/>
  <c r="AR253" i="56" s="1"/>
  <c r="O253" i="56"/>
  <c r="P253" i="56" s="1"/>
  <c r="Q253" i="56" s="1"/>
  <c r="S253" i="56" s="1"/>
  <c r="O383" i="56"/>
  <c r="P383" i="56" s="1"/>
  <c r="Q383" i="56" s="1"/>
  <c r="S383" i="56" s="1"/>
  <c r="R383" i="56"/>
  <c r="O110" i="56"/>
  <c r="P110" i="56" s="1"/>
  <c r="Q110" i="56" s="1"/>
  <c r="S110" i="56" s="1"/>
  <c r="R110" i="56"/>
  <c r="AR110" i="56" s="1"/>
  <c r="R214" i="56"/>
  <c r="AR214" i="56" s="1"/>
  <c r="O214" i="56"/>
  <c r="P214" i="56" s="1"/>
  <c r="Q214" i="56" s="1"/>
  <c r="S214" i="56" s="1"/>
  <c r="R318" i="56"/>
  <c r="AR318" i="56" s="1"/>
  <c r="O318" i="56"/>
  <c r="P318" i="56" s="1"/>
  <c r="R149" i="56"/>
  <c r="O149" i="56"/>
  <c r="P149" i="56" s="1"/>
  <c r="O84" i="56"/>
  <c r="P84" i="56" s="1"/>
  <c r="Q84" i="56" s="1"/>
  <c r="S84" i="56" s="1"/>
  <c r="R84" i="56"/>
  <c r="R188" i="56"/>
  <c r="AR188" i="56" s="1"/>
  <c r="O188" i="56"/>
  <c r="P188" i="56" s="1"/>
  <c r="O292" i="56"/>
  <c r="P292" i="56" s="1"/>
  <c r="R292" i="56"/>
  <c r="AR292" i="56" s="1"/>
  <c r="O45" i="56"/>
  <c r="P45" i="56" s="1"/>
  <c r="Q45" i="56" s="1"/>
  <c r="S45" i="56" s="1"/>
  <c r="R45" i="56"/>
  <c r="O71" i="56"/>
  <c r="P71" i="56" s="1"/>
  <c r="Q71" i="56" s="1"/>
  <c r="S71" i="56" s="1"/>
  <c r="R71" i="56"/>
  <c r="R175" i="56"/>
  <c r="AR175" i="56" s="1"/>
  <c r="O175" i="56"/>
  <c r="P175" i="56" s="1"/>
  <c r="Q175" i="56" s="1"/>
  <c r="S175" i="56" s="1"/>
  <c r="R279" i="56"/>
  <c r="AR279" i="56" s="1"/>
  <c r="O279" i="56"/>
  <c r="P279" i="56" s="1"/>
  <c r="Q279" i="56" s="1"/>
  <c r="S279" i="56" s="1"/>
  <c r="O19" i="56"/>
  <c r="P19" i="56" s="1"/>
  <c r="Q19" i="56" s="1"/>
  <c r="S19" i="56" s="1"/>
  <c r="R19" i="56"/>
  <c r="AR19" i="56" s="1"/>
  <c r="R123" i="56"/>
  <c r="O123" i="56"/>
  <c r="P123" i="56" s="1"/>
  <c r="R227" i="56"/>
  <c r="O227" i="56"/>
  <c r="P227" i="56" s="1"/>
  <c r="R331" i="56"/>
  <c r="AR331" i="56" s="1"/>
  <c r="O331" i="56"/>
  <c r="P331" i="56" s="1"/>
  <c r="Q331" i="56" s="1"/>
  <c r="S331" i="56" s="1"/>
  <c r="R97" i="56"/>
  <c r="O97" i="56"/>
  <c r="P97" i="56" s="1"/>
  <c r="Q97" i="56" s="1"/>
  <c r="S97" i="56" s="1"/>
  <c r="R201" i="56"/>
  <c r="O201" i="56"/>
  <c r="P201" i="56" s="1"/>
  <c r="Q201" i="56" s="1"/>
  <c r="S201" i="56" s="1"/>
  <c r="R305" i="56"/>
  <c r="O305" i="56"/>
  <c r="P305" i="56" s="1"/>
  <c r="Q305" i="56" s="1"/>
  <c r="S305" i="56" s="1"/>
  <c r="R396" i="56"/>
  <c r="O396" i="56"/>
  <c r="P396" i="56" s="1"/>
  <c r="Q396" i="56" s="1"/>
  <c r="S396" i="56" s="1"/>
  <c r="O370" i="56"/>
  <c r="P370" i="56" s="1"/>
  <c r="Q370" i="56" s="1"/>
  <c r="S370" i="56" s="1"/>
  <c r="R370" i="56"/>
  <c r="O54" i="56"/>
  <c r="P54" i="56" s="1"/>
  <c r="R54" i="56"/>
  <c r="R158" i="56"/>
  <c r="O158" i="56"/>
  <c r="P158" i="56" s="1"/>
  <c r="Q158" i="56" s="1"/>
  <c r="S158" i="56" s="1"/>
  <c r="O262" i="56"/>
  <c r="P262" i="56" s="1"/>
  <c r="Q262" i="56" s="1"/>
  <c r="S262" i="56" s="1"/>
  <c r="R262" i="56"/>
  <c r="AR262" i="56" s="1"/>
  <c r="R366" i="56"/>
  <c r="AR366" i="56" s="1"/>
  <c r="O366" i="56"/>
  <c r="P366" i="56" s="1"/>
  <c r="R119" i="56"/>
  <c r="O119" i="56"/>
  <c r="P119" i="56" s="1"/>
  <c r="R223" i="56"/>
  <c r="O223" i="56"/>
  <c r="P223" i="56" s="1"/>
  <c r="Q223" i="56" s="1"/>
  <c r="S223" i="56" s="1"/>
  <c r="R28" i="56"/>
  <c r="AR28" i="56" s="1"/>
  <c r="O28" i="56"/>
  <c r="P28" i="56" s="1"/>
  <c r="Q28" i="56" s="1"/>
  <c r="S28" i="56" s="1"/>
  <c r="O132" i="56"/>
  <c r="P132" i="56" s="1"/>
  <c r="Q132" i="56" s="1"/>
  <c r="S132" i="56" s="1"/>
  <c r="R132" i="56"/>
  <c r="O236" i="56"/>
  <c r="P236" i="56" s="1"/>
  <c r="Q236" i="56" s="1"/>
  <c r="S236" i="56" s="1"/>
  <c r="R236" i="56"/>
  <c r="R340" i="56"/>
  <c r="O340" i="56"/>
  <c r="P340" i="56" s="1"/>
  <c r="Q340" i="56" s="1"/>
  <c r="S340" i="56" s="1"/>
  <c r="R93" i="56"/>
  <c r="AR93" i="56" s="1"/>
  <c r="O93" i="56"/>
  <c r="P93" i="56" s="1"/>
  <c r="Q93" i="56" s="1"/>
  <c r="S93" i="56" s="1"/>
  <c r="R197" i="56"/>
  <c r="AR197" i="56" s="1"/>
  <c r="O197" i="56"/>
  <c r="P197" i="56" s="1"/>
  <c r="Q197" i="56" s="1"/>
  <c r="S197" i="56" s="1"/>
  <c r="O327" i="56"/>
  <c r="P327" i="56" s="1"/>
  <c r="Q327" i="56" s="1"/>
  <c r="S327" i="56" s="1"/>
  <c r="R327" i="56"/>
  <c r="O106" i="56"/>
  <c r="P106" i="56" s="1"/>
  <c r="Q106" i="56" s="1"/>
  <c r="S106" i="56" s="1"/>
  <c r="R106" i="56"/>
  <c r="AR106" i="56" s="1"/>
  <c r="O210" i="56"/>
  <c r="P210" i="56" s="1"/>
  <c r="R210" i="56"/>
  <c r="R314" i="56"/>
  <c r="O314" i="56"/>
  <c r="P314" i="56" s="1"/>
  <c r="Q314" i="56" s="1"/>
  <c r="S314" i="56" s="1"/>
  <c r="O67" i="56"/>
  <c r="P67" i="56" s="1"/>
  <c r="Q67" i="56" s="1"/>
  <c r="S67" i="56" s="1"/>
  <c r="R67" i="56"/>
  <c r="AR67" i="56" s="1"/>
  <c r="O171" i="56"/>
  <c r="P171" i="56" s="1"/>
  <c r="Q171" i="56" s="1"/>
  <c r="S171" i="56" s="1"/>
  <c r="R171" i="56"/>
  <c r="AR171" i="56" s="1"/>
  <c r="R275" i="56"/>
  <c r="AR275" i="56" s="1"/>
  <c r="O275" i="56"/>
  <c r="P275" i="56" s="1"/>
  <c r="O80" i="56"/>
  <c r="P80" i="56" s="1"/>
  <c r="Q80" i="56" s="1"/>
  <c r="S80" i="56" s="1"/>
  <c r="R80" i="56"/>
  <c r="R184" i="56"/>
  <c r="AR184" i="56" s="1"/>
  <c r="O184" i="56"/>
  <c r="P184" i="56" s="1"/>
  <c r="Q184" i="56" s="1"/>
  <c r="S184" i="56" s="1"/>
  <c r="O288" i="56"/>
  <c r="P288" i="56" s="1"/>
  <c r="Q288" i="56" s="1"/>
  <c r="S288" i="56" s="1"/>
  <c r="R288" i="56"/>
  <c r="AR288" i="56" s="1"/>
  <c r="R41" i="56"/>
  <c r="O41" i="56"/>
  <c r="P41" i="56" s="1"/>
  <c r="Q41" i="56" s="1"/>
  <c r="S41" i="56" s="1"/>
  <c r="R145" i="56"/>
  <c r="O145" i="56"/>
  <c r="P145" i="56" s="1"/>
  <c r="Q145" i="56" s="1"/>
  <c r="S145" i="56" s="1"/>
  <c r="O249" i="56"/>
  <c r="P249" i="56" s="1"/>
  <c r="Q249" i="56" s="1"/>
  <c r="S249" i="56" s="1"/>
  <c r="R249" i="56"/>
  <c r="O353" i="56"/>
  <c r="P353" i="56" s="1"/>
  <c r="Q353" i="56" s="1"/>
  <c r="S353" i="56" s="1"/>
  <c r="R353" i="56"/>
  <c r="O301" i="56"/>
  <c r="P301" i="56" s="1"/>
  <c r="R301" i="56"/>
  <c r="AR301" i="56" s="1"/>
  <c r="R392" i="56"/>
  <c r="AR392" i="56" s="1"/>
  <c r="O392" i="56"/>
  <c r="P392" i="56" s="1"/>
  <c r="O379" i="56"/>
  <c r="P379" i="56" s="1"/>
  <c r="Q379" i="56" s="1"/>
  <c r="S379" i="56" s="1"/>
  <c r="R379" i="56"/>
  <c r="O405" i="56"/>
  <c r="P405" i="56" s="1"/>
  <c r="Q405" i="56" s="1"/>
  <c r="S405" i="56" s="1"/>
  <c r="R405" i="56"/>
  <c r="O39" i="56"/>
  <c r="P39" i="56" s="1"/>
  <c r="R39" i="56"/>
  <c r="AR39" i="56" s="1"/>
  <c r="O143" i="56"/>
  <c r="P143" i="56" s="1"/>
  <c r="Q143" i="56" s="1"/>
  <c r="S143" i="56" s="1"/>
  <c r="R143" i="56"/>
  <c r="AR143" i="56" s="1"/>
  <c r="R247" i="56"/>
  <c r="AR247" i="56" s="1"/>
  <c r="O247" i="56"/>
  <c r="P247" i="56" s="1"/>
  <c r="Q247" i="56" s="1"/>
  <c r="S247" i="56" s="1"/>
  <c r="R351" i="56"/>
  <c r="O351" i="56"/>
  <c r="P351" i="56" s="1"/>
  <c r="R104" i="56"/>
  <c r="AR104" i="56" s="1"/>
  <c r="O104" i="56"/>
  <c r="P104" i="56" s="1"/>
  <c r="O208" i="56"/>
  <c r="P208" i="56" s="1"/>
  <c r="Q208" i="56" s="1"/>
  <c r="S208" i="56" s="1"/>
  <c r="R208" i="56"/>
  <c r="O117" i="56"/>
  <c r="P117" i="56" s="1"/>
  <c r="Q117" i="56" s="1"/>
  <c r="S117" i="56" s="1"/>
  <c r="R117" i="56"/>
  <c r="R221" i="56"/>
  <c r="O221" i="56"/>
  <c r="P221" i="56" s="1"/>
  <c r="Q221" i="56" s="1"/>
  <c r="S221" i="56" s="1"/>
  <c r="R325" i="56"/>
  <c r="O325" i="56"/>
  <c r="P325" i="56" s="1"/>
  <c r="Q325" i="56" s="1"/>
  <c r="S325" i="56" s="1"/>
  <c r="R78" i="56"/>
  <c r="AR78" i="56" s="1"/>
  <c r="O78" i="56"/>
  <c r="P78" i="56" s="1"/>
  <c r="Q78" i="56" s="1"/>
  <c r="S78" i="56" s="1"/>
  <c r="R182" i="56"/>
  <c r="AR182" i="56" s="1"/>
  <c r="O182" i="56"/>
  <c r="P182" i="56" s="1"/>
  <c r="Q182" i="56" s="1"/>
  <c r="S182" i="56" s="1"/>
  <c r="R286" i="56"/>
  <c r="AR286" i="56" s="1"/>
  <c r="O286" i="56"/>
  <c r="P286" i="56" s="1"/>
  <c r="R91" i="56"/>
  <c r="O91" i="56"/>
  <c r="P91" i="56" s="1"/>
  <c r="Q91" i="56" s="1"/>
  <c r="S91" i="56" s="1"/>
  <c r="R195" i="56"/>
  <c r="AR195" i="56" s="1"/>
  <c r="O195" i="56"/>
  <c r="P195" i="56" s="1"/>
  <c r="Q195" i="56" s="1"/>
  <c r="S195" i="56" s="1"/>
  <c r="O299" i="56"/>
  <c r="P299" i="56" s="1"/>
  <c r="R299" i="56"/>
  <c r="AR299" i="56" s="1"/>
  <c r="R52" i="56"/>
  <c r="O52" i="56"/>
  <c r="P52" i="56" s="1"/>
  <c r="Q52" i="56" s="1"/>
  <c r="S52" i="56" s="1"/>
  <c r="O156" i="56"/>
  <c r="P156" i="56" s="1"/>
  <c r="Q156" i="56" s="1"/>
  <c r="S156" i="56" s="1"/>
  <c r="R156" i="56"/>
  <c r="O260" i="56"/>
  <c r="P260" i="56" s="1"/>
  <c r="R260" i="56"/>
  <c r="AR260" i="56" s="1"/>
  <c r="O338" i="56"/>
  <c r="P338" i="56" s="1"/>
  <c r="Q338" i="56" s="1"/>
  <c r="S338" i="56" s="1"/>
  <c r="R338" i="56"/>
  <c r="AR338" i="56" s="1"/>
  <c r="R65" i="56"/>
  <c r="O65" i="56"/>
  <c r="P65" i="56" s="1"/>
  <c r="R169" i="56"/>
  <c r="O169" i="56"/>
  <c r="P169" i="56" s="1"/>
  <c r="Q169" i="56" s="1"/>
  <c r="S169" i="56" s="1"/>
  <c r="O273" i="56"/>
  <c r="P273" i="56" s="1"/>
  <c r="Q273" i="56" s="1"/>
  <c r="S273" i="56" s="1"/>
  <c r="R273" i="56"/>
  <c r="AR273" i="56" s="1"/>
  <c r="O26" i="56"/>
  <c r="P26" i="56" s="1"/>
  <c r="Q26" i="56" s="1"/>
  <c r="S26" i="56" s="1"/>
  <c r="R26" i="56"/>
  <c r="O130" i="56"/>
  <c r="P130" i="56" s="1"/>
  <c r="R130" i="56"/>
  <c r="AR130" i="56" s="1"/>
  <c r="R234" i="56"/>
  <c r="O234" i="56"/>
  <c r="P234" i="56" s="1"/>
  <c r="O312" i="56"/>
  <c r="P312" i="56" s="1"/>
  <c r="Q312" i="56" s="1"/>
  <c r="S312" i="56" s="1"/>
  <c r="R312" i="56"/>
  <c r="O403" i="56"/>
  <c r="P403" i="56" s="1"/>
  <c r="R403" i="56"/>
  <c r="AR403" i="56" s="1"/>
  <c r="R364" i="56"/>
  <c r="O364" i="56"/>
  <c r="P364" i="56" s="1"/>
  <c r="Q364" i="56" s="1"/>
  <c r="S364" i="56" s="1"/>
  <c r="R390" i="56"/>
  <c r="AR390" i="56" s="1"/>
  <c r="O390" i="56"/>
  <c r="P390" i="56" s="1"/>
  <c r="Q390" i="56" s="1"/>
  <c r="S390" i="56" s="1"/>
  <c r="R377" i="56"/>
  <c r="AR377" i="56" s="1"/>
  <c r="O377" i="56"/>
  <c r="P377" i="56" s="1"/>
  <c r="O83" i="56"/>
  <c r="P83" i="56" s="1"/>
  <c r="R83" i="56"/>
  <c r="AR83" i="56" s="1"/>
  <c r="O187" i="56"/>
  <c r="P187" i="56" s="1"/>
  <c r="R187" i="56"/>
  <c r="AR187" i="56" s="1"/>
  <c r="R291" i="56"/>
  <c r="O291" i="56"/>
  <c r="P291" i="56" s="1"/>
  <c r="R44" i="56"/>
  <c r="AR44" i="56" s="1"/>
  <c r="O44" i="56"/>
  <c r="P44" i="56" s="1"/>
  <c r="Q44" i="56" s="1"/>
  <c r="S44" i="56" s="1"/>
  <c r="R148" i="56"/>
  <c r="AR148" i="56" s="1"/>
  <c r="O148" i="56"/>
  <c r="P148" i="56" s="1"/>
  <c r="Q148" i="56" s="1"/>
  <c r="S148" i="56" s="1"/>
  <c r="R252" i="56"/>
  <c r="AR252" i="56" s="1"/>
  <c r="O252" i="56"/>
  <c r="P252" i="56" s="1"/>
  <c r="R57" i="56"/>
  <c r="O57" i="56"/>
  <c r="P57" i="56" s="1"/>
  <c r="O161" i="56"/>
  <c r="P161" i="56" s="1"/>
  <c r="Q161" i="56" s="1"/>
  <c r="S161" i="56" s="1"/>
  <c r="R161" i="56"/>
  <c r="AR161" i="56" s="1"/>
  <c r="R265" i="56"/>
  <c r="O265" i="56"/>
  <c r="P265" i="56" s="1"/>
  <c r="Q265" i="56" s="1"/>
  <c r="S265" i="56" s="1"/>
  <c r="R18" i="56"/>
  <c r="O18" i="56"/>
  <c r="P18" i="56" s="1"/>
  <c r="Q18" i="56" s="1"/>
  <c r="S18" i="56" s="1"/>
  <c r="R122" i="56"/>
  <c r="AR122" i="56" s="1"/>
  <c r="O122" i="56"/>
  <c r="P122" i="56" s="1"/>
  <c r="Q122" i="56" s="1"/>
  <c r="S122" i="56" s="1"/>
  <c r="R226" i="56"/>
  <c r="O226" i="56"/>
  <c r="P226" i="56" s="1"/>
  <c r="R31" i="56"/>
  <c r="AR31" i="56" s="1"/>
  <c r="O31" i="56"/>
  <c r="P31" i="56" s="1"/>
  <c r="O135" i="56"/>
  <c r="P135" i="56" s="1"/>
  <c r="Q135" i="56" s="1"/>
  <c r="S135" i="56" s="1"/>
  <c r="R135" i="56"/>
  <c r="AR135" i="56" s="1"/>
  <c r="R239" i="56"/>
  <c r="AR239" i="56" s="1"/>
  <c r="O239" i="56"/>
  <c r="P239" i="56" s="1"/>
  <c r="Q239" i="56" s="1"/>
  <c r="S239" i="56" s="1"/>
  <c r="O343" i="56"/>
  <c r="P343" i="56" s="1"/>
  <c r="Q343" i="56" s="1"/>
  <c r="S343" i="56" s="1"/>
  <c r="R343" i="56"/>
  <c r="R96" i="56"/>
  <c r="AR96" i="56" s="1"/>
  <c r="O96" i="56"/>
  <c r="P96" i="56" s="1"/>
  <c r="O200" i="56"/>
  <c r="P200" i="56" s="1"/>
  <c r="Q200" i="56" s="1"/>
  <c r="S200" i="56" s="1"/>
  <c r="R200" i="56"/>
  <c r="R356" i="56"/>
  <c r="O356" i="56"/>
  <c r="P356" i="56" s="1"/>
  <c r="Q356" i="56" s="1"/>
  <c r="S356" i="56" s="1"/>
  <c r="O109" i="56"/>
  <c r="P109" i="56" s="1"/>
  <c r="Q109" i="56" s="1"/>
  <c r="S109" i="56" s="1"/>
  <c r="R109" i="56"/>
  <c r="AR109" i="56" s="1"/>
  <c r="R213" i="56"/>
  <c r="AR213" i="56" s="1"/>
  <c r="O213" i="56"/>
  <c r="P213" i="56" s="1"/>
  <c r="Q213" i="56" s="1"/>
  <c r="S213" i="56" s="1"/>
  <c r="O317" i="56"/>
  <c r="P317" i="56" s="1"/>
  <c r="Q317" i="56" s="1"/>
  <c r="S317" i="56" s="1"/>
  <c r="R317" i="56"/>
  <c r="O70" i="56"/>
  <c r="P70" i="56" s="1"/>
  <c r="Q70" i="56" s="1"/>
  <c r="S70" i="56" s="1"/>
  <c r="R70" i="56"/>
  <c r="AR70" i="56" s="1"/>
  <c r="O174" i="56"/>
  <c r="P174" i="56" s="1"/>
  <c r="Q174" i="56" s="1"/>
  <c r="S174" i="56" s="1"/>
  <c r="R174" i="56"/>
  <c r="AR174" i="56" s="1"/>
  <c r="O278" i="56"/>
  <c r="P278" i="56" s="1"/>
  <c r="Q278" i="56" s="1"/>
  <c r="S278" i="56" s="1"/>
  <c r="R278" i="56"/>
  <c r="AR278" i="56" s="1"/>
  <c r="O369" i="56"/>
  <c r="P369" i="56" s="1"/>
  <c r="R369" i="56"/>
  <c r="O330" i="56"/>
  <c r="P330" i="56" s="1"/>
  <c r="Q330" i="56" s="1"/>
  <c r="S330" i="56" s="1"/>
  <c r="R330" i="56"/>
  <c r="O304" i="56"/>
  <c r="P304" i="56" s="1"/>
  <c r="Q304" i="56" s="1"/>
  <c r="S304" i="56" s="1"/>
  <c r="R304" i="56"/>
  <c r="AR304" i="56" s="1"/>
  <c r="O395" i="56"/>
  <c r="P395" i="56" s="1"/>
  <c r="R395" i="56"/>
  <c r="AR395" i="56" s="1"/>
  <c r="O382" i="56"/>
  <c r="P382" i="56" s="1"/>
  <c r="R382" i="56"/>
  <c r="AR382" i="56" s="1"/>
  <c r="P174" i="54"/>
  <c r="M174" i="54"/>
  <c r="N174" i="54" s="1"/>
  <c r="M148" i="54"/>
  <c r="N148" i="54" s="1"/>
  <c r="P148" i="54"/>
  <c r="M278" i="54"/>
  <c r="N278" i="54" s="1"/>
  <c r="O278" i="54" s="1"/>
  <c r="Q278" i="54" s="1"/>
  <c r="P278" i="54"/>
  <c r="M161" i="54"/>
  <c r="N161" i="54" s="1"/>
  <c r="O161" i="54" s="1"/>
  <c r="Q161" i="54" s="1"/>
  <c r="P161" i="54"/>
  <c r="P18" i="54"/>
  <c r="M18" i="54"/>
  <c r="N18" i="54" s="1"/>
  <c r="P213" i="54"/>
  <c r="M213" i="54"/>
  <c r="N213" i="54" s="1"/>
  <c r="O213" i="54" s="1"/>
  <c r="Q213" i="54" s="1"/>
  <c r="M44" i="54"/>
  <c r="N44" i="54" s="1"/>
  <c r="O44" i="54" s="1"/>
  <c r="Q44" i="54" s="1"/>
  <c r="P44" i="54"/>
  <c r="P70" i="54"/>
  <c r="M70" i="54"/>
  <c r="N70" i="54" s="1"/>
  <c r="O70" i="54" s="1"/>
  <c r="Q70" i="54" s="1"/>
  <c r="P57" i="54"/>
  <c r="M57" i="54"/>
  <c r="N57" i="54" s="1"/>
  <c r="M395" i="54"/>
  <c r="N395" i="54" s="1"/>
  <c r="O395" i="54" s="1"/>
  <c r="Q395" i="54" s="1"/>
  <c r="P395" i="54"/>
  <c r="M226" i="54"/>
  <c r="N226" i="54" s="1"/>
  <c r="O226" i="54" s="1"/>
  <c r="Q226" i="54" s="1"/>
  <c r="P226" i="54"/>
  <c r="M136" i="54"/>
  <c r="N136" i="54" s="1"/>
  <c r="O136" i="54" s="1"/>
  <c r="Q136" i="54" s="1"/>
  <c r="P136" i="54"/>
  <c r="P123" i="54"/>
  <c r="M123" i="54"/>
  <c r="N123" i="54" s="1"/>
  <c r="O123" i="54" s="1"/>
  <c r="Q123" i="54" s="1"/>
  <c r="P110" i="54"/>
  <c r="M110" i="54"/>
  <c r="N110" i="54" s="1"/>
  <c r="O110" i="54" s="1"/>
  <c r="Q110" i="54" s="1"/>
  <c r="P240" i="54"/>
  <c r="M240" i="54"/>
  <c r="N240" i="54" s="1"/>
  <c r="P175" i="54"/>
  <c r="M175" i="54"/>
  <c r="N175" i="54" s="1"/>
  <c r="O175" i="54" s="1"/>
  <c r="Q175" i="54" s="1"/>
  <c r="P279" i="54"/>
  <c r="M279" i="54"/>
  <c r="N279" i="54" s="1"/>
  <c r="P162" i="54"/>
  <c r="M162" i="54"/>
  <c r="N162" i="54" s="1"/>
  <c r="O162" i="54" s="1"/>
  <c r="Q162" i="54" s="1"/>
  <c r="P370" i="54"/>
  <c r="M370" i="54"/>
  <c r="N370" i="54" s="1"/>
  <c r="O370" i="54" s="1"/>
  <c r="Q370" i="54" s="1"/>
  <c r="M32" i="54"/>
  <c r="N32" i="54" s="1"/>
  <c r="O32" i="54" s="1"/>
  <c r="Q32" i="54" s="1"/>
  <c r="P32" i="54"/>
  <c r="M19" i="54"/>
  <c r="N19" i="54" s="1"/>
  <c r="O19" i="54" s="1"/>
  <c r="Q19" i="54" s="1"/>
  <c r="P19" i="54"/>
  <c r="P292" i="54"/>
  <c r="M292" i="54"/>
  <c r="N292" i="54" s="1"/>
  <c r="P188" i="54"/>
  <c r="M188" i="54"/>
  <c r="N188" i="54" s="1"/>
  <c r="O188" i="54" s="1"/>
  <c r="Q188" i="54" s="1"/>
  <c r="M357" i="54"/>
  <c r="N357" i="54" s="1"/>
  <c r="P357" i="54"/>
  <c r="P184" i="54"/>
  <c r="M184" i="54"/>
  <c r="N184" i="54" s="1"/>
  <c r="P210" i="54"/>
  <c r="M210" i="54"/>
  <c r="N210" i="54" s="1"/>
  <c r="O210" i="54" s="1"/>
  <c r="Q210" i="54" s="1"/>
  <c r="M314" i="54"/>
  <c r="N314" i="54" s="1"/>
  <c r="P314" i="54"/>
  <c r="P28" i="54"/>
  <c r="M28" i="54"/>
  <c r="N28" i="54" s="1"/>
  <c r="P54" i="54"/>
  <c r="M54" i="54"/>
  <c r="N54" i="54" s="1"/>
  <c r="O54" i="54" s="1"/>
  <c r="Q54" i="54" s="1"/>
  <c r="P41" i="54"/>
  <c r="M41" i="54"/>
  <c r="N41" i="54" s="1"/>
  <c r="P249" i="54"/>
  <c r="M249" i="54"/>
  <c r="N249" i="54" s="1"/>
  <c r="O249" i="54" s="1"/>
  <c r="Q249" i="54" s="1"/>
  <c r="P80" i="54"/>
  <c r="M80" i="54"/>
  <c r="N80" i="54" s="1"/>
  <c r="O80" i="54" s="1"/>
  <c r="Q80" i="54" s="1"/>
  <c r="P106" i="54"/>
  <c r="M106" i="54"/>
  <c r="N106" i="54" s="1"/>
  <c r="P93" i="54"/>
  <c r="M93" i="54"/>
  <c r="N93" i="54" s="1"/>
  <c r="O93" i="54" s="1"/>
  <c r="Q93" i="54" s="1"/>
  <c r="P262" i="54"/>
  <c r="M262" i="54"/>
  <c r="N262" i="54" s="1"/>
  <c r="M286" i="54"/>
  <c r="N286" i="54" s="1"/>
  <c r="O286" i="54" s="1"/>
  <c r="Q286" i="54" s="1"/>
  <c r="P286" i="54"/>
  <c r="P52" i="54"/>
  <c r="M52" i="54"/>
  <c r="N52" i="54" s="1"/>
  <c r="O52" i="54" s="1"/>
  <c r="Q52" i="54" s="1"/>
  <c r="P65" i="54"/>
  <c r="M65" i="54"/>
  <c r="N65" i="54" s="1"/>
  <c r="O65" i="54" s="1"/>
  <c r="Q65" i="54" s="1"/>
  <c r="P78" i="54"/>
  <c r="M78" i="54"/>
  <c r="N78" i="54" s="1"/>
  <c r="O78" i="54" s="1"/>
  <c r="Q78" i="54" s="1"/>
  <c r="P403" i="54"/>
  <c r="M403" i="54"/>
  <c r="N403" i="54" s="1"/>
  <c r="O403" i="54" s="1"/>
  <c r="Q403" i="54" s="1"/>
  <c r="M117" i="54"/>
  <c r="N117" i="54" s="1"/>
  <c r="P117" i="54"/>
  <c r="M104" i="54"/>
  <c r="N104" i="54" s="1"/>
  <c r="P104" i="54"/>
  <c r="P221" i="54"/>
  <c r="M221" i="54"/>
  <c r="N221" i="54" s="1"/>
  <c r="O221" i="54" s="1"/>
  <c r="Q221" i="54" s="1"/>
  <c r="M130" i="54"/>
  <c r="N130" i="54" s="1"/>
  <c r="O130" i="54" s="1"/>
  <c r="Q130" i="54" s="1"/>
  <c r="BG130" i="54" s="1"/>
  <c r="P130" i="54"/>
  <c r="P169" i="54"/>
  <c r="M169" i="54"/>
  <c r="N169" i="54" s="1"/>
  <c r="O169" i="54" s="1"/>
  <c r="Q169" i="54" s="1"/>
  <c r="M156" i="54"/>
  <c r="N156" i="54" s="1"/>
  <c r="O156" i="54" s="1"/>
  <c r="Q156" i="54" s="1"/>
  <c r="P156" i="54"/>
  <c r="M234" i="54"/>
  <c r="N234" i="54" s="1"/>
  <c r="O234" i="54" s="1"/>
  <c r="Q234" i="54" s="1"/>
  <c r="P234" i="54"/>
  <c r="M182" i="54"/>
  <c r="N182" i="54" s="1"/>
  <c r="O182" i="54" s="1"/>
  <c r="Q182" i="54" s="1"/>
  <c r="P182" i="54"/>
  <c r="BG140" i="54"/>
  <c r="BG223" i="54"/>
  <c r="BG111" i="54"/>
  <c r="BG129" i="54"/>
  <c r="BG120" i="54"/>
  <c r="BG249" i="54"/>
  <c r="BG20" i="54"/>
  <c r="BG24" i="54"/>
  <c r="BG394" i="54"/>
  <c r="BE345" i="54"/>
  <c r="BE285" i="54"/>
  <c r="BE253" i="54"/>
  <c r="BE307" i="54"/>
  <c r="BE344" i="54"/>
  <c r="BE94" i="54"/>
  <c r="BE393" i="54"/>
  <c r="BE114" i="54"/>
  <c r="BE259" i="54"/>
  <c r="BE386" i="54"/>
  <c r="BE138" i="54"/>
  <c r="BE320" i="54"/>
  <c r="BE187" i="54"/>
  <c r="BE390" i="54"/>
  <c r="BE359" i="54"/>
  <c r="BE229" i="54"/>
  <c r="BE230" i="54"/>
  <c r="BE146" i="54"/>
  <c r="BE231" i="54"/>
  <c r="BE243" i="54"/>
  <c r="BE306" i="54"/>
  <c r="BE327" i="54"/>
  <c r="BE302" i="54"/>
  <c r="BE317" i="54"/>
  <c r="BE364" i="54"/>
  <c r="BE395" i="54"/>
  <c r="BE363" i="54"/>
  <c r="BE403" i="54"/>
  <c r="BE348" i="54"/>
  <c r="BE324" i="54"/>
  <c r="BE100" i="54"/>
  <c r="BE372" i="54"/>
  <c r="BE122" i="54"/>
  <c r="BE236" i="54"/>
  <c r="BE365" i="54"/>
  <c r="BE352" i="54"/>
  <c r="BE193" i="54"/>
  <c r="BE239" i="54"/>
  <c r="BE389" i="54"/>
  <c r="BE157" i="54"/>
  <c r="AU261" i="54"/>
  <c r="AU251" i="54"/>
  <c r="AU313" i="54"/>
  <c r="AU193" i="54"/>
  <c r="AU189" i="54"/>
  <c r="AU393" i="54"/>
  <c r="AU280" i="54"/>
  <c r="AU233" i="54"/>
  <c r="AU220" i="54"/>
  <c r="AU181" i="54"/>
  <c r="AU173" i="54"/>
  <c r="AU386" i="54"/>
  <c r="AU381" i="54"/>
  <c r="AU226" i="54"/>
  <c r="AU114" i="54"/>
  <c r="AU270" i="54"/>
  <c r="AU383" i="54"/>
  <c r="AU295" i="54"/>
  <c r="AU363" i="54"/>
  <c r="AU306" i="54"/>
  <c r="AU390" i="54"/>
  <c r="AU307" i="54"/>
  <c r="AH90" i="54" l="1"/>
  <c r="AI90" i="54"/>
  <c r="AK90" i="54" s="1"/>
  <c r="X88" i="60" s="1"/>
  <c r="AR186" i="56"/>
  <c r="AR319" i="56"/>
  <c r="AR230" i="56"/>
  <c r="AR281" i="56"/>
  <c r="AR167" i="56"/>
  <c r="O275" i="54"/>
  <c r="Q275" i="54" s="1"/>
  <c r="AR328" i="56"/>
  <c r="AR40" i="56"/>
  <c r="AR134" i="56"/>
  <c r="AR358" i="56"/>
  <c r="AR388" i="56"/>
  <c r="AR38" i="56"/>
  <c r="AR194" i="56"/>
  <c r="AR95" i="56"/>
  <c r="AR159" i="56"/>
  <c r="AR24" i="56"/>
  <c r="AR244" i="56"/>
  <c r="AR296" i="56"/>
  <c r="AR303" i="56"/>
  <c r="BF324" i="54"/>
  <c r="BF16" i="54"/>
  <c r="AR127" i="56"/>
  <c r="AR293" i="56"/>
  <c r="AR276" i="56"/>
  <c r="AR245" i="56"/>
  <c r="AR246" i="56"/>
  <c r="AR72" i="56"/>
  <c r="AR82" i="56"/>
  <c r="AR43" i="56"/>
  <c r="AR397" i="56"/>
  <c r="AR261" i="56"/>
  <c r="AR102" i="56"/>
  <c r="BF346" i="54"/>
  <c r="BF322" i="54"/>
  <c r="BF342" i="54"/>
  <c r="AR289" i="56"/>
  <c r="AR220" i="56"/>
  <c r="AR322" i="56"/>
  <c r="AR308" i="56"/>
  <c r="AR212" i="56"/>
  <c r="AR173" i="56"/>
  <c r="BF256" i="54"/>
  <c r="BF60" i="54"/>
  <c r="BF121" i="54"/>
  <c r="AR66" i="56"/>
  <c r="AR346" i="56"/>
  <c r="O39" i="54"/>
  <c r="Q39" i="54" s="1"/>
  <c r="O31" i="54"/>
  <c r="Q31" i="54" s="1"/>
  <c r="AR274" i="56"/>
  <c r="AR285" i="56"/>
  <c r="AR90" i="56"/>
  <c r="BF164" i="54"/>
  <c r="AR164" i="56"/>
  <c r="AR283" i="56"/>
  <c r="AR29" i="56"/>
  <c r="BF224" i="54"/>
  <c r="AE112" i="60"/>
  <c r="AG112" i="60" s="1"/>
  <c r="AE278" i="60"/>
  <c r="AG278" i="60" s="1"/>
  <c r="AE311" i="60"/>
  <c r="AG311" i="60" s="1"/>
  <c r="AL363" i="60"/>
  <c r="AL98" i="60"/>
  <c r="AL300" i="60"/>
  <c r="AL357" i="60"/>
  <c r="AL391" i="60"/>
  <c r="AE305" i="60"/>
  <c r="AG305" i="60" s="1"/>
  <c r="AE293" i="60"/>
  <c r="AG293" i="60" s="1"/>
  <c r="AE224" i="60"/>
  <c r="AG224" i="60" s="1"/>
  <c r="AE179" i="60"/>
  <c r="AG179" i="60" s="1"/>
  <c r="AE391" i="60"/>
  <c r="AG391" i="60" s="1"/>
  <c r="AE249" i="60"/>
  <c r="AG249" i="60" s="1"/>
  <c r="AL237" i="60"/>
  <c r="BG236" i="54"/>
  <c r="AL234" i="60"/>
  <c r="AL322" i="60"/>
  <c r="AL393" i="60"/>
  <c r="AL325" i="60"/>
  <c r="BG146" i="54"/>
  <c r="AL144" i="60"/>
  <c r="AL388" i="60"/>
  <c r="AL384" i="60"/>
  <c r="AL92" i="60"/>
  <c r="AL283" i="60"/>
  <c r="J167" i="60"/>
  <c r="J219" i="60"/>
  <c r="J76" i="60"/>
  <c r="J50" i="60"/>
  <c r="J247" i="60"/>
  <c r="J52" i="60"/>
  <c r="J186" i="60"/>
  <c r="J368" i="60"/>
  <c r="J121" i="60"/>
  <c r="J68" i="60"/>
  <c r="J211" i="60"/>
  <c r="K16" i="60"/>
  <c r="K42" i="60"/>
  <c r="K362" i="60"/>
  <c r="K50" i="60"/>
  <c r="K193" i="60"/>
  <c r="K76" i="60"/>
  <c r="K219" i="60"/>
  <c r="K143" i="60"/>
  <c r="K312" i="60"/>
  <c r="K195" i="60"/>
  <c r="K338" i="60"/>
  <c r="K221" i="60"/>
  <c r="K156" i="60"/>
  <c r="K303" i="60"/>
  <c r="K95" i="60"/>
  <c r="K173" i="60"/>
  <c r="K212" i="60"/>
  <c r="K355" i="60"/>
  <c r="J24" i="60"/>
  <c r="J323" i="60"/>
  <c r="J390" i="60"/>
  <c r="J156" i="60"/>
  <c r="J234" i="60"/>
  <c r="J286" i="60"/>
  <c r="J56" i="60"/>
  <c r="J212" i="60"/>
  <c r="J328" i="60"/>
  <c r="J315" i="60"/>
  <c r="Q77" i="60"/>
  <c r="Q49" i="60"/>
  <c r="Q39" i="60"/>
  <c r="R24" i="60"/>
  <c r="Y365" i="60"/>
  <c r="Y362" i="60"/>
  <c r="K317" i="60"/>
  <c r="R272" i="60"/>
  <c r="K194" i="60"/>
  <c r="K279" i="60"/>
  <c r="R228" i="60"/>
  <c r="K283" i="60"/>
  <c r="Y319" i="60"/>
  <c r="R283" i="60"/>
  <c r="R88" i="60"/>
  <c r="AE178" i="60"/>
  <c r="AG178" i="60" s="1"/>
  <c r="AE152" i="60"/>
  <c r="AG152" i="60" s="1"/>
  <c r="AE295" i="60"/>
  <c r="AG295" i="60" s="1"/>
  <c r="AL338" i="60"/>
  <c r="AE180" i="60"/>
  <c r="AG180" i="60" s="1"/>
  <c r="AE50" i="60"/>
  <c r="AG50" i="60" s="1"/>
  <c r="AL128" i="60"/>
  <c r="AL50" i="60"/>
  <c r="X31" i="60"/>
  <c r="X96" i="60"/>
  <c r="Q18" i="60"/>
  <c r="AE56" i="60"/>
  <c r="AG56" i="60" s="1"/>
  <c r="AE160" i="60"/>
  <c r="AG160" i="60" s="1"/>
  <c r="AE75" i="60"/>
  <c r="AG75" i="60" s="1"/>
  <c r="AE62" i="60"/>
  <c r="AG62" i="60" s="1"/>
  <c r="AL383" i="60"/>
  <c r="X318" i="60"/>
  <c r="Q303" i="60"/>
  <c r="AE164" i="60"/>
  <c r="AG164" i="60" s="1"/>
  <c r="AE60" i="60"/>
  <c r="AG60" i="60" s="1"/>
  <c r="AE392" i="60"/>
  <c r="AG392" i="60" s="1"/>
  <c r="AE93" i="60"/>
  <c r="AG93" i="60" s="1"/>
  <c r="AL164" i="60"/>
  <c r="X205" i="60"/>
  <c r="AE144" i="60"/>
  <c r="AG144" i="60" s="1"/>
  <c r="AE40" i="60"/>
  <c r="AG40" i="60" s="1"/>
  <c r="J227" i="60"/>
  <c r="AL352" i="60"/>
  <c r="AL27" i="60"/>
  <c r="AE64" i="60"/>
  <c r="AG64" i="60" s="1"/>
  <c r="AE233" i="60"/>
  <c r="AG233" i="60" s="1"/>
  <c r="AL68" i="60"/>
  <c r="AL42" i="60"/>
  <c r="X66" i="60"/>
  <c r="J170" i="60"/>
  <c r="Q159" i="60"/>
  <c r="AE124" i="60"/>
  <c r="AG124" i="60" s="1"/>
  <c r="AE137" i="60"/>
  <c r="AG137" i="60" s="1"/>
  <c r="AE267" i="60"/>
  <c r="AG267" i="60" s="1"/>
  <c r="X106" i="60"/>
  <c r="AL277" i="60"/>
  <c r="Q397" i="60"/>
  <c r="J132" i="60"/>
  <c r="X138" i="60"/>
  <c r="X398" i="60"/>
  <c r="J333" i="60"/>
  <c r="AL145" i="60"/>
  <c r="Q214" i="60"/>
  <c r="AL267" i="60"/>
  <c r="Q93" i="60"/>
  <c r="AL244" i="60"/>
  <c r="AL218" i="60"/>
  <c r="J231" i="60"/>
  <c r="AE200" i="60"/>
  <c r="AG200" i="60" s="1"/>
  <c r="AE213" i="60"/>
  <c r="AG213" i="60" s="1"/>
  <c r="AE291" i="60"/>
  <c r="AG291" i="60" s="1"/>
  <c r="AE44" i="60"/>
  <c r="AG44" i="60" s="1"/>
  <c r="J269" i="60"/>
  <c r="J165" i="60"/>
  <c r="AE19" i="60"/>
  <c r="AG19" i="60" s="1"/>
  <c r="AE32" i="60"/>
  <c r="AG32" i="60" s="1"/>
  <c r="Q24" i="60"/>
  <c r="S24" i="60" s="1"/>
  <c r="AL96" i="60"/>
  <c r="J291" i="60"/>
  <c r="J109" i="60"/>
  <c r="AL168" i="60"/>
  <c r="AL246" i="60"/>
  <c r="AE286" i="60"/>
  <c r="AG286" i="60" s="1"/>
  <c r="AE117" i="60"/>
  <c r="AG117" i="60" s="1"/>
  <c r="X390" i="60"/>
  <c r="X208" i="60"/>
  <c r="J324" i="60"/>
  <c r="J111" i="60"/>
  <c r="J319" i="60"/>
  <c r="Q153" i="60"/>
  <c r="J79" i="60"/>
  <c r="X64" i="60"/>
  <c r="Q204" i="60"/>
  <c r="J93" i="60"/>
  <c r="J327" i="60"/>
  <c r="J21" i="60"/>
  <c r="Q333" i="60"/>
  <c r="Q262" i="60"/>
  <c r="J257" i="60"/>
  <c r="J204" i="60"/>
  <c r="J295" i="60"/>
  <c r="J135" i="60"/>
  <c r="Y246" i="60"/>
  <c r="Y252" i="60"/>
  <c r="Y120" i="60"/>
  <c r="Y393" i="60"/>
  <c r="Y253" i="60"/>
  <c r="Y212" i="60"/>
  <c r="Y182" i="60"/>
  <c r="Y130" i="60"/>
  <c r="Y76" i="60"/>
  <c r="K395" i="60"/>
  <c r="K226" i="60"/>
  <c r="R168" i="60"/>
  <c r="K389" i="60"/>
  <c r="K337" i="60"/>
  <c r="K90" i="60"/>
  <c r="R172" i="60"/>
  <c r="R354" i="60"/>
  <c r="R341" i="60"/>
  <c r="R109" i="60"/>
  <c r="R148" i="60"/>
  <c r="K391" i="60"/>
  <c r="K53" i="60"/>
  <c r="K235" i="60"/>
  <c r="R261" i="60"/>
  <c r="R92" i="60"/>
  <c r="R352" i="60"/>
  <c r="Y269" i="60"/>
  <c r="Y87" i="60"/>
  <c r="Y48" i="60"/>
  <c r="K178" i="60"/>
  <c r="R71" i="60"/>
  <c r="R214" i="60"/>
  <c r="R223" i="60"/>
  <c r="R314" i="60"/>
  <c r="Y153" i="60"/>
  <c r="R269" i="60"/>
  <c r="R256" i="60"/>
  <c r="R100" i="60"/>
  <c r="K383" i="60"/>
  <c r="K32" i="60"/>
  <c r="R98" i="60"/>
  <c r="R150" i="60"/>
  <c r="R241" i="60"/>
  <c r="R85" i="60"/>
  <c r="R173" i="60"/>
  <c r="Y397" i="60"/>
  <c r="Y20" i="60"/>
  <c r="K398" i="60"/>
  <c r="K255" i="60"/>
  <c r="K216" i="60"/>
  <c r="K384" i="60"/>
  <c r="K241" i="60"/>
  <c r="K163" i="60"/>
  <c r="K280" i="60"/>
  <c r="K184" i="60"/>
  <c r="K54" i="60"/>
  <c r="K353" i="60"/>
  <c r="R127" i="60"/>
  <c r="R179" i="60"/>
  <c r="R62" i="60"/>
  <c r="R346" i="60"/>
  <c r="R359" i="60"/>
  <c r="Y47" i="60"/>
  <c r="Y294" i="60"/>
  <c r="AE373" i="60"/>
  <c r="AG373" i="60" s="1"/>
  <c r="AE100" i="60"/>
  <c r="AG100" i="60" s="1"/>
  <c r="AL273" i="60"/>
  <c r="AL91" i="60"/>
  <c r="AL117" i="60"/>
  <c r="AE354" i="60"/>
  <c r="AG354" i="60" s="1"/>
  <c r="AE237" i="60"/>
  <c r="AG237" i="60" s="1"/>
  <c r="AE94" i="60"/>
  <c r="AG94" i="60" s="1"/>
  <c r="AE297" i="60"/>
  <c r="AG297" i="60" s="1"/>
  <c r="AE284" i="60"/>
  <c r="AG284" i="60" s="1"/>
  <c r="AE102" i="60"/>
  <c r="AG102" i="60" s="1"/>
  <c r="X226" i="60"/>
  <c r="Q142" i="60"/>
  <c r="Q259" i="60"/>
  <c r="X245" i="60"/>
  <c r="AE30" i="60"/>
  <c r="AG30" i="60" s="1"/>
  <c r="AE88" i="60"/>
  <c r="AG88" i="60" s="1"/>
  <c r="AL279" i="60"/>
  <c r="AL344" i="60"/>
  <c r="AL396" i="60"/>
  <c r="X110" i="60"/>
  <c r="X45" i="60"/>
  <c r="Q348" i="60"/>
  <c r="AE320" i="60"/>
  <c r="AG320" i="60" s="1"/>
  <c r="AE190" i="60"/>
  <c r="AG190" i="60" s="1"/>
  <c r="AE73" i="60"/>
  <c r="AG73" i="60" s="1"/>
  <c r="AE132" i="60"/>
  <c r="AG132" i="60" s="1"/>
  <c r="AE15" i="60"/>
  <c r="AG15" i="60" s="1"/>
  <c r="AL242" i="60"/>
  <c r="AL359" i="60"/>
  <c r="X127" i="60"/>
  <c r="AE92" i="60"/>
  <c r="AG92" i="60" s="1"/>
  <c r="AE27" i="60"/>
  <c r="AG27" i="60" s="1"/>
  <c r="AL66" i="60"/>
  <c r="AL326" i="60"/>
  <c r="AE77" i="60"/>
  <c r="AG77" i="60" s="1"/>
  <c r="X248" i="60"/>
  <c r="J339" i="60"/>
  <c r="J261" i="60"/>
  <c r="X116" i="60"/>
  <c r="AE59" i="60"/>
  <c r="AG59" i="60" s="1"/>
  <c r="AE85" i="60"/>
  <c r="AG85" i="60" s="1"/>
  <c r="Q126" i="60"/>
  <c r="AL160" i="60"/>
  <c r="AL238" i="60"/>
  <c r="Q150" i="60"/>
  <c r="S150" i="60" s="1"/>
  <c r="J281" i="60"/>
  <c r="AL379" i="60"/>
  <c r="AL236" i="60"/>
  <c r="AL80" i="60"/>
  <c r="BG342" i="54"/>
  <c r="AL340" i="60"/>
  <c r="Q203" i="60"/>
  <c r="Q162" i="60"/>
  <c r="AL215" i="60"/>
  <c r="J23" i="60"/>
  <c r="AE148" i="60"/>
  <c r="AG148" i="60" s="1"/>
  <c r="AE70" i="60"/>
  <c r="AG70" i="60" s="1"/>
  <c r="AE214" i="60"/>
  <c r="AG214" i="60" s="1"/>
  <c r="AE45" i="60"/>
  <c r="AG45" i="60" s="1"/>
  <c r="AE71" i="60"/>
  <c r="AG71" i="60" s="1"/>
  <c r="Q37" i="60"/>
  <c r="Q284" i="60"/>
  <c r="AL356" i="60"/>
  <c r="J343" i="60"/>
  <c r="J18" i="60"/>
  <c r="J369" i="60"/>
  <c r="AL311" i="60"/>
  <c r="AE104" i="60"/>
  <c r="AG104" i="60" s="1"/>
  <c r="AE208" i="60"/>
  <c r="AG208" i="60" s="1"/>
  <c r="AE91" i="60"/>
  <c r="AG91" i="60" s="1"/>
  <c r="X52" i="60"/>
  <c r="AL113" i="60"/>
  <c r="AL243" i="60"/>
  <c r="X35" i="60"/>
  <c r="Y214" i="60"/>
  <c r="Y251" i="60"/>
  <c r="Y348" i="60"/>
  <c r="Y322" i="60"/>
  <c r="J25" i="60"/>
  <c r="J162" i="60"/>
  <c r="J183" i="60"/>
  <c r="Q87" i="60"/>
  <c r="Q353" i="60"/>
  <c r="R232" i="60"/>
  <c r="R367" i="60"/>
  <c r="R27" i="60"/>
  <c r="R35" i="60"/>
  <c r="K153" i="60"/>
  <c r="R69" i="60"/>
  <c r="K60" i="60"/>
  <c r="K332" i="60"/>
  <c r="J103" i="60"/>
  <c r="AL286" i="60"/>
  <c r="AL247" i="60"/>
  <c r="AL221" i="60"/>
  <c r="AE81" i="60"/>
  <c r="AG81" i="60" s="1"/>
  <c r="AE29" i="60"/>
  <c r="AG29" i="60" s="1"/>
  <c r="AE37" i="60"/>
  <c r="AG37" i="60" s="1"/>
  <c r="X343" i="60"/>
  <c r="Q337" i="60"/>
  <c r="J332" i="60"/>
  <c r="AE296" i="60"/>
  <c r="AG296" i="60" s="1"/>
  <c r="AL84" i="60"/>
  <c r="AL123" i="60"/>
  <c r="X149" i="60"/>
  <c r="AE21" i="60"/>
  <c r="AG21" i="60" s="1"/>
  <c r="AE47" i="60"/>
  <c r="AG47" i="60" s="1"/>
  <c r="AE184" i="60"/>
  <c r="AG184" i="60" s="1"/>
  <c r="AE80" i="60"/>
  <c r="AG80" i="60" s="1"/>
  <c r="AL268" i="60"/>
  <c r="X322" i="60"/>
  <c r="AE209" i="60"/>
  <c r="AG209" i="60" s="1"/>
  <c r="AE235" i="60"/>
  <c r="AG235" i="60" s="1"/>
  <c r="AE105" i="60"/>
  <c r="AG105" i="60" s="1"/>
  <c r="AL378" i="60"/>
  <c r="AE155" i="60"/>
  <c r="AG155" i="60" s="1"/>
  <c r="AE116" i="60"/>
  <c r="AG116" i="60" s="1"/>
  <c r="X51" i="60"/>
  <c r="X55" i="60"/>
  <c r="X72" i="60"/>
  <c r="AE202" i="60"/>
  <c r="AG202" i="60" s="1"/>
  <c r="AE98" i="60"/>
  <c r="AG98" i="60" s="1"/>
  <c r="X301" i="60"/>
  <c r="Q321" i="60"/>
  <c r="J67" i="60"/>
  <c r="J236" i="60"/>
  <c r="J340" i="60"/>
  <c r="X268" i="60"/>
  <c r="J99" i="60"/>
  <c r="AL262" i="60"/>
  <c r="Q138" i="60"/>
  <c r="Q19" i="60"/>
  <c r="AL293" i="60"/>
  <c r="AL348" i="60"/>
  <c r="J205" i="60"/>
  <c r="J400" i="60"/>
  <c r="AE31" i="60"/>
  <c r="AG31" i="60" s="1"/>
  <c r="AE110" i="60"/>
  <c r="AG110" i="60" s="1"/>
  <c r="AE383" i="60"/>
  <c r="AG383" i="60" s="1"/>
  <c r="AE136" i="60"/>
  <c r="AG136" i="60" s="1"/>
  <c r="Q375" i="60"/>
  <c r="AL83" i="60"/>
  <c r="AL226" i="60"/>
  <c r="AL265" i="60"/>
  <c r="J213" i="60"/>
  <c r="AL272" i="60"/>
  <c r="AE390" i="60"/>
  <c r="AG390" i="60" s="1"/>
  <c r="AE26" i="60"/>
  <c r="AG26" i="60" s="1"/>
  <c r="AL360" i="60"/>
  <c r="AL373" i="60"/>
  <c r="Y402" i="60"/>
  <c r="Y110" i="60"/>
  <c r="Y147" i="60"/>
  <c r="Y218" i="60"/>
  <c r="Y125" i="60"/>
  <c r="Y203" i="60"/>
  <c r="Q69" i="60"/>
  <c r="Q305" i="60"/>
  <c r="Q41" i="60"/>
  <c r="Y304" i="60"/>
  <c r="Y97" i="60"/>
  <c r="Y50" i="60"/>
  <c r="Y323" i="60"/>
  <c r="K252" i="60"/>
  <c r="R239" i="60"/>
  <c r="Y334" i="60"/>
  <c r="R61" i="60"/>
  <c r="K275" i="60"/>
  <c r="K145" i="60"/>
  <c r="AE334" i="60"/>
  <c r="AG334" i="60" s="1"/>
  <c r="AL39" i="60"/>
  <c r="AE336" i="60"/>
  <c r="AG336" i="60" s="1"/>
  <c r="AL37" i="60"/>
  <c r="X330" i="60"/>
  <c r="X187" i="60"/>
  <c r="Q83" i="60"/>
  <c r="Q194" i="60"/>
  <c r="Q402" i="60"/>
  <c r="X206" i="60"/>
  <c r="X349" i="60"/>
  <c r="X323" i="60"/>
  <c r="X69" i="60"/>
  <c r="X238" i="60"/>
  <c r="X277" i="60"/>
  <c r="X134" i="60"/>
  <c r="X266" i="60"/>
  <c r="X374" i="60"/>
  <c r="X36" i="60"/>
  <c r="AE326" i="60"/>
  <c r="AG326" i="60" s="1"/>
  <c r="AE324" i="60"/>
  <c r="AG324" i="60" s="1"/>
  <c r="X27" i="60"/>
  <c r="X196" i="60"/>
  <c r="J222" i="60"/>
  <c r="X389" i="60"/>
  <c r="X77" i="60"/>
  <c r="Q81" i="60"/>
  <c r="Q120" i="60"/>
  <c r="X250" i="60"/>
  <c r="X16" i="60"/>
  <c r="X29" i="60"/>
  <c r="X397" i="60"/>
  <c r="X59" i="60"/>
  <c r="X340" i="60"/>
  <c r="Q178" i="60"/>
  <c r="Q293" i="60"/>
  <c r="Q254" i="60"/>
  <c r="Q98" i="60"/>
  <c r="S98" i="60" s="1"/>
  <c r="X86" i="60"/>
  <c r="X112" i="60"/>
  <c r="J216" i="60"/>
  <c r="AL184" i="60"/>
  <c r="Q294" i="60"/>
  <c r="Q359" i="60"/>
  <c r="Q112" i="60"/>
  <c r="Q32" i="60"/>
  <c r="Q357" i="60"/>
  <c r="Q279" i="60"/>
  <c r="Q392" i="60"/>
  <c r="AE330" i="60"/>
  <c r="AG330" i="60" s="1"/>
  <c r="AL57" i="60"/>
  <c r="AL25" i="60"/>
  <c r="X377" i="60"/>
  <c r="X221" i="60"/>
  <c r="Q105" i="60"/>
  <c r="Q27" i="60"/>
  <c r="X87" i="60"/>
  <c r="Z87" i="60" s="1"/>
  <c r="X113" i="60"/>
  <c r="X217" i="60"/>
  <c r="Y285" i="60"/>
  <c r="Y333" i="60"/>
  <c r="Y277" i="60"/>
  <c r="Q222" i="60"/>
  <c r="Q261" i="60"/>
  <c r="S261" i="60" s="1"/>
  <c r="X204" i="60"/>
  <c r="X178" i="60"/>
  <c r="X165" i="60"/>
  <c r="X230" i="60"/>
  <c r="Y184" i="60"/>
  <c r="Y398" i="60"/>
  <c r="AE388" i="60"/>
  <c r="AG388" i="60" s="1"/>
  <c r="AE381" i="60"/>
  <c r="AG381" i="60" s="1"/>
  <c r="BG381" i="54"/>
  <c r="AE379" i="60"/>
  <c r="AG379" i="60" s="1"/>
  <c r="BG220" i="54"/>
  <c r="AE218" i="60"/>
  <c r="AG218" i="60" s="1"/>
  <c r="AE187" i="60"/>
  <c r="AG187" i="60" s="1"/>
  <c r="AE259" i="60"/>
  <c r="AG259" i="60" s="1"/>
  <c r="AL191" i="60"/>
  <c r="AL120" i="60"/>
  <c r="AL346" i="60"/>
  <c r="AL362" i="60"/>
  <c r="AL304" i="60"/>
  <c r="AL228" i="60"/>
  <c r="AL185" i="60"/>
  <c r="AL257" i="60"/>
  <c r="AL342" i="60"/>
  <c r="AL343" i="60"/>
  <c r="J232" i="60"/>
  <c r="J17" i="60"/>
  <c r="J393" i="60"/>
  <c r="J159" i="60"/>
  <c r="K302" i="60"/>
  <c r="K172" i="60"/>
  <c r="K315" i="60"/>
  <c r="K107" i="60"/>
  <c r="K198" i="60"/>
  <c r="K341" i="60"/>
  <c r="K133" i="60"/>
  <c r="K159" i="60"/>
  <c r="K310" i="60"/>
  <c r="K271" i="60"/>
  <c r="K206" i="60"/>
  <c r="K141" i="60"/>
  <c r="K403" i="60"/>
  <c r="K351" i="60"/>
  <c r="K286" i="60"/>
  <c r="K78" i="60"/>
  <c r="K169" i="60"/>
  <c r="K104" i="60"/>
  <c r="K130" i="60"/>
  <c r="K368" i="60"/>
  <c r="K17" i="60"/>
  <c r="K43" i="60"/>
  <c r="K381" i="60"/>
  <c r="K134" i="60"/>
  <c r="K160" i="60"/>
  <c r="J362" i="60"/>
  <c r="L362" i="60" s="1"/>
  <c r="J388" i="60"/>
  <c r="J89" i="60"/>
  <c r="J351" i="60"/>
  <c r="J338" i="60"/>
  <c r="L338" i="60" s="1"/>
  <c r="J221" i="60"/>
  <c r="L221" i="60" s="1"/>
  <c r="J199" i="60"/>
  <c r="J95" i="60"/>
  <c r="L95" i="60" s="1"/>
  <c r="J82" i="60"/>
  <c r="J237" i="60"/>
  <c r="J107" i="60"/>
  <c r="L107" i="60" s="1"/>
  <c r="J354" i="60"/>
  <c r="J198" i="60"/>
  <c r="J94" i="60"/>
  <c r="J90" i="60"/>
  <c r="L90" i="60" s="1"/>
  <c r="Q389" i="60"/>
  <c r="J59" i="60"/>
  <c r="Q277" i="60"/>
  <c r="J136" i="60"/>
  <c r="J266" i="60"/>
  <c r="Q143" i="60"/>
  <c r="J118" i="60"/>
  <c r="J40" i="60"/>
  <c r="Q242" i="60"/>
  <c r="J122" i="60"/>
  <c r="Y90" i="60"/>
  <c r="R271" i="60"/>
  <c r="R115" i="60"/>
  <c r="Y109" i="60"/>
  <c r="Y57" i="60"/>
  <c r="Y226" i="60"/>
  <c r="R338" i="60"/>
  <c r="Y302" i="60"/>
  <c r="Y276" i="60"/>
  <c r="Y29" i="60"/>
  <c r="Y16" i="60"/>
  <c r="Y261" i="60"/>
  <c r="Y14" i="60"/>
  <c r="Y144" i="60"/>
  <c r="Y396" i="60"/>
  <c r="Y264" i="60"/>
  <c r="Y82" i="60"/>
  <c r="Y91" i="60"/>
  <c r="Y65" i="60"/>
  <c r="Y286" i="60"/>
  <c r="Y39" i="60"/>
  <c r="Y284" i="60"/>
  <c r="Y102" i="60"/>
  <c r="K330" i="60"/>
  <c r="K148" i="60"/>
  <c r="R246" i="60"/>
  <c r="R207" i="60"/>
  <c r="R181" i="60"/>
  <c r="K155" i="60"/>
  <c r="K168" i="60"/>
  <c r="K116" i="60"/>
  <c r="R198" i="60"/>
  <c r="R29" i="60"/>
  <c r="R291" i="60"/>
  <c r="R135" i="60"/>
  <c r="R226" i="60"/>
  <c r="K92" i="60"/>
  <c r="K274" i="60"/>
  <c r="R235" i="60"/>
  <c r="R118" i="60"/>
  <c r="R66" i="60"/>
  <c r="Y295" i="60"/>
  <c r="K269" i="60"/>
  <c r="K87" i="60"/>
  <c r="R58" i="60"/>
  <c r="R240" i="60"/>
  <c r="R67" i="60"/>
  <c r="R158" i="60"/>
  <c r="Y179" i="60"/>
  <c r="R243" i="60"/>
  <c r="R399" i="60"/>
  <c r="R282" i="60"/>
  <c r="R126" i="60"/>
  <c r="K58" i="60"/>
  <c r="R254" i="60"/>
  <c r="R345" i="60"/>
  <c r="R189" i="60"/>
  <c r="K244" i="60"/>
  <c r="R82" i="60"/>
  <c r="R30" i="60"/>
  <c r="R277" i="60"/>
  <c r="Y280" i="60"/>
  <c r="Y345" i="60"/>
  <c r="Y189" i="60"/>
  <c r="Y145" i="60"/>
  <c r="K359" i="60"/>
  <c r="K358" i="60"/>
  <c r="K306" i="60"/>
  <c r="K150" i="60"/>
  <c r="K319" i="60"/>
  <c r="K171" i="60"/>
  <c r="K327" i="60"/>
  <c r="R205" i="60"/>
  <c r="R361" i="60"/>
  <c r="R385" i="60"/>
  <c r="R86" i="60"/>
  <c r="Y346" i="60"/>
  <c r="Y216" i="60"/>
  <c r="AL377" i="60"/>
  <c r="AL65" i="60"/>
  <c r="AE328" i="60"/>
  <c r="AG328" i="60" s="1"/>
  <c r="AE315" i="60"/>
  <c r="AG315" i="60" s="1"/>
  <c r="AE263" i="60"/>
  <c r="AG263" i="60" s="1"/>
  <c r="X291" i="60"/>
  <c r="Q213" i="60"/>
  <c r="Q382" i="60"/>
  <c r="Q207" i="60"/>
  <c r="S207" i="60" s="1"/>
  <c r="Q168" i="60"/>
  <c r="S168" i="60" s="1"/>
  <c r="X310" i="60"/>
  <c r="X362" i="60"/>
  <c r="Z362" i="60" s="1"/>
  <c r="AE329" i="60"/>
  <c r="AG329" i="60" s="1"/>
  <c r="X186" i="60"/>
  <c r="X394" i="60"/>
  <c r="X199" i="60"/>
  <c r="J202" i="60"/>
  <c r="AE322" i="60"/>
  <c r="AG322" i="60" s="1"/>
  <c r="X201" i="60"/>
  <c r="X253" i="60"/>
  <c r="Z253" i="60" s="1"/>
  <c r="X214" i="60"/>
  <c r="Z214" i="60" s="1"/>
  <c r="Q30" i="60"/>
  <c r="S30" i="60" s="1"/>
  <c r="Q147" i="60"/>
  <c r="Q88" i="60"/>
  <c r="S88" i="60" s="1"/>
  <c r="Q205" i="60"/>
  <c r="Q361" i="60"/>
  <c r="AE327" i="60"/>
  <c r="AG327" i="60" s="1"/>
  <c r="AL372" i="60"/>
  <c r="AL47" i="60"/>
  <c r="AL60" i="60"/>
  <c r="X257" i="60"/>
  <c r="X348" i="60"/>
  <c r="Z348" i="60" s="1"/>
  <c r="AL14" i="60"/>
  <c r="Q78" i="60"/>
  <c r="Q156" i="60"/>
  <c r="X157" i="60"/>
  <c r="X144" i="60"/>
  <c r="Z144" i="60" s="1"/>
  <c r="X194" i="60"/>
  <c r="X103" i="60"/>
  <c r="Q133" i="60"/>
  <c r="Q94" i="60"/>
  <c r="X68" i="60"/>
  <c r="X185" i="60"/>
  <c r="X306" i="60"/>
  <c r="X345" i="60"/>
  <c r="Z345" i="60" s="1"/>
  <c r="AE332" i="60"/>
  <c r="AG332" i="60" s="1"/>
  <c r="BF269" i="54"/>
  <c r="X236" i="60"/>
  <c r="Q269" i="60"/>
  <c r="S269" i="60" s="1"/>
  <c r="Q282" i="60"/>
  <c r="S282" i="60" s="1"/>
  <c r="AL69" i="60"/>
  <c r="Q358" i="60"/>
  <c r="J158" i="60"/>
  <c r="AL41" i="60"/>
  <c r="Q177" i="60"/>
  <c r="Q151" i="60"/>
  <c r="Q190" i="60"/>
  <c r="AL20" i="60"/>
  <c r="AL202" i="60"/>
  <c r="Q184" i="60"/>
  <c r="BF181" i="54"/>
  <c r="AL192" i="60"/>
  <c r="AE318" i="60"/>
  <c r="AG318" i="60" s="1"/>
  <c r="AL18" i="60"/>
  <c r="AL369" i="60"/>
  <c r="AL31" i="60"/>
  <c r="AL51" i="60"/>
  <c r="X169" i="60"/>
  <c r="X234" i="60"/>
  <c r="Q356" i="60"/>
  <c r="J144" i="60"/>
  <c r="Q128" i="60"/>
  <c r="Q79" i="60"/>
  <c r="Y330" i="60"/>
  <c r="R39" i="60"/>
  <c r="Y326" i="60"/>
  <c r="Y89" i="60"/>
  <c r="R402" i="60"/>
  <c r="K38" i="60"/>
  <c r="K118" i="60"/>
  <c r="R383" i="60"/>
  <c r="R132" i="60"/>
  <c r="K45" i="60"/>
  <c r="K205" i="60"/>
  <c r="R264" i="60"/>
  <c r="K164" i="60"/>
  <c r="K197" i="60"/>
  <c r="J220" i="60"/>
  <c r="X44" i="60"/>
  <c r="X70" i="60"/>
  <c r="Q70" i="60"/>
  <c r="Q44" i="60"/>
  <c r="Q246" i="60"/>
  <c r="S246" i="60" s="1"/>
  <c r="X128" i="60"/>
  <c r="X388" i="60"/>
  <c r="X50" i="60"/>
  <c r="Z50" i="60" s="1"/>
  <c r="X71" i="60"/>
  <c r="X123" i="60"/>
  <c r="Q329" i="60"/>
  <c r="Q95" i="60"/>
  <c r="Q264" i="60"/>
  <c r="S264" i="60" s="1"/>
  <c r="Q387" i="60"/>
  <c r="AE314" i="60"/>
  <c r="AG314" i="60" s="1"/>
  <c r="AL34" i="60"/>
  <c r="X140" i="60"/>
  <c r="X75" i="60"/>
  <c r="AL365" i="60"/>
  <c r="AL53" i="60"/>
  <c r="AE337" i="60"/>
  <c r="AG337" i="60" s="1"/>
  <c r="Q273" i="60"/>
  <c r="Q117" i="60"/>
  <c r="Q104" i="60"/>
  <c r="Q247" i="60"/>
  <c r="AL29" i="60"/>
  <c r="X339" i="60"/>
  <c r="X391" i="60"/>
  <c r="X326" i="60"/>
  <c r="Q354" i="60"/>
  <c r="S354" i="60" s="1"/>
  <c r="Q380" i="60"/>
  <c r="X341" i="60"/>
  <c r="X315" i="60"/>
  <c r="X263" i="60"/>
  <c r="X124" i="60"/>
  <c r="X254" i="60"/>
  <c r="AE319" i="60"/>
  <c r="AG319" i="60" s="1"/>
  <c r="X249" i="60"/>
  <c r="X210" i="60"/>
  <c r="Q35" i="60"/>
  <c r="S35" i="60" s="1"/>
  <c r="Q191" i="60"/>
  <c r="AL17" i="60"/>
  <c r="Q345" i="60"/>
  <c r="X346" i="60"/>
  <c r="X203" i="60"/>
  <c r="Z203" i="60" s="1"/>
  <c r="X190" i="60"/>
  <c r="Q372" i="60"/>
  <c r="Q398" i="60"/>
  <c r="Q123" i="60"/>
  <c r="Q106" i="60"/>
  <c r="Q15" i="60"/>
  <c r="AL62" i="60"/>
  <c r="AL23" i="60"/>
  <c r="AE317" i="60"/>
  <c r="AG317" i="60" s="1"/>
  <c r="J282" i="60"/>
  <c r="AL70" i="60"/>
  <c r="AL38" i="60"/>
  <c r="X143" i="60"/>
  <c r="X130" i="60"/>
  <c r="Z130" i="60" s="1"/>
  <c r="X299" i="60"/>
  <c r="Q157" i="60"/>
  <c r="Q118" i="60"/>
  <c r="X334" i="60"/>
  <c r="Z334" i="60" s="1"/>
  <c r="X360" i="60"/>
  <c r="J194" i="60"/>
  <c r="L194" i="60" s="1"/>
  <c r="J77" i="60"/>
  <c r="J32" i="60"/>
  <c r="L32" i="60" s="1"/>
  <c r="Q224" i="60"/>
  <c r="J54" i="60"/>
  <c r="L54" i="60" s="1"/>
  <c r="J177" i="60"/>
  <c r="Q125" i="60"/>
  <c r="J114" i="60"/>
  <c r="J70" i="60"/>
  <c r="Y324" i="60"/>
  <c r="Y38" i="60"/>
  <c r="R323" i="60"/>
  <c r="Y187" i="60"/>
  <c r="R351" i="60"/>
  <c r="R130" i="60"/>
  <c r="Y94" i="60"/>
  <c r="Y146" i="60"/>
  <c r="Y40" i="60"/>
  <c r="Y118" i="60"/>
  <c r="Y136" i="60"/>
  <c r="Y71" i="60"/>
  <c r="Y342" i="60"/>
  <c r="Y30" i="60"/>
  <c r="Y299" i="60"/>
  <c r="Y143" i="60"/>
  <c r="Y26" i="60"/>
  <c r="Y312" i="60"/>
  <c r="Y193" i="60"/>
  <c r="K369" i="60"/>
  <c r="K161" i="60"/>
  <c r="K363" i="60"/>
  <c r="K233" i="60"/>
  <c r="K207" i="60"/>
  <c r="R68" i="60"/>
  <c r="R250" i="60"/>
  <c r="R81" i="60"/>
  <c r="R343" i="60"/>
  <c r="R44" i="60"/>
  <c r="K365" i="60"/>
  <c r="K300" i="60"/>
  <c r="K14" i="60"/>
  <c r="R105" i="60"/>
  <c r="R326" i="60"/>
  <c r="Y165" i="60"/>
  <c r="Y61" i="60"/>
  <c r="Y178" i="60"/>
  <c r="K256" i="60"/>
  <c r="R396" i="60"/>
  <c r="R19" i="60"/>
  <c r="R28" i="60"/>
  <c r="R210" i="60"/>
  <c r="Y75" i="60"/>
  <c r="R113" i="60"/>
  <c r="R152" i="60"/>
  <c r="R334" i="60"/>
  <c r="K344" i="60"/>
  <c r="K71" i="60"/>
  <c r="R176" i="60"/>
  <c r="K374" i="60"/>
  <c r="K62" i="60"/>
  <c r="K23" i="60"/>
  <c r="K75" i="60"/>
  <c r="R238" i="60"/>
  <c r="R43" i="60"/>
  <c r="Y254" i="60"/>
  <c r="Y33" i="60"/>
  <c r="Z33" i="60" s="1"/>
  <c r="Y85" i="60"/>
  <c r="Y353" i="60"/>
  <c r="Y119" i="60"/>
  <c r="K99" i="60"/>
  <c r="K202" i="60"/>
  <c r="K392" i="60"/>
  <c r="K366" i="60"/>
  <c r="K119" i="60"/>
  <c r="R400" i="60"/>
  <c r="R374" i="60"/>
  <c r="R296" i="60"/>
  <c r="R268" i="60"/>
  <c r="R177" i="60"/>
  <c r="Y138" i="60"/>
  <c r="Y60" i="60"/>
  <c r="AE282" i="60"/>
  <c r="AG282" i="60" s="1"/>
  <c r="AE48" i="60"/>
  <c r="AG48" i="60" s="1"/>
  <c r="AE367" i="60"/>
  <c r="AG367" i="60" s="1"/>
  <c r="X395" i="60"/>
  <c r="X317" i="60"/>
  <c r="X369" i="60"/>
  <c r="Q200" i="60"/>
  <c r="Q109" i="60"/>
  <c r="S109" i="60" s="1"/>
  <c r="X193" i="60"/>
  <c r="X154" i="60"/>
  <c r="X401" i="60"/>
  <c r="X24" i="60"/>
  <c r="X121" i="60"/>
  <c r="X342" i="60"/>
  <c r="X290" i="60"/>
  <c r="J176" i="60"/>
  <c r="AL19" i="60"/>
  <c r="AL45" i="60"/>
  <c r="X292" i="60"/>
  <c r="X344" i="60"/>
  <c r="Q316" i="60"/>
  <c r="Q173" i="60"/>
  <c r="S173" i="60" s="1"/>
  <c r="Q381" i="60"/>
  <c r="Q101" i="60"/>
  <c r="Q283" i="60"/>
  <c r="S283" i="60" s="1"/>
  <c r="Q127" i="60"/>
  <c r="S127" i="60" s="1"/>
  <c r="AE333" i="60"/>
  <c r="AG333" i="60" s="1"/>
  <c r="X309" i="60"/>
  <c r="J240" i="60"/>
  <c r="Q234" i="60"/>
  <c r="Q403" i="60"/>
  <c r="X105" i="60"/>
  <c r="X402" i="60"/>
  <c r="Z402" i="60" s="1"/>
  <c r="X129" i="60"/>
  <c r="Q146" i="60"/>
  <c r="X328" i="60"/>
  <c r="X189" i="60"/>
  <c r="X293" i="60"/>
  <c r="X150" i="60"/>
  <c r="X379" i="60"/>
  <c r="X353" i="60"/>
  <c r="X41" i="60"/>
  <c r="Q48" i="60"/>
  <c r="AL368" i="60"/>
  <c r="Q111" i="60"/>
  <c r="J268" i="60"/>
  <c r="AL67" i="60"/>
  <c r="AL15" i="60"/>
  <c r="Q60" i="60"/>
  <c r="Q383" i="60"/>
  <c r="Q188" i="60"/>
  <c r="Q28" i="60"/>
  <c r="Q314" i="60"/>
  <c r="S314" i="60" s="1"/>
  <c r="AE265" i="60"/>
  <c r="AG265" i="60" s="1"/>
  <c r="Q388" i="60"/>
  <c r="Q297" i="60"/>
  <c r="AL376" i="60"/>
  <c r="X195" i="60"/>
  <c r="X156" i="60"/>
  <c r="X338" i="60"/>
  <c r="Q313" i="60"/>
  <c r="Q274" i="60"/>
  <c r="Q144" i="60"/>
  <c r="AL204" i="60"/>
  <c r="X308" i="60"/>
  <c r="X256" i="60"/>
  <c r="X295" i="60"/>
  <c r="Z295" i="60" s="1"/>
  <c r="X152" i="60"/>
  <c r="J129" i="60"/>
  <c r="J246" i="60"/>
  <c r="J305" i="60"/>
  <c r="Q163" i="60"/>
  <c r="J28" i="60"/>
  <c r="J320" i="60"/>
  <c r="Y220" i="60"/>
  <c r="Y25" i="60"/>
  <c r="R128" i="60"/>
  <c r="R180" i="60"/>
  <c r="R297" i="60"/>
  <c r="R141" i="60"/>
  <c r="Y135" i="60"/>
  <c r="Y356" i="60"/>
  <c r="R78" i="60"/>
  <c r="R260" i="60"/>
  <c r="Y328" i="60"/>
  <c r="Y42" i="60"/>
  <c r="Y315" i="60"/>
  <c r="Y209" i="60"/>
  <c r="Y131" i="60"/>
  <c r="Y381" i="60"/>
  <c r="Y186" i="60"/>
  <c r="Y403" i="60"/>
  <c r="Y221" i="60"/>
  <c r="Y78" i="60"/>
  <c r="Y104" i="60"/>
  <c r="Y388" i="60"/>
  <c r="Y206" i="60"/>
  <c r="Y115" i="60"/>
  <c r="K18" i="60"/>
  <c r="K57" i="60"/>
  <c r="K181" i="60"/>
  <c r="K246" i="60"/>
  <c r="K298" i="60"/>
  <c r="R107" i="60"/>
  <c r="R317" i="60"/>
  <c r="R369" i="60"/>
  <c r="R356" i="60"/>
  <c r="R200" i="60"/>
  <c r="K261" i="60"/>
  <c r="K326" i="60"/>
  <c r="K144" i="60"/>
  <c r="R79" i="60"/>
  <c r="R144" i="60"/>
  <c r="Y217" i="60"/>
  <c r="Y282" i="60"/>
  <c r="K217" i="60"/>
  <c r="K35" i="60"/>
  <c r="K308" i="60"/>
  <c r="R379" i="60"/>
  <c r="R340" i="60"/>
  <c r="R184" i="60"/>
  <c r="Y361" i="60"/>
  <c r="Y231" i="60"/>
  <c r="Y36" i="60"/>
  <c r="R308" i="60"/>
  <c r="K188" i="60"/>
  <c r="R33" i="60"/>
  <c r="K400" i="60"/>
  <c r="K49" i="60"/>
  <c r="R56" i="60"/>
  <c r="Y228" i="60"/>
  <c r="Y202" i="60"/>
  <c r="Y137" i="60"/>
  <c r="Y59" i="60"/>
  <c r="Y93" i="60"/>
  <c r="K333" i="60"/>
  <c r="K47" i="60"/>
  <c r="K346" i="60"/>
  <c r="K177" i="60"/>
  <c r="K98" i="60"/>
  <c r="K20" i="60"/>
  <c r="K189" i="60"/>
  <c r="K379" i="60"/>
  <c r="K262" i="60"/>
  <c r="K236" i="60"/>
  <c r="R335" i="60"/>
  <c r="R348" i="60"/>
  <c r="R216" i="60"/>
  <c r="R164" i="60"/>
  <c r="R47" i="60"/>
  <c r="AE399" i="60"/>
  <c r="AG399" i="60" s="1"/>
  <c r="AE230" i="60"/>
  <c r="AG230" i="60" s="1"/>
  <c r="AE22" i="60"/>
  <c r="AG22" i="60" s="1"/>
  <c r="J337" i="60"/>
  <c r="L337" i="60" s="1"/>
  <c r="J350" i="60"/>
  <c r="AL260" i="60"/>
  <c r="AE276" i="60"/>
  <c r="AG276" i="60" s="1"/>
  <c r="AE16" i="60"/>
  <c r="AG16" i="60" s="1"/>
  <c r="AE206" i="60"/>
  <c r="AG206" i="60" s="1"/>
  <c r="AE323" i="60"/>
  <c r="AG323" i="60" s="1"/>
  <c r="AL284" i="60"/>
  <c r="AL115" i="60"/>
  <c r="AL297" i="60"/>
  <c r="X213" i="60"/>
  <c r="Q161" i="60"/>
  <c r="Q304" i="60"/>
  <c r="Q252" i="60"/>
  <c r="Q103" i="60"/>
  <c r="Q272" i="60"/>
  <c r="S272" i="60" s="1"/>
  <c r="X284" i="60"/>
  <c r="Z284" i="60" s="1"/>
  <c r="J189" i="60"/>
  <c r="AE153" i="60"/>
  <c r="AG153" i="60" s="1"/>
  <c r="AL240" i="60"/>
  <c r="AL266" i="60"/>
  <c r="Q231" i="60"/>
  <c r="Q75" i="60"/>
  <c r="Q244" i="60"/>
  <c r="AE34" i="60"/>
  <c r="AG34" i="60" s="1"/>
  <c r="AL86" i="60"/>
  <c r="AE378" i="60"/>
  <c r="AG378" i="60" s="1"/>
  <c r="AE274" i="60"/>
  <c r="AG274" i="60" s="1"/>
  <c r="AE170" i="60"/>
  <c r="AG170" i="60" s="1"/>
  <c r="AE287" i="60"/>
  <c r="AG287" i="60" s="1"/>
  <c r="AL196" i="60"/>
  <c r="AL79" i="60"/>
  <c r="AL105" i="60"/>
  <c r="AE207" i="60"/>
  <c r="AG207" i="60" s="1"/>
  <c r="AE194" i="60"/>
  <c r="AG194" i="60" s="1"/>
  <c r="AE38" i="60"/>
  <c r="AG38" i="60" s="1"/>
  <c r="Q364" i="60"/>
  <c r="AL250" i="60"/>
  <c r="AL94" i="60"/>
  <c r="X14" i="60"/>
  <c r="Z14" i="60" s="1"/>
  <c r="J274" i="60"/>
  <c r="L274" i="60" s="1"/>
  <c r="AE72" i="60"/>
  <c r="AG72" i="60" s="1"/>
  <c r="X392" i="60"/>
  <c r="Q347" i="60"/>
  <c r="Q165" i="60"/>
  <c r="AL355" i="60"/>
  <c r="Q384" i="60"/>
  <c r="Q33" i="60"/>
  <c r="J379" i="60"/>
  <c r="J301" i="60"/>
  <c r="J145" i="60"/>
  <c r="L145" i="60" s="1"/>
  <c r="X73" i="60"/>
  <c r="J112" i="60"/>
  <c r="AL275" i="60"/>
  <c r="AL249" i="60"/>
  <c r="AL254" i="60"/>
  <c r="AL33" i="60"/>
  <c r="AL72" i="60"/>
  <c r="AL101" i="60"/>
  <c r="AL88" i="60"/>
  <c r="J361" i="60"/>
  <c r="J309" i="60"/>
  <c r="J387" i="60"/>
  <c r="AE161" i="60"/>
  <c r="AG161" i="60" s="1"/>
  <c r="AE83" i="60"/>
  <c r="AG83" i="60" s="1"/>
  <c r="AE370" i="60"/>
  <c r="AG370" i="60" s="1"/>
  <c r="AE188" i="60"/>
  <c r="AG188" i="60" s="1"/>
  <c r="Q310" i="60"/>
  <c r="AL278" i="60"/>
  <c r="AL317" i="60"/>
  <c r="J226" i="60"/>
  <c r="L226" i="60" s="1"/>
  <c r="J382" i="60"/>
  <c r="AL103" i="60"/>
  <c r="AE169" i="60"/>
  <c r="AG169" i="60" s="1"/>
  <c r="AE221" i="60"/>
  <c r="AG221" i="60" s="1"/>
  <c r="AE299" i="60"/>
  <c r="AG299" i="60" s="1"/>
  <c r="AE78" i="60"/>
  <c r="AG78" i="60" s="1"/>
  <c r="X78" i="60"/>
  <c r="Z78" i="60" s="1"/>
  <c r="AL61" i="60"/>
  <c r="X347" i="60"/>
  <c r="Y259" i="60"/>
  <c r="Y58" i="60"/>
  <c r="Y140" i="60"/>
  <c r="Y114" i="60"/>
  <c r="Y379" i="60"/>
  <c r="Y372" i="60"/>
  <c r="Y99" i="60"/>
  <c r="Y262" i="60"/>
  <c r="Y233" i="60"/>
  <c r="Y383" i="60"/>
  <c r="AL48" i="60"/>
  <c r="AL100" i="60"/>
  <c r="AL321" i="60"/>
  <c r="AE304" i="60"/>
  <c r="AG304" i="60" s="1"/>
  <c r="AE268" i="60"/>
  <c r="AG268" i="60" s="1"/>
  <c r="AE384" i="60"/>
  <c r="AG384" i="60" s="1"/>
  <c r="AE231" i="60"/>
  <c r="AG231" i="60" s="1"/>
  <c r="AE191" i="60"/>
  <c r="AG191" i="60" s="1"/>
  <c r="AL155" i="60"/>
  <c r="AL350" i="60"/>
  <c r="AL370" i="60"/>
  <c r="AL401" i="60"/>
  <c r="AL315" i="60"/>
  <c r="AL241" i="60"/>
  <c r="AL227" i="60"/>
  <c r="AL318" i="60"/>
  <c r="AL112" i="60"/>
  <c r="AL305" i="60"/>
  <c r="J401" i="60"/>
  <c r="J63" i="60"/>
  <c r="J91" i="60"/>
  <c r="J78" i="60"/>
  <c r="L78" i="60" s="1"/>
  <c r="J208" i="60"/>
  <c r="J160" i="60"/>
  <c r="L160" i="60" s="1"/>
  <c r="J173" i="60"/>
  <c r="L173" i="60" s="1"/>
  <c r="J108" i="60"/>
  <c r="K211" i="60"/>
  <c r="K354" i="60"/>
  <c r="K237" i="60"/>
  <c r="K120" i="60"/>
  <c r="K263" i="60"/>
  <c r="K146" i="60"/>
  <c r="K388" i="60"/>
  <c r="K167" i="60"/>
  <c r="K89" i="60"/>
  <c r="K180" i="60"/>
  <c r="K323" i="60"/>
  <c r="K245" i="60"/>
  <c r="K39" i="60"/>
  <c r="K182" i="60"/>
  <c r="K91" i="60"/>
  <c r="K26" i="60"/>
  <c r="K394" i="60"/>
  <c r="K199" i="60"/>
  <c r="K329" i="60"/>
  <c r="K277" i="60"/>
  <c r="K251" i="60"/>
  <c r="K238" i="60"/>
  <c r="J206" i="60"/>
  <c r="L206" i="60" s="1"/>
  <c r="J193" i="60"/>
  <c r="L193" i="60" s="1"/>
  <c r="J258" i="60"/>
  <c r="J273" i="60"/>
  <c r="J117" i="60"/>
  <c r="J325" i="60"/>
  <c r="J264" i="60"/>
  <c r="J342" i="60"/>
  <c r="J147" i="60"/>
  <c r="J289" i="60"/>
  <c r="X18" i="60"/>
  <c r="Q148" i="60"/>
  <c r="S148" i="60" s="1"/>
  <c r="Q371" i="60"/>
  <c r="Q54" i="60"/>
  <c r="Q336" i="60"/>
  <c r="Q92" i="60"/>
  <c r="S92" i="60" s="1"/>
  <c r="R50" i="60"/>
  <c r="Y70" i="60"/>
  <c r="Y63" i="60"/>
  <c r="Y24" i="60"/>
  <c r="R42" i="60"/>
  <c r="Y35" i="60"/>
  <c r="R80" i="60"/>
  <c r="K149" i="60"/>
  <c r="R202" i="60"/>
  <c r="K361" i="60"/>
  <c r="R95" i="60"/>
  <c r="K41" i="60"/>
  <c r="R125" i="60"/>
  <c r="AE126" i="60"/>
  <c r="AG126" i="60" s="1"/>
  <c r="AE87" i="60"/>
  <c r="AG87" i="60" s="1"/>
  <c r="J259" i="60"/>
  <c r="AL143" i="60"/>
  <c r="AE185" i="60"/>
  <c r="AG185" i="60" s="1"/>
  <c r="AE172" i="60"/>
  <c r="AG172" i="60" s="1"/>
  <c r="AE55" i="60"/>
  <c r="AG55" i="60" s="1"/>
  <c r="AE232" i="60"/>
  <c r="AG232" i="60" s="1"/>
  <c r="AE115" i="60"/>
  <c r="AG115" i="60" s="1"/>
  <c r="AL271" i="60"/>
  <c r="AL232" i="60"/>
  <c r="AL258" i="60"/>
  <c r="X122" i="60"/>
  <c r="X57" i="60"/>
  <c r="Z57" i="60" s="1"/>
  <c r="Q278" i="60"/>
  <c r="BF189" i="54"/>
  <c r="X180" i="60"/>
  <c r="X102" i="60"/>
  <c r="Z102" i="60" s="1"/>
  <c r="AE147" i="60"/>
  <c r="AG147" i="60" s="1"/>
  <c r="AE134" i="60"/>
  <c r="AG134" i="60" s="1"/>
  <c r="AE17" i="60"/>
  <c r="AG17" i="60" s="1"/>
  <c r="AE166" i="60"/>
  <c r="AG166" i="60" s="1"/>
  <c r="AE400" i="60"/>
  <c r="AG400" i="60" s="1"/>
  <c r="AE23" i="60"/>
  <c r="AG23" i="60" s="1"/>
  <c r="AE205" i="60"/>
  <c r="AG205" i="60" s="1"/>
  <c r="AL97" i="60"/>
  <c r="BG164" i="54"/>
  <c r="AL162" i="60"/>
  <c r="BF398" i="54"/>
  <c r="X370" i="60"/>
  <c r="AE294" i="60"/>
  <c r="AG294" i="60" s="1"/>
  <c r="AE99" i="60"/>
  <c r="AG99" i="60" s="1"/>
  <c r="AE158" i="60"/>
  <c r="AG158" i="60" s="1"/>
  <c r="AE41" i="60"/>
  <c r="AG41" i="60" s="1"/>
  <c r="AE197" i="60"/>
  <c r="AG197" i="60" s="1"/>
  <c r="BF23" i="54"/>
  <c r="AE53" i="60"/>
  <c r="AG53" i="60" s="1"/>
  <c r="J175" i="60"/>
  <c r="J279" i="60"/>
  <c r="L279" i="60" s="1"/>
  <c r="AL261" i="60"/>
  <c r="AL248" i="60"/>
  <c r="AE142" i="60"/>
  <c r="AG142" i="60" s="1"/>
  <c r="AE168" i="60"/>
  <c r="AG168" i="60" s="1"/>
  <c r="AL224" i="60"/>
  <c r="J378" i="60"/>
  <c r="J352" i="60"/>
  <c r="X350" i="60"/>
  <c r="X363" i="60"/>
  <c r="Q367" i="60"/>
  <c r="S367" i="60" s="1"/>
  <c r="X302" i="60"/>
  <c r="Z302" i="60" s="1"/>
  <c r="AE46" i="60"/>
  <c r="AG46" i="60" s="1"/>
  <c r="AL212" i="60"/>
  <c r="Q332" i="60"/>
  <c r="J353" i="60"/>
  <c r="L353" i="60" s="1"/>
  <c r="J15" i="60"/>
  <c r="X151" i="60"/>
  <c r="X21" i="60"/>
  <c r="J372" i="60"/>
  <c r="AL158" i="60"/>
  <c r="Q216" i="60"/>
  <c r="S216" i="60" s="1"/>
  <c r="Q385" i="60"/>
  <c r="S385" i="60" s="1"/>
  <c r="Q136" i="60"/>
  <c r="AL46" i="60"/>
  <c r="AL358" i="60"/>
  <c r="AL124" i="60"/>
  <c r="J179" i="60"/>
  <c r="J36" i="60"/>
  <c r="AE356" i="60"/>
  <c r="AG356" i="60" s="1"/>
  <c r="AE122" i="60"/>
  <c r="AG122" i="60" s="1"/>
  <c r="AE18" i="60"/>
  <c r="AG18" i="60" s="1"/>
  <c r="J217" i="60"/>
  <c r="L217" i="60" s="1"/>
  <c r="AE292" i="60"/>
  <c r="AG292" i="60" s="1"/>
  <c r="AE201" i="60"/>
  <c r="AG201" i="60" s="1"/>
  <c r="AE97" i="60"/>
  <c r="AG97" i="60" s="1"/>
  <c r="AL239" i="60"/>
  <c r="J187" i="60"/>
  <c r="J317" i="60"/>
  <c r="L317" i="60" s="1"/>
  <c r="AL285" i="60"/>
  <c r="AL116" i="60"/>
  <c r="AL220" i="60"/>
  <c r="AE182" i="60"/>
  <c r="AG182" i="60" s="1"/>
  <c r="AE234" i="60"/>
  <c r="AG234" i="60" s="1"/>
  <c r="AE39" i="60"/>
  <c r="AG39" i="60" s="1"/>
  <c r="AE130" i="60"/>
  <c r="AG130" i="60" s="1"/>
  <c r="X351" i="60"/>
  <c r="X247" i="60"/>
  <c r="X312" i="60"/>
  <c r="Z312" i="60" s="1"/>
  <c r="J38" i="60"/>
  <c r="L38" i="60" s="1"/>
  <c r="Q186" i="60"/>
  <c r="Q52" i="60"/>
  <c r="Q72" i="60"/>
  <c r="J86" i="60"/>
  <c r="J101" i="60"/>
  <c r="J330" i="60"/>
  <c r="L330" i="60" s="1"/>
  <c r="J200" i="60"/>
  <c r="Y194" i="60"/>
  <c r="Y116" i="60"/>
  <c r="R362" i="60"/>
  <c r="R89" i="60"/>
  <c r="Y291" i="60"/>
  <c r="Y200" i="60"/>
  <c r="Y44" i="60"/>
  <c r="R65" i="60"/>
  <c r="R286" i="60"/>
  <c r="R234" i="60"/>
  <c r="Y172" i="60"/>
  <c r="Y289" i="60"/>
  <c r="Y274" i="60"/>
  <c r="Y331" i="60"/>
  <c r="Y305" i="60"/>
  <c r="Y121" i="60"/>
  <c r="Y43" i="60"/>
  <c r="Y377" i="60"/>
  <c r="Y390" i="60"/>
  <c r="Y52" i="60"/>
  <c r="Y258" i="60"/>
  <c r="Z258" i="60" s="1"/>
  <c r="Y232" i="60"/>
  <c r="Y349" i="60"/>
  <c r="Y297" i="60"/>
  <c r="K343" i="60"/>
  <c r="K109" i="60"/>
  <c r="K278" i="60"/>
  <c r="R194" i="60"/>
  <c r="K51" i="60"/>
  <c r="K103" i="60"/>
  <c r="R94" i="60"/>
  <c r="R315" i="60"/>
  <c r="R263" i="60"/>
  <c r="R187" i="60"/>
  <c r="R31" i="60"/>
  <c r="R122" i="60"/>
  <c r="R70" i="60"/>
  <c r="K313" i="60"/>
  <c r="K183" i="60"/>
  <c r="K170" i="60"/>
  <c r="R287" i="60"/>
  <c r="R14" i="60"/>
  <c r="Y373" i="60"/>
  <c r="Y360" i="60"/>
  <c r="Y22" i="60"/>
  <c r="K347" i="60"/>
  <c r="K165" i="60"/>
  <c r="K334" i="60"/>
  <c r="R97" i="60"/>
  <c r="R45" i="60"/>
  <c r="R292" i="60"/>
  <c r="R136" i="60"/>
  <c r="R54" i="60"/>
  <c r="Y62" i="60"/>
  <c r="Y23" i="60"/>
  <c r="R360" i="60"/>
  <c r="R22" i="60"/>
  <c r="K370" i="60"/>
  <c r="K305" i="60"/>
  <c r="K162" i="60"/>
  <c r="K175" i="60"/>
  <c r="R124" i="60"/>
  <c r="R280" i="60"/>
  <c r="R163" i="60"/>
  <c r="K387" i="60"/>
  <c r="K166" i="60"/>
  <c r="R342" i="60"/>
  <c r="R225" i="60"/>
  <c r="Y358" i="60"/>
  <c r="Y72" i="60"/>
  <c r="Y241" i="60"/>
  <c r="Y163" i="60"/>
  <c r="Y223" i="60"/>
  <c r="Y41" i="60"/>
  <c r="K203" i="60"/>
  <c r="K46" i="60"/>
  <c r="K215" i="60"/>
  <c r="K106" i="60"/>
  <c r="K223" i="60"/>
  <c r="R49" i="60"/>
  <c r="R101" i="60"/>
  <c r="R281" i="60"/>
  <c r="Y242" i="60"/>
  <c r="Y34" i="60"/>
  <c r="AE35" i="60"/>
  <c r="AG35" i="60" s="1"/>
  <c r="AL390" i="60"/>
  <c r="AL351" i="60"/>
  <c r="AE198" i="60"/>
  <c r="AG198" i="60" s="1"/>
  <c r="AE393" i="60"/>
  <c r="AG393" i="60" s="1"/>
  <c r="AE159" i="60"/>
  <c r="AG159" i="60" s="1"/>
  <c r="AE128" i="60"/>
  <c r="AG128" i="60" s="1"/>
  <c r="AE401" i="60"/>
  <c r="AG401" i="60" s="1"/>
  <c r="AE63" i="60"/>
  <c r="AG63" i="60" s="1"/>
  <c r="AE89" i="60"/>
  <c r="AG89" i="60" s="1"/>
  <c r="AL206" i="60"/>
  <c r="X304" i="60"/>
  <c r="Z304" i="60" s="1"/>
  <c r="X161" i="60"/>
  <c r="Q174" i="60"/>
  <c r="Q96" i="60"/>
  <c r="Q363" i="60"/>
  <c r="Q324" i="60"/>
  <c r="Q38" i="60"/>
  <c r="X297" i="60"/>
  <c r="X115" i="60"/>
  <c r="Z115" i="60" s="1"/>
  <c r="AE316" i="60"/>
  <c r="AG316" i="60" s="1"/>
  <c r="AE290" i="60"/>
  <c r="AG290" i="60" s="1"/>
  <c r="AE212" i="60"/>
  <c r="AG212" i="60" s="1"/>
  <c r="AE69" i="60"/>
  <c r="AG69" i="60" s="1"/>
  <c r="AE270" i="60"/>
  <c r="AG270" i="60" s="1"/>
  <c r="AE192" i="60"/>
  <c r="AG192" i="60" s="1"/>
  <c r="AE36" i="60"/>
  <c r="AG36" i="60" s="1"/>
  <c r="AE127" i="60"/>
  <c r="AG127" i="60" s="1"/>
  <c r="AL253" i="60"/>
  <c r="X305" i="60"/>
  <c r="Q199" i="60"/>
  <c r="Q218" i="60"/>
  <c r="AE138" i="60"/>
  <c r="AG138" i="60" s="1"/>
  <c r="AE281" i="60"/>
  <c r="AG281" i="60" s="1"/>
  <c r="AE54" i="60"/>
  <c r="AG54" i="60" s="1"/>
  <c r="AE67" i="60"/>
  <c r="AG67" i="60" s="1"/>
  <c r="X101" i="60"/>
  <c r="AE261" i="60"/>
  <c r="AG261" i="60" s="1"/>
  <c r="AE157" i="60"/>
  <c r="AG157" i="60" s="1"/>
  <c r="AE79" i="60"/>
  <c r="AG79" i="60" s="1"/>
  <c r="J19" i="60"/>
  <c r="AL118" i="60"/>
  <c r="AE298" i="60"/>
  <c r="AG298" i="60" s="1"/>
  <c r="AE25" i="60"/>
  <c r="AG25" i="60" s="1"/>
  <c r="AE129" i="60"/>
  <c r="AG129" i="60" s="1"/>
  <c r="AL367" i="60"/>
  <c r="AL211" i="60"/>
  <c r="X209" i="60"/>
  <c r="Z209" i="60" s="1"/>
  <c r="X53" i="60"/>
  <c r="X259" i="60"/>
  <c r="Z259" i="60" s="1"/>
  <c r="AE241" i="60"/>
  <c r="AG241" i="60" s="1"/>
  <c r="AE150" i="60"/>
  <c r="AG150" i="60" s="1"/>
  <c r="AE111" i="60"/>
  <c r="AG111" i="60" s="1"/>
  <c r="Q22" i="60"/>
  <c r="AL121" i="60"/>
  <c r="AL303" i="60"/>
  <c r="Q228" i="60"/>
  <c r="S228" i="60" s="1"/>
  <c r="Q215" i="60"/>
  <c r="J275" i="60"/>
  <c r="L275" i="60" s="1"/>
  <c r="X99" i="60"/>
  <c r="Z99" i="60" s="1"/>
  <c r="X34" i="60"/>
  <c r="J307" i="60"/>
  <c r="J203" i="60"/>
  <c r="L203" i="60" s="1"/>
  <c r="AL353" i="60"/>
  <c r="Q396" i="60"/>
  <c r="S396" i="60" s="1"/>
  <c r="Q275" i="60"/>
  <c r="AL400" i="60"/>
  <c r="J374" i="60"/>
  <c r="L374" i="60" s="1"/>
  <c r="AE226" i="60"/>
  <c r="AG226" i="60" s="1"/>
  <c r="AE109" i="60"/>
  <c r="AG109" i="60" s="1"/>
  <c r="J321" i="60"/>
  <c r="AE162" i="60"/>
  <c r="AG162" i="60" s="1"/>
  <c r="AE149" i="60"/>
  <c r="AG149" i="60" s="1"/>
  <c r="Q50" i="60"/>
  <c r="S50" i="60" s="1"/>
  <c r="Q63" i="60"/>
  <c r="AL252" i="60"/>
  <c r="AE364" i="60"/>
  <c r="AG364" i="60" s="1"/>
  <c r="AE156" i="60"/>
  <c r="AG156" i="60" s="1"/>
  <c r="AE52" i="60"/>
  <c r="AG52" i="60" s="1"/>
  <c r="AE65" i="60"/>
  <c r="AG65" i="60" s="1"/>
  <c r="X39" i="60"/>
  <c r="Z39" i="60" s="1"/>
  <c r="Q14" i="60"/>
  <c r="S14" i="60" s="1"/>
  <c r="AL269" i="60"/>
  <c r="AL399" i="60"/>
  <c r="Y51" i="60"/>
  <c r="Y95" i="60"/>
  <c r="Y173" i="60"/>
  <c r="Q166" i="60"/>
  <c r="Q280" i="60"/>
  <c r="Q115" i="60"/>
  <c r="S115" i="60" s="1"/>
  <c r="R206" i="60"/>
  <c r="Y31" i="60"/>
  <c r="K122" i="60"/>
  <c r="R155" i="60"/>
  <c r="R57" i="60"/>
  <c r="Y74" i="60"/>
  <c r="K321" i="60"/>
  <c r="R110" i="60"/>
  <c r="R275" i="60"/>
  <c r="K201" i="60"/>
  <c r="K357" i="60"/>
  <c r="R20" i="60"/>
  <c r="R121" i="60"/>
  <c r="K34" i="60"/>
  <c r="K86" i="60"/>
  <c r="K111" i="60"/>
  <c r="R140" i="60"/>
  <c r="R151" i="60"/>
  <c r="J376" i="60"/>
  <c r="AE133" i="60"/>
  <c r="AG133" i="60" s="1"/>
  <c r="AE289" i="60"/>
  <c r="AG289" i="60" s="1"/>
  <c r="AE68" i="60"/>
  <c r="AG68" i="60" s="1"/>
  <c r="AE245" i="60"/>
  <c r="AG245" i="60" s="1"/>
  <c r="AE141" i="60"/>
  <c r="AG141" i="60" s="1"/>
  <c r="AE154" i="60"/>
  <c r="AG154" i="60" s="1"/>
  <c r="AL102" i="60"/>
  <c r="AL76" i="60"/>
  <c r="AL167" i="60"/>
  <c r="Q369" i="60"/>
  <c r="S369" i="60" s="1"/>
  <c r="Q129" i="60"/>
  <c r="AE95" i="60"/>
  <c r="AG95" i="60" s="1"/>
  <c r="AE82" i="60"/>
  <c r="AG82" i="60" s="1"/>
  <c r="AE140" i="60"/>
  <c r="AG140" i="60" s="1"/>
  <c r="Q251" i="60"/>
  <c r="Q179" i="60"/>
  <c r="S179" i="60" s="1"/>
  <c r="Q309" i="60"/>
  <c r="AE177" i="60"/>
  <c r="AG177" i="60" s="1"/>
  <c r="AE223" i="60"/>
  <c r="AG223" i="60" s="1"/>
  <c r="AE28" i="60"/>
  <c r="AG28" i="60" s="1"/>
  <c r="AL138" i="60"/>
  <c r="AL307" i="60"/>
  <c r="AL99" i="60"/>
  <c r="AE352" i="60"/>
  <c r="AG352" i="60" s="1"/>
  <c r="AE339" i="60"/>
  <c r="AG339" i="60" s="1"/>
  <c r="AE66" i="60"/>
  <c r="AG66" i="60" s="1"/>
  <c r="AL313" i="60"/>
  <c r="AL222" i="60"/>
  <c r="AL40" i="60"/>
  <c r="AL235" i="60"/>
  <c r="AE103" i="60"/>
  <c r="AG103" i="60" s="1"/>
  <c r="Q195" i="60"/>
  <c r="AL198" i="60"/>
  <c r="AL172" i="60"/>
  <c r="X365" i="60"/>
  <c r="Z365" i="60" s="1"/>
  <c r="X90" i="60"/>
  <c r="Z90" i="60" s="1"/>
  <c r="X207" i="60"/>
  <c r="X25" i="60"/>
  <c r="Z25" i="60" s="1"/>
  <c r="X20" i="60"/>
  <c r="Z20" i="60" s="1"/>
  <c r="AE280" i="60"/>
  <c r="AG280" i="60" s="1"/>
  <c r="AE33" i="60"/>
  <c r="AG33" i="60" s="1"/>
  <c r="X327" i="60"/>
  <c r="AL264" i="60"/>
  <c r="AL108" i="60"/>
  <c r="J392" i="60"/>
  <c r="L392" i="60" s="1"/>
  <c r="J125" i="60"/>
  <c r="J359" i="60"/>
  <c r="L359" i="60" s="1"/>
  <c r="AL392" i="60"/>
  <c r="AL223" i="60"/>
  <c r="Q164" i="60"/>
  <c r="S164" i="60" s="1"/>
  <c r="Q58" i="60"/>
  <c r="S58" i="60" s="1"/>
  <c r="AL59" i="60"/>
  <c r="AL280" i="60"/>
  <c r="Q340" i="60"/>
  <c r="S340" i="60" s="1"/>
  <c r="AL127" i="60"/>
  <c r="AL153" i="60"/>
  <c r="J127" i="60"/>
  <c r="AE174" i="60"/>
  <c r="AG174" i="60" s="1"/>
  <c r="AE57" i="60"/>
  <c r="AG57" i="60" s="1"/>
  <c r="J230" i="60"/>
  <c r="AE84" i="60"/>
  <c r="AG84" i="60" s="1"/>
  <c r="AL330" i="60"/>
  <c r="AL395" i="60"/>
  <c r="J161" i="60"/>
  <c r="L161" i="60" s="1"/>
  <c r="J356" i="60"/>
  <c r="J44" i="60"/>
  <c r="AE338" i="60"/>
  <c r="AG338" i="60" s="1"/>
  <c r="AE247" i="60"/>
  <c r="AG247" i="60" s="1"/>
  <c r="X273" i="60"/>
  <c r="Q196" i="60"/>
  <c r="Q378" i="60"/>
  <c r="AL217" i="60"/>
  <c r="AL256" i="60"/>
  <c r="AL35" i="60"/>
  <c r="Y363" i="60"/>
  <c r="Y329" i="60"/>
  <c r="Y296" i="60"/>
  <c r="Y80" i="60"/>
  <c r="Y158" i="60"/>
  <c r="Y281" i="60"/>
  <c r="Q31" i="60"/>
  <c r="J124" i="60"/>
  <c r="Q107" i="60"/>
  <c r="S107" i="60" s="1"/>
  <c r="Q34" i="60"/>
  <c r="Q201" i="60"/>
  <c r="Q145" i="60"/>
  <c r="J191" i="60"/>
  <c r="J148" i="60"/>
  <c r="L148" i="60" s="1"/>
  <c r="Q300" i="60"/>
  <c r="Y369" i="60"/>
  <c r="R247" i="60"/>
  <c r="Y341" i="60"/>
  <c r="Y66" i="60"/>
  <c r="Y27" i="60"/>
  <c r="Y123" i="60"/>
  <c r="R129" i="60"/>
  <c r="R224" i="60"/>
  <c r="K126" i="60"/>
  <c r="R331" i="60"/>
  <c r="R279" i="60"/>
  <c r="R84" i="60"/>
  <c r="R371" i="60"/>
  <c r="R394" i="60"/>
  <c r="R303" i="60"/>
  <c r="K15" i="60"/>
  <c r="AL182" i="60"/>
  <c r="AL180" i="60"/>
  <c r="X109" i="60"/>
  <c r="Z109" i="60" s="1"/>
  <c r="X63" i="60"/>
  <c r="Z63" i="60" s="1"/>
  <c r="X141" i="60"/>
  <c r="X30" i="60"/>
  <c r="Z30" i="60" s="1"/>
  <c r="X43" i="60"/>
  <c r="Z43" i="60" s="1"/>
  <c r="AE374" i="60"/>
  <c r="AG374" i="60" s="1"/>
  <c r="X188" i="60"/>
  <c r="X227" i="60"/>
  <c r="X32" i="60"/>
  <c r="Q43" i="60"/>
  <c r="S43" i="60" s="1"/>
  <c r="Q238" i="60"/>
  <c r="S238" i="60" s="1"/>
  <c r="AE366" i="60"/>
  <c r="AG366" i="60" s="1"/>
  <c r="X296" i="60"/>
  <c r="X335" i="60"/>
  <c r="X23" i="60"/>
  <c r="Q286" i="60"/>
  <c r="S286" i="60" s="1"/>
  <c r="Q91" i="60"/>
  <c r="X298" i="60"/>
  <c r="X220" i="60"/>
  <c r="Z220" i="60" s="1"/>
  <c r="X38" i="60"/>
  <c r="Z38" i="60" s="1"/>
  <c r="Q341" i="60"/>
  <c r="S341" i="60" s="1"/>
  <c r="Q302" i="60"/>
  <c r="X107" i="60"/>
  <c r="X120" i="60"/>
  <c r="Z120" i="60" s="1"/>
  <c r="X137" i="60"/>
  <c r="Z137" i="60" s="1"/>
  <c r="X332" i="60"/>
  <c r="X46" i="60"/>
  <c r="X202" i="60"/>
  <c r="Z202" i="60" s="1"/>
  <c r="X197" i="60"/>
  <c r="X67" i="60"/>
  <c r="Q113" i="60"/>
  <c r="S113" i="60" s="1"/>
  <c r="AL43" i="60"/>
  <c r="Q176" i="60"/>
  <c r="S176" i="60" s="1"/>
  <c r="X229" i="60"/>
  <c r="J138" i="60"/>
  <c r="AL28" i="60"/>
  <c r="Q255" i="60"/>
  <c r="Q175" i="60"/>
  <c r="Q344" i="60"/>
  <c r="Q266" i="60"/>
  <c r="Q327" i="60"/>
  <c r="AE331" i="60"/>
  <c r="AG331" i="60" s="1"/>
  <c r="Q141" i="60"/>
  <c r="S141" i="60" s="1"/>
  <c r="Q154" i="60"/>
  <c r="AL77" i="60"/>
  <c r="X117" i="60"/>
  <c r="X403" i="60"/>
  <c r="Z403" i="60" s="1"/>
  <c r="X26" i="60"/>
  <c r="Z26" i="60" s="1"/>
  <c r="Q209" i="60"/>
  <c r="Q170" i="60"/>
  <c r="AL178" i="60"/>
  <c r="X373" i="60"/>
  <c r="Z373" i="60" s="1"/>
  <c r="X399" i="60"/>
  <c r="Y288" i="60"/>
  <c r="Y292" i="60"/>
  <c r="Q365" i="60"/>
  <c r="Q248" i="60"/>
  <c r="X191" i="60"/>
  <c r="Y236" i="60"/>
  <c r="Y229" i="60"/>
  <c r="Y307" i="60"/>
  <c r="Y387" i="60"/>
  <c r="Y359" i="60"/>
  <c r="AE361" i="60"/>
  <c r="AG361" i="60" s="1"/>
  <c r="AE171" i="60"/>
  <c r="AG171" i="60" s="1"/>
  <c r="AL387" i="60"/>
  <c r="AL361" i="60"/>
  <c r="AL229" i="60"/>
  <c r="BG138" i="54"/>
  <c r="AL136" i="60"/>
  <c r="AL251" i="60"/>
  <c r="J180" i="60"/>
  <c r="L180" i="60" s="1"/>
  <c r="J154" i="60"/>
  <c r="J128" i="60"/>
  <c r="J284" i="60"/>
  <c r="J30" i="60"/>
  <c r="J134" i="60"/>
  <c r="L134" i="60" s="1"/>
  <c r="J224" i="60"/>
  <c r="J42" i="60"/>
  <c r="L42" i="60" s="1"/>
  <c r="J276" i="60"/>
  <c r="K328" i="60"/>
  <c r="K276" i="60"/>
  <c r="K68" i="60"/>
  <c r="K24" i="60"/>
  <c r="K336" i="60"/>
  <c r="K154" i="60"/>
  <c r="K115" i="60"/>
  <c r="K377" i="60"/>
  <c r="K247" i="60"/>
  <c r="K65" i="60"/>
  <c r="K325" i="60"/>
  <c r="K234" i="60"/>
  <c r="K260" i="60"/>
  <c r="K69" i="60"/>
  <c r="K82" i="60"/>
  <c r="K108" i="60"/>
  <c r="K30" i="60"/>
  <c r="K56" i="60"/>
  <c r="J336" i="60"/>
  <c r="J37" i="60"/>
  <c r="J271" i="60"/>
  <c r="L271" i="60" s="1"/>
  <c r="J169" i="60"/>
  <c r="L169" i="60" s="1"/>
  <c r="J251" i="60"/>
  <c r="L251" i="60" s="1"/>
  <c r="J69" i="60"/>
  <c r="J303" i="60"/>
  <c r="L303" i="60" s="1"/>
  <c r="J29" i="60"/>
  <c r="J250" i="60"/>
  <c r="J363" i="60"/>
  <c r="L363" i="60" s="1"/>
  <c r="J20" i="60"/>
  <c r="L20" i="60" s="1"/>
  <c r="J66" i="60"/>
  <c r="X285" i="60"/>
  <c r="Z285" i="60" s="1"/>
  <c r="J73" i="60"/>
  <c r="J190" i="60"/>
  <c r="Q97" i="60"/>
  <c r="S97" i="60" s="1"/>
  <c r="J335" i="60"/>
  <c r="J218" i="60"/>
  <c r="J22" i="60"/>
  <c r="J256" i="60"/>
  <c r="L256" i="60" s="1"/>
  <c r="J83" i="60"/>
  <c r="Y181" i="60"/>
  <c r="Y350" i="60"/>
  <c r="R76" i="60"/>
  <c r="R193" i="60"/>
  <c r="Y96" i="60"/>
  <c r="Y278" i="60"/>
  <c r="R312" i="60"/>
  <c r="R156" i="60"/>
  <c r="Y224" i="60"/>
  <c r="Y263" i="60"/>
  <c r="Y105" i="60"/>
  <c r="Y170" i="60"/>
  <c r="Y316" i="60"/>
  <c r="Y134" i="60"/>
  <c r="Y273" i="60"/>
  <c r="Y351" i="60"/>
  <c r="Y208" i="60"/>
  <c r="Y336" i="60"/>
  <c r="Y167" i="60"/>
  <c r="Y37" i="60"/>
  <c r="K31" i="60"/>
  <c r="K304" i="60"/>
  <c r="R220" i="60"/>
  <c r="R25" i="60"/>
  <c r="K402" i="60"/>
  <c r="K77" i="60"/>
  <c r="R16" i="60"/>
  <c r="R289" i="60"/>
  <c r="R265" i="60"/>
  <c r="R252" i="60"/>
  <c r="R96" i="60"/>
  <c r="K157" i="60"/>
  <c r="K222" i="60"/>
  <c r="R365" i="60"/>
  <c r="Y139" i="60"/>
  <c r="Y113" i="60"/>
  <c r="Y152" i="60"/>
  <c r="Y204" i="60"/>
  <c r="K113" i="60"/>
  <c r="K204" i="60"/>
  <c r="K22" i="60"/>
  <c r="R227" i="60"/>
  <c r="R318" i="60"/>
  <c r="R392" i="60"/>
  <c r="R327" i="60"/>
  <c r="R236" i="60"/>
  <c r="R366" i="60"/>
  <c r="Y257" i="60"/>
  <c r="Y127" i="60"/>
  <c r="R373" i="60"/>
  <c r="R204" i="60"/>
  <c r="K19" i="60"/>
  <c r="R384" i="60"/>
  <c r="R111" i="60"/>
  <c r="K231" i="60"/>
  <c r="R355" i="60"/>
  <c r="R108" i="60"/>
  <c r="R199" i="60"/>
  <c r="Y124" i="60"/>
  <c r="Y98" i="60"/>
  <c r="Y384" i="60"/>
  <c r="Y327" i="60"/>
  <c r="K229" i="60"/>
  <c r="K307" i="60"/>
  <c r="K242" i="60"/>
  <c r="K267" i="60"/>
  <c r="K288" i="60"/>
  <c r="K158" i="60"/>
  <c r="K28" i="60"/>
  <c r="R166" i="60"/>
  <c r="R112" i="60"/>
  <c r="R307" i="60"/>
  <c r="Y385" i="60"/>
  <c r="Y86" i="60"/>
  <c r="AL208" i="60"/>
  <c r="AL52" i="60"/>
  <c r="AE375" i="60"/>
  <c r="AG375" i="60" s="1"/>
  <c r="X174" i="60"/>
  <c r="Q187" i="60"/>
  <c r="S187" i="60" s="1"/>
  <c r="Q343" i="60"/>
  <c r="S343" i="60" s="1"/>
  <c r="X37" i="60"/>
  <c r="X355" i="60"/>
  <c r="J254" i="60"/>
  <c r="AL58" i="60"/>
  <c r="X58" i="60"/>
  <c r="Z58" i="60" s="1"/>
  <c r="X136" i="60"/>
  <c r="Z136" i="60" s="1"/>
  <c r="X396" i="60"/>
  <c r="Z396" i="60" s="1"/>
  <c r="Q368" i="60"/>
  <c r="Q121" i="60"/>
  <c r="Q400" i="60"/>
  <c r="S400" i="60" s="1"/>
  <c r="Q36" i="60"/>
  <c r="AL21" i="60"/>
  <c r="X218" i="60"/>
  <c r="Z218" i="60" s="1"/>
  <c r="X270" i="60"/>
  <c r="Q182" i="60"/>
  <c r="AL16" i="60"/>
  <c r="X131" i="60"/>
  <c r="Z131" i="60" s="1"/>
  <c r="X311" i="60"/>
  <c r="Q29" i="60"/>
  <c r="S29" i="60" s="1"/>
  <c r="Q198" i="60"/>
  <c r="S198" i="60" s="1"/>
  <c r="X393" i="60"/>
  <c r="Z393" i="60" s="1"/>
  <c r="X146" i="60"/>
  <c r="Z146" i="60" s="1"/>
  <c r="X319" i="60"/>
  <c r="Z319" i="60" s="1"/>
  <c r="AE371" i="60"/>
  <c r="AG371" i="60" s="1"/>
  <c r="X54" i="60"/>
  <c r="X366" i="60"/>
  <c r="X93" i="60"/>
  <c r="Z93" i="60" s="1"/>
  <c r="Q152" i="60"/>
  <c r="S152" i="60" s="1"/>
  <c r="Q100" i="60"/>
  <c r="S100" i="60" s="1"/>
  <c r="Q308" i="60"/>
  <c r="S308" i="60" s="1"/>
  <c r="AL56" i="60"/>
  <c r="Q46" i="60"/>
  <c r="X294" i="60"/>
  <c r="Z294" i="60" s="1"/>
  <c r="X47" i="60"/>
  <c r="Z47" i="60" s="1"/>
  <c r="Q47" i="60"/>
  <c r="S47" i="60" s="1"/>
  <c r="Q331" i="60"/>
  <c r="Q292" i="60"/>
  <c r="S292" i="60" s="1"/>
  <c r="Q149" i="60"/>
  <c r="Q301" i="60"/>
  <c r="AL75" i="60"/>
  <c r="AL36" i="60"/>
  <c r="Q102" i="60"/>
  <c r="AL174" i="60"/>
  <c r="J142" i="60"/>
  <c r="Q90" i="60"/>
  <c r="Q257" i="60"/>
  <c r="Q16" i="60"/>
  <c r="Q318" i="60"/>
  <c r="Q183" i="60"/>
  <c r="Y92" i="60"/>
  <c r="R77" i="60"/>
  <c r="K64" i="60"/>
  <c r="K179" i="60"/>
  <c r="R147" i="60"/>
  <c r="K67" i="60"/>
  <c r="R387" i="60"/>
  <c r="AE321" i="60"/>
  <c r="AG321" i="60" s="1"/>
  <c r="AE269" i="60"/>
  <c r="AG269" i="60" s="1"/>
  <c r="J272" i="60"/>
  <c r="AL78" i="60"/>
  <c r="AL24" i="60"/>
  <c r="AL63" i="60"/>
  <c r="X148" i="60"/>
  <c r="X135" i="60"/>
  <c r="Z135" i="60" s="1"/>
  <c r="X76" i="60"/>
  <c r="Z76" i="60" s="1"/>
  <c r="X251" i="60"/>
  <c r="Z251" i="60" s="1"/>
  <c r="X95" i="60"/>
  <c r="Z95" i="60" s="1"/>
  <c r="X147" i="60"/>
  <c r="Z147" i="60" s="1"/>
  <c r="X212" i="60"/>
  <c r="Z212" i="60" s="1"/>
  <c r="AL71" i="60"/>
  <c r="AL32" i="60"/>
  <c r="X240" i="60"/>
  <c r="X331" i="60"/>
  <c r="Z331" i="60" s="1"/>
  <c r="Q82" i="60"/>
  <c r="S82" i="60" s="1"/>
  <c r="Q290" i="60"/>
  <c r="Q62" i="60"/>
  <c r="S62" i="60" s="1"/>
  <c r="AL190" i="60"/>
  <c r="AL73" i="60"/>
  <c r="X49" i="60"/>
  <c r="X400" i="60"/>
  <c r="X114" i="60"/>
  <c r="Z114" i="60" s="1"/>
  <c r="AL170" i="60"/>
  <c r="Q312" i="60"/>
  <c r="Q377" i="60"/>
  <c r="X40" i="60"/>
  <c r="Z40" i="60" s="1"/>
  <c r="X142" i="60"/>
  <c r="Q328" i="60"/>
  <c r="Q172" i="60"/>
  <c r="S172" i="60" s="1"/>
  <c r="X289" i="60"/>
  <c r="Z289" i="60" s="1"/>
  <c r="X198" i="60"/>
  <c r="X237" i="60"/>
  <c r="X98" i="60"/>
  <c r="Z98" i="60" s="1"/>
  <c r="X314" i="60"/>
  <c r="X132" i="60"/>
  <c r="Q74" i="60"/>
  <c r="Q202" i="60"/>
  <c r="S202" i="60" s="1"/>
  <c r="X307" i="60"/>
  <c r="Z307" i="60" s="1"/>
  <c r="X60" i="60"/>
  <c r="Z60" i="60" s="1"/>
  <c r="AL54" i="60"/>
  <c r="Q73" i="60"/>
  <c r="Q236" i="60"/>
  <c r="Q80" i="60"/>
  <c r="S80" i="60" s="1"/>
  <c r="J244" i="60"/>
  <c r="L244" i="60" s="1"/>
  <c r="AL44" i="60"/>
  <c r="AL200" i="60"/>
  <c r="AL194" i="60"/>
  <c r="AL64" i="60"/>
  <c r="X364" i="60"/>
  <c r="X325" i="60"/>
  <c r="Q339" i="60"/>
  <c r="AL74" i="60"/>
  <c r="X61" i="60"/>
  <c r="Z61" i="60" s="1"/>
  <c r="X126" i="60"/>
  <c r="X22" i="60"/>
  <c r="Z22" i="60" s="1"/>
  <c r="J116" i="60"/>
  <c r="L116" i="60" s="1"/>
  <c r="Q394" i="60"/>
  <c r="S394" i="60" s="1"/>
  <c r="Q260" i="60"/>
  <c r="S260" i="60" s="1"/>
  <c r="J262" i="60"/>
  <c r="L262" i="60" s="1"/>
  <c r="J210" i="60"/>
  <c r="J34" i="60"/>
  <c r="L34" i="60" s="1"/>
  <c r="Q21" i="60"/>
  <c r="Q110" i="60"/>
  <c r="S110" i="60" s="1"/>
  <c r="J166" i="60"/>
  <c r="L166" i="60" s="1"/>
  <c r="J308" i="60"/>
  <c r="L308" i="60" s="1"/>
  <c r="J152" i="60"/>
  <c r="J304" i="60"/>
  <c r="Y142" i="60"/>
  <c r="R284" i="60"/>
  <c r="R63" i="60"/>
  <c r="R245" i="60"/>
  <c r="Y395" i="60"/>
  <c r="Y18" i="60"/>
  <c r="Y174" i="60"/>
  <c r="R104" i="60"/>
  <c r="Y354" i="60"/>
  <c r="Y185" i="60"/>
  <c r="Y133" i="60"/>
  <c r="Y313" i="60"/>
  <c r="Y227" i="60"/>
  <c r="Y201" i="60"/>
  <c r="Y225" i="60"/>
  <c r="Y17" i="60"/>
  <c r="Y325" i="60"/>
  <c r="Y156" i="60"/>
  <c r="Y338" i="60"/>
  <c r="Y154" i="60"/>
  <c r="Y128" i="60"/>
  <c r="Y271" i="60"/>
  <c r="K187" i="60"/>
  <c r="K356" i="60"/>
  <c r="K174" i="60"/>
  <c r="K96" i="60"/>
  <c r="R38" i="60"/>
  <c r="R90" i="60"/>
  <c r="K311" i="60"/>
  <c r="R159" i="60"/>
  <c r="R83" i="60"/>
  <c r="R18" i="60"/>
  <c r="K339" i="60"/>
  <c r="K79" i="60"/>
  <c r="K248" i="60"/>
  <c r="R183" i="60"/>
  <c r="Y347" i="60"/>
  <c r="Y126" i="60"/>
  <c r="K139" i="60"/>
  <c r="K61" i="60"/>
  <c r="K230" i="60"/>
  <c r="R370" i="60"/>
  <c r="R188" i="60"/>
  <c r="R32" i="60"/>
  <c r="R197" i="60"/>
  <c r="R41" i="60"/>
  <c r="R288" i="60"/>
  <c r="Y374" i="60"/>
  <c r="R295" i="60"/>
  <c r="R74" i="60"/>
  <c r="K318" i="60"/>
  <c r="K292" i="60"/>
  <c r="K227" i="60"/>
  <c r="K396" i="60"/>
  <c r="R46" i="60"/>
  <c r="R137" i="60"/>
  <c r="R319" i="60"/>
  <c r="K36" i="60"/>
  <c r="K192" i="60"/>
  <c r="K101" i="60"/>
  <c r="Y332" i="60"/>
  <c r="Y306" i="60"/>
  <c r="Y215" i="60"/>
  <c r="Y293" i="60"/>
  <c r="Y171" i="60"/>
  <c r="K372" i="60"/>
  <c r="K151" i="60"/>
  <c r="K137" i="60"/>
  <c r="K176" i="60"/>
  <c r="K80" i="60"/>
  <c r="K249" i="60"/>
  <c r="R23" i="60"/>
  <c r="R75" i="60"/>
  <c r="R242" i="60"/>
  <c r="R99" i="60"/>
  <c r="Y151" i="60"/>
  <c r="Y190" i="60"/>
  <c r="Y21" i="60"/>
  <c r="AE165" i="60"/>
  <c r="AG165" i="60" s="1"/>
  <c r="AE217" i="60"/>
  <c r="AG217" i="60" s="1"/>
  <c r="AE243" i="60"/>
  <c r="AG243" i="60" s="1"/>
  <c r="AL26" i="60"/>
  <c r="AE271" i="60"/>
  <c r="AG271" i="60" s="1"/>
  <c r="X356" i="60"/>
  <c r="Z356" i="60" s="1"/>
  <c r="X200" i="60"/>
  <c r="Z200" i="60" s="1"/>
  <c r="X252" i="60"/>
  <c r="Z252" i="60" s="1"/>
  <c r="X271" i="60"/>
  <c r="X336" i="60"/>
  <c r="X17" i="60"/>
  <c r="X56" i="60"/>
  <c r="AE335" i="60"/>
  <c r="AG335" i="60" s="1"/>
  <c r="AL188" i="60"/>
  <c r="X162" i="60"/>
  <c r="X19" i="60"/>
  <c r="Q212" i="60"/>
  <c r="X62" i="60"/>
  <c r="Z62" i="60" s="1"/>
  <c r="X244" i="60"/>
  <c r="X192" i="60"/>
  <c r="AE313" i="60"/>
  <c r="AG313" i="60" s="1"/>
  <c r="Q169" i="60"/>
  <c r="Q208" i="60"/>
  <c r="AL55" i="60"/>
  <c r="X287" i="60"/>
  <c r="X118" i="60"/>
  <c r="Z118" i="60" s="1"/>
  <c r="X168" i="60"/>
  <c r="Q289" i="60"/>
  <c r="S289" i="60" s="1"/>
  <c r="Q42" i="60"/>
  <c r="S42" i="60" s="1"/>
  <c r="X133" i="60"/>
  <c r="X94" i="60"/>
  <c r="Z94" i="60" s="1"/>
  <c r="X42" i="60"/>
  <c r="Z42" i="60" s="1"/>
  <c r="X267" i="60"/>
  <c r="X111" i="60"/>
  <c r="X119" i="60"/>
  <c r="Z119" i="60" s="1"/>
  <c r="X275" i="60"/>
  <c r="X15" i="60"/>
  <c r="Q386" i="60"/>
  <c r="Q256" i="60"/>
  <c r="S256" i="60" s="1"/>
  <c r="Q360" i="60"/>
  <c r="S360" i="60" s="1"/>
  <c r="AL30" i="60"/>
  <c r="AL186" i="60"/>
  <c r="Q306" i="60"/>
  <c r="Q20" i="60"/>
  <c r="S20" i="60" s="1"/>
  <c r="X216" i="60"/>
  <c r="Z216" i="60" s="1"/>
  <c r="X281" i="60"/>
  <c r="Z281" i="60" s="1"/>
  <c r="Q320" i="60"/>
  <c r="Q240" i="60"/>
  <c r="S240" i="60" s="1"/>
  <c r="Q45" i="60"/>
  <c r="S45" i="60" s="1"/>
  <c r="AL176" i="60"/>
  <c r="Q158" i="60"/>
  <c r="S158" i="60" s="1"/>
  <c r="Q379" i="60"/>
  <c r="S379" i="60" s="1"/>
  <c r="AL49" i="60"/>
  <c r="Q349" i="60"/>
  <c r="Q362" i="60"/>
  <c r="S362" i="60" s="1"/>
  <c r="Q167" i="60"/>
  <c r="AE325" i="60"/>
  <c r="AG325" i="60" s="1"/>
  <c r="X260" i="60"/>
  <c r="X65" i="60"/>
  <c r="Z65" i="60" s="1"/>
  <c r="Q352" i="60"/>
  <c r="S352" i="60" s="1"/>
  <c r="AL22" i="60"/>
  <c r="X48" i="60"/>
  <c r="Z48" i="60" s="1"/>
  <c r="X74" i="60"/>
  <c r="Z74" i="60" s="1"/>
  <c r="Q135" i="60"/>
  <c r="S135" i="60" s="1"/>
  <c r="Q181" i="60"/>
  <c r="S181" i="60" s="1"/>
  <c r="J214" i="60"/>
  <c r="Q351" i="60"/>
  <c r="S351" i="60" s="1"/>
  <c r="Q295" i="60"/>
  <c r="J106" i="60"/>
  <c r="L106" i="60" s="1"/>
  <c r="J242" i="60"/>
  <c r="L242" i="60" s="1"/>
  <c r="J294" i="60"/>
  <c r="J153" i="60"/>
  <c r="L153" i="60" s="1"/>
  <c r="J48" i="60"/>
  <c r="Y64" i="60"/>
  <c r="R375" i="60"/>
  <c r="R154" i="60"/>
  <c r="R102" i="60"/>
  <c r="R219" i="60"/>
  <c r="Y213" i="60"/>
  <c r="Y83" i="60"/>
  <c r="Y148" i="60"/>
  <c r="R221" i="60"/>
  <c r="R364" i="60"/>
  <c r="Y250" i="60"/>
  <c r="Y107" i="60"/>
  <c r="Y55" i="60"/>
  <c r="Y391" i="60"/>
  <c r="Y196" i="60"/>
  <c r="Y240" i="60"/>
  <c r="Y175" i="60"/>
  <c r="Y238" i="60"/>
  <c r="Y56" i="60"/>
  <c r="Y195" i="60"/>
  <c r="Y117" i="60"/>
  <c r="Y364" i="60"/>
  <c r="Y234" i="60"/>
  <c r="Y141" i="60"/>
  <c r="K83" i="60"/>
  <c r="R363" i="60"/>
  <c r="R311" i="60"/>
  <c r="R285" i="60"/>
  <c r="K259" i="60"/>
  <c r="K220" i="60"/>
  <c r="R302" i="60"/>
  <c r="R146" i="60"/>
  <c r="R133" i="60"/>
  <c r="R395" i="60"/>
  <c r="R330" i="60"/>
  <c r="R278" i="60"/>
  <c r="K209" i="60"/>
  <c r="K27" i="60"/>
  <c r="R53" i="60"/>
  <c r="R222" i="60"/>
  <c r="Y100" i="60"/>
  <c r="K399" i="60"/>
  <c r="K152" i="60"/>
  <c r="K191" i="60"/>
  <c r="R344" i="60"/>
  <c r="R171" i="60"/>
  <c r="R15" i="60"/>
  <c r="R262" i="60"/>
  <c r="R106" i="60"/>
  <c r="Y283" i="60"/>
  <c r="R347" i="60"/>
  <c r="K240" i="60"/>
  <c r="K97" i="60"/>
  <c r="R306" i="60"/>
  <c r="R72" i="60"/>
  <c r="R293" i="60"/>
  <c r="K348" i="60"/>
  <c r="K322" i="60"/>
  <c r="K296" i="60"/>
  <c r="K88" i="60"/>
  <c r="R186" i="60"/>
  <c r="R17" i="60"/>
  <c r="Y46" i="60"/>
  <c r="Y267" i="60"/>
  <c r="Y210" i="60"/>
  <c r="Y249" i="60"/>
  <c r="Y67" i="60"/>
  <c r="K385" i="60"/>
  <c r="K73" i="60"/>
  <c r="K72" i="60"/>
  <c r="K314" i="60"/>
  <c r="K340" i="60"/>
  <c r="R309" i="60"/>
  <c r="R114" i="60"/>
  <c r="R398" i="60"/>
  <c r="R190" i="60"/>
  <c r="R229" i="60"/>
  <c r="Y255" i="60"/>
  <c r="Y320" i="60"/>
  <c r="AE61" i="60"/>
  <c r="AG61" i="60" s="1"/>
  <c r="AE113" i="60"/>
  <c r="AG113" i="60" s="1"/>
  <c r="AL364" i="60"/>
  <c r="AE146" i="60"/>
  <c r="AG146" i="60" s="1"/>
  <c r="AE120" i="60"/>
  <c r="AG120" i="60" s="1"/>
  <c r="AE42" i="60"/>
  <c r="AG42" i="60" s="1"/>
  <c r="AE76" i="60"/>
  <c r="AG76" i="60" s="1"/>
  <c r="AE24" i="60"/>
  <c r="AG24" i="60" s="1"/>
  <c r="AL245" i="60"/>
  <c r="X239" i="60"/>
  <c r="Q376" i="60"/>
  <c r="AE186" i="60"/>
  <c r="AG186" i="60" s="1"/>
  <c r="AE43" i="60"/>
  <c r="AG43" i="60" s="1"/>
  <c r="AE121" i="60"/>
  <c r="AG121" i="60" s="1"/>
  <c r="J241" i="60"/>
  <c r="L241" i="60" s="1"/>
  <c r="AE49" i="60"/>
  <c r="AG49" i="60" s="1"/>
  <c r="X279" i="60"/>
  <c r="X97" i="60"/>
  <c r="Z97" i="60" s="1"/>
  <c r="Q270" i="60"/>
  <c r="AE151" i="60"/>
  <c r="AG151" i="60" s="1"/>
  <c r="AE125" i="60"/>
  <c r="AG125" i="60" s="1"/>
  <c r="AE86" i="60"/>
  <c r="AG86" i="60" s="1"/>
  <c r="AE340" i="60"/>
  <c r="AG340" i="60" s="1"/>
  <c r="AE119" i="60"/>
  <c r="AG119" i="60" s="1"/>
  <c r="AE145" i="60"/>
  <c r="AG145" i="60" s="1"/>
  <c r="AL255" i="60"/>
  <c r="AE118" i="60"/>
  <c r="AG118" i="60" s="1"/>
  <c r="AE14" i="60"/>
  <c r="AG14" i="60" s="1"/>
  <c r="AL209" i="60"/>
  <c r="AL274" i="60"/>
  <c r="AE402" i="60"/>
  <c r="AG402" i="60" s="1"/>
  <c r="AE90" i="60"/>
  <c r="AG90" i="60" s="1"/>
  <c r="Q390" i="60"/>
  <c r="Q26" i="60"/>
  <c r="Q221" i="60"/>
  <c r="AL354" i="60"/>
  <c r="AL263" i="60"/>
  <c r="AL107" i="60"/>
  <c r="X92" i="60"/>
  <c r="Z92" i="60" s="1"/>
  <c r="X300" i="60"/>
  <c r="J235" i="60"/>
  <c r="L235" i="60" s="1"/>
  <c r="X246" i="60"/>
  <c r="Z246" i="60" s="1"/>
  <c r="AE189" i="60"/>
  <c r="AG189" i="60" s="1"/>
  <c r="AE20" i="60"/>
  <c r="AG20" i="60" s="1"/>
  <c r="Q139" i="60"/>
  <c r="AL134" i="60"/>
  <c r="J223" i="60"/>
  <c r="L223" i="60" s="1"/>
  <c r="X255" i="60"/>
  <c r="AL119" i="60"/>
  <c r="AL397" i="60"/>
  <c r="AL111" i="60"/>
  <c r="AL231" i="60"/>
  <c r="J322" i="60"/>
  <c r="AE96" i="60"/>
  <c r="AG96" i="60" s="1"/>
  <c r="AE239" i="60"/>
  <c r="AG239" i="60" s="1"/>
  <c r="AE58" i="60"/>
  <c r="AG58" i="60" s="1"/>
  <c r="AE123" i="60"/>
  <c r="AG123" i="60" s="1"/>
  <c r="Q232" i="60"/>
  <c r="S232" i="60" s="1"/>
  <c r="AL109" i="60"/>
  <c r="J278" i="60"/>
  <c r="L278" i="60" s="1"/>
  <c r="AE403" i="60"/>
  <c r="AG403" i="60" s="1"/>
  <c r="AE273" i="60"/>
  <c r="AG273" i="60" s="1"/>
  <c r="X104" i="60"/>
  <c r="Z104" i="60" s="1"/>
  <c r="AL334" i="60"/>
  <c r="AL230" i="60"/>
  <c r="X100" i="60"/>
  <c r="Z100" i="60" s="1"/>
  <c r="Y303" i="60"/>
  <c r="Y394" i="60"/>
  <c r="Y192" i="60"/>
  <c r="Y54" i="60"/>
  <c r="Y177" i="60"/>
  <c r="Y199" i="60"/>
  <c r="Y311" i="60"/>
  <c r="Q40" i="60"/>
  <c r="AL282" i="60"/>
  <c r="AL87" i="60"/>
  <c r="Y155" i="60"/>
  <c r="Y355" i="60"/>
  <c r="Y392" i="60"/>
  <c r="Q382" i="56"/>
  <c r="S382" i="56" s="1"/>
  <c r="Q39" i="56"/>
  <c r="S39" i="56" s="1"/>
  <c r="Q351" i="56"/>
  <c r="S351" i="56" s="1"/>
  <c r="AR363" i="56"/>
  <c r="BF151" i="54"/>
  <c r="O174" i="54"/>
  <c r="Q174" i="54" s="1"/>
  <c r="O227" i="54"/>
  <c r="Q227" i="54" s="1"/>
  <c r="O145" i="54"/>
  <c r="Q145" i="54" s="1"/>
  <c r="O265" i="54"/>
  <c r="Q265" i="54" s="1"/>
  <c r="AR329" i="56"/>
  <c r="BF323" i="54"/>
  <c r="Q187" i="56"/>
  <c r="S187" i="56" s="1"/>
  <c r="Q403" i="56"/>
  <c r="S403" i="56" s="1"/>
  <c r="Q130" i="56"/>
  <c r="S130" i="56" s="1"/>
  <c r="Q266" i="56"/>
  <c r="S266" i="56" s="1"/>
  <c r="O377" i="54"/>
  <c r="Q377" i="54" s="1"/>
  <c r="O343" i="54"/>
  <c r="Q343" i="54" s="1"/>
  <c r="AR367" i="56"/>
  <c r="AR321" i="56"/>
  <c r="BF203" i="54"/>
  <c r="BG23" i="54"/>
  <c r="AR46" i="56"/>
  <c r="AR362" i="56"/>
  <c r="AR180" i="56"/>
  <c r="AR257" i="56"/>
  <c r="AR165" i="56"/>
  <c r="BG36" i="54"/>
  <c r="BF401" i="54"/>
  <c r="AI388" i="54"/>
  <c r="AK388" i="54" s="1"/>
  <c r="O262" i="54"/>
  <c r="Q262" i="54" s="1"/>
  <c r="Q291" i="56"/>
  <c r="S291" i="56" s="1"/>
  <c r="Q377" i="56"/>
  <c r="S377" i="56" s="1"/>
  <c r="Q234" i="56"/>
  <c r="S234" i="56" s="1"/>
  <c r="Q65" i="56"/>
  <c r="S65" i="56" s="1"/>
  <c r="Q392" i="56"/>
  <c r="S392" i="56" s="1"/>
  <c r="Q210" i="56"/>
  <c r="S210" i="56" s="1"/>
  <c r="Q227" i="56"/>
  <c r="S227" i="56" s="1"/>
  <c r="O143" i="54"/>
  <c r="Q143" i="54" s="1"/>
  <c r="O405" i="54"/>
  <c r="Q405" i="54" s="1"/>
  <c r="O83" i="54"/>
  <c r="Q83" i="54" s="1"/>
  <c r="AO320" i="56"/>
  <c r="AQ320" i="56" s="1"/>
  <c r="Q119" i="56"/>
  <c r="S119" i="56" s="1"/>
  <c r="O299" i="54"/>
  <c r="Q299" i="54" s="1"/>
  <c r="O383" i="54"/>
  <c r="Q383" i="54" s="1"/>
  <c r="BF233" i="54"/>
  <c r="BF272" i="54"/>
  <c r="BF133" i="54"/>
  <c r="BF313" i="54"/>
  <c r="AR178" i="56"/>
  <c r="AR101" i="56"/>
  <c r="O106" i="54"/>
  <c r="Q106" i="54" s="1"/>
  <c r="O28" i="54"/>
  <c r="Q28" i="54" s="1"/>
  <c r="O184" i="54"/>
  <c r="Q184" i="54" s="1"/>
  <c r="O292" i="54"/>
  <c r="Q292" i="54" s="1"/>
  <c r="O240" i="54"/>
  <c r="Q240" i="54" s="1"/>
  <c r="O18" i="54"/>
  <c r="Q18" i="54" s="1"/>
  <c r="Q96" i="56"/>
  <c r="S96" i="56" s="1"/>
  <c r="Q366" i="56"/>
  <c r="S366" i="56" s="1"/>
  <c r="Q123" i="56"/>
  <c r="S123" i="56" s="1"/>
  <c r="Q188" i="56"/>
  <c r="S188" i="56" s="1"/>
  <c r="O132" i="54"/>
  <c r="Q132" i="54" s="1"/>
  <c r="O304" i="54"/>
  <c r="Q304" i="54" s="1"/>
  <c r="O122" i="54"/>
  <c r="Q122" i="54" s="1"/>
  <c r="BG122" i="54" s="1"/>
  <c r="O187" i="54"/>
  <c r="Q187" i="54" s="1"/>
  <c r="BF209" i="54"/>
  <c r="BF62" i="54"/>
  <c r="BF81" i="54"/>
  <c r="AR332" i="56"/>
  <c r="AR120" i="56"/>
  <c r="AR385" i="56"/>
  <c r="AR207" i="56"/>
  <c r="BF316" i="54"/>
  <c r="BF36" i="54"/>
  <c r="BF367" i="54"/>
  <c r="BF339" i="54"/>
  <c r="BF165" i="54"/>
  <c r="BF64" i="54"/>
  <c r="BF40" i="54"/>
  <c r="BF362" i="54"/>
  <c r="AR189" i="56"/>
  <c r="AR341" i="56"/>
  <c r="AR294" i="56"/>
  <c r="AR48" i="56"/>
  <c r="AR103" i="56"/>
  <c r="AR374" i="56"/>
  <c r="BF400" i="54"/>
  <c r="BF308" i="54"/>
  <c r="BG204" i="54"/>
  <c r="BF246" i="54"/>
  <c r="AR92" i="56"/>
  <c r="AR393" i="56"/>
  <c r="AR34" i="56"/>
  <c r="AR218" i="56"/>
  <c r="AR282" i="56"/>
  <c r="AR56" i="56"/>
  <c r="BF350" i="54"/>
  <c r="BF244" i="54"/>
  <c r="BF361" i="54"/>
  <c r="BG40" i="54"/>
  <c r="BF245" i="54"/>
  <c r="AR124" i="56"/>
  <c r="O117" i="54"/>
  <c r="Q117" i="54" s="1"/>
  <c r="BG117" i="54" s="1"/>
  <c r="Q31" i="56"/>
  <c r="S31" i="56" s="1"/>
  <c r="Q252" i="56"/>
  <c r="S252" i="56" s="1"/>
  <c r="Q104" i="56"/>
  <c r="S104" i="56" s="1"/>
  <c r="Q344" i="56"/>
  <c r="S344" i="56" s="1"/>
  <c r="O351" i="54"/>
  <c r="Q351" i="54" s="1"/>
  <c r="O312" i="54"/>
  <c r="Q312" i="54" s="1"/>
  <c r="O366" i="54"/>
  <c r="Q366" i="54" s="1"/>
  <c r="BG366" i="54" s="1"/>
  <c r="O301" i="54"/>
  <c r="Q301" i="54" s="1"/>
  <c r="O45" i="54"/>
  <c r="Q45" i="54" s="1"/>
  <c r="O331" i="54"/>
  <c r="Q331" i="54" s="1"/>
  <c r="O382" i="54"/>
  <c r="Q382" i="54" s="1"/>
  <c r="BF373" i="54"/>
  <c r="BC349" i="54"/>
  <c r="BE349" i="54" s="1"/>
  <c r="AO75" i="56"/>
  <c r="AQ75" i="56" s="1"/>
  <c r="O104" i="54"/>
  <c r="Q104" i="54" s="1"/>
  <c r="O41" i="54"/>
  <c r="Q41" i="54" s="1"/>
  <c r="O314" i="54"/>
  <c r="Q314" i="54" s="1"/>
  <c r="O357" i="54"/>
  <c r="Q357" i="54" s="1"/>
  <c r="O279" i="54"/>
  <c r="Q279" i="54" s="1"/>
  <c r="O57" i="54"/>
  <c r="Q57" i="54" s="1"/>
  <c r="Q318" i="56"/>
  <c r="S318" i="56" s="1"/>
  <c r="AR284" i="56"/>
  <c r="AR347" i="56"/>
  <c r="AR160" i="56"/>
  <c r="AR30" i="56"/>
  <c r="BF260" i="54"/>
  <c r="BF231" i="54"/>
  <c r="BF250" i="54"/>
  <c r="BF360" i="54"/>
  <c r="BF131" i="54"/>
  <c r="BF307" i="54"/>
  <c r="BF237" i="54"/>
  <c r="BF397" i="54"/>
  <c r="AR264" i="56"/>
  <c r="AR75" i="56"/>
  <c r="AR342" i="56"/>
  <c r="BF257" i="54"/>
  <c r="Y328" i="54"/>
  <c r="AA328" i="54" s="1"/>
  <c r="N300" i="54"/>
  <c r="O300" i="54" s="1"/>
  <c r="Q300" i="54" s="1"/>
  <c r="N100" i="54"/>
  <c r="O100" i="54" s="1"/>
  <c r="Q100" i="54" s="1"/>
  <c r="N86" i="54"/>
  <c r="O86" i="54" s="1"/>
  <c r="Q86" i="54" s="1"/>
  <c r="N302" i="54"/>
  <c r="O302" i="54" s="1"/>
  <c r="Q302" i="54" s="1"/>
  <c r="X61" i="54"/>
  <c r="Y61" i="54" s="1"/>
  <c r="AA61" i="54" s="1"/>
  <c r="N82" i="54"/>
  <c r="O82" i="54" s="1"/>
  <c r="Q82" i="54" s="1"/>
  <c r="N176" i="54"/>
  <c r="O176" i="54" s="1"/>
  <c r="Q176" i="54" s="1"/>
  <c r="AN391" i="56"/>
  <c r="AO391" i="56" s="1"/>
  <c r="AQ391" i="56" s="1"/>
  <c r="AR26" i="56"/>
  <c r="AB39" i="56"/>
  <c r="AC39" i="56" s="1"/>
  <c r="AE39" i="56" s="1"/>
  <c r="AN267" i="56"/>
  <c r="AO267" i="56" s="1"/>
  <c r="AQ267" i="56" s="1"/>
  <c r="AB145" i="56"/>
  <c r="AC145" i="56" s="1"/>
  <c r="AE145" i="56" s="1"/>
  <c r="AB197" i="56"/>
  <c r="AC197" i="56" s="1"/>
  <c r="AE197" i="56" s="1"/>
  <c r="AN70" i="56"/>
  <c r="AO70" i="56" s="1"/>
  <c r="AQ70" i="56" s="1"/>
  <c r="AN83" i="56"/>
  <c r="AO83" i="56" s="1"/>
  <c r="AQ83" i="56" s="1"/>
  <c r="AN354" i="56"/>
  <c r="AO354" i="56" s="1"/>
  <c r="AQ354" i="56" s="1"/>
  <c r="AN359" i="56"/>
  <c r="AO359" i="56" s="1"/>
  <c r="AQ359" i="56" s="1"/>
  <c r="AN151" i="56"/>
  <c r="AO151" i="56" s="1"/>
  <c r="AQ151" i="56" s="1"/>
  <c r="AN262" i="56"/>
  <c r="AO262" i="56" s="1"/>
  <c r="AQ262" i="56" s="1"/>
  <c r="AR364" i="56"/>
  <c r="P215" i="56"/>
  <c r="Q215" i="56" s="1"/>
  <c r="S215" i="56" s="1"/>
  <c r="P144" i="56"/>
  <c r="Q144" i="56" s="1"/>
  <c r="S144" i="56" s="1"/>
  <c r="AB278" i="56"/>
  <c r="AC278" i="56" s="1"/>
  <c r="AE278" i="56" s="1"/>
  <c r="AB122" i="56"/>
  <c r="AC122" i="56" s="1"/>
  <c r="AE122" i="56" s="1"/>
  <c r="AB215" i="56"/>
  <c r="AC215" i="56" s="1"/>
  <c r="AE215" i="56" s="1"/>
  <c r="P42" i="56"/>
  <c r="Q42" i="56" s="1"/>
  <c r="S42" i="56" s="1"/>
  <c r="AB315" i="56"/>
  <c r="AC315" i="56" s="1"/>
  <c r="AE315" i="56" s="1"/>
  <c r="AB198" i="56"/>
  <c r="AC198" i="56" s="1"/>
  <c r="AE198" i="56" s="1"/>
  <c r="AB42" i="56"/>
  <c r="AC42" i="56" s="1"/>
  <c r="AE42" i="56" s="1"/>
  <c r="P284" i="56"/>
  <c r="Q284" i="56" s="1"/>
  <c r="S284" i="56" s="1"/>
  <c r="AB177" i="56"/>
  <c r="AC177" i="56" s="1"/>
  <c r="AE177" i="56" s="1"/>
  <c r="AB323" i="56"/>
  <c r="AC323" i="56" s="1"/>
  <c r="AE323" i="56" s="1"/>
  <c r="AB89" i="56"/>
  <c r="AC89" i="56" s="1"/>
  <c r="AE89" i="56" s="1"/>
  <c r="P112" i="56"/>
  <c r="Q112" i="56" s="1"/>
  <c r="S112" i="56" s="1"/>
  <c r="P86" i="56"/>
  <c r="Q86" i="56" s="1"/>
  <c r="S86" i="56" s="1"/>
  <c r="AB269" i="56"/>
  <c r="AC269" i="56" s="1"/>
  <c r="AE269" i="56" s="1"/>
  <c r="P272" i="56"/>
  <c r="Q272" i="56" s="1"/>
  <c r="S272" i="56" s="1"/>
  <c r="AB253" i="56"/>
  <c r="AC253" i="56" s="1"/>
  <c r="AE253" i="56" s="1"/>
  <c r="AN17" i="56"/>
  <c r="AO17" i="56" s="1"/>
  <c r="AQ17" i="56" s="1"/>
  <c r="P296" i="56"/>
  <c r="Q296" i="56" s="1"/>
  <c r="S296" i="56" s="1"/>
  <c r="P347" i="56"/>
  <c r="Q347" i="56" s="1"/>
  <c r="S347" i="56" s="1"/>
  <c r="P87" i="56"/>
  <c r="Q87" i="56" s="1"/>
  <c r="S87" i="56" s="1"/>
  <c r="P303" i="56"/>
  <c r="Q303" i="56" s="1"/>
  <c r="S303" i="56" s="1"/>
  <c r="AB233" i="56"/>
  <c r="AC233" i="56" s="1"/>
  <c r="AE233" i="56" s="1"/>
  <c r="AB62" i="56"/>
  <c r="AC62" i="56" s="1"/>
  <c r="AE62" i="56" s="1"/>
  <c r="AB23" i="56"/>
  <c r="AC23" i="56" s="1"/>
  <c r="AE23" i="56" s="1"/>
  <c r="AR258" i="54"/>
  <c r="AS258" i="54" s="1"/>
  <c r="AU258" i="54" s="1"/>
  <c r="AR310" i="54"/>
  <c r="AS310" i="54" s="1"/>
  <c r="AU310" i="54" s="1"/>
  <c r="N157" i="54"/>
  <c r="O157" i="54" s="1"/>
  <c r="Q157" i="54" s="1"/>
  <c r="BB158" i="54"/>
  <c r="BC158" i="54" s="1"/>
  <c r="BE158" i="54" s="1"/>
  <c r="BF210" i="54"/>
  <c r="BF54" i="54"/>
  <c r="BF377" i="54"/>
  <c r="AR221" i="54"/>
  <c r="AS221" i="54" s="1"/>
  <c r="AU221" i="54" s="1"/>
  <c r="BB143" i="54"/>
  <c r="BC143" i="54" s="1"/>
  <c r="BE143" i="54" s="1"/>
  <c r="X222" i="54"/>
  <c r="Y222" i="54" s="1"/>
  <c r="AA222" i="54" s="1"/>
  <c r="X66" i="54"/>
  <c r="Y66" i="54" s="1"/>
  <c r="AA66" i="54" s="1"/>
  <c r="BF221" i="54"/>
  <c r="AR110" i="54"/>
  <c r="AS110" i="54" s="1"/>
  <c r="AU110" i="54" s="1"/>
  <c r="BF357" i="54"/>
  <c r="BF383" i="54"/>
  <c r="N87" i="54"/>
  <c r="O87" i="54" s="1"/>
  <c r="Q87" i="54" s="1"/>
  <c r="BB203" i="54"/>
  <c r="BC203" i="54" s="1"/>
  <c r="BE203" i="54" s="1"/>
  <c r="X227" i="54"/>
  <c r="Y227" i="54" s="1"/>
  <c r="AA227" i="54" s="1"/>
  <c r="BB335" i="54"/>
  <c r="BC335" i="54" s="1"/>
  <c r="BE335" i="54" s="1"/>
  <c r="BB283" i="54"/>
  <c r="BC283" i="54" s="1"/>
  <c r="BE283" i="54" s="1"/>
  <c r="AR302" i="54"/>
  <c r="AS302" i="54" s="1"/>
  <c r="AU302" i="54" s="1"/>
  <c r="AR198" i="54"/>
  <c r="AS198" i="54" s="1"/>
  <c r="AU198" i="54" s="1"/>
  <c r="AR185" i="54"/>
  <c r="AS185" i="54" s="1"/>
  <c r="AU185" i="54" s="1"/>
  <c r="BB159" i="54"/>
  <c r="BC159" i="54" s="1"/>
  <c r="BE159" i="54" s="1"/>
  <c r="AR378" i="54"/>
  <c r="AS378" i="54" s="1"/>
  <c r="AU378" i="54" s="1"/>
  <c r="AR287" i="54"/>
  <c r="AS287" i="54" s="1"/>
  <c r="AU287" i="54" s="1"/>
  <c r="BB304" i="54"/>
  <c r="BC304" i="54" s="1"/>
  <c r="BE304" i="54" s="1"/>
  <c r="BB135" i="54"/>
  <c r="BC135" i="54" s="1"/>
  <c r="BE135" i="54" s="1"/>
  <c r="BF18" i="54"/>
  <c r="AH276" i="54"/>
  <c r="AI276" i="54" s="1"/>
  <c r="AK276" i="54" s="1"/>
  <c r="AH147" i="54"/>
  <c r="AI147" i="54" s="1"/>
  <c r="AK147" i="54" s="1"/>
  <c r="X232" i="54"/>
  <c r="Y232" i="54" s="1"/>
  <c r="AA232" i="54" s="1"/>
  <c r="BG71" i="54"/>
  <c r="AH361" i="54"/>
  <c r="AI361" i="54" s="1"/>
  <c r="AK361" i="54" s="1"/>
  <c r="X73" i="54"/>
  <c r="Y73" i="54" s="1"/>
  <c r="AA73" i="54" s="1"/>
  <c r="BG22" i="54"/>
  <c r="BF220" i="54"/>
  <c r="X247" i="54"/>
  <c r="Y247" i="54" s="1"/>
  <c r="AA247" i="54" s="1"/>
  <c r="BF170" i="54"/>
  <c r="BF392" i="54"/>
  <c r="N66" i="54"/>
  <c r="O66" i="54" s="1"/>
  <c r="Q66" i="54" s="1"/>
  <c r="N151" i="54"/>
  <c r="O151" i="54" s="1"/>
  <c r="Q151" i="54" s="1"/>
  <c r="N60" i="54"/>
  <c r="O60" i="54" s="1"/>
  <c r="Q60" i="54" s="1"/>
  <c r="AN79" i="56"/>
  <c r="AO79" i="56" s="1"/>
  <c r="AQ79" i="56" s="1"/>
  <c r="AB338" i="56"/>
  <c r="AC338" i="56" s="1"/>
  <c r="AE338" i="56" s="1"/>
  <c r="AB390" i="56"/>
  <c r="AC390" i="56" s="1"/>
  <c r="AE390" i="56" s="1"/>
  <c r="AB169" i="56"/>
  <c r="AC169" i="56" s="1"/>
  <c r="AE169" i="56" s="1"/>
  <c r="AB351" i="56"/>
  <c r="AC351" i="56" s="1"/>
  <c r="AE351" i="56" s="1"/>
  <c r="AN345" i="56"/>
  <c r="AO345" i="56" s="1"/>
  <c r="AQ345" i="56" s="1"/>
  <c r="AN163" i="56"/>
  <c r="AO163" i="56" s="1"/>
  <c r="AQ163" i="56" s="1"/>
  <c r="AR41" i="56"/>
  <c r="AB93" i="56"/>
  <c r="AC93" i="56" s="1"/>
  <c r="AE93" i="56" s="1"/>
  <c r="AB210" i="56"/>
  <c r="AC210" i="56" s="1"/>
  <c r="AE210" i="56" s="1"/>
  <c r="AB54" i="56"/>
  <c r="AC54" i="56" s="1"/>
  <c r="AE54" i="56" s="1"/>
  <c r="AN382" i="56"/>
  <c r="AO382" i="56" s="1"/>
  <c r="AQ382" i="56" s="1"/>
  <c r="AN81" i="56"/>
  <c r="AO81" i="56" s="1"/>
  <c r="AQ81" i="56" s="1"/>
  <c r="AN159" i="56"/>
  <c r="AO159" i="56" s="1"/>
  <c r="AQ159" i="56" s="1"/>
  <c r="AN302" i="56"/>
  <c r="AO302" i="56" s="1"/>
  <c r="AQ302" i="56" s="1"/>
  <c r="AN47" i="56"/>
  <c r="AO47" i="56" s="1"/>
  <c r="AQ47" i="56" s="1"/>
  <c r="AN110" i="56"/>
  <c r="AO110" i="56" s="1"/>
  <c r="AQ110" i="56" s="1"/>
  <c r="AN171" i="56"/>
  <c r="AO171" i="56" s="1"/>
  <c r="AQ171" i="56" s="1"/>
  <c r="AN249" i="56"/>
  <c r="AO249" i="56" s="1"/>
  <c r="AQ249" i="56" s="1"/>
  <c r="AN182" i="56"/>
  <c r="AO182" i="56" s="1"/>
  <c r="AQ182" i="56" s="1"/>
  <c r="AR91" i="56"/>
  <c r="P46" i="56"/>
  <c r="Q46" i="56" s="1"/>
  <c r="S46" i="56" s="1"/>
  <c r="P267" i="56"/>
  <c r="Q267" i="56" s="1"/>
  <c r="S267" i="56" s="1"/>
  <c r="AR404" i="56"/>
  <c r="AB118" i="56"/>
  <c r="AC118" i="56" s="1"/>
  <c r="AE118" i="56" s="1"/>
  <c r="AB261" i="56"/>
  <c r="AC261" i="56" s="1"/>
  <c r="AE261" i="56" s="1"/>
  <c r="AB187" i="56"/>
  <c r="AC187" i="56" s="1"/>
  <c r="AE187" i="56" s="1"/>
  <c r="AB163" i="56"/>
  <c r="AC163" i="56" s="1"/>
  <c r="AE163" i="56" s="1"/>
  <c r="AB211" i="56"/>
  <c r="AC211" i="56" s="1"/>
  <c r="AE211" i="56" s="1"/>
  <c r="AN310" i="56"/>
  <c r="AO310" i="56" s="1"/>
  <c r="AQ310" i="56" s="1"/>
  <c r="P362" i="56"/>
  <c r="Q362" i="56" s="1"/>
  <c r="S362" i="56" s="1"/>
  <c r="P102" i="56"/>
  <c r="Q102" i="56" s="1"/>
  <c r="S102" i="56" s="1"/>
  <c r="AB125" i="56"/>
  <c r="AC125" i="56" s="1"/>
  <c r="AE125" i="56" s="1"/>
  <c r="AB355" i="56"/>
  <c r="AC355" i="56" s="1"/>
  <c r="AE355" i="56" s="1"/>
  <c r="AN51" i="56"/>
  <c r="AO51" i="56" s="1"/>
  <c r="AQ51" i="56" s="1"/>
  <c r="AB219" i="56"/>
  <c r="AC219" i="56" s="1"/>
  <c r="AE219" i="56" s="1"/>
  <c r="P333" i="56"/>
  <c r="Q333" i="56" s="1"/>
  <c r="S333" i="56" s="1"/>
  <c r="AR47" i="56"/>
  <c r="P142" i="56"/>
  <c r="Q142" i="56" s="1"/>
  <c r="S142" i="56" s="1"/>
  <c r="P116" i="56"/>
  <c r="Q116" i="56" s="1"/>
  <c r="S116" i="56" s="1"/>
  <c r="P259" i="56"/>
  <c r="Q259" i="56" s="1"/>
  <c r="S259" i="56" s="1"/>
  <c r="AB370" i="56"/>
  <c r="AC370" i="56" s="1"/>
  <c r="AE370" i="56" s="1"/>
  <c r="AR266" i="56"/>
  <c r="AN373" i="56"/>
  <c r="AO373" i="56" s="1"/>
  <c r="AQ373" i="56" s="1"/>
  <c r="AN113" i="56"/>
  <c r="AO113" i="56" s="1"/>
  <c r="AQ113" i="56" s="1"/>
  <c r="AN368" i="56"/>
  <c r="AO368" i="56" s="1"/>
  <c r="AQ368" i="56" s="1"/>
  <c r="AN277" i="56"/>
  <c r="AO277" i="56" s="1"/>
  <c r="AQ277" i="56" s="1"/>
  <c r="AB324" i="56"/>
  <c r="AC324" i="56" s="1"/>
  <c r="AE324" i="56" s="1"/>
  <c r="AB205" i="56"/>
  <c r="AC205" i="56" s="1"/>
  <c r="AE205" i="56" s="1"/>
  <c r="AN114" i="56"/>
  <c r="AO114" i="56" s="1"/>
  <c r="AQ114" i="56" s="1"/>
  <c r="AR141" i="54"/>
  <c r="AS141" i="54" s="1"/>
  <c r="AU141" i="54" s="1"/>
  <c r="N53" i="54"/>
  <c r="O53" i="54" s="1"/>
  <c r="Q53" i="54" s="1"/>
  <c r="BG275" i="54"/>
  <c r="BG119" i="54"/>
  <c r="AR213" i="54"/>
  <c r="AS213" i="54" s="1"/>
  <c r="AU213" i="54" s="1"/>
  <c r="BB351" i="54"/>
  <c r="BC351" i="54" s="1"/>
  <c r="BE351" i="54" s="1"/>
  <c r="BB195" i="54"/>
  <c r="BC195" i="54" s="1"/>
  <c r="BE195" i="54" s="1"/>
  <c r="AH280" i="54"/>
  <c r="AI280" i="54" s="1"/>
  <c r="AK280" i="54" s="1"/>
  <c r="BF248" i="54"/>
  <c r="BF130" i="54"/>
  <c r="AR253" i="54"/>
  <c r="AS253" i="54" s="1"/>
  <c r="AU253" i="54" s="1"/>
  <c r="N399" i="54"/>
  <c r="O399" i="54" s="1"/>
  <c r="Q399" i="54" s="1"/>
  <c r="N152" i="54"/>
  <c r="O152" i="54" s="1"/>
  <c r="Q152" i="54" s="1"/>
  <c r="AR285" i="54"/>
  <c r="AS285" i="54" s="1"/>
  <c r="AU285" i="54" s="1"/>
  <c r="AR116" i="54"/>
  <c r="AS116" i="54" s="1"/>
  <c r="AU116" i="54" s="1"/>
  <c r="AR103" i="54"/>
  <c r="AS103" i="54" s="1"/>
  <c r="AU103" i="54" s="1"/>
  <c r="BB333" i="54"/>
  <c r="BC333" i="54" s="1"/>
  <c r="BE333" i="54" s="1"/>
  <c r="AR108" i="54"/>
  <c r="AS108" i="54" s="1"/>
  <c r="AU108" i="54" s="1"/>
  <c r="BB296" i="54"/>
  <c r="BC296" i="54" s="1"/>
  <c r="BE296" i="54" s="1"/>
  <c r="AR367" i="54"/>
  <c r="AS367" i="54" s="1"/>
  <c r="AU367" i="54" s="1"/>
  <c r="AR133" i="54"/>
  <c r="AS133" i="54" s="1"/>
  <c r="AU133" i="54" s="1"/>
  <c r="N333" i="54"/>
  <c r="O333" i="54" s="1"/>
  <c r="Q333" i="54" s="1"/>
  <c r="N73" i="54"/>
  <c r="O73" i="54" s="1"/>
  <c r="Q73" i="54" s="1"/>
  <c r="BF55" i="54"/>
  <c r="AR248" i="54"/>
  <c r="AS248" i="54" s="1"/>
  <c r="AU248" i="54" s="1"/>
  <c r="BF249" i="54"/>
  <c r="BF31" i="54"/>
  <c r="BF382" i="54"/>
  <c r="BF321" i="54"/>
  <c r="AR308" i="54"/>
  <c r="AS308" i="54" s="1"/>
  <c r="AU308" i="54" s="1"/>
  <c r="X401" i="54"/>
  <c r="Y401" i="54" s="1"/>
  <c r="AA401" i="54" s="1"/>
  <c r="BB383" i="54"/>
  <c r="BC383" i="54" s="1"/>
  <c r="BE383" i="54" s="1"/>
  <c r="BF19" i="54"/>
  <c r="N121" i="54"/>
  <c r="O121" i="54" s="1"/>
  <c r="Q121" i="54" s="1"/>
  <c r="N316" i="54"/>
  <c r="O316" i="54" s="1"/>
  <c r="Q316" i="54" s="1"/>
  <c r="AH374" i="54"/>
  <c r="AI374" i="54" s="1"/>
  <c r="AK374" i="54" s="1"/>
  <c r="N153" i="54"/>
  <c r="O153" i="54" s="1"/>
  <c r="Q153" i="54" s="1"/>
  <c r="BF125" i="54"/>
  <c r="X86" i="54"/>
  <c r="Y86" i="54" s="1"/>
  <c r="AA86" i="54" s="1"/>
  <c r="BB347" i="54"/>
  <c r="BC347" i="54" s="1"/>
  <c r="BE347" i="54" s="1"/>
  <c r="BB87" i="54"/>
  <c r="BC87" i="54" s="1"/>
  <c r="BE87" i="54" s="1"/>
  <c r="BB165" i="54"/>
  <c r="BC165" i="54" s="1"/>
  <c r="BE165" i="54" s="1"/>
  <c r="BB142" i="54"/>
  <c r="BC142" i="54" s="1"/>
  <c r="BE142" i="54" s="1"/>
  <c r="BB168" i="54"/>
  <c r="BC168" i="54" s="1"/>
  <c r="BE168" i="54" s="1"/>
  <c r="BF25" i="54"/>
  <c r="N51" i="54"/>
  <c r="O51" i="54" s="1"/>
  <c r="Q51" i="54" s="1"/>
  <c r="AR384" i="54"/>
  <c r="AS384" i="54" s="1"/>
  <c r="AU384" i="54" s="1"/>
  <c r="BF319" i="54"/>
  <c r="N102" i="54"/>
  <c r="O102" i="54" s="1"/>
  <c r="Q102" i="54" s="1"/>
  <c r="AR359" i="54"/>
  <c r="AS359" i="54" s="1"/>
  <c r="AU359" i="54" s="1"/>
  <c r="BG358" i="54"/>
  <c r="BB384" i="54"/>
  <c r="BC384" i="54" s="1"/>
  <c r="BE384" i="54" s="1"/>
  <c r="BF72" i="54"/>
  <c r="BB300" i="54"/>
  <c r="BC300" i="54" s="1"/>
  <c r="BE300" i="54" s="1"/>
  <c r="AR262" i="54"/>
  <c r="AS262" i="54" s="1"/>
  <c r="AU262" i="54" s="1"/>
  <c r="BF301" i="54"/>
  <c r="BB297" i="54"/>
  <c r="BC297" i="54" s="1"/>
  <c r="BE297" i="54" s="1"/>
  <c r="AN378" i="56"/>
  <c r="AO378" i="56" s="1"/>
  <c r="AQ378" i="56" s="1"/>
  <c r="AN209" i="56"/>
  <c r="AO209" i="56" s="1"/>
  <c r="AQ209" i="56" s="1"/>
  <c r="AN190" i="56"/>
  <c r="AO190" i="56" s="1"/>
  <c r="AQ190" i="56" s="1"/>
  <c r="X300" i="54"/>
  <c r="Y300" i="54" s="1"/>
  <c r="AA300" i="54" s="1"/>
  <c r="BF112" i="54"/>
  <c r="X221" i="54"/>
  <c r="Y221" i="54" s="1"/>
  <c r="AA221" i="54" s="1"/>
  <c r="X289" i="54"/>
  <c r="Y289" i="54" s="1"/>
  <c r="AA289" i="54" s="1"/>
  <c r="AR144" i="56"/>
  <c r="AR379" i="56"/>
  <c r="AR327" i="56"/>
  <c r="AR356" i="56"/>
  <c r="AR340" i="56"/>
  <c r="AR176" i="56"/>
  <c r="AR98" i="56"/>
  <c r="AR352" i="56"/>
  <c r="AR330" i="56"/>
  <c r="AR81" i="56"/>
  <c r="AR250" i="56"/>
  <c r="AR141" i="56"/>
  <c r="AR320" i="56"/>
  <c r="AR229" i="56"/>
  <c r="AR398" i="56"/>
  <c r="AR162" i="56"/>
  <c r="AR114" i="56"/>
  <c r="AR139" i="56"/>
  <c r="AR251" i="56"/>
  <c r="BF197" i="54"/>
  <c r="BF104" i="54"/>
  <c r="BF78" i="54"/>
  <c r="X397" i="54"/>
  <c r="Y397" i="54" s="1"/>
  <c r="AA397" i="54" s="1"/>
  <c r="X27" i="54"/>
  <c r="Y27" i="54" s="1"/>
  <c r="AA27" i="54" s="1"/>
  <c r="X53" i="54"/>
  <c r="Y53" i="54" s="1"/>
  <c r="AA53" i="54" s="1"/>
  <c r="AH377" i="54"/>
  <c r="AI377" i="54" s="1"/>
  <c r="AK377" i="54" s="1"/>
  <c r="AH234" i="54"/>
  <c r="AI234" i="54" s="1"/>
  <c r="AK234" i="54" s="1"/>
  <c r="AH162" i="54"/>
  <c r="AI162" i="54" s="1"/>
  <c r="AK162" i="54" s="1"/>
  <c r="BF177" i="54"/>
  <c r="BF294" i="54"/>
  <c r="AH177" i="54"/>
  <c r="AI177" i="54" s="1"/>
  <c r="AK177" i="54" s="1"/>
  <c r="AH86" i="54"/>
  <c r="AI86" i="54" s="1"/>
  <c r="AK86" i="54" s="1"/>
  <c r="X142" i="54"/>
  <c r="Y142" i="54" s="1"/>
  <c r="AA142" i="54" s="1"/>
  <c r="BF140" i="54"/>
  <c r="BF42" i="54"/>
  <c r="BF200" i="54"/>
  <c r="BF174" i="54"/>
  <c r="X57" i="54"/>
  <c r="Y57" i="54" s="1"/>
  <c r="AA57" i="54" s="1"/>
  <c r="BG32" i="54"/>
  <c r="BF266" i="54"/>
  <c r="BG188" i="54"/>
  <c r="X139" i="54"/>
  <c r="Y139" i="54" s="1"/>
  <c r="AA139" i="54" s="1"/>
  <c r="AH127" i="54"/>
  <c r="AI127" i="54" s="1"/>
  <c r="AK127" i="54" s="1"/>
  <c r="BF394" i="54"/>
  <c r="BF108" i="54"/>
  <c r="BF225" i="54"/>
  <c r="X283" i="54"/>
  <c r="Y283" i="54" s="1"/>
  <c r="AA283" i="54" s="1"/>
  <c r="BF100" i="54"/>
  <c r="BF61" i="54"/>
  <c r="BF282" i="54"/>
  <c r="BF155" i="54"/>
  <c r="BF116" i="54"/>
  <c r="BF232" i="54"/>
  <c r="X195" i="54"/>
  <c r="Y195" i="54" s="1"/>
  <c r="AA195" i="54" s="1"/>
  <c r="BF293" i="54"/>
  <c r="BF144" i="54"/>
  <c r="BF340" i="54"/>
  <c r="BF288" i="54"/>
  <c r="BF380" i="54"/>
  <c r="BF219" i="54"/>
  <c r="BF37" i="54"/>
  <c r="AH284" i="54"/>
  <c r="AI284" i="54" s="1"/>
  <c r="AK284" i="54" s="1"/>
  <c r="AN71" i="56"/>
  <c r="AO71" i="56" s="1"/>
  <c r="AQ71" i="56" s="1"/>
  <c r="N287" i="54"/>
  <c r="O287" i="54" s="1"/>
  <c r="Q287" i="54" s="1"/>
  <c r="N48" i="54"/>
  <c r="O48" i="54" s="1"/>
  <c r="Q48" i="54" s="1"/>
  <c r="N385" i="54"/>
  <c r="O385" i="54" s="1"/>
  <c r="Q385" i="54" s="1"/>
  <c r="N289" i="54"/>
  <c r="O289" i="54" s="1"/>
  <c r="Q289" i="54" s="1"/>
  <c r="N16" i="54"/>
  <c r="O16" i="54" s="1"/>
  <c r="Q16" i="54" s="1"/>
  <c r="N128" i="54"/>
  <c r="O128" i="54" s="1"/>
  <c r="Q128" i="54" s="1"/>
  <c r="N254" i="54"/>
  <c r="O254" i="54" s="1"/>
  <c r="Q254" i="54" s="1"/>
  <c r="N98" i="54"/>
  <c r="O98" i="54" s="1"/>
  <c r="Q98" i="54" s="1"/>
  <c r="AN170" i="56"/>
  <c r="AO170" i="56" s="1"/>
  <c r="AQ170" i="56" s="1"/>
  <c r="AR306" i="56"/>
  <c r="AB275" i="56"/>
  <c r="AC275" i="56" s="1"/>
  <c r="AE275" i="56" s="1"/>
  <c r="AN369" i="56"/>
  <c r="AO369" i="56" s="1"/>
  <c r="AQ369" i="56" s="1"/>
  <c r="AN289" i="56"/>
  <c r="AO289" i="56" s="1"/>
  <c r="AQ289" i="56" s="1"/>
  <c r="AN224" i="56"/>
  <c r="AO224" i="56" s="1"/>
  <c r="AQ224" i="56" s="1"/>
  <c r="AR99" i="56"/>
  <c r="AN403" i="56"/>
  <c r="AO403" i="56" s="1"/>
  <c r="AQ403" i="56" s="1"/>
  <c r="AR325" i="56"/>
  <c r="AR254" i="56"/>
  <c r="P72" i="56"/>
  <c r="Q72" i="56" s="1"/>
  <c r="S72" i="56" s="1"/>
  <c r="AB352" i="56"/>
  <c r="AC352" i="56" s="1"/>
  <c r="AE352" i="56" s="1"/>
  <c r="P131" i="56"/>
  <c r="Q131" i="56" s="1"/>
  <c r="S131" i="56" s="1"/>
  <c r="P274" i="56"/>
  <c r="Q274" i="56" s="1"/>
  <c r="S274" i="56" s="1"/>
  <c r="AR241" i="56"/>
  <c r="P380" i="56"/>
  <c r="Q380" i="56" s="1"/>
  <c r="S380" i="56" s="1"/>
  <c r="P198" i="56"/>
  <c r="Q198" i="56" s="1"/>
  <c r="S198" i="56" s="1"/>
  <c r="AB341" i="56"/>
  <c r="AC341" i="56" s="1"/>
  <c r="AE341" i="56" s="1"/>
  <c r="AB172" i="56"/>
  <c r="AC172" i="56" s="1"/>
  <c r="AE172" i="56" s="1"/>
  <c r="AN388" i="56"/>
  <c r="AO388" i="56" s="1"/>
  <c r="AQ388" i="56" s="1"/>
  <c r="AR336" i="56"/>
  <c r="P297" i="56"/>
  <c r="Q297" i="56" s="1"/>
  <c r="S297" i="56" s="1"/>
  <c r="AB307" i="56"/>
  <c r="AC307" i="56" s="1"/>
  <c r="AE307" i="56" s="1"/>
  <c r="AB255" i="56"/>
  <c r="AC255" i="56" s="1"/>
  <c r="AE255" i="56" s="1"/>
  <c r="AB164" i="56"/>
  <c r="AC164" i="56" s="1"/>
  <c r="AE164" i="56" s="1"/>
  <c r="AN103" i="56"/>
  <c r="AO103" i="56" s="1"/>
  <c r="AQ103" i="56" s="1"/>
  <c r="AR63" i="56"/>
  <c r="AB50" i="56"/>
  <c r="AC50" i="56" s="1"/>
  <c r="AE50" i="56" s="1"/>
  <c r="AB232" i="56"/>
  <c r="AC232" i="56" s="1"/>
  <c r="AE232" i="56" s="1"/>
  <c r="P255" i="56"/>
  <c r="Q255" i="56" s="1"/>
  <c r="S255" i="56" s="1"/>
  <c r="AB360" i="56"/>
  <c r="AC360" i="56" s="1"/>
  <c r="AE360" i="56" s="1"/>
  <c r="AB136" i="56"/>
  <c r="AC136" i="56" s="1"/>
  <c r="AE136" i="56" s="1"/>
  <c r="AB331" i="56"/>
  <c r="AC331" i="56" s="1"/>
  <c r="AE331" i="56" s="1"/>
  <c r="AN152" i="56"/>
  <c r="AO152" i="56" s="1"/>
  <c r="AQ152" i="56" s="1"/>
  <c r="P283" i="56"/>
  <c r="Q283" i="56" s="1"/>
  <c r="S283" i="56" s="1"/>
  <c r="P373" i="56"/>
  <c r="Q373" i="56" s="1"/>
  <c r="S373" i="56" s="1"/>
  <c r="P35" i="56"/>
  <c r="Q35" i="56" s="1"/>
  <c r="S35" i="56" s="1"/>
  <c r="P256" i="56"/>
  <c r="Q256" i="56" s="1"/>
  <c r="S256" i="56" s="1"/>
  <c r="AR277" i="56"/>
  <c r="AR147" i="56"/>
  <c r="AB259" i="56"/>
  <c r="AC259" i="56" s="1"/>
  <c r="AE259" i="56" s="1"/>
  <c r="AB140" i="56"/>
  <c r="AC140" i="56" s="1"/>
  <c r="AE140" i="56" s="1"/>
  <c r="BF336" i="54"/>
  <c r="AR349" i="54"/>
  <c r="AS349" i="54" s="1"/>
  <c r="AU349" i="54" s="1"/>
  <c r="N391" i="54"/>
  <c r="O391" i="54" s="1"/>
  <c r="Q391" i="54" s="1"/>
  <c r="N183" i="54"/>
  <c r="O183" i="54" s="1"/>
  <c r="Q183" i="54" s="1"/>
  <c r="BB106" i="54"/>
  <c r="BC106" i="54" s="1"/>
  <c r="BE106" i="54" s="1"/>
  <c r="BF41" i="54"/>
  <c r="AR304" i="54"/>
  <c r="AS304" i="54" s="1"/>
  <c r="AU304" i="54" s="1"/>
  <c r="AR260" i="54"/>
  <c r="AS260" i="54" s="1"/>
  <c r="AU260" i="54" s="1"/>
  <c r="BF338" i="54"/>
  <c r="BB338" i="54"/>
  <c r="BC338" i="54" s="1"/>
  <c r="BE338" i="54" s="1"/>
  <c r="BF39" i="54"/>
  <c r="AH384" i="54"/>
  <c r="AI384" i="54" s="1"/>
  <c r="AK384" i="54" s="1"/>
  <c r="AR370" i="54"/>
  <c r="AS370" i="54" s="1"/>
  <c r="AU370" i="54" s="1"/>
  <c r="BF279" i="54"/>
  <c r="BF136" i="54"/>
  <c r="N139" i="54"/>
  <c r="O139" i="54" s="1"/>
  <c r="Q139" i="54" s="1"/>
  <c r="AR311" i="54"/>
  <c r="AS311" i="54" s="1"/>
  <c r="AU311" i="54" s="1"/>
  <c r="BB151" i="54"/>
  <c r="BC151" i="54" s="1"/>
  <c r="BE151" i="54" s="1"/>
  <c r="BF110" i="54"/>
  <c r="X357" i="54"/>
  <c r="Y357" i="54" s="1"/>
  <c r="AA357" i="54" s="1"/>
  <c r="X298" i="54"/>
  <c r="Y298" i="54" s="1"/>
  <c r="AA298" i="54" s="1"/>
  <c r="AR218" i="54"/>
  <c r="AS218" i="54" s="1"/>
  <c r="AU218" i="54" s="1"/>
  <c r="AR238" i="54"/>
  <c r="AS238" i="54" s="1"/>
  <c r="AU238" i="54" s="1"/>
  <c r="BB387" i="54"/>
  <c r="BC387" i="54" s="1"/>
  <c r="BE387" i="54" s="1"/>
  <c r="BB153" i="54"/>
  <c r="BC153" i="54" s="1"/>
  <c r="BE153" i="54" s="1"/>
  <c r="AR224" i="54"/>
  <c r="AS224" i="54" s="1"/>
  <c r="AU224" i="54" s="1"/>
  <c r="BF328" i="54"/>
  <c r="N359" i="54"/>
  <c r="O359" i="54" s="1"/>
  <c r="Q359" i="54" s="1"/>
  <c r="N372" i="54"/>
  <c r="O372" i="54" s="1"/>
  <c r="Q372" i="54" s="1"/>
  <c r="AR352" i="54"/>
  <c r="AS352" i="54" s="1"/>
  <c r="AU352" i="54" s="1"/>
  <c r="BF326" i="54"/>
  <c r="BB343" i="54"/>
  <c r="BC343" i="54" s="1"/>
  <c r="BE343" i="54" s="1"/>
  <c r="BF391" i="54"/>
  <c r="BF83" i="54"/>
  <c r="BF252" i="54"/>
  <c r="AR178" i="54"/>
  <c r="AS178" i="54" s="1"/>
  <c r="AU178" i="54" s="1"/>
  <c r="AR165" i="54"/>
  <c r="AS165" i="54" s="1"/>
  <c r="AU165" i="54" s="1"/>
  <c r="BB97" i="54"/>
  <c r="BC97" i="54" s="1"/>
  <c r="BE97" i="54" s="1"/>
  <c r="BB175" i="54"/>
  <c r="BC175" i="54" s="1"/>
  <c r="BE175" i="54" s="1"/>
  <c r="N199" i="54"/>
  <c r="O199" i="54" s="1"/>
  <c r="Q199" i="54" s="1"/>
  <c r="N400" i="54"/>
  <c r="O400" i="54" s="1"/>
  <c r="Q400" i="54" s="1"/>
  <c r="BF218" i="54"/>
  <c r="BB290" i="54"/>
  <c r="BC290" i="54" s="1"/>
  <c r="BE290" i="54" s="1"/>
  <c r="BB173" i="54"/>
  <c r="BC173" i="54" s="1"/>
  <c r="BE173" i="54" s="1"/>
  <c r="BF186" i="54"/>
  <c r="BB139" i="54"/>
  <c r="BC139" i="54" s="1"/>
  <c r="BE139" i="54" s="1"/>
  <c r="BG113" i="54"/>
  <c r="X199" i="54"/>
  <c r="Y199" i="54" s="1"/>
  <c r="AA199" i="54" s="1"/>
  <c r="BB272" i="54"/>
  <c r="BC272" i="54" s="1"/>
  <c r="BE272" i="54" s="1"/>
  <c r="N285" i="54"/>
  <c r="O285" i="54" s="1"/>
  <c r="Q285" i="54" s="1"/>
  <c r="BF332" i="54"/>
  <c r="N362" i="54"/>
  <c r="O362" i="54" s="1"/>
  <c r="Q362" i="54" s="1"/>
  <c r="N336" i="54"/>
  <c r="O336" i="54" s="1"/>
  <c r="Q336" i="54" s="1"/>
  <c r="AR229" i="54"/>
  <c r="AS229" i="54" s="1"/>
  <c r="AU229" i="54" s="1"/>
  <c r="AR346" i="54"/>
  <c r="AS346" i="54" s="1"/>
  <c r="AU346" i="54" s="1"/>
  <c r="BF59" i="54"/>
  <c r="BB150" i="54"/>
  <c r="BC150" i="54" s="1"/>
  <c r="BE150" i="54" s="1"/>
  <c r="BB189" i="54"/>
  <c r="BC189" i="54" s="1"/>
  <c r="BE189" i="54" s="1"/>
  <c r="N33" i="54"/>
  <c r="O33" i="54" s="1"/>
  <c r="Q33" i="54" s="1"/>
  <c r="BF27" i="54"/>
  <c r="BB209" i="54"/>
  <c r="BC209" i="54" s="1"/>
  <c r="BE209" i="54" s="1"/>
  <c r="BB339" i="54"/>
  <c r="BC339" i="54" s="1"/>
  <c r="BE339" i="54" s="1"/>
  <c r="BB235" i="54"/>
  <c r="BC235" i="54" s="1"/>
  <c r="BE235" i="54" s="1"/>
  <c r="AR145" i="54"/>
  <c r="AS145" i="54" s="1"/>
  <c r="AU145" i="54" s="1"/>
  <c r="BB388" i="54"/>
  <c r="BC388" i="54" s="1"/>
  <c r="BE388" i="54" s="1"/>
  <c r="BB128" i="54"/>
  <c r="BC128" i="54" s="1"/>
  <c r="BE128" i="54" s="1"/>
  <c r="AN346" i="56"/>
  <c r="AO346" i="56" s="1"/>
  <c r="AQ346" i="56" s="1"/>
  <c r="BF50" i="54"/>
  <c r="AR145" i="56"/>
  <c r="AR158" i="56"/>
  <c r="AR136" i="56"/>
  <c r="AR353" i="56"/>
  <c r="AR291" i="56"/>
  <c r="AR115" i="56"/>
  <c r="AR206" i="56"/>
  <c r="AR201" i="56"/>
  <c r="AR269" i="56"/>
  <c r="BG210" i="54"/>
  <c r="BF145" i="54"/>
  <c r="BG54" i="54"/>
  <c r="BF234" i="54"/>
  <c r="X235" i="54"/>
  <c r="Y235" i="54" s="1"/>
  <c r="AA235" i="54" s="1"/>
  <c r="AH221" i="54"/>
  <c r="AI221" i="54" s="1"/>
  <c r="AK221" i="54" s="1"/>
  <c r="AH331" i="54"/>
  <c r="AI331" i="54" s="1"/>
  <c r="AK331" i="54" s="1"/>
  <c r="AH383" i="54"/>
  <c r="AI383" i="54" s="1"/>
  <c r="AK383" i="54" s="1"/>
  <c r="X25" i="54"/>
  <c r="Y25" i="54" s="1"/>
  <c r="AA25" i="54" s="1"/>
  <c r="AH233" i="54"/>
  <c r="AI233" i="54" s="1"/>
  <c r="AK233" i="54" s="1"/>
  <c r="X301" i="54"/>
  <c r="Y301" i="54" s="1"/>
  <c r="AA301" i="54" s="1"/>
  <c r="X340" i="54"/>
  <c r="Y340" i="54" s="1"/>
  <c r="AA340" i="54" s="1"/>
  <c r="BF226" i="54"/>
  <c r="BF135" i="54"/>
  <c r="AH315" i="54"/>
  <c r="AI315" i="54" s="1"/>
  <c r="AK315" i="54" s="1"/>
  <c r="X213" i="54"/>
  <c r="Y213" i="54" s="1"/>
  <c r="AA213" i="54" s="1"/>
  <c r="AH217" i="54"/>
  <c r="AI217" i="54" s="1"/>
  <c r="AK217" i="54" s="1"/>
  <c r="AR217" i="54"/>
  <c r="AS217" i="54" s="1"/>
  <c r="AU217" i="54" s="1"/>
  <c r="X336" i="54"/>
  <c r="Y336" i="54" s="1"/>
  <c r="AA336" i="54" s="1"/>
  <c r="BF58" i="54"/>
  <c r="BG214" i="54"/>
  <c r="BB292" i="54"/>
  <c r="BC292" i="54" s="1"/>
  <c r="BE292" i="54" s="1"/>
  <c r="N368" i="54"/>
  <c r="O368" i="54" s="1"/>
  <c r="Q368" i="54" s="1"/>
  <c r="N387" i="54"/>
  <c r="O387" i="54" s="1"/>
  <c r="Q387" i="54" s="1"/>
  <c r="BB199" i="54"/>
  <c r="BC199" i="54" s="1"/>
  <c r="BE199" i="54" s="1"/>
  <c r="BB368" i="54"/>
  <c r="BC368" i="54" s="1"/>
  <c r="BE368" i="54" s="1"/>
  <c r="BB334" i="54"/>
  <c r="BC334" i="54" s="1"/>
  <c r="BE334" i="54" s="1"/>
  <c r="X290" i="54"/>
  <c r="Y290" i="54" s="1"/>
  <c r="AA290" i="54" s="1"/>
  <c r="BF77" i="54"/>
  <c r="BF38" i="54"/>
  <c r="N194" i="54"/>
  <c r="O194" i="54" s="1"/>
  <c r="Q194" i="54" s="1"/>
  <c r="N245" i="54"/>
  <c r="O245" i="54" s="1"/>
  <c r="Q245" i="54" s="1"/>
  <c r="AR398" i="54"/>
  <c r="AS398" i="54" s="1"/>
  <c r="AU398" i="54" s="1"/>
  <c r="BB163" i="54"/>
  <c r="BC163" i="54" s="1"/>
  <c r="BE163" i="54" s="1"/>
  <c r="BF176" i="54"/>
  <c r="BB404" i="54"/>
  <c r="BC404" i="54" s="1"/>
  <c r="BE404" i="54" s="1"/>
  <c r="AR169" i="56"/>
  <c r="AR351" i="56"/>
  <c r="AR210" i="56"/>
  <c r="AR54" i="56"/>
  <c r="AR267" i="56"/>
  <c r="AR391" i="56"/>
  <c r="AR259" i="56"/>
  <c r="AR370" i="56"/>
  <c r="AR386" i="56"/>
  <c r="AR243" i="56"/>
  <c r="AR355" i="56"/>
  <c r="BF93" i="54"/>
  <c r="BF119" i="54"/>
  <c r="BF351" i="54"/>
  <c r="BF390" i="54"/>
  <c r="X319" i="54"/>
  <c r="Y319" i="54" s="1"/>
  <c r="AA319" i="54" s="1"/>
  <c r="BF247" i="54"/>
  <c r="AH305" i="54"/>
  <c r="AI305" i="54" s="1"/>
  <c r="AK305" i="54" s="1"/>
  <c r="AH370" i="54"/>
  <c r="AI370" i="54" s="1"/>
  <c r="AK370" i="54" s="1"/>
  <c r="AH175" i="54"/>
  <c r="AI175" i="54" s="1"/>
  <c r="AK175" i="54" s="1"/>
  <c r="AH227" i="54"/>
  <c r="AI227" i="54" s="1"/>
  <c r="AK227" i="54" s="1"/>
  <c r="X194" i="54"/>
  <c r="Y194" i="54" s="1"/>
  <c r="AA194" i="54" s="1"/>
  <c r="X116" i="54"/>
  <c r="Y116" i="54" s="1"/>
  <c r="AA116" i="54" s="1"/>
  <c r="BF296" i="54"/>
  <c r="BF68" i="54"/>
  <c r="BG31" i="54"/>
  <c r="AH326" i="54"/>
  <c r="AI326" i="54" s="1"/>
  <c r="AK326" i="54" s="1"/>
  <c r="AH378" i="54"/>
  <c r="AI378" i="54" s="1"/>
  <c r="AK378" i="54" s="1"/>
  <c r="X395" i="54"/>
  <c r="Y395" i="54" s="1"/>
  <c r="AA395" i="54" s="1"/>
  <c r="AH369" i="54"/>
  <c r="AI369" i="54" s="1"/>
  <c r="AK369" i="54" s="1"/>
  <c r="AH165" i="54"/>
  <c r="AI165" i="54" s="1"/>
  <c r="AK165" i="54" s="1"/>
  <c r="AH243" i="54"/>
  <c r="AI243" i="54" s="1"/>
  <c r="AK243" i="54" s="1"/>
  <c r="AH186" i="54"/>
  <c r="AI186" i="54" s="1"/>
  <c r="AK186" i="54" s="1"/>
  <c r="BF162" i="54"/>
  <c r="X191" i="54"/>
  <c r="Y191" i="54" s="1"/>
  <c r="AA191" i="54" s="1"/>
  <c r="BF82" i="54"/>
  <c r="BF347" i="54"/>
  <c r="BF217" i="54"/>
  <c r="BF87" i="54"/>
  <c r="X368" i="54"/>
  <c r="Y368" i="54" s="1"/>
  <c r="AA368" i="54" s="1"/>
  <c r="BF168" i="54"/>
  <c r="X403" i="54"/>
  <c r="Y403" i="54" s="1"/>
  <c r="AA403" i="54" s="1"/>
  <c r="BF358" i="54"/>
  <c r="BF384" i="54"/>
  <c r="BG72" i="54"/>
  <c r="BF300" i="54"/>
  <c r="X133" i="54"/>
  <c r="Y133" i="54" s="1"/>
  <c r="AA133" i="54" s="1"/>
  <c r="BF297" i="54"/>
  <c r="AH141" i="54"/>
  <c r="AI141" i="54" s="1"/>
  <c r="AK141" i="54" s="1"/>
  <c r="N282" i="54"/>
  <c r="O282" i="54" s="1"/>
  <c r="Q282" i="54" s="1"/>
  <c r="N230" i="54"/>
  <c r="O230" i="54" s="1"/>
  <c r="Q230" i="54" s="1"/>
  <c r="N203" i="54"/>
  <c r="O203" i="54" s="1"/>
  <c r="Q203" i="54" s="1"/>
  <c r="N315" i="54"/>
  <c r="O315" i="54" s="1"/>
  <c r="Q315" i="54" s="1"/>
  <c r="N94" i="54"/>
  <c r="O94" i="54" s="1"/>
  <c r="Q94" i="54" s="1"/>
  <c r="BG56" i="54"/>
  <c r="N62" i="54"/>
  <c r="O62" i="54" s="1"/>
  <c r="Q62" i="54" s="1"/>
  <c r="N142" i="54"/>
  <c r="O142" i="54" s="1"/>
  <c r="Q142" i="54" s="1"/>
  <c r="N388" i="54"/>
  <c r="O388" i="54" s="1"/>
  <c r="Q388" i="54" s="1"/>
  <c r="N241" i="54"/>
  <c r="O241" i="54" s="1"/>
  <c r="Q241" i="54" s="1"/>
  <c r="AB260" i="56"/>
  <c r="AC260" i="56" s="1"/>
  <c r="AE260" i="56" s="1"/>
  <c r="AR208" i="56"/>
  <c r="AN319" i="56"/>
  <c r="AO319" i="56" s="1"/>
  <c r="AQ319" i="56" s="1"/>
  <c r="AN124" i="56"/>
  <c r="AO124" i="56" s="1"/>
  <c r="AQ124" i="56" s="1"/>
  <c r="AB405" i="56"/>
  <c r="AC405" i="56" s="1"/>
  <c r="AE405" i="56" s="1"/>
  <c r="AB184" i="56"/>
  <c r="AC184" i="56" s="1"/>
  <c r="AE184" i="56" s="1"/>
  <c r="AN213" i="56"/>
  <c r="AO213" i="56" s="1"/>
  <c r="AQ213" i="56" s="1"/>
  <c r="AN161" i="56"/>
  <c r="AO161" i="56" s="1"/>
  <c r="AQ161" i="56" s="1"/>
  <c r="AN237" i="56"/>
  <c r="AO237" i="56" s="1"/>
  <c r="AQ237" i="56" s="1"/>
  <c r="AN281" i="56"/>
  <c r="AO281" i="56" s="1"/>
  <c r="AQ281" i="56" s="1"/>
  <c r="AN312" i="56"/>
  <c r="AO312" i="56" s="1"/>
  <c r="AQ312" i="56" s="1"/>
  <c r="AN377" i="56"/>
  <c r="AO377" i="56" s="1"/>
  <c r="AQ377" i="56" s="1"/>
  <c r="P241" i="56"/>
  <c r="Q241" i="56" s="1"/>
  <c r="S241" i="56" s="1"/>
  <c r="AB391" i="56"/>
  <c r="AC391" i="56" s="1"/>
  <c r="AE391" i="56" s="1"/>
  <c r="AB66" i="56"/>
  <c r="AC66" i="56" s="1"/>
  <c r="AE66" i="56" s="1"/>
  <c r="AB378" i="56"/>
  <c r="AC378" i="56" s="1"/>
  <c r="AE378" i="56" s="1"/>
  <c r="AR157" i="56"/>
  <c r="P326" i="56"/>
  <c r="Q326" i="56" s="1"/>
  <c r="S326" i="56" s="1"/>
  <c r="AB239" i="56"/>
  <c r="AC239" i="56" s="1"/>
  <c r="AE239" i="56" s="1"/>
  <c r="AR59" i="56"/>
  <c r="P133" i="56"/>
  <c r="Q133" i="56" s="1"/>
  <c r="S133" i="56" s="1"/>
  <c r="AB159" i="56"/>
  <c r="AC159" i="56" s="1"/>
  <c r="AE159" i="56" s="1"/>
  <c r="AB276" i="56"/>
  <c r="AC276" i="56" s="1"/>
  <c r="AE276" i="56" s="1"/>
  <c r="AR76" i="56"/>
  <c r="P76" i="56"/>
  <c r="Q76" i="56" s="1"/>
  <c r="S76" i="56" s="1"/>
  <c r="AR323" i="56"/>
  <c r="AB268" i="56"/>
  <c r="AC268" i="56" s="1"/>
  <c r="AE268" i="56" s="1"/>
  <c r="AR112" i="56"/>
  <c r="AB121" i="56"/>
  <c r="AC121" i="56" s="1"/>
  <c r="AE121" i="56" s="1"/>
  <c r="AN402" i="56"/>
  <c r="AO402" i="56" s="1"/>
  <c r="AQ402" i="56" s="1"/>
  <c r="AB167" i="56"/>
  <c r="AC167" i="56" s="1"/>
  <c r="AE167" i="56" s="1"/>
  <c r="AR203" i="56"/>
  <c r="AR359" i="56"/>
  <c r="AR22" i="56"/>
  <c r="AB61" i="56"/>
  <c r="AC61" i="56" s="1"/>
  <c r="AE61" i="56" s="1"/>
  <c r="AB292" i="56"/>
  <c r="AC292" i="56" s="1"/>
  <c r="AE292" i="56" s="1"/>
  <c r="AR123" i="56"/>
  <c r="AN178" i="56"/>
  <c r="AO178" i="56" s="1"/>
  <c r="AQ178" i="56" s="1"/>
  <c r="P23" i="56"/>
  <c r="Q23" i="56" s="1"/>
  <c r="S23" i="56" s="1"/>
  <c r="AR36" i="56"/>
  <c r="AR88" i="56"/>
  <c r="P126" i="56"/>
  <c r="Q126" i="56" s="1"/>
  <c r="S126" i="56" s="1"/>
  <c r="P295" i="56"/>
  <c r="Q295" i="56" s="1"/>
  <c r="S295" i="56" s="1"/>
  <c r="AR113" i="56"/>
  <c r="AR142" i="56"/>
  <c r="AB322" i="56"/>
  <c r="AC322" i="56" s="1"/>
  <c r="AE322" i="56" s="1"/>
  <c r="AR153" i="56"/>
  <c r="AR206" i="54"/>
  <c r="AS206" i="54" s="1"/>
  <c r="AU206" i="54" s="1"/>
  <c r="AR388" i="54"/>
  <c r="AS388" i="54" s="1"/>
  <c r="AU388" i="54" s="1"/>
  <c r="N170" i="54"/>
  <c r="O170" i="54" s="1"/>
  <c r="Q170" i="54" s="1"/>
  <c r="BB301" i="54"/>
  <c r="BC301" i="54" s="1"/>
  <c r="BE301" i="54" s="1"/>
  <c r="BF369" i="54"/>
  <c r="AR252" i="54"/>
  <c r="AS252" i="54" s="1"/>
  <c r="AU252" i="54" s="1"/>
  <c r="AR351" i="54"/>
  <c r="AS351" i="54" s="1"/>
  <c r="AU351" i="54" s="1"/>
  <c r="AR195" i="54"/>
  <c r="AS195" i="54" s="1"/>
  <c r="AU195" i="54" s="1"/>
  <c r="BB325" i="54"/>
  <c r="BC325" i="54" s="1"/>
  <c r="BE325" i="54" s="1"/>
  <c r="BB156" i="54"/>
  <c r="BC156" i="54" s="1"/>
  <c r="BE156" i="54" s="1"/>
  <c r="BB312" i="54"/>
  <c r="BC312" i="54" s="1"/>
  <c r="BE312" i="54" s="1"/>
  <c r="X267" i="54"/>
  <c r="Y267" i="54" s="1"/>
  <c r="AA267" i="54" s="1"/>
  <c r="X313" i="54"/>
  <c r="Y313" i="54" s="1"/>
  <c r="AA313" i="54" s="1"/>
  <c r="X157" i="54"/>
  <c r="Y157" i="54" s="1"/>
  <c r="AA157" i="54" s="1"/>
  <c r="BF195" i="54"/>
  <c r="BF403" i="54"/>
  <c r="AR344" i="54"/>
  <c r="AS344" i="54" s="1"/>
  <c r="AU344" i="54" s="1"/>
  <c r="AR266" i="54"/>
  <c r="AS266" i="54" s="1"/>
  <c r="AU266" i="54" s="1"/>
  <c r="AR227" i="54"/>
  <c r="AS227" i="54" s="1"/>
  <c r="AU227" i="54" s="1"/>
  <c r="BF292" i="54"/>
  <c r="AR259" i="54"/>
  <c r="AS259" i="54" s="1"/>
  <c r="AU259" i="54" s="1"/>
  <c r="AR389" i="54"/>
  <c r="AS389" i="54" s="1"/>
  <c r="AU389" i="54" s="1"/>
  <c r="BF21" i="54"/>
  <c r="BF47" i="54"/>
  <c r="BF103" i="54"/>
  <c r="BF129" i="54"/>
  <c r="AR374" i="54"/>
  <c r="AS374" i="54" s="1"/>
  <c r="AU374" i="54" s="1"/>
  <c r="BF335" i="54"/>
  <c r="AR290" i="54"/>
  <c r="AS290" i="54" s="1"/>
  <c r="AU290" i="54" s="1"/>
  <c r="BB179" i="54"/>
  <c r="BC179" i="54" s="1"/>
  <c r="BE179" i="54" s="1"/>
  <c r="N255" i="54"/>
  <c r="O255" i="54" s="1"/>
  <c r="Q255" i="54" s="1"/>
  <c r="BB341" i="54"/>
  <c r="BC341" i="54" s="1"/>
  <c r="BE341" i="54" s="1"/>
  <c r="BB133" i="54"/>
  <c r="BC133" i="54" s="1"/>
  <c r="BE133" i="54" s="1"/>
  <c r="AR222" i="54"/>
  <c r="AS222" i="54" s="1"/>
  <c r="AU222" i="54" s="1"/>
  <c r="BB382" i="54"/>
  <c r="BC382" i="54" s="1"/>
  <c r="BE382" i="54" s="1"/>
  <c r="BB278" i="54"/>
  <c r="BC278" i="54" s="1"/>
  <c r="BE278" i="54" s="1"/>
  <c r="BB148" i="54"/>
  <c r="BC148" i="54" s="1"/>
  <c r="BE148" i="54" s="1"/>
  <c r="AH185" i="54"/>
  <c r="AI185" i="54" s="1"/>
  <c r="AK185" i="54" s="1"/>
  <c r="N159" i="54"/>
  <c r="O159" i="54" s="1"/>
  <c r="Q159" i="54" s="1"/>
  <c r="N55" i="54"/>
  <c r="O55" i="54" s="1"/>
  <c r="Q55" i="54" s="1"/>
  <c r="X187" i="54"/>
  <c r="Y187" i="54" s="1"/>
  <c r="AA187" i="54" s="1"/>
  <c r="BF152" i="54"/>
  <c r="AR230" i="54"/>
  <c r="AS230" i="54" s="1"/>
  <c r="AU230" i="54" s="1"/>
  <c r="BF381" i="54"/>
  <c r="X375" i="54"/>
  <c r="Y375" i="54" s="1"/>
  <c r="AA375" i="54" s="1"/>
  <c r="BB331" i="54"/>
  <c r="BC331" i="54" s="1"/>
  <c r="BE331" i="54" s="1"/>
  <c r="BF370" i="54"/>
  <c r="BB84" i="54"/>
  <c r="BC84" i="54" s="1"/>
  <c r="BE84" i="54" s="1"/>
  <c r="BB227" i="54"/>
  <c r="BC227" i="54" s="1"/>
  <c r="BE227" i="54" s="1"/>
  <c r="BF387" i="54"/>
  <c r="N348" i="54"/>
  <c r="O348" i="54" s="1"/>
  <c r="Q348" i="54" s="1"/>
  <c r="BB212" i="54"/>
  <c r="BC212" i="54" s="1"/>
  <c r="BE212" i="54" s="1"/>
  <c r="BF69" i="54"/>
  <c r="BF17" i="54"/>
  <c r="BF385" i="54"/>
  <c r="BB321" i="54"/>
  <c r="BC321" i="54" s="1"/>
  <c r="BE321" i="54" s="1"/>
  <c r="BB152" i="54"/>
  <c r="BC152" i="54" s="1"/>
  <c r="BE152" i="54" s="1"/>
  <c r="BB298" i="54"/>
  <c r="BC298" i="54" s="1"/>
  <c r="BE298" i="54" s="1"/>
  <c r="BB337" i="54"/>
  <c r="BC337" i="54" s="1"/>
  <c r="BE337" i="54" s="1"/>
  <c r="BG402" i="54"/>
  <c r="BF267" i="54"/>
  <c r="AR371" i="54"/>
  <c r="AS371" i="54" s="1"/>
  <c r="AU371" i="54" s="1"/>
  <c r="N76" i="54"/>
  <c r="O76" i="54" s="1"/>
  <c r="Q76" i="54" s="1"/>
  <c r="N349" i="54"/>
  <c r="O349" i="54" s="1"/>
  <c r="Q349" i="54" s="1"/>
  <c r="AR255" i="54"/>
  <c r="AS255" i="54" s="1"/>
  <c r="AU255" i="54" s="1"/>
  <c r="BB137" i="54"/>
  <c r="BC137" i="54" s="1"/>
  <c r="BE137" i="54" s="1"/>
  <c r="N59" i="54"/>
  <c r="O59" i="54" s="1"/>
  <c r="Q59" i="54" s="1"/>
  <c r="BF378" i="54"/>
  <c r="BB92" i="54"/>
  <c r="BC92" i="54" s="1"/>
  <c r="BE92" i="54" s="1"/>
  <c r="AR353" i="54"/>
  <c r="AS353" i="54" s="1"/>
  <c r="AU353" i="54" s="1"/>
  <c r="AR379" i="54"/>
  <c r="AS379" i="54" s="1"/>
  <c r="AU379" i="54" s="1"/>
  <c r="BF206" i="54"/>
  <c r="BB167" i="54"/>
  <c r="BC167" i="54" s="1"/>
  <c r="BE167" i="54" s="1"/>
  <c r="BF258" i="54"/>
  <c r="BF353" i="54"/>
  <c r="AR156" i="56"/>
  <c r="AR221" i="56"/>
  <c r="AR223" i="56"/>
  <c r="AR57" i="56"/>
  <c r="AR85" i="56"/>
  <c r="AR287" i="56"/>
  <c r="AR222" i="56"/>
  <c r="AR380" i="56"/>
  <c r="AR198" i="56"/>
  <c r="AR211" i="56"/>
  <c r="AR55" i="56"/>
  <c r="AR224" i="56"/>
  <c r="AR401" i="56"/>
  <c r="AR154" i="56"/>
  <c r="AR297" i="56"/>
  <c r="AR193" i="56"/>
  <c r="AR108" i="56"/>
  <c r="AR232" i="56"/>
  <c r="AR242" i="56"/>
  <c r="AR255" i="56"/>
  <c r="AR350" i="56"/>
  <c r="AR324" i="56"/>
  <c r="AR298" i="56"/>
  <c r="AR387" i="56"/>
  <c r="AR35" i="56"/>
  <c r="AR256" i="56"/>
  <c r="AR74" i="56"/>
  <c r="AR316" i="56"/>
  <c r="AR116" i="56"/>
  <c r="AR400" i="56"/>
  <c r="BG39" i="54"/>
  <c r="X59" i="54"/>
  <c r="Y59" i="54" s="1"/>
  <c r="AA59" i="54" s="1"/>
  <c r="X228" i="54"/>
  <c r="Y228" i="54" s="1"/>
  <c r="AA228" i="54" s="1"/>
  <c r="BF359" i="54"/>
  <c r="AH359" i="54"/>
  <c r="AI359" i="54" s="1"/>
  <c r="AK359" i="54" s="1"/>
  <c r="BF281" i="54"/>
  <c r="BF99" i="54"/>
  <c r="X110" i="54"/>
  <c r="Y110" i="54" s="1"/>
  <c r="AA110" i="54" s="1"/>
  <c r="X19" i="54"/>
  <c r="Y19" i="54" s="1"/>
  <c r="AA19" i="54" s="1"/>
  <c r="X324" i="54"/>
  <c r="Y324" i="54" s="1"/>
  <c r="AA324" i="54" s="1"/>
  <c r="BF153" i="54"/>
  <c r="BF114" i="54"/>
  <c r="AH285" i="54"/>
  <c r="AI285" i="54" s="1"/>
  <c r="AK285" i="54" s="1"/>
  <c r="AH155" i="54"/>
  <c r="AI155" i="54" s="1"/>
  <c r="AK155" i="54" s="1"/>
  <c r="BF302" i="54"/>
  <c r="BF211" i="54"/>
  <c r="BF276" i="54"/>
  <c r="BF223" i="54"/>
  <c r="BF356" i="54"/>
  <c r="BF343" i="54"/>
  <c r="BF109" i="54"/>
  <c r="X239" i="54"/>
  <c r="Y239" i="54" s="1"/>
  <c r="AA239" i="54" s="1"/>
  <c r="X70" i="54"/>
  <c r="Y70" i="54" s="1"/>
  <c r="AA70" i="54" s="1"/>
  <c r="AH373" i="54"/>
  <c r="AI373" i="54" s="1"/>
  <c r="AK373" i="54" s="1"/>
  <c r="AH230" i="54"/>
  <c r="AI230" i="54" s="1"/>
  <c r="AK230" i="54" s="1"/>
  <c r="AH82" i="54"/>
  <c r="AI82" i="54" s="1"/>
  <c r="AK82" i="54" s="1"/>
  <c r="AH290" i="54"/>
  <c r="AI290" i="54" s="1"/>
  <c r="AK290" i="54" s="1"/>
  <c r="X219" i="54"/>
  <c r="Y219" i="54" s="1"/>
  <c r="AA219" i="54" s="1"/>
  <c r="BF141" i="54"/>
  <c r="X245" i="54"/>
  <c r="Y245" i="54" s="1"/>
  <c r="AA245" i="54" s="1"/>
  <c r="BF175" i="54"/>
  <c r="X321" i="54"/>
  <c r="Y321" i="54" s="1"/>
  <c r="AA321" i="54" s="1"/>
  <c r="AH244" i="54"/>
  <c r="AI244" i="54" s="1"/>
  <c r="AK244" i="54" s="1"/>
  <c r="BF290" i="54"/>
  <c r="BF173" i="54"/>
  <c r="BF399" i="54"/>
  <c r="BF139" i="54"/>
  <c r="BF113" i="54"/>
  <c r="BF243" i="54"/>
  <c r="X212" i="54"/>
  <c r="Y212" i="54" s="1"/>
  <c r="AA212" i="54" s="1"/>
  <c r="BF285" i="54"/>
  <c r="BF259" i="54"/>
  <c r="X273" i="54"/>
  <c r="Y273" i="54" s="1"/>
  <c r="AA273" i="54" s="1"/>
  <c r="X91" i="54"/>
  <c r="Y91" i="54" s="1"/>
  <c r="AA91" i="54" s="1"/>
  <c r="BF111" i="54"/>
  <c r="BF150" i="54"/>
  <c r="BF280" i="54"/>
  <c r="BF235" i="54"/>
  <c r="BF275" i="54"/>
  <c r="BF106" i="54"/>
  <c r="AH93" i="54"/>
  <c r="AI93" i="54" s="1"/>
  <c r="AK93" i="54" s="1"/>
  <c r="X68" i="54"/>
  <c r="Y68" i="54" s="1"/>
  <c r="AA68" i="54" s="1"/>
  <c r="BF102" i="54"/>
  <c r="AN316" i="56"/>
  <c r="AO316" i="56" s="1"/>
  <c r="AQ316" i="56" s="1"/>
  <c r="AO342" i="56"/>
  <c r="AQ342" i="56" s="1"/>
  <c r="O148" i="54"/>
  <c r="Q148" i="54" s="1"/>
  <c r="Q369" i="56"/>
  <c r="S369" i="56" s="1"/>
  <c r="Q299" i="56"/>
  <c r="S299" i="56" s="1"/>
  <c r="O318" i="54"/>
  <c r="Q318" i="54" s="1"/>
  <c r="O396" i="54"/>
  <c r="Q396" i="54" s="1"/>
  <c r="N43" i="54"/>
  <c r="O43" i="54" s="1"/>
  <c r="Q43" i="54" s="1"/>
  <c r="N231" i="54"/>
  <c r="O231" i="54" s="1"/>
  <c r="Q231" i="54" s="1"/>
  <c r="N350" i="54"/>
  <c r="O350" i="54" s="1"/>
  <c r="Q350" i="54" s="1"/>
  <c r="N375" i="54"/>
  <c r="O375" i="54" s="1"/>
  <c r="Q375" i="54" s="1"/>
  <c r="N180" i="54"/>
  <c r="O180" i="54" s="1"/>
  <c r="Q180" i="54" s="1"/>
  <c r="AN300" i="56"/>
  <c r="AO300" i="56" s="1"/>
  <c r="AQ300" i="56" s="1"/>
  <c r="AB403" i="56"/>
  <c r="AC403" i="56" s="1"/>
  <c r="AE403" i="56" s="1"/>
  <c r="AR52" i="56"/>
  <c r="AB171" i="56"/>
  <c r="AC171" i="56" s="1"/>
  <c r="AE171" i="56" s="1"/>
  <c r="AB119" i="56"/>
  <c r="AC119" i="56" s="1"/>
  <c r="AE119" i="56" s="1"/>
  <c r="AN185" i="56"/>
  <c r="AO185" i="56" s="1"/>
  <c r="AQ185" i="56" s="1"/>
  <c r="AN372" i="56"/>
  <c r="AO372" i="56" s="1"/>
  <c r="AQ372" i="56" s="1"/>
  <c r="AN34" i="56"/>
  <c r="AO34" i="56" s="1"/>
  <c r="AQ34" i="56" s="1"/>
  <c r="AR65" i="56"/>
  <c r="P293" i="56"/>
  <c r="Q293" i="56" s="1"/>
  <c r="S293" i="56" s="1"/>
  <c r="AB300" i="56"/>
  <c r="AC300" i="56" s="1"/>
  <c r="AE300" i="56" s="1"/>
  <c r="P27" i="56"/>
  <c r="Q27" i="56" s="1"/>
  <c r="S27" i="56" s="1"/>
  <c r="AB176" i="56"/>
  <c r="AC176" i="56" s="1"/>
  <c r="AE176" i="56" s="1"/>
  <c r="P289" i="56"/>
  <c r="Q289" i="56" s="1"/>
  <c r="S289" i="56" s="1"/>
  <c r="P107" i="56"/>
  <c r="Q107" i="56" s="1"/>
  <c r="S107" i="56" s="1"/>
  <c r="AB393" i="56"/>
  <c r="AC393" i="56" s="1"/>
  <c r="AE393" i="56" s="1"/>
  <c r="AN258" i="56"/>
  <c r="AO258" i="56" s="1"/>
  <c r="AQ258" i="56" s="1"/>
  <c r="P375" i="56"/>
  <c r="Q375" i="56" s="1"/>
  <c r="S375" i="56" s="1"/>
  <c r="P50" i="56"/>
  <c r="Q50" i="56" s="1"/>
  <c r="S50" i="56" s="1"/>
  <c r="AB203" i="56"/>
  <c r="AC203" i="56" s="1"/>
  <c r="AE203" i="56" s="1"/>
  <c r="AB151" i="56"/>
  <c r="AC151" i="56" s="1"/>
  <c r="AE151" i="56" s="1"/>
  <c r="AB251" i="56"/>
  <c r="AC251" i="56" s="1"/>
  <c r="AE251" i="56" s="1"/>
  <c r="AN311" i="56"/>
  <c r="AO311" i="56" s="1"/>
  <c r="AQ311" i="56" s="1"/>
  <c r="P138" i="56"/>
  <c r="Q138" i="56" s="1"/>
  <c r="S138" i="56" s="1"/>
  <c r="AR151" i="56"/>
  <c r="P220" i="56"/>
  <c r="Q220" i="56" s="1"/>
  <c r="S220" i="56" s="1"/>
  <c r="P311" i="56"/>
  <c r="Q311" i="56" s="1"/>
  <c r="S311" i="56" s="1"/>
  <c r="AR97" i="56"/>
  <c r="AN108" i="56"/>
  <c r="AO108" i="56" s="1"/>
  <c r="AQ108" i="56" s="1"/>
  <c r="AN30" i="56"/>
  <c r="AO30" i="56" s="1"/>
  <c r="AQ30" i="56" s="1"/>
  <c r="P322" i="56"/>
  <c r="Q322" i="56" s="1"/>
  <c r="S322" i="56" s="1"/>
  <c r="P270" i="56"/>
  <c r="Q270" i="56" s="1"/>
  <c r="S270" i="56" s="1"/>
  <c r="P212" i="56"/>
  <c r="Q212" i="56" s="1"/>
  <c r="S212" i="56" s="1"/>
  <c r="AB155" i="56"/>
  <c r="AC155" i="56" s="1"/>
  <c r="AE155" i="56" s="1"/>
  <c r="AB36" i="56"/>
  <c r="AC36" i="56" s="1"/>
  <c r="AE36" i="56" s="1"/>
  <c r="N404" i="54"/>
  <c r="O404" i="54" s="1"/>
  <c r="Q404" i="54" s="1"/>
  <c r="N209" i="54"/>
  <c r="O209" i="54" s="1"/>
  <c r="Q209" i="54" s="1"/>
  <c r="BF379" i="54"/>
  <c r="BF67" i="54"/>
  <c r="BB314" i="54"/>
  <c r="BC314" i="54" s="1"/>
  <c r="BE314" i="54" s="1"/>
  <c r="BF330" i="54"/>
  <c r="BF317" i="54"/>
  <c r="AR109" i="54"/>
  <c r="AS109" i="54" s="1"/>
  <c r="AU109" i="54" s="1"/>
  <c r="BF265" i="54"/>
  <c r="AR364" i="54"/>
  <c r="AS364" i="54" s="1"/>
  <c r="AU364" i="54" s="1"/>
  <c r="AR169" i="54"/>
  <c r="AS169" i="54" s="1"/>
  <c r="AU169" i="54" s="1"/>
  <c r="BB377" i="54"/>
  <c r="BC377" i="54" s="1"/>
  <c r="BE377" i="54" s="1"/>
  <c r="BG52" i="54"/>
  <c r="BF287" i="54"/>
  <c r="BF364" i="54"/>
  <c r="AR305" i="54"/>
  <c r="AS305" i="54" s="1"/>
  <c r="AU305" i="54" s="1"/>
  <c r="BF331" i="54"/>
  <c r="BF396" i="54"/>
  <c r="BF201" i="54"/>
  <c r="N35" i="54"/>
  <c r="O35" i="54" s="1"/>
  <c r="Q35" i="54" s="1"/>
  <c r="AR246" i="54"/>
  <c r="AS246" i="54" s="1"/>
  <c r="AU246" i="54" s="1"/>
  <c r="AR400" i="54"/>
  <c r="AS400" i="54" s="1"/>
  <c r="AU400" i="54" s="1"/>
  <c r="AR231" i="54"/>
  <c r="AS231" i="54" s="1"/>
  <c r="AU231" i="54" s="1"/>
  <c r="BF329" i="54"/>
  <c r="BF374" i="54"/>
  <c r="BF49" i="54"/>
  <c r="AR250" i="54"/>
  <c r="AS250" i="54" s="1"/>
  <c r="AU250" i="54" s="1"/>
  <c r="N125" i="54"/>
  <c r="O125" i="54" s="1"/>
  <c r="Q125" i="54" s="1"/>
  <c r="BB185" i="54"/>
  <c r="BC185" i="54" s="1"/>
  <c r="BE185" i="54" s="1"/>
  <c r="AR391" i="54"/>
  <c r="AS391" i="54" s="1"/>
  <c r="AU391" i="54" s="1"/>
  <c r="BF158" i="54"/>
  <c r="BB291" i="54"/>
  <c r="BC291" i="54" s="1"/>
  <c r="BE291" i="54" s="1"/>
  <c r="BF159" i="54"/>
  <c r="AH263" i="54"/>
  <c r="AI263" i="54" s="1"/>
  <c r="AK263" i="54" s="1"/>
  <c r="AH339" i="54"/>
  <c r="AI339" i="54" s="1"/>
  <c r="AK339" i="54" s="1"/>
  <c r="BF187" i="54"/>
  <c r="AI178" i="54"/>
  <c r="AK178" i="54" s="1"/>
  <c r="AH87" i="54"/>
  <c r="AI87" i="54" s="1"/>
  <c r="AK87" i="54" s="1"/>
  <c r="X87" i="54"/>
  <c r="Y87" i="54" s="1"/>
  <c r="AA87" i="54" s="1"/>
  <c r="BF160" i="54"/>
  <c r="BF199" i="54"/>
  <c r="BF48" i="54"/>
  <c r="X121" i="54"/>
  <c r="Y121" i="54" s="1"/>
  <c r="AA121" i="54" s="1"/>
  <c r="BF389" i="54"/>
  <c r="BG38" i="54"/>
  <c r="X260" i="54"/>
  <c r="Y260" i="54" s="1"/>
  <c r="AA260" i="54" s="1"/>
  <c r="X182" i="54"/>
  <c r="Y182" i="54" s="1"/>
  <c r="AA182" i="54" s="1"/>
  <c r="BF345" i="54"/>
  <c r="BF241" i="54"/>
  <c r="BF118" i="54"/>
  <c r="BF404" i="54"/>
  <c r="BF222" i="54"/>
  <c r="BF314" i="54"/>
  <c r="AH184" i="54"/>
  <c r="AI184" i="54" s="1"/>
  <c r="AK184" i="54" s="1"/>
  <c r="N269" i="54"/>
  <c r="O269" i="54" s="1"/>
  <c r="Q269" i="54" s="1"/>
  <c r="N99" i="54"/>
  <c r="O99" i="54" s="1"/>
  <c r="Q99" i="54" s="1"/>
  <c r="N133" i="54"/>
  <c r="O133" i="54" s="1"/>
  <c r="Q133" i="54" s="1"/>
  <c r="N250" i="54"/>
  <c r="O250" i="54" s="1"/>
  <c r="Q250" i="54" s="1"/>
  <c r="N251" i="54"/>
  <c r="O251" i="54" s="1"/>
  <c r="Q251" i="54" s="1"/>
  <c r="N166" i="54"/>
  <c r="O166" i="54" s="1"/>
  <c r="Q166" i="54" s="1"/>
  <c r="N272" i="54"/>
  <c r="O272" i="54" s="1"/>
  <c r="Q272" i="54" s="1"/>
  <c r="N37" i="54"/>
  <c r="O37" i="54" s="1"/>
  <c r="Q37" i="54" s="1"/>
  <c r="N141" i="54"/>
  <c r="O141" i="54" s="1"/>
  <c r="Q141" i="54" s="1"/>
  <c r="BG202" i="54"/>
  <c r="AB312" i="56"/>
  <c r="AC312" i="56" s="1"/>
  <c r="AE312" i="56" s="1"/>
  <c r="AN384" i="56"/>
  <c r="AO384" i="56" s="1"/>
  <c r="AQ384" i="56" s="1"/>
  <c r="AB392" i="56"/>
  <c r="AC392" i="56" s="1"/>
  <c r="AE392" i="56" s="1"/>
  <c r="AN200" i="56"/>
  <c r="AO200" i="56" s="1"/>
  <c r="AQ200" i="56" s="1"/>
  <c r="AN239" i="56"/>
  <c r="AO239" i="56" s="1"/>
  <c r="AQ239" i="56" s="1"/>
  <c r="AN341" i="56"/>
  <c r="AO341" i="56" s="1"/>
  <c r="AQ341" i="56" s="1"/>
  <c r="AR94" i="56"/>
  <c r="AN162" i="56"/>
  <c r="AO162" i="56" s="1"/>
  <c r="AQ162" i="56" s="1"/>
  <c r="P202" i="56"/>
  <c r="Q202" i="56" s="1"/>
  <c r="S202" i="56" s="1"/>
  <c r="AB144" i="56"/>
  <c r="AC144" i="56" s="1"/>
  <c r="AE144" i="56" s="1"/>
  <c r="AB105" i="56"/>
  <c r="AC105" i="56" s="1"/>
  <c r="AE105" i="56" s="1"/>
  <c r="AR79" i="56"/>
  <c r="AB395" i="56"/>
  <c r="AC395" i="56" s="1"/>
  <c r="AE395" i="56" s="1"/>
  <c r="P354" i="56"/>
  <c r="Q354" i="56" s="1"/>
  <c r="S354" i="56" s="1"/>
  <c r="AB133" i="56"/>
  <c r="AC133" i="56" s="1"/>
  <c r="AE133" i="56" s="1"/>
  <c r="AN193" i="56"/>
  <c r="AO193" i="56" s="1"/>
  <c r="AQ193" i="56" s="1"/>
  <c r="P245" i="56"/>
  <c r="Q245" i="56" s="1"/>
  <c r="S245" i="56" s="1"/>
  <c r="AB303" i="56"/>
  <c r="AC303" i="56" s="1"/>
  <c r="AE303" i="56" s="1"/>
  <c r="AB147" i="56"/>
  <c r="AC147" i="56" s="1"/>
  <c r="AE147" i="56" s="1"/>
  <c r="AN207" i="56"/>
  <c r="AO207" i="56" s="1"/>
  <c r="AQ207" i="56" s="1"/>
  <c r="AB141" i="56"/>
  <c r="AC141" i="56" s="1"/>
  <c r="AE141" i="56" s="1"/>
  <c r="AB180" i="56"/>
  <c r="AC180" i="56" s="1"/>
  <c r="AE180" i="56" s="1"/>
  <c r="P129" i="56"/>
  <c r="Q129" i="56" s="1"/>
  <c r="S129" i="56" s="1"/>
  <c r="AR181" i="56"/>
  <c r="AB383" i="56"/>
  <c r="AC383" i="56" s="1"/>
  <c r="AE383" i="56" s="1"/>
  <c r="AR149" i="56"/>
  <c r="P127" i="56"/>
  <c r="Q127" i="56" s="1"/>
  <c r="S127" i="56" s="1"/>
  <c r="P140" i="56"/>
  <c r="Q140" i="56" s="1"/>
  <c r="S140" i="56" s="1"/>
  <c r="P192" i="56"/>
  <c r="Q192" i="56" s="1"/>
  <c r="S192" i="56" s="1"/>
  <c r="P399" i="56"/>
  <c r="Q399" i="56" s="1"/>
  <c r="S399" i="56" s="1"/>
  <c r="P230" i="56"/>
  <c r="Q230" i="56" s="1"/>
  <c r="S230" i="56" s="1"/>
  <c r="AR69" i="56"/>
  <c r="AR389" i="56"/>
  <c r="AB246" i="56"/>
  <c r="AC246" i="56" s="1"/>
  <c r="AE246" i="56" s="1"/>
  <c r="AB374" i="56"/>
  <c r="AC374" i="56" s="1"/>
  <c r="AE374" i="56" s="1"/>
  <c r="AB335" i="56"/>
  <c r="AC335" i="56" s="1"/>
  <c r="AE335" i="56" s="1"/>
  <c r="AB257" i="56"/>
  <c r="AC257" i="56" s="1"/>
  <c r="AE257" i="56" s="1"/>
  <c r="AR362" i="54"/>
  <c r="AS362" i="54" s="1"/>
  <c r="AU362" i="54" s="1"/>
  <c r="BF271" i="54"/>
  <c r="N313" i="54"/>
  <c r="O313" i="54" s="1"/>
  <c r="Q313" i="54" s="1"/>
  <c r="BF80" i="54"/>
  <c r="BB171" i="54"/>
  <c r="BC171" i="54" s="1"/>
  <c r="BE171" i="54" s="1"/>
  <c r="BB221" i="54"/>
  <c r="BC221" i="54" s="1"/>
  <c r="BE221" i="54" s="1"/>
  <c r="BF26" i="54"/>
  <c r="BF65" i="54"/>
  <c r="X332" i="54"/>
  <c r="Y332" i="54" s="1"/>
  <c r="AA332" i="54" s="1"/>
  <c r="BF97" i="54"/>
  <c r="BF214" i="54"/>
  <c r="N217" i="54"/>
  <c r="O217" i="54" s="1"/>
  <c r="Q217" i="54" s="1"/>
  <c r="N308" i="54"/>
  <c r="O308" i="54" s="1"/>
  <c r="Q308" i="54" s="1"/>
  <c r="BF73" i="54"/>
  <c r="BF34" i="54"/>
  <c r="BB112" i="54"/>
  <c r="BC112" i="54" s="1"/>
  <c r="BE112" i="54" s="1"/>
  <c r="X162" i="54"/>
  <c r="Y162" i="54" s="1"/>
  <c r="AA162" i="54" s="1"/>
  <c r="AR348" i="54"/>
  <c r="AS348" i="54" s="1"/>
  <c r="AU348" i="54" s="1"/>
  <c r="AR355" i="54"/>
  <c r="AS355" i="54" s="1"/>
  <c r="AU355" i="54" s="1"/>
  <c r="AR277" i="54"/>
  <c r="AS277" i="54" s="1"/>
  <c r="AU277" i="54" s="1"/>
  <c r="BB218" i="54"/>
  <c r="BC218" i="54" s="1"/>
  <c r="BE218" i="54" s="1"/>
  <c r="BF192" i="54"/>
  <c r="BF75" i="54"/>
  <c r="N190" i="54"/>
  <c r="O190" i="54" s="1"/>
  <c r="Q190" i="54" s="1"/>
  <c r="BB289" i="54"/>
  <c r="BC289" i="54" s="1"/>
  <c r="BE289" i="54" s="1"/>
  <c r="BF172" i="54"/>
  <c r="X132" i="54"/>
  <c r="Y132" i="54" s="1"/>
  <c r="AA132" i="54" s="1"/>
  <c r="BF354" i="54"/>
  <c r="N393" i="54"/>
  <c r="O393" i="54" s="1"/>
  <c r="Q393" i="54" s="1"/>
  <c r="AH183" i="54"/>
  <c r="AI183" i="54" s="1"/>
  <c r="AK183" i="54" s="1"/>
  <c r="AH274" i="54"/>
  <c r="AI274" i="54" s="1"/>
  <c r="AK274" i="54" s="1"/>
  <c r="AR360" i="54"/>
  <c r="AS360" i="54" s="1"/>
  <c r="AU360" i="54" s="1"/>
  <c r="AH264" i="54"/>
  <c r="AI264" i="54" s="1"/>
  <c r="AK264" i="54" s="1"/>
  <c r="BF134" i="54"/>
  <c r="BB396" i="54"/>
  <c r="BC396" i="54" s="1"/>
  <c r="BE396" i="54" s="1"/>
  <c r="BG123" i="54"/>
  <c r="N173" i="54"/>
  <c r="O173" i="54" s="1"/>
  <c r="Q173" i="54" s="1"/>
  <c r="N290" i="54"/>
  <c r="O290" i="54" s="1"/>
  <c r="Q290" i="54" s="1"/>
  <c r="BF309" i="54"/>
  <c r="BB303" i="54"/>
  <c r="BC303" i="54" s="1"/>
  <c r="BE303" i="54" s="1"/>
  <c r="BB95" i="54"/>
  <c r="BC95" i="54" s="1"/>
  <c r="BE95" i="54" s="1"/>
  <c r="BF56" i="54"/>
  <c r="X348" i="54"/>
  <c r="Y348" i="54" s="1"/>
  <c r="AA348" i="54" s="1"/>
  <c r="X255" i="54"/>
  <c r="Y255" i="54" s="1"/>
  <c r="AA255" i="54" s="1"/>
  <c r="BB373" i="54"/>
  <c r="BC373" i="54" s="1"/>
  <c r="BE373" i="54" s="1"/>
  <c r="BB191" i="54"/>
  <c r="BC191" i="54" s="1"/>
  <c r="BE191" i="54" s="1"/>
  <c r="BB376" i="54"/>
  <c r="BC376" i="54" s="1"/>
  <c r="BE376" i="54" s="1"/>
  <c r="BB311" i="54"/>
  <c r="BC311" i="54" s="1"/>
  <c r="BE311" i="54" s="1"/>
  <c r="N64" i="54"/>
  <c r="O64" i="54" s="1"/>
  <c r="Q64" i="54" s="1"/>
  <c r="AR397" i="54"/>
  <c r="AS397" i="54" s="1"/>
  <c r="AU397" i="54" s="1"/>
  <c r="AR345" i="54"/>
  <c r="AS345" i="54" s="1"/>
  <c r="AU345" i="54" s="1"/>
  <c r="N63" i="54"/>
  <c r="O63" i="54" s="1"/>
  <c r="Q63" i="54" s="1"/>
  <c r="AR268" i="54"/>
  <c r="AS268" i="54" s="1"/>
  <c r="AU268" i="54" s="1"/>
  <c r="X78" i="54"/>
  <c r="Y78" i="54" s="1"/>
  <c r="AA78" i="54" s="1"/>
  <c r="BB124" i="54"/>
  <c r="BC124" i="54" s="1"/>
  <c r="BE124" i="54" s="1"/>
  <c r="BF46" i="54"/>
  <c r="BF202" i="54"/>
  <c r="N397" i="54"/>
  <c r="O397" i="54" s="1"/>
  <c r="Q397" i="54" s="1"/>
  <c r="N267" i="54"/>
  <c r="O267" i="54" s="1"/>
  <c r="Q267" i="54" s="1"/>
  <c r="BF196" i="54"/>
  <c r="BF66" i="54"/>
  <c r="BB183" i="54"/>
  <c r="BC183" i="54" s="1"/>
  <c r="BE183" i="54" s="1"/>
  <c r="BF76" i="54"/>
  <c r="BB141" i="54"/>
  <c r="BC141" i="54" s="1"/>
  <c r="BE141" i="54" s="1"/>
  <c r="AH271" i="54"/>
  <c r="AI271" i="54" s="1"/>
  <c r="AK271" i="54" s="1"/>
  <c r="BF128" i="54"/>
  <c r="AN131" i="56"/>
  <c r="AO131" i="56" s="1"/>
  <c r="AQ131" i="56" s="1"/>
  <c r="AN268" i="56"/>
  <c r="AO268" i="56" s="1"/>
  <c r="AQ268" i="56" s="1"/>
  <c r="AN272" i="56"/>
  <c r="AO272" i="56" s="1"/>
  <c r="AQ272" i="56" s="1"/>
  <c r="X241" i="54"/>
  <c r="Y241" i="54" s="1"/>
  <c r="AA241" i="54" s="1"/>
  <c r="X251" i="54"/>
  <c r="Y251" i="54" s="1"/>
  <c r="AA251" i="54" s="1"/>
  <c r="X393" i="54"/>
  <c r="Y393" i="54" s="1"/>
  <c r="AA393" i="54" s="1"/>
  <c r="AR405" i="56"/>
  <c r="AR132" i="56"/>
  <c r="AR314" i="56"/>
  <c r="AR163" i="56"/>
  <c r="AR365" i="56"/>
  <c r="AR235" i="56"/>
  <c r="AR209" i="56"/>
  <c r="AR326" i="56"/>
  <c r="AR302" i="56"/>
  <c r="AR16" i="56"/>
  <c r="AR133" i="56"/>
  <c r="AR258" i="56"/>
  <c r="AR268" i="56"/>
  <c r="AR73" i="56"/>
  <c r="AR376" i="56"/>
  <c r="AR64" i="56"/>
  <c r="AR25" i="56"/>
  <c r="AR77" i="56"/>
  <c r="AR240" i="56"/>
  <c r="AR45" i="56"/>
  <c r="AR87" i="56"/>
  <c r="AR23" i="56"/>
  <c r="AR126" i="56"/>
  <c r="AR295" i="56"/>
  <c r="AR394" i="56"/>
  <c r="AR368" i="56"/>
  <c r="AR121" i="56"/>
  <c r="AR270" i="56"/>
  <c r="AR140" i="56"/>
  <c r="BF156" i="54"/>
  <c r="BF312" i="54"/>
  <c r="BF157" i="54"/>
  <c r="X118" i="54"/>
  <c r="Y118" i="54" s="1"/>
  <c r="AA118" i="54" s="1"/>
  <c r="AH318" i="54"/>
  <c r="AI318" i="54" s="1"/>
  <c r="AK318" i="54" s="1"/>
  <c r="BF86" i="54"/>
  <c r="BG21" i="54"/>
  <c r="X136" i="54"/>
  <c r="Y136" i="54" s="1"/>
  <c r="AA136" i="54" s="1"/>
  <c r="BF179" i="54"/>
  <c r="BF270" i="54"/>
  <c r="BF348" i="54"/>
  <c r="AH168" i="54"/>
  <c r="AI168" i="54" s="1"/>
  <c r="AK168" i="54" s="1"/>
  <c r="AH181" i="54"/>
  <c r="AI181" i="54" s="1"/>
  <c r="AK181" i="54" s="1"/>
  <c r="BF341" i="54"/>
  <c r="BF393" i="54"/>
  <c r="X67" i="54"/>
  <c r="Y67" i="54" s="1"/>
  <c r="AA67" i="54" s="1"/>
  <c r="BF395" i="54"/>
  <c r="BF278" i="54"/>
  <c r="BF148" i="54"/>
  <c r="AH237" i="54"/>
  <c r="AI237" i="54" s="1"/>
  <c r="AK237" i="54" s="1"/>
  <c r="AH81" i="54"/>
  <c r="AI81" i="54" s="1"/>
  <c r="AK81" i="54" s="1"/>
  <c r="X265" i="54"/>
  <c r="Y265" i="54" s="1"/>
  <c r="AA265" i="54" s="1"/>
  <c r="AH356" i="54"/>
  <c r="AI356" i="54" s="1"/>
  <c r="AK356" i="54" s="1"/>
  <c r="AH213" i="54"/>
  <c r="AI213" i="54" s="1"/>
  <c r="AK213" i="54" s="1"/>
  <c r="BF84" i="54"/>
  <c r="BF227" i="54"/>
  <c r="X126" i="54"/>
  <c r="Y126" i="54" s="1"/>
  <c r="AA126" i="54" s="1"/>
  <c r="X243" i="54"/>
  <c r="Y243" i="54" s="1"/>
  <c r="AA243" i="54" s="1"/>
  <c r="BF238" i="54"/>
  <c r="AH387" i="54"/>
  <c r="AI387" i="54" s="1"/>
  <c r="AK387" i="54" s="1"/>
  <c r="AH322" i="54"/>
  <c r="AI322" i="54" s="1"/>
  <c r="AK322" i="54" s="1"/>
  <c r="BF212" i="54"/>
  <c r="X309" i="54"/>
  <c r="Y309" i="54" s="1"/>
  <c r="AA309" i="54" s="1"/>
  <c r="BF295" i="54"/>
  <c r="X69" i="54"/>
  <c r="Y69" i="54" s="1"/>
  <c r="AA69" i="54" s="1"/>
  <c r="BF363" i="54"/>
  <c r="BF298" i="54"/>
  <c r="BF85" i="54"/>
  <c r="BF137" i="54"/>
  <c r="BF228" i="54"/>
  <c r="BF274" i="54"/>
  <c r="BF92" i="54"/>
  <c r="BF375" i="54"/>
  <c r="BF167" i="54"/>
  <c r="AN86" i="56"/>
  <c r="AO86" i="56" s="1"/>
  <c r="AQ86" i="56" s="1"/>
  <c r="AN246" i="56"/>
  <c r="AO246" i="56" s="1"/>
  <c r="AQ246" i="56" s="1"/>
  <c r="AN134" i="56"/>
  <c r="AO134" i="56" s="1"/>
  <c r="AQ134" i="56" s="1"/>
  <c r="BF126" i="54"/>
  <c r="N347" i="54"/>
  <c r="O347" i="54" s="1"/>
  <c r="Q347" i="54" s="1"/>
  <c r="X376" i="54"/>
  <c r="Y376" i="54" s="1"/>
  <c r="AA376" i="54" s="1"/>
  <c r="N47" i="54"/>
  <c r="O47" i="54" s="1"/>
  <c r="Q47" i="54" s="1"/>
  <c r="N198" i="54"/>
  <c r="O198" i="54" s="1"/>
  <c r="Q198" i="54" s="1"/>
  <c r="N367" i="54"/>
  <c r="O367" i="54" s="1"/>
  <c r="Q367" i="54" s="1"/>
  <c r="BF147" i="54"/>
  <c r="N90" i="54"/>
  <c r="O90" i="54" s="1"/>
  <c r="Q90" i="54" s="1"/>
  <c r="BF193" i="54"/>
  <c r="X325" i="54"/>
  <c r="Y325" i="54" s="1"/>
  <c r="AA325" i="54" s="1"/>
  <c r="AR371" i="56"/>
  <c r="AR249" i="56"/>
  <c r="AB301" i="56"/>
  <c r="AC301" i="56" s="1"/>
  <c r="AE301" i="56" s="1"/>
  <c r="AR343" i="56"/>
  <c r="AR68" i="56"/>
  <c r="AR125" i="56"/>
  <c r="AN21" i="56"/>
  <c r="AO21" i="56" s="1"/>
  <c r="AQ21" i="56" s="1"/>
  <c r="AN247" i="56"/>
  <c r="AO247" i="56" s="1"/>
  <c r="AQ247" i="56" s="1"/>
  <c r="P384" i="56"/>
  <c r="Q384" i="56" s="1"/>
  <c r="S384" i="56" s="1"/>
  <c r="P137" i="56"/>
  <c r="Q137" i="56" s="1"/>
  <c r="S137" i="56" s="1"/>
  <c r="AB339" i="56"/>
  <c r="AC339" i="56" s="1"/>
  <c r="AE339" i="56" s="1"/>
  <c r="AB326" i="56"/>
  <c r="AC326" i="56" s="1"/>
  <c r="AE326" i="56" s="1"/>
  <c r="AR131" i="56"/>
  <c r="P378" i="56"/>
  <c r="Q378" i="56" s="1"/>
  <c r="S378" i="56" s="1"/>
  <c r="AB382" i="56"/>
  <c r="AC382" i="56" s="1"/>
  <c r="AE382" i="56" s="1"/>
  <c r="AR226" i="56"/>
  <c r="AB57" i="56"/>
  <c r="AC57" i="56" s="1"/>
  <c r="AE57" i="56" s="1"/>
  <c r="AB380" i="56"/>
  <c r="AC380" i="56" s="1"/>
  <c r="AE380" i="56" s="1"/>
  <c r="AB302" i="56"/>
  <c r="AC302" i="56" s="1"/>
  <c r="AE302" i="56" s="1"/>
  <c r="AN245" i="56"/>
  <c r="AO245" i="56" s="1"/>
  <c r="AQ245" i="56" s="1"/>
  <c r="AN232" i="56"/>
  <c r="AO232" i="56" s="1"/>
  <c r="AQ232" i="56" s="1"/>
  <c r="AR128" i="56"/>
  <c r="AR333" i="56"/>
  <c r="AR86" i="56"/>
  <c r="AB95" i="56"/>
  <c r="AC95" i="56" s="1"/>
  <c r="AE95" i="56" s="1"/>
  <c r="AB388" i="56"/>
  <c r="AC388" i="56" s="1"/>
  <c r="AE388" i="56" s="1"/>
  <c r="AB193" i="56"/>
  <c r="AC193" i="56" s="1"/>
  <c r="AE193" i="56" s="1"/>
  <c r="P216" i="56"/>
  <c r="Q216" i="56" s="1"/>
  <c r="S216" i="56" s="1"/>
  <c r="P125" i="56"/>
  <c r="Q125" i="56" s="1"/>
  <c r="S125" i="56" s="1"/>
  <c r="P268" i="56"/>
  <c r="Q268" i="56" s="1"/>
  <c r="S268" i="56" s="1"/>
  <c r="AB334" i="56"/>
  <c r="AC334" i="56" s="1"/>
  <c r="AE334" i="56" s="1"/>
  <c r="AR373" i="56"/>
  <c r="AB217" i="56"/>
  <c r="AC217" i="56" s="1"/>
  <c r="AE217" i="56" s="1"/>
  <c r="P337" i="56"/>
  <c r="Q337" i="56" s="1"/>
  <c r="S337" i="56" s="1"/>
  <c r="AR396" i="56"/>
  <c r="AB214" i="56"/>
  <c r="AC214" i="56" s="1"/>
  <c r="AE214" i="56" s="1"/>
  <c r="AR305" i="56"/>
  <c r="AN199" i="56"/>
  <c r="AO199" i="56" s="1"/>
  <c r="AQ199" i="56" s="1"/>
  <c r="AR17" i="56"/>
  <c r="AB194" i="56"/>
  <c r="AC194" i="56" s="1"/>
  <c r="AE194" i="56" s="1"/>
  <c r="AB272" i="56"/>
  <c r="AC272" i="56" s="1"/>
  <c r="AE272" i="56" s="1"/>
  <c r="AB75" i="56"/>
  <c r="AC75" i="56" s="1"/>
  <c r="AE75" i="56" s="1"/>
  <c r="AN270" i="56"/>
  <c r="AO270" i="56" s="1"/>
  <c r="AQ270" i="56" s="1"/>
  <c r="AN166" i="56"/>
  <c r="AO166" i="56" s="1"/>
  <c r="AQ166" i="56" s="1"/>
  <c r="BB405" i="54"/>
  <c r="BC405" i="54" s="1"/>
  <c r="BE405" i="54" s="1"/>
  <c r="BB132" i="54"/>
  <c r="BC132" i="54" s="1"/>
  <c r="BE132" i="54" s="1"/>
  <c r="BF184" i="54"/>
  <c r="AR343" i="54"/>
  <c r="AS343" i="54" s="1"/>
  <c r="AU343" i="54" s="1"/>
  <c r="AR312" i="54"/>
  <c r="AS312" i="54" s="1"/>
  <c r="AU312" i="54" s="1"/>
  <c r="BG286" i="54"/>
  <c r="BF182" i="54"/>
  <c r="AH267" i="54"/>
  <c r="AI267" i="54" s="1"/>
  <c r="AK267" i="54" s="1"/>
  <c r="BF352" i="54"/>
  <c r="BF91" i="54"/>
  <c r="AR357" i="54"/>
  <c r="AS357" i="54" s="1"/>
  <c r="AU357" i="54" s="1"/>
  <c r="AR396" i="54"/>
  <c r="AS396" i="54" s="1"/>
  <c r="AU396" i="54" s="1"/>
  <c r="AR279" i="54"/>
  <c r="AS279" i="54" s="1"/>
  <c r="AU279" i="54" s="1"/>
  <c r="AR175" i="54"/>
  <c r="AS175" i="54" s="1"/>
  <c r="AU175" i="54" s="1"/>
  <c r="N295" i="54"/>
  <c r="O295" i="54" s="1"/>
  <c r="Q295" i="54" s="1"/>
  <c r="N165" i="54"/>
  <c r="O165" i="54" s="1"/>
  <c r="Q165" i="54" s="1"/>
  <c r="BF376" i="54"/>
  <c r="AR350" i="54"/>
  <c r="AS350" i="54" s="1"/>
  <c r="AU350" i="54" s="1"/>
  <c r="BB216" i="54"/>
  <c r="BC216" i="54" s="1"/>
  <c r="BE216" i="54" s="1"/>
  <c r="BF229" i="54"/>
  <c r="BF240" i="54"/>
  <c r="AR387" i="54"/>
  <c r="AS387" i="54" s="1"/>
  <c r="AU387" i="54" s="1"/>
  <c r="AR257" i="54"/>
  <c r="AS257" i="54" s="1"/>
  <c r="AU257" i="54" s="1"/>
  <c r="AR361" i="54"/>
  <c r="AS361" i="54" s="1"/>
  <c r="AU361" i="54" s="1"/>
  <c r="BF368" i="54"/>
  <c r="AR212" i="54"/>
  <c r="AS212" i="54" s="1"/>
  <c r="AU212" i="54" s="1"/>
  <c r="BB400" i="54"/>
  <c r="BC400" i="54" s="1"/>
  <c r="BE400" i="54" s="1"/>
  <c r="BB127" i="54"/>
  <c r="BC127" i="54" s="1"/>
  <c r="BE127" i="54" s="1"/>
  <c r="BB205" i="54"/>
  <c r="BC205" i="54" s="1"/>
  <c r="BE205" i="54" s="1"/>
  <c r="N346" i="54"/>
  <c r="O346" i="54" s="1"/>
  <c r="Q346" i="54" s="1"/>
  <c r="N320" i="54"/>
  <c r="O320" i="54" s="1"/>
  <c r="Q320" i="54" s="1"/>
  <c r="AR183" i="54"/>
  <c r="AS183" i="54" s="1"/>
  <c r="AU183" i="54" s="1"/>
  <c r="BB161" i="54"/>
  <c r="BC161" i="54" s="1"/>
  <c r="BE161" i="54" s="1"/>
  <c r="BB330" i="54"/>
  <c r="BC330" i="54" s="1"/>
  <c r="BE330" i="54" s="1"/>
  <c r="BG96" i="54"/>
  <c r="N107" i="54"/>
  <c r="O107" i="54" s="1"/>
  <c r="Q107" i="54" s="1"/>
  <c r="BF304" i="54"/>
  <c r="AH382" i="54"/>
  <c r="AI382" i="54" s="1"/>
  <c r="AK382" i="54" s="1"/>
  <c r="AR347" i="54"/>
  <c r="AS347" i="54" s="1"/>
  <c r="AU347" i="54" s="1"/>
  <c r="AH160" i="54"/>
  <c r="AI160" i="54" s="1"/>
  <c r="AK160" i="54" s="1"/>
  <c r="BF115" i="54"/>
  <c r="BF45" i="54"/>
  <c r="BB149" i="54"/>
  <c r="BC149" i="54" s="1"/>
  <c r="BE149" i="54" s="1"/>
  <c r="BF166" i="54"/>
  <c r="N257" i="54"/>
  <c r="O257" i="54" s="1"/>
  <c r="Q257" i="54" s="1"/>
  <c r="BF30" i="54"/>
  <c r="BF101" i="54"/>
  <c r="X88" i="54"/>
  <c r="Y88" i="54" s="1"/>
  <c r="AA88" i="54" s="1"/>
  <c r="X231" i="54"/>
  <c r="Y231" i="54" s="1"/>
  <c r="AA231" i="54" s="1"/>
  <c r="BB207" i="54"/>
  <c r="BC207" i="54" s="1"/>
  <c r="BE207" i="54" s="1"/>
  <c r="AR137" i="54"/>
  <c r="AS137" i="54" s="1"/>
  <c r="AU137" i="54" s="1"/>
  <c r="N401" i="54"/>
  <c r="O401" i="54" s="1"/>
  <c r="Q401" i="54" s="1"/>
  <c r="N115" i="54"/>
  <c r="O115" i="54" s="1"/>
  <c r="Q115" i="54" s="1"/>
  <c r="BF333" i="54"/>
  <c r="BF143" i="54"/>
  <c r="BB215" i="54"/>
  <c r="BC215" i="54" s="1"/>
  <c r="BE215" i="54" s="1"/>
  <c r="BB326" i="54"/>
  <c r="BC326" i="54" s="1"/>
  <c r="BE326" i="54" s="1"/>
  <c r="BF79" i="54"/>
  <c r="BG105" i="54"/>
  <c r="BB261" i="54"/>
  <c r="BC261" i="54" s="1"/>
  <c r="BE261" i="54" s="1"/>
  <c r="BF405" i="54"/>
  <c r="BF180" i="54"/>
  <c r="BB154" i="54"/>
  <c r="BC154" i="54" s="1"/>
  <c r="BE154" i="54" s="1"/>
  <c r="BB310" i="54"/>
  <c r="BC310" i="54" s="1"/>
  <c r="BE310" i="54" s="1"/>
  <c r="AN339" i="56"/>
  <c r="AO339" i="56" s="1"/>
  <c r="AQ339" i="56" s="1"/>
  <c r="AN370" i="56"/>
  <c r="AO370" i="56" s="1"/>
  <c r="AQ370" i="56" s="1"/>
  <c r="BF284" i="54"/>
  <c r="BF89" i="54"/>
  <c r="AN90" i="56"/>
  <c r="AO90" i="56" s="1"/>
  <c r="AQ90" i="56" s="1"/>
  <c r="Q395" i="56"/>
  <c r="S395" i="56" s="1"/>
  <c r="Q226" i="56"/>
  <c r="S226" i="56" s="1"/>
  <c r="Q57" i="56"/>
  <c r="S57" i="56" s="1"/>
  <c r="Q83" i="56"/>
  <c r="S83" i="56" s="1"/>
  <c r="Q260" i="56"/>
  <c r="S260" i="56" s="1"/>
  <c r="Q286" i="56"/>
  <c r="S286" i="56" s="1"/>
  <c r="Q301" i="56"/>
  <c r="S301" i="56" s="1"/>
  <c r="Q275" i="56"/>
  <c r="S275" i="56" s="1"/>
  <c r="Q54" i="56"/>
  <c r="S54" i="56" s="1"/>
  <c r="Q292" i="56"/>
  <c r="S292" i="56" s="1"/>
  <c r="Q149" i="56"/>
  <c r="S149" i="56" s="1"/>
  <c r="O247" i="54"/>
  <c r="Q247" i="54" s="1"/>
  <c r="O67" i="54"/>
  <c r="Q67" i="54" s="1"/>
  <c r="O379" i="54"/>
  <c r="Q379" i="54" s="1"/>
  <c r="O197" i="54"/>
  <c r="Q197" i="54" s="1"/>
  <c r="O135" i="54"/>
  <c r="Q135" i="54" s="1"/>
  <c r="O369" i="54"/>
  <c r="Q369" i="54" s="1"/>
  <c r="X317" i="54"/>
  <c r="Y317" i="54" s="1"/>
  <c r="AA317" i="54" s="1"/>
  <c r="AR117" i="56"/>
  <c r="AR119" i="56"/>
  <c r="AR18" i="56"/>
  <c r="AR150" i="56"/>
  <c r="AR27" i="56"/>
  <c r="AR170" i="56"/>
  <c r="AR200" i="56"/>
  <c r="AR228" i="56"/>
  <c r="AR107" i="56"/>
  <c r="AR237" i="56"/>
  <c r="AR375" i="56"/>
  <c r="AR50" i="56"/>
  <c r="AR271" i="56"/>
  <c r="AR89" i="56"/>
  <c r="AR60" i="56"/>
  <c r="AR311" i="56"/>
  <c r="AR84" i="56"/>
  <c r="AR361" i="56"/>
  <c r="AR152" i="56"/>
  <c r="BF52" i="54"/>
  <c r="AH85" i="54"/>
  <c r="AI85" i="54" s="1"/>
  <c r="AK85" i="54" s="1"/>
  <c r="BF98" i="54"/>
  <c r="X287" i="54"/>
  <c r="Y287" i="54" s="1"/>
  <c r="AA287" i="54" s="1"/>
  <c r="AH169" i="54"/>
  <c r="AI169" i="54" s="1"/>
  <c r="AK169" i="54" s="1"/>
  <c r="AH84" i="54"/>
  <c r="AI84" i="54" s="1"/>
  <c r="AK84" i="54" s="1"/>
  <c r="AH389" i="54"/>
  <c r="AI389" i="54" s="1"/>
  <c r="AK389" i="54" s="1"/>
  <c r="BF29" i="54"/>
  <c r="X327" i="54"/>
  <c r="Y327" i="54" s="1"/>
  <c r="AA327" i="54" s="1"/>
  <c r="BF70" i="54"/>
  <c r="BF44" i="54"/>
  <c r="BF291" i="54"/>
  <c r="AH235" i="54"/>
  <c r="AI235" i="54" s="1"/>
  <c r="AK235" i="54" s="1"/>
  <c r="AH226" i="54"/>
  <c r="AI226" i="54" s="1"/>
  <c r="AK226" i="54" s="1"/>
  <c r="AH174" i="54"/>
  <c r="AI174" i="54" s="1"/>
  <c r="AK174" i="54" s="1"/>
  <c r="AH282" i="54"/>
  <c r="AI282" i="54" s="1"/>
  <c r="AK282" i="54" s="1"/>
  <c r="BF334" i="54"/>
  <c r="AH225" i="54"/>
  <c r="AI225" i="54" s="1"/>
  <c r="AK225" i="54" s="1"/>
  <c r="BB201" i="54"/>
  <c r="BC201" i="54" s="1"/>
  <c r="BE201" i="54" s="1"/>
  <c r="BB318" i="54"/>
  <c r="BC318" i="54" s="1"/>
  <c r="BE318" i="54" s="1"/>
  <c r="BF71" i="54"/>
  <c r="X269" i="54"/>
  <c r="Y269" i="54" s="1"/>
  <c r="AA269" i="54" s="1"/>
  <c r="AH335" i="54"/>
  <c r="AI335" i="54" s="1"/>
  <c r="AK335" i="54" s="1"/>
  <c r="N49" i="54"/>
  <c r="O49" i="54" s="1"/>
  <c r="Q49" i="54" s="1"/>
  <c r="BB329" i="54"/>
  <c r="BC329" i="54" s="1"/>
  <c r="BE329" i="54" s="1"/>
  <c r="BF43" i="54"/>
  <c r="BB134" i="54"/>
  <c r="BC134" i="54" s="1"/>
  <c r="BE134" i="54" s="1"/>
  <c r="X372" i="54"/>
  <c r="Y372" i="54" s="1"/>
  <c r="AA372" i="54" s="1"/>
  <c r="BB308" i="54"/>
  <c r="BC308" i="54" s="1"/>
  <c r="BE308" i="54" s="1"/>
  <c r="BF22" i="54"/>
  <c r="BF204" i="54"/>
  <c r="X225" i="54"/>
  <c r="Y225" i="54" s="1"/>
  <c r="AA225" i="54" s="1"/>
  <c r="BB181" i="54"/>
  <c r="BC181" i="54" s="1"/>
  <c r="BE181" i="54" s="1"/>
  <c r="BF194" i="54"/>
  <c r="N77" i="54"/>
  <c r="O77" i="54" s="1"/>
  <c r="Q77" i="54" s="1"/>
  <c r="AR242" i="54"/>
  <c r="AS242" i="54" s="1"/>
  <c r="AU242" i="54" s="1"/>
  <c r="BF320" i="54"/>
  <c r="X208" i="54"/>
  <c r="Y208" i="54" s="1"/>
  <c r="AA208" i="54" s="1"/>
  <c r="BF20" i="54"/>
  <c r="BF371" i="54"/>
  <c r="BF33" i="54"/>
  <c r="BB391" i="54"/>
  <c r="BC391" i="54" s="1"/>
  <c r="BE391" i="54" s="1"/>
  <c r="BF53" i="54"/>
  <c r="AR314" i="54"/>
  <c r="AS314" i="54" s="1"/>
  <c r="AU314" i="54" s="1"/>
  <c r="BF236" i="54"/>
  <c r="AR118" i="56"/>
  <c r="AR312" i="56"/>
  <c r="AR236" i="56"/>
  <c r="AR345" i="56"/>
  <c r="AR111" i="56"/>
  <c r="AR280" i="56"/>
  <c r="AR202" i="56"/>
  <c r="AR53" i="56"/>
  <c r="AR105" i="56"/>
  <c r="AR265" i="56"/>
  <c r="AR33" i="56"/>
  <c r="AR315" i="56"/>
  <c r="AR185" i="56"/>
  <c r="AR354" i="56"/>
  <c r="AR172" i="56"/>
  <c r="AR349" i="56"/>
  <c r="AR138" i="56"/>
  <c r="AR372" i="56"/>
  <c r="AR307" i="56"/>
  <c r="AR177" i="56"/>
  <c r="AR168" i="56"/>
  <c r="AR129" i="56"/>
  <c r="AR383" i="56"/>
  <c r="AR227" i="56"/>
  <c r="AR360" i="56"/>
  <c r="AR205" i="56"/>
  <c r="AR192" i="56"/>
  <c r="AR399" i="56"/>
  <c r="AR217" i="56"/>
  <c r="AR225" i="56"/>
  <c r="BG80" i="54"/>
  <c r="BF171" i="54"/>
  <c r="BG26" i="54"/>
  <c r="BF208" i="54"/>
  <c r="BG65" i="54"/>
  <c r="BF163" i="54"/>
  <c r="BF299" i="54"/>
  <c r="BF117" i="54"/>
  <c r="BF318" i="54"/>
  <c r="BF255" i="54"/>
  <c r="BG34" i="54"/>
  <c r="X337" i="54"/>
  <c r="Y337" i="54" s="1"/>
  <c r="AA337" i="54" s="1"/>
  <c r="BG192" i="54"/>
  <c r="BG75" i="54"/>
  <c r="BF263" i="54"/>
  <c r="BF120" i="54"/>
  <c r="BF146" i="54"/>
  <c r="BF132" i="54"/>
  <c r="BF239" i="54"/>
  <c r="BF122" i="54"/>
  <c r="BF213" i="54"/>
  <c r="AH354" i="54"/>
  <c r="AI354" i="54" s="1"/>
  <c r="AK354" i="54" s="1"/>
  <c r="X252" i="54"/>
  <c r="Y252" i="54" s="1"/>
  <c r="AA252" i="54" s="1"/>
  <c r="AH278" i="54"/>
  <c r="AI278" i="54" s="1"/>
  <c r="AK278" i="54" s="1"/>
  <c r="AH386" i="54"/>
  <c r="AI386" i="54" s="1"/>
  <c r="AK386" i="54" s="1"/>
  <c r="AH360" i="54"/>
  <c r="AI360" i="54" s="1"/>
  <c r="AK360" i="54" s="1"/>
  <c r="BF264" i="54"/>
  <c r="AH173" i="54"/>
  <c r="AI173" i="54" s="1"/>
  <c r="AK173" i="54" s="1"/>
  <c r="X63" i="54"/>
  <c r="Y63" i="54" s="1"/>
  <c r="AA63" i="54" s="1"/>
  <c r="BF344" i="54"/>
  <c r="BF123" i="54"/>
  <c r="BF305" i="54"/>
  <c r="BF355" i="54"/>
  <c r="BF303" i="54"/>
  <c r="BF95" i="54"/>
  <c r="X270" i="54"/>
  <c r="Y270" i="54" s="1"/>
  <c r="AA270" i="54" s="1"/>
  <c r="X229" i="54"/>
  <c r="Y229" i="54" s="1"/>
  <c r="AA229" i="54" s="1"/>
  <c r="BF191" i="54"/>
  <c r="BF230" i="54"/>
  <c r="BF402" i="54"/>
  <c r="BF311" i="54"/>
  <c r="BF124" i="54"/>
  <c r="BG46" i="54"/>
  <c r="BF254" i="54"/>
  <c r="BG196" i="54"/>
  <c r="BF365" i="54"/>
  <c r="BF183" i="54"/>
  <c r="X55" i="54"/>
  <c r="Y55" i="54" s="1"/>
  <c r="AA55" i="54" s="1"/>
  <c r="N74" i="54"/>
  <c r="O74" i="54" s="1"/>
  <c r="Q74" i="54" s="1"/>
  <c r="N112" i="54"/>
  <c r="O112" i="54" s="1"/>
  <c r="Q112" i="54" s="1"/>
  <c r="BF185" i="54"/>
  <c r="N29" i="54"/>
  <c r="O29" i="54" s="1"/>
  <c r="Q29" i="54" s="1"/>
  <c r="AN274" i="56"/>
  <c r="AO274" i="56" s="1"/>
  <c r="AQ274" i="56" s="1"/>
  <c r="AR234" i="56"/>
  <c r="AN241" i="56"/>
  <c r="AO241" i="56" s="1"/>
  <c r="AQ241" i="56" s="1"/>
  <c r="AB379" i="56"/>
  <c r="AC379" i="56" s="1"/>
  <c r="AE379" i="56" s="1"/>
  <c r="AB327" i="56"/>
  <c r="AC327" i="56" s="1"/>
  <c r="AE327" i="56" s="1"/>
  <c r="AB28" i="56"/>
  <c r="AC28" i="56" s="1"/>
  <c r="AE28" i="56" s="1"/>
  <c r="AN55" i="56"/>
  <c r="AO55" i="56" s="1"/>
  <c r="AQ55" i="56" s="1"/>
  <c r="AN380" i="56"/>
  <c r="AO380" i="56" s="1"/>
  <c r="AQ380" i="56" s="1"/>
  <c r="AN250" i="56"/>
  <c r="AO250" i="56" s="1"/>
  <c r="AQ250" i="56" s="1"/>
  <c r="AN292" i="56"/>
  <c r="AO292" i="56" s="1"/>
  <c r="AQ292" i="56" s="1"/>
  <c r="AN221" i="56"/>
  <c r="AO221" i="56" s="1"/>
  <c r="AQ221" i="56" s="1"/>
  <c r="AB235" i="56"/>
  <c r="AC235" i="56" s="1"/>
  <c r="AE235" i="56" s="1"/>
  <c r="AB53" i="56"/>
  <c r="AC53" i="56" s="1"/>
  <c r="AE53" i="56" s="1"/>
  <c r="P287" i="56"/>
  <c r="Q287" i="56" s="1"/>
  <c r="S287" i="56" s="1"/>
  <c r="P352" i="56"/>
  <c r="Q352" i="56" s="1"/>
  <c r="S352" i="56" s="1"/>
  <c r="AR369" i="56"/>
  <c r="AB330" i="56"/>
  <c r="AC330" i="56" s="1"/>
  <c r="AE330" i="56" s="1"/>
  <c r="AB213" i="56"/>
  <c r="AC213" i="56" s="1"/>
  <c r="AE213" i="56" s="1"/>
  <c r="AB384" i="56"/>
  <c r="AC384" i="56" s="1"/>
  <c r="AE384" i="56" s="1"/>
  <c r="AB306" i="56"/>
  <c r="AC306" i="56" s="1"/>
  <c r="AE306" i="56" s="1"/>
  <c r="P68" i="56"/>
  <c r="Q68" i="56" s="1"/>
  <c r="S68" i="56" s="1"/>
  <c r="AB250" i="56"/>
  <c r="AC250" i="56" s="1"/>
  <c r="AE250" i="56" s="1"/>
  <c r="AN323" i="56"/>
  <c r="AO323" i="56" s="1"/>
  <c r="AQ323" i="56" s="1"/>
  <c r="AN401" i="56"/>
  <c r="AO401" i="56" s="1"/>
  <c r="AQ401" i="56" s="1"/>
  <c r="P388" i="56"/>
  <c r="Q388" i="56" s="1"/>
  <c r="S388" i="56" s="1"/>
  <c r="AB359" i="56"/>
  <c r="AC359" i="56" s="1"/>
  <c r="AE359" i="56" s="1"/>
  <c r="AN168" i="56"/>
  <c r="AO168" i="56" s="1"/>
  <c r="AQ168" i="56" s="1"/>
  <c r="AN337" i="56"/>
  <c r="AO337" i="56" s="1"/>
  <c r="AQ337" i="56" s="1"/>
  <c r="AR37" i="56"/>
  <c r="AB399" i="56"/>
  <c r="AC399" i="56" s="1"/>
  <c r="AE399" i="56" s="1"/>
  <c r="AR155" i="56"/>
  <c r="AB318" i="56"/>
  <c r="AC318" i="56" s="1"/>
  <c r="AE318" i="56" s="1"/>
  <c r="AB162" i="56"/>
  <c r="AC162" i="56" s="1"/>
  <c r="AE162" i="56" s="1"/>
  <c r="AR71" i="56"/>
  <c r="AN303" i="56"/>
  <c r="AO303" i="56" s="1"/>
  <c r="AQ303" i="56" s="1"/>
  <c r="P114" i="56"/>
  <c r="Q114" i="56" s="1"/>
  <c r="S114" i="56" s="1"/>
  <c r="AR62" i="56"/>
  <c r="AR334" i="56"/>
  <c r="P61" i="56"/>
  <c r="Q61" i="56" s="1"/>
  <c r="S61" i="56" s="1"/>
  <c r="P134" i="56"/>
  <c r="Q134" i="56" s="1"/>
  <c r="S134" i="56" s="1"/>
  <c r="P95" i="56"/>
  <c r="Q95" i="56" s="1"/>
  <c r="S95" i="56" s="1"/>
  <c r="AB220" i="56"/>
  <c r="AC220" i="56" s="1"/>
  <c r="AE220" i="56" s="1"/>
  <c r="AB38" i="56"/>
  <c r="AC38" i="56" s="1"/>
  <c r="AE38" i="56" s="1"/>
  <c r="AB296" i="56"/>
  <c r="AC296" i="56" s="1"/>
  <c r="AE296" i="56" s="1"/>
  <c r="N235" i="54"/>
  <c r="O235" i="54" s="1"/>
  <c r="Q235" i="54" s="1"/>
  <c r="BB197" i="54"/>
  <c r="BC197" i="54" s="1"/>
  <c r="BE197" i="54" s="1"/>
  <c r="BF28" i="54"/>
  <c r="AR382" i="54"/>
  <c r="AS382" i="54" s="1"/>
  <c r="AU382" i="54" s="1"/>
  <c r="BF273" i="54"/>
  <c r="BB91" i="54"/>
  <c r="BC91" i="54" s="1"/>
  <c r="BE91" i="54" s="1"/>
  <c r="X124" i="54"/>
  <c r="Y124" i="54" s="1"/>
  <c r="AA124" i="54" s="1"/>
  <c r="X293" i="54"/>
  <c r="Y293" i="54" s="1"/>
  <c r="AA293" i="54" s="1"/>
  <c r="AR240" i="54"/>
  <c r="AS240" i="54" s="1"/>
  <c r="AU240" i="54" s="1"/>
  <c r="AR201" i="54"/>
  <c r="AS201" i="54" s="1"/>
  <c r="AU201" i="54" s="1"/>
  <c r="N386" i="54"/>
  <c r="O386" i="54" s="1"/>
  <c r="Q386" i="54" s="1"/>
  <c r="N373" i="54"/>
  <c r="O373" i="54" s="1"/>
  <c r="Q373" i="54" s="1"/>
  <c r="N360" i="54"/>
  <c r="O360" i="54" s="1"/>
  <c r="Q360" i="54" s="1"/>
  <c r="BF337" i="54"/>
  <c r="BB177" i="54"/>
  <c r="BC177" i="54" s="1"/>
  <c r="BE177" i="54" s="1"/>
  <c r="BF190" i="54"/>
  <c r="BB294" i="54"/>
  <c r="BC294" i="54" s="1"/>
  <c r="BE294" i="54" s="1"/>
  <c r="X58" i="54"/>
  <c r="Y58" i="54" s="1"/>
  <c r="AA58" i="54" s="1"/>
  <c r="BF142" i="54"/>
  <c r="AR244" i="54"/>
  <c r="AS244" i="54" s="1"/>
  <c r="AU244" i="54" s="1"/>
  <c r="AR205" i="54"/>
  <c r="AS205" i="54" s="1"/>
  <c r="AU205" i="54" s="1"/>
  <c r="AR309" i="54"/>
  <c r="AS309" i="54" s="1"/>
  <c r="AU309" i="54" s="1"/>
  <c r="AR264" i="54"/>
  <c r="AS264" i="54" s="1"/>
  <c r="AU264" i="54" s="1"/>
  <c r="AR303" i="54"/>
  <c r="AS303" i="54" s="1"/>
  <c r="AU303" i="54" s="1"/>
  <c r="BB322" i="54"/>
  <c r="BC322" i="54" s="1"/>
  <c r="BE322" i="54" s="1"/>
  <c r="BF315" i="54"/>
  <c r="N398" i="54"/>
  <c r="O398" i="54" s="1"/>
  <c r="Q398" i="54" s="1"/>
  <c r="N294" i="54"/>
  <c r="O294" i="54" s="1"/>
  <c r="Q294" i="54" s="1"/>
  <c r="BG42" i="54"/>
  <c r="AR365" i="54"/>
  <c r="AS365" i="54" s="1"/>
  <c r="AU365" i="54" s="1"/>
  <c r="AR274" i="54"/>
  <c r="AS274" i="54" s="1"/>
  <c r="AU274" i="54" s="1"/>
  <c r="AR53" i="54"/>
  <c r="AS53" i="54" s="1"/>
  <c r="AU53" i="54" s="1"/>
  <c r="BG200" i="54"/>
  <c r="BF57" i="54"/>
  <c r="BB83" i="54"/>
  <c r="BC83" i="54" s="1"/>
  <c r="BE83" i="54" s="1"/>
  <c r="BF289" i="54"/>
  <c r="N328" i="54"/>
  <c r="O328" i="54" s="1"/>
  <c r="Q328" i="54" s="1"/>
  <c r="N211" i="54"/>
  <c r="O211" i="54" s="1"/>
  <c r="Q211" i="54" s="1"/>
  <c r="AH83" i="54"/>
  <c r="AI83" i="54" s="1"/>
  <c r="AK83" i="54" s="1"/>
  <c r="BF96" i="54"/>
  <c r="AR256" i="54"/>
  <c r="AS256" i="54" s="1"/>
  <c r="AU256" i="54" s="1"/>
  <c r="AR399" i="54"/>
  <c r="AS399" i="54" s="1"/>
  <c r="AU399" i="54" s="1"/>
  <c r="BF388" i="54"/>
  <c r="BF32" i="54"/>
  <c r="BF188" i="54"/>
  <c r="N186" i="54"/>
  <c r="O186" i="54" s="1"/>
  <c r="Q186" i="54" s="1"/>
  <c r="AH179" i="54"/>
  <c r="AI179" i="54" s="1"/>
  <c r="AK179" i="54" s="1"/>
  <c r="BB108" i="54"/>
  <c r="BC108" i="54" s="1"/>
  <c r="BE108" i="54" s="1"/>
  <c r="BB316" i="54"/>
  <c r="BC316" i="54" s="1"/>
  <c r="BE316" i="54" s="1"/>
  <c r="BF283" i="54"/>
  <c r="BF178" i="54"/>
  <c r="BB116" i="54"/>
  <c r="BC116" i="54" s="1"/>
  <c r="BE116" i="54" s="1"/>
  <c r="BF51" i="54"/>
  <c r="N298" i="54"/>
  <c r="O298" i="54" s="1"/>
  <c r="Q298" i="54" s="1"/>
  <c r="AR254" i="54"/>
  <c r="AS254" i="54" s="1"/>
  <c r="AU254" i="54" s="1"/>
  <c r="N89" i="54"/>
  <c r="O89" i="54" s="1"/>
  <c r="Q89" i="54" s="1"/>
  <c r="AR281" i="54"/>
  <c r="AS281" i="54" s="1"/>
  <c r="AU281" i="54" s="1"/>
  <c r="AR177" i="54"/>
  <c r="AS177" i="54" s="1"/>
  <c r="AU177" i="54" s="1"/>
  <c r="BF169" i="54"/>
  <c r="BB293" i="54"/>
  <c r="BC293" i="54" s="1"/>
  <c r="BE293" i="54" s="1"/>
  <c r="BB131" i="54"/>
  <c r="BC131" i="54" s="1"/>
  <c r="BE131" i="54" s="1"/>
  <c r="BB144" i="54"/>
  <c r="BC144" i="54" s="1"/>
  <c r="BE144" i="54" s="1"/>
  <c r="BF327" i="54"/>
  <c r="AR197" i="54"/>
  <c r="AS197" i="54" s="1"/>
  <c r="AU197" i="54" s="1"/>
  <c r="AH288" i="54"/>
  <c r="AI288" i="54" s="1"/>
  <c r="AK288" i="54" s="1"/>
  <c r="BF24" i="54"/>
  <c r="AN105" i="56"/>
  <c r="AO105" i="56" s="1"/>
  <c r="AQ105" i="56" s="1"/>
  <c r="AO164" i="56"/>
  <c r="AQ164" i="56" s="1"/>
  <c r="AR317" i="56"/>
  <c r="AR80" i="56"/>
  <c r="AR384" i="56"/>
  <c r="AR20" i="56"/>
  <c r="AR137" i="56"/>
  <c r="AR378" i="56"/>
  <c r="AR183" i="56"/>
  <c r="AR248" i="56"/>
  <c r="AR300" i="56"/>
  <c r="AR263" i="56"/>
  <c r="AR146" i="56"/>
  <c r="AR219" i="56"/>
  <c r="AR310" i="56"/>
  <c r="AR381" i="56"/>
  <c r="AR216" i="56"/>
  <c r="AR190" i="56"/>
  <c r="AR402" i="56"/>
  <c r="AR51" i="56"/>
  <c r="AR61" i="56"/>
  <c r="AR335" i="56"/>
  <c r="AR49" i="56"/>
  <c r="AR348" i="56"/>
  <c r="AR179" i="56"/>
  <c r="AR100" i="56"/>
  <c r="AR191" i="56"/>
  <c r="AR238" i="56"/>
  <c r="AR337" i="56"/>
  <c r="AR272" i="56"/>
  <c r="BF262" i="54"/>
  <c r="BF325" i="54"/>
  <c r="BF286" i="54"/>
  <c r="BF105" i="54"/>
  <c r="X352" i="54"/>
  <c r="Y352" i="54" s="1"/>
  <c r="AA352" i="54" s="1"/>
  <c r="AH91" i="54"/>
  <c r="AI91" i="54" s="1"/>
  <c r="AK91" i="54" s="1"/>
  <c r="AH266" i="54"/>
  <c r="AI266" i="54" s="1"/>
  <c r="AK266" i="54" s="1"/>
  <c r="BF216" i="54"/>
  <c r="BF138" i="54"/>
  <c r="BF242" i="54"/>
  <c r="BF268" i="54"/>
  <c r="AH385" i="54"/>
  <c r="AI385" i="54" s="1"/>
  <c r="AK385" i="54" s="1"/>
  <c r="X344" i="54"/>
  <c r="Y344" i="54" s="1"/>
  <c r="AA344" i="54" s="1"/>
  <c r="BF88" i="54"/>
  <c r="BF127" i="54"/>
  <c r="BF205" i="54"/>
  <c r="AH363" i="54"/>
  <c r="AI363" i="54" s="1"/>
  <c r="AK363" i="54" s="1"/>
  <c r="BF198" i="54"/>
  <c r="BF107" i="54"/>
  <c r="BF94" i="54"/>
  <c r="BF366" i="54"/>
  <c r="BF161" i="54"/>
  <c r="AH172" i="54"/>
  <c r="AI172" i="54" s="1"/>
  <c r="AK172" i="54" s="1"/>
  <c r="AH380" i="54"/>
  <c r="AI380" i="54" s="1"/>
  <c r="AK380" i="54" s="1"/>
  <c r="AH157" i="54"/>
  <c r="AI157" i="54" s="1"/>
  <c r="AK157" i="54" s="1"/>
  <c r="X278" i="54"/>
  <c r="Y278" i="54" s="1"/>
  <c r="AA278" i="54" s="1"/>
  <c r="AH161" i="54"/>
  <c r="AI161" i="54" s="1"/>
  <c r="AK161" i="54" s="1"/>
  <c r="BF253" i="54"/>
  <c r="BF149" i="54"/>
  <c r="AH166" i="54"/>
  <c r="AI166" i="54" s="1"/>
  <c r="AK166" i="54" s="1"/>
  <c r="BF277" i="54"/>
  <c r="BF251" i="54"/>
  <c r="BG30" i="54"/>
  <c r="X101" i="54"/>
  <c r="Y101" i="54" s="1"/>
  <c r="AA101" i="54" s="1"/>
  <c r="BF35" i="54"/>
  <c r="BF386" i="54"/>
  <c r="BF74" i="54"/>
  <c r="X173" i="54"/>
  <c r="Y173" i="54" s="1"/>
  <c r="AA173" i="54" s="1"/>
  <c r="X134" i="54"/>
  <c r="Y134" i="54" s="1"/>
  <c r="AA134" i="54" s="1"/>
  <c r="BF90" i="54"/>
  <c r="BF207" i="54"/>
  <c r="BF372" i="54"/>
  <c r="BF306" i="54"/>
  <c r="BF215" i="54"/>
  <c r="BG79" i="54"/>
  <c r="BF261" i="54"/>
  <c r="X237" i="54"/>
  <c r="Y237" i="54" s="1"/>
  <c r="AA237" i="54" s="1"/>
  <c r="BF154" i="54"/>
  <c r="BF310" i="54"/>
  <c r="BF63" i="54"/>
  <c r="BF349" i="54"/>
  <c r="BG50" i="54"/>
  <c r="AI323" i="54"/>
  <c r="AK323" i="54" s="1"/>
  <c r="AH245" i="54"/>
  <c r="AI245" i="54" s="1"/>
  <c r="AK245" i="54" s="1"/>
  <c r="BG193" i="54"/>
  <c r="BG306" i="54"/>
  <c r="BG114" i="54"/>
  <c r="BG390" i="54"/>
  <c r="BG307" i="54"/>
  <c r="S27" i="60" l="1"/>
  <c r="Z346" i="60"/>
  <c r="L351" i="60"/>
  <c r="S295" i="60"/>
  <c r="Z297" i="60"/>
  <c r="L322" i="60"/>
  <c r="S312" i="60"/>
  <c r="S16" i="60"/>
  <c r="Z133" i="60"/>
  <c r="Z342" i="60"/>
  <c r="Z296" i="60"/>
  <c r="L212" i="60"/>
  <c r="L156" i="60"/>
  <c r="S383" i="60"/>
  <c r="L332" i="60"/>
  <c r="S28" i="60"/>
  <c r="L189" i="60"/>
  <c r="S361" i="60"/>
  <c r="Z322" i="60"/>
  <c r="Z271" i="60"/>
  <c r="S236" i="60"/>
  <c r="Z326" i="60"/>
  <c r="Z255" i="60"/>
  <c r="Z17" i="60"/>
  <c r="S121" i="60"/>
  <c r="Z37" i="60"/>
  <c r="L30" i="60"/>
  <c r="Z23" i="60"/>
  <c r="S22" i="60"/>
  <c r="Z305" i="60"/>
  <c r="L379" i="60"/>
  <c r="S345" i="60"/>
  <c r="S205" i="60"/>
  <c r="L216" i="60"/>
  <c r="Z336" i="60"/>
  <c r="L304" i="60"/>
  <c r="S331" i="60"/>
  <c r="L336" i="60"/>
  <c r="S31" i="60"/>
  <c r="S280" i="60"/>
  <c r="S33" i="60"/>
  <c r="Z353" i="60"/>
  <c r="Z189" i="60"/>
  <c r="Z193" i="60"/>
  <c r="S118" i="60"/>
  <c r="L198" i="60"/>
  <c r="S359" i="60"/>
  <c r="Z397" i="60"/>
  <c r="Z323" i="60"/>
  <c r="S69" i="60"/>
  <c r="J298" i="60"/>
  <c r="L298" i="60" s="1"/>
  <c r="Q235" i="60"/>
  <c r="S235" i="60" s="1"/>
  <c r="BG380" i="54"/>
  <c r="X378" i="60"/>
  <c r="AL114" i="60"/>
  <c r="AE301" i="60"/>
  <c r="AG301" i="60" s="1"/>
  <c r="Q291" i="60"/>
  <c r="S291" i="60" s="1"/>
  <c r="R248" i="60"/>
  <c r="Y290" i="60"/>
  <c r="BG317" i="54"/>
  <c r="Q315" i="60"/>
  <c r="S315" i="60" s="1"/>
  <c r="K81" i="60"/>
  <c r="Y88" i="60"/>
  <c r="Z88" i="60" s="1"/>
  <c r="BG115" i="54"/>
  <c r="J113" i="60"/>
  <c r="L113" i="60" s="1"/>
  <c r="AL203" i="60"/>
  <c r="BG279" i="54"/>
  <c r="AE277" i="60"/>
  <c r="AG277" i="60" s="1"/>
  <c r="R73" i="60"/>
  <c r="R386" i="60"/>
  <c r="K135" i="60"/>
  <c r="BG47" i="54"/>
  <c r="J45" i="60"/>
  <c r="L45" i="60" s="1"/>
  <c r="BG69" i="54"/>
  <c r="Q67" i="60"/>
  <c r="S67" i="60" s="1"/>
  <c r="Y266" i="60"/>
  <c r="AL301" i="60"/>
  <c r="J215" i="60"/>
  <c r="L215" i="60" s="1"/>
  <c r="K243" i="60"/>
  <c r="R310" i="60"/>
  <c r="K268" i="60"/>
  <c r="R391" i="60"/>
  <c r="BG180" i="54"/>
  <c r="J178" i="60"/>
  <c r="L178" i="60" s="1"/>
  <c r="BG93" i="54"/>
  <c r="X91" i="60"/>
  <c r="Z91" i="60" s="1"/>
  <c r="X288" i="60"/>
  <c r="Z288" i="60" s="1"/>
  <c r="AL210" i="60"/>
  <c r="AL276" i="60"/>
  <c r="AL299" i="60"/>
  <c r="R59" i="60"/>
  <c r="R274" i="60"/>
  <c r="Y211" i="60"/>
  <c r="BG94" i="54"/>
  <c r="J92" i="60"/>
  <c r="L92" i="60" s="1"/>
  <c r="AN231" i="60"/>
  <c r="AN354" i="60"/>
  <c r="AN22" i="60"/>
  <c r="AU22" i="60"/>
  <c r="AN49" i="60"/>
  <c r="AU49" i="60"/>
  <c r="AN32" i="60"/>
  <c r="AU32" i="60"/>
  <c r="AN24" i="60"/>
  <c r="AU24" i="60"/>
  <c r="AN174" i="60"/>
  <c r="AU174" i="60"/>
  <c r="AN56" i="60"/>
  <c r="Z54" i="60"/>
  <c r="AN208" i="60"/>
  <c r="AU208" i="60"/>
  <c r="L73" i="60"/>
  <c r="L276" i="60"/>
  <c r="AN136" i="60"/>
  <c r="AU136" i="60"/>
  <c r="S248" i="60"/>
  <c r="AN178" i="60"/>
  <c r="AU178" i="60"/>
  <c r="AN77" i="60"/>
  <c r="AU77" i="60"/>
  <c r="S327" i="60"/>
  <c r="S344" i="60"/>
  <c r="Z46" i="60"/>
  <c r="Z107" i="60"/>
  <c r="Z141" i="60"/>
  <c r="AN182" i="60"/>
  <c r="Z351" i="60"/>
  <c r="AN116" i="60"/>
  <c r="AN239" i="60"/>
  <c r="L36" i="60"/>
  <c r="AN124" i="60"/>
  <c r="AN46" i="60"/>
  <c r="AU46" i="60"/>
  <c r="AN158" i="60"/>
  <c r="Z21" i="60"/>
  <c r="L15" i="60"/>
  <c r="Z350" i="60"/>
  <c r="AN248" i="60"/>
  <c r="AN162" i="60"/>
  <c r="AU162" i="60"/>
  <c r="S278" i="60"/>
  <c r="AN232" i="60"/>
  <c r="L259" i="60"/>
  <c r="S54" i="60"/>
  <c r="L325" i="60"/>
  <c r="L108" i="60"/>
  <c r="AN305" i="60"/>
  <c r="AU305" i="60"/>
  <c r="AN318" i="60"/>
  <c r="AU318" i="60"/>
  <c r="AN241" i="60"/>
  <c r="AN401" i="60"/>
  <c r="AN350" i="60"/>
  <c r="AN192" i="60"/>
  <c r="Z185" i="60"/>
  <c r="S94" i="60"/>
  <c r="S156" i="60"/>
  <c r="Z257" i="60"/>
  <c r="AN47" i="60"/>
  <c r="AU47" i="60"/>
  <c r="S147" i="60"/>
  <c r="Z201" i="60"/>
  <c r="L202" i="60"/>
  <c r="Z394" i="60"/>
  <c r="AN377" i="60"/>
  <c r="S242" i="60"/>
  <c r="L118" i="60"/>
  <c r="S277" i="60"/>
  <c r="AN25" i="60"/>
  <c r="AN360" i="60"/>
  <c r="AN226" i="60"/>
  <c r="S375" i="60"/>
  <c r="L205" i="60"/>
  <c r="AN293" i="60"/>
  <c r="AU293" i="60"/>
  <c r="L99" i="60"/>
  <c r="L340" i="60"/>
  <c r="L67" i="60"/>
  <c r="Z55" i="60"/>
  <c r="AN378" i="60"/>
  <c r="AU378" i="60"/>
  <c r="AN84" i="60"/>
  <c r="AN221" i="60"/>
  <c r="AU221" i="60"/>
  <c r="AN286" i="60"/>
  <c r="L183" i="60"/>
  <c r="AN243" i="60"/>
  <c r="Z52" i="60"/>
  <c r="AN311" i="60"/>
  <c r="L18" i="60"/>
  <c r="AN356" i="60"/>
  <c r="AU356" i="60"/>
  <c r="L23" i="60"/>
  <c r="AN340" i="60"/>
  <c r="AU340" i="60"/>
  <c r="Z390" i="60"/>
  <c r="AN168" i="60"/>
  <c r="AU168" i="60"/>
  <c r="L269" i="60"/>
  <c r="AN218" i="60"/>
  <c r="AU218" i="60"/>
  <c r="S214" i="60"/>
  <c r="L333" i="60"/>
  <c r="Z138" i="60"/>
  <c r="S159" i="60"/>
  <c r="Z66" i="60"/>
  <c r="AN68" i="60"/>
  <c r="AN352" i="60"/>
  <c r="S303" i="60"/>
  <c r="AN383" i="60"/>
  <c r="Z96" i="60"/>
  <c r="AN338" i="60"/>
  <c r="S39" i="60"/>
  <c r="S77" i="60"/>
  <c r="L211" i="60"/>
  <c r="L247" i="60"/>
  <c r="L76" i="60"/>
  <c r="L167" i="60"/>
  <c r="AN92" i="60"/>
  <c r="AU92" i="60"/>
  <c r="AN388" i="60"/>
  <c r="AU388" i="60"/>
  <c r="AN391" i="60"/>
  <c r="AN300" i="60"/>
  <c r="AN363" i="60"/>
  <c r="BG323" i="54"/>
  <c r="X321" i="60"/>
  <c r="X383" i="60"/>
  <c r="Z383" i="60" s="1"/>
  <c r="Y162" i="60"/>
  <c r="BG89" i="54"/>
  <c r="J87" i="60"/>
  <c r="L87" i="60" s="1"/>
  <c r="J292" i="60"/>
  <c r="L292" i="60" s="1"/>
  <c r="J233" i="60"/>
  <c r="L233" i="60" s="1"/>
  <c r="R211" i="60"/>
  <c r="J110" i="60"/>
  <c r="BG354" i="54"/>
  <c r="X352" i="60"/>
  <c r="BG329" i="54"/>
  <c r="AL327" i="60"/>
  <c r="X167" i="60"/>
  <c r="Z167" i="60" s="1"/>
  <c r="K273" i="60"/>
  <c r="L273" i="60" s="1"/>
  <c r="J255" i="60"/>
  <c r="L255" i="60" s="1"/>
  <c r="AL130" i="60"/>
  <c r="K266" i="60"/>
  <c r="L266" i="60" s="1"/>
  <c r="BG356" i="54"/>
  <c r="X354" i="60"/>
  <c r="Z354" i="60" s="1"/>
  <c r="Q253" i="60"/>
  <c r="BG190" i="54"/>
  <c r="J188" i="60"/>
  <c r="L188" i="60" s="1"/>
  <c r="R381" i="60"/>
  <c r="K200" i="60"/>
  <c r="J270" i="60"/>
  <c r="AL183" i="60"/>
  <c r="K25" i="60"/>
  <c r="BG43" i="54"/>
  <c r="J41" i="60"/>
  <c r="L41" i="60" s="1"/>
  <c r="BG273" i="54"/>
  <c r="Q271" i="60"/>
  <c r="S271" i="60" s="1"/>
  <c r="BG70" i="54"/>
  <c r="Q68" i="60"/>
  <c r="S68" i="60" s="1"/>
  <c r="J53" i="60"/>
  <c r="L53" i="60" s="1"/>
  <c r="AE193" i="60"/>
  <c r="AG193" i="60" s="1"/>
  <c r="K21" i="60"/>
  <c r="R266" i="60"/>
  <c r="R64" i="60"/>
  <c r="Y317" i="60"/>
  <c r="J280" i="60"/>
  <c r="L280" i="60" s="1"/>
  <c r="X367" i="60"/>
  <c r="Q192" i="60"/>
  <c r="BG334" i="54"/>
  <c r="AL332" i="60"/>
  <c r="Q334" i="60"/>
  <c r="S334" i="60" s="1"/>
  <c r="BG340" i="54"/>
  <c r="Q338" i="60"/>
  <c r="S338" i="60" s="1"/>
  <c r="Y344" i="60"/>
  <c r="AL233" i="60"/>
  <c r="BG33" i="54"/>
  <c r="J31" i="60"/>
  <c r="L31" i="60" s="1"/>
  <c r="AL288" i="60"/>
  <c r="AL173" i="60"/>
  <c r="BG238" i="54"/>
  <c r="AE236" i="60"/>
  <c r="AG236" i="60" s="1"/>
  <c r="AE302" i="60"/>
  <c r="AG302" i="60" s="1"/>
  <c r="J181" i="60"/>
  <c r="L181" i="60" s="1"/>
  <c r="R138" i="60"/>
  <c r="S138" i="60" s="1"/>
  <c r="K254" i="60"/>
  <c r="L254" i="60" s="1"/>
  <c r="Y150" i="60"/>
  <c r="K253" i="60"/>
  <c r="Y101" i="60"/>
  <c r="K295" i="60"/>
  <c r="K272" i="60"/>
  <c r="Y222" i="60"/>
  <c r="Z222" i="60" s="1"/>
  <c r="J126" i="60"/>
  <c r="L126" i="60" s="1"/>
  <c r="BG48" i="54"/>
  <c r="J46" i="60"/>
  <c r="L46" i="60" s="1"/>
  <c r="Q140" i="60"/>
  <c r="S140" i="60" s="1"/>
  <c r="Q51" i="60"/>
  <c r="Y376" i="60"/>
  <c r="AL298" i="60"/>
  <c r="AE357" i="60"/>
  <c r="AG357" i="60" s="1"/>
  <c r="BG51" i="54"/>
  <c r="J49" i="60"/>
  <c r="L49" i="60" s="1"/>
  <c r="AL163" i="60"/>
  <c r="J119" i="60"/>
  <c r="L119" i="60" s="1"/>
  <c r="AE306" i="60"/>
  <c r="AG306" i="60" s="1"/>
  <c r="J331" i="60"/>
  <c r="AE106" i="60"/>
  <c r="AG106" i="60" s="1"/>
  <c r="AE283" i="60"/>
  <c r="AG283" i="60" s="1"/>
  <c r="AL349" i="60"/>
  <c r="J51" i="60"/>
  <c r="L51" i="60" s="1"/>
  <c r="R322" i="60"/>
  <c r="Y371" i="60"/>
  <c r="K114" i="60"/>
  <c r="R217" i="60"/>
  <c r="K100" i="60"/>
  <c r="R161" i="60"/>
  <c r="Y180" i="60"/>
  <c r="Y45" i="60"/>
  <c r="Y380" i="60"/>
  <c r="R167" i="60"/>
  <c r="BG60" i="54"/>
  <c r="J58" i="60"/>
  <c r="L58" i="60" s="1"/>
  <c r="Q71" i="60"/>
  <c r="S71" i="60" s="1"/>
  <c r="BG147" i="54"/>
  <c r="X145" i="60"/>
  <c r="Z145" i="60" s="1"/>
  <c r="AL302" i="60"/>
  <c r="AE183" i="60"/>
  <c r="AG183" i="60" s="1"/>
  <c r="AL333" i="60"/>
  <c r="Q64" i="60"/>
  <c r="S64" i="60" s="1"/>
  <c r="AE219" i="60"/>
  <c r="AG219" i="60" s="1"/>
  <c r="BG158" i="54"/>
  <c r="AL156" i="60"/>
  <c r="R21" i="60"/>
  <c r="K85" i="60"/>
  <c r="R251" i="60"/>
  <c r="K110" i="60"/>
  <c r="K282" i="60"/>
  <c r="K40" i="60"/>
  <c r="K142" i="60"/>
  <c r="Y149" i="60"/>
  <c r="Z149" i="60" s="1"/>
  <c r="Y68" i="60"/>
  <c r="R37" i="60"/>
  <c r="S37" i="60" s="1"/>
  <c r="J80" i="60"/>
  <c r="L80" i="60" s="1"/>
  <c r="BG100" i="54"/>
  <c r="J98" i="60"/>
  <c r="L98" i="60" s="1"/>
  <c r="K316" i="60"/>
  <c r="J312" i="60"/>
  <c r="L312" i="60" s="1"/>
  <c r="J43" i="60"/>
  <c r="L43" i="60" s="1"/>
  <c r="J349" i="60"/>
  <c r="K250" i="60"/>
  <c r="J302" i="60"/>
  <c r="L302" i="60" s="1"/>
  <c r="K186" i="60"/>
  <c r="L186" i="60" s="1"/>
  <c r="J16" i="60"/>
  <c r="L16" i="60" s="1"/>
  <c r="J26" i="60"/>
  <c r="L26" i="60" s="1"/>
  <c r="J297" i="60"/>
  <c r="Y318" i="60"/>
  <c r="K208" i="60"/>
  <c r="K375" i="60"/>
  <c r="K128" i="60"/>
  <c r="L128" i="60" s="1"/>
  <c r="J263" i="60"/>
  <c r="L263" i="60" s="1"/>
  <c r="AN334" i="60"/>
  <c r="AU334" i="60"/>
  <c r="AN134" i="60"/>
  <c r="AN107" i="60"/>
  <c r="AN274" i="60"/>
  <c r="Q171" i="60"/>
  <c r="S171" i="60" s="1"/>
  <c r="BG101" i="54"/>
  <c r="Q99" i="60"/>
  <c r="S99" i="60" s="1"/>
  <c r="X164" i="60"/>
  <c r="X159" i="60"/>
  <c r="BG172" i="54"/>
  <c r="X170" i="60"/>
  <c r="Z170" i="60" s="1"/>
  <c r="X264" i="60"/>
  <c r="Z264" i="60" s="1"/>
  <c r="Y103" i="60"/>
  <c r="Z103" i="60" s="1"/>
  <c r="AE252" i="60"/>
  <c r="AG252" i="60" s="1"/>
  <c r="X177" i="60"/>
  <c r="Z177" i="60" s="1"/>
  <c r="X81" i="60"/>
  <c r="AL81" i="60"/>
  <c r="BG274" i="54"/>
  <c r="AE272" i="60"/>
  <c r="AG272" i="60" s="1"/>
  <c r="J396" i="60"/>
  <c r="L396" i="60" s="1"/>
  <c r="BG264" i="54"/>
  <c r="AE262" i="60"/>
  <c r="AG262" i="60" s="1"/>
  <c r="AL175" i="60"/>
  <c r="J384" i="60"/>
  <c r="L384" i="60" s="1"/>
  <c r="Q122" i="60"/>
  <c r="S122" i="60" s="1"/>
  <c r="AE380" i="60"/>
  <c r="AG380" i="60" s="1"/>
  <c r="K93" i="60"/>
  <c r="R160" i="60"/>
  <c r="K386" i="60"/>
  <c r="K66" i="60"/>
  <c r="L66" i="60" s="1"/>
  <c r="R328" i="60"/>
  <c r="R51" i="60"/>
  <c r="Y248" i="60"/>
  <c r="R325" i="60"/>
  <c r="Y272" i="60"/>
  <c r="BG74" i="54"/>
  <c r="J72" i="60"/>
  <c r="L72" i="60" s="1"/>
  <c r="BG229" i="54"/>
  <c r="Q227" i="60"/>
  <c r="S227" i="60" s="1"/>
  <c r="Q61" i="60"/>
  <c r="S61" i="60" s="1"/>
  <c r="X384" i="60"/>
  <c r="Z384" i="60" s="1"/>
  <c r="AE312" i="60"/>
  <c r="AG312" i="60" s="1"/>
  <c r="BG242" i="54"/>
  <c r="AE240" i="60"/>
  <c r="AG240" i="60" s="1"/>
  <c r="Q223" i="60"/>
  <c r="S223" i="60" s="1"/>
  <c r="Q370" i="60"/>
  <c r="S370" i="60" s="1"/>
  <c r="BG49" i="54"/>
  <c r="J47" i="60"/>
  <c r="L47" i="60" s="1"/>
  <c r="BG318" i="54"/>
  <c r="AL316" i="60"/>
  <c r="X280" i="60"/>
  <c r="Z280" i="60" s="1"/>
  <c r="Q285" i="60"/>
  <c r="S285" i="60" s="1"/>
  <c r="J367" i="60"/>
  <c r="J195" i="60"/>
  <c r="L195" i="60" s="1"/>
  <c r="K147" i="60"/>
  <c r="K299" i="60"/>
  <c r="K55" i="60"/>
  <c r="AL308" i="60"/>
  <c r="BG261" i="54"/>
  <c r="AL259" i="60"/>
  <c r="BG215" i="54"/>
  <c r="AL213" i="60"/>
  <c r="J399" i="60"/>
  <c r="L399" i="60" s="1"/>
  <c r="BG88" i="54"/>
  <c r="Q86" i="60"/>
  <c r="S86" i="60" s="1"/>
  <c r="BG160" i="54"/>
  <c r="X158" i="60"/>
  <c r="Z158" i="60" s="1"/>
  <c r="BG107" i="54"/>
  <c r="J105" i="60"/>
  <c r="AE181" i="60"/>
  <c r="AG181" i="60" s="1"/>
  <c r="BG127" i="54"/>
  <c r="AL125" i="60"/>
  <c r="AE359" i="60"/>
  <c r="AG359" i="60" s="1"/>
  <c r="J163" i="60"/>
  <c r="L163" i="60" s="1"/>
  <c r="AE394" i="60"/>
  <c r="AG394" i="60" s="1"/>
  <c r="X265" i="60"/>
  <c r="AE310" i="60"/>
  <c r="AG310" i="60" s="1"/>
  <c r="BG405" i="54"/>
  <c r="AL403" i="60"/>
  <c r="R270" i="60"/>
  <c r="R215" i="60"/>
  <c r="K123" i="60"/>
  <c r="R93" i="60"/>
  <c r="S93" i="60" s="1"/>
  <c r="Y230" i="60"/>
  <c r="R55" i="60"/>
  <c r="K382" i="60"/>
  <c r="Q374" i="60"/>
  <c r="S374" i="60" s="1"/>
  <c r="Y244" i="60"/>
  <c r="X385" i="60"/>
  <c r="Z385" i="60" s="1"/>
  <c r="BG265" i="54"/>
  <c r="Q263" i="60"/>
  <c r="S263" i="60" s="1"/>
  <c r="Q249" i="60"/>
  <c r="Y129" i="60"/>
  <c r="J265" i="60"/>
  <c r="AL122" i="60"/>
  <c r="BG345" i="54"/>
  <c r="AE343" i="60"/>
  <c r="AG343" i="60" s="1"/>
  <c r="AL374" i="60"/>
  <c r="Q346" i="60"/>
  <c r="S346" i="60" s="1"/>
  <c r="AL394" i="60"/>
  <c r="X272" i="60"/>
  <c r="Q130" i="60"/>
  <c r="S130" i="60" s="1"/>
  <c r="BG355" i="54"/>
  <c r="AE353" i="60"/>
  <c r="AG353" i="60" s="1"/>
  <c r="J311" i="60"/>
  <c r="L311" i="60" s="1"/>
  <c r="R333" i="60"/>
  <c r="K138" i="60"/>
  <c r="L138" i="60" s="1"/>
  <c r="Y205" i="60"/>
  <c r="Z205" i="60" s="1"/>
  <c r="Y191" i="60"/>
  <c r="Y160" i="60"/>
  <c r="Y198" i="60"/>
  <c r="J164" i="60"/>
  <c r="L164" i="60" s="1"/>
  <c r="BG99" i="54"/>
  <c r="J97" i="60"/>
  <c r="L97" i="60" s="1"/>
  <c r="BG291" i="54"/>
  <c r="AL289" i="60"/>
  <c r="BG125" i="54"/>
  <c r="J123" i="60"/>
  <c r="L123" i="60" s="1"/>
  <c r="BG35" i="54"/>
  <c r="J33" i="60"/>
  <c r="AE303" i="60"/>
  <c r="AG303" i="60" s="1"/>
  <c r="AL375" i="60"/>
  <c r="BG109" i="54"/>
  <c r="AE107" i="60"/>
  <c r="AG107" i="60" s="1"/>
  <c r="R34" i="60"/>
  <c r="K320" i="60"/>
  <c r="K309" i="60"/>
  <c r="Y309" i="60"/>
  <c r="K48" i="60"/>
  <c r="K105" i="60"/>
  <c r="R298" i="60"/>
  <c r="Y370" i="60"/>
  <c r="J373" i="60"/>
  <c r="Y314" i="60"/>
  <c r="Q243" i="60"/>
  <c r="S243" i="60" s="1"/>
  <c r="X80" i="60"/>
  <c r="Z80" i="60" s="1"/>
  <c r="BG239" i="54"/>
  <c r="Q237" i="60"/>
  <c r="BG155" i="54"/>
  <c r="X153" i="60"/>
  <c r="Z153" i="60" s="1"/>
  <c r="BG324" i="54"/>
  <c r="Q322" i="60"/>
  <c r="S322" i="60" s="1"/>
  <c r="Q57" i="60"/>
  <c r="S57" i="60" s="1"/>
  <c r="AE377" i="60"/>
  <c r="AG377" i="60" s="1"/>
  <c r="J57" i="60"/>
  <c r="L57" i="60" s="1"/>
  <c r="BG76" i="54"/>
  <c r="J74" i="60"/>
  <c r="AL335" i="60"/>
  <c r="J346" i="60"/>
  <c r="L346" i="60" s="1"/>
  <c r="AE228" i="60"/>
  <c r="AG228" i="60" s="1"/>
  <c r="J157" i="60"/>
  <c r="L157" i="60" s="1"/>
  <c r="AL380" i="60"/>
  <c r="J253" i="60"/>
  <c r="L253" i="60" s="1"/>
  <c r="AE372" i="60"/>
  <c r="AG372" i="60" s="1"/>
  <c r="AE225" i="60"/>
  <c r="AG225" i="60" s="1"/>
  <c r="AL310" i="60"/>
  <c r="AE349" i="60"/>
  <c r="AG349" i="60" s="1"/>
  <c r="BG170" i="54"/>
  <c r="J168" i="60"/>
  <c r="L168" i="60" s="1"/>
  <c r="R320" i="60"/>
  <c r="K124" i="60"/>
  <c r="L124" i="60" s="1"/>
  <c r="Y176" i="60"/>
  <c r="Y400" i="60"/>
  <c r="R157" i="60"/>
  <c r="K324" i="60"/>
  <c r="L324" i="60" s="1"/>
  <c r="R389" i="60"/>
  <c r="S389" i="60" s="1"/>
  <c r="Y279" i="60"/>
  <c r="R182" i="60"/>
  <c r="S182" i="60" s="1"/>
  <c r="J140" i="60"/>
  <c r="J313" i="60"/>
  <c r="L313" i="60" s="1"/>
  <c r="X139" i="60"/>
  <c r="Z139" i="60" s="1"/>
  <c r="X184" i="60"/>
  <c r="Z184" i="60" s="1"/>
  <c r="BG395" i="54"/>
  <c r="Q393" i="60"/>
  <c r="X225" i="60"/>
  <c r="Z225" i="60" s="1"/>
  <c r="X303" i="60"/>
  <c r="Z303" i="60" s="1"/>
  <c r="BG163" i="54"/>
  <c r="AL161" i="60"/>
  <c r="AL366" i="60"/>
  <c r="BG292" i="54"/>
  <c r="AL290" i="60"/>
  <c r="AE215" i="60"/>
  <c r="AG215" i="60" s="1"/>
  <c r="BG18" i="54"/>
  <c r="Q299" i="60"/>
  <c r="X329" i="60"/>
  <c r="Z329" i="60" s="1"/>
  <c r="AL126" i="60"/>
  <c r="AL337" i="60"/>
  <c r="BG189" i="54"/>
  <c r="AL187" i="60"/>
  <c r="AE227" i="60"/>
  <c r="AG227" i="60" s="1"/>
  <c r="J283" i="60"/>
  <c r="L283" i="60" s="1"/>
  <c r="AL137" i="60"/>
  <c r="BG97" i="54"/>
  <c r="AL95" i="60"/>
  <c r="AE350" i="60"/>
  <c r="AG350" i="60" s="1"/>
  <c r="BG224" i="54"/>
  <c r="AE222" i="60"/>
  <c r="AG222" i="60" s="1"/>
  <c r="AE216" i="60"/>
  <c r="AG216" i="60" s="1"/>
  <c r="BG151" i="54"/>
  <c r="AL149" i="60"/>
  <c r="BG338" i="54"/>
  <c r="AL336" i="60"/>
  <c r="J389" i="60"/>
  <c r="L389" i="60" s="1"/>
  <c r="R257" i="60"/>
  <c r="K33" i="60"/>
  <c r="R329" i="60"/>
  <c r="R230" i="60"/>
  <c r="R162" i="60"/>
  <c r="S162" i="60" s="1"/>
  <c r="K196" i="60"/>
  <c r="K129" i="60"/>
  <c r="Y287" i="60"/>
  <c r="Y168" i="60"/>
  <c r="J14" i="60"/>
  <c r="L14" i="60" s="1"/>
  <c r="J285" i="60"/>
  <c r="X84" i="60"/>
  <c r="X160" i="60"/>
  <c r="Z160" i="60" s="1"/>
  <c r="BG27" i="54"/>
  <c r="Q25" i="60"/>
  <c r="S25" i="60" s="1"/>
  <c r="BG28" i="54"/>
  <c r="Q298" i="60"/>
  <c r="S298" i="60" s="1"/>
  <c r="BG297" i="54"/>
  <c r="AL295" i="60"/>
  <c r="BG102" i="54"/>
  <c r="J100" i="60"/>
  <c r="L100" i="60" s="1"/>
  <c r="AL85" i="60"/>
  <c r="J151" i="60"/>
  <c r="L151" i="60" s="1"/>
  <c r="BG248" i="54"/>
  <c r="AE246" i="60"/>
  <c r="AG246" i="60" s="1"/>
  <c r="AE131" i="60"/>
  <c r="AG131" i="60" s="1"/>
  <c r="AL331" i="60"/>
  <c r="J150" i="60"/>
  <c r="L150" i="60" s="1"/>
  <c r="AE211" i="60"/>
  <c r="AG211" i="60" s="1"/>
  <c r="AE139" i="60"/>
  <c r="AG139" i="60" s="1"/>
  <c r="Y275" i="60"/>
  <c r="K140" i="60"/>
  <c r="Y49" i="60"/>
  <c r="Z49" i="60" s="1"/>
  <c r="K360" i="60"/>
  <c r="R185" i="60"/>
  <c r="K265" i="60"/>
  <c r="Y247" i="60"/>
  <c r="Y300" i="60"/>
  <c r="R52" i="60"/>
  <c r="Y161" i="60"/>
  <c r="R388" i="60"/>
  <c r="S388" i="60" s="1"/>
  <c r="J149" i="60"/>
  <c r="L149" i="60" s="1"/>
  <c r="Q245" i="60"/>
  <c r="S245" i="60" s="1"/>
  <c r="X359" i="60"/>
  <c r="Z359" i="60" s="1"/>
  <c r="BG276" i="54"/>
  <c r="X274" i="60"/>
  <c r="Z274" i="60" s="1"/>
  <c r="AE285" i="60"/>
  <c r="AG285" i="60" s="1"/>
  <c r="AE196" i="60"/>
  <c r="AG196" i="60" s="1"/>
  <c r="Q225" i="60"/>
  <c r="S225" i="60" s="1"/>
  <c r="Q220" i="60"/>
  <c r="S220" i="60" s="1"/>
  <c r="J155" i="60"/>
  <c r="L155" i="60" s="1"/>
  <c r="R60" i="60"/>
  <c r="S60" i="60" s="1"/>
  <c r="K345" i="60"/>
  <c r="K270" i="60"/>
  <c r="R87" i="60"/>
  <c r="R40" i="60"/>
  <c r="S40" i="60" s="1"/>
  <c r="R213" i="60"/>
  <c r="S213" i="60" s="1"/>
  <c r="K213" i="60"/>
  <c r="L213" i="60" s="1"/>
  <c r="Y357" i="60"/>
  <c r="R195" i="60"/>
  <c r="BG61" i="54"/>
  <c r="Q59" i="60"/>
  <c r="S59" i="60" s="1"/>
  <c r="J55" i="60"/>
  <c r="L55" i="60" s="1"/>
  <c r="BG41" i="54"/>
  <c r="J39" i="60"/>
  <c r="L39" i="60" s="1"/>
  <c r="Y73" i="60"/>
  <c r="Z73" i="60" s="1"/>
  <c r="J380" i="60"/>
  <c r="J299" i="60"/>
  <c r="L299" i="60" s="1"/>
  <c r="K29" i="60"/>
  <c r="K121" i="60"/>
  <c r="L121" i="60" s="1"/>
  <c r="J238" i="60"/>
  <c r="L238" i="60" s="1"/>
  <c r="J104" i="60"/>
  <c r="L104" i="60" s="1"/>
  <c r="J81" i="60"/>
  <c r="L81" i="60" s="1"/>
  <c r="K390" i="60"/>
  <c r="K289" i="60"/>
  <c r="L289" i="60" s="1"/>
  <c r="X386" i="60"/>
  <c r="J341" i="60"/>
  <c r="L341" i="60" s="1"/>
  <c r="K401" i="60"/>
  <c r="L401" i="60" s="1"/>
  <c r="J143" i="60"/>
  <c r="L143" i="60" s="1"/>
  <c r="K37" i="60"/>
  <c r="L37" i="60" s="1"/>
  <c r="S320" i="60"/>
  <c r="S306" i="60"/>
  <c r="AN30" i="60"/>
  <c r="AP30" i="60" s="1"/>
  <c r="AR30" i="60" s="1"/>
  <c r="AT30" i="60" s="1"/>
  <c r="AV30" i="60" s="1"/>
  <c r="AX30" i="60" s="1"/>
  <c r="AZ30" i="60" s="1"/>
  <c r="BB30" i="60" s="1"/>
  <c r="AU30" i="60"/>
  <c r="Z267" i="60"/>
  <c r="Z168" i="60"/>
  <c r="Z287" i="60"/>
  <c r="Z244" i="60"/>
  <c r="Z162" i="60"/>
  <c r="L152" i="60"/>
  <c r="S21" i="60"/>
  <c r="Z126" i="60"/>
  <c r="AN74" i="60"/>
  <c r="AU74" i="60"/>
  <c r="Z325" i="60"/>
  <c r="AN64" i="60"/>
  <c r="AU64" i="60"/>
  <c r="AN200" i="60"/>
  <c r="AU200" i="60"/>
  <c r="AN54" i="60"/>
  <c r="AP54" i="60" s="1"/>
  <c r="AR54" i="60" s="1"/>
  <c r="AT54" i="60" s="1"/>
  <c r="AV54" i="60" s="1"/>
  <c r="AX54" i="60" s="1"/>
  <c r="AZ54" i="60" s="1"/>
  <c r="BB54" i="60" s="1"/>
  <c r="AU54" i="60"/>
  <c r="S74" i="60"/>
  <c r="Z314" i="60"/>
  <c r="S328" i="60"/>
  <c r="AN190" i="60"/>
  <c r="AU190" i="60"/>
  <c r="Z148" i="60"/>
  <c r="L272" i="60"/>
  <c r="S183" i="60"/>
  <c r="S90" i="60"/>
  <c r="AN16" i="60"/>
  <c r="AU16" i="60"/>
  <c r="AN21" i="60"/>
  <c r="AU21" i="60"/>
  <c r="AN52" i="60"/>
  <c r="AU52" i="60"/>
  <c r="L250" i="60"/>
  <c r="L69" i="60"/>
  <c r="AN361" i="60"/>
  <c r="AN28" i="60"/>
  <c r="AU28" i="60"/>
  <c r="AN256" i="60"/>
  <c r="Z273" i="60"/>
  <c r="L356" i="60"/>
  <c r="AN395" i="60"/>
  <c r="AN127" i="60"/>
  <c r="AU127" i="60"/>
  <c r="AN280" i="60"/>
  <c r="AP280" i="60" s="1"/>
  <c r="AR280" i="60" s="1"/>
  <c r="AT280" i="60" s="1"/>
  <c r="AV280" i="60" s="1"/>
  <c r="AX280" i="60" s="1"/>
  <c r="AZ280" i="60" s="1"/>
  <c r="BB280" i="60" s="1"/>
  <c r="AU280" i="60"/>
  <c r="AN223" i="60"/>
  <c r="AN264" i="60"/>
  <c r="AN198" i="60"/>
  <c r="AU198" i="60"/>
  <c r="AN40" i="60"/>
  <c r="AU40" i="60"/>
  <c r="AN313" i="60"/>
  <c r="AN99" i="60"/>
  <c r="AP99" i="60" s="1"/>
  <c r="AR99" i="60" s="1"/>
  <c r="AT99" i="60" s="1"/>
  <c r="AV99" i="60" s="1"/>
  <c r="AX99" i="60" s="1"/>
  <c r="AZ99" i="60" s="1"/>
  <c r="BB99" i="60" s="1"/>
  <c r="AU99" i="60"/>
  <c r="AN138" i="60"/>
  <c r="AU138" i="60"/>
  <c r="S309" i="60"/>
  <c r="S251" i="60"/>
  <c r="S129" i="60"/>
  <c r="AN167" i="60"/>
  <c r="AN102" i="60"/>
  <c r="AU102" i="60"/>
  <c r="S166" i="60"/>
  <c r="AN399" i="60"/>
  <c r="AN252" i="60"/>
  <c r="AU252" i="60"/>
  <c r="S275" i="60"/>
  <c r="AN353" i="60"/>
  <c r="AU353" i="60"/>
  <c r="L307" i="60"/>
  <c r="S215" i="60"/>
  <c r="AN303" i="60"/>
  <c r="AP303" i="60" s="1"/>
  <c r="AR303" i="60" s="1"/>
  <c r="AT303" i="60" s="1"/>
  <c r="AV303" i="60" s="1"/>
  <c r="AX303" i="60" s="1"/>
  <c r="AZ303" i="60" s="1"/>
  <c r="BB303" i="60" s="1"/>
  <c r="AU303" i="60"/>
  <c r="AN367" i="60"/>
  <c r="AU367" i="60"/>
  <c r="AN118" i="60"/>
  <c r="AP118" i="60" s="1"/>
  <c r="AR118" i="60" s="1"/>
  <c r="AT118" i="60" s="1"/>
  <c r="AV118" i="60" s="1"/>
  <c r="AX118" i="60" s="1"/>
  <c r="AZ118" i="60" s="1"/>
  <c r="BB118" i="60" s="1"/>
  <c r="AU118" i="60"/>
  <c r="S38" i="60"/>
  <c r="S363" i="60"/>
  <c r="AN390" i="60"/>
  <c r="AU390" i="60"/>
  <c r="L200" i="60"/>
  <c r="L101" i="60"/>
  <c r="S72" i="60"/>
  <c r="S186" i="60"/>
  <c r="Z370" i="60"/>
  <c r="Z180" i="60"/>
  <c r="AN100" i="60"/>
  <c r="AU100" i="60"/>
  <c r="Z347" i="60"/>
  <c r="L382" i="60"/>
  <c r="AN317" i="60"/>
  <c r="S310" i="60"/>
  <c r="L309" i="60"/>
  <c r="AN88" i="60"/>
  <c r="AU88" i="60"/>
  <c r="AN72" i="60"/>
  <c r="AU72" i="60"/>
  <c r="AN254" i="60"/>
  <c r="AN275" i="60"/>
  <c r="AN355" i="60"/>
  <c r="S347" i="60"/>
  <c r="AN250" i="60"/>
  <c r="AN79" i="60"/>
  <c r="AN86" i="60"/>
  <c r="AU86" i="60"/>
  <c r="AN240" i="60"/>
  <c r="AU240" i="60"/>
  <c r="S252" i="60"/>
  <c r="S161" i="60"/>
  <c r="AN297" i="60"/>
  <c r="AU297" i="60"/>
  <c r="AN284" i="60"/>
  <c r="AU284" i="60"/>
  <c r="L28" i="60"/>
  <c r="L305" i="60"/>
  <c r="L129" i="60"/>
  <c r="S144" i="60"/>
  <c r="Z156" i="60"/>
  <c r="AN376" i="60"/>
  <c r="S188" i="60"/>
  <c r="AN67" i="60"/>
  <c r="AU67" i="60"/>
  <c r="S111" i="60"/>
  <c r="Z150" i="60"/>
  <c r="S146" i="60"/>
  <c r="L240" i="60"/>
  <c r="S381" i="60"/>
  <c r="Z292" i="60"/>
  <c r="AN19" i="60"/>
  <c r="AU19" i="60"/>
  <c r="Z290" i="60"/>
  <c r="Z121" i="60"/>
  <c r="S200" i="60"/>
  <c r="Z317" i="60"/>
  <c r="L114" i="60"/>
  <c r="L177" i="60"/>
  <c r="S224" i="60"/>
  <c r="L77" i="60"/>
  <c r="Z360" i="60"/>
  <c r="Z299" i="60"/>
  <c r="Z143" i="60"/>
  <c r="AN70" i="60"/>
  <c r="AU70" i="60"/>
  <c r="AN62" i="60"/>
  <c r="AU62" i="60"/>
  <c r="S106" i="60"/>
  <c r="S398" i="60"/>
  <c r="Z190" i="60"/>
  <c r="AN17" i="60"/>
  <c r="Z249" i="60"/>
  <c r="Z254" i="60"/>
  <c r="Z263" i="60"/>
  <c r="Z341" i="60"/>
  <c r="Z391" i="60"/>
  <c r="AN29" i="60"/>
  <c r="AU29" i="60"/>
  <c r="S104" i="60"/>
  <c r="AN53" i="60"/>
  <c r="Z75" i="60"/>
  <c r="AN34" i="60"/>
  <c r="AU34" i="60"/>
  <c r="S387" i="60"/>
  <c r="S95" i="60"/>
  <c r="Z123" i="60"/>
  <c r="Z128" i="60"/>
  <c r="S44" i="60"/>
  <c r="Z70" i="60"/>
  <c r="L220" i="60"/>
  <c r="S128" i="60"/>
  <c r="S356" i="60"/>
  <c r="AN202" i="60"/>
  <c r="AP202" i="60" s="1"/>
  <c r="AR202" i="60" s="1"/>
  <c r="AT202" i="60" s="1"/>
  <c r="AV202" i="60" s="1"/>
  <c r="AX202" i="60" s="1"/>
  <c r="AZ202" i="60" s="1"/>
  <c r="BB202" i="60" s="1"/>
  <c r="AU202" i="60"/>
  <c r="S190" i="60"/>
  <c r="S177" i="60"/>
  <c r="L158" i="60"/>
  <c r="AN69" i="60"/>
  <c r="AU69" i="60"/>
  <c r="L40" i="60"/>
  <c r="L82" i="60"/>
  <c r="L199" i="60"/>
  <c r="L89" i="60"/>
  <c r="AN343" i="60"/>
  <c r="AU343" i="60"/>
  <c r="AN257" i="60"/>
  <c r="AN228" i="60"/>
  <c r="AN362" i="60"/>
  <c r="AN120" i="60"/>
  <c r="AU120" i="60"/>
  <c r="Z165" i="60"/>
  <c r="Z204" i="60"/>
  <c r="S222" i="60"/>
  <c r="Z113" i="60"/>
  <c r="Z221" i="60"/>
  <c r="S279" i="60"/>
  <c r="S32" i="60"/>
  <c r="AN184" i="60"/>
  <c r="AU184" i="60"/>
  <c r="S293" i="60"/>
  <c r="Z16" i="60"/>
  <c r="L222" i="60"/>
  <c r="Z27" i="60"/>
  <c r="Z374" i="60"/>
  <c r="Z134" i="60"/>
  <c r="Z238" i="60"/>
  <c r="Z206" i="60"/>
  <c r="S194" i="60"/>
  <c r="Z187" i="60"/>
  <c r="AN37" i="60"/>
  <c r="AU37" i="60"/>
  <c r="AN39" i="60"/>
  <c r="AU39" i="60"/>
  <c r="S41" i="60"/>
  <c r="S19" i="60"/>
  <c r="AN236" i="60"/>
  <c r="AU236" i="60"/>
  <c r="AN238" i="60"/>
  <c r="S126" i="60"/>
  <c r="L261" i="60"/>
  <c r="Z248" i="60"/>
  <c r="AN326" i="60"/>
  <c r="Z127" i="60"/>
  <c r="AN242" i="60"/>
  <c r="S348" i="60"/>
  <c r="Z110" i="60"/>
  <c r="AN344" i="60"/>
  <c r="AN117" i="60"/>
  <c r="AU117" i="60"/>
  <c r="AN273" i="60"/>
  <c r="AU273" i="60"/>
  <c r="L295" i="60"/>
  <c r="S333" i="60"/>
  <c r="L327" i="60"/>
  <c r="S204" i="60"/>
  <c r="L79" i="60"/>
  <c r="L319" i="60"/>
  <c r="L315" i="60"/>
  <c r="L286" i="60"/>
  <c r="L323" i="60"/>
  <c r="AN325" i="60"/>
  <c r="AN322" i="60"/>
  <c r="AP322" i="60" s="1"/>
  <c r="AR322" i="60" s="1"/>
  <c r="AT322" i="60" s="1"/>
  <c r="AV322" i="60" s="1"/>
  <c r="AX322" i="60" s="1"/>
  <c r="AZ322" i="60" s="1"/>
  <c r="BB322" i="60" s="1"/>
  <c r="AU322" i="60"/>
  <c r="Q132" i="60"/>
  <c r="S132" i="60" s="1"/>
  <c r="BG293" i="54"/>
  <c r="AL291" i="60"/>
  <c r="BG244" i="54"/>
  <c r="AE242" i="60"/>
  <c r="AG242" i="60" s="1"/>
  <c r="R218" i="60"/>
  <c r="S218" i="60" s="1"/>
  <c r="R357" i="60"/>
  <c r="R26" i="60"/>
  <c r="S26" i="60" s="1"/>
  <c r="X358" i="60"/>
  <c r="Z358" i="60" s="1"/>
  <c r="BG181" i="54"/>
  <c r="AL179" i="60"/>
  <c r="X233" i="60"/>
  <c r="Z233" i="60" s="1"/>
  <c r="J245" i="60"/>
  <c r="L245" i="60" s="1"/>
  <c r="Y337" i="60"/>
  <c r="Q229" i="60"/>
  <c r="S229" i="60" s="1"/>
  <c r="K335" i="60"/>
  <c r="L335" i="60" s="1"/>
  <c r="R378" i="60"/>
  <c r="S378" i="60" s="1"/>
  <c r="BG90" i="54"/>
  <c r="J88" i="60"/>
  <c r="L88" i="60" s="1"/>
  <c r="X320" i="60"/>
  <c r="Z320" i="60" s="1"/>
  <c r="AL139" i="60"/>
  <c r="AL309" i="60"/>
  <c r="AE358" i="60"/>
  <c r="AG358" i="60" s="1"/>
  <c r="BG277" i="54"/>
  <c r="AE275" i="60"/>
  <c r="AG275" i="60" s="1"/>
  <c r="R255" i="60"/>
  <c r="S255" i="60" s="1"/>
  <c r="R139" i="60"/>
  <c r="S139" i="60" s="1"/>
  <c r="Y237" i="60"/>
  <c r="Z237" i="60" s="1"/>
  <c r="X176" i="60"/>
  <c r="Z176" i="60" s="1"/>
  <c r="AL312" i="60"/>
  <c r="R201" i="60"/>
  <c r="R169" i="60"/>
  <c r="J316" i="60"/>
  <c r="L316" i="60" s="1"/>
  <c r="J146" i="60"/>
  <c r="L146" i="60" s="1"/>
  <c r="BG228" i="54"/>
  <c r="Q226" i="60"/>
  <c r="S226" i="60" s="1"/>
  <c r="J347" i="60"/>
  <c r="L347" i="60" s="1"/>
  <c r="AL82" i="60"/>
  <c r="BG341" i="54"/>
  <c r="AL339" i="60"/>
  <c r="Q265" i="60"/>
  <c r="S265" i="60" s="1"/>
  <c r="K293" i="60"/>
  <c r="R165" i="60"/>
  <c r="R237" i="60"/>
  <c r="Y310" i="60"/>
  <c r="Z310" i="60" s="1"/>
  <c r="J386" i="60"/>
  <c r="L386" i="60" s="1"/>
  <c r="X368" i="60"/>
  <c r="J192" i="60"/>
  <c r="L192" i="60" s="1"/>
  <c r="J366" i="60"/>
  <c r="L366" i="60" s="1"/>
  <c r="X313" i="60"/>
  <c r="Z313" i="60" s="1"/>
  <c r="X381" i="60"/>
  <c r="Z381" i="60" s="1"/>
  <c r="AE344" i="60"/>
  <c r="AG344" i="60" s="1"/>
  <c r="R339" i="60"/>
  <c r="AN397" i="60"/>
  <c r="AN255" i="60"/>
  <c r="Q276" i="60"/>
  <c r="X89" i="60"/>
  <c r="Z89" i="60" s="1"/>
  <c r="AE175" i="60"/>
  <c r="AG175" i="60" s="1"/>
  <c r="BG211" i="54"/>
  <c r="J209" i="60"/>
  <c r="L209" i="60" s="1"/>
  <c r="AE307" i="60"/>
  <c r="AG307" i="60" s="1"/>
  <c r="AE199" i="60"/>
  <c r="AG199" i="60" s="1"/>
  <c r="R294" i="60"/>
  <c r="R316" i="60"/>
  <c r="S316" i="60" s="1"/>
  <c r="Y399" i="60"/>
  <c r="Z399" i="60" s="1"/>
  <c r="Y378" i="60"/>
  <c r="BG29" i="54"/>
  <c r="J27" i="60"/>
  <c r="L27" i="60" s="1"/>
  <c r="X171" i="60"/>
  <c r="Z171" i="60" s="1"/>
  <c r="AL199" i="60"/>
  <c r="J133" i="60"/>
  <c r="L133" i="60" s="1"/>
  <c r="K284" i="60"/>
  <c r="L284" i="60" s="1"/>
  <c r="AE345" i="60"/>
  <c r="AG345" i="60" s="1"/>
  <c r="AL398" i="60"/>
  <c r="BG295" i="54"/>
  <c r="J293" i="60"/>
  <c r="AE341" i="60"/>
  <c r="AG341" i="60" s="1"/>
  <c r="R192" i="60"/>
  <c r="R324" i="60"/>
  <c r="J345" i="60"/>
  <c r="Q307" i="60"/>
  <c r="S307" i="60" s="1"/>
  <c r="AL181" i="60"/>
  <c r="BG191" i="54"/>
  <c r="AL189" i="60"/>
  <c r="X181" i="60"/>
  <c r="Z181" i="60" s="1"/>
  <c r="R372" i="60"/>
  <c r="K127" i="60"/>
  <c r="L127" i="60" s="1"/>
  <c r="R103" i="60"/>
  <c r="J139" i="60"/>
  <c r="L139" i="60" s="1"/>
  <c r="BG182" i="54"/>
  <c r="Q180" i="60"/>
  <c r="S180" i="60" s="1"/>
  <c r="Q85" i="60"/>
  <c r="S85" i="60" s="1"/>
  <c r="AE248" i="60"/>
  <c r="AG248" i="60" s="1"/>
  <c r="Y28" i="60"/>
  <c r="Z28" i="60" s="1"/>
  <c r="R249" i="60"/>
  <c r="K291" i="60"/>
  <c r="L291" i="60" s="1"/>
  <c r="J348" i="60"/>
  <c r="L348" i="60" s="1"/>
  <c r="X357" i="60"/>
  <c r="Z357" i="60" s="1"/>
  <c r="BG353" i="54"/>
  <c r="AE351" i="60"/>
  <c r="AG351" i="60" s="1"/>
  <c r="BG371" i="54"/>
  <c r="AE369" i="60"/>
  <c r="AG369" i="60" s="1"/>
  <c r="AL177" i="60"/>
  <c r="AE264" i="60"/>
  <c r="AG264" i="60" s="1"/>
  <c r="AE250" i="60"/>
  <c r="AG250" i="60" s="1"/>
  <c r="K74" i="60"/>
  <c r="R403" i="60"/>
  <c r="S403" i="60" s="1"/>
  <c r="J201" i="60"/>
  <c r="L201" i="60" s="1"/>
  <c r="X376" i="60"/>
  <c r="Z376" i="60" s="1"/>
  <c r="AL386" i="60"/>
  <c r="J334" i="60"/>
  <c r="L334" i="60" s="1"/>
  <c r="J370" i="60"/>
  <c r="L370" i="60" s="1"/>
  <c r="AE309" i="60"/>
  <c r="AG309" i="60" s="1"/>
  <c r="R134" i="60"/>
  <c r="Y386" i="60"/>
  <c r="R350" i="60"/>
  <c r="BG98" i="54"/>
  <c r="J96" i="60"/>
  <c r="L96" i="60" s="1"/>
  <c r="X125" i="60"/>
  <c r="Z125" i="60" s="1"/>
  <c r="BG234" i="54"/>
  <c r="X232" i="60"/>
  <c r="Z232" i="60" s="1"/>
  <c r="Y188" i="60"/>
  <c r="Z188" i="60" s="1"/>
  <c r="X372" i="60"/>
  <c r="Z372" i="60" s="1"/>
  <c r="AE365" i="60"/>
  <c r="AG365" i="60" s="1"/>
  <c r="BG280" i="54"/>
  <c r="X278" i="60"/>
  <c r="Z278" i="60" s="1"/>
  <c r="Y366" i="60"/>
  <c r="Z366" i="60" s="1"/>
  <c r="R259" i="60"/>
  <c r="Y157" i="60"/>
  <c r="Z157" i="60" s="1"/>
  <c r="R336" i="60"/>
  <c r="S336" i="60" s="1"/>
  <c r="AE376" i="60"/>
  <c r="AG376" i="60" s="1"/>
  <c r="AE108" i="60"/>
  <c r="AG108" i="60" s="1"/>
  <c r="K294" i="60"/>
  <c r="L294" i="60" s="1"/>
  <c r="R196" i="60"/>
  <c r="Y389" i="60"/>
  <c r="J277" i="60"/>
  <c r="L277" i="60" s="1"/>
  <c r="J364" i="60"/>
  <c r="AN230" i="60"/>
  <c r="AN109" i="60"/>
  <c r="AU109" i="60"/>
  <c r="AN111" i="60"/>
  <c r="AU111" i="60"/>
  <c r="AN119" i="60"/>
  <c r="AN263" i="60"/>
  <c r="AU263" i="60"/>
  <c r="S221" i="60"/>
  <c r="AN209" i="60"/>
  <c r="AU209" i="60"/>
  <c r="S270" i="60"/>
  <c r="Z279" i="60"/>
  <c r="AN245" i="60"/>
  <c r="AU245" i="60"/>
  <c r="AN364" i="60"/>
  <c r="AU364" i="60"/>
  <c r="L48" i="60"/>
  <c r="AN26" i="60"/>
  <c r="AU26" i="60"/>
  <c r="S102" i="60"/>
  <c r="AN75" i="60"/>
  <c r="AU75" i="60"/>
  <c r="S46" i="60"/>
  <c r="Z311" i="60"/>
  <c r="AN58" i="60"/>
  <c r="AP58" i="60" s="1"/>
  <c r="AR58" i="60" s="1"/>
  <c r="AT58" i="60" s="1"/>
  <c r="AV58" i="60" s="1"/>
  <c r="AX58" i="60" s="1"/>
  <c r="AZ58" i="60" s="1"/>
  <c r="BB58" i="60" s="1"/>
  <c r="AU58" i="60"/>
  <c r="Z355" i="60"/>
  <c r="Z174" i="60"/>
  <c r="L83" i="60"/>
  <c r="L22" i="60"/>
  <c r="L154" i="60"/>
  <c r="AN251" i="60"/>
  <c r="Z191" i="60"/>
  <c r="S365" i="60"/>
  <c r="Z117" i="60"/>
  <c r="S154" i="60"/>
  <c r="S266" i="60"/>
  <c r="Z229" i="60"/>
  <c r="AN43" i="60"/>
  <c r="AP43" i="60" s="1"/>
  <c r="AR43" i="60" s="1"/>
  <c r="AT43" i="60" s="1"/>
  <c r="AV43" i="60" s="1"/>
  <c r="AX43" i="60" s="1"/>
  <c r="AZ43" i="60" s="1"/>
  <c r="BB43" i="60" s="1"/>
  <c r="AU43" i="60"/>
  <c r="Z67" i="60"/>
  <c r="Z332" i="60"/>
  <c r="S302" i="60"/>
  <c r="Z227" i="60"/>
  <c r="AN180" i="60"/>
  <c r="AP180" i="60" s="1"/>
  <c r="AR180" i="60" s="1"/>
  <c r="AT180" i="60" s="1"/>
  <c r="AV180" i="60" s="1"/>
  <c r="AX180" i="60" s="1"/>
  <c r="AZ180" i="60" s="1"/>
  <c r="BB180" i="60" s="1"/>
  <c r="L191" i="60"/>
  <c r="S201" i="60"/>
  <c r="Z247" i="60"/>
  <c r="AN220" i="60"/>
  <c r="AN285" i="60"/>
  <c r="AU285" i="60"/>
  <c r="L187" i="60"/>
  <c r="L179" i="60"/>
  <c r="AN358" i="60"/>
  <c r="AU358" i="60"/>
  <c r="S136" i="60"/>
  <c r="L372" i="60"/>
  <c r="Z151" i="60"/>
  <c r="AN212" i="60"/>
  <c r="AU212" i="60"/>
  <c r="Z363" i="60"/>
  <c r="AN224" i="60"/>
  <c r="AN261" i="60"/>
  <c r="L175" i="60"/>
  <c r="AN258" i="60"/>
  <c r="AN271" i="60"/>
  <c r="AP271" i="60" s="1"/>
  <c r="AR271" i="60" s="1"/>
  <c r="AT271" i="60" s="1"/>
  <c r="AV271" i="60" s="1"/>
  <c r="AX271" i="60" s="1"/>
  <c r="AZ271" i="60" s="1"/>
  <c r="BB271" i="60" s="1"/>
  <c r="AU271" i="60"/>
  <c r="AN143" i="60"/>
  <c r="S371" i="60"/>
  <c r="Z18" i="60"/>
  <c r="L147" i="60"/>
  <c r="L208" i="60"/>
  <c r="L91" i="60"/>
  <c r="AN112" i="60"/>
  <c r="AU112" i="60"/>
  <c r="AN227" i="60"/>
  <c r="AU227" i="60"/>
  <c r="AN315" i="60"/>
  <c r="AU315" i="60"/>
  <c r="AN370" i="60"/>
  <c r="AU370" i="60"/>
  <c r="AN155" i="60"/>
  <c r="AN48" i="60"/>
  <c r="AU48" i="60"/>
  <c r="AN38" i="60"/>
  <c r="AP38" i="60" s="1"/>
  <c r="AR38" i="60" s="1"/>
  <c r="AT38" i="60" s="1"/>
  <c r="AV38" i="60" s="1"/>
  <c r="AX38" i="60" s="1"/>
  <c r="AZ38" i="60" s="1"/>
  <c r="BB38" i="60" s="1"/>
  <c r="AU38" i="60"/>
  <c r="AN23" i="60"/>
  <c r="Z234" i="60"/>
  <c r="AN51" i="60"/>
  <c r="AN369" i="60"/>
  <c r="AN20" i="60"/>
  <c r="AP20" i="60" s="1"/>
  <c r="AR20" i="60" s="1"/>
  <c r="AT20" i="60" s="1"/>
  <c r="AV20" i="60" s="1"/>
  <c r="AX20" i="60" s="1"/>
  <c r="AZ20" i="60" s="1"/>
  <c r="BB20" i="60" s="1"/>
  <c r="AU20" i="60"/>
  <c r="AN41" i="60"/>
  <c r="AU41" i="60"/>
  <c r="Z306" i="60"/>
  <c r="Z68" i="60"/>
  <c r="S133" i="60"/>
  <c r="Z194" i="60"/>
  <c r="S78" i="60"/>
  <c r="AN60" i="60"/>
  <c r="AU60" i="60"/>
  <c r="AN372" i="60"/>
  <c r="Z199" i="60"/>
  <c r="Z186" i="60"/>
  <c r="Z291" i="60"/>
  <c r="AN65" i="60"/>
  <c r="L122" i="60"/>
  <c r="Z36" i="60"/>
  <c r="AN373" i="60"/>
  <c r="AN272" i="60"/>
  <c r="AU272" i="60"/>
  <c r="AN265" i="60"/>
  <c r="AU265" i="60"/>
  <c r="AN83" i="60"/>
  <c r="L400" i="60"/>
  <c r="AN348" i="60"/>
  <c r="AN262" i="60"/>
  <c r="L236" i="60"/>
  <c r="Z72" i="60"/>
  <c r="Z51" i="60"/>
  <c r="AN268" i="60"/>
  <c r="AN123" i="60"/>
  <c r="AU123" i="60"/>
  <c r="AN247" i="60"/>
  <c r="AU247" i="60"/>
  <c r="L103" i="60"/>
  <c r="S87" i="60"/>
  <c r="L162" i="60"/>
  <c r="Z35" i="60"/>
  <c r="AN113" i="60"/>
  <c r="AP113" i="60" s="1"/>
  <c r="AR113" i="60" s="1"/>
  <c r="AT113" i="60" s="1"/>
  <c r="AV113" i="60" s="1"/>
  <c r="AX113" i="60" s="1"/>
  <c r="AZ113" i="60" s="1"/>
  <c r="BB113" i="60" s="1"/>
  <c r="AU113" i="60"/>
  <c r="L369" i="60"/>
  <c r="L343" i="60"/>
  <c r="S284" i="60"/>
  <c r="AN215" i="60"/>
  <c r="Z45" i="60"/>
  <c r="Z208" i="60"/>
  <c r="AN246" i="60"/>
  <c r="AU246" i="60"/>
  <c r="L109" i="60"/>
  <c r="AN96" i="60"/>
  <c r="AU96" i="60"/>
  <c r="L165" i="60"/>
  <c r="L231" i="60"/>
  <c r="AN244" i="60"/>
  <c r="AN267" i="60"/>
  <c r="AN145" i="60"/>
  <c r="AU145" i="60"/>
  <c r="Z398" i="60"/>
  <c r="AN277" i="60"/>
  <c r="AU277" i="60"/>
  <c r="L170" i="60"/>
  <c r="AN42" i="60"/>
  <c r="AP42" i="60" s="1"/>
  <c r="AR42" i="60" s="1"/>
  <c r="AT42" i="60" s="1"/>
  <c r="AV42" i="60" s="1"/>
  <c r="AX42" i="60" s="1"/>
  <c r="AZ42" i="60" s="1"/>
  <c r="BB42" i="60" s="1"/>
  <c r="AU42" i="60"/>
  <c r="AN27" i="60"/>
  <c r="AU27" i="60"/>
  <c r="L227" i="60"/>
  <c r="AN164" i="60"/>
  <c r="AU164" i="60"/>
  <c r="Z318" i="60"/>
  <c r="S18" i="60"/>
  <c r="Z31" i="60"/>
  <c r="AN128" i="60"/>
  <c r="AU128" i="60"/>
  <c r="S49" i="60"/>
  <c r="L68" i="60"/>
  <c r="L368" i="60"/>
  <c r="L50" i="60"/>
  <c r="L219" i="60"/>
  <c r="AN283" i="60"/>
  <c r="AN384" i="60"/>
  <c r="AU384" i="60"/>
  <c r="AN144" i="60"/>
  <c r="AU144" i="60"/>
  <c r="AN237" i="60"/>
  <c r="AU237" i="60"/>
  <c r="AN357" i="60"/>
  <c r="AN98" i="60"/>
  <c r="AP98" i="60" s="1"/>
  <c r="AR98" i="60" s="1"/>
  <c r="AT98" i="60" s="1"/>
  <c r="AV98" i="60" s="1"/>
  <c r="AX98" i="60" s="1"/>
  <c r="AZ98" i="60" s="1"/>
  <c r="BB98" i="60" s="1"/>
  <c r="AU98" i="60"/>
  <c r="AE195" i="60"/>
  <c r="AG195" i="60" s="1"/>
  <c r="BG108" i="54"/>
  <c r="AL106" i="60"/>
  <c r="AE51" i="60"/>
  <c r="AG51" i="60" s="1"/>
  <c r="J371" i="60"/>
  <c r="R397" i="60"/>
  <c r="S397" i="60" s="1"/>
  <c r="K285" i="60"/>
  <c r="AL306" i="60"/>
  <c r="BG327" i="54"/>
  <c r="Q325" i="60"/>
  <c r="S325" i="60" s="1"/>
  <c r="AL324" i="60"/>
  <c r="AL159" i="60"/>
  <c r="Y197" i="60"/>
  <c r="Z197" i="60" s="1"/>
  <c r="K376" i="60"/>
  <c r="Y132" i="60"/>
  <c r="BG126" i="54"/>
  <c r="Q124" i="60"/>
  <c r="S124" i="60" s="1"/>
  <c r="Q391" i="60"/>
  <c r="S391" i="60" s="1"/>
  <c r="J61" i="60"/>
  <c r="L61" i="60" s="1"/>
  <c r="AL110" i="60"/>
  <c r="K190" i="60"/>
  <c r="L190" i="60" s="1"/>
  <c r="R393" i="60"/>
  <c r="J131" i="60"/>
  <c r="BG246" i="54"/>
  <c r="AE244" i="60"/>
  <c r="AG244" i="60" s="1"/>
  <c r="J402" i="60"/>
  <c r="L402" i="60" s="1"/>
  <c r="K136" i="60"/>
  <c r="L136" i="60" s="1"/>
  <c r="Y32" i="60"/>
  <c r="Z32" i="60" s="1"/>
  <c r="AL319" i="60"/>
  <c r="BG403" i="54"/>
  <c r="Q401" i="60"/>
  <c r="AN87" i="60"/>
  <c r="AU87" i="60"/>
  <c r="Z300" i="60"/>
  <c r="BG144" i="54"/>
  <c r="AL142" i="60"/>
  <c r="J296" i="60"/>
  <c r="L296" i="60" s="1"/>
  <c r="J184" i="60"/>
  <c r="L184" i="60" s="1"/>
  <c r="BG399" i="54"/>
  <c r="AE397" i="60"/>
  <c r="AG397" i="60" s="1"/>
  <c r="BG365" i="54"/>
  <c r="AE363" i="60"/>
  <c r="AG363" i="60" s="1"/>
  <c r="BG58" i="54"/>
  <c r="Q56" i="60"/>
  <c r="S56" i="60" s="1"/>
  <c r="AL89" i="60"/>
  <c r="K132" i="60"/>
  <c r="L132" i="60" s="1"/>
  <c r="K112" i="60"/>
  <c r="Y335" i="60"/>
  <c r="Z335" i="60" s="1"/>
  <c r="R304" i="60"/>
  <c r="R233" i="60"/>
  <c r="R377" i="60"/>
  <c r="Q53" i="60"/>
  <c r="S53" i="60" s="1"/>
  <c r="BG270" i="54"/>
  <c r="Q268" i="60"/>
  <c r="S268" i="60" s="1"/>
  <c r="X276" i="60"/>
  <c r="Z276" i="60" s="1"/>
  <c r="Q335" i="60"/>
  <c r="S335" i="60" s="1"/>
  <c r="BG77" i="54"/>
  <c r="J75" i="60"/>
  <c r="L75" i="60" s="1"/>
  <c r="AL132" i="60"/>
  <c r="X333" i="60"/>
  <c r="Z333" i="60" s="1"/>
  <c r="BG174" i="54"/>
  <c r="X172" i="60"/>
  <c r="Z172" i="60" s="1"/>
  <c r="X387" i="60"/>
  <c r="Z387" i="60" s="1"/>
  <c r="J377" i="60"/>
  <c r="L377" i="60" s="1"/>
  <c r="K290" i="60"/>
  <c r="K224" i="60"/>
  <c r="L224" i="60" s="1"/>
  <c r="BG154" i="54"/>
  <c r="AL152" i="60"/>
  <c r="AE135" i="60"/>
  <c r="AG135" i="60" s="1"/>
  <c r="BG149" i="54"/>
  <c r="AL147" i="60"/>
  <c r="BG320" i="54"/>
  <c r="J318" i="60"/>
  <c r="L318" i="60" s="1"/>
  <c r="AE255" i="60"/>
  <c r="AG255" i="60" s="1"/>
  <c r="BG216" i="54"/>
  <c r="AL214" i="60"/>
  <c r="BG357" i="54"/>
  <c r="AE355" i="60"/>
  <c r="AG355" i="60" s="1"/>
  <c r="Y164" i="60"/>
  <c r="R212" i="60"/>
  <c r="S212" i="60" s="1"/>
  <c r="K214" i="60"/>
  <c r="L214" i="60" s="1"/>
  <c r="Y243" i="60"/>
  <c r="Y245" i="60"/>
  <c r="Z245" i="60" s="1"/>
  <c r="Q323" i="60"/>
  <c r="S323" i="60" s="1"/>
  <c r="J365" i="60"/>
  <c r="L365" i="60" s="1"/>
  <c r="Y84" i="60"/>
  <c r="X79" i="60"/>
  <c r="X179" i="60"/>
  <c r="Z179" i="60" s="1"/>
  <c r="X316" i="60"/>
  <c r="Z316" i="60" s="1"/>
  <c r="Q239" i="60"/>
  <c r="S239" i="60" s="1"/>
  <c r="J395" i="60"/>
  <c r="L395" i="60" s="1"/>
  <c r="BG78" i="54"/>
  <c r="Q76" i="60"/>
  <c r="S76" i="60" s="1"/>
  <c r="AE395" i="60"/>
  <c r="AG395" i="60" s="1"/>
  <c r="J288" i="60"/>
  <c r="L288" i="60" s="1"/>
  <c r="AE346" i="60"/>
  <c r="AG346" i="60" s="1"/>
  <c r="AL219" i="60"/>
  <c r="K228" i="60"/>
  <c r="K125" i="60"/>
  <c r="R145" i="60"/>
  <c r="S145" i="60" s="1"/>
  <c r="R131" i="60"/>
  <c r="R390" i="60"/>
  <c r="S390" i="60" s="1"/>
  <c r="J249" i="60"/>
  <c r="L249" i="60" s="1"/>
  <c r="J267" i="60"/>
  <c r="L267" i="60" s="1"/>
  <c r="Q119" i="60"/>
  <c r="AU119" i="60" s="1"/>
  <c r="X337" i="60"/>
  <c r="AE229" i="60"/>
  <c r="AG229" i="60" s="1"/>
  <c r="AE167" i="60"/>
  <c r="AG167" i="60" s="1"/>
  <c r="R153" i="60"/>
  <c r="K218" i="60"/>
  <c r="L218" i="60" s="1"/>
  <c r="K373" i="60"/>
  <c r="K287" i="60"/>
  <c r="Y183" i="60"/>
  <c r="R401" i="60"/>
  <c r="K297" i="60"/>
  <c r="X242" i="60"/>
  <c r="Z242" i="60" s="1"/>
  <c r="X228" i="60"/>
  <c r="Z228" i="60" s="1"/>
  <c r="X283" i="60"/>
  <c r="Z283" i="60" s="1"/>
  <c r="Q17" i="60"/>
  <c r="S17" i="60" s="1"/>
  <c r="AL135" i="60"/>
  <c r="AL296" i="60"/>
  <c r="BG331" i="54"/>
  <c r="AL329" i="60"/>
  <c r="X183" i="60"/>
  <c r="BG222" i="54"/>
  <c r="AE220" i="60"/>
  <c r="AG220" i="60" s="1"/>
  <c r="AE387" i="60"/>
  <c r="AG387" i="60" s="1"/>
  <c r="Q155" i="60"/>
  <c r="S155" i="60" s="1"/>
  <c r="BG156" i="54"/>
  <c r="AL154" i="60"/>
  <c r="AE386" i="60"/>
  <c r="AG386" i="60" s="1"/>
  <c r="R119" i="60"/>
  <c r="K131" i="60"/>
  <c r="K239" i="60"/>
  <c r="Y235" i="60"/>
  <c r="R258" i="60"/>
  <c r="BG62" i="54"/>
  <c r="J60" i="60"/>
  <c r="L60" i="60" s="1"/>
  <c r="Q366" i="60"/>
  <c r="S366" i="60" s="1"/>
  <c r="X241" i="60"/>
  <c r="Z241" i="60" s="1"/>
  <c r="X173" i="60"/>
  <c r="Z173" i="60" s="1"/>
  <c r="AE396" i="60"/>
  <c r="AG396" i="60" s="1"/>
  <c r="AL197" i="60"/>
  <c r="X215" i="60"/>
  <c r="Z215" i="60" s="1"/>
  <c r="BG233" i="54"/>
  <c r="X231" i="60"/>
  <c r="Z231" i="60" s="1"/>
  <c r="X219" i="60"/>
  <c r="AL207" i="60"/>
  <c r="BG150" i="54"/>
  <c r="AL148" i="60"/>
  <c r="AL270" i="60"/>
  <c r="J398" i="60"/>
  <c r="L398" i="60" s="1"/>
  <c r="AE163" i="60"/>
  <c r="AG163" i="60" s="1"/>
  <c r="BG153" i="54"/>
  <c r="AL151" i="60"/>
  <c r="Q296" i="60"/>
  <c r="S296" i="60" s="1"/>
  <c r="AE368" i="60"/>
  <c r="AG368" i="60" s="1"/>
  <c r="AE347" i="60"/>
  <c r="AG347" i="60" s="1"/>
  <c r="K371" i="60"/>
  <c r="R48" i="60"/>
  <c r="S48" i="60" s="1"/>
  <c r="R253" i="60"/>
  <c r="K378" i="60"/>
  <c r="L378" i="60" s="1"/>
  <c r="Y401" i="60"/>
  <c r="Z401" i="60" s="1"/>
  <c r="Y367" i="60"/>
  <c r="J287" i="60"/>
  <c r="Y69" i="60"/>
  <c r="Q281" i="60"/>
  <c r="S281" i="60" s="1"/>
  <c r="X175" i="60"/>
  <c r="Z175" i="60" s="1"/>
  <c r="Q395" i="60"/>
  <c r="S395" i="60" s="1"/>
  <c r="Q287" i="60"/>
  <c r="S287" i="60" s="1"/>
  <c r="AL382" i="60"/>
  <c r="AL166" i="60"/>
  <c r="AL345" i="60"/>
  <c r="AL381" i="60"/>
  <c r="BG103" i="54"/>
  <c r="AE101" i="60"/>
  <c r="AG101" i="60" s="1"/>
  <c r="J397" i="60"/>
  <c r="Y112" i="60"/>
  <c r="Z112" i="60" s="1"/>
  <c r="R368" i="60"/>
  <c r="S368" i="60" s="1"/>
  <c r="R353" i="60"/>
  <c r="S353" i="60" s="1"/>
  <c r="Y308" i="60"/>
  <c r="Z308" i="60" s="1"/>
  <c r="K44" i="60"/>
  <c r="Y169" i="60"/>
  <c r="Z169" i="60" s="1"/>
  <c r="R208" i="60"/>
  <c r="S208" i="60" s="1"/>
  <c r="Y343" i="60"/>
  <c r="Z343" i="60" s="1"/>
  <c r="J64" i="60"/>
  <c r="L64" i="60" s="1"/>
  <c r="AE300" i="60"/>
  <c r="AG300" i="60" s="1"/>
  <c r="AL201" i="60"/>
  <c r="BG143" i="54"/>
  <c r="AL141" i="60"/>
  <c r="AE308" i="60"/>
  <c r="AG308" i="60" s="1"/>
  <c r="R231" i="60"/>
  <c r="S231" i="60" s="1"/>
  <c r="R267" i="60"/>
  <c r="R321" i="60"/>
  <c r="S321" i="60" s="1"/>
  <c r="R120" i="60"/>
  <c r="S120" i="60" s="1"/>
  <c r="Y352" i="60"/>
  <c r="R143" i="60"/>
  <c r="S143" i="60" s="1"/>
  <c r="J300" i="60"/>
  <c r="L300" i="60" s="1"/>
  <c r="J102" i="60"/>
  <c r="K342" i="60"/>
  <c r="L342" i="60" s="1"/>
  <c r="J185" i="60"/>
  <c r="K364" i="60"/>
  <c r="J290" i="60"/>
  <c r="K117" i="60"/>
  <c r="L117" i="60" s="1"/>
  <c r="J403" i="60"/>
  <c r="L403" i="60" s="1"/>
  <c r="K63" i="60"/>
  <c r="L63" i="60" s="1"/>
  <c r="J375" i="60"/>
  <c r="L375" i="60" s="1"/>
  <c r="K185" i="60"/>
  <c r="J225" i="60"/>
  <c r="J172" i="60"/>
  <c r="L172" i="60" s="1"/>
  <c r="K380" i="60"/>
  <c r="AN282" i="60"/>
  <c r="BG393" i="54"/>
  <c r="X243" i="60"/>
  <c r="Z243" i="60" s="1"/>
  <c r="BG45" i="54"/>
  <c r="BG157" i="54"/>
  <c r="X155" i="60"/>
  <c r="Z155" i="60" s="1"/>
  <c r="BG363" i="54"/>
  <c r="X361" i="60"/>
  <c r="Z361" i="60" s="1"/>
  <c r="Q342" i="60"/>
  <c r="S342" i="60" s="1"/>
  <c r="Q350" i="60"/>
  <c r="S350" i="60" s="1"/>
  <c r="BG288" i="54"/>
  <c r="X286" i="60"/>
  <c r="Z286" i="60" s="1"/>
  <c r="BG131" i="54"/>
  <c r="AL129" i="60"/>
  <c r="BG281" i="54"/>
  <c r="AE279" i="60"/>
  <c r="AG279" i="60" s="1"/>
  <c r="BG316" i="54"/>
  <c r="AL314" i="60"/>
  <c r="BG256" i="54"/>
  <c r="AE254" i="60"/>
  <c r="AG254" i="60" s="1"/>
  <c r="BG328" i="54"/>
  <c r="J326" i="60"/>
  <c r="L326" i="60" s="1"/>
  <c r="AL320" i="60"/>
  <c r="AE203" i="60"/>
  <c r="AG203" i="60" s="1"/>
  <c r="AL292" i="60"/>
  <c r="J358" i="60"/>
  <c r="L358" i="60" s="1"/>
  <c r="AE238" i="60"/>
  <c r="AG238" i="60" s="1"/>
  <c r="BG104" i="54"/>
  <c r="AL195" i="60"/>
  <c r="R36" i="60"/>
  <c r="S36" i="60" s="1"/>
  <c r="K59" i="60"/>
  <c r="L59" i="60" s="1"/>
  <c r="Y301" i="60"/>
  <c r="Z301" i="60" s="1"/>
  <c r="Y166" i="60"/>
  <c r="Y321" i="60"/>
  <c r="R382" i="60"/>
  <c r="S382" i="60" s="1"/>
  <c r="K350" i="60"/>
  <c r="L350" i="60" s="1"/>
  <c r="Y219" i="60"/>
  <c r="Y53" i="60"/>
  <c r="Y239" i="60"/>
  <c r="Z239" i="60" s="1"/>
  <c r="Q250" i="60"/>
  <c r="S250" i="60" s="1"/>
  <c r="BG391" i="54"/>
  <c r="AL389" i="60"/>
  <c r="BG208" i="54"/>
  <c r="Q206" i="60"/>
  <c r="S206" i="60" s="1"/>
  <c r="Q267" i="60"/>
  <c r="S267" i="60" s="1"/>
  <c r="X223" i="60"/>
  <c r="Z223" i="60" s="1"/>
  <c r="BG226" i="54"/>
  <c r="X224" i="60"/>
  <c r="Z224" i="60" s="1"/>
  <c r="X82" i="60"/>
  <c r="Z82" i="60" s="1"/>
  <c r="BG85" i="54"/>
  <c r="X83" i="60"/>
  <c r="Z83" i="60" s="1"/>
  <c r="J65" i="60"/>
  <c r="L65" i="60" s="1"/>
  <c r="K52" i="60"/>
  <c r="L52" i="60" s="1"/>
  <c r="K258" i="60"/>
  <c r="L258" i="60" s="1"/>
  <c r="K393" i="60"/>
  <c r="L393" i="60" s="1"/>
  <c r="Y368" i="60"/>
  <c r="BG207" i="54"/>
  <c r="AL205" i="60"/>
  <c r="X380" i="60"/>
  <c r="Z380" i="60" s="1"/>
  <c r="BG330" i="54"/>
  <c r="AL328" i="60"/>
  <c r="J344" i="60"/>
  <c r="L344" i="60" s="1"/>
  <c r="AE210" i="60"/>
  <c r="AG210" i="60" s="1"/>
  <c r="AE385" i="60"/>
  <c r="AG385" i="60" s="1"/>
  <c r="AE348" i="60"/>
  <c r="AG348" i="60" s="1"/>
  <c r="AE173" i="60"/>
  <c r="AG173" i="60" s="1"/>
  <c r="BG299" i="54"/>
  <c r="Y268" i="60"/>
  <c r="Z268" i="60" s="1"/>
  <c r="R332" i="60"/>
  <c r="S332" i="60" s="1"/>
  <c r="R191" i="60"/>
  <c r="S191" i="60" s="1"/>
  <c r="R300" i="60"/>
  <c r="S300" i="60" s="1"/>
  <c r="R380" i="60"/>
  <c r="R337" i="60"/>
  <c r="S337" i="60" s="1"/>
  <c r="Y19" i="60"/>
  <c r="Z19" i="60" s="1"/>
  <c r="R299" i="60"/>
  <c r="J196" i="60"/>
  <c r="L196" i="60" s="1"/>
  <c r="Q241" i="60"/>
  <c r="S241" i="60" s="1"/>
  <c r="X211" i="60"/>
  <c r="Z211" i="60" s="1"/>
  <c r="X235" i="60"/>
  <c r="Z235" i="60" s="1"/>
  <c r="Q65" i="60"/>
  <c r="S65" i="60" s="1"/>
  <c r="X166" i="60"/>
  <c r="BG136" i="54"/>
  <c r="Q134" i="60"/>
  <c r="S134" i="60" s="1"/>
  <c r="BG118" i="54"/>
  <c r="Q116" i="60"/>
  <c r="AU116" i="60" s="1"/>
  <c r="Y270" i="60"/>
  <c r="Z270" i="60" s="1"/>
  <c r="BG271" i="54"/>
  <c r="X269" i="60"/>
  <c r="Z269" i="60" s="1"/>
  <c r="BG268" i="54"/>
  <c r="AE266" i="60"/>
  <c r="AG266" i="60" s="1"/>
  <c r="BG64" i="54"/>
  <c r="J62" i="60"/>
  <c r="L62" i="60" s="1"/>
  <c r="AL371" i="60"/>
  <c r="BG95" i="54"/>
  <c r="AL93" i="60"/>
  <c r="J171" i="60"/>
  <c r="L171" i="60" s="1"/>
  <c r="X262" i="60"/>
  <c r="Z262" i="60" s="1"/>
  <c r="J391" i="60"/>
  <c r="L391" i="60" s="1"/>
  <c r="AL287" i="60"/>
  <c r="AL216" i="60"/>
  <c r="Q160" i="60"/>
  <c r="S160" i="60" s="1"/>
  <c r="J306" i="60"/>
  <c r="L306" i="60" s="1"/>
  <c r="BG332" i="54"/>
  <c r="Q330" i="60"/>
  <c r="S330" i="60" s="1"/>
  <c r="BG171" i="54"/>
  <c r="AL169" i="60"/>
  <c r="AE360" i="60"/>
  <c r="AG360" i="60" s="1"/>
  <c r="R244" i="60"/>
  <c r="S244" i="60" s="1"/>
  <c r="K397" i="60"/>
  <c r="R178" i="60"/>
  <c r="R301" i="60"/>
  <c r="S301" i="60" s="1"/>
  <c r="K352" i="60"/>
  <c r="L352" i="60" s="1"/>
  <c r="R142" i="60"/>
  <c r="S142" i="60" s="1"/>
  <c r="Y339" i="60"/>
  <c r="Z339" i="60" s="1"/>
  <c r="Y382" i="60"/>
  <c r="BG37" i="54"/>
  <c r="J35" i="60"/>
  <c r="L35" i="60" s="1"/>
  <c r="J248" i="60"/>
  <c r="L248" i="60" s="1"/>
  <c r="BG184" i="54"/>
  <c r="X182" i="60"/>
  <c r="Z182" i="60" s="1"/>
  <c r="Q258" i="60"/>
  <c r="S258" i="60" s="1"/>
  <c r="X85" i="60"/>
  <c r="Z85" i="60" s="1"/>
  <c r="BG263" i="54"/>
  <c r="X261" i="60"/>
  <c r="Z261" i="60" s="1"/>
  <c r="AE389" i="60"/>
  <c r="AG389" i="60" s="1"/>
  <c r="AE398" i="60"/>
  <c r="AG398" i="60" s="1"/>
  <c r="BG364" i="54"/>
  <c r="AE362" i="60"/>
  <c r="AG362" i="60" s="1"/>
  <c r="J207" i="60"/>
  <c r="L207" i="60" s="1"/>
  <c r="K210" i="60"/>
  <c r="L210" i="60" s="1"/>
  <c r="Y106" i="60"/>
  <c r="Z106" i="60" s="1"/>
  <c r="R149" i="60"/>
  <c r="S149" i="60" s="1"/>
  <c r="Y256" i="60"/>
  <c r="Z256" i="60" s="1"/>
  <c r="R174" i="60"/>
  <c r="S174" i="60" s="1"/>
  <c r="R117" i="60"/>
  <c r="S117" i="60" s="1"/>
  <c r="Y298" i="60"/>
  <c r="Z298" i="60" s="1"/>
  <c r="J229" i="60"/>
  <c r="L229" i="60" s="1"/>
  <c r="J394" i="60"/>
  <c r="L394" i="60" s="1"/>
  <c r="K367" i="60"/>
  <c r="Y340" i="60"/>
  <c r="Z340" i="60" s="1"/>
  <c r="BG68" i="54"/>
  <c r="Q66" i="60"/>
  <c r="S66" i="60" s="1"/>
  <c r="Q89" i="60"/>
  <c r="S89" i="60" s="1"/>
  <c r="Q210" i="60"/>
  <c r="S210" i="60" s="1"/>
  <c r="Q319" i="60"/>
  <c r="S319" i="60" s="1"/>
  <c r="BG219" i="54"/>
  <c r="Q217" i="60"/>
  <c r="S217" i="60" s="1"/>
  <c r="X371" i="60"/>
  <c r="Z371" i="60" s="1"/>
  <c r="Q108" i="60"/>
  <c r="S108" i="60" s="1"/>
  <c r="BG167" i="54"/>
  <c r="AL165" i="60"/>
  <c r="BG92" i="54"/>
  <c r="AL90" i="60"/>
  <c r="AE253" i="60"/>
  <c r="AG253" i="60" s="1"/>
  <c r="AL150" i="60"/>
  <c r="AL225" i="60"/>
  <c r="Q373" i="60"/>
  <c r="S373" i="60" s="1"/>
  <c r="BG187" i="54"/>
  <c r="Q185" i="60"/>
  <c r="S185" i="60" s="1"/>
  <c r="AL146" i="60"/>
  <c r="AL131" i="60"/>
  <c r="AE288" i="60"/>
  <c r="AG288" i="60" s="1"/>
  <c r="BG259" i="54"/>
  <c r="AE257" i="60"/>
  <c r="AG257" i="60" s="1"/>
  <c r="AE342" i="60"/>
  <c r="AG342" i="60" s="1"/>
  <c r="Q311" i="60"/>
  <c r="S311" i="60" s="1"/>
  <c r="AL323" i="60"/>
  <c r="BG206" i="54"/>
  <c r="AE204" i="60"/>
  <c r="AG204" i="60" s="1"/>
  <c r="R290" i="60"/>
  <c r="S290" i="60" s="1"/>
  <c r="R376" i="60"/>
  <c r="S376" i="60" s="1"/>
  <c r="Y375" i="60"/>
  <c r="Y159" i="60"/>
  <c r="Y122" i="60"/>
  <c r="Z122" i="60" s="1"/>
  <c r="J239" i="60"/>
  <c r="L239" i="60" s="1"/>
  <c r="J228" i="60"/>
  <c r="L228" i="60" s="1"/>
  <c r="Q131" i="60"/>
  <c r="Q189" i="60"/>
  <c r="S189" i="60" s="1"/>
  <c r="X163" i="60"/>
  <c r="Z163" i="60" s="1"/>
  <c r="X324" i="60"/>
  <c r="Z324" i="60" s="1"/>
  <c r="Q114" i="60"/>
  <c r="S114" i="60" s="1"/>
  <c r="BG319" i="54"/>
  <c r="Q317" i="60"/>
  <c r="S317" i="60" s="1"/>
  <c r="AL402" i="60"/>
  <c r="J243" i="60"/>
  <c r="L243" i="60" s="1"/>
  <c r="Q288" i="60"/>
  <c r="S288" i="60" s="1"/>
  <c r="J385" i="60"/>
  <c r="L385" i="60" s="1"/>
  <c r="Q211" i="60"/>
  <c r="S211" i="60" s="1"/>
  <c r="BG25" i="54"/>
  <c r="Q23" i="60"/>
  <c r="S23" i="60" s="1"/>
  <c r="Q233" i="60"/>
  <c r="S233" i="60" s="1"/>
  <c r="BG145" i="54"/>
  <c r="AE143" i="60"/>
  <c r="AG143" i="60" s="1"/>
  <c r="J360" i="60"/>
  <c r="L360" i="60" s="1"/>
  <c r="Q197" i="60"/>
  <c r="S197" i="60" s="1"/>
  <c r="AL171" i="60"/>
  <c r="J197" i="60"/>
  <c r="L197" i="60" s="1"/>
  <c r="AE176" i="60"/>
  <c r="AG176" i="60" s="1"/>
  <c r="AL341" i="60"/>
  <c r="J357" i="60"/>
  <c r="L357" i="60" s="1"/>
  <c r="AL385" i="60"/>
  <c r="Q355" i="60"/>
  <c r="S355" i="60" s="1"/>
  <c r="J137" i="60"/>
  <c r="L137" i="60" s="1"/>
  <c r="X382" i="60"/>
  <c r="AE258" i="60"/>
  <c r="AG258" i="60" s="1"/>
  <c r="AL104" i="60"/>
  <c r="K281" i="60"/>
  <c r="L281" i="60" s="1"/>
  <c r="R358" i="60"/>
  <c r="S358" i="60" s="1"/>
  <c r="R305" i="60"/>
  <c r="S305" i="60" s="1"/>
  <c r="R170" i="60"/>
  <c r="S170" i="60" s="1"/>
  <c r="K70" i="60"/>
  <c r="R273" i="60"/>
  <c r="S273" i="60" s="1"/>
  <c r="J252" i="60"/>
  <c r="L252" i="60" s="1"/>
  <c r="J383" i="60"/>
  <c r="L383" i="60" s="1"/>
  <c r="BG284" i="54"/>
  <c r="X282" i="60"/>
  <c r="Z282" i="60" s="1"/>
  <c r="Q193" i="60"/>
  <c r="S193" i="60" s="1"/>
  <c r="Q137" i="60"/>
  <c r="S137" i="60" s="1"/>
  <c r="BG57" i="54"/>
  <c r="Q55" i="60"/>
  <c r="S55" i="60" s="1"/>
  <c r="X375" i="60"/>
  <c r="Q219" i="60"/>
  <c r="S219" i="60" s="1"/>
  <c r="Y207" i="60"/>
  <c r="Z207" i="60" s="1"/>
  <c r="BG262" i="54"/>
  <c r="AE260" i="60"/>
  <c r="AG260" i="60" s="1"/>
  <c r="AE382" i="60"/>
  <c r="AG382" i="60" s="1"/>
  <c r="AL140" i="60"/>
  <c r="Q84" i="60"/>
  <c r="S84" i="60" s="1"/>
  <c r="J314" i="60"/>
  <c r="L314" i="60" s="1"/>
  <c r="Q399" i="60"/>
  <c r="S399" i="60" s="1"/>
  <c r="J71" i="60"/>
  <c r="L71" i="60" s="1"/>
  <c r="BG296" i="54"/>
  <c r="AL294" i="60"/>
  <c r="AE114" i="60"/>
  <c r="AG114" i="60" s="1"/>
  <c r="BG253" i="54"/>
  <c r="AE251" i="60"/>
  <c r="AG251" i="60" s="1"/>
  <c r="AL193" i="60"/>
  <c r="R203" i="60"/>
  <c r="S203" i="60" s="1"/>
  <c r="Y111" i="60"/>
  <c r="Z111" i="60" s="1"/>
  <c r="K257" i="60"/>
  <c r="L257" i="60" s="1"/>
  <c r="K331" i="60"/>
  <c r="R123" i="60"/>
  <c r="S123" i="60" s="1"/>
  <c r="R209" i="60"/>
  <c r="S209" i="60" s="1"/>
  <c r="R116" i="60"/>
  <c r="Y108" i="60"/>
  <c r="Z108" i="60" s="1"/>
  <c r="Y79" i="60"/>
  <c r="R91" i="60"/>
  <c r="S91" i="60" s="1"/>
  <c r="R349" i="60"/>
  <c r="S349" i="60" s="1"/>
  <c r="Y77" i="60"/>
  <c r="Z77" i="60" s="1"/>
  <c r="BG232" i="54"/>
  <c r="Q230" i="60"/>
  <c r="S230" i="60" s="1"/>
  <c r="AL133" i="60"/>
  <c r="AL157" i="60"/>
  <c r="AL281" i="60"/>
  <c r="J85" i="60"/>
  <c r="L85" i="60" s="1"/>
  <c r="BG258" i="54"/>
  <c r="AE256" i="60"/>
  <c r="AG256" i="60" s="1"/>
  <c r="K301" i="60"/>
  <c r="L301" i="60" s="1"/>
  <c r="Y15" i="60"/>
  <c r="Z15" i="60" s="1"/>
  <c r="K84" i="60"/>
  <c r="R175" i="60"/>
  <c r="S175" i="60" s="1"/>
  <c r="R313" i="60"/>
  <c r="S313" i="60" s="1"/>
  <c r="R276" i="60"/>
  <c r="Y260" i="60"/>
  <c r="Z260" i="60" s="1"/>
  <c r="Y81" i="60"/>
  <c r="Y265" i="60"/>
  <c r="BG176" i="54"/>
  <c r="J174" i="60"/>
  <c r="L174" i="60" s="1"/>
  <c r="J84" i="60"/>
  <c r="Q326" i="60"/>
  <c r="S326" i="60" s="1"/>
  <c r="J355" i="60"/>
  <c r="L355" i="60" s="1"/>
  <c r="AL347" i="60"/>
  <c r="J329" i="60"/>
  <c r="L329" i="60" s="1"/>
  <c r="J310" i="60"/>
  <c r="L310" i="60" s="1"/>
  <c r="K102" i="60"/>
  <c r="J115" i="60"/>
  <c r="L115" i="60" s="1"/>
  <c r="J120" i="60"/>
  <c r="L120" i="60" s="1"/>
  <c r="J130" i="60"/>
  <c r="L130" i="60" s="1"/>
  <c r="K94" i="60"/>
  <c r="L94" i="60" s="1"/>
  <c r="J182" i="60"/>
  <c r="L182" i="60" s="1"/>
  <c r="J381" i="60"/>
  <c r="L381" i="60" s="1"/>
  <c r="J141" i="60"/>
  <c r="L141" i="60" s="1"/>
  <c r="K225" i="60"/>
  <c r="K232" i="60"/>
  <c r="L232" i="60" s="1"/>
  <c r="J260" i="60"/>
  <c r="L260" i="60" s="1"/>
  <c r="K264" i="60"/>
  <c r="L264" i="60" s="1"/>
  <c r="K349" i="60"/>
  <c r="S167" i="60"/>
  <c r="AN176" i="60"/>
  <c r="AU176" i="60"/>
  <c r="AN186" i="60"/>
  <c r="AU186" i="60"/>
  <c r="S386" i="60"/>
  <c r="Z275" i="60"/>
  <c r="AN55" i="60"/>
  <c r="AU55" i="60"/>
  <c r="S169" i="60"/>
  <c r="Z192" i="60"/>
  <c r="AN188" i="60"/>
  <c r="AU188" i="60"/>
  <c r="Z56" i="60"/>
  <c r="S339" i="60"/>
  <c r="Z364" i="60"/>
  <c r="AN194" i="60"/>
  <c r="AP194" i="60" s="1"/>
  <c r="AR194" i="60" s="1"/>
  <c r="AT194" i="60" s="1"/>
  <c r="AV194" i="60" s="1"/>
  <c r="AX194" i="60" s="1"/>
  <c r="AZ194" i="60" s="1"/>
  <c r="BB194" i="60" s="1"/>
  <c r="AU194" i="60"/>
  <c r="AN44" i="60"/>
  <c r="AU44" i="60"/>
  <c r="S73" i="60"/>
  <c r="Z132" i="60"/>
  <c r="Z198" i="60"/>
  <c r="Z142" i="60"/>
  <c r="S377" i="60"/>
  <c r="AN170" i="60"/>
  <c r="AU170" i="60"/>
  <c r="Z400" i="60"/>
  <c r="AN73" i="60"/>
  <c r="AU73" i="60"/>
  <c r="Z240" i="60"/>
  <c r="AN71" i="60"/>
  <c r="AU71" i="60"/>
  <c r="AN63" i="60"/>
  <c r="AU63" i="60"/>
  <c r="AN78" i="60"/>
  <c r="AP78" i="60" s="1"/>
  <c r="AR78" i="60" s="1"/>
  <c r="AT78" i="60" s="1"/>
  <c r="AV78" i="60" s="1"/>
  <c r="AX78" i="60" s="1"/>
  <c r="AZ78" i="60" s="1"/>
  <c r="BB78" i="60" s="1"/>
  <c r="AU78" i="60"/>
  <c r="S318" i="60"/>
  <c r="S257" i="60"/>
  <c r="L142" i="60"/>
  <c r="AN36" i="60"/>
  <c r="AU36" i="60"/>
  <c r="L29" i="60"/>
  <c r="AN229" i="60"/>
  <c r="AU229" i="60"/>
  <c r="AN387" i="60"/>
  <c r="AU387" i="60"/>
  <c r="S34" i="60"/>
  <c r="AN35" i="60"/>
  <c r="AP35" i="60" s="1"/>
  <c r="AR35" i="60" s="1"/>
  <c r="AT35" i="60" s="1"/>
  <c r="AV35" i="60" s="1"/>
  <c r="AX35" i="60" s="1"/>
  <c r="AZ35" i="60" s="1"/>
  <c r="BB35" i="60" s="1"/>
  <c r="AU35" i="60"/>
  <c r="AN217" i="60"/>
  <c r="AU217" i="60"/>
  <c r="S196" i="60"/>
  <c r="L44" i="60"/>
  <c r="AN330" i="60"/>
  <c r="AU330" i="60"/>
  <c r="L230" i="60"/>
  <c r="AN153" i="60"/>
  <c r="AU153" i="60"/>
  <c r="AN59" i="60"/>
  <c r="AU59" i="60"/>
  <c r="AN392" i="60"/>
  <c r="AU392" i="60"/>
  <c r="L125" i="60"/>
  <c r="AN108" i="60"/>
  <c r="AU108" i="60"/>
  <c r="Z327" i="60"/>
  <c r="AN172" i="60"/>
  <c r="AU172" i="60"/>
  <c r="S195" i="60"/>
  <c r="AN235" i="60"/>
  <c r="AP235" i="60" s="1"/>
  <c r="AR235" i="60" s="1"/>
  <c r="AT235" i="60" s="1"/>
  <c r="AV235" i="60" s="1"/>
  <c r="AX235" i="60" s="1"/>
  <c r="AZ235" i="60" s="1"/>
  <c r="BB235" i="60" s="1"/>
  <c r="AU235" i="60"/>
  <c r="AN222" i="60"/>
  <c r="AP222" i="60" s="1"/>
  <c r="AR222" i="60" s="1"/>
  <c r="AT222" i="60" s="1"/>
  <c r="AV222" i="60" s="1"/>
  <c r="AX222" i="60" s="1"/>
  <c r="AZ222" i="60" s="1"/>
  <c r="BB222" i="60" s="1"/>
  <c r="AU222" i="60"/>
  <c r="AN307" i="60"/>
  <c r="AP307" i="60" s="1"/>
  <c r="AR307" i="60" s="1"/>
  <c r="AT307" i="60" s="1"/>
  <c r="AV307" i="60" s="1"/>
  <c r="AX307" i="60" s="1"/>
  <c r="AZ307" i="60" s="1"/>
  <c r="BB307" i="60" s="1"/>
  <c r="AU307" i="60"/>
  <c r="AN76" i="60"/>
  <c r="AP76" i="60" s="1"/>
  <c r="AR76" i="60" s="1"/>
  <c r="AT76" i="60" s="1"/>
  <c r="AV76" i="60" s="1"/>
  <c r="AX76" i="60" s="1"/>
  <c r="AZ76" i="60" s="1"/>
  <c r="BB76" i="60" s="1"/>
  <c r="AU76" i="60"/>
  <c r="L376" i="60"/>
  <c r="AN269" i="60"/>
  <c r="AP269" i="60" s="1"/>
  <c r="AR269" i="60" s="1"/>
  <c r="AT269" i="60" s="1"/>
  <c r="AV269" i="60" s="1"/>
  <c r="AX269" i="60" s="1"/>
  <c r="AZ269" i="60" s="1"/>
  <c r="BB269" i="60" s="1"/>
  <c r="AU269" i="60"/>
  <c r="S63" i="60"/>
  <c r="L321" i="60"/>
  <c r="AN400" i="60"/>
  <c r="AU400" i="60"/>
  <c r="Z34" i="60"/>
  <c r="AN121" i="60"/>
  <c r="AU121" i="60"/>
  <c r="Z53" i="60"/>
  <c r="AN211" i="60"/>
  <c r="AU211" i="60"/>
  <c r="L19" i="60"/>
  <c r="Z101" i="60"/>
  <c r="S199" i="60"/>
  <c r="AN253" i="60"/>
  <c r="AU253" i="60"/>
  <c r="S324" i="60"/>
  <c r="S96" i="60"/>
  <c r="Z161" i="60"/>
  <c r="AN206" i="60"/>
  <c r="AU206" i="60"/>
  <c r="AN351" i="60"/>
  <c r="AP351" i="60" s="1"/>
  <c r="AR351" i="60" s="1"/>
  <c r="AT351" i="60" s="1"/>
  <c r="AV351" i="60" s="1"/>
  <c r="AX351" i="60" s="1"/>
  <c r="AZ351" i="60" s="1"/>
  <c r="BB351" i="60" s="1"/>
  <c r="AU351" i="60"/>
  <c r="L86" i="60"/>
  <c r="S52" i="60"/>
  <c r="AN97" i="60"/>
  <c r="AP97" i="60" s="1"/>
  <c r="AR97" i="60" s="1"/>
  <c r="AT97" i="60" s="1"/>
  <c r="AV97" i="60" s="1"/>
  <c r="AX97" i="60" s="1"/>
  <c r="AZ97" i="60" s="1"/>
  <c r="BB97" i="60" s="1"/>
  <c r="AU97" i="60"/>
  <c r="AN321" i="60"/>
  <c r="AU321" i="60"/>
  <c r="AN61" i="60"/>
  <c r="AP61" i="60" s="1"/>
  <c r="AR61" i="60" s="1"/>
  <c r="AT61" i="60" s="1"/>
  <c r="AV61" i="60" s="1"/>
  <c r="AX61" i="60" s="1"/>
  <c r="AZ61" i="60" s="1"/>
  <c r="BB61" i="60" s="1"/>
  <c r="AU61" i="60"/>
  <c r="AN103" i="60"/>
  <c r="AU103" i="60"/>
  <c r="AN278" i="60"/>
  <c r="AP278" i="60" s="1"/>
  <c r="AR278" i="60" s="1"/>
  <c r="AT278" i="60" s="1"/>
  <c r="AV278" i="60" s="1"/>
  <c r="AX278" i="60" s="1"/>
  <c r="AZ278" i="60" s="1"/>
  <c r="BB278" i="60" s="1"/>
  <c r="AU278" i="60"/>
  <c r="L387" i="60"/>
  <c r="L361" i="60"/>
  <c r="AN101" i="60"/>
  <c r="AU101" i="60"/>
  <c r="AN33" i="60"/>
  <c r="AU33" i="60"/>
  <c r="AN249" i="60"/>
  <c r="AU249" i="60"/>
  <c r="L112" i="60"/>
  <c r="S384" i="60"/>
  <c r="S165" i="60"/>
  <c r="Z392" i="60"/>
  <c r="AN94" i="60"/>
  <c r="AU94" i="60"/>
  <c r="S364" i="60"/>
  <c r="AN105" i="60"/>
  <c r="AU105" i="60"/>
  <c r="AN196" i="60"/>
  <c r="AU196" i="60"/>
  <c r="S75" i="60"/>
  <c r="AN266" i="60"/>
  <c r="AU266" i="60"/>
  <c r="S103" i="60"/>
  <c r="S304" i="60"/>
  <c r="Z213" i="60"/>
  <c r="AN115" i="60"/>
  <c r="AU115" i="60"/>
  <c r="AN260" i="60"/>
  <c r="L320" i="60"/>
  <c r="S163" i="60"/>
  <c r="L246" i="60"/>
  <c r="Z152" i="60"/>
  <c r="AN204" i="60"/>
  <c r="AU204" i="60"/>
  <c r="S274" i="60"/>
  <c r="Z338" i="60"/>
  <c r="Z195" i="60"/>
  <c r="S297" i="60"/>
  <c r="AN15" i="60"/>
  <c r="AU15" i="60"/>
  <c r="L268" i="60"/>
  <c r="AN368" i="60"/>
  <c r="AU368" i="60"/>
  <c r="Z41" i="60"/>
  <c r="Z379" i="60"/>
  <c r="Z293" i="60"/>
  <c r="Z328" i="60"/>
  <c r="Z129" i="60"/>
  <c r="Z105" i="60"/>
  <c r="S234" i="60"/>
  <c r="Z309" i="60"/>
  <c r="S101" i="60"/>
  <c r="Z344" i="60"/>
  <c r="AN45" i="60"/>
  <c r="AP45" i="60" s="1"/>
  <c r="AR45" i="60" s="1"/>
  <c r="AT45" i="60" s="1"/>
  <c r="AV45" i="60" s="1"/>
  <c r="AX45" i="60" s="1"/>
  <c r="AZ45" i="60" s="1"/>
  <c r="BB45" i="60" s="1"/>
  <c r="AU45" i="60"/>
  <c r="L176" i="60"/>
  <c r="Z24" i="60"/>
  <c r="Z154" i="60"/>
  <c r="Z369" i="60"/>
  <c r="Z395" i="60"/>
  <c r="L70" i="60"/>
  <c r="S125" i="60"/>
  <c r="S157" i="60"/>
  <c r="L282" i="60"/>
  <c r="S15" i="60"/>
  <c r="S372" i="60"/>
  <c r="Z210" i="60"/>
  <c r="Z124" i="60"/>
  <c r="Z315" i="60"/>
  <c r="S380" i="60"/>
  <c r="S247" i="60"/>
  <c r="AN365" i="60"/>
  <c r="AP365" i="60" s="1"/>
  <c r="AR365" i="60" s="1"/>
  <c r="AT365" i="60" s="1"/>
  <c r="AV365" i="60" s="1"/>
  <c r="AX365" i="60" s="1"/>
  <c r="AZ365" i="60" s="1"/>
  <c r="BB365" i="60" s="1"/>
  <c r="AU365" i="60"/>
  <c r="Z140" i="60"/>
  <c r="S329" i="60"/>
  <c r="Z71" i="60"/>
  <c r="Z388" i="60"/>
  <c r="S70" i="60"/>
  <c r="Z44" i="60"/>
  <c r="S79" i="60"/>
  <c r="L144" i="60"/>
  <c r="AN31" i="60"/>
  <c r="AP31" i="60" s="1"/>
  <c r="AR31" i="60" s="1"/>
  <c r="AT31" i="60" s="1"/>
  <c r="AV31" i="60" s="1"/>
  <c r="AX31" i="60" s="1"/>
  <c r="AZ31" i="60" s="1"/>
  <c r="BB31" i="60" s="1"/>
  <c r="AU31" i="60"/>
  <c r="AN18" i="60"/>
  <c r="AP18" i="60" s="1"/>
  <c r="AR18" i="60" s="1"/>
  <c r="AT18" i="60" s="1"/>
  <c r="AV18" i="60" s="1"/>
  <c r="AX18" i="60" s="1"/>
  <c r="AZ18" i="60" s="1"/>
  <c r="BB18" i="60" s="1"/>
  <c r="AU18" i="60"/>
  <c r="S184" i="60"/>
  <c r="S151" i="60"/>
  <c r="Z236" i="60"/>
  <c r="AN14" i="60"/>
  <c r="AP14" i="60" s="1"/>
  <c r="AR14" i="60" s="1"/>
  <c r="AT14" i="60" s="1"/>
  <c r="AV14" i="60" s="1"/>
  <c r="AX14" i="60" s="1"/>
  <c r="AZ14" i="60" s="1"/>
  <c r="BB14" i="60" s="1"/>
  <c r="AU14" i="60"/>
  <c r="L354" i="60"/>
  <c r="L237" i="60"/>
  <c r="L388" i="60"/>
  <c r="L159" i="60"/>
  <c r="L17" i="60"/>
  <c r="AN342" i="60"/>
  <c r="AU342" i="60"/>
  <c r="AN185" i="60"/>
  <c r="AU185" i="60"/>
  <c r="AN304" i="60"/>
  <c r="AU304" i="60"/>
  <c r="AN346" i="60"/>
  <c r="AP346" i="60" s="1"/>
  <c r="AR346" i="60" s="1"/>
  <c r="AT346" i="60" s="1"/>
  <c r="AV346" i="60" s="1"/>
  <c r="AX346" i="60" s="1"/>
  <c r="AZ346" i="60" s="1"/>
  <c r="BB346" i="60" s="1"/>
  <c r="AU346" i="60"/>
  <c r="AN191" i="60"/>
  <c r="AU191" i="60"/>
  <c r="Z230" i="60"/>
  <c r="Z178" i="60"/>
  <c r="Z217" i="60"/>
  <c r="S105" i="60"/>
  <c r="Z377" i="60"/>
  <c r="AN57" i="60"/>
  <c r="AP57" i="60" s="1"/>
  <c r="AR57" i="60" s="1"/>
  <c r="AT57" i="60" s="1"/>
  <c r="AV57" i="60" s="1"/>
  <c r="AX57" i="60" s="1"/>
  <c r="AZ57" i="60" s="1"/>
  <c r="BB57" i="60" s="1"/>
  <c r="AU57" i="60"/>
  <c r="S392" i="60"/>
  <c r="S357" i="60"/>
  <c r="S112" i="60"/>
  <c r="S294" i="60"/>
  <c r="Z86" i="60"/>
  <c r="S254" i="60"/>
  <c r="S178" i="60"/>
  <c r="Z59" i="60"/>
  <c r="Z29" i="60"/>
  <c r="Z250" i="60"/>
  <c r="S81" i="60"/>
  <c r="Z389" i="60"/>
  <c r="Z196" i="60"/>
  <c r="Z266" i="60"/>
  <c r="Z277" i="60"/>
  <c r="Z69" i="60"/>
  <c r="Z349" i="60"/>
  <c r="S402" i="60"/>
  <c r="S83" i="60"/>
  <c r="Z330" i="60"/>
  <c r="L25" i="60"/>
  <c r="AN80" i="60"/>
  <c r="AP80" i="60" s="1"/>
  <c r="AR80" i="60" s="1"/>
  <c r="AT80" i="60" s="1"/>
  <c r="AV80" i="60" s="1"/>
  <c r="AX80" i="60" s="1"/>
  <c r="AZ80" i="60" s="1"/>
  <c r="BB80" i="60" s="1"/>
  <c r="AU80" i="60"/>
  <c r="AN379" i="60"/>
  <c r="AU379" i="60"/>
  <c r="AN160" i="60"/>
  <c r="AP160" i="60" s="1"/>
  <c r="AR160" i="60" s="1"/>
  <c r="AT160" i="60" s="1"/>
  <c r="AV160" i="60" s="1"/>
  <c r="AX160" i="60" s="1"/>
  <c r="AZ160" i="60" s="1"/>
  <c r="BB160" i="60" s="1"/>
  <c r="AU160" i="60"/>
  <c r="Z116" i="60"/>
  <c r="L339" i="60"/>
  <c r="AN66" i="60"/>
  <c r="AU66" i="60"/>
  <c r="AN359" i="60"/>
  <c r="AP359" i="60" s="1"/>
  <c r="AR359" i="60" s="1"/>
  <c r="AT359" i="60" s="1"/>
  <c r="AV359" i="60" s="1"/>
  <c r="AX359" i="60" s="1"/>
  <c r="AZ359" i="60" s="1"/>
  <c r="BB359" i="60" s="1"/>
  <c r="AU359" i="60"/>
  <c r="AN396" i="60"/>
  <c r="AP396" i="60" s="1"/>
  <c r="AR396" i="60" s="1"/>
  <c r="AT396" i="60" s="1"/>
  <c r="AV396" i="60" s="1"/>
  <c r="AX396" i="60" s="1"/>
  <c r="AZ396" i="60" s="1"/>
  <c r="BB396" i="60" s="1"/>
  <c r="AU396" i="60"/>
  <c r="AN279" i="60"/>
  <c r="AP279" i="60" s="1"/>
  <c r="AR279" i="60" s="1"/>
  <c r="AT279" i="60" s="1"/>
  <c r="AV279" i="60" s="1"/>
  <c r="AX279" i="60" s="1"/>
  <c r="AZ279" i="60" s="1"/>
  <c r="BB279" i="60" s="1"/>
  <c r="AU279" i="60"/>
  <c r="S259" i="60"/>
  <c r="Z226" i="60"/>
  <c r="AN91" i="60"/>
  <c r="AU91" i="60"/>
  <c r="L135" i="60"/>
  <c r="L204" i="60"/>
  <c r="S262" i="60"/>
  <c r="L21" i="60"/>
  <c r="L93" i="60"/>
  <c r="Z64" i="60"/>
  <c r="S153" i="60"/>
  <c r="L111" i="60"/>
  <c r="AN50" i="60"/>
  <c r="AP50" i="60" s="1"/>
  <c r="AR50" i="60" s="1"/>
  <c r="AT50" i="60" s="1"/>
  <c r="AV50" i="60" s="1"/>
  <c r="AX50" i="60" s="1"/>
  <c r="AZ50" i="60" s="1"/>
  <c r="BB50" i="60" s="1"/>
  <c r="AU50" i="60"/>
  <c r="L328" i="60"/>
  <c r="L56" i="60"/>
  <c r="L234" i="60"/>
  <c r="L390" i="60"/>
  <c r="L24" i="60"/>
  <c r="AN393" i="60"/>
  <c r="AU393" i="60"/>
  <c r="AN234" i="60"/>
  <c r="AU234" i="60"/>
  <c r="BG225" i="54"/>
  <c r="BG302" i="54"/>
  <c r="BG91" i="54"/>
  <c r="BG240" i="54"/>
  <c r="BG310" i="54"/>
  <c r="BG362" i="54"/>
  <c r="BG152" i="54"/>
  <c r="BG315" i="54"/>
  <c r="BG382" i="54"/>
  <c r="BG63" i="54"/>
  <c r="BG372" i="54"/>
  <c r="BG251" i="54"/>
  <c r="BG141" i="54"/>
  <c r="BG313" i="54"/>
  <c r="BG186" i="54"/>
  <c r="BG205" i="54"/>
  <c r="BG132" i="54"/>
  <c r="BG106" i="54"/>
  <c r="J14" i="55"/>
  <c r="BG197" i="54"/>
  <c r="BG348" i="54"/>
  <c r="BG227" i="54"/>
  <c r="BG301" i="54"/>
  <c r="BG346" i="54"/>
  <c r="BG272" i="54"/>
  <c r="BG162" i="54"/>
  <c r="BG247" i="54"/>
  <c r="BG335" i="54"/>
  <c r="BG161" i="54"/>
  <c r="BG67" i="54"/>
  <c r="BG137" i="54"/>
  <c r="BG84" i="54"/>
  <c r="BG375" i="54"/>
  <c r="BG278" i="54"/>
  <c r="BG199" i="54"/>
  <c r="BG311" i="54"/>
  <c r="BG121" i="54"/>
  <c r="BG287" i="54"/>
  <c r="BG198" i="54"/>
  <c r="BG326" i="54"/>
  <c r="BG166" i="54"/>
  <c r="BG305" i="54"/>
  <c r="BG379" i="54"/>
  <c r="BG369" i="54"/>
  <c r="BG290" i="54"/>
  <c r="BG178" i="54"/>
  <c r="BG350" i="54"/>
  <c r="BG183" i="54"/>
  <c r="BG397" i="54"/>
  <c r="BG112" i="54"/>
  <c r="BG230" i="54"/>
  <c r="BG55" i="54"/>
  <c r="BG217" i="54"/>
  <c r="BG260" i="54"/>
  <c r="BG384" i="54"/>
  <c r="BG383" i="54"/>
  <c r="BG351" i="54"/>
  <c r="BG73" i="54"/>
  <c r="BG135" i="54"/>
  <c r="BG159" i="54"/>
  <c r="BG283" i="54"/>
  <c r="E14" i="55"/>
  <c r="BG81" i="54"/>
  <c r="BG344" i="54"/>
  <c r="BG243" i="54"/>
  <c r="BG285" i="54"/>
  <c r="K14" i="55"/>
  <c r="BG294" i="54"/>
  <c r="BG386" i="54"/>
  <c r="BG212" i="54"/>
  <c r="BG257" i="54"/>
  <c r="BG175" i="54"/>
  <c r="BG396" i="54"/>
  <c r="BG360" i="54"/>
  <c r="BG389" i="54"/>
  <c r="BG339" i="54"/>
  <c r="BG352" i="54"/>
  <c r="BG16" i="54"/>
  <c r="C14" i="55"/>
  <c r="BG333" i="54"/>
  <c r="BG213" i="54"/>
  <c r="BG304" i="54"/>
  <c r="BG173" i="54"/>
  <c r="BG370" i="54"/>
  <c r="BG359" i="54"/>
  <c r="BG87" i="54"/>
  <c r="BG367" i="54"/>
  <c r="BG53" i="54"/>
  <c r="F14" i="55"/>
  <c r="BG231" i="54"/>
  <c r="BG245" i="54"/>
  <c r="BG116" i="54"/>
  <c r="BG83" i="54"/>
  <c r="G14" i="55"/>
  <c r="BG309" i="54"/>
  <c r="BG177" i="54"/>
  <c r="BG201" i="54"/>
  <c r="BG267" i="54"/>
  <c r="BG303" i="54"/>
  <c r="BG289" i="54"/>
  <c r="BG377" i="54"/>
  <c r="BG314" i="54"/>
  <c r="BG337" i="54"/>
  <c r="BG179" i="54"/>
  <c r="BG252" i="54"/>
  <c r="BG343" i="54"/>
  <c r="BG139" i="54"/>
  <c r="BG349" i="54"/>
  <c r="BG142" i="54"/>
  <c r="BG195" i="54"/>
  <c r="BG378" i="54"/>
  <c r="BG203" i="54"/>
  <c r="BG110" i="54"/>
  <c r="BG221" i="54"/>
  <c r="BG308" i="54"/>
  <c r="BG134" i="54"/>
  <c r="BG361" i="54"/>
  <c r="BG237" i="54"/>
  <c r="BG124" i="54"/>
  <c r="BG376" i="54"/>
  <c r="BG373" i="54"/>
  <c r="BG185" i="54"/>
  <c r="BG250" i="54"/>
  <c r="BG169" i="54"/>
  <c r="BG59" i="54"/>
  <c r="BG255" i="54"/>
  <c r="BG298" i="54"/>
  <c r="BG321" i="54"/>
  <c r="BG148" i="54"/>
  <c r="BG133" i="54"/>
  <c r="BG266" i="54"/>
  <c r="BG312" i="54"/>
  <c r="BG325" i="54"/>
  <c r="I14" i="55"/>
  <c r="BG241" i="54"/>
  <c r="BG398" i="54"/>
  <c r="BG194" i="54"/>
  <c r="BG368" i="54"/>
  <c r="BG336" i="54"/>
  <c r="BG128" i="54"/>
  <c r="BG254" i="54"/>
  <c r="BG82" i="54"/>
  <c r="BG385" i="54"/>
  <c r="BG322" i="54"/>
  <c r="BG282" i="54"/>
  <c r="BG400" i="54"/>
  <c r="BG269" i="54"/>
  <c r="BG19" i="54"/>
  <c r="D14" i="55"/>
  <c r="BG374" i="54"/>
  <c r="BG404" i="54"/>
  <c r="BG388" i="54"/>
  <c r="BG235" i="54"/>
  <c r="BG209" i="54"/>
  <c r="BG387" i="54"/>
  <c r="BG218" i="54"/>
  <c r="BG300" i="54"/>
  <c r="BG168" i="54"/>
  <c r="BG165" i="54"/>
  <c r="BG347" i="54"/>
  <c r="BG401" i="54"/>
  <c r="BG66" i="54"/>
  <c r="BG86" i="54"/>
  <c r="AP211" i="60" l="1"/>
  <c r="AR211" i="60" s="1"/>
  <c r="AT211" i="60" s="1"/>
  <c r="AV211" i="60" s="1"/>
  <c r="AX211" i="60" s="1"/>
  <c r="AZ211" i="60" s="1"/>
  <c r="BB211" i="60" s="1"/>
  <c r="Z382" i="60"/>
  <c r="L84" i="60"/>
  <c r="Z375" i="60"/>
  <c r="AU357" i="60"/>
  <c r="AP206" i="60"/>
  <c r="AR206" i="60" s="1"/>
  <c r="AT206" i="60" s="1"/>
  <c r="AV206" i="60" s="1"/>
  <c r="AX206" i="60" s="1"/>
  <c r="AZ206" i="60" s="1"/>
  <c r="BB206" i="60" s="1"/>
  <c r="AP172" i="60"/>
  <c r="AR172" i="60" s="1"/>
  <c r="AT172" i="60" s="1"/>
  <c r="AV172" i="60" s="1"/>
  <c r="AX172" i="60" s="1"/>
  <c r="AZ172" i="60" s="1"/>
  <c r="BB172" i="60" s="1"/>
  <c r="S131" i="60"/>
  <c r="L290" i="60"/>
  <c r="AP26" i="60"/>
  <c r="AR26" i="60" s="1"/>
  <c r="AT26" i="60" s="1"/>
  <c r="AV26" i="60" s="1"/>
  <c r="AX26" i="60" s="1"/>
  <c r="AZ26" i="60" s="1"/>
  <c r="BB26" i="60" s="1"/>
  <c r="AP263" i="60"/>
  <c r="AR263" i="60" s="1"/>
  <c r="AT263" i="60" s="1"/>
  <c r="AV263" i="60" s="1"/>
  <c r="AX263" i="60" s="1"/>
  <c r="AZ263" i="60" s="1"/>
  <c r="BB263" i="60" s="1"/>
  <c r="L345" i="60"/>
  <c r="L293" i="60"/>
  <c r="Z272" i="60"/>
  <c r="Z166" i="60"/>
  <c r="AP229" i="60"/>
  <c r="AR229" i="60" s="1"/>
  <c r="AT229" i="60" s="1"/>
  <c r="AV229" i="60" s="1"/>
  <c r="AX229" i="60" s="1"/>
  <c r="AZ229" i="60" s="1"/>
  <c r="BB229" i="60" s="1"/>
  <c r="Z337" i="60"/>
  <c r="AP272" i="60"/>
  <c r="AR272" i="60" s="1"/>
  <c r="AT272" i="60" s="1"/>
  <c r="AV272" i="60" s="1"/>
  <c r="AX272" i="60" s="1"/>
  <c r="AZ272" i="60" s="1"/>
  <c r="BB272" i="60" s="1"/>
  <c r="AW346" i="60"/>
  <c r="AW185" i="60"/>
  <c r="AW121" i="60"/>
  <c r="AW307" i="60"/>
  <c r="AW235" i="60"/>
  <c r="AW279" i="60"/>
  <c r="AY279" i="60" s="1"/>
  <c r="BA279" i="60" s="1"/>
  <c r="BC279" i="60" s="1"/>
  <c r="BE279" i="60" s="1"/>
  <c r="BG279" i="60" s="1"/>
  <c r="AW47" i="60"/>
  <c r="AW278" i="60"/>
  <c r="AW61" i="60"/>
  <c r="AW109" i="60"/>
  <c r="AP73" i="60"/>
  <c r="AR73" i="60" s="1"/>
  <c r="AT73" i="60" s="1"/>
  <c r="AV73" i="60" s="1"/>
  <c r="AX73" i="60" s="1"/>
  <c r="AZ73" i="60" s="1"/>
  <c r="BB73" i="60" s="1"/>
  <c r="AP400" i="60"/>
  <c r="AR400" i="60" s="1"/>
  <c r="AT400" i="60" s="1"/>
  <c r="AV400" i="60" s="1"/>
  <c r="AX400" i="60" s="1"/>
  <c r="AZ400" i="60" s="1"/>
  <c r="BB400" i="60" s="1"/>
  <c r="AW14" i="60"/>
  <c r="AW31" i="60"/>
  <c r="AY31" i="60" s="1"/>
  <c r="BA31" i="60" s="1"/>
  <c r="BC31" i="60" s="1"/>
  <c r="BE31" i="60" s="1"/>
  <c r="BG31" i="60" s="1"/>
  <c r="AW204" i="60"/>
  <c r="AW351" i="60"/>
  <c r="AW211" i="60"/>
  <c r="AW55" i="60"/>
  <c r="AW234" i="60"/>
  <c r="BD26" i="60"/>
  <c r="AP39" i="60"/>
  <c r="AR39" i="60" s="1"/>
  <c r="AT39" i="60" s="1"/>
  <c r="AV39" i="60" s="1"/>
  <c r="AX39" i="60" s="1"/>
  <c r="AZ39" i="60" s="1"/>
  <c r="BB39" i="60" s="1"/>
  <c r="AW62" i="60"/>
  <c r="AP379" i="60"/>
  <c r="AR379" i="60" s="1"/>
  <c r="AT379" i="60" s="1"/>
  <c r="AV379" i="60" s="1"/>
  <c r="AX379" i="60" s="1"/>
  <c r="AZ379" i="60" s="1"/>
  <c r="BB379" i="60" s="1"/>
  <c r="AW50" i="60"/>
  <c r="AW396" i="60"/>
  <c r="AW66" i="60"/>
  <c r="AW160" i="60"/>
  <c r="AY160" i="60" s="1"/>
  <c r="BA160" i="60" s="1"/>
  <c r="BC160" i="60" s="1"/>
  <c r="BE160" i="60" s="1"/>
  <c r="BG160" i="60" s="1"/>
  <c r="AW80" i="60"/>
  <c r="AW342" i="60"/>
  <c r="AU260" i="60"/>
  <c r="AW260" i="60" s="1"/>
  <c r="AP108" i="60"/>
  <c r="AR108" i="60" s="1"/>
  <c r="AT108" i="60" s="1"/>
  <c r="AV108" i="60" s="1"/>
  <c r="AX108" i="60" s="1"/>
  <c r="AZ108" i="60" s="1"/>
  <c r="BB108" i="60" s="1"/>
  <c r="BD98" i="60"/>
  <c r="AW246" i="60"/>
  <c r="AW285" i="60"/>
  <c r="AY14" i="60"/>
  <c r="BA14" i="60" s="1"/>
  <c r="BC14" i="60" s="1"/>
  <c r="BE14" i="60" s="1"/>
  <c r="BG14" i="60" s="1"/>
  <c r="AP260" i="60"/>
  <c r="AR260" i="60" s="1"/>
  <c r="AT260" i="60" s="1"/>
  <c r="AV260" i="60" s="1"/>
  <c r="AX260" i="60" s="1"/>
  <c r="AZ260" i="60" s="1"/>
  <c r="BB260" i="60" s="1"/>
  <c r="AY278" i="60"/>
  <c r="BA278" i="60" s="1"/>
  <c r="BC278" i="60" s="1"/>
  <c r="BE278" i="60" s="1"/>
  <c r="BG278" i="60" s="1"/>
  <c r="AY61" i="60"/>
  <c r="BA61" i="60" s="1"/>
  <c r="BC61" i="60" s="1"/>
  <c r="BE61" i="60" s="1"/>
  <c r="BG61" i="60" s="1"/>
  <c r="AY307" i="60"/>
  <c r="BA307" i="60" s="1"/>
  <c r="BC307" i="60" s="1"/>
  <c r="BE307" i="60" s="1"/>
  <c r="BG307" i="60" s="1"/>
  <c r="AY235" i="60"/>
  <c r="BA235" i="60" s="1"/>
  <c r="BC235" i="60" s="1"/>
  <c r="BE235" i="60" s="1"/>
  <c r="BG235" i="60" s="1"/>
  <c r="AY346" i="60"/>
  <c r="BA346" i="60" s="1"/>
  <c r="BC346" i="60" s="1"/>
  <c r="BE346" i="60" s="1"/>
  <c r="BG346" i="60" s="1"/>
  <c r="AY351" i="60"/>
  <c r="BA351" i="60" s="1"/>
  <c r="BC351" i="60" s="1"/>
  <c r="BE351" i="60" s="1"/>
  <c r="BG351" i="60" s="1"/>
  <c r="AY211" i="60"/>
  <c r="BA211" i="60" s="1"/>
  <c r="BC211" i="60" s="1"/>
  <c r="BE211" i="60" s="1"/>
  <c r="BG211" i="60" s="1"/>
  <c r="AP100" i="60"/>
  <c r="AR100" i="60" s="1"/>
  <c r="AT100" i="60" s="1"/>
  <c r="AV100" i="60" s="1"/>
  <c r="AX100" i="60" s="1"/>
  <c r="AZ100" i="60" s="1"/>
  <c r="BB100" i="60" s="1"/>
  <c r="AY50" i="60"/>
  <c r="BA50" i="60" s="1"/>
  <c r="BC50" i="60" s="1"/>
  <c r="BE50" i="60" s="1"/>
  <c r="BG50" i="60" s="1"/>
  <c r="AY396" i="60"/>
  <c r="BA396" i="60" s="1"/>
  <c r="BC396" i="60" s="1"/>
  <c r="BE396" i="60" s="1"/>
  <c r="BG396" i="60" s="1"/>
  <c r="AY80" i="60"/>
  <c r="BA80" i="60" s="1"/>
  <c r="BC80" i="60" s="1"/>
  <c r="BE80" i="60" s="1"/>
  <c r="BG80" i="60" s="1"/>
  <c r="AP27" i="60"/>
  <c r="AR27" i="60" s="1"/>
  <c r="AT27" i="60" s="1"/>
  <c r="AV27" i="60" s="1"/>
  <c r="AX27" i="60" s="1"/>
  <c r="AZ27" i="60" s="1"/>
  <c r="BB27" i="60" s="1"/>
  <c r="AU51" i="60"/>
  <c r="AW38" i="60"/>
  <c r="AY38" i="60" s="1"/>
  <c r="BA38" i="60" s="1"/>
  <c r="BC38" i="60" s="1"/>
  <c r="BE38" i="60" s="1"/>
  <c r="BG38" i="60" s="1"/>
  <c r="AW370" i="60"/>
  <c r="AP234" i="60"/>
  <c r="AR234" i="60" s="1"/>
  <c r="AT234" i="60" s="1"/>
  <c r="AV234" i="60" s="1"/>
  <c r="AX234" i="60" s="1"/>
  <c r="AZ234" i="60" s="1"/>
  <c r="BB234" i="60" s="1"/>
  <c r="AP115" i="60"/>
  <c r="AR115" i="60" s="1"/>
  <c r="AT115" i="60" s="1"/>
  <c r="AV115" i="60" s="1"/>
  <c r="AX115" i="60" s="1"/>
  <c r="AZ115" i="60" s="1"/>
  <c r="BB115" i="60" s="1"/>
  <c r="Z183" i="60"/>
  <c r="AU369" i="60"/>
  <c r="AW58" i="60"/>
  <c r="AY58" i="60" s="1"/>
  <c r="BA58" i="60" s="1"/>
  <c r="BC58" i="60" s="1"/>
  <c r="BE58" i="60" s="1"/>
  <c r="BG58" i="60" s="1"/>
  <c r="AW322" i="60"/>
  <c r="AY322" i="60" s="1"/>
  <c r="BA322" i="60" s="1"/>
  <c r="BC322" i="60" s="1"/>
  <c r="BE322" i="60" s="1"/>
  <c r="BG322" i="60" s="1"/>
  <c r="AW99" i="60"/>
  <c r="AY99" i="60" s="1"/>
  <c r="BA99" i="60" s="1"/>
  <c r="BC99" i="60" s="1"/>
  <c r="BE99" i="60" s="1"/>
  <c r="BG99" i="60" s="1"/>
  <c r="BD365" i="60"/>
  <c r="AW45" i="60"/>
  <c r="AY45" i="60" s="1"/>
  <c r="BA45" i="60" s="1"/>
  <c r="BC45" i="60" s="1"/>
  <c r="BE45" i="60" s="1"/>
  <c r="BG45" i="60" s="1"/>
  <c r="AW229" i="60"/>
  <c r="AY229" i="60" s="1"/>
  <c r="BA229" i="60" s="1"/>
  <c r="BC229" i="60" s="1"/>
  <c r="BE229" i="60" s="1"/>
  <c r="BG229" i="60" s="1"/>
  <c r="AW78" i="60"/>
  <c r="AY78" i="60" s="1"/>
  <c r="BA78" i="60" s="1"/>
  <c r="BC78" i="60" s="1"/>
  <c r="BE78" i="60" s="1"/>
  <c r="BG78" i="60" s="1"/>
  <c r="AP87" i="60"/>
  <c r="AR87" i="60" s="1"/>
  <c r="AT87" i="60" s="1"/>
  <c r="AV87" i="60" s="1"/>
  <c r="AX87" i="60" s="1"/>
  <c r="AZ87" i="60" s="1"/>
  <c r="BB87" i="60" s="1"/>
  <c r="AU372" i="60"/>
  <c r="AW280" i="60"/>
  <c r="AY280" i="60" s="1"/>
  <c r="BA280" i="60" s="1"/>
  <c r="BC280" i="60" s="1"/>
  <c r="BE280" i="60" s="1"/>
  <c r="BG280" i="60" s="1"/>
  <c r="AW54" i="60"/>
  <c r="AY54" i="60" s="1"/>
  <c r="BA54" i="60" s="1"/>
  <c r="BC54" i="60" s="1"/>
  <c r="BE54" i="60" s="1"/>
  <c r="BG54" i="60" s="1"/>
  <c r="BD379" i="60"/>
  <c r="BD97" i="60"/>
  <c r="BD400" i="60"/>
  <c r="BD172" i="60"/>
  <c r="AW217" i="60"/>
  <c r="AP304" i="60"/>
  <c r="AR304" i="60" s="1"/>
  <c r="AT304" i="60" s="1"/>
  <c r="AV304" i="60" s="1"/>
  <c r="AX304" i="60" s="1"/>
  <c r="AZ304" i="60" s="1"/>
  <c r="BB304" i="60" s="1"/>
  <c r="AW18" i="60"/>
  <c r="AY18" i="60" s="1"/>
  <c r="BA18" i="60" s="1"/>
  <c r="BC18" i="60" s="1"/>
  <c r="BE18" i="60" s="1"/>
  <c r="BG18" i="60" s="1"/>
  <c r="BD115" i="60"/>
  <c r="AP196" i="60"/>
  <c r="AR196" i="60" s="1"/>
  <c r="AT196" i="60" s="1"/>
  <c r="AV196" i="60" s="1"/>
  <c r="AX196" i="60" s="1"/>
  <c r="AZ196" i="60" s="1"/>
  <c r="BB196" i="60" s="1"/>
  <c r="BD196" i="60" s="1"/>
  <c r="AW94" i="60"/>
  <c r="AW33" i="60"/>
  <c r="AW76" i="60"/>
  <c r="AY76" i="60" s="1"/>
  <c r="BA76" i="60" s="1"/>
  <c r="BC76" i="60" s="1"/>
  <c r="BE76" i="60" s="1"/>
  <c r="BG76" i="60" s="1"/>
  <c r="AW222" i="60"/>
  <c r="AY222" i="60" s="1"/>
  <c r="BA222" i="60" s="1"/>
  <c r="BC222" i="60" s="1"/>
  <c r="BE222" i="60" s="1"/>
  <c r="BG222" i="60" s="1"/>
  <c r="AW108" i="60"/>
  <c r="AY108" i="60" s="1"/>
  <c r="BA108" i="60" s="1"/>
  <c r="BC108" i="60" s="1"/>
  <c r="BE108" i="60" s="1"/>
  <c r="BG108" i="60" s="1"/>
  <c r="AP153" i="60"/>
  <c r="AR153" i="60" s="1"/>
  <c r="AT153" i="60" s="1"/>
  <c r="AV153" i="60" s="1"/>
  <c r="AX153" i="60" s="1"/>
  <c r="AZ153" i="60" s="1"/>
  <c r="BB153" i="60" s="1"/>
  <c r="AW35" i="60"/>
  <c r="AY35" i="60" s="1"/>
  <c r="BA35" i="60" s="1"/>
  <c r="BC35" i="60" s="1"/>
  <c r="BE35" i="60" s="1"/>
  <c r="BG35" i="60" s="1"/>
  <c r="AP387" i="60"/>
  <c r="AR387" i="60" s="1"/>
  <c r="AT387" i="60" s="1"/>
  <c r="AV387" i="60" s="1"/>
  <c r="AX387" i="60" s="1"/>
  <c r="AZ387" i="60" s="1"/>
  <c r="BB387" i="60" s="1"/>
  <c r="BD387" i="60" s="1"/>
  <c r="AW73" i="60"/>
  <c r="AW194" i="60"/>
  <c r="AY194" i="60" s="1"/>
  <c r="BA194" i="60" s="1"/>
  <c r="BC194" i="60" s="1"/>
  <c r="BE194" i="60" s="1"/>
  <c r="BG194" i="60" s="1"/>
  <c r="AP55" i="60"/>
  <c r="AR55" i="60" s="1"/>
  <c r="AT55" i="60" s="1"/>
  <c r="AV55" i="60" s="1"/>
  <c r="AX55" i="60" s="1"/>
  <c r="AZ55" i="60" s="1"/>
  <c r="BB55" i="60" s="1"/>
  <c r="AW186" i="60"/>
  <c r="L287" i="60"/>
  <c r="BD42" i="60"/>
  <c r="AW113" i="60"/>
  <c r="AY113" i="60" s="1"/>
  <c r="BA113" i="60" s="1"/>
  <c r="BC113" i="60" s="1"/>
  <c r="BE113" i="60" s="1"/>
  <c r="BG113" i="60" s="1"/>
  <c r="AW272" i="60"/>
  <c r="AY272" i="60" s="1"/>
  <c r="BA272" i="60" s="1"/>
  <c r="BC272" i="60" s="1"/>
  <c r="BE272" i="60" s="1"/>
  <c r="BG272" i="60" s="1"/>
  <c r="AP370" i="60"/>
  <c r="AR370" i="60" s="1"/>
  <c r="AT370" i="60" s="1"/>
  <c r="AV370" i="60" s="1"/>
  <c r="AX370" i="60" s="1"/>
  <c r="AZ370" i="60" s="1"/>
  <c r="BB370" i="60" s="1"/>
  <c r="AW271" i="60"/>
  <c r="AY271" i="60" s="1"/>
  <c r="BA271" i="60" s="1"/>
  <c r="BC271" i="60" s="1"/>
  <c r="BE271" i="60" s="1"/>
  <c r="BG271" i="60" s="1"/>
  <c r="AU180" i="60"/>
  <c r="BD180" i="60" s="1"/>
  <c r="AW263" i="60"/>
  <c r="AY263" i="60" s="1"/>
  <c r="BA263" i="60" s="1"/>
  <c r="BC263" i="60" s="1"/>
  <c r="BE263" i="60" s="1"/>
  <c r="BG263" i="60" s="1"/>
  <c r="BD202" i="60"/>
  <c r="BD30" i="60"/>
  <c r="AW334" i="60"/>
  <c r="AU383" i="60"/>
  <c r="AW383" i="60" s="1"/>
  <c r="AW22" i="60"/>
  <c r="AW87" i="60"/>
  <c r="AW144" i="60"/>
  <c r="AW128" i="60"/>
  <c r="AW27" i="60"/>
  <c r="AW92" i="60"/>
  <c r="BD359" i="60"/>
  <c r="BD206" i="60"/>
  <c r="BD269" i="60"/>
  <c r="AW330" i="60"/>
  <c r="BD39" i="60"/>
  <c r="AU275" i="60"/>
  <c r="AW105" i="60"/>
  <c r="BD57" i="60"/>
  <c r="AW191" i="60"/>
  <c r="AW304" i="60"/>
  <c r="AY304" i="60" s="1"/>
  <c r="BA304" i="60" s="1"/>
  <c r="BC304" i="60" s="1"/>
  <c r="BE304" i="60" s="1"/>
  <c r="BG304" i="60" s="1"/>
  <c r="AW392" i="60"/>
  <c r="AW153" i="60"/>
  <c r="AY153" i="60" s="1"/>
  <c r="BA153" i="60" s="1"/>
  <c r="BC153" i="60" s="1"/>
  <c r="BE153" i="60" s="1"/>
  <c r="BG153" i="60" s="1"/>
  <c r="AP330" i="60"/>
  <c r="AR330" i="60" s="1"/>
  <c r="AT330" i="60" s="1"/>
  <c r="AV330" i="60" s="1"/>
  <c r="AX330" i="60" s="1"/>
  <c r="AZ330" i="60" s="1"/>
  <c r="BB330" i="60" s="1"/>
  <c r="AP217" i="60"/>
  <c r="AR217" i="60" s="1"/>
  <c r="AT217" i="60" s="1"/>
  <c r="AV217" i="60" s="1"/>
  <c r="AX217" i="60" s="1"/>
  <c r="AZ217" i="60" s="1"/>
  <c r="BB217" i="60" s="1"/>
  <c r="BD20" i="60"/>
  <c r="AY370" i="60"/>
  <c r="BA370" i="60" s="1"/>
  <c r="BC370" i="60" s="1"/>
  <c r="BE370" i="60" s="1"/>
  <c r="BG370" i="60" s="1"/>
  <c r="AW227" i="60"/>
  <c r="BD43" i="60"/>
  <c r="BD100" i="60"/>
  <c r="BD118" i="60"/>
  <c r="BD303" i="60"/>
  <c r="AU84" i="60"/>
  <c r="AW15" i="60"/>
  <c r="AW103" i="60"/>
  <c r="AP59" i="60"/>
  <c r="AR59" i="60" s="1"/>
  <c r="AT59" i="60" s="1"/>
  <c r="AV59" i="60" s="1"/>
  <c r="AX59" i="60" s="1"/>
  <c r="AZ59" i="60" s="1"/>
  <c r="BB59" i="60" s="1"/>
  <c r="BD59" i="60" s="1"/>
  <c r="AP63" i="60"/>
  <c r="AR63" i="60" s="1"/>
  <c r="AT63" i="60" s="1"/>
  <c r="AV63" i="60" s="1"/>
  <c r="AX63" i="60" s="1"/>
  <c r="AZ63" i="60" s="1"/>
  <c r="BB63" i="60" s="1"/>
  <c r="BD63" i="60" s="1"/>
  <c r="AP170" i="60"/>
  <c r="AR170" i="60" s="1"/>
  <c r="AT170" i="60" s="1"/>
  <c r="AV170" i="60" s="1"/>
  <c r="AX170" i="60" s="1"/>
  <c r="AZ170" i="60" s="1"/>
  <c r="BB170" i="60" s="1"/>
  <c r="BD170" i="60" s="1"/>
  <c r="BD304" i="60"/>
  <c r="BF304" i="60" s="1"/>
  <c r="AP342" i="60"/>
  <c r="AR342" i="60" s="1"/>
  <c r="AT342" i="60" s="1"/>
  <c r="AV342" i="60" s="1"/>
  <c r="AX342" i="60" s="1"/>
  <c r="AZ342" i="60" s="1"/>
  <c r="BB342" i="60" s="1"/>
  <c r="BD342" i="60" s="1"/>
  <c r="BF342" i="60" s="1"/>
  <c r="BD31" i="60"/>
  <c r="BF31" i="60" s="1"/>
  <c r="AN193" i="60"/>
  <c r="AP193" i="60" s="1"/>
  <c r="AR193" i="60" s="1"/>
  <c r="AT193" i="60" s="1"/>
  <c r="AV193" i="60" s="1"/>
  <c r="AX193" i="60" s="1"/>
  <c r="AZ193" i="60" s="1"/>
  <c r="BB193" i="60" s="1"/>
  <c r="AU193" i="60"/>
  <c r="AN131" i="60"/>
  <c r="AU131" i="60"/>
  <c r="AN328" i="60"/>
  <c r="AP328" i="60" s="1"/>
  <c r="AR328" i="60" s="1"/>
  <c r="AT328" i="60" s="1"/>
  <c r="AV328" i="60" s="1"/>
  <c r="AX328" i="60" s="1"/>
  <c r="AZ328" i="60" s="1"/>
  <c r="BB328" i="60" s="1"/>
  <c r="AU328" i="60"/>
  <c r="AN195" i="60"/>
  <c r="AP195" i="60" s="1"/>
  <c r="AR195" i="60" s="1"/>
  <c r="AT195" i="60" s="1"/>
  <c r="AV195" i="60" s="1"/>
  <c r="AX195" i="60" s="1"/>
  <c r="AZ195" i="60" s="1"/>
  <c r="BB195" i="60" s="1"/>
  <c r="AU195" i="60"/>
  <c r="AN201" i="60"/>
  <c r="AP201" i="60" s="1"/>
  <c r="AR201" i="60" s="1"/>
  <c r="AT201" i="60" s="1"/>
  <c r="AV201" i="60" s="1"/>
  <c r="AX201" i="60" s="1"/>
  <c r="AZ201" i="60" s="1"/>
  <c r="BB201" i="60" s="1"/>
  <c r="AU201" i="60"/>
  <c r="AN270" i="60"/>
  <c r="AU270" i="60"/>
  <c r="AN135" i="60"/>
  <c r="AP135" i="60" s="1"/>
  <c r="AR135" i="60" s="1"/>
  <c r="AT135" i="60" s="1"/>
  <c r="AV135" i="60" s="1"/>
  <c r="AX135" i="60" s="1"/>
  <c r="AZ135" i="60" s="1"/>
  <c r="BB135" i="60" s="1"/>
  <c r="AU135" i="60"/>
  <c r="Z79" i="60"/>
  <c r="AP79" i="60" s="1"/>
  <c r="AR79" i="60" s="1"/>
  <c r="AT79" i="60" s="1"/>
  <c r="AV79" i="60" s="1"/>
  <c r="AX79" i="60" s="1"/>
  <c r="AZ79" i="60" s="1"/>
  <c r="BB79" i="60" s="1"/>
  <c r="AN142" i="60"/>
  <c r="AP142" i="60" s="1"/>
  <c r="AR142" i="60" s="1"/>
  <c r="AT142" i="60" s="1"/>
  <c r="AV142" i="60" s="1"/>
  <c r="AX142" i="60" s="1"/>
  <c r="AZ142" i="60" s="1"/>
  <c r="BB142" i="60" s="1"/>
  <c r="AU142" i="60"/>
  <c r="S401" i="60"/>
  <c r="AP401" i="60" s="1"/>
  <c r="AR401" i="60" s="1"/>
  <c r="AT401" i="60" s="1"/>
  <c r="AV401" i="60" s="1"/>
  <c r="AX401" i="60" s="1"/>
  <c r="AZ401" i="60" s="1"/>
  <c r="BB401" i="60" s="1"/>
  <c r="AN110" i="60"/>
  <c r="AU110" i="60"/>
  <c r="L371" i="60"/>
  <c r="AN106" i="60"/>
  <c r="AP106" i="60" s="1"/>
  <c r="AR106" i="60" s="1"/>
  <c r="AT106" i="60" s="1"/>
  <c r="AV106" i="60" s="1"/>
  <c r="AX106" i="60" s="1"/>
  <c r="AZ106" i="60" s="1"/>
  <c r="BB106" i="60" s="1"/>
  <c r="AU106" i="60"/>
  <c r="AW357" i="60"/>
  <c r="AU283" i="60"/>
  <c r="AW283" i="60" s="1"/>
  <c r="AP267" i="60"/>
  <c r="AR267" i="60" s="1"/>
  <c r="AT267" i="60" s="1"/>
  <c r="AV267" i="60" s="1"/>
  <c r="AX267" i="60" s="1"/>
  <c r="AZ267" i="60" s="1"/>
  <c r="BB267" i="60" s="1"/>
  <c r="AU215" i="60"/>
  <c r="AW215" i="60" s="1"/>
  <c r="AP247" i="60"/>
  <c r="AR247" i="60" s="1"/>
  <c r="AT247" i="60" s="1"/>
  <c r="AV247" i="60" s="1"/>
  <c r="AX247" i="60" s="1"/>
  <c r="AZ247" i="60" s="1"/>
  <c r="BB247" i="60" s="1"/>
  <c r="BD247" i="60" s="1"/>
  <c r="AU268" i="60"/>
  <c r="AW268" i="60" s="1"/>
  <c r="AP262" i="60"/>
  <c r="AR262" i="60" s="1"/>
  <c r="AT262" i="60" s="1"/>
  <c r="AV262" i="60" s="1"/>
  <c r="AX262" i="60" s="1"/>
  <c r="AZ262" i="60" s="1"/>
  <c r="BB262" i="60" s="1"/>
  <c r="AU83" i="60"/>
  <c r="AW83" i="60" s="1"/>
  <c r="AW372" i="60"/>
  <c r="AW41" i="60"/>
  <c r="AU23" i="60"/>
  <c r="AW23" i="60" s="1"/>
  <c r="BD38" i="60"/>
  <c r="BF38" i="60" s="1"/>
  <c r="BD271" i="60"/>
  <c r="BF271" i="60" s="1"/>
  <c r="AU224" i="60"/>
  <c r="AW224" i="60" s="1"/>
  <c r="AW212" i="60"/>
  <c r="AP220" i="60"/>
  <c r="AR220" i="60" s="1"/>
  <c r="AT220" i="60" s="1"/>
  <c r="AV220" i="60" s="1"/>
  <c r="AX220" i="60" s="1"/>
  <c r="AZ220" i="60" s="1"/>
  <c r="BB220" i="60" s="1"/>
  <c r="AU251" i="60"/>
  <c r="AW251" i="60" s="1"/>
  <c r="AW245" i="60"/>
  <c r="AU397" i="60"/>
  <c r="AW397" i="60" s="1"/>
  <c r="AN139" i="60"/>
  <c r="AP139" i="60" s="1"/>
  <c r="AR139" i="60" s="1"/>
  <c r="AT139" i="60" s="1"/>
  <c r="AV139" i="60" s="1"/>
  <c r="AX139" i="60" s="1"/>
  <c r="AZ139" i="60" s="1"/>
  <c r="BB139" i="60" s="1"/>
  <c r="AU139" i="60"/>
  <c r="AP325" i="60"/>
  <c r="AR325" i="60" s="1"/>
  <c r="AT325" i="60" s="1"/>
  <c r="AV325" i="60" s="1"/>
  <c r="AX325" i="60" s="1"/>
  <c r="AZ325" i="60" s="1"/>
  <c r="BB325" i="60" s="1"/>
  <c r="AP273" i="60"/>
  <c r="AR273" i="60" s="1"/>
  <c r="AT273" i="60" s="1"/>
  <c r="AV273" i="60" s="1"/>
  <c r="AX273" i="60" s="1"/>
  <c r="AZ273" i="60" s="1"/>
  <c r="BB273" i="60" s="1"/>
  <c r="BD273" i="60" s="1"/>
  <c r="AU326" i="60"/>
  <c r="AW326" i="60" s="1"/>
  <c r="AW236" i="60"/>
  <c r="AW37" i="60"/>
  <c r="AW184" i="60"/>
  <c r="AW120" i="60"/>
  <c r="AU228" i="60"/>
  <c r="AW228" i="60" s="1"/>
  <c r="AW343" i="60"/>
  <c r="AU17" i="60"/>
  <c r="AW17" i="60" s="1"/>
  <c r="AP70" i="60"/>
  <c r="AR70" i="60" s="1"/>
  <c r="AT70" i="60" s="1"/>
  <c r="AV70" i="60" s="1"/>
  <c r="AX70" i="60" s="1"/>
  <c r="AZ70" i="60" s="1"/>
  <c r="BB70" i="60" s="1"/>
  <c r="BD70" i="60" s="1"/>
  <c r="AW67" i="60"/>
  <c r="AP284" i="60"/>
  <c r="AR284" i="60" s="1"/>
  <c r="AT284" i="60" s="1"/>
  <c r="AV284" i="60" s="1"/>
  <c r="AX284" i="60" s="1"/>
  <c r="AZ284" i="60" s="1"/>
  <c r="BB284" i="60" s="1"/>
  <c r="BD284" i="60" s="1"/>
  <c r="AU355" i="60"/>
  <c r="AW355" i="60" s="1"/>
  <c r="AW275" i="60"/>
  <c r="AW72" i="60"/>
  <c r="AP353" i="60"/>
  <c r="AR353" i="60" s="1"/>
  <c r="AT353" i="60" s="1"/>
  <c r="AV353" i="60" s="1"/>
  <c r="AX353" i="60" s="1"/>
  <c r="AZ353" i="60" s="1"/>
  <c r="BB353" i="60" s="1"/>
  <c r="BD353" i="60" s="1"/>
  <c r="AU399" i="60"/>
  <c r="AW399" i="60" s="1"/>
  <c r="AW40" i="60"/>
  <c r="AP223" i="60"/>
  <c r="AR223" i="60" s="1"/>
  <c r="AT223" i="60" s="1"/>
  <c r="AV223" i="60" s="1"/>
  <c r="AX223" i="60" s="1"/>
  <c r="AZ223" i="60" s="1"/>
  <c r="BB223" i="60" s="1"/>
  <c r="AP127" i="60"/>
  <c r="AR127" i="60" s="1"/>
  <c r="AT127" i="60" s="1"/>
  <c r="AV127" i="60" s="1"/>
  <c r="AX127" i="60" s="1"/>
  <c r="AZ127" i="60" s="1"/>
  <c r="BB127" i="60" s="1"/>
  <c r="BD127" i="60" s="1"/>
  <c r="AP256" i="60"/>
  <c r="AR256" i="60" s="1"/>
  <c r="AT256" i="60" s="1"/>
  <c r="AV256" i="60" s="1"/>
  <c r="AX256" i="60" s="1"/>
  <c r="AZ256" i="60" s="1"/>
  <c r="BB256" i="60" s="1"/>
  <c r="AU361" i="60"/>
  <c r="AW361" i="60" s="1"/>
  <c r="AW16" i="60"/>
  <c r="AP200" i="60"/>
  <c r="AR200" i="60" s="1"/>
  <c r="AT200" i="60" s="1"/>
  <c r="AV200" i="60" s="1"/>
  <c r="AX200" i="60" s="1"/>
  <c r="AZ200" i="60" s="1"/>
  <c r="BB200" i="60" s="1"/>
  <c r="BD200" i="60" s="1"/>
  <c r="AW74" i="60"/>
  <c r="L380" i="60"/>
  <c r="L285" i="60"/>
  <c r="AN336" i="60"/>
  <c r="AP336" i="60" s="1"/>
  <c r="AR336" i="60" s="1"/>
  <c r="AT336" i="60" s="1"/>
  <c r="AV336" i="60" s="1"/>
  <c r="AX336" i="60" s="1"/>
  <c r="AZ336" i="60" s="1"/>
  <c r="BB336" i="60" s="1"/>
  <c r="AU336" i="60"/>
  <c r="AN137" i="60"/>
  <c r="AP137" i="60" s="1"/>
  <c r="AR137" i="60" s="1"/>
  <c r="AT137" i="60" s="1"/>
  <c r="AV137" i="60" s="1"/>
  <c r="AX137" i="60" s="1"/>
  <c r="AZ137" i="60" s="1"/>
  <c r="BB137" i="60" s="1"/>
  <c r="AU137" i="60"/>
  <c r="S299" i="60"/>
  <c r="AN366" i="60"/>
  <c r="AP366" i="60" s="1"/>
  <c r="AR366" i="60" s="1"/>
  <c r="AT366" i="60" s="1"/>
  <c r="AV366" i="60" s="1"/>
  <c r="AX366" i="60" s="1"/>
  <c r="AZ366" i="60" s="1"/>
  <c r="BB366" i="60" s="1"/>
  <c r="AU366" i="60"/>
  <c r="S237" i="60"/>
  <c r="L373" i="60"/>
  <c r="AN394" i="60"/>
  <c r="AP394" i="60" s="1"/>
  <c r="AR394" i="60" s="1"/>
  <c r="AT394" i="60" s="1"/>
  <c r="AV394" i="60" s="1"/>
  <c r="AX394" i="60" s="1"/>
  <c r="AZ394" i="60" s="1"/>
  <c r="BB394" i="60" s="1"/>
  <c r="AU394" i="60"/>
  <c r="AN374" i="60"/>
  <c r="AP374" i="60" s="1"/>
  <c r="AR374" i="60" s="1"/>
  <c r="AT374" i="60" s="1"/>
  <c r="AV374" i="60" s="1"/>
  <c r="AX374" i="60" s="1"/>
  <c r="AZ374" i="60" s="1"/>
  <c r="BB374" i="60" s="1"/>
  <c r="AU374" i="60"/>
  <c r="AN403" i="60"/>
  <c r="AP403" i="60" s="1"/>
  <c r="AR403" i="60" s="1"/>
  <c r="AT403" i="60" s="1"/>
  <c r="AV403" i="60" s="1"/>
  <c r="AX403" i="60" s="1"/>
  <c r="AZ403" i="60" s="1"/>
  <c r="BB403" i="60" s="1"/>
  <c r="AU403" i="60"/>
  <c r="AN259" i="60"/>
  <c r="AP259" i="60" s="1"/>
  <c r="AR259" i="60" s="1"/>
  <c r="AT259" i="60" s="1"/>
  <c r="AV259" i="60" s="1"/>
  <c r="AX259" i="60" s="1"/>
  <c r="AZ259" i="60" s="1"/>
  <c r="BB259" i="60" s="1"/>
  <c r="AU259" i="60"/>
  <c r="AN175" i="60"/>
  <c r="AP175" i="60" s="1"/>
  <c r="AR175" i="60" s="1"/>
  <c r="AT175" i="60" s="1"/>
  <c r="AV175" i="60" s="1"/>
  <c r="AX175" i="60" s="1"/>
  <c r="AZ175" i="60" s="1"/>
  <c r="BB175" i="60" s="1"/>
  <c r="AU175" i="60"/>
  <c r="Z81" i="60"/>
  <c r="AP274" i="60"/>
  <c r="AR274" i="60" s="1"/>
  <c r="AT274" i="60" s="1"/>
  <c r="AV274" i="60" s="1"/>
  <c r="AX274" i="60" s="1"/>
  <c r="AZ274" i="60" s="1"/>
  <c r="BB274" i="60" s="1"/>
  <c r="AP134" i="60"/>
  <c r="AR134" i="60" s="1"/>
  <c r="AT134" i="60" s="1"/>
  <c r="AV134" i="60" s="1"/>
  <c r="AX134" i="60" s="1"/>
  <c r="AZ134" i="60" s="1"/>
  <c r="BB134" i="60" s="1"/>
  <c r="L297" i="60"/>
  <c r="L349" i="60"/>
  <c r="L331" i="60"/>
  <c r="S51" i="60"/>
  <c r="AP51" i="60" s="1"/>
  <c r="AR51" i="60" s="1"/>
  <c r="AT51" i="60" s="1"/>
  <c r="AV51" i="60" s="1"/>
  <c r="AX51" i="60" s="1"/>
  <c r="AZ51" i="60" s="1"/>
  <c r="BB51" i="60" s="1"/>
  <c r="BD51" i="60" s="1"/>
  <c r="AN233" i="60"/>
  <c r="AP233" i="60" s="1"/>
  <c r="AR233" i="60" s="1"/>
  <c r="AT233" i="60" s="1"/>
  <c r="AV233" i="60" s="1"/>
  <c r="AX233" i="60" s="1"/>
  <c r="AZ233" i="60" s="1"/>
  <c r="BB233" i="60" s="1"/>
  <c r="AU233" i="60"/>
  <c r="Z367" i="60"/>
  <c r="S253" i="60"/>
  <c r="Z321" i="60"/>
  <c r="AU363" i="60"/>
  <c r="AW363" i="60" s="1"/>
  <c r="AU391" i="60"/>
  <c r="AW391" i="60" s="1"/>
  <c r="AP383" i="60"/>
  <c r="AR383" i="60" s="1"/>
  <c r="AT383" i="60" s="1"/>
  <c r="AV383" i="60" s="1"/>
  <c r="AX383" i="60" s="1"/>
  <c r="AZ383" i="60" s="1"/>
  <c r="BB383" i="60" s="1"/>
  <c r="BD383" i="60" s="1"/>
  <c r="BF383" i="60" s="1"/>
  <c r="AP218" i="60"/>
  <c r="AR218" i="60" s="1"/>
  <c r="AT218" i="60" s="1"/>
  <c r="AV218" i="60" s="1"/>
  <c r="AX218" i="60" s="1"/>
  <c r="AZ218" i="60" s="1"/>
  <c r="BB218" i="60" s="1"/>
  <c r="BD218" i="60" s="1"/>
  <c r="AP168" i="60"/>
  <c r="AR168" i="60" s="1"/>
  <c r="AT168" i="60" s="1"/>
  <c r="AV168" i="60" s="1"/>
  <c r="AX168" i="60" s="1"/>
  <c r="AZ168" i="60" s="1"/>
  <c r="BB168" i="60" s="1"/>
  <c r="BD168" i="60" s="1"/>
  <c r="AP340" i="60"/>
  <c r="AR340" i="60" s="1"/>
  <c r="AT340" i="60" s="1"/>
  <c r="AV340" i="60" s="1"/>
  <c r="AX340" i="60" s="1"/>
  <c r="AZ340" i="60" s="1"/>
  <c r="BB340" i="60" s="1"/>
  <c r="BD340" i="60" s="1"/>
  <c r="AW356" i="60"/>
  <c r="AP311" i="60"/>
  <c r="AR311" i="60" s="1"/>
  <c r="AT311" i="60" s="1"/>
  <c r="AV311" i="60" s="1"/>
  <c r="AX311" i="60" s="1"/>
  <c r="AZ311" i="60" s="1"/>
  <c r="BB311" i="60" s="1"/>
  <c r="AP286" i="60"/>
  <c r="AR286" i="60" s="1"/>
  <c r="AT286" i="60" s="1"/>
  <c r="AV286" i="60" s="1"/>
  <c r="AX286" i="60" s="1"/>
  <c r="AZ286" i="60" s="1"/>
  <c r="BB286" i="60" s="1"/>
  <c r="AP293" i="60"/>
  <c r="AR293" i="60" s="1"/>
  <c r="AT293" i="60" s="1"/>
  <c r="AV293" i="60" s="1"/>
  <c r="AX293" i="60" s="1"/>
  <c r="AZ293" i="60" s="1"/>
  <c r="BB293" i="60" s="1"/>
  <c r="BD293" i="60" s="1"/>
  <c r="AP226" i="60"/>
  <c r="AR226" i="60" s="1"/>
  <c r="AT226" i="60" s="1"/>
  <c r="AV226" i="60" s="1"/>
  <c r="AX226" i="60" s="1"/>
  <c r="AZ226" i="60" s="1"/>
  <c r="BB226" i="60" s="1"/>
  <c r="AP25" i="60"/>
  <c r="AR25" i="60" s="1"/>
  <c r="AT25" i="60" s="1"/>
  <c r="AV25" i="60" s="1"/>
  <c r="AX25" i="60" s="1"/>
  <c r="AZ25" i="60" s="1"/>
  <c r="BB25" i="60" s="1"/>
  <c r="AP377" i="60"/>
  <c r="AR377" i="60" s="1"/>
  <c r="AT377" i="60" s="1"/>
  <c r="AV377" i="60" s="1"/>
  <c r="AX377" i="60" s="1"/>
  <c r="AZ377" i="60" s="1"/>
  <c r="BB377" i="60" s="1"/>
  <c r="AP47" i="60"/>
  <c r="AR47" i="60" s="1"/>
  <c r="AT47" i="60" s="1"/>
  <c r="AV47" i="60" s="1"/>
  <c r="AX47" i="60" s="1"/>
  <c r="AZ47" i="60" s="1"/>
  <c r="BB47" i="60" s="1"/>
  <c r="BD47" i="60" s="1"/>
  <c r="BF47" i="60" s="1"/>
  <c r="AP318" i="60"/>
  <c r="AR318" i="60" s="1"/>
  <c r="AT318" i="60" s="1"/>
  <c r="AV318" i="60" s="1"/>
  <c r="AX318" i="60" s="1"/>
  <c r="AZ318" i="60" s="1"/>
  <c r="BB318" i="60" s="1"/>
  <c r="BD318" i="60" s="1"/>
  <c r="AP162" i="60"/>
  <c r="AR162" i="60" s="1"/>
  <c r="AT162" i="60" s="1"/>
  <c r="AV162" i="60" s="1"/>
  <c r="AX162" i="60" s="1"/>
  <c r="AZ162" i="60" s="1"/>
  <c r="BB162" i="60" s="1"/>
  <c r="BD162" i="60" s="1"/>
  <c r="AP46" i="60"/>
  <c r="AR46" i="60" s="1"/>
  <c r="AT46" i="60" s="1"/>
  <c r="AV46" i="60" s="1"/>
  <c r="AX46" i="60" s="1"/>
  <c r="AZ46" i="60" s="1"/>
  <c r="BB46" i="60" s="1"/>
  <c r="BD46" i="60" s="1"/>
  <c r="AU239" i="60"/>
  <c r="AW239" i="60" s="1"/>
  <c r="AU182" i="60"/>
  <c r="AW182" i="60" s="1"/>
  <c r="AW178" i="60"/>
  <c r="AW136" i="60"/>
  <c r="AU56" i="60"/>
  <c r="AW56" i="60" s="1"/>
  <c r="AP22" i="60"/>
  <c r="AR22" i="60" s="1"/>
  <c r="AT22" i="60" s="1"/>
  <c r="AV22" i="60" s="1"/>
  <c r="AX22" i="60" s="1"/>
  <c r="AZ22" i="60" s="1"/>
  <c r="BB22" i="60" s="1"/>
  <c r="BD22" i="60" s="1"/>
  <c r="BF22" i="60" s="1"/>
  <c r="AU231" i="60"/>
  <c r="AW231" i="60" s="1"/>
  <c r="Z378" i="60"/>
  <c r="AP378" i="60" s="1"/>
  <c r="AR378" i="60" s="1"/>
  <c r="AT378" i="60" s="1"/>
  <c r="AV378" i="60" s="1"/>
  <c r="AX378" i="60" s="1"/>
  <c r="AZ378" i="60" s="1"/>
  <c r="BB378" i="60" s="1"/>
  <c r="BD378" i="60" s="1"/>
  <c r="AP66" i="60"/>
  <c r="AR66" i="60" s="1"/>
  <c r="AT66" i="60" s="1"/>
  <c r="AV66" i="60" s="1"/>
  <c r="AX66" i="60" s="1"/>
  <c r="AZ66" i="60" s="1"/>
  <c r="BB66" i="60" s="1"/>
  <c r="BD66" i="60" s="1"/>
  <c r="BF66" i="60" s="1"/>
  <c r="BD80" i="60"/>
  <c r="BF80" i="60" s="1"/>
  <c r="AW101" i="60"/>
  <c r="BD211" i="60"/>
  <c r="BF211" i="60" s="1"/>
  <c r="AP392" i="60"/>
  <c r="AR392" i="60" s="1"/>
  <c r="AT392" i="60" s="1"/>
  <c r="AV392" i="60" s="1"/>
  <c r="AX392" i="60" s="1"/>
  <c r="AZ392" i="60" s="1"/>
  <c r="BB392" i="60" s="1"/>
  <c r="BD392" i="60" s="1"/>
  <c r="BF392" i="60" s="1"/>
  <c r="BD229" i="60"/>
  <c r="BF229" i="60" s="1"/>
  <c r="AW36" i="60"/>
  <c r="AW44" i="60"/>
  <c r="AN157" i="60"/>
  <c r="AP157" i="60" s="1"/>
  <c r="AR157" i="60" s="1"/>
  <c r="AT157" i="60" s="1"/>
  <c r="AV157" i="60" s="1"/>
  <c r="AX157" i="60" s="1"/>
  <c r="AZ157" i="60" s="1"/>
  <c r="BB157" i="60" s="1"/>
  <c r="AU157" i="60"/>
  <c r="AN104" i="60"/>
  <c r="AP104" i="60" s="1"/>
  <c r="AR104" i="60" s="1"/>
  <c r="AT104" i="60" s="1"/>
  <c r="AV104" i="60" s="1"/>
  <c r="AX104" i="60" s="1"/>
  <c r="AZ104" i="60" s="1"/>
  <c r="BB104" i="60" s="1"/>
  <c r="AU104" i="60"/>
  <c r="AN171" i="60"/>
  <c r="AP171" i="60" s="1"/>
  <c r="AR171" i="60" s="1"/>
  <c r="AT171" i="60" s="1"/>
  <c r="AV171" i="60" s="1"/>
  <c r="AX171" i="60" s="1"/>
  <c r="AZ171" i="60" s="1"/>
  <c r="BB171" i="60" s="1"/>
  <c r="AU171" i="60"/>
  <c r="AN402" i="60"/>
  <c r="AP402" i="60" s="1"/>
  <c r="AR402" i="60" s="1"/>
  <c r="AT402" i="60" s="1"/>
  <c r="AV402" i="60" s="1"/>
  <c r="AX402" i="60" s="1"/>
  <c r="AZ402" i="60" s="1"/>
  <c r="BB402" i="60" s="1"/>
  <c r="AU402" i="60"/>
  <c r="AN323" i="60"/>
  <c r="AP323" i="60" s="1"/>
  <c r="AR323" i="60" s="1"/>
  <c r="AT323" i="60" s="1"/>
  <c r="AV323" i="60" s="1"/>
  <c r="AX323" i="60" s="1"/>
  <c r="AZ323" i="60" s="1"/>
  <c r="BB323" i="60" s="1"/>
  <c r="AU323" i="60"/>
  <c r="AN225" i="60"/>
  <c r="AU225" i="60"/>
  <c r="AN216" i="60"/>
  <c r="AP216" i="60" s="1"/>
  <c r="AR216" i="60" s="1"/>
  <c r="AT216" i="60" s="1"/>
  <c r="AV216" i="60" s="1"/>
  <c r="AX216" i="60" s="1"/>
  <c r="AZ216" i="60" s="1"/>
  <c r="BB216" i="60" s="1"/>
  <c r="AU216" i="60"/>
  <c r="AN205" i="60"/>
  <c r="AP205" i="60" s="1"/>
  <c r="AR205" i="60" s="1"/>
  <c r="AT205" i="60" s="1"/>
  <c r="AV205" i="60" s="1"/>
  <c r="AX205" i="60" s="1"/>
  <c r="AZ205" i="60" s="1"/>
  <c r="BB205" i="60" s="1"/>
  <c r="AU205" i="60"/>
  <c r="AN129" i="60"/>
  <c r="AP129" i="60" s="1"/>
  <c r="AR129" i="60" s="1"/>
  <c r="AT129" i="60" s="1"/>
  <c r="AV129" i="60" s="1"/>
  <c r="AX129" i="60" s="1"/>
  <c r="AZ129" i="60" s="1"/>
  <c r="BB129" i="60" s="1"/>
  <c r="AU129" i="60"/>
  <c r="L185" i="60"/>
  <c r="L102" i="60"/>
  <c r="AP102" i="60" s="1"/>
  <c r="AR102" i="60" s="1"/>
  <c r="AT102" i="60" s="1"/>
  <c r="AV102" i="60" s="1"/>
  <c r="AX102" i="60" s="1"/>
  <c r="AZ102" i="60" s="1"/>
  <c r="BB102" i="60" s="1"/>
  <c r="BD102" i="60" s="1"/>
  <c r="AN141" i="60"/>
  <c r="AP141" i="60" s="1"/>
  <c r="AR141" i="60" s="1"/>
  <c r="AT141" i="60" s="1"/>
  <c r="AV141" i="60" s="1"/>
  <c r="AX141" i="60" s="1"/>
  <c r="AZ141" i="60" s="1"/>
  <c r="BB141" i="60" s="1"/>
  <c r="AU141" i="60"/>
  <c r="AN345" i="60"/>
  <c r="AP345" i="60" s="1"/>
  <c r="AR345" i="60" s="1"/>
  <c r="AT345" i="60" s="1"/>
  <c r="AV345" i="60" s="1"/>
  <c r="AX345" i="60" s="1"/>
  <c r="AZ345" i="60" s="1"/>
  <c r="BB345" i="60" s="1"/>
  <c r="AU345" i="60"/>
  <c r="AN382" i="60"/>
  <c r="AP382" i="60" s="1"/>
  <c r="AR382" i="60" s="1"/>
  <c r="AT382" i="60" s="1"/>
  <c r="AV382" i="60" s="1"/>
  <c r="AX382" i="60" s="1"/>
  <c r="AZ382" i="60" s="1"/>
  <c r="BB382" i="60" s="1"/>
  <c r="AU382" i="60"/>
  <c r="AN151" i="60"/>
  <c r="AP151" i="60" s="1"/>
  <c r="AR151" i="60" s="1"/>
  <c r="AT151" i="60" s="1"/>
  <c r="AV151" i="60" s="1"/>
  <c r="AX151" i="60" s="1"/>
  <c r="AZ151" i="60" s="1"/>
  <c r="BB151" i="60" s="1"/>
  <c r="AU151" i="60"/>
  <c r="AN207" i="60"/>
  <c r="AP207" i="60" s="1"/>
  <c r="AR207" i="60" s="1"/>
  <c r="AT207" i="60" s="1"/>
  <c r="AV207" i="60" s="1"/>
  <c r="AX207" i="60" s="1"/>
  <c r="AZ207" i="60" s="1"/>
  <c r="BB207" i="60" s="1"/>
  <c r="AU207" i="60"/>
  <c r="S119" i="60"/>
  <c r="AW119" i="60" s="1"/>
  <c r="AN219" i="60"/>
  <c r="AU219" i="60"/>
  <c r="AN214" i="60"/>
  <c r="AP214" i="60" s="1"/>
  <c r="AR214" i="60" s="1"/>
  <c r="AT214" i="60" s="1"/>
  <c r="AV214" i="60" s="1"/>
  <c r="AX214" i="60" s="1"/>
  <c r="AZ214" i="60" s="1"/>
  <c r="BB214" i="60" s="1"/>
  <c r="AU214" i="60"/>
  <c r="AN147" i="60"/>
  <c r="AP147" i="60" s="1"/>
  <c r="AR147" i="60" s="1"/>
  <c r="AT147" i="60" s="1"/>
  <c r="AV147" i="60" s="1"/>
  <c r="AX147" i="60" s="1"/>
  <c r="AZ147" i="60" s="1"/>
  <c r="BB147" i="60" s="1"/>
  <c r="AU147" i="60"/>
  <c r="AN89" i="60"/>
  <c r="AP89" i="60" s="1"/>
  <c r="AR89" i="60" s="1"/>
  <c r="AT89" i="60" s="1"/>
  <c r="AV89" i="60" s="1"/>
  <c r="AX89" i="60" s="1"/>
  <c r="AZ89" i="60" s="1"/>
  <c r="BB89" i="60" s="1"/>
  <c r="AU89" i="60"/>
  <c r="AN324" i="60"/>
  <c r="AP324" i="60" s="1"/>
  <c r="AR324" i="60" s="1"/>
  <c r="AT324" i="60" s="1"/>
  <c r="AV324" i="60" s="1"/>
  <c r="AX324" i="60" s="1"/>
  <c r="AZ324" i="60" s="1"/>
  <c r="BB324" i="60" s="1"/>
  <c r="AU324" i="60"/>
  <c r="AP357" i="60"/>
  <c r="AR357" i="60" s="1"/>
  <c r="AT357" i="60" s="1"/>
  <c r="AV357" i="60" s="1"/>
  <c r="AX357" i="60" s="1"/>
  <c r="AZ357" i="60" s="1"/>
  <c r="BB357" i="60" s="1"/>
  <c r="BD357" i="60" s="1"/>
  <c r="BF357" i="60" s="1"/>
  <c r="AP144" i="60"/>
  <c r="AR144" i="60" s="1"/>
  <c r="AT144" i="60" s="1"/>
  <c r="AV144" i="60" s="1"/>
  <c r="AX144" i="60" s="1"/>
  <c r="AZ144" i="60" s="1"/>
  <c r="BB144" i="60" s="1"/>
  <c r="BD144" i="60" s="1"/>
  <c r="BF144" i="60" s="1"/>
  <c r="AP283" i="60"/>
  <c r="AR283" i="60" s="1"/>
  <c r="AT283" i="60" s="1"/>
  <c r="AV283" i="60" s="1"/>
  <c r="AX283" i="60" s="1"/>
  <c r="AZ283" i="60" s="1"/>
  <c r="BB283" i="60" s="1"/>
  <c r="BD283" i="60" s="1"/>
  <c r="BF283" i="60" s="1"/>
  <c r="AP128" i="60"/>
  <c r="AR128" i="60" s="1"/>
  <c r="AT128" i="60" s="1"/>
  <c r="AV128" i="60" s="1"/>
  <c r="AX128" i="60" s="1"/>
  <c r="AZ128" i="60" s="1"/>
  <c r="BB128" i="60" s="1"/>
  <c r="BD128" i="60" s="1"/>
  <c r="BF128" i="60" s="1"/>
  <c r="BD27" i="60"/>
  <c r="BF27" i="60" s="1"/>
  <c r="AW277" i="60"/>
  <c r="AW145" i="60"/>
  <c r="AU244" i="60"/>
  <c r="AW244" i="60" s="1"/>
  <c r="AW96" i="60"/>
  <c r="AP246" i="60"/>
  <c r="AR246" i="60" s="1"/>
  <c r="AT246" i="60" s="1"/>
  <c r="AV246" i="60" s="1"/>
  <c r="AX246" i="60" s="1"/>
  <c r="AZ246" i="60" s="1"/>
  <c r="BB246" i="60" s="1"/>
  <c r="BD246" i="60" s="1"/>
  <c r="BF246" i="60" s="1"/>
  <c r="AP215" i="60"/>
  <c r="AR215" i="60" s="1"/>
  <c r="AT215" i="60" s="1"/>
  <c r="AV215" i="60" s="1"/>
  <c r="AX215" i="60" s="1"/>
  <c r="AZ215" i="60" s="1"/>
  <c r="BB215" i="60" s="1"/>
  <c r="BD215" i="60" s="1"/>
  <c r="BF215" i="60" s="1"/>
  <c r="AP268" i="60"/>
  <c r="AR268" i="60" s="1"/>
  <c r="AT268" i="60" s="1"/>
  <c r="AV268" i="60" s="1"/>
  <c r="AX268" i="60" s="1"/>
  <c r="AZ268" i="60" s="1"/>
  <c r="BB268" i="60" s="1"/>
  <c r="BD268" i="60" s="1"/>
  <c r="BF268" i="60" s="1"/>
  <c r="AU348" i="60"/>
  <c r="AW348" i="60" s="1"/>
  <c r="AP83" i="60"/>
  <c r="AR83" i="60" s="1"/>
  <c r="AT83" i="60" s="1"/>
  <c r="AV83" i="60" s="1"/>
  <c r="AX83" i="60" s="1"/>
  <c r="AZ83" i="60" s="1"/>
  <c r="BB83" i="60" s="1"/>
  <c r="BD83" i="60" s="1"/>
  <c r="BF83" i="60" s="1"/>
  <c r="BD272" i="60"/>
  <c r="BF272" i="60" s="1"/>
  <c r="AP372" i="60"/>
  <c r="AR372" i="60" s="1"/>
  <c r="AT372" i="60" s="1"/>
  <c r="AV372" i="60" s="1"/>
  <c r="AX372" i="60" s="1"/>
  <c r="AZ372" i="60" s="1"/>
  <c r="BB372" i="60" s="1"/>
  <c r="BD372" i="60" s="1"/>
  <c r="BF372" i="60" s="1"/>
  <c r="AP41" i="60"/>
  <c r="AR41" i="60" s="1"/>
  <c r="AT41" i="60" s="1"/>
  <c r="AV41" i="60" s="1"/>
  <c r="AX41" i="60" s="1"/>
  <c r="AZ41" i="60" s="1"/>
  <c r="BB41" i="60" s="1"/>
  <c r="BD41" i="60" s="1"/>
  <c r="BF41" i="60" s="1"/>
  <c r="AW369" i="60"/>
  <c r="AP23" i="60"/>
  <c r="AR23" i="60" s="1"/>
  <c r="AT23" i="60" s="1"/>
  <c r="AV23" i="60" s="1"/>
  <c r="AX23" i="60" s="1"/>
  <c r="AZ23" i="60" s="1"/>
  <c r="BB23" i="60" s="1"/>
  <c r="BD23" i="60" s="1"/>
  <c r="BF23" i="60" s="1"/>
  <c r="AW48" i="60"/>
  <c r="BD370" i="60"/>
  <c r="BF370" i="60" s="1"/>
  <c r="AP227" i="60"/>
  <c r="AR227" i="60" s="1"/>
  <c r="AT227" i="60" s="1"/>
  <c r="AV227" i="60" s="1"/>
  <c r="AX227" i="60" s="1"/>
  <c r="AZ227" i="60" s="1"/>
  <c r="BB227" i="60" s="1"/>
  <c r="BD227" i="60" s="1"/>
  <c r="BF227" i="60" s="1"/>
  <c r="AU143" i="60"/>
  <c r="AW143" i="60" s="1"/>
  <c r="AU258" i="60"/>
  <c r="AW258" i="60" s="1"/>
  <c r="AP224" i="60"/>
  <c r="AR224" i="60" s="1"/>
  <c r="AT224" i="60" s="1"/>
  <c r="AV224" i="60" s="1"/>
  <c r="AX224" i="60" s="1"/>
  <c r="AZ224" i="60" s="1"/>
  <c r="BB224" i="60" s="1"/>
  <c r="BD224" i="60" s="1"/>
  <c r="BF224" i="60" s="1"/>
  <c r="AP212" i="60"/>
  <c r="AR212" i="60" s="1"/>
  <c r="AT212" i="60" s="1"/>
  <c r="AV212" i="60" s="1"/>
  <c r="AX212" i="60" s="1"/>
  <c r="AZ212" i="60" s="1"/>
  <c r="BB212" i="60" s="1"/>
  <c r="BD212" i="60" s="1"/>
  <c r="BF212" i="60" s="1"/>
  <c r="AW358" i="60"/>
  <c r="AP251" i="60"/>
  <c r="AR251" i="60" s="1"/>
  <c r="AT251" i="60" s="1"/>
  <c r="AV251" i="60" s="1"/>
  <c r="AX251" i="60" s="1"/>
  <c r="AZ251" i="60" s="1"/>
  <c r="BB251" i="60" s="1"/>
  <c r="BD251" i="60" s="1"/>
  <c r="BF251" i="60" s="1"/>
  <c r="AW75" i="60"/>
  <c r="AP245" i="60"/>
  <c r="AR245" i="60" s="1"/>
  <c r="AT245" i="60" s="1"/>
  <c r="AV245" i="60" s="1"/>
  <c r="AX245" i="60" s="1"/>
  <c r="AZ245" i="60" s="1"/>
  <c r="BB245" i="60" s="1"/>
  <c r="BD245" i="60" s="1"/>
  <c r="BF245" i="60" s="1"/>
  <c r="AW209" i="60"/>
  <c r="AP109" i="60"/>
  <c r="AR109" i="60" s="1"/>
  <c r="AT109" i="60" s="1"/>
  <c r="AV109" i="60" s="1"/>
  <c r="AX109" i="60" s="1"/>
  <c r="AZ109" i="60" s="1"/>
  <c r="BB109" i="60" s="1"/>
  <c r="BD109" i="60" s="1"/>
  <c r="BF109" i="60" s="1"/>
  <c r="L364" i="60"/>
  <c r="AN398" i="60"/>
  <c r="AP398" i="60" s="1"/>
  <c r="AR398" i="60" s="1"/>
  <c r="AT398" i="60" s="1"/>
  <c r="AV398" i="60" s="1"/>
  <c r="AX398" i="60" s="1"/>
  <c r="AZ398" i="60" s="1"/>
  <c r="BB398" i="60" s="1"/>
  <c r="AU398" i="60"/>
  <c r="S276" i="60"/>
  <c r="AU255" i="60"/>
  <c r="AW255" i="60" s="1"/>
  <c r="Z368" i="60"/>
  <c r="AP368" i="60" s="1"/>
  <c r="AR368" i="60" s="1"/>
  <c r="AT368" i="60" s="1"/>
  <c r="AV368" i="60" s="1"/>
  <c r="AX368" i="60" s="1"/>
  <c r="AZ368" i="60" s="1"/>
  <c r="BB368" i="60" s="1"/>
  <c r="BD368" i="60" s="1"/>
  <c r="AN291" i="60"/>
  <c r="AP291" i="60" s="1"/>
  <c r="AR291" i="60" s="1"/>
  <c r="AT291" i="60" s="1"/>
  <c r="AV291" i="60" s="1"/>
  <c r="AX291" i="60" s="1"/>
  <c r="AZ291" i="60" s="1"/>
  <c r="BB291" i="60" s="1"/>
  <c r="AU291" i="60"/>
  <c r="AW117" i="60"/>
  <c r="AU344" i="60"/>
  <c r="AW344" i="60" s="1"/>
  <c r="AU242" i="60"/>
  <c r="AW242" i="60" s="1"/>
  <c r="AP326" i="60"/>
  <c r="AR326" i="60" s="1"/>
  <c r="AT326" i="60" s="1"/>
  <c r="AV326" i="60" s="1"/>
  <c r="AX326" i="60" s="1"/>
  <c r="AZ326" i="60" s="1"/>
  <c r="BB326" i="60" s="1"/>
  <c r="BD326" i="60" s="1"/>
  <c r="BF326" i="60" s="1"/>
  <c r="AU238" i="60"/>
  <c r="AW238" i="60" s="1"/>
  <c r="AP236" i="60"/>
  <c r="AR236" i="60" s="1"/>
  <c r="AT236" i="60" s="1"/>
  <c r="AV236" i="60" s="1"/>
  <c r="AX236" i="60" s="1"/>
  <c r="AZ236" i="60" s="1"/>
  <c r="BB236" i="60" s="1"/>
  <c r="BD236" i="60" s="1"/>
  <c r="BF236" i="60" s="1"/>
  <c r="AP37" i="60"/>
  <c r="AR37" i="60" s="1"/>
  <c r="AT37" i="60" s="1"/>
  <c r="AV37" i="60" s="1"/>
  <c r="AX37" i="60" s="1"/>
  <c r="AZ37" i="60" s="1"/>
  <c r="BB37" i="60" s="1"/>
  <c r="BD37" i="60" s="1"/>
  <c r="BF37" i="60" s="1"/>
  <c r="AP184" i="60"/>
  <c r="AR184" i="60" s="1"/>
  <c r="AT184" i="60" s="1"/>
  <c r="AV184" i="60" s="1"/>
  <c r="AX184" i="60" s="1"/>
  <c r="AZ184" i="60" s="1"/>
  <c r="BB184" i="60" s="1"/>
  <c r="BD184" i="60" s="1"/>
  <c r="BF184" i="60" s="1"/>
  <c r="AP120" i="60"/>
  <c r="AR120" i="60" s="1"/>
  <c r="AT120" i="60" s="1"/>
  <c r="AV120" i="60" s="1"/>
  <c r="AX120" i="60" s="1"/>
  <c r="AZ120" i="60" s="1"/>
  <c r="BB120" i="60" s="1"/>
  <c r="BD120" i="60" s="1"/>
  <c r="BF120" i="60" s="1"/>
  <c r="AP228" i="60"/>
  <c r="AR228" i="60" s="1"/>
  <c r="AT228" i="60" s="1"/>
  <c r="AV228" i="60" s="1"/>
  <c r="AX228" i="60" s="1"/>
  <c r="AZ228" i="60" s="1"/>
  <c r="BB228" i="60" s="1"/>
  <c r="BD228" i="60" s="1"/>
  <c r="BF228" i="60" s="1"/>
  <c r="AP343" i="60"/>
  <c r="AR343" i="60" s="1"/>
  <c r="AT343" i="60" s="1"/>
  <c r="AV343" i="60" s="1"/>
  <c r="AX343" i="60" s="1"/>
  <c r="AZ343" i="60" s="1"/>
  <c r="BB343" i="60" s="1"/>
  <c r="BD343" i="60" s="1"/>
  <c r="BF343" i="60" s="1"/>
  <c r="AW69" i="60"/>
  <c r="AU53" i="60"/>
  <c r="AW53" i="60" s="1"/>
  <c r="AW29" i="60"/>
  <c r="AP17" i="60"/>
  <c r="AR17" i="60" s="1"/>
  <c r="AT17" i="60" s="1"/>
  <c r="AV17" i="60" s="1"/>
  <c r="AX17" i="60" s="1"/>
  <c r="AZ17" i="60" s="1"/>
  <c r="BB17" i="60" s="1"/>
  <c r="BD17" i="60" s="1"/>
  <c r="BF17" i="60" s="1"/>
  <c r="AW19" i="60"/>
  <c r="AP67" i="60"/>
  <c r="AR67" i="60" s="1"/>
  <c r="AT67" i="60" s="1"/>
  <c r="AV67" i="60" s="1"/>
  <c r="AX67" i="60" s="1"/>
  <c r="AZ67" i="60" s="1"/>
  <c r="BB67" i="60" s="1"/>
  <c r="BD67" i="60" s="1"/>
  <c r="BF67" i="60" s="1"/>
  <c r="AU376" i="60"/>
  <c r="AW376" i="60" s="1"/>
  <c r="AW297" i="60"/>
  <c r="AW240" i="60"/>
  <c r="AW86" i="60"/>
  <c r="AU250" i="60"/>
  <c r="AW250" i="60" s="1"/>
  <c r="AP355" i="60"/>
  <c r="AR355" i="60" s="1"/>
  <c r="AT355" i="60" s="1"/>
  <c r="AV355" i="60" s="1"/>
  <c r="AX355" i="60" s="1"/>
  <c r="AZ355" i="60" s="1"/>
  <c r="BB355" i="60" s="1"/>
  <c r="BD355" i="60" s="1"/>
  <c r="BF355" i="60" s="1"/>
  <c r="AP275" i="60"/>
  <c r="AR275" i="60" s="1"/>
  <c r="AT275" i="60" s="1"/>
  <c r="AV275" i="60" s="1"/>
  <c r="AX275" i="60" s="1"/>
  <c r="AZ275" i="60" s="1"/>
  <c r="BB275" i="60" s="1"/>
  <c r="BD275" i="60" s="1"/>
  <c r="BF275" i="60" s="1"/>
  <c r="AP72" i="60"/>
  <c r="AR72" i="60" s="1"/>
  <c r="AT72" i="60" s="1"/>
  <c r="AV72" i="60" s="1"/>
  <c r="AX72" i="60" s="1"/>
  <c r="AZ72" i="60" s="1"/>
  <c r="BB72" i="60" s="1"/>
  <c r="BD72" i="60" s="1"/>
  <c r="BF72" i="60" s="1"/>
  <c r="AW390" i="60"/>
  <c r="AW367" i="60"/>
  <c r="AP399" i="60"/>
  <c r="AR399" i="60" s="1"/>
  <c r="AT399" i="60" s="1"/>
  <c r="AV399" i="60" s="1"/>
  <c r="AX399" i="60" s="1"/>
  <c r="AZ399" i="60" s="1"/>
  <c r="BB399" i="60" s="1"/>
  <c r="BD399" i="60" s="1"/>
  <c r="BF399" i="60" s="1"/>
  <c r="AU167" i="60"/>
  <c r="AW167" i="60" s="1"/>
  <c r="BD99" i="60"/>
  <c r="BF99" i="60" s="1"/>
  <c r="AP40" i="60"/>
  <c r="AR40" i="60" s="1"/>
  <c r="AT40" i="60" s="1"/>
  <c r="AV40" i="60" s="1"/>
  <c r="AX40" i="60" s="1"/>
  <c r="AZ40" i="60" s="1"/>
  <c r="BB40" i="60" s="1"/>
  <c r="BD40" i="60" s="1"/>
  <c r="BF40" i="60" s="1"/>
  <c r="AU264" i="60"/>
  <c r="AW264" i="60" s="1"/>
  <c r="AP361" i="60"/>
  <c r="AR361" i="60" s="1"/>
  <c r="AT361" i="60" s="1"/>
  <c r="AV361" i="60" s="1"/>
  <c r="AX361" i="60" s="1"/>
  <c r="AZ361" i="60" s="1"/>
  <c r="BB361" i="60" s="1"/>
  <c r="BD361" i="60" s="1"/>
  <c r="BF361" i="60" s="1"/>
  <c r="AW21" i="60"/>
  <c r="AP16" i="60"/>
  <c r="AR16" i="60" s="1"/>
  <c r="AT16" i="60" s="1"/>
  <c r="AV16" i="60" s="1"/>
  <c r="AX16" i="60" s="1"/>
  <c r="AZ16" i="60" s="1"/>
  <c r="BB16" i="60" s="1"/>
  <c r="BD16" i="60" s="1"/>
  <c r="BF16" i="60" s="1"/>
  <c r="AW64" i="60"/>
  <c r="AN331" i="60"/>
  <c r="AP331" i="60" s="1"/>
  <c r="AR331" i="60" s="1"/>
  <c r="AT331" i="60" s="1"/>
  <c r="AV331" i="60" s="1"/>
  <c r="AX331" i="60" s="1"/>
  <c r="AZ331" i="60" s="1"/>
  <c r="BB331" i="60" s="1"/>
  <c r="AU331" i="60"/>
  <c r="AN95" i="60"/>
  <c r="AP95" i="60" s="1"/>
  <c r="AR95" i="60" s="1"/>
  <c r="AT95" i="60" s="1"/>
  <c r="AV95" i="60" s="1"/>
  <c r="AX95" i="60" s="1"/>
  <c r="AZ95" i="60" s="1"/>
  <c r="BB95" i="60" s="1"/>
  <c r="AU95" i="60"/>
  <c r="AN337" i="60"/>
  <c r="AP337" i="60" s="1"/>
  <c r="AR337" i="60" s="1"/>
  <c r="AT337" i="60" s="1"/>
  <c r="AV337" i="60" s="1"/>
  <c r="AX337" i="60" s="1"/>
  <c r="AZ337" i="60" s="1"/>
  <c r="BB337" i="60" s="1"/>
  <c r="AU337" i="60"/>
  <c r="AN290" i="60"/>
  <c r="AP290" i="60" s="1"/>
  <c r="AR290" i="60" s="1"/>
  <c r="AT290" i="60" s="1"/>
  <c r="AV290" i="60" s="1"/>
  <c r="AX290" i="60" s="1"/>
  <c r="AZ290" i="60" s="1"/>
  <c r="BB290" i="60" s="1"/>
  <c r="AU290" i="60"/>
  <c r="S393" i="60"/>
  <c r="AP393" i="60" s="1"/>
  <c r="AR393" i="60" s="1"/>
  <c r="AT393" i="60" s="1"/>
  <c r="AV393" i="60" s="1"/>
  <c r="AX393" i="60" s="1"/>
  <c r="AZ393" i="60" s="1"/>
  <c r="BB393" i="60" s="1"/>
  <c r="BD393" i="60" s="1"/>
  <c r="L74" i="60"/>
  <c r="AP74" i="60" s="1"/>
  <c r="AR74" i="60" s="1"/>
  <c r="AT74" i="60" s="1"/>
  <c r="AV74" i="60" s="1"/>
  <c r="AX74" i="60" s="1"/>
  <c r="AZ74" i="60" s="1"/>
  <c r="BB74" i="60" s="1"/>
  <c r="BD74" i="60" s="1"/>
  <c r="BF74" i="60" s="1"/>
  <c r="AN375" i="60"/>
  <c r="AP375" i="60" s="1"/>
  <c r="AR375" i="60" s="1"/>
  <c r="AT375" i="60" s="1"/>
  <c r="AV375" i="60" s="1"/>
  <c r="AX375" i="60" s="1"/>
  <c r="AZ375" i="60" s="1"/>
  <c r="BB375" i="60" s="1"/>
  <c r="AU375" i="60"/>
  <c r="L33" i="60"/>
  <c r="AP33" i="60" s="1"/>
  <c r="AR33" i="60" s="1"/>
  <c r="AT33" i="60" s="1"/>
  <c r="AV33" i="60" s="1"/>
  <c r="AX33" i="60" s="1"/>
  <c r="AZ33" i="60" s="1"/>
  <c r="BB33" i="60" s="1"/>
  <c r="BD33" i="60" s="1"/>
  <c r="BF33" i="60" s="1"/>
  <c r="AN122" i="60"/>
  <c r="AP122" i="60" s="1"/>
  <c r="AR122" i="60" s="1"/>
  <c r="AT122" i="60" s="1"/>
  <c r="AV122" i="60" s="1"/>
  <c r="AX122" i="60" s="1"/>
  <c r="AZ122" i="60" s="1"/>
  <c r="BB122" i="60" s="1"/>
  <c r="AU122" i="60"/>
  <c r="Z265" i="60"/>
  <c r="AW265" i="60" s="1"/>
  <c r="AN125" i="60"/>
  <c r="AP125" i="60" s="1"/>
  <c r="AR125" i="60" s="1"/>
  <c r="AT125" i="60" s="1"/>
  <c r="AV125" i="60" s="1"/>
  <c r="AX125" i="60" s="1"/>
  <c r="AZ125" i="60" s="1"/>
  <c r="BB125" i="60" s="1"/>
  <c r="AU125" i="60"/>
  <c r="AN213" i="60"/>
  <c r="AP213" i="60" s="1"/>
  <c r="AR213" i="60" s="1"/>
  <c r="AT213" i="60" s="1"/>
  <c r="AV213" i="60" s="1"/>
  <c r="AX213" i="60" s="1"/>
  <c r="AZ213" i="60" s="1"/>
  <c r="BB213" i="60" s="1"/>
  <c r="AU213" i="60"/>
  <c r="L367" i="60"/>
  <c r="Z159" i="60"/>
  <c r="AU107" i="60"/>
  <c r="AW107" i="60" s="1"/>
  <c r="AN298" i="60"/>
  <c r="AP298" i="60" s="1"/>
  <c r="AR298" i="60" s="1"/>
  <c r="AT298" i="60" s="1"/>
  <c r="AV298" i="60" s="1"/>
  <c r="AX298" i="60" s="1"/>
  <c r="AZ298" i="60" s="1"/>
  <c r="BB298" i="60" s="1"/>
  <c r="AU298" i="60"/>
  <c r="AN173" i="60"/>
  <c r="AP173" i="60" s="1"/>
  <c r="AR173" i="60" s="1"/>
  <c r="AT173" i="60" s="1"/>
  <c r="AV173" i="60" s="1"/>
  <c r="AX173" i="60" s="1"/>
  <c r="AZ173" i="60" s="1"/>
  <c r="BB173" i="60" s="1"/>
  <c r="AU173" i="60"/>
  <c r="AN183" i="60"/>
  <c r="AP183" i="60" s="1"/>
  <c r="AR183" i="60" s="1"/>
  <c r="AT183" i="60" s="1"/>
  <c r="AV183" i="60" s="1"/>
  <c r="AX183" i="60" s="1"/>
  <c r="AZ183" i="60" s="1"/>
  <c r="BB183" i="60" s="1"/>
  <c r="AU183" i="60"/>
  <c r="L110" i="60"/>
  <c r="AP363" i="60"/>
  <c r="AR363" i="60" s="1"/>
  <c r="AT363" i="60" s="1"/>
  <c r="AV363" i="60" s="1"/>
  <c r="AX363" i="60" s="1"/>
  <c r="AZ363" i="60" s="1"/>
  <c r="BB363" i="60" s="1"/>
  <c r="BD363" i="60" s="1"/>
  <c r="BF363" i="60" s="1"/>
  <c r="AP391" i="60"/>
  <c r="AR391" i="60" s="1"/>
  <c r="AT391" i="60" s="1"/>
  <c r="AV391" i="60" s="1"/>
  <c r="AX391" i="60" s="1"/>
  <c r="AZ391" i="60" s="1"/>
  <c r="BB391" i="60" s="1"/>
  <c r="BD391" i="60" s="1"/>
  <c r="BF391" i="60" s="1"/>
  <c r="AP92" i="60"/>
  <c r="AR92" i="60" s="1"/>
  <c r="AT92" i="60" s="1"/>
  <c r="AV92" i="60" s="1"/>
  <c r="AX92" i="60" s="1"/>
  <c r="AZ92" i="60" s="1"/>
  <c r="BB92" i="60" s="1"/>
  <c r="BD92" i="60" s="1"/>
  <c r="BF92" i="60" s="1"/>
  <c r="AU68" i="60"/>
  <c r="AW68" i="60" s="1"/>
  <c r="AP356" i="60"/>
  <c r="AR356" i="60" s="1"/>
  <c r="AT356" i="60" s="1"/>
  <c r="AV356" i="60" s="1"/>
  <c r="AX356" i="60" s="1"/>
  <c r="AZ356" i="60" s="1"/>
  <c r="BB356" i="60" s="1"/>
  <c r="BD356" i="60" s="1"/>
  <c r="BF356" i="60" s="1"/>
  <c r="AW221" i="60"/>
  <c r="AU350" i="60"/>
  <c r="AW350" i="60" s="1"/>
  <c r="AU241" i="60"/>
  <c r="AW241" i="60" s="1"/>
  <c r="AW305" i="60"/>
  <c r="AU232" i="60"/>
  <c r="AW232" i="60" s="1"/>
  <c r="AU158" i="60"/>
  <c r="AW158" i="60" s="1"/>
  <c r="AU124" i="60"/>
  <c r="AW124" i="60" s="1"/>
  <c r="AP239" i="60"/>
  <c r="AR239" i="60" s="1"/>
  <c r="AT239" i="60" s="1"/>
  <c r="AV239" i="60" s="1"/>
  <c r="AX239" i="60" s="1"/>
  <c r="AZ239" i="60" s="1"/>
  <c r="BB239" i="60" s="1"/>
  <c r="BD239" i="60" s="1"/>
  <c r="BF239" i="60" s="1"/>
  <c r="AP182" i="60"/>
  <c r="AR182" i="60" s="1"/>
  <c r="AT182" i="60" s="1"/>
  <c r="AV182" i="60" s="1"/>
  <c r="AX182" i="60" s="1"/>
  <c r="AZ182" i="60" s="1"/>
  <c r="BB182" i="60" s="1"/>
  <c r="BD182" i="60" s="1"/>
  <c r="BF182" i="60" s="1"/>
  <c r="AW77" i="60"/>
  <c r="AP178" i="60"/>
  <c r="AR178" i="60" s="1"/>
  <c r="AT178" i="60" s="1"/>
  <c r="AV178" i="60" s="1"/>
  <c r="AX178" i="60" s="1"/>
  <c r="AZ178" i="60" s="1"/>
  <c r="BB178" i="60" s="1"/>
  <c r="BD178" i="60" s="1"/>
  <c r="BF178" i="60" s="1"/>
  <c r="AP136" i="60"/>
  <c r="AR136" i="60" s="1"/>
  <c r="AT136" i="60" s="1"/>
  <c r="AV136" i="60" s="1"/>
  <c r="AX136" i="60" s="1"/>
  <c r="AZ136" i="60" s="1"/>
  <c r="BB136" i="60" s="1"/>
  <c r="BD136" i="60" s="1"/>
  <c r="BF136" i="60" s="1"/>
  <c r="AP56" i="60"/>
  <c r="AR56" i="60" s="1"/>
  <c r="AT56" i="60" s="1"/>
  <c r="AV56" i="60" s="1"/>
  <c r="AX56" i="60" s="1"/>
  <c r="AZ56" i="60" s="1"/>
  <c r="BB56" i="60" s="1"/>
  <c r="BD56" i="60" s="1"/>
  <c r="BF56" i="60" s="1"/>
  <c r="AW174" i="60"/>
  <c r="AW32" i="60"/>
  <c r="AW49" i="60"/>
  <c r="AP231" i="60"/>
  <c r="AR231" i="60" s="1"/>
  <c r="AT231" i="60" s="1"/>
  <c r="AV231" i="60" s="1"/>
  <c r="AX231" i="60" s="1"/>
  <c r="AZ231" i="60" s="1"/>
  <c r="BB231" i="60" s="1"/>
  <c r="BD231" i="60" s="1"/>
  <c r="BF231" i="60" s="1"/>
  <c r="AN299" i="60"/>
  <c r="AP299" i="60" s="1"/>
  <c r="AR299" i="60" s="1"/>
  <c r="AT299" i="60" s="1"/>
  <c r="AV299" i="60" s="1"/>
  <c r="AX299" i="60" s="1"/>
  <c r="AZ299" i="60" s="1"/>
  <c r="BB299" i="60" s="1"/>
  <c r="AU299" i="60"/>
  <c r="AN210" i="60"/>
  <c r="AP210" i="60" s="1"/>
  <c r="AR210" i="60" s="1"/>
  <c r="AT210" i="60" s="1"/>
  <c r="AV210" i="60" s="1"/>
  <c r="AX210" i="60" s="1"/>
  <c r="AZ210" i="60" s="1"/>
  <c r="BB210" i="60" s="1"/>
  <c r="AU210" i="60"/>
  <c r="AW266" i="60"/>
  <c r="AW253" i="60"/>
  <c r="AP188" i="60"/>
  <c r="AR188" i="60" s="1"/>
  <c r="AT188" i="60" s="1"/>
  <c r="AV188" i="60" s="1"/>
  <c r="AX188" i="60" s="1"/>
  <c r="AZ188" i="60" s="1"/>
  <c r="BB188" i="60" s="1"/>
  <c r="BD188" i="60" s="1"/>
  <c r="AP176" i="60"/>
  <c r="AR176" i="60" s="1"/>
  <c r="AT176" i="60" s="1"/>
  <c r="AV176" i="60" s="1"/>
  <c r="AX176" i="60" s="1"/>
  <c r="AZ176" i="60" s="1"/>
  <c r="BB176" i="60" s="1"/>
  <c r="BD176" i="60" s="1"/>
  <c r="BD396" i="60"/>
  <c r="BF396" i="60" s="1"/>
  <c r="AP191" i="60"/>
  <c r="AR191" i="60" s="1"/>
  <c r="AT191" i="60" s="1"/>
  <c r="AV191" i="60" s="1"/>
  <c r="AX191" i="60" s="1"/>
  <c r="AZ191" i="60" s="1"/>
  <c r="BB191" i="60" s="1"/>
  <c r="BD191" i="60" s="1"/>
  <c r="BF191" i="60" s="1"/>
  <c r="AW368" i="60"/>
  <c r="AP15" i="60"/>
  <c r="AR15" i="60" s="1"/>
  <c r="AT15" i="60" s="1"/>
  <c r="AV15" i="60" s="1"/>
  <c r="AX15" i="60" s="1"/>
  <c r="AZ15" i="60" s="1"/>
  <c r="BB15" i="60" s="1"/>
  <c r="BD15" i="60" s="1"/>
  <c r="BF15" i="60" s="1"/>
  <c r="AP266" i="60"/>
  <c r="AR266" i="60" s="1"/>
  <c r="AT266" i="60" s="1"/>
  <c r="AV266" i="60" s="1"/>
  <c r="AX266" i="60" s="1"/>
  <c r="AZ266" i="60" s="1"/>
  <c r="BB266" i="60" s="1"/>
  <c r="BD266" i="60" s="1"/>
  <c r="AP94" i="60"/>
  <c r="AR94" i="60" s="1"/>
  <c r="AT94" i="60" s="1"/>
  <c r="AV94" i="60" s="1"/>
  <c r="AX94" i="60" s="1"/>
  <c r="AZ94" i="60" s="1"/>
  <c r="BB94" i="60" s="1"/>
  <c r="BD94" i="60" s="1"/>
  <c r="BF94" i="60" s="1"/>
  <c r="AP103" i="60"/>
  <c r="AR103" i="60" s="1"/>
  <c r="AT103" i="60" s="1"/>
  <c r="AV103" i="60" s="1"/>
  <c r="AX103" i="60" s="1"/>
  <c r="AZ103" i="60" s="1"/>
  <c r="BB103" i="60" s="1"/>
  <c r="BD103" i="60" s="1"/>
  <c r="BF103" i="60" s="1"/>
  <c r="AP253" i="60"/>
  <c r="AR253" i="60" s="1"/>
  <c r="AT253" i="60" s="1"/>
  <c r="AV253" i="60" s="1"/>
  <c r="AX253" i="60" s="1"/>
  <c r="AZ253" i="60" s="1"/>
  <c r="BB253" i="60" s="1"/>
  <c r="BD253" i="60" s="1"/>
  <c r="AP121" i="60"/>
  <c r="AR121" i="60" s="1"/>
  <c r="AT121" i="60" s="1"/>
  <c r="AV121" i="60" s="1"/>
  <c r="AX121" i="60" s="1"/>
  <c r="AZ121" i="60" s="1"/>
  <c r="BB121" i="60" s="1"/>
  <c r="BD121" i="60" s="1"/>
  <c r="BF121" i="60" s="1"/>
  <c r="BD307" i="60"/>
  <c r="BF307" i="60" s="1"/>
  <c r="BD235" i="60"/>
  <c r="BF235" i="60" s="1"/>
  <c r="BD330" i="60"/>
  <c r="BF330" i="60" s="1"/>
  <c r="BD217" i="60"/>
  <c r="BF217" i="60" s="1"/>
  <c r="AW71" i="60"/>
  <c r="BD73" i="60"/>
  <c r="BF73" i="60" s="1"/>
  <c r="BD194" i="60"/>
  <c r="BF194" i="60" s="1"/>
  <c r="BD55" i="60"/>
  <c r="BF55" i="60" s="1"/>
  <c r="BD234" i="60"/>
  <c r="BF234" i="60" s="1"/>
  <c r="AW91" i="60"/>
  <c r="BD160" i="60"/>
  <c r="BF160" i="60" s="1"/>
  <c r="BD45" i="60"/>
  <c r="BF45" i="60" s="1"/>
  <c r="BD260" i="60"/>
  <c r="AW321" i="60"/>
  <c r="BD351" i="60"/>
  <c r="BF351" i="60" s="1"/>
  <c r="BD153" i="60"/>
  <c r="BF153" i="60" s="1"/>
  <c r="BD78" i="60"/>
  <c r="BF78" i="60" s="1"/>
  <c r="AP71" i="60"/>
  <c r="AR71" i="60" s="1"/>
  <c r="AT71" i="60" s="1"/>
  <c r="AV71" i="60" s="1"/>
  <c r="AX71" i="60" s="1"/>
  <c r="AZ71" i="60" s="1"/>
  <c r="BB71" i="60" s="1"/>
  <c r="BD71" i="60" s="1"/>
  <c r="AP186" i="60"/>
  <c r="AR186" i="60" s="1"/>
  <c r="AT186" i="60" s="1"/>
  <c r="AV186" i="60" s="1"/>
  <c r="AX186" i="60" s="1"/>
  <c r="AZ186" i="60" s="1"/>
  <c r="BB186" i="60" s="1"/>
  <c r="BD186" i="60" s="1"/>
  <c r="BF186" i="60" s="1"/>
  <c r="AW393" i="60"/>
  <c r="BD50" i="60"/>
  <c r="BF50" i="60" s="1"/>
  <c r="AP91" i="60"/>
  <c r="AR91" i="60" s="1"/>
  <c r="AT91" i="60" s="1"/>
  <c r="AV91" i="60" s="1"/>
  <c r="AX91" i="60" s="1"/>
  <c r="AZ91" i="60" s="1"/>
  <c r="BB91" i="60" s="1"/>
  <c r="BD91" i="60" s="1"/>
  <c r="BD279" i="60"/>
  <c r="BF279" i="60" s="1"/>
  <c r="AW359" i="60"/>
  <c r="AY359" i="60" s="1"/>
  <c r="BA359" i="60" s="1"/>
  <c r="BC359" i="60" s="1"/>
  <c r="BE359" i="60" s="1"/>
  <c r="BG359" i="60" s="1"/>
  <c r="AW379" i="60"/>
  <c r="AY379" i="60" s="1"/>
  <c r="BA379" i="60" s="1"/>
  <c r="BC379" i="60" s="1"/>
  <c r="BE379" i="60" s="1"/>
  <c r="BG379" i="60" s="1"/>
  <c r="AW57" i="60"/>
  <c r="AY57" i="60" s="1"/>
  <c r="BA57" i="60" s="1"/>
  <c r="BC57" i="60" s="1"/>
  <c r="BE57" i="60" s="1"/>
  <c r="BG57" i="60" s="1"/>
  <c r="BD346" i="60"/>
  <c r="BF346" i="60" s="1"/>
  <c r="AP185" i="60"/>
  <c r="AR185" i="60" s="1"/>
  <c r="AT185" i="60" s="1"/>
  <c r="AV185" i="60" s="1"/>
  <c r="AX185" i="60" s="1"/>
  <c r="AZ185" i="60" s="1"/>
  <c r="BB185" i="60" s="1"/>
  <c r="BD185" i="60" s="1"/>
  <c r="BF185" i="60" s="1"/>
  <c r="BD14" i="60"/>
  <c r="BF14" i="60" s="1"/>
  <c r="BD18" i="60"/>
  <c r="BF18" i="60" s="1"/>
  <c r="AW365" i="60"/>
  <c r="AY365" i="60" s="1"/>
  <c r="BA365" i="60" s="1"/>
  <c r="BC365" i="60" s="1"/>
  <c r="BE365" i="60" s="1"/>
  <c r="BG365" i="60" s="1"/>
  <c r="AP204" i="60"/>
  <c r="AR204" i="60" s="1"/>
  <c r="AT204" i="60" s="1"/>
  <c r="AV204" i="60" s="1"/>
  <c r="AX204" i="60" s="1"/>
  <c r="AZ204" i="60" s="1"/>
  <c r="BB204" i="60" s="1"/>
  <c r="BD204" i="60" s="1"/>
  <c r="BF204" i="60" s="1"/>
  <c r="AW115" i="60"/>
  <c r="AY115" i="60" s="1"/>
  <c r="BA115" i="60" s="1"/>
  <c r="BC115" i="60" s="1"/>
  <c r="BE115" i="60" s="1"/>
  <c r="BG115" i="60" s="1"/>
  <c r="AW196" i="60"/>
  <c r="AY196" i="60" s="1"/>
  <c r="BA196" i="60" s="1"/>
  <c r="BC196" i="60" s="1"/>
  <c r="BE196" i="60" s="1"/>
  <c r="BG196" i="60" s="1"/>
  <c r="AP101" i="60"/>
  <c r="AR101" i="60" s="1"/>
  <c r="AT101" i="60" s="1"/>
  <c r="AV101" i="60" s="1"/>
  <c r="AX101" i="60" s="1"/>
  <c r="AZ101" i="60" s="1"/>
  <c r="BB101" i="60" s="1"/>
  <c r="BD101" i="60" s="1"/>
  <c r="BF101" i="60" s="1"/>
  <c r="BD278" i="60"/>
  <c r="BF278" i="60" s="1"/>
  <c r="BD61" i="60"/>
  <c r="BF61" i="60" s="1"/>
  <c r="AP321" i="60"/>
  <c r="AR321" i="60" s="1"/>
  <c r="AT321" i="60" s="1"/>
  <c r="AV321" i="60" s="1"/>
  <c r="AX321" i="60" s="1"/>
  <c r="AZ321" i="60" s="1"/>
  <c r="BB321" i="60" s="1"/>
  <c r="BD321" i="60" s="1"/>
  <c r="AW97" i="60"/>
  <c r="AY97" i="60" s="1"/>
  <c r="BA97" i="60" s="1"/>
  <c r="BC97" i="60" s="1"/>
  <c r="BE97" i="60" s="1"/>
  <c r="BG97" i="60" s="1"/>
  <c r="AW206" i="60"/>
  <c r="AY206" i="60" s="1"/>
  <c r="BA206" i="60" s="1"/>
  <c r="BC206" i="60" s="1"/>
  <c r="BE206" i="60" s="1"/>
  <c r="BG206" i="60" s="1"/>
  <c r="AW400" i="60"/>
  <c r="AY400" i="60" s="1"/>
  <c r="BA400" i="60" s="1"/>
  <c r="BC400" i="60" s="1"/>
  <c r="BE400" i="60" s="1"/>
  <c r="BG400" i="60" s="1"/>
  <c r="AW269" i="60"/>
  <c r="AY269" i="60" s="1"/>
  <c r="BA269" i="60" s="1"/>
  <c r="BC269" i="60" s="1"/>
  <c r="BE269" i="60" s="1"/>
  <c r="BG269" i="60" s="1"/>
  <c r="BD76" i="60"/>
  <c r="BF76" i="60" s="1"/>
  <c r="BD222" i="60"/>
  <c r="BF222" i="60" s="1"/>
  <c r="AW172" i="60"/>
  <c r="AY172" i="60" s="1"/>
  <c r="BA172" i="60" s="1"/>
  <c r="BC172" i="60" s="1"/>
  <c r="BE172" i="60" s="1"/>
  <c r="BG172" i="60" s="1"/>
  <c r="BD108" i="60"/>
  <c r="BF108" i="60" s="1"/>
  <c r="AW59" i="60"/>
  <c r="AY59" i="60" s="1"/>
  <c r="BA59" i="60" s="1"/>
  <c r="BC59" i="60" s="1"/>
  <c r="BE59" i="60" s="1"/>
  <c r="BG59" i="60" s="1"/>
  <c r="BD35" i="60"/>
  <c r="BF35" i="60" s="1"/>
  <c r="AW387" i="60"/>
  <c r="AY387" i="60" s="1"/>
  <c r="BA387" i="60" s="1"/>
  <c r="BC387" i="60" s="1"/>
  <c r="BE387" i="60" s="1"/>
  <c r="BG387" i="60" s="1"/>
  <c r="AP36" i="60"/>
  <c r="AR36" i="60" s="1"/>
  <c r="AT36" i="60" s="1"/>
  <c r="AV36" i="60" s="1"/>
  <c r="AX36" i="60" s="1"/>
  <c r="AZ36" i="60" s="1"/>
  <c r="BB36" i="60" s="1"/>
  <c r="BD36" i="60" s="1"/>
  <c r="BF36" i="60" s="1"/>
  <c r="AW63" i="60"/>
  <c r="AY63" i="60" s="1"/>
  <c r="BA63" i="60" s="1"/>
  <c r="BC63" i="60" s="1"/>
  <c r="BE63" i="60" s="1"/>
  <c r="BG63" i="60" s="1"/>
  <c r="AW170" i="60"/>
  <c r="AY170" i="60" s="1"/>
  <c r="BA170" i="60" s="1"/>
  <c r="BC170" i="60" s="1"/>
  <c r="BE170" i="60" s="1"/>
  <c r="BG170" i="60" s="1"/>
  <c r="AP44" i="60"/>
  <c r="AR44" i="60" s="1"/>
  <c r="AT44" i="60" s="1"/>
  <c r="AV44" i="60" s="1"/>
  <c r="AX44" i="60" s="1"/>
  <c r="AZ44" i="60" s="1"/>
  <c r="BB44" i="60" s="1"/>
  <c r="BD44" i="60" s="1"/>
  <c r="BF44" i="60" s="1"/>
  <c r="AW188" i="60"/>
  <c r="AW176" i="60"/>
  <c r="AN140" i="60"/>
  <c r="AU140" i="60"/>
  <c r="AN146" i="60"/>
  <c r="AP146" i="60" s="1"/>
  <c r="AR146" i="60" s="1"/>
  <c r="AT146" i="60" s="1"/>
  <c r="AV146" i="60" s="1"/>
  <c r="AX146" i="60" s="1"/>
  <c r="AZ146" i="60" s="1"/>
  <c r="BB146" i="60" s="1"/>
  <c r="AU146" i="60"/>
  <c r="AN165" i="60"/>
  <c r="AP165" i="60" s="1"/>
  <c r="AR165" i="60" s="1"/>
  <c r="AT165" i="60" s="1"/>
  <c r="AV165" i="60" s="1"/>
  <c r="AX165" i="60" s="1"/>
  <c r="AZ165" i="60" s="1"/>
  <c r="BB165" i="60" s="1"/>
  <c r="AU165" i="60"/>
  <c r="AN371" i="60"/>
  <c r="AP371" i="60" s="1"/>
  <c r="AR371" i="60" s="1"/>
  <c r="AT371" i="60" s="1"/>
  <c r="AV371" i="60" s="1"/>
  <c r="AX371" i="60" s="1"/>
  <c r="AZ371" i="60" s="1"/>
  <c r="BB371" i="60" s="1"/>
  <c r="AU371" i="60"/>
  <c r="AU282" i="60"/>
  <c r="AW282" i="60" s="1"/>
  <c r="L397" i="60"/>
  <c r="AP397" i="60" s="1"/>
  <c r="AR397" i="60" s="1"/>
  <c r="AT397" i="60" s="1"/>
  <c r="AV397" i="60" s="1"/>
  <c r="AX397" i="60" s="1"/>
  <c r="AZ397" i="60" s="1"/>
  <c r="BB397" i="60" s="1"/>
  <c r="BD397" i="60" s="1"/>
  <c r="BF397" i="60" s="1"/>
  <c r="AN148" i="60"/>
  <c r="AP148" i="60" s="1"/>
  <c r="AR148" i="60" s="1"/>
  <c r="AT148" i="60" s="1"/>
  <c r="AV148" i="60" s="1"/>
  <c r="AX148" i="60" s="1"/>
  <c r="AZ148" i="60" s="1"/>
  <c r="BB148" i="60" s="1"/>
  <c r="AU148" i="60"/>
  <c r="AN197" i="60"/>
  <c r="AP197" i="60" s="1"/>
  <c r="AR197" i="60" s="1"/>
  <c r="AT197" i="60" s="1"/>
  <c r="AV197" i="60" s="1"/>
  <c r="AX197" i="60" s="1"/>
  <c r="AZ197" i="60" s="1"/>
  <c r="BB197" i="60" s="1"/>
  <c r="AU197" i="60"/>
  <c r="AN296" i="60"/>
  <c r="AP296" i="60" s="1"/>
  <c r="AR296" i="60" s="1"/>
  <c r="AT296" i="60" s="1"/>
  <c r="AV296" i="60" s="1"/>
  <c r="AX296" i="60" s="1"/>
  <c r="AZ296" i="60" s="1"/>
  <c r="BB296" i="60" s="1"/>
  <c r="AU296" i="60"/>
  <c r="AN152" i="60"/>
  <c r="AP152" i="60" s="1"/>
  <c r="AR152" i="60" s="1"/>
  <c r="AT152" i="60" s="1"/>
  <c r="AV152" i="60" s="1"/>
  <c r="AX152" i="60" s="1"/>
  <c r="AZ152" i="60" s="1"/>
  <c r="BB152" i="60" s="1"/>
  <c r="AU152" i="60"/>
  <c r="BD87" i="60"/>
  <c r="BF87" i="60" s="1"/>
  <c r="L131" i="60"/>
  <c r="AN306" i="60"/>
  <c r="AP306" i="60" s="1"/>
  <c r="AR306" i="60" s="1"/>
  <c r="AT306" i="60" s="1"/>
  <c r="AV306" i="60" s="1"/>
  <c r="AX306" i="60" s="1"/>
  <c r="AZ306" i="60" s="1"/>
  <c r="BB306" i="60" s="1"/>
  <c r="AU306" i="60"/>
  <c r="AW98" i="60"/>
  <c r="AY98" i="60" s="1"/>
  <c r="BA98" i="60" s="1"/>
  <c r="BC98" i="60" s="1"/>
  <c r="BE98" i="60" s="1"/>
  <c r="BG98" i="60" s="1"/>
  <c r="AW237" i="60"/>
  <c r="AW384" i="60"/>
  <c r="AW42" i="60"/>
  <c r="AY42" i="60" s="1"/>
  <c r="BA42" i="60" s="1"/>
  <c r="BC42" i="60" s="1"/>
  <c r="BE42" i="60" s="1"/>
  <c r="BG42" i="60" s="1"/>
  <c r="AP277" i="60"/>
  <c r="AR277" i="60" s="1"/>
  <c r="AT277" i="60" s="1"/>
  <c r="AV277" i="60" s="1"/>
  <c r="AX277" i="60" s="1"/>
  <c r="AZ277" i="60" s="1"/>
  <c r="BB277" i="60" s="1"/>
  <c r="BD277" i="60" s="1"/>
  <c r="BF277" i="60" s="1"/>
  <c r="AP145" i="60"/>
  <c r="AR145" i="60" s="1"/>
  <c r="AT145" i="60" s="1"/>
  <c r="AV145" i="60" s="1"/>
  <c r="AX145" i="60" s="1"/>
  <c r="AZ145" i="60" s="1"/>
  <c r="BB145" i="60" s="1"/>
  <c r="BD145" i="60" s="1"/>
  <c r="BF145" i="60" s="1"/>
  <c r="AP244" i="60"/>
  <c r="AR244" i="60" s="1"/>
  <c r="AT244" i="60" s="1"/>
  <c r="AV244" i="60" s="1"/>
  <c r="AX244" i="60" s="1"/>
  <c r="AZ244" i="60" s="1"/>
  <c r="BB244" i="60" s="1"/>
  <c r="BD244" i="60" s="1"/>
  <c r="BF244" i="60" s="1"/>
  <c r="AP96" i="60"/>
  <c r="AR96" i="60" s="1"/>
  <c r="AT96" i="60" s="1"/>
  <c r="AV96" i="60" s="1"/>
  <c r="AX96" i="60" s="1"/>
  <c r="AZ96" i="60" s="1"/>
  <c r="BB96" i="60" s="1"/>
  <c r="BD96" i="60" s="1"/>
  <c r="BD113" i="60"/>
  <c r="BF113" i="60" s="1"/>
  <c r="AW123" i="60"/>
  <c r="AP348" i="60"/>
  <c r="AR348" i="60" s="1"/>
  <c r="AT348" i="60" s="1"/>
  <c r="AV348" i="60" s="1"/>
  <c r="AX348" i="60" s="1"/>
  <c r="AZ348" i="60" s="1"/>
  <c r="BB348" i="60" s="1"/>
  <c r="BD348" i="60" s="1"/>
  <c r="BF348" i="60" s="1"/>
  <c r="AU373" i="60"/>
  <c r="AW373" i="60" s="1"/>
  <c r="AU65" i="60"/>
  <c r="AW65" i="60" s="1"/>
  <c r="AW60" i="60"/>
  <c r="AW20" i="60"/>
  <c r="AY20" i="60" s="1"/>
  <c r="BA20" i="60" s="1"/>
  <c r="BC20" i="60" s="1"/>
  <c r="BE20" i="60" s="1"/>
  <c r="BG20" i="60" s="1"/>
  <c r="AP369" i="60"/>
  <c r="AR369" i="60" s="1"/>
  <c r="AT369" i="60" s="1"/>
  <c r="AV369" i="60" s="1"/>
  <c r="AX369" i="60" s="1"/>
  <c r="AZ369" i="60" s="1"/>
  <c r="BB369" i="60" s="1"/>
  <c r="BD369" i="60" s="1"/>
  <c r="BF369" i="60" s="1"/>
  <c r="AP48" i="60"/>
  <c r="AR48" i="60" s="1"/>
  <c r="AT48" i="60" s="1"/>
  <c r="AV48" i="60" s="1"/>
  <c r="AX48" i="60" s="1"/>
  <c r="AZ48" i="60" s="1"/>
  <c r="BB48" i="60" s="1"/>
  <c r="BD48" i="60" s="1"/>
  <c r="BF48" i="60" s="1"/>
  <c r="AU155" i="60"/>
  <c r="AW155" i="60" s="1"/>
  <c r="AW315" i="60"/>
  <c r="AW112" i="60"/>
  <c r="AP143" i="60"/>
  <c r="AR143" i="60" s="1"/>
  <c r="AT143" i="60" s="1"/>
  <c r="AV143" i="60" s="1"/>
  <c r="AX143" i="60" s="1"/>
  <c r="AZ143" i="60" s="1"/>
  <c r="BB143" i="60" s="1"/>
  <c r="BD143" i="60" s="1"/>
  <c r="BF143" i="60" s="1"/>
  <c r="AP258" i="60"/>
  <c r="AR258" i="60" s="1"/>
  <c r="AT258" i="60" s="1"/>
  <c r="AV258" i="60" s="1"/>
  <c r="AX258" i="60" s="1"/>
  <c r="AZ258" i="60" s="1"/>
  <c r="BB258" i="60" s="1"/>
  <c r="BD258" i="60" s="1"/>
  <c r="BF258" i="60" s="1"/>
  <c r="AU261" i="60"/>
  <c r="AW261" i="60" s="1"/>
  <c r="AP358" i="60"/>
  <c r="AR358" i="60" s="1"/>
  <c r="AT358" i="60" s="1"/>
  <c r="AV358" i="60" s="1"/>
  <c r="AX358" i="60" s="1"/>
  <c r="AZ358" i="60" s="1"/>
  <c r="BB358" i="60" s="1"/>
  <c r="BD358" i="60" s="1"/>
  <c r="BF358" i="60" s="1"/>
  <c r="AP285" i="60"/>
  <c r="AR285" i="60" s="1"/>
  <c r="AT285" i="60" s="1"/>
  <c r="AV285" i="60" s="1"/>
  <c r="AX285" i="60" s="1"/>
  <c r="AZ285" i="60" s="1"/>
  <c r="BB285" i="60" s="1"/>
  <c r="BD285" i="60" s="1"/>
  <c r="BF285" i="60" s="1"/>
  <c r="AW180" i="60"/>
  <c r="AY180" i="60" s="1"/>
  <c r="BA180" i="60" s="1"/>
  <c r="BC180" i="60" s="1"/>
  <c r="BE180" i="60" s="1"/>
  <c r="BG180" i="60" s="1"/>
  <c r="AW43" i="60"/>
  <c r="AY43" i="60" s="1"/>
  <c r="BA43" i="60" s="1"/>
  <c r="BC43" i="60" s="1"/>
  <c r="BE43" i="60" s="1"/>
  <c r="BG43" i="60" s="1"/>
  <c r="BD58" i="60"/>
  <c r="BF58" i="60" s="1"/>
  <c r="AP75" i="60"/>
  <c r="AR75" i="60" s="1"/>
  <c r="AT75" i="60" s="1"/>
  <c r="AV75" i="60" s="1"/>
  <c r="AX75" i="60" s="1"/>
  <c r="AZ75" i="60" s="1"/>
  <c r="BB75" i="60" s="1"/>
  <c r="BD75" i="60" s="1"/>
  <c r="BF75" i="60" s="1"/>
  <c r="AW26" i="60"/>
  <c r="AY26" i="60" s="1"/>
  <c r="BA26" i="60" s="1"/>
  <c r="BC26" i="60" s="1"/>
  <c r="BE26" i="60" s="1"/>
  <c r="BG26" i="60" s="1"/>
  <c r="AW364" i="60"/>
  <c r="AP209" i="60"/>
  <c r="AR209" i="60" s="1"/>
  <c r="AT209" i="60" s="1"/>
  <c r="AV209" i="60" s="1"/>
  <c r="AX209" i="60" s="1"/>
  <c r="AZ209" i="60" s="1"/>
  <c r="BB209" i="60" s="1"/>
  <c r="BD209" i="60" s="1"/>
  <c r="BF209" i="60" s="1"/>
  <c r="BD263" i="60"/>
  <c r="BF263" i="60" s="1"/>
  <c r="AW111" i="60"/>
  <c r="AU230" i="60"/>
  <c r="AW230" i="60" s="1"/>
  <c r="AN386" i="60"/>
  <c r="AU386" i="60"/>
  <c r="AN177" i="60"/>
  <c r="AP177" i="60" s="1"/>
  <c r="AR177" i="60" s="1"/>
  <c r="AT177" i="60" s="1"/>
  <c r="AV177" i="60" s="1"/>
  <c r="AX177" i="60" s="1"/>
  <c r="AZ177" i="60" s="1"/>
  <c r="BB177" i="60" s="1"/>
  <c r="AU177" i="60"/>
  <c r="AN181" i="60"/>
  <c r="AP181" i="60" s="1"/>
  <c r="AR181" i="60" s="1"/>
  <c r="AT181" i="60" s="1"/>
  <c r="AV181" i="60" s="1"/>
  <c r="AX181" i="60" s="1"/>
  <c r="AZ181" i="60" s="1"/>
  <c r="BB181" i="60" s="1"/>
  <c r="AU181" i="60"/>
  <c r="AP255" i="60"/>
  <c r="AR255" i="60" s="1"/>
  <c r="AT255" i="60" s="1"/>
  <c r="AV255" i="60" s="1"/>
  <c r="AX255" i="60" s="1"/>
  <c r="AZ255" i="60" s="1"/>
  <c r="BB255" i="60" s="1"/>
  <c r="BD255" i="60" s="1"/>
  <c r="BF255" i="60" s="1"/>
  <c r="AN82" i="60"/>
  <c r="AP82" i="60" s="1"/>
  <c r="AR82" i="60" s="1"/>
  <c r="AT82" i="60" s="1"/>
  <c r="AV82" i="60" s="1"/>
  <c r="AX82" i="60" s="1"/>
  <c r="AZ82" i="60" s="1"/>
  <c r="BB82" i="60" s="1"/>
  <c r="AU82" i="60"/>
  <c r="AN309" i="60"/>
  <c r="AP309" i="60" s="1"/>
  <c r="AR309" i="60" s="1"/>
  <c r="AT309" i="60" s="1"/>
  <c r="AV309" i="60" s="1"/>
  <c r="AX309" i="60" s="1"/>
  <c r="AZ309" i="60" s="1"/>
  <c r="BB309" i="60" s="1"/>
  <c r="AU309" i="60"/>
  <c r="BD322" i="60"/>
  <c r="BF322" i="60" s="1"/>
  <c r="AP117" i="60"/>
  <c r="AR117" i="60" s="1"/>
  <c r="AT117" i="60" s="1"/>
  <c r="AV117" i="60" s="1"/>
  <c r="AX117" i="60" s="1"/>
  <c r="AZ117" i="60" s="1"/>
  <c r="BB117" i="60" s="1"/>
  <c r="BD117" i="60" s="1"/>
  <c r="BF117" i="60" s="1"/>
  <c r="AP344" i="60"/>
  <c r="AR344" i="60" s="1"/>
  <c r="AT344" i="60" s="1"/>
  <c r="AV344" i="60" s="1"/>
  <c r="AX344" i="60" s="1"/>
  <c r="AZ344" i="60" s="1"/>
  <c r="BB344" i="60" s="1"/>
  <c r="BD344" i="60" s="1"/>
  <c r="BF344" i="60" s="1"/>
  <c r="AP242" i="60"/>
  <c r="AR242" i="60" s="1"/>
  <c r="AT242" i="60" s="1"/>
  <c r="AV242" i="60" s="1"/>
  <c r="AX242" i="60" s="1"/>
  <c r="AZ242" i="60" s="1"/>
  <c r="BB242" i="60" s="1"/>
  <c r="BD242" i="60" s="1"/>
  <c r="BF242" i="60" s="1"/>
  <c r="AP238" i="60"/>
  <c r="AR238" i="60" s="1"/>
  <c r="AT238" i="60" s="1"/>
  <c r="AV238" i="60" s="1"/>
  <c r="AX238" i="60" s="1"/>
  <c r="AZ238" i="60" s="1"/>
  <c r="BB238" i="60" s="1"/>
  <c r="BD238" i="60" s="1"/>
  <c r="BF238" i="60" s="1"/>
  <c r="AW39" i="60"/>
  <c r="AY39" i="60" s="1"/>
  <c r="BA39" i="60" s="1"/>
  <c r="BC39" i="60" s="1"/>
  <c r="BE39" i="60" s="1"/>
  <c r="BG39" i="60" s="1"/>
  <c r="AU362" i="60"/>
  <c r="AW362" i="60" s="1"/>
  <c r="AU257" i="60"/>
  <c r="AW257" i="60" s="1"/>
  <c r="AP69" i="60"/>
  <c r="AR69" i="60" s="1"/>
  <c r="AT69" i="60" s="1"/>
  <c r="AV69" i="60" s="1"/>
  <c r="AX69" i="60" s="1"/>
  <c r="AZ69" i="60" s="1"/>
  <c r="BB69" i="60" s="1"/>
  <c r="BD69" i="60" s="1"/>
  <c r="BF69" i="60" s="1"/>
  <c r="AW202" i="60"/>
  <c r="AY202" i="60" s="1"/>
  <c r="BA202" i="60" s="1"/>
  <c r="BC202" i="60" s="1"/>
  <c r="BE202" i="60" s="1"/>
  <c r="BG202" i="60" s="1"/>
  <c r="AW34" i="60"/>
  <c r="AP53" i="60"/>
  <c r="AR53" i="60" s="1"/>
  <c r="AT53" i="60" s="1"/>
  <c r="AV53" i="60" s="1"/>
  <c r="AX53" i="60" s="1"/>
  <c r="AZ53" i="60" s="1"/>
  <c r="BB53" i="60" s="1"/>
  <c r="BD53" i="60" s="1"/>
  <c r="BF53" i="60" s="1"/>
  <c r="AP29" i="60"/>
  <c r="AR29" i="60" s="1"/>
  <c r="AT29" i="60" s="1"/>
  <c r="AV29" i="60" s="1"/>
  <c r="AX29" i="60" s="1"/>
  <c r="AZ29" i="60" s="1"/>
  <c r="BB29" i="60" s="1"/>
  <c r="BD29" i="60" s="1"/>
  <c r="AP62" i="60"/>
  <c r="AR62" i="60" s="1"/>
  <c r="AT62" i="60" s="1"/>
  <c r="AV62" i="60" s="1"/>
  <c r="AX62" i="60" s="1"/>
  <c r="AZ62" i="60" s="1"/>
  <c r="BB62" i="60" s="1"/>
  <c r="BD62" i="60" s="1"/>
  <c r="BF62" i="60" s="1"/>
  <c r="AP19" i="60"/>
  <c r="AR19" i="60" s="1"/>
  <c r="AT19" i="60" s="1"/>
  <c r="AV19" i="60" s="1"/>
  <c r="AX19" i="60" s="1"/>
  <c r="AZ19" i="60" s="1"/>
  <c r="BB19" i="60" s="1"/>
  <c r="BD19" i="60" s="1"/>
  <c r="BF19" i="60" s="1"/>
  <c r="AP376" i="60"/>
  <c r="AR376" i="60" s="1"/>
  <c r="AT376" i="60" s="1"/>
  <c r="AV376" i="60" s="1"/>
  <c r="AX376" i="60" s="1"/>
  <c r="AZ376" i="60" s="1"/>
  <c r="BB376" i="60" s="1"/>
  <c r="BD376" i="60" s="1"/>
  <c r="BF376" i="60" s="1"/>
  <c r="AP297" i="60"/>
  <c r="AR297" i="60" s="1"/>
  <c r="AT297" i="60" s="1"/>
  <c r="AV297" i="60" s="1"/>
  <c r="AX297" i="60" s="1"/>
  <c r="AZ297" i="60" s="1"/>
  <c r="BB297" i="60" s="1"/>
  <c r="BD297" i="60" s="1"/>
  <c r="BF297" i="60" s="1"/>
  <c r="AP240" i="60"/>
  <c r="AR240" i="60" s="1"/>
  <c r="AT240" i="60" s="1"/>
  <c r="AV240" i="60" s="1"/>
  <c r="AX240" i="60" s="1"/>
  <c r="AZ240" i="60" s="1"/>
  <c r="BB240" i="60" s="1"/>
  <c r="BD240" i="60" s="1"/>
  <c r="BF240" i="60" s="1"/>
  <c r="AP86" i="60"/>
  <c r="AR86" i="60" s="1"/>
  <c r="AT86" i="60" s="1"/>
  <c r="AV86" i="60" s="1"/>
  <c r="AX86" i="60" s="1"/>
  <c r="AZ86" i="60" s="1"/>
  <c r="BB86" i="60" s="1"/>
  <c r="BD86" i="60" s="1"/>
  <c r="BF86" i="60" s="1"/>
  <c r="AP250" i="60"/>
  <c r="AR250" i="60" s="1"/>
  <c r="AT250" i="60" s="1"/>
  <c r="AV250" i="60" s="1"/>
  <c r="AX250" i="60" s="1"/>
  <c r="AZ250" i="60" s="1"/>
  <c r="BB250" i="60" s="1"/>
  <c r="BD250" i="60" s="1"/>
  <c r="BF250" i="60" s="1"/>
  <c r="AU254" i="60"/>
  <c r="AW254" i="60" s="1"/>
  <c r="AW88" i="60"/>
  <c r="AU317" i="60"/>
  <c r="AW317" i="60" s="1"/>
  <c r="AW100" i="60"/>
  <c r="AY100" i="60" s="1"/>
  <c r="BA100" i="60" s="1"/>
  <c r="BC100" i="60" s="1"/>
  <c r="BE100" i="60" s="1"/>
  <c r="BG100" i="60" s="1"/>
  <c r="AP390" i="60"/>
  <c r="AR390" i="60" s="1"/>
  <c r="AT390" i="60" s="1"/>
  <c r="AV390" i="60" s="1"/>
  <c r="AX390" i="60" s="1"/>
  <c r="AZ390" i="60" s="1"/>
  <c r="BB390" i="60" s="1"/>
  <c r="BD390" i="60" s="1"/>
  <c r="AP367" i="60"/>
  <c r="AR367" i="60" s="1"/>
  <c r="AT367" i="60" s="1"/>
  <c r="AV367" i="60" s="1"/>
  <c r="AX367" i="60" s="1"/>
  <c r="AZ367" i="60" s="1"/>
  <c r="BB367" i="60" s="1"/>
  <c r="BD367" i="60" s="1"/>
  <c r="BF367" i="60" s="1"/>
  <c r="AW252" i="60"/>
  <c r="AP167" i="60"/>
  <c r="AR167" i="60" s="1"/>
  <c r="AT167" i="60" s="1"/>
  <c r="AV167" i="60" s="1"/>
  <c r="AX167" i="60" s="1"/>
  <c r="AZ167" i="60" s="1"/>
  <c r="BB167" i="60" s="1"/>
  <c r="BD167" i="60" s="1"/>
  <c r="BF167" i="60" s="1"/>
  <c r="AW138" i="60"/>
  <c r="AU313" i="60"/>
  <c r="AW313" i="60" s="1"/>
  <c r="AW198" i="60"/>
  <c r="AP264" i="60"/>
  <c r="AR264" i="60" s="1"/>
  <c r="AT264" i="60" s="1"/>
  <c r="AV264" i="60" s="1"/>
  <c r="AX264" i="60" s="1"/>
  <c r="AZ264" i="60" s="1"/>
  <c r="BB264" i="60" s="1"/>
  <c r="BD264" i="60" s="1"/>
  <c r="BF264" i="60" s="1"/>
  <c r="BD280" i="60"/>
  <c r="BF280" i="60" s="1"/>
  <c r="AU395" i="60"/>
  <c r="AW395" i="60" s="1"/>
  <c r="AW28" i="60"/>
  <c r="AW52" i="60"/>
  <c r="AP21" i="60"/>
  <c r="AR21" i="60" s="1"/>
  <c r="AT21" i="60" s="1"/>
  <c r="AV21" i="60" s="1"/>
  <c r="AX21" i="60" s="1"/>
  <c r="AZ21" i="60" s="1"/>
  <c r="BB21" i="60" s="1"/>
  <c r="BD21" i="60" s="1"/>
  <c r="BF21" i="60" s="1"/>
  <c r="AW190" i="60"/>
  <c r="BD54" i="60"/>
  <c r="BF54" i="60" s="1"/>
  <c r="AP64" i="60"/>
  <c r="AR64" i="60" s="1"/>
  <c r="AT64" i="60" s="1"/>
  <c r="AV64" i="60" s="1"/>
  <c r="AX64" i="60" s="1"/>
  <c r="AZ64" i="60" s="1"/>
  <c r="BB64" i="60" s="1"/>
  <c r="BD64" i="60" s="1"/>
  <c r="BF64" i="60" s="1"/>
  <c r="AW30" i="60"/>
  <c r="AY30" i="60" s="1"/>
  <c r="BA30" i="60" s="1"/>
  <c r="BC30" i="60" s="1"/>
  <c r="BE30" i="60" s="1"/>
  <c r="BG30" i="60" s="1"/>
  <c r="Z386" i="60"/>
  <c r="AN85" i="60"/>
  <c r="AP85" i="60" s="1"/>
  <c r="AR85" i="60" s="1"/>
  <c r="AT85" i="60" s="1"/>
  <c r="AV85" i="60" s="1"/>
  <c r="AX85" i="60" s="1"/>
  <c r="AZ85" i="60" s="1"/>
  <c r="BB85" i="60" s="1"/>
  <c r="AU85" i="60"/>
  <c r="Z84" i="60"/>
  <c r="AP84" i="60" s="1"/>
  <c r="AR84" i="60" s="1"/>
  <c r="AT84" i="60" s="1"/>
  <c r="AV84" i="60" s="1"/>
  <c r="AX84" i="60" s="1"/>
  <c r="AZ84" i="60" s="1"/>
  <c r="BB84" i="60" s="1"/>
  <c r="BD84" i="60" s="1"/>
  <c r="AN187" i="60"/>
  <c r="AP187" i="60" s="1"/>
  <c r="AR187" i="60" s="1"/>
  <c r="AT187" i="60" s="1"/>
  <c r="AV187" i="60" s="1"/>
  <c r="AX187" i="60" s="1"/>
  <c r="AZ187" i="60" s="1"/>
  <c r="BB187" i="60" s="1"/>
  <c r="AU187" i="60"/>
  <c r="AN161" i="60"/>
  <c r="AP161" i="60" s="1"/>
  <c r="AR161" i="60" s="1"/>
  <c r="AT161" i="60" s="1"/>
  <c r="AV161" i="60" s="1"/>
  <c r="AX161" i="60" s="1"/>
  <c r="AZ161" i="60" s="1"/>
  <c r="BB161" i="60" s="1"/>
  <c r="AU161" i="60"/>
  <c r="L140" i="60"/>
  <c r="L105" i="60"/>
  <c r="AP105" i="60" s="1"/>
  <c r="AN81" i="60"/>
  <c r="AP81" i="60" s="1"/>
  <c r="AR81" i="60" s="1"/>
  <c r="AT81" i="60" s="1"/>
  <c r="AV81" i="60" s="1"/>
  <c r="AX81" i="60" s="1"/>
  <c r="AZ81" i="60" s="1"/>
  <c r="BB81" i="60" s="1"/>
  <c r="AU81" i="60"/>
  <c r="AP107" i="60"/>
  <c r="AR107" i="60" s="1"/>
  <c r="AT107" i="60" s="1"/>
  <c r="AV107" i="60" s="1"/>
  <c r="AX107" i="60" s="1"/>
  <c r="AZ107" i="60" s="1"/>
  <c r="BB107" i="60" s="1"/>
  <c r="BD107" i="60" s="1"/>
  <c r="BF107" i="60" s="1"/>
  <c r="AP334" i="60"/>
  <c r="AR334" i="60" s="1"/>
  <c r="AT334" i="60" s="1"/>
  <c r="AV334" i="60" s="1"/>
  <c r="AX334" i="60" s="1"/>
  <c r="AZ334" i="60" s="1"/>
  <c r="BB334" i="60" s="1"/>
  <c r="BD334" i="60" s="1"/>
  <c r="BF334" i="60" s="1"/>
  <c r="AN333" i="60"/>
  <c r="AP333" i="60" s="1"/>
  <c r="AR333" i="60" s="1"/>
  <c r="AT333" i="60" s="1"/>
  <c r="AV333" i="60" s="1"/>
  <c r="AX333" i="60" s="1"/>
  <c r="AZ333" i="60" s="1"/>
  <c r="BB333" i="60" s="1"/>
  <c r="AU333" i="60"/>
  <c r="AN302" i="60"/>
  <c r="AP302" i="60" s="1"/>
  <c r="AR302" i="60" s="1"/>
  <c r="AT302" i="60" s="1"/>
  <c r="AV302" i="60" s="1"/>
  <c r="AX302" i="60" s="1"/>
  <c r="AZ302" i="60" s="1"/>
  <c r="BB302" i="60" s="1"/>
  <c r="AU302" i="60"/>
  <c r="AN349" i="60"/>
  <c r="AP349" i="60" s="1"/>
  <c r="AR349" i="60" s="1"/>
  <c r="AT349" i="60" s="1"/>
  <c r="AV349" i="60" s="1"/>
  <c r="AX349" i="60" s="1"/>
  <c r="AZ349" i="60" s="1"/>
  <c r="BB349" i="60" s="1"/>
  <c r="AU349" i="60"/>
  <c r="AN163" i="60"/>
  <c r="AP163" i="60" s="1"/>
  <c r="AR163" i="60" s="1"/>
  <c r="AT163" i="60" s="1"/>
  <c r="AV163" i="60" s="1"/>
  <c r="AX163" i="60" s="1"/>
  <c r="AZ163" i="60" s="1"/>
  <c r="BB163" i="60" s="1"/>
  <c r="AU163" i="60"/>
  <c r="S192" i="60"/>
  <c r="AP192" i="60" s="1"/>
  <c r="AR192" i="60" s="1"/>
  <c r="AT192" i="60" s="1"/>
  <c r="AV192" i="60" s="1"/>
  <c r="AX192" i="60" s="1"/>
  <c r="AZ192" i="60" s="1"/>
  <c r="BB192" i="60" s="1"/>
  <c r="Z352" i="60"/>
  <c r="AP352" i="60" s="1"/>
  <c r="AR352" i="60" s="1"/>
  <c r="AT352" i="60" s="1"/>
  <c r="AV352" i="60" s="1"/>
  <c r="AX352" i="60" s="1"/>
  <c r="AZ352" i="60" s="1"/>
  <c r="BB352" i="60" s="1"/>
  <c r="AU300" i="60"/>
  <c r="AW300" i="60" s="1"/>
  <c r="AW388" i="60"/>
  <c r="AU338" i="60"/>
  <c r="AW338" i="60" s="1"/>
  <c r="AP68" i="60"/>
  <c r="AR68" i="60" s="1"/>
  <c r="AT68" i="60" s="1"/>
  <c r="AV68" i="60" s="1"/>
  <c r="AX68" i="60" s="1"/>
  <c r="AZ68" i="60" s="1"/>
  <c r="BB68" i="60" s="1"/>
  <c r="BD68" i="60" s="1"/>
  <c r="BF68" i="60" s="1"/>
  <c r="AU243" i="60"/>
  <c r="AW243" i="60" s="1"/>
  <c r="AP221" i="60"/>
  <c r="AR221" i="60" s="1"/>
  <c r="AT221" i="60" s="1"/>
  <c r="AV221" i="60" s="1"/>
  <c r="AX221" i="60" s="1"/>
  <c r="AZ221" i="60" s="1"/>
  <c r="BB221" i="60" s="1"/>
  <c r="BD221" i="60" s="1"/>
  <c r="BF221" i="60" s="1"/>
  <c r="AU360" i="60"/>
  <c r="AW360" i="60" s="1"/>
  <c r="AP350" i="60"/>
  <c r="AR350" i="60" s="1"/>
  <c r="AT350" i="60" s="1"/>
  <c r="AV350" i="60" s="1"/>
  <c r="AX350" i="60" s="1"/>
  <c r="AZ350" i="60" s="1"/>
  <c r="BB350" i="60" s="1"/>
  <c r="BD350" i="60" s="1"/>
  <c r="BF350" i="60" s="1"/>
  <c r="AP241" i="60"/>
  <c r="AR241" i="60" s="1"/>
  <c r="AT241" i="60" s="1"/>
  <c r="AV241" i="60" s="1"/>
  <c r="AX241" i="60" s="1"/>
  <c r="AZ241" i="60" s="1"/>
  <c r="BB241" i="60" s="1"/>
  <c r="AP305" i="60"/>
  <c r="AR305" i="60" s="1"/>
  <c r="AT305" i="60" s="1"/>
  <c r="AV305" i="60" s="1"/>
  <c r="AX305" i="60" s="1"/>
  <c r="AZ305" i="60" s="1"/>
  <c r="BB305" i="60" s="1"/>
  <c r="BD305" i="60" s="1"/>
  <c r="BF305" i="60" s="1"/>
  <c r="AP232" i="60"/>
  <c r="AR232" i="60" s="1"/>
  <c r="AT232" i="60" s="1"/>
  <c r="AV232" i="60" s="1"/>
  <c r="AX232" i="60" s="1"/>
  <c r="AZ232" i="60" s="1"/>
  <c r="BB232" i="60" s="1"/>
  <c r="BD232" i="60" s="1"/>
  <c r="BF232" i="60" s="1"/>
  <c r="AU248" i="60"/>
  <c r="AW248" i="60" s="1"/>
  <c r="AP158" i="60"/>
  <c r="AR158" i="60" s="1"/>
  <c r="AT158" i="60" s="1"/>
  <c r="AV158" i="60" s="1"/>
  <c r="AX158" i="60" s="1"/>
  <c r="AZ158" i="60" s="1"/>
  <c r="BB158" i="60" s="1"/>
  <c r="BD158" i="60" s="1"/>
  <c r="BF158" i="60" s="1"/>
  <c r="AP124" i="60"/>
  <c r="AR124" i="60" s="1"/>
  <c r="AT124" i="60" s="1"/>
  <c r="AV124" i="60" s="1"/>
  <c r="AX124" i="60" s="1"/>
  <c r="AZ124" i="60" s="1"/>
  <c r="BB124" i="60" s="1"/>
  <c r="BD124" i="60" s="1"/>
  <c r="BF124" i="60" s="1"/>
  <c r="AP77" i="60"/>
  <c r="AR77" i="60" s="1"/>
  <c r="AT77" i="60" s="1"/>
  <c r="AV77" i="60" s="1"/>
  <c r="AX77" i="60" s="1"/>
  <c r="AZ77" i="60" s="1"/>
  <c r="BB77" i="60" s="1"/>
  <c r="BD77" i="60" s="1"/>
  <c r="BF77" i="60" s="1"/>
  <c r="AW208" i="60"/>
  <c r="AP174" i="60"/>
  <c r="AR174" i="60" s="1"/>
  <c r="AT174" i="60" s="1"/>
  <c r="AV174" i="60" s="1"/>
  <c r="AX174" i="60" s="1"/>
  <c r="AZ174" i="60" s="1"/>
  <c r="BB174" i="60" s="1"/>
  <c r="BD174" i="60" s="1"/>
  <c r="BF174" i="60" s="1"/>
  <c r="AW24" i="60"/>
  <c r="AP32" i="60"/>
  <c r="AR32" i="60" s="1"/>
  <c r="AT32" i="60" s="1"/>
  <c r="AV32" i="60" s="1"/>
  <c r="AX32" i="60" s="1"/>
  <c r="AZ32" i="60" s="1"/>
  <c r="BB32" i="60" s="1"/>
  <c r="BD32" i="60" s="1"/>
  <c r="BF32" i="60" s="1"/>
  <c r="AP49" i="60"/>
  <c r="AR49" i="60" s="1"/>
  <c r="AT49" i="60" s="1"/>
  <c r="AV49" i="60" s="1"/>
  <c r="AX49" i="60" s="1"/>
  <c r="AZ49" i="60" s="1"/>
  <c r="BB49" i="60" s="1"/>
  <c r="BD49" i="60" s="1"/>
  <c r="BF49" i="60" s="1"/>
  <c r="AU354" i="60"/>
  <c r="AW354" i="60" s="1"/>
  <c r="AN203" i="60"/>
  <c r="AP203" i="60" s="1"/>
  <c r="AR203" i="60" s="1"/>
  <c r="AT203" i="60" s="1"/>
  <c r="AV203" i="60" s="1"/>
  <c r="AX203" i="60" s="1"/>
  <c r="AZ203" i="60" s="1"/>
  <c r="BB203" i="60" s="1"/>
  <c r="AU203" i="60"/>
  <c r="AN114" i="60"/>
  <c r="AP114" i="60" s="1"/>
  <c r="AR114" i="60" s="1"/>
  <c r="AT114" i="60" s="1"/>
  <c r="AV114" i="60" s="1"/>
  <c r="AX114" i="60" s="1"/>
  <c r="AZ114" i="60" s="1"/>
  <c r="BB114" i="60" s="1"/>
  <c r="AU114" i="60"/>
  <c r="AN347" i="60"/>
  <c r="AP347" i="60" s="1"/>
  <c r="AR347" i="60" s="1"/>
  <c r="AT347" i="60" s="1"/>
  <c r="AV347" i="60" s="1"/>
  <c r="AX347" i="60" s="1"/>
  <c r="AZ347" i="60" s="1"/>
  <c r="BB347" i="60" s="1"/>
  <c r="AU347" i="60"/>
  <c r="AN281" i="60"/>
  <c r="AP281" i="60" s="1"/>
  <c r="AR281" i="60" s="1"/>
  <c r="AT281" i="60" s="1"/>
  <c r="AV281" i="60" s="1"/>
  <c r="AX281" i="60" s="1"/>
  <c r="AZ281" i="60" s="1"/>
  <c r="BB281" i="60" s="1"/>
  <c r="AU281" i="60"/>
  <c r="AN133" i="60"/>
  <c r="AP133" i="60" s="1"/>
  <c r="AR133" i="60" s="1"/>
  <c r="AT133" i="60" s="1"/>
  <c r="AV133" i="60" s="1"/>
  <c r="AX133" i="60" s="1"/>
  <c r="AZ133" i="60" s="1"/>
  <c r="BB133" i="60" s="1"/>
  <c r="AU133" i="60"/>
  <c r="AN294" i="60"/>
  <c r="AP294" i="60" s="1"/>
  <c r="AR294" i="60" s="1"/>
  <c r="AT294" i="60" s="1"/>
  <c r="AV294" i="60" s="1"/>
  <c r="AX294" i="60" s="1"/>
  <c r="AZ294" i="60" s="1"/>
  <c r="BB294" i="60" s="1"/>
  <c r="AU294" i="60"/>
  <c r="AN385" i="60"/>
  <c r="AP385" i="60" s="1"/>
  <c r="AR385" i="60" s="1"/>
  <c r="AT385" i="60" s="1"/>
  <c r="AV385" i="60" s="1"/>
  <c r="AX385" i="60" s="1"/>
  <c r="AZ385" i="60" s="1"/>
  <c r="BB385" i="60" s="1"/>
  <c r="AU385" i="60"/>
  <c r="AN341" i="60"/>
  <c r="AP341" i="60" s="1"/>
  <c r="AR341" i="60" s="1"/>
  <c r="AT341" i="60" s="1"/>
  <c r="AV341" i="60" s="1"/>
  <c r="AX341" i="60" s="1"/>
  <c r="AZ341" i="60" s="1"/>
  <c r="BB341" i="60" s="1"/>
  <c r="AU341" i="60"/>
  <c r="AN150" i="60"/>
  <c r="AP150" i="60" s="1"/>
  <c r="AR150" i="60" s="1"/>
  <c r="AT150" i="60" s="1"/>
  <c r="AV150" i="60" s="1"/>
  <c r="AX150" i="60" s="1"/>
  <c r="AZ150" i="60" s="1"/>
  <c r="BB150" i="60" s="1"/>
  <c r="AU150" i="60"/>
  <c r="AN90" i="60"/>
  <c r="AP90" i="60" s="1"/>
  <c r="AR90" i="60" s="1"/>
  <c r="AT90" i="60" s="1"/>
  <c r="AV90" i="60" s="1"/>
  <c r="AX90" i="60" s="1"/>
  <c r="AZ90" i="60" s="1"/>
  <c r="BB90" i="60" s="1"/>
  <c r="AU90" i="60"/>
  <c r="AN169" i="60"/>
  <c r="AP169" i="60" s="1"/>
  <c r="AR169" i="60" s="1"/>
  <c r="AT169" i="60" s="1"/>
  <c r="AV169" i="60" s="1"/>
  <c r="AX169" i="60" s="1"/>
  <c r="AZ169" i="60" s="1"/>
  <c r="BB169" i="60" s="1"/>
  <c r="AU169" i="60"/>
  <c r="AN287" i="60"/>
  <c r="AP287" i="60" s="1"/>
  <c r="AR287" i="60" s="1"/>
  <c r="AT287" i="60" s="1"/>
  <c r="AV287" i="60" s="1"/>
  <c r="AX287" i="60" s="1"/>
  <c r="AZ287" i="60" s="1"/>
  <c r="BB287" i="60" s="1"/>
  <c r="AU287" i="60"/>
  <c r="AN93" i="60"/>
  <c r="AP93" i="60" s="1"/>
  <c r="AR93" i="60" s="1"/>
  <c r="AT93" i="60" s="1"/>
  <c r="AV93" i="60" s="1"/>
  <c r="AX93" i="60" s="1"/>
  <c r="AZ93" i="60" s="1"/>
  <c r="BB93" i="60" s="1"/>
  <c r="AU93" i="60"/>
  <c r="S116" i="60"/>
  <c r="AW116" i="60" s="1"/>
  <c r="AN389" i="60"/>
  <c r="AP389" i="60" s="1"/>
  <c r="AR389" i="60" s="1"/>
  <c r="AT389" i="60" s="1"/>
  <c r="AV389" i="60" s="1"/>
  <c r="AX389" i="60" s="1"/>
  <c r="AZ389" i="60" s="1"/>
  <c r="BB389" i="60" s="1"/>
  <c r="AU389" i="60"/>
  <c r="AN292" i="60"/>
  <c r="AP292" i="60" s="1"/>
  <c r="AR292" i="60" s="1"/>
  <c r="AT292" i="60" s="1"/>
  <c r="AV292" i="60" s="1"/>
  <c r="AX292" i="60" s="1"/>
  <c r="AZ292" i="60" s="1"/>
  <c r="BB292" i="60" s="1"/>
  <c r="AU292" i="60"/>
  <c r="AN320" i="60"/>
  <c r="AP320" i="60" s="1"/>
  <c r="AR320" i="60" s="1"/>
  <c r="AT320" i="60" s="1"/>
  <c r="AV320" i="60" s="1"/>
  <c r="AX320" i="60" s="1"/>
  <c r="AZ320" i="60" s="1"/>
  <c r="BB320" i="60" s="1"/>
  <c r="AU320" i="60"/>
  <c r="AN314" i="60"/>
  <c r="AP314" i="60" s="1"/>
  <c r="AR314" i="60" s="1"/>
  <c r="AT314" i="60" s="1"/>
  <c r="AV314" i="60" s="1"/>
  <c r="AX314" i="60" s="1"/>
  <c r="AZ314" i="60" s="1"/>
  <c r="BB314" i="60" s="1"/>
  <c r="AU314" i="60"/>
  <c r="AP282" i="60"/>
  <c r="AR282" i="60" s="1"/>
  <c r="AT282" i="60" s="1"/>
  <c r="AV282" i="60" s="1"/>
  <c r="AX282" i="60" s="1"/>
  <c r="AZ282" i="60" s="1"/>
  <c r="BB282" i="60" s="1"/>
  <c r="L225" i="60"/>
  <c r="AN381" i="60"/>
  <c r="AP381" i="60" s="1"/>
  <c r="AR381" i="60" s="1"/>
  <c r="AT381" i="60" s="1"/>
  <c r="AV381" i="60" s="1"/>
  <c r="AX381" i="60" s="1"/>
  <c r="AZ381" i="60" s="1"/>
  <c r="BB381" i="60" s="1"/>
  <c r="AU381" i="60"/>
  <c r="AN166" i="60"/>
  <c r="AP166" i="60" s="1"/>
  <c r="AR166" i="60" s="1"/>
  <c r="AT166" i="60" s="1"/>
  <c r="AV166" i="60" s="1"/>
  <c r="AX166" i="60" s="1"/>
  <c r="AZ166" i="60" s="1"/>
  <c r="BB166" i="60" s="1"/>
  <c r="AU166" i="60"/>
  <c r="Z219" i="60"/>
  <c r="AN154" i="60"/>
  <c r="AP154" i="60" s="1"/>
  <c r="AR154" i="60" s="1"/>
  <c r="AT154" i="60" s="1"/>
  <c r="AV154" i="60" s="1"/>
  <c r="AX154" i="60" s="1"/>
  <c r="AZ154" i="60" s="1"/>
  <c r="BB154" i="60" s="1"/>
  <c r="AU154" i="60"/>
  <c r="AN329" i="60"/>
  <c r="AP329" i="60" s="1"/>
  <c r="AR329" i="60" s="1"/>
  <c r="AT329" i="60" s="1"/>
  <c r="AV329" i="60" s="1"/>
  <c r="AX329" i="60" s="1"/>
  <c r="AZ329" i="60" s="1"/>
  <c r="BB329" i="60" s="1"/>
  <c r="AU329" i="60"/>
  <c r="AN132" i="60"/>
  <c r="AP132" i="60" s="1"/>
  <c r="AR132" i="60" s="1"/>
  <c r="AT132" i="60" s="1"/>
  <c r="AV132" i="60" s="1"/>
  <c r="AX132" i="60" s="1"/>
  <c r="AZ132" i="60" s="1"/>
  <c r="BB132" i="60" s="1"/>
  <c r="AU132" i="60"/>
  <c r="AN319" i="60"/>
  <c r="AP319" i="60" s="1"/>
  <c r="AR319" i="60" s="1"/>
  <c r="AT319" i="60" s="1"/>
  <c r="AV319" i="60" s="1"/>
  <c r="AX319" i="60" s="1"/>
  <c r="AZ319" i="60" s="1"/>
  <c r="BB319" i="60" s="1"/>
  <c r="AU319" i="60"/>
  <c r="AN159" i="60"/>
  <c r="AP159" i="60" s="1"/>
  <c r="AR159" i="60" s="1"/>
  <c r="AT159" i="60" s="1"/>
  <c r="AV159" i="60" s="1"/>
  <c r="AX159" i="60" s="1"/>
  <c r="AZ159" i="60" s="1"/>
  <c r="BB159" i="60" s="1"/>
  <c r="AU159" i="60"/>
  <c r="AP237" i="60"/>
  <c r="AR237" i="60" s="1"/>
  <c r="AT237" i="60" s="1"/>
  <c r="AV237" i="60" s="1"/>
  <c r="AX237" i="60" s="1"/>
  <c r="AZ237" i="60" s="1"/>
  <c r="BB237" i="60" s="1"/>
  <c r="BD237" i="60" s="1"/>
  <c r="AP384" i="60"/>
  <c r="AR384" i="60" s="1"/>
  <c r="AT384" i="60" s="1"/>
  <c r="AV384" i="60" s="1"/>
  <c r="AX384" i="60" s="1"/>
  <c r="AZ384" i="60" s="1"/>
  <c r="BB384" i="60" s="1"/>
  <c r="BD384" i="60" s="1"/>
  <c r="AU267" i="60"/>
  <c r="AW267" i="60" s="1"/>
  <c r="AY267" i="60" s="1"/>
  <c r="BA267" i="60" s="1"/>
  <c r="BC267" i="60" s="1"/>
  <c r="BE267" i="60" s="1"/>
  <c r="BG267" i="60" s="1"/>
  <c r="AW247" i="60"/>
  <c r="AY247" i="60" s="1"/>
  <c r="BA247" i="60" s="1"/>
  <c r="BC247" i="60" s="1"/>
  <c r="BE247" i="60" s="1"/>
  <c r="BG247" i="60" s="1"/>
  <c r="AP123" i="60"/>
  <c r="AR123" i="60" s="1"/>
  <c r="AT123" i="60" s="1"/>
  <c r="AV123" i="60" s="1"/>
  <c r="AX123" i="60" s="1"/>
  <c r="AZ123" i="60" s="1"/>
  <c r="BB123" i="60" s="1"/>
  <c r="BD123" i="60" s="1"/>
  <c r="AU262" i="60"/>
  <c r="AW262" i="60" s="1"/>
  <c r="AY262" i="60" s="1"/>
  <c r="BA262" i="60" s="1"/>
  <c r="BC262" i="60" s="1"/>
  <c r="BE262" i="60" s="1"/>
  <c r="BG262" i="60" s="1"/>
  <c r="AP373" i="60"/>
  <c r="AR373" i="60" s="1"/>
  <c r="AT373" i="60" s="1"/>
  <c r="AV373" i="60" s="1"/>
  <c r="AX373" i="60" s="1"/>
  <c r="AZ373" i="60" s="1"/>
  <c r="BB373" i="60" s="1"/>
  <c r="AP65" i="60"/>
  <c r="AR65" i="60" s="1"/>
  <c r="AT65" i="60" s="1"/>
  <c r="AV65" i="60" s="1"/>
  <c r="AX65" i="60" s="1"/>
  <c r="AZ65" i="60" s="1"/>
  <c r="BB65" i="60" s="1"/>
  <c r="AP60" i="60"/>
  <c r="AR60" i="60" s="1"/>
  <c r="AT60" i="60" s="1"/>
  <c r="AV60" i="60" s="1"/>
  <c r="AX60" i="60" s="1"/>
  <c r="AZ60" i="60" s="1"/>
  <c r="BB60" i="60" s="1"/>
  <c r="BD60" i="60" s="1"/>
  <c r="AW51" i="60"/>
  <c r="AP155" i="60"/>
  <c r="AR155" i="60" s="1"/>
  <c r="AT155" i="60" s="1"/>
  <c r="AV155" i="60" s="1"/>
  <c r="AX155" i="60" s="1"/>
  <c r="AZ155" i="60" s="1"/>
  <c r="BB155" i="60" s="1"/>
  <c r="AP315" i="60"/>
  <c r="AR315" i="60" s="1"/>
  <c r="AT315" i="60" s="1"/>
  <c r="AV315" i="60" s="1"/>
  <c r="AX315" i="60" s="1"/>
  <c r="AZ315" i="60" s="1"/>
  <c r="BB315" i="60" s="1"/>
  <c r="BD315" i="60" s="1"/>
  <c r="AP112" i="60"/>
  <c r="AR112" i="60" s="1"/>
  <c r="AT112" i="60" s="1"/>
  <c r="AV112" i="60" s="1"/>
  <c r="AX112" i="60" s="1"/>
  <c r="AZ112" i="60" s="1"/>
  <c r="BB112" i="60" s="1"/>
  <c r="BD112" i="60" s="1"/>
  <c r="AP261" i="60"/>
  <c r="AR261" i="60" s="1"/>
  <c r="AT261" i="60" s="1"/>
  <c r="AV261" i="60" s="1"/>
  <c r="AX261" i="60" s="1"/>
  <c r="AZ261" i="60" s="1"/>
  <c r="BB261" i="60" s="1"/>
  <c r="AU220" i="60"/>
  <c r="AW220" i="60" s="1"/>
  <c r="AY220" i="60" s="1"/>
  <c r="BA220" i="60" s="1"/>
  <c r="BC220" i="60" s="1"/>
  <c r="BE220" i="60" s="1"/>
  <c r="BG220" i="60" s="1"/>
  <c r="AP364" i="60"/>
  <c r="AR364" i="60" s="1"/>
  <c r="AT364" i="60" s="1"/>
  <c r="AV364" i="60" s="1"/>
  <c r="AX364" i="60" s="1"/>
  <c r="AZ364" i="60" s="1"/>
  <c r="BB364" i="60" s="1"/>
  <c r="BD364" i="60" s="1"/>
  <c r="AP111" i="60"/>
  <c r="AR111" i="60" s="1"/>
  <c r="AT111" i="60" s="1"/>
  <c r="AV111" i="60" s="1"/>
  <c r="AX111" i="60" s="1"/>
  <c r="AZ111" i="60" s="1"/>
  <c r="BB111" i="60" s="1"/>
  <c r="BD111" i="60" s="1"/>
  <c r="AP230" i="60"/>
  <c r="AR230" i="60" s="1"/>
  <c r="AT230" i="60" s="1"/>
  <c r="AV230" i="60" s="1"/>
  <c r="AX230" i="60" s="1"/>
  <c r="AZ230" i="60" s="1"/>
  <c r="BB230" i="60" s="1"/>
  <c r="AN189" i="60"/>
  <c r="AP189" i="60" s="1"/>
  <c r="AR189" i="60" s="1"/>
  <c r="AT189" i="60" s="1"/>
  <c r="AV189" i="60" s="1"/>
  <c r="AX189" i="60" s="1"/>
  <c r="AZ189" i="60" s="1"/>
  <c r="BB189" i="60" s="1"/>
  <c r="AU189" i="60"/>
  <c r="AN199" i="60"/>
  <c r="AP199" i="60" s="1"/>
  <c r="AR199" i="60" s="1"/>
  <c r="AT199" i="60" s="1"/>
  <c r="AV199" i="60" s="1"/>
  <c r="AX199" i="60" s="1"/>
  <c r="AZ199" i="60" s="1"/>
  <c r="BB199" i="60" s="1"/>
  <c r="AU199" i="60"/>
  <c r="AN339" i="60"/>
  <c r="AP339" i="60" s="1"/>
  <c r="AR339" i="60" s="1"/>
  <c r="AT339" i="60" s="1"/>
  <c r="AV339" i="60" s="1"/>
  <c r="AX339" i="60" s="1"/>
  <c r="AZ339" i="60" s="1"/>
  <c r="BB339" i="60" s="1"/>
  <c r="AU339" i="60"/>
  <c r="AN312" i="60"/>
  <c r="AP312" i="60" s="1"/>
  <c r="AR312" i="60" s="1"/>
  <c r="AT312" i="60" s="1"/>
  <c r="AV312" i="60" s="1"/>
  <c r="AX312" i="60" s="1"/>
  <c r="AZ312" i="60" s="1"/>
  <c r="BB312" i="60" s="1"/>
  <c r="AU312" i="60"/>
  <c r="AN179" i="60"/>
  <c r="AP179" i="60" s="1"/>
  <c r="AR179" i="60" s="1"/>
  <c r="AT179" i="60" s="1"/>
  <c r="AV179" i="60" s="1"/>
  <c r="AX179" i="60" s="1"/>
  <c r="AZ179" i="60" s="1"/>
  <c r="BB179" i="60" s="1"/>
  <c r="AU179" i="60"/>
  <c r="AU325" i="60"/>
  <c r="AW325" i="60" s="1"/>
  <c r="AY325" i="60" s="1"/>
  <c r="BA325" i="60" s="1"/>
  <c r="BC325" i="60" s="1"/>
  <c r="BE325" i="60" s="1"/>
  <c r="BG325" i="60" s="1"/>
  <c r="AW273" i="60"/>
  <c r="AY273" i="60" s="1"/>
  <c r="BA273" i="60" s="1"/>
  <c r="BC273" i="60" s="1"/>
  <c r="BE273" i="60" s="1"/>
  <c r="BG273" i="60" s="1"/>
  <c r="AP362" i="60"/>
  <c r="AR362" i="60" s="1"/>
  <c r="AT362" i="60" s="1"/>
  <c r="AV362" i="60" s="1"/>
  <c r="AX362" i="60" s="1"/>
  <c r="AZ362" i="60" s="1"/>
  <c r="BB362" i="60" s="1"/>
  <c r="AP257" i="60"/>
  <c r="AR257" i="60" s="1"/>
  <c r="AT257" i="60" s="1"/>
  <c r="AV257" i="60" s="1"/>
  <c r="AX257" i="60" s="1"/>
  <c r="AZ257" i="60" s="1"/>
  <c r="BB257" i="60" s="1"/>
  <c r="AP34" i="60"/>
  <c r="AR34" i="60" s="1"/>
  <c r="AT34" i="60" s="1"/>
  <c r="AV34" i="60" s="1"/>
  <c r="AX34" i="60" s="1"/>
  <c r="AZ34" i="60" s="1"/>
  <c r="BB34" i="60" s="1"/>
  <c r="BD34" i="60" s="1"/>
  <c r="AW70" i="60"/>
  <c r="AY70" i="60" s="1"/>
  <c r="BA70" i="60" s="1"/>
  <c r="BC70" i="60" s="1"/>
  <c r="BE70" i="60" s="1"/>
  <c r="BG70" i="60" s="1"/>
  <c r="AW284" i="60"/>
  <c r="AY284" i="60" s="1"/>
  <c r="BA284" i="60" s="1"/>
  <c r="BC284" i="60" s="1"/>
  <c r="BE284" i="60" s="1"/>
  <c r="BG284" i="60" s="1"/>
  <c r="AU79" i="60"/>
  <c r="AW79" i="60" s="1"/>
  <c r="AP254" i="60"/>
  <c r="AR254" i="60" s="1"/>
  <c r="AT254" i="60" s="1"/>
  <c r="AV254" i="60" s="1"/>
  <c r="AX254" i="60" s="1"/>
  <c r="AZ254" i="60" s="1"/>
  <c r="BB254" i="60" s="1"/>
  <c r="AP88" i="60"/>
  <c r="AR88" i="60" s="1"/>
  <c r="AT88" i="60" s="1"/>
  <c r="AV88" i="60" s="1"/>
  <c r="AX88" i="60" s="1"/>
  <c r="AZ88" i="60" s="1"/>
  <c r="BB88" i="60" s="1"/>
  <c r="BD88" i="60" s="1"/>
  <c r="AP317" i="60"/>
  <c r="AR317" i="60" s="1"/>
  <c r="AT317" i="60" s="1"/>
  <c r="AV317" i="60" s="1"/>
  <c r="AX317" i="60" s="1"/>
  <c r="AZ317" i="60" s="1"/>
  <c r="BB317" i="60" s="1"/>
  <c r="AW118" i="60"/>
  <c r="AY118" i="60" s="1"/>
  <c r="BA118" i="60" s="1"/>
  <c r="BC118" i="60" s="1"/>
  <c r="BE118" i="60" s="1"/>
  <c r="BG118" i="60" s="1"/>
  <c r="AW303" i="60"/>
  <c r="AY303" i="60" s="1"/>
  <c r="BA303" i="60" s="1"/>
  <c r="BC303" i="60" s="1"/>
  <c r="BE303" i="60" s="1"/>
  <c r="BG303" i="60" s="1"/>
  <c r="AW353" i="60"/>
  <c r="AY353" i="60" s="1"/>
  <c r="BA353" i="60" s="1"/>
  <c r="BC353" i="60" s="1"/>
  <c r="BE353" i="60" s="1"/>
  <c r="BG353" i="60" s="1"/>
  <c r="AP252" i="60"/>
  <c r="AR252" i="60" s="1"/>
  <c r="AT252" i="60" s="1"/>
  <c r="AV252" i="60" s="1"/>
  <c r="AX252" i="60" s="1"/>
  <c r="AZ252" i="60" s="1"/>
  <c r="BB252" i="60" s="1"/>
  <c r="BD252" i="60" s="1"/>
  <c r="AW102" i="60"/>
  <c r="AP138" i="60"/>
  <c r="AR138" i="60" s="1"/>
  <c r="AT138" i="60" s="1"/>
  <c r="AV138" i="60" s="1"/>
  <c r="AX138" i="60" s="1"/>
  <c r="AZ138" i="60" s="1"/>
  <c r="BB138" i="60" s="1"/>
  <c r="BD138" i="60" s="1"/>
  <c r="AP313" i="60"/>
  <c r="AR313" i="60" s="1"/>
  <c r="AT313" i="60" s="1"/>
  <c r="AV313" i="60" s="1"/>
  <c r="AX313" i="60" s="1"/>
  <c r="AZ313" i="60" s="1"/>
  <c r="BB313" i="60" s="1"/>
  <c r="AP198" i="60"/>
  <c r="AR198" i="60" s="1"/>
  <c r="AT198" i="60" s="1"/>
  <c r="AV198" i="60" s="1"/>
  <c r="AX198" i="60" s="1"/>
  <c r="AZ198" i="60" s="1"/>
  <c r="BB198" i="60" s="1"/>
  <c r="BD198" i="60" s="1"/>
  <c r="AU223" i="60"/>
  <c r="AW223" i="60" s="1"/>
  <c r="AY223" i="60" s="1"/>
  <c r="BA223" i="60" s="1"/>
  <c r="BC223" i="60" s="1"/>
  <c r="BE223" i="60" s="1"/>
  <c r="BG223" i="60" s="1"/>
  <c r="AW127" i="60"/>
  <c r="AY127" i="60" s="1"/>
  <c r="BA127" i="60" s="1"/>
  <c r="BC127" i="60" s="1"/>
  <c r="BE127" i="60" s="1"/>
  <c r="BG127" i="60" s="1"/>
  <c r="AP395" i="60"/>
  <c r="AR395" i="60" s="1"/>
  <c r="AT395" i="60" s="1"/>
  <c r="AV395" i="60" s="1"/>
  <c r="AX395" i="60" s="1"/>
  <c r="AZ395" i="60" s="1"/>
  <c r="BB395" i="60" s="1"/>
  <c r="AU256" i="60"/>
  <c r="AW256" i="60" s="1"/>
  <c r="AY256" i="60" s="1"/>
  <c r="BA256" i="60" s="1"/>
  <c r="BC256" i="60" s="1"/>
  <c r="BE256" i="60" s="1"/>
  <c r="BG256" i="60" s="1"/>
  <c r="AP28" i="60"/>
  <c r="AR28" i="60" s="1"/>
  <c r="AT28" i="60" s="1"/>
  <c r="AV28" i="60" s="1"/>
  <c r="AX28" i="60" s="1"/>
  <c r="AZ28" i="60" s="1"/>
  <c r="BB28" i="60" s="1"/>
  <c r="BD28" i="60" s="1"/>
  <c r="AP52" i="60"/>
  <c r="AR52" i="60" s="1"/>
  <c r="AT52" i="60" s="1"/>
  <c r="AV52" i="60" s="1"/>
  <c r="AX52" i="60" s="1"/>
  <c r="AZ52" i="60" s="1"/>
  <c r="BB52" i="60" s="1"/>
  <c r="BD52" i="60" s="1"/>
  <c r="AP190" i="60"/>
  <c r="AR190" i="60" s="1"/>
  <c r="AT190" i="60" s="1"/>
  <c r="AV190" i="60" s="1"/>
  <c r="AX190" i="60" s="1"/>
  <c r="AZ190" i="60" s="1"/>
  <c r="BB190" i="60" s="1"/>
  <c r="BD190" i="60" s="1"/>
  <c r="AW200" i="60"/>
  <c r="AY200" i="60" s="1"/>
  <c r="BA200" i="60" s="1"/>
  <c r="BC200" i="60" s="1"/>
  <c r="BE200" i="60" s="1"/>
  <c r="BG200" i="60" s="1"/>
  <c r="AN295" i="60"/>
  <c r="AP295" i="60" s="1"/>
  <c r="AR295" i="60" s="1"/>
  <c r="AT295" i="60" s="1"/>
  <c r="AV295" i="60" s="1"/>
  <c r="AX295" i="60" s="1"/>
  <c r="AZ295" i="60" s="1"/>
  <c r="BB295" i="60" s="1"/>
  <c r="AU295" i="60"/>
  <c r="AN149" i="60"/>
  <c r="AP149" i="60" s="1"/>
  <c r="AR149" i="60" s="1"/>
  <c r="AT149" i="60" s="1"/>
  <c r="AV149" i="60" s="1"/>
  <c r="AX149" i="60" s="1"/>
  <c r="AZ149" i="60" s="1"/>
  <c r="BB149" i="60" s="1"/>
  <c r="AU149" i="60"/>
  <c r="AN126" i="60"/>
  <c r="AP126" i="60" s="1"/>
  <c r="AR126" i="60" s="1"/>
  <c r="AT126" i="60" s="1"/>
  <c r="AV126" i="60" s="1"/>
  <c r="AX126" i="60" s="1"/>
  <c r="AZ126" i="60" s="1"/>
  <c r="BB126" i="60" s="1"/>
  <c r="AU126" i="60"/>
  <c r="AN310" i="60"/>
  <c r="AP310" i="60" s="1"/>
  <c r="AR310" i="60" s="1"/>
  <c r="AT310" i="60" s="1"/>
  <c r="AV310" i="60" s="1"/>
  <c r="AX310" i="60" s="1"/>
  <c r="AZ310" i="60" s="1"/>
  <c r="BB310" i="60" s="1"/>
  <c r="AU310" i="60"/>
  <c r="AN380" i="60"/>
  <c r="AP380" i="60" s="1"/>
  <c r="AR380" i="60" s="1"/>
  <c r="AT380" i="60" s="1"/>
  <c r="AV380" i="60" s="1"/>
  <c r="AX380" i="60" s="1"/>
  <c r="AZ380" i="60" s="1"/>
  <c r="BB380" i="60" s="1"/>
  <c r="AU380" i="60"/>
  <c r="AN335" i="60"/>
  <c r="AP335" i="60" s="1"/>
  <c r="AR335" i="60" s="1"/>
  <c r="AT335" i="60" s="1"/>
  <c r="AV335" i="60" s="1"/>
  <c r="AX335" i="60" s="1"/>
  <c r="AZ335" i="60" s="1"/>
  <c r="BB335" i="60" s="1"/>
  <c r="AU335" i="60"/>
  <c r="AN289" i="60"/>
  <c r="AP289" i="60" s="1"/>
  <c r="AR289" i="60" s="1"/>
  <c r="AT289" i="60" s="1"/>
  <c r="AV289" i="60" s="1"/>
  <c r="AX289" i="60" s="1"/>
  <c r="AZ289" i="60" s="1"/>
  <c r="BB289" i="60" s="1"/>
  <c r="AU289" i="60"/>
  <c r="L265" i="60"/>
  <c r="AP265" i="60" s="1"/>
  <c r="AR265" i="60" s="1"/>
  <c r="AT265" i="60" s="1"/>
  <c r="AV265" i="60" s="1"/>
  <c r="AX265" i="60" s="1"/>
  <c r="AZ265" i="60" s="1"/>
  <c r="BB265" i="60" s="1"/>
  <c r="BD265" i="60" s="1"/>
  <c r="S249" i="60"/>
  <c r="AP249" i="60" s="1"/>
  <c r="AR249" i="60" s="1"/>
  <c r="AT249" i="60" s="1"/>
  <c r="AV249" i="60" s="1"/>
  <c r="AX249" i="60" s="1"/>
  <c r="AZ249" i="60" s="1"/>
  <c r="BB249" i="60" s="1"/>
  <c r="BD249" i="60" s="1"/>
  <c r="AN308" i="60"/>
  <c r="AP308" i="60" s="1"/>
  <c r="AR308" i="60" s="1"/>
  <c r="AT308" i="60" s="1"/>
  <c r="AV308" i="60" s="1"/>
  <c r="AX308" i="60" s="1"/>
  <c r="AZ308" i="60" s="1"/>
  <c r="BB308" i="60" s="1"/>
  <c r="AU308" i="60"/>
  <c r="AN316" i="60"/>
  <c r="AP316" i="60" s="1"/>
  <c r="AR316" i="60" s="1"/>
  <c r="AT316" i="60" s="1"/>
  <c r="AV316" i="60" s="1"/>
  <c r="AX316" i="60" s="1"/>
  <c r="AZ316" i="60" s="1"/>
  <c r="BB316" i="60" s="1"/>
  <c r="AU316" i="60"/>
  <c r="Z164" i="60"/>
  <c r="AW164" i="60" s="1"/>
  <c r="AU274" i="60"/>
  <c r="AW274" i="60" s="1"/>
  <c r="AY274" i="60" s="1"/>
  <c r="BA274" i="60" s="1"/>
  <c r="BC274" i="60" s="1"/>
  <c r="BE274" i="60" s="1"/>
  <c r="BG274" i="60" s="1"/>
  <c r="AU134" i="60"/>
  <c r="AW134" i="60" s="1"/>
  <c r="AY134" i="60" s="1"/>
  <c r="BA134" i="60" s="1"/>
  <c r="BC134" i="60" s="1"/>
  <c r="BE134" i="60" s="1"/>
  <c r="BG134" i="60" s="1"/>
  <c r="AN156" i="60"/>
  <c r="AP156" i="60" s="1"/>
  <c r="AR156" i="60" s="1"/>
  <c r="AT156" i="60" s="1"/>
  <c r="AV156" i="60" s="1"/>
  <c r="AX156" i="60" s="1"/>
  <c r="AZ156" i="60" s="1"/>
  <c r="BB156" i="60" s="1"/>
  <c r="AU156" i="60"/>
  <c r="AN288" i="60"/>
  <c r="AP288" i="60" s="1"/>
  <c r="AR288" i="60" s="1"/>
  <c r="AT288" i="60" s="1"/>
  <c r="AV288" i="60" s="1"/>
  <c r="AX288" i="60" s="1"/>
  <c r="AZ288" i="60" s="1"/>
  <c r="BB288" i="60" s="1"/>
  <c r="AU288" i="60"/>
  <c r="AN332" i="60"/>
  <c r="AP332" i="60" s="1"/>
  <c r="AR332" i="60" s="1"/>
  <c r="AT332" i="60" s="1"/>
  <c r="AV332" i="60" s="1"/>
  <c r="AX332" i="60" s="1"/>
  <c r="AZ332" i="60" s="1"/>
  <c r="BB332" i="60" s="1"/>
  <c r="AU332" i="60"/>
  <c r="L270" i="60"/>
  <c r="AN130" i="60"/>
  <c r="AP130" i="60" s="1"/>
  <c r="AR130" i="60" s="1"/>
  <c r="AT130" i="60" s="1"/>
  <c r="AV130" i="60" s="1"/>
  <c r="AX130" i="60" s="1"/>
  <c r="AZ130" i="60" s="1"/>
  <c r="BB130" i="60" s="1"/>
  <c r="AU130" i="60"/>
  <c r="AN327" i="60"/>
  <c r="AP327" i="60" s="1"/>
  <c r="AR327" i="60" s="1"/>
  <c r="AT327" i="60" s="1"/>
  <c r="AV327" i="60" s="1"/>
  <c r="AX327" i="60" s="1"/>
  <c r="AZ327" i="60" s="1"/>
  <c r="BB327" i="60" s="1"/>
  <c r="AU327" i="60"/>
  <c r="AP300" i="60"/>
  <c r="AR300" i="60" s="1"/>
  <c r="AT300" i="60" s="1"/>
  <c r="AV300" i="60" s="1"/>
  <c r="AX300" i="60" s="1"/>
  <c r="AZ300" i="60" s="1"/>
  <c r="BB300" i="60" s="1"/>
  <c r="AP388" i="60"/>
  <c r="AR388" i="60" s="1"/>
  <c r="AT388" i="60" s="1"/>
  <c r="AV388" i="60" s="1"/>
  <c r="AX388" i="60" s="1"/>
  <c r="AZ388" i="60" s="1"/>
  <c r="BB388" i="60" s="1"/>
  <c r="BD388" i="60" s="1"/>
  <c r="AP338" i="60"/>
  <c r="AR338" i="60" s="1"/>
  <c r="AT338" i="60" s="1"/>
  <c r="AV338" i="60" s="1"/>
  <c r="AX338" i="60" s="1"/>
  <c r="AZ338" i="60" s="1"/>
  <c r="BB338" i="60" s="1"/>
  <c r="AY383" i="60"/>
  <c r="BA383" i="60" s="1"/>
  <c r="BC383" i="60" s="1"/>
  <c r="BE383" i="60" s="1"/>
  <c r="BG383" i="60" s="1"/>
  <c r="AU352" i="60"/>
  <c r="AW218" i="60"/>
  <c r="AY218" i="60" s="1"/>
  <c r="BA218" i="60" s="1"/>
  <c r="BC218" i="60" s="1"/>
  <c r="BE218" i="60" s="1"/>
  <c r="BG218" i="60" s="1"/>
  <c r="AW168" i="60"/>
  <c r="AY168" i="60" s="1"/>
  <c r="BA168" i="60" s="1"/>
  <c r="BC168" i="60" s="1"/>
  <c r="BE168" i="60" s="1"/>
  <c r="BG168" i="60" s="1"/>
  <c r="AW340" i="60"/>
  <c r="AY340" i="60" s="1"/>
  <c r="BA340" i="60" s="1"/>
  <c r="BC340" i="60" s="1"/>
  <c r="BE340" i="60" s="1"/>
  <c r="BG340" i="60" s="1"/>
  <c r="AU311" i="60"/>
  <c r="AW311" i="60" s="1"/>
  <c r="AY311" i="60" s="1"/>
  <c r="BA311" i="60" s="1"/>
  <c r="BC311" i="60" s="1"/>
  <c r="BE311" i="60" s="1"/>
  <c r="BG311" i="60" s="1"/>
  <c r="AP243" i="60"/>
  <c r="AR243" i="60" s="1"/>
  <c r="AT243" i="60" s="1"/>
  <c r="AV243" i="60" s="1"/>
  <c r="AX243" i="60" s="1"/>
  <c r="AZ243" i="60" s="1"/>
  <c r="BB243" i="60" s="1"/>
  <c r="AU286" i="60"/>
  <c r="AW286" i="60" s="1"/>
  <c r="AY286" i="60" s="1"/>
  <c r="BA286" i="60" s="1"/>
  <c r="BC286" i="60" s="1"/>
  <c r="BE286" i="60" s="1"/>
  <c r="BG286" i="60" s="1"/>
  <c r="AW378" i="60"/>
  <c r="AW293" i="60"/>
  <c r="AY293" i="60" s="1"/>
  <c r="BA293" i="60" s="1"/>
  <c r="BC293" i="60" s="1"/>
  <c r="BE293" i="60" s="1"/>
  <c r="BG293" i="60" s="1"/>
  <c r="AU226" i="60"/>
  <c r="AW226" i="60" s="1"/>
  <c r="AY226" i="60" s="1"/>
  <c r="BA226" i="60" s="1"/>
  <c r="BC226" i="60" s="1"/>
  <c r="BE226" i="60" s="1"/>
  <c r="BG226" i="60" s="1"/>
  <c r="AP360" i="60"/>
  <c r="AR360" i="60" s="1"/>
  <c r="AT360" i="60" s="1"/>
  <c r="AV360" i="60" s="1"/>
  <c r="AX360" i="60" s="1"/>
  <c r="AZ360" i="60" s="1"/>
  <c r="BB360" i="60" s="1"/>
  <c r="AU25" i="60"/>
  <c r="AW25" i="60" s="1"/>
  <c r="AY25" i="60" s="1"/>
  <c r="BA25" i="60" s="1"/>
  <c r="BC25" i="60" s="1"/>
  <c r="BE25" i="60" s="1"/>
  <c r="BG25" i="60" s="1"/>
  <c r="AU377" i="60"/>
  <c r="AW377" i="60" s="1"/>
  <c r="AY377" i="60" s="1"/>
  <c r="BA377" i="60" s="1"/>
  <c r="BC377" i="60" s="1"/>
  <c r="BE377" i="60" s="1"/>
  <c r="BG377" i="60" s="1"/>
  <c r="AY47" i="60"/>
  <c r="BA47" i="60" s="1"/>
  <c r="BC47" i="60" s="1"/>
  <c r="BE47" i="60" s="1"/>
  <c r="BG47" i="60" s="1"/>
  <c r="AU192" i="60"/>
  <c r="AU401" i="60"/>
  <c r="AW401" i="60" s="1"/>
  <c r="AW318" i="60"/>
  <c r="AY318" i="60" s="1"/>
  <c r="BA318" i="60" s="1"/>
  <c r="BC318" i="60" s="1"/>
  <c r="BE318" i="60" s="1"/>
  <c r="BG318" i="60" s="1"/>
  <c r="AW162" i="60"/>
  <c r="AY162" i="60" s="1"/>
  <c r="BA162" i="60" s="1"/>
  <c r="BC162" i="60" s="1"/>
  <c r="BE162" i="60" s="1"/>
  <c r="BG162" i="60" s="1"/>
  <c r="AP248" i="60"/>
  <c r="AR248" i="60" s="1"/>
  <c r="AT248" i="60" s="1"/>
  <c r="AV248" i="60" s="1"/>
  <c r="AX248" i="60" s="1"/>
  <c r="AZ248" i="60" s="1"/>
  <c r="BB248" i="60" s="1"/>
  <c r="AW46" i="60"/>
  <c r="AY46" i="60" s="1"/>
  <c r="BA46" i="60" s="1"/>
  <c r="BC46" i="60" s="1"/>
  <c r="BE46" i="60" s="1"/>
  <c r="BG46" i="60" s="1"/>
  <c r="AP208" i="60"/>
  <c r="AR208" i="60" s="1"/>
  <c r="AT208" i="60" s="1"/>
  <c r="AV208" i="60" s="1"/>
  <c r="AX208" i="60" s="1"/>
  <c r="AZ208" i="60" s="1"/>
  <c r="BB208" i="60" s="1"/>
  <c r="BD208" i="60" s="1"/>
  <c r="AP24" i="60"/>
  <c r="AR24" i="60" s="1"/>
  <c r="AT24" i="60" s="1"/>
  <c r="AV24" i="60" s="1"/>
  <c r="AX24" i="60" s="1"/>
  <c r="AZ24" i="60" s="1"/>
  <c r="BB24" i="60" s="1"/>
  <c r="BD24" i="60" s="1"/>
  <c r="AY22" i="60"/>
  <c r="BA22" i="60" s="1"/>
  <c r="BC22" i="60" s="1"/>
  <c r="BE22" i="60" s="1"/>
  <c r="BG22" i="60" s="1"/>
  <c r="AP354" i="60"/>
  <c r="AR354" i="60" s="1"/>
  <c r="AT354" i="60" s="1"/>
  <c r="AV354" i="60" s="1"/>
  <c r="AX354" i="60" s="1"/>
  <c r="AZ354" i="60" s="1"/>
  <c r="BB354" i="60" s="1"/>
  <c r="AN276" i="60"/>
  <c r="AP276" i="60" s="1"/>
  <c r="AR276" i="60" s="1"/>
  <c r="AT276" i="60" s="1"/>
  <c r="AV276" i="60" s="1"/>
  <c r="AX276" i="60" s="1"/>
  <c r="AZ276" i="60" s="1"/>
  <c r="BB276" i="60" s="1"/>
  <c r="AU276" i="60"/>
  <c r="AN301" i="60"/>
  <c r="AP301" i="60" s="1"/>
  <c r="AR301" i="60" s="1"/>
  <c r="AT301" i="60" s="1"/>
  <c r="AV301" i="60" s="1"/>
  <c r="AX301" i="60" s="1"/>
  <c r="AZ301" i="60" s="1"/>
  <c r="BB301" i="60" s="1"/>
  <c r="AU301" i="60"/>
  <c r="L14" i="55"/>
  <c r="H14" i="5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55" i="1"/>
  <c r="C54" i="1"/>
  <c r="C53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4" i="1"/>
  <c r="C163" i="1"/>
  <c r="C162" i="1"/>
  <c r="C160" i="1"/>
  <c r="C159" i="1"/>
  <c r="C158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2" i="1"/>
  <c r="C25" i="1"/>
  <c r="C38" i="1"/>
  <c r="AW122" i="60" l="1"/>
  <c r="AY55" i="60"/>
  <c r="BA55" i="60" s="1"/>
  <c r="BC55" i="60" s="1"/>
  <c r="BE55" i="60" s="1"/>
  <c r="BG55" i="60" s="1"/>
  <c r="AW298" i="60"/>
  <c r="BD337" i="60"/>
  <c r="AY188" i="60"/>
  <c r="BA188" i="60" s="1"/>
  <c r="BC188" i="60" s="1"/>
  <c r="BE188" i="60" s="1"/>
  <c r="BG188" i="60" s="1"/>
  <c r="AW233" i="60"/>
  <c r="AY260" i="60"/>
  <c r="BA260" i="60" s="1"/>
  <c r="BC260" i="60" s="1"/>
  <c r="BE260" i="60" s="1"/>
  <c r="BG260" i="60" s="1"/>
  <c r="BF260" i="60"/>
  <c r="AY87" i="60"/>
  <c r="BA87" i="60" s="1"/>
  <c r="BC87" i="60" s="1"/>
  <c r="BE87" i="60" s="1"/>
  <c r="BG87" i="60" s="1"/>
  <c r="AY27" i="60"/>
  <c r="BA27" i="60" s="1"/>
  <c r="BC27" i="60" s="1"/>
  <c r="BE27" i="60" s="1"/>
  <c r="BG27" i="60" s="1"/>
  <c r="AY73" i="60"/>
  <c r="BA73" i="60" s="1"/>
  <c r="BC73" i="60" s="1"/>
  <c r="BE73" i="60" s="1"/>
  <c r="BG73" i="60" s="1"/>
  <c r="BF315" i="60"/>
  <c r="BF384" i="60"/>
  <c r="BD213" i="60"/>
  <c r="BD375" i="60"/>
  <c r="BD95" i="60"/>
  <c r="BD241" i="60"/>
  <c r="BF241" i="60" s="1"/>
  <c r="BF390" i="60"/>
  <c r="BF29" i="60"/>
  <c r="BF96" i="60"/>
  <c r="AY176" i="60"/>
  <c r="BA176" i="60" s="1"/>
  <c r="BC176" i="60" s="1"/>
  <c r="BE176" i="60" s="1"/>
  <c r="BG176" i="60" s="1"/>
  <c r="BD129" i="60"/>
  <c r="AY233" i="60"/>
  <c r="BA233" i="60" s="1"/>
  <c r="BC233" i="60" s="1"/>
  <c r="BE233" i="60" s="1"/>
  <c r="BG233" i="60" s="1"/>
  <c r="BF30" i="60"/>
  <c r="BF88" i="60"/>
  <c r="BF100" i="60"/>
  <c r="AW110" i="60"/>
  <c r="BF60" i="60"/>
  <c r="BF266" i="60"/>
  <c r="BD183" i="60"/>
  <c r="AW89" i="60"/>
  <c r="AY89" i="60" s="1"/>
  <c r="BA89" i="60" s="1"/>
  <c r="BC89" i="60" s="1"/>
  <c r="BE89" i="60" s="1"/>
  <c r="BG89" i="60" s="1"/>
  <c r="AW216" i="60"/>
  <c r="AY216" i="60" s="1"/>
  <c r="BA216" i="60" s="1"/>
  <c r="BC216" i="60" s="1"/>
  <c r="BE216" i="60" s="1"/>
  <c r="BG216" i="60" s="1"/>
  <c r="AW323" i="60"/>
  <c r="AY323" i="60" s="1"/>
  <c r="BA323" i="60" s="1"/>
  <c r="BC323" i="60" s="1"/>
  <c r="BE323" i="60" s="1"/>
  <c r="BG323" i="60" s="1"/>
  <c r="BD354" i="60"/>
  <c r="BF354" i="60" s="1"/>
  <c r="AY401" i="60"/>
  <c r="BA401" i="60" s="1"/>
  <c r="BC401" i="60" s="1"/>
  <c r="BE401" i="60" s="1"/>
  <c r="BG401" i="60" s="1"/>
  <c r="BF91" i="60"/>
  <c r="BF71" i="60"/>
  <c r="BD299" i="60"/>
  <c r="AW147" i="60"/>
  <c r="AY147" i="60" s="1"/>
  <c r="BA147" i="60" s="1"/>
  <c r="BC147" i="60" s="1"/>
  <c r="BE147" i="60" s="1"/>
  <c r="BG147" i="60" s="1"/>
  <c r="BD382" i="60"/>
  <c r="AW225" i="60"/>
  <c r="AW402" i="60"/>
  <c r="AY402" i="60" s="1"/>
  <c r="BA402" i="60" s="1"/>
  <c r="BC402" i="60" s="1"/>
  <c r="BE402" i="60" s="1"/>
  <c r="BG402" i="60" s="1"/>
  <c r="AW104" i="60"/>
  <c r="AY104" i="60" s="1"/>
  <c r="BA104" i="60" s="1"/>
  <c r="BC104" i="60" s="1"/>
  <c r="BE104" i="60" s="1"/>
  <c r="BG104" i="60" s="1"/>
  <c r="AW131" i="60"/>
  <c r="BD317" i="60"/>
  <c r="BF317" i="60" s="1"/>
  <c r="BF111" i="60"/>
  <c r="BD254" i="60"/>
  <c r="BF254" i="60" s="1"/>
  <c r="AW159" i="60"/>
  <c r="AY159" i="60" s="1"/>
  <c r="BA159" i="60" s="1"/>
  <c r="BC159" i="60" s="1"/>
  <c r="BE159" i="60" s="1"/>
  <c r="BG159" i="60" s="1"/>
  <c r="BF24" i="60"/>
  <c r="BF112" i="60"/>
  <c r="BF20" i="60"/>
  <c r="BF98" i="60"/>
  <c r="BD309" i="60"/>
  <c r="BD82" i="60"/>
  <c r="AW146" i="60"/>
  <c r="AY146" i="60" s="1"/>
  <c r="BA146" i="60" s="1"/>
  <c r="BC146" i="60" s="1"/>
  <c r="BE146" i="60" s="1"/>
  <c r="BG146" i="60" s="1"/>
  <c r="BD362" i="60"/>
  <c r="BF362" i="60" s="1"/>
  <c r="BD373" i="60"/>
  <c r="BF373" i="60" s="1"/>
  <c r="AW301" i="60"/>
  <c r="AY301" i="60" s="1"/>
  <c r="BA301" i="60" s="1"/>
  <c r="BC301" i="60" s="1"/>
  <c r="BE301" i="60" s="1"/>
  <c r="BG301" i="60" s="1"/>
  <c r="BF208" i="60"/>
  <c r="BF388" i="60"/>
  <c r="AW130" i="60"/>
  <c r="AY130" i="60" s="1"/>
  <c r="BA130" i="60" s="1"/>
  <c r="BC130" i="60" s="1"/>
  <c r="BE130" i="60" s="1"/>
  <c r="BG130" i="60" s="1"/>
  <c r="AW316" i="60"/>
  <c r="AY316" i="60" s="1"/>
  <c r="BA316" i="60" s="1"/>
  <c r="BC316" i="60" s="1"/>
  <c r="BE316" i="60" s="1"/>
  <c r="BG316" i="60" s="1"/>
  <c r="BD155" i="60"/>
  <c r="BF155" i="60" s="1"/>
  <c r="AW114" i="60"/>
  <c r="AY114" i="60" s="1"/>
  <c r="BA114" i="60" s="1"/>
  <c r="BC114" i="60" s="1"/>
  <c r="BE114" i="60" s="1"/>
  <c r="BG114" i="60" s="1"/>
  <c r="BF321" i="60"/>
  <c r="AW398" i="60"/>
  <c r="AY398" i="60" s="1"/>
  <c r="BA398" i="60" s="1"/>
  <c r="BC398" i="60" s="1"/>
  <c r="BE398" i="60" s="1"/>
  <c r="BG398" i="60" s="1"/>
  <c r="AY234" i="60"/>
  <c r="BA234" i="60" s="1"/>
  <c r="BC234" i="60" s="1"/>
  <c r="BE234" i="60" s="1"/>
  <c r="BG234" i="60" s="1"/>
  <c r="AY392" i="60"/>
  <c r="BA392" i="60" s="1"/>
  <c r="BC392" i="60" s="1"/>
  <c r="BE392" i="60" s="1"/>
  <c r="BG392" i="60" s="1"/>
  <c r="AY298" i="60"/>
  <c r="BA298" i="60" s="1"/>
  <c r="BC298" i="60" s="1"/>
  <c r="BE298" i="60" s="1"/>
  <c r="BG298" i="60" s="1"/>
  <c r="AY122" i="60"/>
  <c r="BA122" i="60" s="1"/>
  <c r="BC122" i="60" s="1"/>
  <c r="BE122" i="60" s="1"/>
  <c r="BG122" i="60" s="1"/>
  <c r="BF265" i="60"/>
  <c r="BF198" i="60"/>
  <c r="BF252" i="60"/>
  <c r="BD230" i="60"/>
  <c r="BF230" i="60" s="1"/>
  <c r="BF26" i="60"/>
  <c r="BF180" i="60"/>
  <c r="BD152" i="60"/>
  <c r="BD165" i="60"/>
  <c r="BD135" i="60"/>
  <c r="BD201" i="60"/>
  <c r="BD328" i="60"/>
  <c r="BD193" i="60"/>
  <c r="AP119" i="60"/>
  <c r="AR119" i="60" s="1"/>
  <c r="AT119" i="60" s="1"/>
  <c r="AV119" i="60" s="1"/>
  <c r="AX119" i="60" s="1"/>
  <c r="AZ119" i="60" s="1"/>
  <c r="BB119" i="60" s="1"/>
  <c r="BD119" i="60" s="1"/>
  <c r="BD276" i="60"/>
  <c r="BD360" i="60"/>
  <c r="BF360" i="60" s="1"/>
  <c r="AW156" i="60"/>
  <c r="AY156" i="60" s="1"/>
  <c r="BA156" i="60" s="1"/>
  <c r="BC156" i="60" s="1"/>
  <c r="BE156" i="60" s="1"/>
  <c r="BG156" i="60" s="1"/>
  <c r="BD308" i="60"/>
  <c r="BD289" i="60"/>
  <c r="AW380" i="60"/>
  <c r="AY380" i="60" s="1"/>
  <c r="BA380" i="60" s="1"/>
  <c r="BC380" i="60" s="1"/>
  <c r="BE380" i="60" s="1"/>
  <c r="BG380" i="60" s="1"/>
  <c r="BF138" i="60"/>
  <c r="BF364" i="60"/>
  <c r="AW132" i="60"/>
  <c r="AY132" i="60" s="1"/>
  <c r="BA132" i="60" s="1"/>
  <c r="BC132" i="60" s="1"/>
  <c r="BE132" i="60" s="1"/>
  <c r="BG132" i="60" s="1"/>
  <c r="BD203" i="60"/>
  <c r="AY300" i="60"/>
  <c r="BA300" i="60" s="1"/>
  <c r="BC300" i="60" s="1"/>
  <c r="BE300" i="60" s="1"/>
  <c r="BG300" i="60" s="1"/>
  <c r="BD192" i="60"/>
  <c r="AW81" i="60"/>
  <c r="AY81" i="60" s="1"/>
  <c r="BA81" i="60" s="1"/>
  <c r="BC81" i="60" s="1"/>
  <c r="BE81" i="60" s="1"/>
  <c r="BG81" i="60" s="1"/>
  <c r="BD85" i="60"/>
  <c r="BF85" i="60" s="1"/>
  <c r="AY190" i="60"/>
  <c r="BA190" i="60" s="1"/>
  <c r="BC190" i="60" s="1"/>
  <c r="BE190" i="60" s="1"/>
  <c r="BG190" i="60" s="1"/>
  <c r="AY52" i="60"/>
  <c r="BA52" i="60" s="1"/>
  <c r="BC52" i="60" s="1"/>
  <c r="BE52" i="60" s="1"/>
  <c r="BG52" i="60" s="1"/>
  <c r="AY65" i="60"/>
  <c r="BA65" i="60" s="1"/>
  <c r="BC65" i="60" s="1"/>
  <c r="BE65" i="60" s="1"/>
  <c r="BG65" i="60" s="1"/>
  <c r="AW148" i="60"/>
  <c r="AY148" i="60" s="1"/>
  <c r="BA148" i="60" s="1"/>
  <c r="BC148" i="60" s="1"/>
  <c r="BE148" i="60" s="1"/>
  <c r="BG148" i="60" s="1"/>
  <c r="BF39" i="60"/>
  <c r="BD338" i="60"/>
  <c r="BF338" i="60" s="1"/>
  <c r="AW327" i="60"/>
  <c r="AY327" i="60" s="1"/>
  <c r="BA327" i="60" s="1"/>
  <c r="BC327" i="60" s="1"/>
  <c r="BE327" i="60" s="1"/>
  <c r="BG327" i="60" s="1"/>
  <c r="BD395" i="60"/>
  <c r="BF395" i="60" s="1"/>
  <c r="BD313" i="60"/>
  <c r="BF313" i="60" s="1"/>
  <c r="AW339" i="60"/>
  <c r="AY339" i="60" s="1"/>
  <c r="BA339" i="60" s="1"/>
  <c r="BC339" i="60" s="1"/>
  <c r="BE339" i="60" s="1"/>
  <c r="BG339" i="60" s="1"/>
  <c r="AW199" i="60"/>
  <c r="AY199" i="60" s="1"/>
  <c r="BA199" i="60" s="1"/>
  <c r="BC199" i="60" s="1"/>
  <c r="BE199" i="60" s="1"/>
  <c r="BG199" i="60" s="1"/>
  <c r="BF43" i="60"/>
  <c r="AW154" i="60"/>
  <c r="AY154" i="60" s="1"/>
  <c r="BA154" i="60" s="1"/>
  <c r="BC154" i="60" s="1"/>
  <c r="BE154" i="60" s="1"/>
  <c r="BG154" i="60" s="1"/>
  <c r="AW287" i="60"/>
  <c r="AY287" i="60" s="1"/>
  <c r="BA287" i="60" s="1"/>
  <c r="BC287" i="60" s="1"/>
  <c r="BE287" i="60" s="1"/>
  <c r="BG287" i="60" s="1"/>
  <c r="AW90" i="60"/>
  <c r="AY90" i="60" s="1"/>
  <c r="BA90" i="60" s="1"/>
  <c r="BC90" i="60" s="1"/>
  <c r="BE90" i="60" s="1"/>
  <c r="BG90" i="60" s="1"/>
  <c r="AW385" i="60"/>
  <c r="AY385" i="60" s="1"/>
  <c r="BA385" i="60" s="1"/>
  <c r="BC385" i="60" s="1"/>
  <c r="BE385" i="60" s="1"/>
  <c r="BG385" i="60" s="1"/>
  <c r="AW281" i="60"/>
  <c r="AY281" i="60" s="1"/>
  <c r="BA281" i="60" s="1"/>
  <c r="BC281" i="60" s="1"/>
  <c r="BE281" i="60" s="1"/>
  <c r="BG281" i="60" s="1"/>
  <c r="BD352" i="60"/>
  <c r="AW349" i="60"/>
  <c r="AY349" i="60" s="1"/>
  <c r="BA349" i="60" s="1"/>
  <c r="BC349" i="60" s="1"/>
  <c r="BE349" i="60" s="1"/>
  <c r="BG349" i="60" s="1"/>
  <c r="AW333" i="60"/>
  <c r="AY333" i="60" s="1"/>
  <c r="BA333" i="60" s="1"/>
  <c r="BC333" i="60" s="1"/>
  <c r="BE333" i="60" s="1"/>
  <c r="BG333" i="60" s="1"/>
  <c r="AY28" i="60"/>
  <c r="BA28" i="60" s="1"/>
  <c r="BC28" i="60" s="1"/>
  <c r="BE28" i="60" s="1"/>
  <c r="BG28" i="60" s="1"/>
  <c r="AW181" i="60"/>
  <c r="AY181" i="60" s="1"/>
  <c r="BA181" i="60" s="1"/>
  <c r="BC181" i="60" s="1"/>
  <c r="BE181" i="60" s="1"/>
  <c r="BG181" i="60" s="1"/>
  <c r="AW177" i="60"/>
  <c r="AY177" i="60" s="1"/>
  <c r="BA177" i="60" s="1"/>
  <c r="BC177" i="60" s="1"/>
  <c r="BE177" i="60" s="1"/>
  <c r="BG177" i="60" s="1"/>
  <c r="AW197" i="60"/>
  <c r="AY197" i="60" s="1"/>
  <c r="BA197" i="60" s="1"/>
  <c r="BC197" i="60" s="1"/>
  <c r="BE197" i="60" s="1"/>
  <c r="BG197" i="60" s="1"/>
  <c r="AP140" i="60"/>
  <c r="AR140" i="60" s="1"/>
  <c r="AT140" i="60" s="1"/>
  <c r="AV140" i="60" s="1"/>
  <c r="AX140" i="60" s="1"/>
  <c r="AZ140" i="60" s="1"/>
  <c r="BB140" i="60" s="1"/>
  <c r="BD140" i="60" s="1"/>
  <c r="AY253" i="60"/>
  <c r="BA253" i="60" s="1"/>
  <c r="BC253" i="60" s="1"/>
  <c r="BE253" i="60" s="1"/>
  <c r="BG253" i="60" s="1"/>
  <c r="BD173" i="60"/>
  <c r="BD324" i="60"/>
  <c r="BD214" i="60"/>
  <c r="AW207" i="60"/>
  <c r="AY207" i="60" s="1"/>
  <c r="BA207" i="60" s="1"/>
  <c r="BC207" i="60" s="1"/>
  <c r="BE207" i="60" s="1"/>
  <c r="BG207" i="60" s="1"/>
  <c r="AW151" i="60"/>
  <c r="AY151" i="60" s="1"/>
  <c r="BA151" i="60" s="1"/>
  <c r="BC151" i="60" s="1"/>
  <c r="BE151" i="60" s="1"/>
  <c r="BG151" i="60" s="1"/>
  <c r="AW345" i="60"/>
  <c r="AY345" i="60" s="1"/>
  <c r="BA345" i="60" s="1"/>
  <c r="BC345" i="60" s="1"/>
  <c r="BE345" i="60" s="1"/>
  <c r="BG345" i="60" s="1"/>
  <c r="BF102" i="60"/>
  <c r="AW205" i="60"/>
  <c r="AY205" i="60" s="1"/>
  <c r="BA205" i="60" s="1"/>
  <c r="BC205" i="60" s="1"/>
  <c r="BE205" i="60" s="1"/>
  <c r="BG205" i="60" s="1"/>
  <c r="BD171" i="60"/>
  <c r="AW157" i="60"/>
  <c r="AY157" i="60" s="1"/>
  <c r="BA157" i="60" s="1"/>
  <c r="BC157" i="60" s="1"/>
  <c r="BE157" i="60" s="1"/>
  <c r="BG157" i="60" s="1"/>
  <c r="AW259" i="60"/>
  <c r="AY259" i="60" s="1"/>
  <c r="BA259" i="60" s="1"/>
  <c r="BC259" i="60" s="1"/>
  <c r="BE259" i="60" s="1"/>
  <c r="BG259" i="60" s="1"/>
  <c r="AW106" i="60"/>
  <c r="AY106" i="60" s="1"/>
  <c r="BA106" i="60" s="1"/>
  <c r="BC106" i="60" s="1"/>
  <c r="BE106" i="60" s="1"/>
  <c r="BG106" i="60" s="1"/>
  <c r="AW142" i="60"/>
  <c r="AY142" i="60" s="1"/>
  <c r="BA142" i="60" s="1"/>
  <c r="BC142" i="60" s="1"/>
  <c r="BE142" i="60" s="1"/>
  <c r="BG142" i="60" s="1"/>
  <c r="AY330" i="60"/>
  <c r="BA330" i="60" s="1"/>
  <c r="BC330" i="60" s="1"/>
  <c r="BE330" i="60" s="1"/>
  <c r="BG330" i="60" s="1"/>
  <c r="AY248" i="60"/>
  <c r="BA248" i="60" s="1"/>
  <c r="BC248" i="60" s="1"/>
  <c r="BE248" i="60" s="1"/>
  <c r="BG248" i="60" s="1"/>
  <c r="BD79" i="60"/>
  <c r="BF79" i="60" s="1"/>
  <c r="AW192" i="60"/>
  <c r="BF192" i="60" s="1"/>
  <c r="BF237" i="60"/>
  <c r="BD166" i="60"/>
  <c r="BD282" i="60"/>
  <c r="BF282" i="60" s="1"/>
  <c r="BD320" i="60"/>
  <c r="AY243" i="60"/>
  <c r="BA243" i="60" s="1"/>
  <c r="BC243" i="60" s="1"/>
  <c r="BE243" i="60" s="1"/>
  <c r="BG243" i="60" s="1"/>
  <c r="BD161" i="60"/>
  <c r="BD187" i="60"/>
  <c r="AY257" i="60"/>
  <c r="BA257" i="60" s="1"/>
  <c r="BC257" i="60" s="1"/>
  <c r="BE257" i="60" s="1"/>
  <c r="BG257" i="60" s="1"/>
  <c r="AY123" i="60"/>
  <c r="BA123" i="60" s="1"/>
  <c r="BC123" i="60" s="1"/>
  <c r="BE123" i="60" s="1"/>
  <c r="BG123" i="60" s="1"/>
  <c r="AP164" i="60"/>
  <c r="AR164" i="60" s="1"/>
  <c r="AT164" i="60" s="1"/>
  <c r="AV164" i="60" s="1"/>
  <c r="AX164" i="60" s="1"/>
  <c r="AZ164" i="60" s="1"/>
  <c r="BB164" i="60" s="1"/>
  <c r="BD164" i="60" s="1"/>
  <c r="BF164" i="60" s="1"/>
  <c r="BF368" i="60"/>
  <c r="AW210" i="60"/>
  <c r="AY210" i="60" s="1"/>
  <c r="BA210" i="60" s="1"/>
  <c r="BC210" i="60" s="1"/>
  <c r="BE210" i="60" s="1"/>
  <c r="BG210" i="60" s="1"/>
  <c r="AW125" i="60"/>
  <c r="AY125" i="60" s="1"/>
  <c r="BA125" i="60" s="1"/>
  <c r="BC125" i="60" s="1"/>
  <c r="BE125" i="60" s="1"/>
  <c r="BG125" i="60" s="1"/>
  <c r="AW290" i="60"/>
  <c r="AY290" i="60" s="1"/>
  <c r="BA290" i="60" s="1"/>
  <c r="BC290" i="60" s="1"/>
  <c r="BE290" i="60" s="1"/>
  <c r="BG290" i="60" s="1"/>
  <c r="BD331" i="60"/>
  <c r="BD291" i="60"/>
  <c r="AW141" i="60"/>
  <c r="AY141" i="60" s="1"/>
  <c r="BA141" i="60" s="1"/>
  <c r="BC141" i="60" s="1"/>
  <c r="BE141" i="60" s="1"/>
  <c r="BG141" i="60" s="1"/>
  <c r="BF378" i="60"/>
  <c r="BF51" i="60"/>
  <c r="BD394" i="60"/>
  <c r="BD137" i="60"/>
  <c r="BD336" i="60"/>
  <c r="BD195" i="60"/>
  <c r="AP116" i="60"/>
  <c r="AR116" i="60" s="1"/>
  <c r="AT116" i="60" s="1"/>
  <c r="AV116" i="60" s="1"/>
  <c r="AX116" i="60" s="1"/>
  <c r="AZ116" i="60" s="1"/>
  <c r="BB116" i="60" s="1"/>
  <c r="BD116" i="60" s="1"/>
  <c r="AW332" i="60"/>
  <c r="AY332" i="60" s="1"/>
  <c r="BA332" i="60" s="1"/>
  <c r="BC332" i="60" s="1"/>
  <c r="BE332" i="60" s="1"/>
  <c r="BG332" i="60" s="1"/>
  <c r="AW288" i="60"/>
  <c r="AY288" i="60" s="1"/>
  <c r="BA288" i="60" s="1"/>
  <c r="BC288" i="60" s="1"/>
  <c r="BE288" i="60" s="1"/>
  <c r="BG288" i="60" s="1"/>
  <c r="AW335" i="60"/>
  <c r="AY335" i="60" s="1"/>
  <c r="BA335" i="60" s="1"/>
  <c r="BC335" i="60" s="1"/>
  <c r="BE335" i="60" s="1"/>
  <c r="BG335" i="60" s="1"/>
  <c r="AW310" i="60"/>
  <c r="AY310" i="60" s="1"/>
  <c r="BA310" i="60" s="1"/>
  <c r="BC310" i="60" s="1"/>
  <c r="BE310" i="60" s="1"/>
  <c r="BG310" i="60" s="1"/>
  <c r="AW126" i="60"/>
  <c r="AY126" i="60" s="1"/>
  <c r="BA126" i="60" s="1"/>
  <c r="BC126" i="60" s="1"/>
  <c r="BE126" i="60" s="1"/>
  <c r="BG126" i="60" s="1"/>
  <c r="AW149" i="60"/>
  <c r="AY149" i="60" s="1"/>
  <c r="BA149" i="60" s="1"/>
  <c r="BC149" i="60" s="1"/>
  <c r="BE149" i="60" s="1"/>
  <c r="BG149" i="60" s="1"/>
  <c r="AW295" i="60"/>
  <c r="AY295" i="60" s="1"/>
  <c r="BA295" i="60" s="1"/>
  <c r="BC295" i="60" s="1"/>
  <c r="BE295" i="60" s="1"/>
  <c r="BG295" i="60" s="1"/>
  <c r="BF202" i="60"/>
  <c r="BD179" i="60"/>
  <c r="BD312" i="60"/>
  <c r="BD189" i="60"/>
  <c r="BD261" i="60"/>
  <c r="BF261" i="60" s="1"/>
  <c r="BF42" i="60"/>
  <c r="BD319" i="60"/>
  <c r="BD329" i="60"/>
  <c r="AW381" i="60"/>
  <c r="AY381" i="60" s="1"/>
  <c r="BA381" i="60" s="1"/>
  <c r="BC381" i="60" s="1"/>
  <c r="BE381" i="60" s="1"/>
  <c r="BG381" i="60" s="1"/>
  <c r="AW314" i="60"/>
  <c r="AY314" i="60" s="1"/>
  <c r="BA314" i="60" s="1"/>
  <c r="BC314" i="60" s="1"/>
  <c r="BE314" i="60" s="1"/>
  <c r="BG314" i="60" s="1"/>
  <c r="AW292" i="60"/>
  <c r="AY292" i="60" s="1"/>
  <c r="BA292" i="60" s="1"/>
  <c r="BC292" i="60" s="1"/>
  <c r="BE292" i="60" s="1"/>
  <c r="BG292" i="60" s="1"/>
  <c r="AW389" i="60"/>
  <c r="AY389" i="60" s="1"/>
  <c r="BA389" i="60" s="1"/>
  <c r="BC389" i="60" s="1"/>
  <c r="BE389" i="60" s="1"/>
  <c r="BG389" i="60" s="1"/>
  <c r="BD93" i="60"/>
  <c r="BD169" i="60"/>
  <c r="BF169" i="60" s="1"/>
  <c r="BD150" i="60"/>
  <c r="BD341" i="60"/>
  <c r="BD294" i="60"/>
  <c r="BD133" i="60"/>
  <c r="BD347" i="60"/>
  <c r="BD163" i="60"/>
  <c r="BD302" i="60"/>
  <c r="AY34" i="60"/>
  <c r="BA34" i="60" s="1"/>
  <c r="BC34" i="60" s="1"/>
  <c r="BE34" i="60" s="1"/>
  <c r="BG34" i="60" s="1"/>
  <c r="AW306" i="60"/>
  <c r="AY306" i="60" s="1"/>
  <c r="BA306" i="60" s="1"/>
  <c r="BC306" i="60" s="1"/>
  <c r="BE306" i="60" s="1"/>
  <c r="BG306" i="60" s="1"/>
  <c r="BD296" i="60"/>
  <c r="AW371" i="60"/>
  <c r="AY371" i="60" s="1"/>
  <c r="BA371" i="60" s="1"/>
  <c r="BC371" i="60" s="1"/>
  <c r="BE371" i="60" s="1"/>
  <c r="BG371" i="60" s="1"/>
  <c r="BF393" i="60"/>
  <c r="AY119" i="60"/>
  <c r="BA119" i="60" s="1"/>
  <c r="BC119" i="60" s="1"/>
  <c r="BE119" i="60" s="1"/>
  <c r="BG119" i="60" s="1"/>
  <c r="BD175" i="60"/>
  <c r="AW403" i="60"/>
  <c r="AY403" i="60" s="1"/>
  <c r="BA403" i="60" s="1"/>
  <c r="BC403" i="60" s="1"/>
  <c r="BE403" i="60" s="1"/>
  <c r="BG403" i="60" s="1"/>
  <c r="AW374" i="60"/>
  <c r="AY374" i="60" s="1"/>
  <c r="BA374" i="60" s="1"/>
  <c r="BC374" i="60" s="1"/>
  <c r="BE374" i="60" s="1"/>
  <c r="BG374" i="60" s="1"/>
  <c r="BD366" i="60"/>
  <c r="AW139" i="60"/>
  <c r="AY139" i="60" s="1"/>
  <c r="BA139" i="60" s="1"/>
  <c r="BC139" i="60" s="1"/>
  <c r="BE139" i="60" s="1"/>
  <c r="BG139" i="60" s="1"/>
  <c r="AY217" i="60"/>
  <c r="BA217" i="60" s="1"/>
  <c r="BC217" i="60" s="1"/>
  <c r="BE217" i="60" s="1"/>
  <c r="BG217" i="60" s="1"/>
  <c r="AR105" i="60"/>
  <c r="AT105" i="60" s="1"/>
  <c r="AV105" i="60" s="1"/>
  <c r="AX105" i="60" s="1"/>
  <c r="AZ105" i="60" s="1"/>
  <c r="BB105" i="60" s="1"/>
  <c r="BD105" i="60" s="1"/>
  <c r="BF105" i="60" s="1"/>
  <c r="AY105" i="60"/>
  <c r="AY378" i="60"/>
  <c r="BA378" i="60" s="1"/>
  <c r="BC378" i="60" s="1"/>
  <c r="BE378" i="60" s="1"/>
  <c r="BG378" i="60" s="1"/>
  <c r="BD335" i="60"/>
  <c r="BF335" i="60" s="1"/>
  <c r="AY208" i="60"/>
  <c r="BA208" i="60" s="1"/>
  <c r="BC208" i="60" s="1"/>
  <c r="BE208" i="60" s="1"/>
  <c r="BG208" i="60" s="1"/>
  <c r="BD301" i="60"/>
  <c r="BD248" i="60"/>
  <c r="BF248" i="60" s="1"/>
  <c r="BD130" i="60"/>
  <c r="BD126" i="60"/>
  <c r="BF34" i="60"/>
  <c r="BD339" i="60"/>
  <c r="BF339" i="60" s="1"/>
  <c r="BD199" i="60"/>
  <c r="BD381" i="60"/>
  <c r="BD314" i="60"/>
  <c r="BD292" i="60"/>
  <c r="BD389" i="60"/>
  <c r="BD287" i="60"/>
  <c r="BF287" i="60" s="1"/>
  <c r="BD114" i="60"/>
  <c r="BF114" i="60" s="1"/>
  <c r="AY354" i="60"/>
  <c r="BA354" i="60" s="1"/>
  <c r="BC354" i="60" s="1"/>
  <c r="BE354" i="60" s="1"/>
  <c r="BG354" i="60" s="1"/>
  <c r="BD81" i="60"/>
  <c r="BF81" i="60" s="1"/>
  <c r="AY138" i="60"/>
  <c r="BA138" i="60" s="1"/>
  <c r="BC138" i="60" s="1"/>
  <c r="BE138" i="60" s="1"/>
  <c r="BG138" i="60" s="1"/>
  <c r="AY254" i="60"/>
  <c r="BA254" i="60" s="1"/>
  <c r="BC254" i="60" s="1"/>
  <c r="BE254" i="60" s="1"/>
  <c r="BG254" i="60" s="1"/>
  <c r="BD181" i="60"/>
  <c r="BF181" i="60" s="1"/>
  <c r="BD177" i="60"/>
  <c r="AY230" i="60"/>
  <c r="BA230" i="60" s="1"/>
  <c r="BC230" i="60" s="1"/>
  <c r="BE230" i="60" s="1"/>
  <c r="BG230" i="60" s="1"/>
  <c r="AY364" i="60"/>
  <c r="BA364" i="60" s="1"/>
  <c r="BC364" i="60" s="1"/>
  <c r="BE364" i="60" s="1"/>
  <c r="BG364" i="60" s="1"/>
  <c r="AY315" i="60"/>
  <c r="BA315" i="60" s="1"/>
  <c r="BC315" i="60" s="1"/>
  <c r="BE315" i="60" s="1"/>
  <c r="BG315" i="60" s="1"/>
  <c r="AY265" i="60"/>
  <c r="BA265" i="60" s="1"/>
  <c r="BC265" i="60" s="1"/>
  <c r="BE265" i="60" s="1"/>
  <c r="BG265" i="60" s="1"/>
  <c r="AY384" i="60"/>
  <c r="BA384" i="60" s="1"/>
  <c r="BC384" i="60" s="1"/>
  <c r="BE384" i="60" s="1"/>
  <c r="BG384" i="60" s="1"/>
  <c r="BD148" i="60"/>
  <c r="BD146" i="60"/>
  <c r="BF146" i="60" s="1"/>
  <c r="AY393" i="60"/>
  <c r="BA393" i="60" s="1"/>
  <c r="BC393" i="60" s="1"/>
  <c r="BE393" i="60" s="1"/>
  <c r="BG393" i="60" s="1"/>
  <c r="AW249" i="60"/>
  <c r="AY249" i="60" s="1"/>
  <c r="BA249" i="60" s="1"/>
  <c r="BC249" i="60" s="1"/>
  <c r="BE249" i="60" s="1"/>
  <c r="BG249" i="60" s="1"/>
  <c r="AY91" i="60"/>
  <c r="BA91" i="60" s="1"/>
  <c r="BC91" i="60" s="1"/>
  <c r="BE91" i="60" s="1"/>
  <c r="BG91" i="60" s="1"/>
  <c r="AY186" i="60"/>
  <c r="BA186" i="60" s="1"/>
  <c r="BC186" i="60" s="1"/>
  <c r="BE186" i="60" s="1"/>
  <c r="BG186" i="60" s="1"/>
  <c r="BF188" i="60"/>
  <c r="AY94" i="60"/>
  <c r="BA94" i="60" s="1"/>
  <c r="BC94" i="60" s="1"/>
  <c r="BE94" i="60" s="1"/>
  <c r="BG94" i="60" s="1"/>
  <c r="BF365" i="60"/>
  <c r="AY174" i="60"/>
  <c r="BA174" i="60" s="1"/>
  <c r="BC174" i="60" s="1"/>
  <c r="BE174" i="60" s="1"/>
  <c r="BG174" i="60" s="1"/>
  <c r="AY232" i="60"/>
  <c r="BA232" i="60" s="1"/>
  <c r="BC232" i="60" s="1"/>
  <c r="BE232" i="60" s="1"/>
  <c r="BG232" i="60" s="1"/>
  <c r="AY350" i="60"/>
  <c r="BA350" i="60" s="1"/>
  <c r="BC350" i="60" s="1"/>
  <c r="BE350" i="60" s="1"/>
  <c r="BG350" i="60" s="1"/>
  <c r="AY107" i="60"/>
  <c r="BA107" i="60" s="1"/>
  <c r="BC107" i="60" s="1"/>
  <c r="BE107" i="60" s="1"/>
  <c r="BG107" i="60" s="1"/>
  <c r="BD122" i="60"/>
  <c r="BF122" i="60" s="1"/>
  <c r="BD290" i="60"/>
  <c r="BF290" i="60" s="1"/>
  <c r="AY64" i="60"/>
  <c r="BA64" i="60" s="1"/>
  <c r="BC64" i="60" s="1"/>
  <c r="BE64" i="60" s="1"/>
  <c r="BG64" i="60" s="1"/>
  <c r="AY367" i="60"/>
  <c r="BA367" i="60" s="1"/>
  <c r="BC367" i="60" s="1"/>
  <c r="BE367" i="60" s="1"/>
  <c r="BG367" i="60" s="1"/>
  <c r="AY86" i="60"/>
  <c r="BA86" i="60" s="1"/>
  <c r="BC86" i="60" s="1"/>
  <c r="BE86" i="60" s="1"/>
  <c r="BG86" i="60" s="1"/>
  <c r="AY29" i="60"/>
  <c r="BA29" i="60" s="1"/>
  <c r="BC29" i="60" s="1"/>
  <c r="BE29" i="60" s="1"/>
  <c r="BG29" i="60" s="1"/>
  <c r="AY344" i="60"/>
  <c r="BA344" i="60" s="1"/>
  <c r="BC344" i="60" s="1"/>
  <c r="BE344" i="60" s="1"/>
  <c r="BG344" i="60" s="1"/>
  <c r="AY209" i="60"/>
  <c r="BA209" i="60" s="1"/>
  <c r="BC209" i="60" s="1"/>
  <c r="BE209" i="60" s="1"/>
  <c r="BG209" i="60" s="1"/>
  <c r="AY285" i="60"/>
  <c r="BA285" i="60" s="1"/>
  <c r="BC285" i="60" s="1"/>
  <c r="BE285" i="60" s="1"/>
  <c r="BG285" i="60" s="1"/>
  <c r="AY258" i="60"/>
  <c r="BA258" i="60" s="1"/>
  <c r="BC258" i="60" s="1"/>
  <c r="BE258" i="60" s="1"/>
  <c r="BG258" i="60" s="1"/>
  <c r="AY277" i="60"/>
  <c r="BA277" i="60" s="1"/>
  <c r="BC277" i="60" s="1"/>
  <c r="BE277" i="60" s="1"/>
  <c r="BG277" i="60" s="1"/>
  <c r="AW219" i="60"/>
  <c r="BD141" i="60"/>
  <c r="BD402" i="60"/>
  <c r="BF402" i="60" s="1"/>
  <c r="BD104" i="60"/>
  <c r="BF104" i="60" s="1"/>
  <c r="BD157" i="60"/>
  <c r="AY185" i="60"/>
  <c r="BA185" i="60" s="1"/>
  <c r="BC185" i="60" s="1"/>
  <c r="BE185" i="60" s="1"/>
  <c r="BG185" i="60" s="1"/>
  <c r="AY136" i="60"/>
  <c r="BA136" i="60" s="1"/>
  <c r="BC136" i="60" s="1"/>
  <c r="BE136" i="60" s="1"/>
  <c r="BG136" i="60" s="1"/>
  <c r="BF46" i="60"/>
  <c r="BD377" i="60"/>
  <c r="BF377" i="60" s="1"/>
  <c r="BF293" i="60"/>
  <c r="AY356" i="60"/>
  <c r="BA356" i="60" s="1"/>
  <c r="BC356" i="60" s="1"/>
  <c r="BE356" i="60" s="1"/>
  <c r="BG356" i="60" s="1"/>
  <c r="BF218" i="60"/>
  <c r="AY391" i="60"/>
  <c r="BA391" i="60" s="1"/>
  <c r="BC391" i="60" s="1"/>
  <c r="BE391" i="60" s="1"/>
  <c r="BG391" i="60" s="1"/>
  <c r="BD134" i="60"/>
  <c r="BF134" i="60" s="1"/>
  <c r="BD403" i="60"/>
  <c r="BD374" i="60"/>
  <c r="AY361" i="60"/>
  <c r="BA361" i="60" s="1"/>
  <c r="BC361" i="60" s="1"/>
  <c r="BE361" i="60" s="1"/>
  <c r="BG361" i="60" s="1"/>
  <c r="BF127" i="60"/>
  <c r="AY399" i="60"/>
  <c r="BA399" i="60" s="1"/>
  <c r="BC399" i="60" s="1"/>
  <c r="BE399" i="60" s="1"/>
  <c r="BG399" i="60" s="1"/>
  <c r="AY355" i="60"/>
  <c r="BA355" i="60" s="1"/>
  <c r="BC355" i="60" s="1"/>
  <c r="BE355" i="60" s="1"/>
  <c r="BG355" i="60" s="1"/>
  <c r="BF70" i="60"/>
  <c r="BD139" i="60"/>
  <c r="AY245" i="60"/>
  <c r="BA245" i="60" s="1"/>
  <c r="BC245" i="60" s="1"/>
  <c r="BE245" i="60" s="1"/>
  <c r="BG245" i="60" s="1"/>
  <c r="BD220" i="60"/>
  <c r="BF220" i="60" s="1"/>
  <c r="AY372" i="60"/>
  <c r="BA372" i="60" s="1"/>
  <c r="BC372" i="60" s="1"/>
  <c r="BE372" i="60" s="1"/>
  <c r="BG372" i="60" s="1"/>
  <c r="BF247" i="60"/>
  <c r="AP110" i="60"/>
  <c r="AR110" i="60" s="1"/>
  <c r="AT110" i="60" s="1"/>
  <c r="AV110" i="60" s="1"/>
  <c r="AX110" i="60" s="1"/>
  <c r="AZ110" i="60" s="1"/>
  <c r="BB110" i="60" s="1"/>
  <c r="BD110" i="60" s="1"/>
  <c r="BF110" i="60" s="1"/>
  <c r="BD142" i="60"/>
  <c r="AY66" i="60"/>
  <c r="BA66" i="60" s="1"/>
  <c r="BC66" i="60" s="1"/>
  <c r="BE66" i="60" s="1"/>
  <c r="BG66" i="60" s="1"/>
  <c r="BF170" i="60"/>
  <c r="BF387" i="60"/>
  <c r="BF269" i="60"/>
  <c r="AY33" i="60"/>
  <c r="BA33" i="60" s="1"/>
  <c r="BC33" i="60" s="1"/>
  <c r="BE33" i="60" s="1"/>
  <c r="BG33" i="60" s="1"/>
  <c r="AW84" i="60"/>
  <c r="AY84" i="60" s="1"/>
  <c r="BA84" i="60" s="1"/>
  <c r="BC84" i="60" s="1"/>
  <c r="BE84" i="60" s="1"/>
  <c r="BG84" i="60" s="1"/>
  <c r="BD300" i="60"/>
  <c r="BF300" i="60" s="1"/>
  <c r="BD156" i="60"/>
  <c r="BD149" i="60"/>
  <c r="BF149" i="60" s="1"/>
  <c r="BF28" i="60"/>
  <c r="AW276" i="60"/>
  <c r="AY276" i="60" s="1"/>
  <c r="BA276" i="60" s="1"/>
  <c r="BC276" i="60" s="1"/>
  <c r="BE276" i="60" s="1"/>
  <c r="BG276" i="60" s="1"/>
  <c r="AY192" i="60"/>
  <c r="BA192" i="60" s="1"/>
  <c r="BC192" i="60" s="1"/>
  <c r="BE192" i="60" s="1"/>
  <c r="BG192" i="60" s="1"/>
  <c r="BD243" i="60"/>
  <c r="BF243" i="60" s="1"/>
  <c r="AW352" i="60"/>
  <c r="AY352" i="60" s="1"/>
  <c r="BA352" i="60" s="1"/>
  <c r="BC352" i="60" s="1"/>
  <c r="BE352" i="60" s="1"/>
  <c r="BG352" i="60" s="1"/>
  <c r="BD327" i="60"/>
  <c r="BD332" i="60"/>
  <c r="BD288" i="60"/>
  <c r="BF288" i="60" s="1"/>
  <c r="BD316" i="60"/>
  <c r="AW308" i="60"/>
  <c r="AY308" i="60" s="1"/>
  <c r="BA308" i="60" s="1"/>
  <c r="BC308" i="60" s="1"/>
  <c r="BE308" i="60" s="1"/>
  <c r="BG308" i="60" s="1"/>
  <c r="AW289" i="60"/>
  <c r="AY289" i="60" s="1"/>
  <c r="BA289" i="60" s="1"/>
  <c r="BC289" i="60" s="1"/>
  <c r="BE289" i="60" s="1"/>
  <c r="BG289" i="60" s="1"/>
  <c r="BD380" i="60"/>
  <c r="BD295" i="60"/>
  <c r="BF295" i="60" s="1"/>
  <c r="BF190" i="60"/>
  <c r="BF52" i="60"/>
  <c r="AY102" i="60"/>
  <c r="BA102" i="60" s="1"/>
  <c r="BC102" i="60" s="1"/>
  <c r="BE102" i="60" s="1"/>
  <c r="BG102" i="60" s="1"/>
  <c r="AY79" i="60"/>
  <c r="BA79" i="60" s="1"/>
  <c r="BC79" i="60" s="1"/>
  <c r="BE79" i="60" s="1"/>
  <c r="BG79" i="60" s="1"/>
  <c r="BD257" i="60"/>
  <c r="BF257" i="60" s="1"/>
  <c r="AW179" i="60"/>
  <c r="AY179" i="60" s="1"/>
  <c r="BA179" i="60" s="1"/>
  <c r="BC179" i="60" s="1"/>
  <c r="BE179" i="60" s="1"/>
  <c r="BG179" i="60" s="1"/>
  <c r="AW312" i="60"/>
  <c r="AY312" i="60" s="1"/>
  <c r="BA312" i="60" s="1"/>
  <c r="BC312" i="60" s="1"/>
  <c r="BE312" i="60" s="1"/>
  <c r="BG312" i="60" s="1"/>
  <c r="BD65" i="60"/>
  <c r="BF65" i="60" s="1"/>
  <c r="BF123" i="60"/>
  <c r="BD159" i="60"/>
  <c r="BF159" i="60" s="1"/>
  <c r="AW319" i="60"/>
  <c r="AY319" i="60" s="1"/>
  <c r="BA319" i="60" s="1"/>
  <c r="BC319" i="60" s="1"/>
  <c r="BE319" i="60" s="1"/>
  <c r="BG319" i="60" s="1"/>
  <c r="BD132" i="60"/>
  <c r="BF132" i="60" s="1"/>
  <c r="BD154" i="60"/>
  <c r="BF154" i="60" s="1"/>
  <c r="AW166" i="60"/>
  <c r="AY166" i="60" s="1"/>
  <c r="BA166" i="60" s="1"/>
  <c r="BC166" i="60" s="1"/>
  <c r="BE166" i="60" s="1"/>
  <c r="BG166" i="60" s="1"/>
  <c r="AW320" i="60"/>
  <c r="AY320" i="60" s="1"/>
  <c r="BA320" i="60" s="1"/>
  <c r="BC320" i="60" s="1"/>
  <c r="BE320" i="60" s="1"/>
  <c r="BG320" i="60" s="1"/>
  <c r="AW93" i="60"/>
  <c r="AY93" i="60" s="1"/>
  <c r="BA93" i="60" s="1"/>
  <c r="BC93" i="60" s="1"/>
  <c r="BE93" i="60" s="1"/>
  <c r="BG93" i="60" s="1"/>
  <c r="AW169" i="60"/>
  <c r="AY169" i="60" s="1"/>
  <c r="BA169" i="60" s="1"/>
  <c r="BC169" i="60" s="1"/>
  <c r="BE169" i="60" s="1"/>
  <c r="BG169" i="60" s="1"/>
  <c r="BD90" i="60"/>
  <c r="BD385" i="60"/>
  <c r="BD281" i="60"/>
  <c r="BF281" i="60" s="1"/>
  <c r="AY24" i="60"/>
  <c r="BA24" i="60" s="1"/>
  <c r="BC24" i="60" s="1"/>
  <c r="BE24" i="60" s="1"/>
  <c r="BG24" i="60" s="1"/>
  <c r="AY360" i="60"/>
  <c r="BA360" i="60" s="1"/>
  <c r="BC360" i="60" s="1"/>
  <c r="BE360" i="60" s="1"/>
  <c r="BG360" i="60" s="1"/>
  <c r="AY388" i="60"/>
  <c r="BA388" i="60" s="1"/>
  <c r="BC388" i="60" s="1"/>
  <c r="BE388" i="60" s="1"/>
  <c r="BG388" i="60" s="1"/>
  <c r="BD349" i="60"/>
  <c r="BD333" i="60"/>
  <c r="AW85" i="60"/>
  <c r="AY85" i="60" s="1"/>
  <c r="BA85" i="60" s="1"/>
  <c r="BC85" i="60" s="1"/>
  <c r="BE85" i="60" s="1"/>
  <c r="BG85" i="60" s="1"/>
  <c r="AW309" i="60"/>
  <c r="AY309" i="60" s="1"/>
  <c r="BA309" i="60" s="1"/>
  <c r="BC309" i="60" s="1"/>
  <c r="BE309" i="60" s="1"/>
  <c r="BG309" i="60" s="1"/>
  <c r="AW82" i="60"/>
  <c r="AY82" i="60" s="1"/>
  <c r="BA82" i="60" s="1"/>
  <c r="BC82" i="60" s="1"/>
  <c r="BE82" i="60" s="1"/>
  <c r="BG82" i="60" s="1"/>
  <c r="AW386" i="60"/>
  <c r="AY111" i="60"/>
  <c r="BA111" i="60" s="1"/>
  <c r="BC111" i="60" s="1"/>
  <c r="BE111" i="60" s="1"/>
  <c r="BG111" i="60" s="1"/>
  <c r="AY155" i="60"/>
  <c r="BA155" i="60" s="1"/>
  <c r="BC155" i="60" s="1"/>
  <c r="BE155" i="60" s="1"/>
  <c r="BG155" i="60" s="1"/>
  <c r="BD306" i="60"/>
  <c r="BD197" i="60"/>
  <c r="BD371" i="60"/>
  <c r="BF371" i="60" s="1"/>
  <c r="AW165" i="60"/>
  <c r="AY165" i="60" s="1"/>
  <c r="BA165" i="60" s="1"/>
  <c r="BC165" i="60" s="1"/>
  <c r="BE165" i="60" s="1"/>
  <c r="BG165" i="60" s="1"/>
  <c r="AW140" i="60"/>
  <c r="AY140" i="60" s="1"/>
  <c r="BA140" i="60" s="1"/>
  <c r="BC140" i="60" s="1"/>
  <c r="BE140" i="60" s="1"/>
  <c r="BG140" i="60" s="1"/>
  <c r="AY71" i="60"/>
  <c r="BA71" i="60" s="1"/>
  <c r="BC71" i="60" s="1"/>
  <c r="BE71" i="60" s="1"/>
  <c r="BG71" i="60" s="1"/>
  <c r="BF253" i="60"/>
  <c r="BF400" i="60"/>
  <c r="AY266" i="60"/>
  <c r="BA266" i="60" s="1"/>
  <c r="BC266" i="60" s="1"/>
  <c r="BE266" i="60" s="1"/>
  <c r="BG266" i="60" s="1"/>
  <c r="BF57" i="60"/>
  <c r="BF359" i="60"/>
  <c r="BD210" i="60"/>
  <c r="AY49" i="60"/>
  <c r="BA49" i="60" s="1"/>
  <c r="BC49" i="60" s="1"/>
  <c r="BE49" i="60" s="1"/>
  <c r="BG49" i="60" s="1"/>
  <c r="AY68" i="60"/>
  <c r="BA68" i="60" s="1"/>
  <c r="BC68" i="60" s="1"/>
  <c r="BE68" i="60" s="1"/>
  <c r="BG68" i="60" s="1"/>
  <c r="AW173" i="60"/>
  <c r="AY173" i="60" s="1"/>
  <c r="BA173" i="60" s="1"/>
  <c r="BC173" i="60" s="1"/>
  <c r="BE173" i="60" s="1"/>
  <c r="BG173" i="60" s="1"/>
  <c r="BD298" i="60"/>
  <c r="BF298" i="60" s="1"/>
  <c r="AW213" i="60"/>
  <c r="AY213" i="60" s="1"/>
  <c r="BA213" i="60" s="1"/>
  <c r="BC213" i="60" s="1"/>
  <c r="BE213" i="60" s="1"/>
  <c r="BG213" i="60" s="1"/>
  <c r="BD125" i="60"/>
  <c r="AW337" i="60"/>
  <c r="AY337" i="60" s="1"/>
  <c r="BA337" i="60" s="1"/>
  <c r="BC337" i="60" s="1"/>
  <c r="BE337" i="60" s="1"/>
  <c r="BG337" i="60" s="1"/>
  <c r="AW95" i="60"/>
  <c r="AY95" i="60" s="1"/>
  <c r="BA95" i="60" s="1"/>
  <c r="BC95" i="60" s="1"/>
  <c r="BE95" i="60" s="1"/>
  <c r="BG95" i="60" s="1"/>
  <c r="AY390" i="60"/>
  <c r="BA390" i="60" s="1"/>
  <c r="BC390" i="60" s="1"/>
  <c r="BE390" i="60" s="1"/>
  <c r="BG390" i="60" s="1"/>
  <c r="AY240" i="60"/>
  <c r="BA240" i="60" s="1"/>
  <c r="BC240" i="60" s="1"/>
  <c r="BE240" i="60" s="1"/>
  <c r="BG240" i="60" s="1"/>
  <c r="AY19" i="60"/>
  <c r="BA19" i="60" s="1"/>
  <c r="BC19" i="60" s="1"/>
  <c r="BE19" i="60" s="1"/>
  <c r="BG19" i="60" s="1"/>
  <c r="AY53" i="60"/>
  <c r="BA53" i="60" s="1"/>
  <c r="BC53" i="60" s="1"/>
  <c r="BE53" i="60" s="1"/>
  <c r="BG53" i="60" s="1"/>
  <c r="AY238" i="60"/>
  <c r="BA238" i="60" s="1"/>
  <c r="BC238" i="60" s="1"/>
  <c r="BE238" i="60" s="1"/>
  <c r="BG238" i="60" s="1"/>
  <c r="AY117" i="60"/>
  <c r="BA117" i="60" s="1"/>
  <c r="BC117" i="60" s="1"/>
  <c r="BE117" i="60" s="1"/>
  <c r="BG117" i="60" s="1"/>
  <c r="BD398" i="60"/>
  <c r="BF398" i="60" s="1"/>
  <c r="AY75" i="60"/>
  <c r="BA75" i="60" s="1"/>
  <c r="BC75" i="60" s="1"/>
  <c r="BE75" i="60" s="1"/>
  <c r="BG75" i="60" s="1"/>
  <c r="AY358" i="60"/>
  <c r="BA358" i="60" s="1"/>
  <c r="BC358" i="60" s="1"/>
  <c r="BE358" i="60" s="1"/>
  <c r="BG358" i="60" s="1"/>
  <c r="AY143" i="60"/>
  <c r="BA143" i="60" s="1"/>
  <c r="BC143" i="60" s="1"/>
  <c r="BE143" i="60" s="1"/>
  <c r="BG143" i="60" s="1"/>
  <c r="AY369" i="60"/>
  <c r="BA369" i="60" s="1"/>
  <c r="BC369" i="60" s="1"/>
  <c r="BE369" i="60" s="1"/>
  <c r="BG369" i="60" s="1"/>
  <c r="AY96" i="60"/>
  <c r="BA96" i="60" s="1"/>
  <c r="BC96" i="60" s="1"/>
  <c r="BE96" i="60" s="1"/>
  <c r="BG96" i="60" s="1"/>
  <c r="AW324" i="60"/>
  <c r="AY324" i="60" s="1"/>
  <c r="BA324" i="60" s="1"/>
  <c r="BC324" i="60" s="1"/>
  <c r="BE324" i="60" s="1"/>
  <c r="BG324" i="60" s="1"/>
  <c r="BD89" i="60"/>
  <c r="BF89" i="60" s="1"/>
  <c r="BD147" i="60"/>
  <c r="BF147" i="60" s="1"/>
  <c r="AP219" i="60"/>
  <c r="AR219" i="60" s="1"/>
  <c r="AT219" i="60" s="1"/>
  <c r="AV219" i="60" s="1"/>
  <c r="AX219" i="60" s="1"/>
  <c r="AZ219" i="60" s="1"/>
  <c r="BB219" i="60" s="1"/>
  <c r="BD219" i="60" s="1"/>
  <c r="BF219" i="60" s="1"/>
  <c r="BD207" i="60"/>
  <c r="BF207" i="60" s="1"/>
  <c r="BD151" i="60"/>
  <c r="BD345" i="60"/>
  <c r="BF345" i="60" s="1"/>
  <c r="AW129" i="60"/>
  <c r="AY129" i="60" s="1"/>
  <c r="BA129" i="60" s="1"/>
  <c r="BC129" i="60" s="1"/>
  <c r="BE129" i="60" s="1"/>
  <c r="BG129" i="60" s="1"/>
  <c r="BD205" i="60"/>
  <c r="BF205" i="60" s="1"/>
  <c r="BD216" i="60"/>
  <c r="BF216" i="60" s="1"/>
  <c r="AP225" i="60"/>
  <c r="AR225" i="60" s="1"/>
  <c r="AT225" i="60" s="1"/>
  <c r="AV225" i="60" s="1"/>
  <c r="AX225" i="60" s="1"/>
  <c r="AZ225" i="60" s="1"/>
  <c r="BB225" i="60" s="1"/>
  <c r="BD225" i="60" s="1"/>
  <c r="BD323" i="60"/>
  <c r="AW171" i="60"/>
  <c r="AY171" i="60" s="1"/>
  <c r="BA171" i="60" s="1"/>
  <c r="BC171" i="60" s="1"/>
  <c r="BE171" i="60" s="1"/>
  <c r="BG171" i="60" s="1"/>
  <c r="AY44" i="60"/>
  <c r="BA44" i="60" s="1"/>
  <c r="BC44" i="60" s="1"/>
  <c r="BE44" i="60" s="1"/>
  <c r="BG44" i="60" s="1"/>
  <c r="AY204" i="60"/>
  <c r="BA204" i="60" s="1"/>
  <c r="BC204" i="60" s="1"/>
  <c r="BE204" i="60" s="1"/>
  <c r="BG204" i="60" s="1"/>
  <c r="AY231" i="60"/>
  <c r="BA231" i="60" s="1"/>
  <c r="BC231" i="60" s="1"/>
  <c r="BE231" i="60" s="1"/>
  <c r="BG231" i="60" s="1"/>
  <c r="AY56" i="60"/>
  <c r="BA56" i="60" s="1"/>
  <c r="BC56" i="60" s="1"/>
  <c r="BE56" i="60" s="1"/>
  <c r="BG56" i="60" s="1"/>
  <c r="AY178" i="60"/>
  <c r="BA178" i="60" s="1"/>
  <c r="BC178" i="60" s="1"/>
  <c r="BE178" i="60" s="1"/>
  <c r="BG178" i="60" s="1"/>
  <c r="BF162" i="60"/>
  <c r="BF318" i="60"/>
  <c r="BD25" i="60"/>
  <c r="BF25" i="60" s="1"/>
  <c r="BF340" i="60"/>
  <c r="AY363" i="60"/>
  <c r="BA363" i="60" s="1"/>
  <c r="BC363" i="60" s="1"/>
  <c r="BE363" i="60" s="1"/>
  <c r="BG363" i="60" s="1"/>
  <c r="BD233" i="60"/>
  <c r="BF233" i="60" s="1"/>
  <c r="BD274" i="60"/>
  <c r="BF274" i="60" s="1"/>
  <c r="BD259" i="60"/>
  <c r="BF259" i="60" s="1"/>
  <c r="AW394" i="60"/>
  <c r="AY394" i="60" s="1"/>
  <c r="BA394" i="60" s="1"/>
  <c r="BC394" i="60" s="1"/>
  <c r="BE394" i="60" s="1"/>
  <c r="BG394" i="60" s="1"/>
  <c r="AW137" i="60"/>
  <c r="AY137" i="60" s="1"/>
  <c r="BA137" i="60" s="1"/>
  <c r="BC137" i="60" s="1"/>
  <c r="BE137" i="60" s="1"/>
  <c r="BG137" i="60" s="1"/>
  <c r="AW336" i="60"/>
  <c r="AY336" i="60" s="1"/>
  <c r="BA336" i="60" s="1"/>
  <c r="BC336" i="60" s="1"/>
  <c r="BE336" i="60" s="1"/>
  <c r="BG336" i="60" s="1"/>
  <c r="AY74" i="60"/>
  <c r="BA74" i="60" s="1"/>
  <c r="BC74" i="60" s="1"/>
  <c r="BE74" i="60" s="1"/>
  <c r="BG74" i="60" s="1"/>
  <c r="AY16" i="60"/>
  <c r="BA16" i="60" s="1"/>
  <c r="BC16" i="60" s="1"/>
  <c r="BE16" i="60" s="1"/>
  <c r="BG16" i="60" s="1"/>
  <c r="BD223" i="60"/>
  <c r="BF223" i="60" s="1"/>
  <c r="BF353" i="60"/>
  <c r="AY17" i="60"/>
  <c r="BA17" i="60" s="1"/>
  <c r="BC17" i="60" s="1"/>
  <c r="BE17" i="60" s="1"/>
  <c r="BG17" i="60" s="1"/>
  <c r="AY343" i="60"/>
  <c r="BA343" i="60" s="1"/>
  <c r="BC343" i="60" s="1"/>
  <c r="BE343" i="60" s="1"/>
  <c r="BG343" i="60" s="1"/>
  <c r="AY184" i="60"/>
  <c r="BA184" i="60" s="1"/>
  <c r="BC184" i="60" s="1"/>
  <c r="BE184" i="60" s="1"/>
  <c r="BG184" i="60" s="1"/>
  <c r="AY236" i="60"/>
  <c r="BA236" i="60" s="1"/>
  <c r="BC236" i="60" s="1"/>
  <c r="BE236" i="60" s="1"/>
  <c r="BG236" i="60" s="1"/>
  <c r="AY251" i="60"/>
  <c r="BA251" i="60" s="1"/>
  <c r="BC251" i="60" s="1"/>
  <c r="BE251" i="60" s="1"/>
  <c r="BG251" i="60" s="1"/>
  <c r="AY212" i="60"/>
  <c r="BA212" i="60" s="1"/>
  <c r="BC212" i="60" s="1"/>
  <c r="BE212" i="60" s="1"/>
  <c r="BG212" i="60" s="1"/>
  <c r="AY23" i="60"/>
  <c r="BA23" i="60" s="1"/>
  <c r="BC23" i="60" s="1"/>
  <c r="BE23" i="60" s="1"/>
  <c r="BG23" i="60" s="1"/>
  <c r="AY83" i="60"/>
  <c r="BA83" i="60" s="1"/>
  <c r="BC83" i="60" s="1"/>
  <c r="BE83" i="60" s="1"/>
  <c r="BG83" i="60" s="1"/>
  <c r="AY215" i="60"/>
  <c r="BA215" i="60" s="1"/>
  <c r="BC215" i="60" s="1"/>
  <c r="BE215" i="60" s="1"/>
  <c r="BG215" i="60" s="1"/>
  <c r="AY246" i="60"/>
  <c r="BA246" i="60" s="1"/>
  <c r="BC246" i="60" s="1"/>
  <c r="BE246" i="60" s="1"/>
  <c r="BG246" i="60" s="1"/>
  <c r="AY357" i="60"/>
  <c r="BA357" i="60" s="1"/>
  <c r="BC357" i="60" s="1"/>
  <c r="BE357" i="60" s="1"/>
  <c r="BG357" i="60" s="1"/>
  <c r="BD106" i="60"/>
  <c r="BF106" i="60" s="1"/>
  <c r="AW195" i="60"/>
  <c r="AY195" i="60" s="1"/>
  <c r="BA195" i="60" s="1"/>
  <c r="BC195" i="60" s="1"/>
  <c r="BE195" i="60" s="1"/>
  <c r="BG195" i="60" s="1"/>
  <c r="AP131" i="60"/>
  <c r="AR131" i="60" s="1"/>
  <c r="AT131" i="60" s="1"/>
  <c r="AV131" i="60" s="1"/>
  <c r="AX131" i="60" s="1"/>
  <c r="AZ131" i="60" s="1"/>
  <c r="BB131" i="60" s="1"/>
  <c r="BD131" i="60" s="1"/>
  <c r="BF63" i="60"/>
  <c r="AY121" i="60"/>
  <c r="BA121" i="60" s="1"/>
  <c r="BC121" i="60" s="1"/>
  <c r="BE121" i="60" s="1"/>
  <c r="BG121" i="60" s="1"/>
  <c r="BF196" i="60"/>
  <c r="AY342" i="60"/>
  <c r="BA342" i="60" s="1"/>
  <c r="BC342" i="60" s="1"/>
  <c r="BE342" i="60" s="1"/>
  <c r="BG342" i="60" s="1"/>
  <c r="BF276" i="60"/>
  <c r="BF116" i="60"/>
  <c r="BF308" i="60"/>
  <c r="BF289" i="60"/>
  <c r="AW189" i="60"/>
  <c r="AY189" i="60" s="1"/>
  <c r="BA189" i="60" s="1"/>
  <c r="BC189" i="60" s="1"/>
  <c r="BE189" i="60" s="1"/>
  <c r="BG189" i="60" s="1"/>
  <c r="AY51" i="60"/>
  <c r="BA51" i="60" s="1"/>
  <c r="BC51" i="60" s="1"/>
  <c r="BE51" i="60" s="1"/>
  <c r="BG51" i="60" s="1"/>
  <c r="AW329" i="60"/>
  <c r="AY329" i="60" s="1"/>
  <c r="BA329" i="60" s="1"/>
  <c r="BC329" i="60" s="1"/>
  <c r="BE329" i="60" s="1"/>
  <c r="BG329" i="60" s="1"/>
  <c r="BF320" i="60"/>
  <c r="AW150" i="60"/>
  <c r="AY150" i="60" s="1"/>
  <c r="BA150" i="60" s="1"/>
  <c r="BC150" i="60" s="1"/>
  <c r="BE150" i="60" s="1"/>
  <c r="BG150" i="60" s="1"/>
  <c r="AW341" i="60"/>
  <c r="AY341" i="60" s="1"/>
  <c r="BA341" i="60" s="1"/>
  <c r="BC341" i="60" s="1"/>
  <c r="BE341" i="60" s="1"/>
  <c r="BG341" i="60" s="1"/>
  <c r="AW294" i="60"/>
  <c r="AY294" i="60" s="1"/>
  <c r="BA294" i="60" s="1"/>
  <c r="BC294" i="60" s="1"/>
  <c r="BE294" i="60" s="1"/>
  <c r="BG294" i="60" s="1"/>
  <c r="AW133" i="60"/>
  <c r="AY133" i="60" s="1"/>
  <c r="BA133" i="60" s="1"/>
  <c r="BC133" i="60" s="1"/>
  <c r="BE133" i="60" s="1"/>
  <c r="BG133" i="60" s="1"/>
  <c r="AW347" i="60"/>
  <c r="AY347" i="60" s="1"/>
  <c r="BA347" i="60" s="1"/>
  <c r="BC347" i="60" s="1"/>
  <c r="BE347" i="60" s="1"/>
  <c r="BG347" i="60" s="1"/>
  <c r="AW203" i="60"/>
  <c r="AY203" i="60" s="1"/>
  <c r="BA203" i="60" s="1"/>
  <c r="BC203" i="60" s="1"/>
  <c r="BE203" i="60" s="1"/>
  <c r="BG203" i="60" s="1"/>
  <c r="AY338" i="60"/>
  <c r="BA338" i="60" s="1"/>
  <c r="BC338" i="60" s="1"/>
  <c r="BE338" i="60" s="1"/>
  <c r="BG338" i="60" s="1"/>
  <c r="AW163" i="60"/>
  <c r="AY163" i="60" s="1"/>
  <c r="BA163" i="60" s="1"/>
  <c r="BC163" i="60" s="1"/>
  <c r="BE163" i="60" s="1"/>
  <c r="BG163" i="60" s="1"/>
  <c r="AW302" i="60"/>
  <c r="AY302" i="60" s="1"/>
  <c r="BA302" i="60" s="1"/>
  <c r="BC302" i="60" s="1"/>
  <c r="BE302" i="60" s="1"/>
  <c r="BG302" i="60" s="1"/>
  <c r="AW161" i="60"/>
  <c r="AY161" i="60" s="1"/>
  <c r="BA161" i="60" s="1"/>
  <c r="BC161" i="60" s="1"/>
  <c r="BE161" i="60" s="1"/>
  <c r="BG161" i="60" s="1"/>
  <c r="AW187" i="60"/>
  <c r="AY187" i="60" s="1"/>
  <c r="BA187" i="60" s="1"/>
  <c r="BC187" i="60" s="1"/>
  <c r="BE187" i="60" s="1"/>
  <c r="BG187" i="60" s="1"/>
  <c r="AY198" i="60"/>
  <c r="BA198" i="60" s="1"/>
  <c r="BC198" i="60" s="1"/>
  <c r="BE198" i="60" s="1"/>
  <c r="BG198" i="60" s="1"/>
  <c r="AY252" i="60"/>
  <c r="BA252" i="60" s="1"/>
  <c r="BC252" i="60" s="1"/>
  <c r="BE252" i="60" s="1"/>
  <c r="BG252" i="60" s="1"/>
  <c r="AY317" i="60"/>
  <c r="BA317" i="60" s="1"/>
  <c r="BC317" i="60" s="1"/>
  <c r="BE317" i="60" s="1"/>
  <c r="BG317" i="60" s="1"/>
  <c r="AP386" i="60"/>
  <c r="AR386" i="60" s="1"/>
  <c r="AT386" i="60" s="1"/>
  <c r="AV386" i="60" s="1"/>
  <c r="AX386" i="60" s="1"/>
  <c r="AZ386" i="60" s="1"/>
  <c r="BB386" i="60" s="1"/>
  <c r="BD386" i="60" s="1"/>
  <c r="BF386" i="60" s="1"/>
  <c r="AY60" i="60"/>
  <c r="BA60" i="60" s="1"/>
  <c r="BC60" i="60" s="1"/>
  <c r="BE60" i="60" s="1"/>
  <c r="BG60" i="60" s="1"/>
  <c r="AY237" i="60"/>
  <c r="BA237" i="60" s="1"/>
  <c r="BC237" i="60" s="1"/>
  <c r="BE237" i="60" s="1"/>
  <c r="BG237" i="60" s="1"/>
  <c r="AW152" i="60"/>
  <c r="AY152" i="60" s="1"/>
  <c r="BA152" i="60" s="1"/>
  <c r="BC152" i="60" s="1"/>
  <c r="BE152" i="60" s="1"/>
  <c r="BG152" i="60" s="1"/>
  <c r="AW296" i="60"/>
  <c r="AY296" i="60" s="1"/>
  <c r="BA296" i="60" s="1"/>
  <c r="BC296" i="60" s="1"/>
  <c r="BE296" i="60" s="1"/>
  <c r="BG296" i="60" s="1"/>
  <c r="BF140" i="60"/>
  <c r="BF115" i="60"/>
  <c r="AW299" i="60"/>
  <c r="AY299" i="60" s="1"/>
  <c r="BA299" i="60" s="1"/>
  <c r="BC299" i="60" s="1"/>
  <c r="BE299" i="60" s="1"/>
  <c r="BG299" i="60" s="1"/>
  <c r="AY124" i="60"/>
  <c r="BA124" i="60" s="1"/>
  <c r="BC124" i="60" s="1"/>
  <c r="BE124" i="60" s="1"/>
  <c r="BG124" i="60" s="1"/>
  <c r="AY305" i="60"/>
  <c r="BA305" i="60" s="1"/>
  <c r="BC305" i="60" s="1"/>
  <c r="BE305" i="60" s="1"/>
  <c r="BG305" i="60" s="1"/>
  <c r="AW183" i="60"/>
  <c r="AY183" i="60" s="1"/>
  <c r="BA183" i="60" s="1"/>
  <c r="BC183" i="60" s="1"/>
  <c r="BE183" i="60" s="1"/>
  <c r="BG183" i="60" s="1"/>
  <c r="BF213" i="60"/>
  <c r="AW375" i="60"/>
  <c r="AY375" i="60" s="1"/>
  <c r="BA375" i="60" s="1"/>
  <c r="BC375" i="60" s="1"/>
  <c r="BE375" i="60" s="1"/>
  <c r="BG375" i="60" s="1"/>
  <c r="AW331" i="60"/>
  <c r="AY331" i="60" s="1"/>
  <c r="BA331" i="60" s="1"/>
  <c r="BC331" i="60" s="1"/>
  <c r="BE331" i="60" s="1"/>
  <c r="BG331" i="60" s="1"/>
  <c r="AY167" i="60"/>
  <c r="BA167" i="60" s="1"/>
  <c r="BC167" i="60" s="1"/>
  <c r="BE167" i="60" s="1"/>
  <c r="BG167" i="60" s="1"/>
  <c r="AY297" i="60"/>
  <c r="BA297" i="60" s="1"/>
  <c r="BC297" i="60" s="1"/>
  <c r="BE297" i="60" s="1"/>
  <c r="BG297" i="60" s="1"/>
  <c r="AY62" i="60"/>
  <c r="BA62" i="60" s="1"/>
  <c r="BC62" i="60" s="1"/>
  <c r="BE62" i="60" s="1"/>
  <c r="BG62" i="60" s="1"/>
  <c r="AW291" i="60"/>
  <c r="AY291" i="60" s="1"/>
  <c r="BA291" i="60" s="1"/>
  <c r="BC291" i="60" s="1"/>
  <c r="BE291" i="60" s="1"/>
  <c r="BG291" i="60" s="1"/>
  <c r="AY348" i="60"/>
  <c r="BA348" i="60" s="1"/>
  <c r="BC348" i="60" s="1"/>
  <c r="BE348" i="60" s="1"/>
  <c r="BG348" i="60" s="1"/>
  <c r="AY244" i="60"/>
  <c r="BA244" i="60" s="1"/>
  <c r="BC244" i="60" s="1"/>
  <c r="BE244" i="60" s="1"/>
  <c r="BG244" i="60" s="1"/>
  <c r="AW214" i="60"/>
  <c r="AY214" i="60" s="1"/>
  <c r="BA214" i="60" s="1"/>
  <c r="BC214" i="60" s="1"/>
  <c r="BE214" i="60" s="1"/>
  <c r="BG214" i="60" s="1"/>
  <c r="AW382" i="60"/>
  <c r="AY382" i="60" s="1"/>
  <c r="BA382" i="60" s="1"/>
  <c r="BC382" i="60" s="1"/>
  <c r="BE382" i="60" s="1"/>
  <c r="BG382" i="60" s="1"/>
  <c r="AY36" i="60"/>
  <c r="BA36" i="60" s="1"/>
  <c r="BC36" i="60" s="1"/>
  <c r="BE36" i="60" s="1"/>
  <c r="BG36" i="60" s="1"/>
  <c r="AY182" i="60"/>
  <c r="BA182" i="60" s="1"/>
  <c r="BC182" i="60" s="1"/>
  <c r="BE182" i="60" s="1"/>
  <c r="BG182" i="60" s="1"/>
  <c r="BD401" i="60"/>
  <c r="BF401" i="60" s="1"/>
  <c r="BD286" i="60"/>
  <c r="BF286" i="60" s="1"/>
  <c r="AY92" i="60"/>
  <c r="BA92" i="60" s="1"/>
  <c r="BC92" i="60" s="1"/>
  <c r="BE92" i="60" s="1"/>
  <c r="BG92" i="60" s="1"/>
  <c r="AW175" i="60"/>
  <c r="AY175" i="60" s="1"/>
  <c r="BA175" i="60" s="1"/>
  <c r="BC175" i="60" s="1"/>
  <c r="BE175" i="60" s="1"/>
  <c r="BG175" i="60" s="1"/>
  <c r="AW366" i="60"/>
  <c r="AY366" i="60" s="1"/>
  <c r="BA366" i="60" s="1"/>
  <c r="BC366" i="60" s="1"/>
  <c r="BE366" i="60" s="1"/>
  <c r="BG366" i="60" s="1"/>
  <c r="BF200" i="60"/>
  <c r="AY40" i="60"/>
  <c r="BA40" i="60" s="1"/>
  <c r="BC40" i="60" s="1"/>
  <c r="BE40" i="60" s="1"/>
  <c r="BG40" i="60" s="1"/>
  <c r="BF303" i="60"/>
  <c r="AY72" i="60"/>
  <c r="BA72" i="60" s="1"/>
  <c r="BC72" i="60" s="1"/>
  <c r="BE72" i="60" s="1"/>
  <c r="BG72" i="60" s="1"/>
  <c r="BF284" i="60"/>
  <c r="AY228" i="60"/>
  <c r="BA228" i="60" s="1"/>
  <c r="BC228" i="60" s="1"/>
  <c r="BE228" i="60" s="1"/>
  <c r="BG228" i="60" s="1"/>
  <c r="AY37" i="60"/>
  <c r="BA37" i="60" s="1"/>
  <c r="BC37" i="60" s="1"/>
  <c r="BE37" i="60" s="1"/>
  <c r="BG37" i="60" s="1"/>
  <c r="AY326" i="60"/>
  <c r="BA326" i="60" s="1"/>
  <c r="BC326" i="60" s="1"/>
  <c r="BE326" i="60" s="1"/>
  <c r="BG326" i="60" s="1"/>
  <c r="AY397" i="60"/>
  <c r="BA397" i="60" s="1"/>
  <c r="BC397" i="60" s="1"/>
  <c r="BE397" i="60" s="1"/>
  <c r="BG397" i="60" s="1"/>
  <c r="AY224" i="60"/>
  <c r="BA224" i="60" s="1"/>
  <c r="BC224" i="60" s="1"/>
  <c r="BE224" i="60" s="1"/>
  <c r="BG224" i="60" s="1"/>
  <c r="BD262" i="60"/>
  <c r="BF262" i="60" s="1"/>
  <c r="BD267" i="60"/>
  <c r="BF267" i="60" s="1"/>
  <c r="AY283" i="60"/>
  <c r="BA283" i="60" s="1"/>
  <c r="BC283" i="60" s="1"/>
  <c r="BE283" i="60" s="1"/>
  <c r="BG283" i="60" s="1"/>
  <c r="AW135" i="60"/>
  <c r="AY135" i="60" s="1"/>
  <c r="BA135" i="60" s="1"/>
  <c r="BC135" i="60" s="1"/>
  <c r="BE135" i="60" s="1"/>
  <c r="BG135" i="60" s="1"/>
  <c r="AW270" i="60"/>
  <c r="AW201" i="60"/>
  <c r="AY201" i="60" s="1"/>
  <c r="BA201" i="60" s="1"/>
  <c r="BC201" i="60" s="1"/>
  <c r="BE201" i="60" s="1"/>
  <c r="BG201" i="60" s="1"/>
  <c r="AW328" i="60"/>
  <c r="AY328" i="60" s="1"/>
  <c r="BA328" i="60" s="1"/>
  <c r="BC328" i="60" s="1"/>
  <c r="BE328" i="60" s="1"/>
  <c r="BG328" i="60" s="1"/>
  <c r="AW193" i="60"/>
  <c r="AY193" i="60" s="1"/>
  <c r="BA193" i="60" s="1"/>
  <c r="BC193" i="60" s="1"/>
  <c r="BE193" i="60" s="1"/>
  <c r="BG193" i="60" s="1"/>
  <c r="BF59" i="60"/>
  <c r="AY15" i="60"/>
  <c r="BA15" i="60" s="1"/>
  <c r="BC15" i="60" s="1"/>
  <c r="BE15" i="60" s="1"/>
  <c r="BG15" i="60" s="1"/>
  <c r="AY191" i="60"/>
  <c r="BA191" i="60" s="1"/>
  <c r="BC191" i="60" s="1"/>
  <c r="BE191" i="60" s="1"/>
  <c r="BG191" i="60" s="1"/>
  <c r="BD310" i="60"/>
  <c r="BF310" i="60" s="1"/>
  <c r="AY395" i="60"/>
  <c r="BA395" i="60" s="1"/>
  <c r="BC395" i="60" s="1"/>
  <c r="BE395" i="60" s="1"/>
  <c r="BG395" i="60" s="1"/>
  <c r="AY313" i="60"/>
  <c r="BA313" i="60" s="1"/>
  <c r="BC313" i="60" s="1"/>
  <c r="BE313" i="60" s="1"/>
  <c r="BG313" i="60" s="1"/>
  <c r="AY88" i="60"/>
  <c r="BA88" i="60" s="1"/>
  <c r="BC88" i="60" s="1"/>
  <c r="BE88" i="60" s="1"/>
  <c r="BG88" i="60" s="1"/>
  <c r="AY362" i="60"/>
  <c r="BA362" i="60" s="1"/>
  <c r="BC362" i="60" s="1"/>
  <c r="BE362" i="60" s="1"/>
  <c r="BG362" i="60" s="1"/>
  <c r="AY261" i="60"/>
  <c r="BA261" i="60" s="1"/>
  <c r="BC261" i="60" s="1"/>
  <c r="BE261" i="60" s="1"/>
  <c r="BG261" i="60" s="1"/>
  <c r="AY112" i="60"/>
  <c r="BA112" i="60" s="1"/>
  <c r="BC112" i="60" s="1"/>
  <c r="BE112" i="60" s="1"/>
  <c r="BG112" i="60" s="1"/>
  <c r="AY373" i="60"/>
  <c r="BA373" i="60" s="1"/>
  <c r="BC373" i="60" s="1"/>
  <c r="BE373" i="60" s="1"/>
  <c r="BG373" i="60" s="1"/>
  <c r="AY282" i="60"/>
  <c r="BA282" i="60" s="1"/>
  <c r="BC282" i="60" s="1"/>
  <c r="BE282" i="60" s="1"/>
  <c r="BG282" i="60" s="1"/>
  <c r="AY321" i="60"/>
  <c r="BA321" i="60" s="1"/>
  <c r="BC321" i="60" s="1"/>
  <c r="BE321" i="60" s="1"/>
  <c r="BG321" i="60" s="1"/>
  <c r="AY368" i="60"/>
  <c r="BA368" i="60" s="1"/>
  <c r="BC368" i="60" s="1"/>
  <c r="BE368" i="60" s="1"/>
  <c r="BG368" i="60" s="1"/>
  <c r="BF176" i="60"/>
  <c r="BF206" i="60"/>
  <c r="AY32" i="60"/>
  <c r="BA32" i="60" s="1"/>
  <c r="BC32" i="60" s="1"/>
  <c r="BE32" i="60" s="1"/>
  <c r="BG32" i="60" s="1"/>
  <c r="AY77" i="60"/>
  <c r="BA77" i="60" s="1"/>
  <c r="BC77" i="60" s="1"/>
  <c r="BE77" i="60" s="1"/>
  <c r="BG77" i="60" s="1"/>
  <c r="AY158" i="60"/>
  <c r="BA158" i="60" s="1"/>
  <c r="BC158" i="60" s="1"/>
  <c r="BE158" i="60" s="1"/>
  <c r="BG158" i="60" s="1"/>
  <c r="AY241" i="60"/>
  <c r="BA241" i="60" s="1"/>
  <c r="BC241" i="60" s="1"/>
  <c r="BE241" i="60" s="1"/>
  <c r="BG241" i="60" s="1"/>
  <c r="AY221" i="60"/>
  <c r="BA221" i="60" s="1"/>
  <c r="BC221" i="60" s="1"/>
  <c r="BE221" i="60" s="1"/>
  <c r="BG221" i="60" s="1"/>
  <c r="AY334" i="60"/>
  <c r="BA334" i="60" s="1"/>
  <c r="BC334" i="60" s="1"/>
  <c r="BE334" i="60" s="1"/>
  <c r="BG334" i="60" s="1"/>
  <c r="AY21" i="60"/>
  <c r="BA21" i="60" s="1"/>
  <c r="BC21" i="60" s="1"/>
  <c r="BE21" i="60" s="1"/>
  <c r="BG21" i="60" s="1"/>
  <c r="AY264" i="60"/>
  <c r="BA264" i="60" s="1"/>
  <c r="BC264" i="60" s="1"/>
  <c r="BE264" i="60" s="1"/>
  <c r="BG264" i="60" s="1"/>
  <c r="AY250" i="60"/>
  <c r="BA250" i="60" s="1"/>
  <c r="BC250" i="60" s="1"/>
  <c r="BE250" i="60" s="1"/>
  <c r="BG250" i="60" s="1"/>
  <c r="AY376" i="60"/>
  <c r="BA376" i="60" s="1"/>
  <c r="BC376" i="60" s="1"/>
  <c r="BE376" i="60" s="1"/>
  <c r="BG376" i="60" s="1"/>
  <c r="AY69" i="60"/>
  <c r="BA69" i="60" s="1"/>
  <c r="BC69" i="60" s="1"/>
  <c r="BE69" i="60" s="1"/>
  <c r="BG69" i="60" s="1"/>
  <c r="AY242" i="60"/>
  <c r="BA242" i="60" s="1"/>
  <c r="BC242" i="60" s="1"/>
  <c r="BE242" i="60" s="1"/>
  <c r="BG242" i="60" s="1"/>
  <c r="AY255" i="60"/>
  <c r="BA255" i="60" s="1"/>
  <c r="BC255" i="60" s="1"/>
  <c r="BE255" i="60" s="1"/>
  <c r="BG255" i="60" s="1"/>
  <c r="BF119" i="60"/>
  <c r="AY48" i="60"/>
  <c r="BA48" i="60" s="1"/>
  <c r="BC48" i="60" s="1"/>
  <c r="BE48" i="60" s="1"/>
  <c r="BG48" i="60" s="1"/>
  <c r="AY145" i="60"/>
  <c r="BA145" i="60" s="1"/>
  <c r="BC145" i="60" s="1"/>
  <c r="BE145" i="60" s="1"/>
  <c r="BG145" i="60" s="1"/>
  <c r="AY101" i="60"/>
  <c r="BA101" i="60" s="1"/>
  <c r="BC101" i="60" s="1"/>
  <c r="BE101" i="60" s="1"/>
  <c r="BG101" i="60" s="1"/>
  <c r="AY239" i="60"/>
  <c r="BA239" i="60" s="1"/>
  <c r="BC239" i="60" s="1"/>
  <c r="BE239" i="60" s="1"/>
  <c r="BG239" i="60" s="1"/>
  <c r="BD226" i="60"/>
  <c r="BF226" i="60" s="1"/>
  <c r="BD311" i="60"/>
  <c r="BF311" i="60" s="1"/>
  <c r="BF168" i="60"/>
  <c r="BD256" i="60"/>
  <c r="BF256" i="60" s="1"/>
  <c r="BF118" i="60"/>
  <c r="AY275" i="60"/>
  <c r="BA275" i="60" s="1"/>
  <c r="BC275" i="60" s="1"/>
  <c r="BE275" i="60" s="1"/>
  <c r="BG275" i="60" s="1"/>
  <c r="AY67" i="60"/>
  <c r="BA67" i="60" s="1"/>
  <c r="BC67" i="60" s="1"/>
  <c r="BE67" i="60" s="1"/>
  <c r="BG67" i="60" s="1"/>
  <c r="AY120" i="60"/>
  <c r="BA120" i="60" s="1"/>
  <c r="BC120" i="60" s="1"/>
  <c r="BE120" i="60" s="1"/>
  <c r="BG120" i="60" s="1"/>
  <c r="BF273" i="60"/>
  <c r="BD325" i="60"/>
  <c r="BF325" i="60" s="1"/>
  <c r="AY109" i="60"/>
  <c r="BA109" i="60" s="1"/>
  <c r="BC109" i="60" s="1"/>
  <c r="BE109" i="60" s="1"/>
  <c r="BG109" i="60" s="1"/>
  <c r="AY227" i="60"/>
  <c r="BA227" i="60" s="1"/>
  <c r="BC227" i="60" s="1"/>
  <c r="BE227" i="60" s="1"/>
  <c r="BG227" i="60" s="1"/>
  <c r="AY41" i="60"/>
  <c r="BA41" i="60" s="1"/>
  <c r="BC41" i="60" s="1"/>
  <c r="BE41" i="60" s="1"/>
  <c r="BG41" i="60" s="1"/>
  <c r="AY268" i="60"/>
  <c r="BA268" i="60" s="1"/>
  <c r="BC268" i="60" s="1"/>
  <c r="BE268" i="60" s="1"/>
  <c r="BG268" i="60" s="1"/>
  <c r="AY128" i="60"/>
  <c r="BA128" i="60" s="1"/>
  <c r="BC128" i="60" s="1"/>
  <c r="BE128" i="60" s="1"/>
  <c r="BG128" i="60" s="1"/>
  <c r="AY144" i="60"/>
  <c r="BA144" i="60" s="1"/>
  <c r="BC144" i="60" s="1"/>
  <c r="BE144" i="60" s="1"/>
  <c r="BG144" i="60" s="1"/>
  <c r="AY110" i="60"/>
  <c r="BA110" i="60" s="1"/>
  <c r="BC110" i="60" s="1"/>
  <c r="BE110" i="60" s="1"/>
  <c r="BG110" i="60" s="1"/>
  <c r="AP270" i="60"/>
  <c r="AR270" i="60" s="1"/>
  <c r="AT270" i="60" s="1"/>
  <c r="AV270" i="60" s="1"/>
  <c r="AX270" i="60" s="1"/>
  <c r="AZ270" i="60" s="1"/>
  <c r="BB270" i="60" s="1"/>
  <c r="BD270" i="60" s="1"/>
  <c r="BF172" i="60"/>
  <c r="BF97" i="60"/>
  <c r="AY103" i="60"/>
  <c r="BA103" i="60" s="1"/>
  <c r="BC103" i="60" s="1"/>
  <c r="BE103" i="60" s="1"/>
  <c r="BG103" i="60" s="1"/>
  <c r="BF379" i="60"/>
  <c r="M14" i="55"/>
  <c r="N14" i="55" s="1"/>
  <c r="O14" i="55" s="1"/>
  <c r="BF125" i="60" l="1"/>
  <c r="BF130" i="60"/>
  <c r="BF141" i="60"/>
  <c r="BF299" i="60"/>
  <c r="BF394" i="60"/>
  <c r="BF385" i="60"/>
  <c r="BF380" i="60"/>
  <c r="BF157" i="60"/>
  <c r="BF148" i="60"/>
  <c r="BF129" i="60"/>
  <c r="BF389" i="60"/>
  <c r="BF294" i="60"/>
  <c r="BF95" i="60"/>
  <c r="BF319" i="60"/>
  <c r="BF135" i="60"/>
  <c r="BF163" i="60"/>
  <c r="BF137" i="60"/>
  <c r="BF366" i="60"/>
  <c r="BF195" i="60"/>
  <c r="BF336" i="60"/>
  <c r="BF328" i="60"/>
  <c r="BF187" i="60"/>
  <c r="BF193" i="60"/>
  <c r="BF347" i="60"/>
  <c r="BF131" i="60"/>
  <c r="BF151" i="60"/>
  <c r="BF316" i="60"/>
  <c r="BF199" i="60"/>
  <c r="BF382" i="60"/>
  <c r="BF171" i="60"/>
  <c r="BF324" i="60"/>
  <c r="BF323" i="60"/>
  <c r="BF332" i="60"/>
  <c r="BF301" i="60"/>
  <c r="BF214" i="60"/>
  <c r="BF296" i="60"/>
  <c r="BF225" i="60"/>
  <c r="BF90" i="60"/>
  <c r="BF156" i="60"/>
  <c r="BF270" i="60"/>
  <c r="BF331" i="60"/>
  <c r="BF291" i="60"/>
  <c r="BF175" i="60"/>
  <c r="BF189" i="60"/>
  <c r="BF82" i="60"/>
  <c r="BF312" i="60"/>
  <c r="BF381" i="60"/>
  <c r="BF165" i="60"/>
  <c r="BF337" i="60"/>
  <c r="BF93" i="60"/>
  <c r="BF150" i="60"/>
  <c r="BF179" i="60"/>
  <c r="BF375" i="60"/>
  <c r="BF341" i="60"/>
  <c r="BF309" i="60"/>
  <c r="BF333" i="60"/>
  <c r="BF374" i="60"/>
  <c r="BF292" i="60"/>
  <c r="BF126" i="60"/>
  <c r="BF201" i="60"/>
  <c r="BF183" i="60"/>
  <c r="BF152" i="60"/>
  <c r="BF173" i="60"/>
  <c r="BF166" i="60"/>
  <c r="BF210" i="60"/>
  <c r="BF197" i="60"/>
  <c r="BF306" i="60"/>
  <c r="BF349" i="60"/>
  <c r="BF327" i="60"/>
  <c r="BF142" i="60"/>
  <c r="BF403" i="60"/>
  <c r="BF177" i="60"/>
  <c r="BF314" i="60"/>
  <c r="BF139" i="60"/>
  <c r="AY164" i="60"/>
  <c r="BA164" i="60" s="1"/>
  <c r="BC164" i="60" s="1"/>
  <c r="BE164" i="60" s="1"/>
  <c r="BG164" i="60" s="1"/>
  <c r="BA105" i="60"/>
  <c r="BC105" i="60" s="1"/>
  <c r="BE105" i="60" s="1"/>
  <c r="BG105" i="60" s="1"/>
  <c r="AY116" i="60"/>
  <c r="BA116" i="60" s="1"/>
  <c r="BC116" i="60" s="1"/>
  <c r="BE116" i="60" s="1"/>
  <c r="BG116" i="60" s="1"/>
  <c r="AY386" i="60"/>
  <c r="BA386" i="60" s="1"/>
  <c r="BC386" i="60" s="1"/>
  <c r="BE386" i="60" s="1"/>
  <c r="BG386" i="60" s="1"/>
  <c r="BF329" i="60"/>
  <c r="AY225" i="60"/>
  <c r="BA225" i="60" s="1"/>
  <c r="BC225" i="60" s="1"/>
  <c r="BE225" i="60" s="1"/>
  <c r="BG225" i="60" s="1"/>
  <c r="AY219" i="60"/>
  <c r="BA219" i="60" s="1"/>
  <c r="BC219" i="60" s="1"/>
  <c r="BE219" i="60" s="1"/>
  <c r="BG219" i="60" s="1"/>
  <c r="BF84" i="60"/>
  <c r="BF161" i="60"/>
  <c r="BF203" i="60"/>
  <c r="AY270" i="60"/>
  <c r="BA270" i="60" s="1"/>
  <c r="BC270" i="60" s="1"/>
  <c r="BE270" i="60" s="1"/>
  <c r="BG270" i="60" s="1"/>
  <c r="BF133" i="60"/>
  <c r="AY131" i="60"/>
  <c r="BA131" i="60" s="1"/>
  <c r="BC131" i="60" s="1"/>
  <c r="BE131" i="60" s="1"/>
  <c r="BG131" i="60" s="1"/>
  <c r="BF302" i="60"/>
  <c r="BF352" i="60"/>
  <c r="BF249" i="60"/>
  <c r="Q11" i="54" l="1"/>
  <c r="AU11" i="54"/>
  <c r="AA11" i="54"/>
  <c r="Z11" i="54"/>
  <c r="AT11" i="54"/>
  <c r="P11" i="54"/>
  <c r="AK11" i="54"/>
  <c r="AJ11" i="54"/>
  <c r="BE11" i="54"/>
  <c r="BD11" i="54"/>
  <c r="AY11" i="54"/>
  <c r="U11" i="54"/>
  <c r="AO11" i="54"/>
  <c r="AE11" i="54"/>
  <c r="K11" i="54"/>
  <c r="AK155" i="1"/>
  <c r="AJ155" i="1"/>
  <c r="AI155" i="1"/>
  <c r="AE155" i="1"/>
  <c r="AK142" i="1"/>
  <c r="AJ142" i="1"/>
  <c r="AI142" i="1"/>
  <c r="AE142" i="1"/>
  <c r="AK116" i="1"/>
  <c r="AJ116" i="1"/>
  <c r="AI116" i="1"/>
  <c r="AE116" i="1"/>
  <c r="AK103" i="1"/>
  <c r="AJ103" i="1"/>
  <c r="AI103" i="1"/>
  <c r="AE103" i="1"/>
  <c r="AK90" i="1"/>
  <c r="AJ90" i="1"/>
  <c r="AI90" i="1"/>
  <c r="AE90" i="1"/>
  <c r="AK77" i="1"/>
  <c r="AJ77" i="1"/>
  <c r="AI77" i="1"/>
  <c r="AE77" i="1"/>
  <c r="AK64" i="1"/>
  <c r="AJ64" i="1"/>
  <c r="AI64" i="1"/>
  <c r="AE64" i="1"/>
  <c r="AK51" i="1"/>
  <c r="AJ51" i="1"/>
  <c r="AI51" i="1"/>
  <c r="AE51" i="1"/>
  <c r="AK38" i="1"/>
  <c r="AJ38" i="1"/>
  <c r="AI38" i="1"/>
  <c r="AE38" i="1"/>
  <c r="AK25" i="1"/>
  <c r="AJ25" i="1"/>
  <c r="AI25" i="1"/>
  <c r="AE25" i="1"/>
  <c r="BF11" i="54" l="1"/>
  <c r="AG25" i="1"/>
  <c r="AF25" i="1"/>
  <c r="AH25" i="1"/>
  <c r="AG38" i="1"/>
  <c r="AF38" i="1"/>
  <c r="AH38" i="1"/>
  <c r="AG51" i="1"/>
  <c r="AF51" i="1"/>
  <c r="AH51" i="1"/>
  <c r="AH64" i="1"/>
  <c r="AG64" i="1"/>
  <c r="AF64" i="1"/>
  <c r="AH77" i="1"/>
  <c r="AG77" i="1"/>
  <c r="AF77" i="1"/>
  <c r="AH90" i="1"/>
  <c r="AG90" i="1"/>
  <c r="AF90" i="1"/>
  <c r="AF103" i="1"/>
  <c r="AH103" i="1"/>
  <c r="AG103" i="1"/>
  <c r="AG116" i="1"/>
  <c r="AF116" i="1"/>
  <c r="AH116" i="1"/>
  <c r="AG142" i="1"/>
  <c r="AF142" i="1"/>
  <c r="AH142" i="1"/>
  <c r="AG155" i="1"/>
  <c r="AF155" i="1"/>
  <c r="AH155" i="1"/>
  <c r="AL103" i="1"/>
  <c r="AL25" i="1"/>
  <c r="AL155" i="1"/>
  <c r="AL77" i="1"/>
  <c r="AL38" i="1"/>
  <c r="AL64" i="1"/>
  <c r="AL142" i="1"/>
  <c r="AL51" i="1"/>
  <c r="AL116" i="1"/>
  <c r="AL90" i="1"/>
  <c r="O1917" i="10"/>
  <c r="P1917" i="10"/>
  <c r="Q1917" i="10"/>
  <c r="R1917" i="10"/>
  <c r="S1917" i="10"/>
  <c r="T1917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F15" i="55" l="1"/>
  <c r="E18" i="49"/>
  <c r="D15" i="55"/>
  <c r="P20" i="5"/>
  <c r="P19" i="5"/>
  <c r="P15" i="5"/>
  <c r="P16" i="5"/>
  <c r="P22" i="5"/>
  <c r="N14" i="5"/>
  <c r="P18" i="5"/>
  <c r="P14" i="5"/>
  <c r="K16" i="5"/>
  <c r="L16" i="5"/>
  <c r="M16" i="5"/>
  <c r="J16" i="5"/>
  <c r="N16" i="5"/>
  <c r="M20" i="5"/>
  <c r="K22" i="5"/>
  <c r="N20" i="5"/>
  <c r="L22" i="5"/>
  <c r="M22" i="5"/>
  <c r="J22" i="5"/>
  <c r="N22" i="5"/>
  <c r="K14" i="5"/>
  <c r="J18" i="5"/>
  <c r="N18" i="5"/>
  <c r="M15" i="5"/>
  <c r="L19" i="5"/>
  <c r="K20" i="5"/>
  <c r="L14" i="5"/>
  <c r="K18" i="5"/>
  <c r="J15" i="5"/>
  <c r="N15" i="5"/>
  <c r="M19" i="5"/>
  <c r="L20" i="5"/>
  <c r="M14" i="5"/>
  <c r="L18" i="5"/>
  <c r="K15" i="5"/>
  <c r="J19" i="5"/>
  <c r="N19" i="5"/>
  <c r="J14" i="5"/>
  <c r="M18" i="5"/>
  <c r="L15" i="5"/>
  <c r="K19" i="5"/>
  <c r="J20" i="5"/>
  <c r="BG11" i="54" l="1"/>
  <c r="G15" i="55"/>
  <c r="E15" i="55"/>
  <c r="C15" i="55"/>
  <c r="AI318" i="1"/>
  <c r="AI310" i="1"/>
  <c r="AI306" i="1"/>
  <c r="AI302" i="1"/>
  <c r="AI298" i="1"/>
  <c r="AI289" i="1"/>
  <c r="AI285" i="1"/>
  <c r="AI277" i="1"/>
  <c r="AI273" i="1"/>
  <c r="AI269" i="1"/>
  <c r="AI265" i="1"/>
  <c r="AI253" i="1"/>
  <c r="AI245" i="1"/>
  <c r="AI241" i="1"/>
  <c r="AI237" i="1"/>
  <c r="AI233" i="1"/>
  <c r="AI225" i="1"/>
  <c r="AI221" i="1"/>
  <c r="AI217" i="1"/>
  <c r="AI211" i="1"/>
  <c r="AI207" i="1"/>
  <c r="AI199" i="1"/>
  <c r="AI195" i="1"/>
  <c r="AI191" i="1"/>
  <c r="AI187" i="1"/>
  <c r="AI174" i="1"/>
  <c r="AI321" i="1"/>
  <c r="AI317" i="1"/>
  <c r="AI305" i="1"/>
  <c r="AI297" i="1"/>
  <c r="AI293" i="1"/>
  <c r="AI284" i="1"/>
  <c r="AI280" i="1"/>
  <c r="AI276" i="1"/>
  <c r="AI272" i="1"/>
  <c r="AI264" i="1"/>
  <c r="AI260" i="1"/>
  <c r="AI256" i="1"/>
  <c r="AI252" i="1"/>
  <c r="AI240" i="1"/>
  <c r="AI232" i="1"/>
  <c r="AI228" i="1"/>
  <c r="AI224" i="1"/>
  <c r="AI220" i="1"/>
  <c r="AI206" i="1"/>
  <c r="AI202" i="1"/>
  <c r="AI198" i="1"/>
  <c r="AI194" i="1"/>
  <c r="AI186" i="1"/>
  <c r="AI182" i="1"/>
  <c r="AI178" i="1"/>
  <c r="AI173" i="1"/>
  <c r="AI169" i="1"/>
  <c r="AI316" i="1"/>
  <c r="AI312" i="1"/>
  <c r="AI308" i="1"/>
  <c r="AI304" i="1"/>
  <c r="AI292" i="1"/>
  <c r="AI279" i="1"/>
  <c r="AI271" i="1"/>
  <c r="AI267" i="1"/>
  <c r="AI263" i="1"/>
  <c r="AI259" i="1"/>
  <c r="AI251" i="1"/>
  <c r="AI247" i="1"/>
  <c r="AI243" i="1"/>
  <c r="AI239" i="1"/>
  <c r="AI227" i="1"/>
  <c r="AI219" i="1"/>
  <c r="AI215" i="1"/>
  <c r="AI201" i="1"/>
  <c r="AI193" i="1"/>
  <c r="AI189" i="1"/>
  <c r="AI185" i="1"/>
  <c r="AI181" i="1"/>
  <c r="AI172" i="1"/>
  <c r="AI168" i="1"/>
  <c r="AI323" i="1"/>
  <c r="AI319" i="1"/>
  <c r="AI315" i="1"/>
  <c r="AI311" i="1"/>
  <c r="AI303" i="1"/>
  <c r="AI299" i="1"/>
  <c r="AI295" i="1"/>
  <c r="AI290" i="1"/>
  <c r="AI286" i="1"/>
  <c r="AI282" i="1"/>
  <c r="AI278" i="1"/>
  <c r="AI266" i="1"/>
  <c r="AI258" i="1"/>
  <c r="AI254" i="1"/>
  <c r="AI250" i="1"/>
  <c r="AI246" i="1"/>
  <c r="AI238" i="1"/>
  <c r="AI234" i="1"/>
  <c r="AI230" i="1"/>
  <c r="AI226" i="1"/>
  <c r="AI212" i="1"/>
  <c r="AI208" i="1"/>
  <c r="AI204" i="1"/>
  <c r="AI200" i="1"/>
  <c r="AI188" i="1"/>
  <c r="AI180" i="1"/>
  <c r="AI175" i="1"/>
  <c r="AJ279" i="1"/>
  <c r="AJ277" i="1"/>
  <c r="AJ290" i="1"/>
  <c r="AJ278" i="1"/>
  <c r="AJ293" i="1"/>
  <c r="AK278" i="1"/>
  <c r="AK293" i="1"/>
  <c r="AK279" i="1"/>
  <c r="AK277" i="1"/>
  <c r="AK290" i="1"/>
  <c r="O20" i="5"/>
  <c r="L21" i="5"/>
  <c r="AK323" i="1"/>
  <c r="AK271" i="1"/>
  <c r="AK284" i="1"/>
  <c r="AK245" i="1"/>
  <c r="AK258" i="1"/>
  <c r="AK206" i="1"/>
  <c r="AK232" i="1"/>
  <c r="AK180" i="1"/>
  <c r="AK297" i="1"/>
  <c r="AK310" i="1"/>
  <c r="AK193" i="1"/>
  <c r="AK219" i="1"/>
  <c r="J21" i="5"/>
  <c r="O18" i="5"/>
  <c r="O19" i="5"/>
  <c r="K21" i="5"/>
  <c r="M21" i="5"/>
  <c r="N21" i="5"/>
  <c r="AJ219" i="1"/>
  <c r="AJ232" i="1"/>
  <c r="AJ180" i="1"/>
  <c r="AJ310" i="1"/>
  <c r="AJ323" i="1"/>
  <c r="AJ271" i="1"/>
  <c r="AJ284" i="1"/>
  <c r="AJ245" i="1"/>
  <c r="AJ258" i="1"/>
  <c r="AJ206" i="1"/>
  <c r="AJ297" i="1"/>
  <c r="AJ193" i="1"/>
  <c r="J17" i="5"/>
  <c r="O22" i="5"/>
  <c r="M17" i="5"/>
  <c r="L17" i="5"/>
  <c r="O15" i="5"/>
  <c r="O16" i="5"/>
  <c r="K17" i="5"/>
  <c r="N17" i="5"/>
  <c r="AK313" i="1"/>
  <c r="AJ241" i="1"/>
  <c r="AJ252" i="1"/>
  <c r="AK302" i="1"/>
  <c r="AK298" i="1"/>
  <c r="AJ226" i="1"/>
  <c r="AJ222" i="1"/>
  <c r="AJ281" i="1"/>
  <c r="AJ273" i="1"/>
  <c r="AJ203" i="1"/>
  <c r="AK200" i="1"/>
  <c r="AK195" i="1"/>
  <c r="AJ192" i="1"/>
  <c r="AK189" i="1"/>
  <c r="AJ184" i="1"/>
  <c r="AK182" i="1"/>
  <c r="AJ178" i="1"/>
  <c r="AK174" i="1"/>
  <c r="AK169" i="1"/>
  <c r="AK167" i="1"/>
  <c r="AJ167" i="1"/>
  <c r="AI167" i="1"/>
  <c r="AK166" i="1"/>
  <c r="AJ166" i="1"/>
  <c r="AI166" i="1"/>
  <c r="AK164" i="1"/>
  <c r="AJ164" i="1"/>
  <c r="AI164" i="1"/>
  <c r="AK163" i="1"/>
  <c r="AJ163" i="1"/>
  <c r="AI163" i="1"/>
  <c r="AK162" i="1"/>
  <c r="AJ162" i="1"/>
  <c r="AI162" i="1"/>
  <c r="AK160" i="1"/>
  <c r="AJ160" i="1"/>
  <c r="AI160" i="1"/>
  <c r="AK159" i="1"/>
  <c r="AJ159" i="1"/>
  <c r="AI159" i="1"/>
  <c r="AK158" i="1"/>
  <c r="AJ158" i="1"/>
  <c r="AI158" i="1"/>
  <c r="AK156" i="1"/>
  <c r="AJ156" i="1"/>
  <c r="AI156" i="1"/>
  <c r="AK154" i="1"/>
  <c r="AJ154" i="1"/>
  <c r="AI154" i="1"/>
  <c r="AK153" i="1"/>
  <c r="AJ153" i="1"/>
  <c r="AI153" i="1"/>
  <c r="AK152" i="1"/>
  <c r="AJ152" i="1"/>
  <c r="AI152" i="1"/>
  <c r="AK151" i="1"/>
  <c r="AJ151" i="1"/>
  <c r="AI151" i="1"/>
  <c r="AK150" i="1"/>
  <c r="AJ150" i="1"/>
  <c r="AI150" i="1"/>
  <c r="AK149" i="1"/>
  <c r="AJ149" i="1"/>
  <c r="AI149" i="1"/>
  <c r="AK148" i="1"/>
  <c r="AJ148" i="1"/>
  <c r="AI148" i="1"/>
  <c r="AK147" i="1"/>
  <c r="AJ147" i="1"/>
  <c r="AI147" i="1"/>
  <c r="AK146" i="1"/>
  <c r="AJ146" i="1"/>
  <c r="AI146" i="1"/>
  <c r="AK145" i="1"/>
  <c r="AJ145" i="1"/>
  <c r="AI145" i="1"/>
  <c r="AK144" i="1"/>
  <c r="AJ144" i="1"/>
  <c r="AI144" i="1"/>
  <c r="AK143" i="1"/>
  <c r="AJ143" i="1"/>
  <c r="AI143" i="1"/>
  <c r="AK141" i="1"/>
  <c r="AJ141" i="1"/>
  <c r="AI141" i="1"/>
  <c r="AK140" i="1"/>
  <c r="AJ140" i="1"/>
  <c r="AI140" i="1"/>
  <c r="AK139" i="1"/>
  <c r="AJ139" i="1"/>
  <c r="AI139" i="1"/>
  <c r="AK138" i="1"/>
  <c r="AJ138" i="1"/>
  <c r="AI138" i="1"/>
  <c r="AK137" i="1"/>
  <c r="AJ137" i="1"/>
  <c r="AI137" i="1"/>
  <c r="AK136" i="1"/>
  <c r="AJ136" i="1"/>
  <c r="AI136" i="1"/>
  <c r="AK135" i="1"/>
  <c r="AJ135" i="1"/>
  <c r="AI135" i="1"/>
  <c r="AK134" i="1"/>
  <c r="AJ134" i="1"/>
  <c r="AI134" i="1"/>
  <c r="AK133" i="1"/>
  <c r="AJ133" i="1"/>
  <c r="AI133" i="1"/>
  <c r="AK132" i="1"/>
  <c r="AJ132" i="1"/>
  <c r="AI132" i="1"/>
  <c r="AK131" i="1"/>
  <c r="AJ131" i="1"/>
  <c r="AI131" i="1"/>
  <c r="AK130" i="1"/>
  <c r="AJ130" i="1"/>
  <c r="AI130" i="1"/>
  <c r="AK115" i="1"/>
  <c r="AJ115" i="1"/>
  <c r="AI115" i="1"/>
  <c r="AK114" i="1"/>
  <c r="AJ114" i="1"/>
  <c r="AI114" i="1"/>
  <c r="AK113" i="1"/>
  <c r="AJ113" i="1"/>
  <c r="AI113" i="1"/>
  <c r="AK112" i="1"/>
  <c r="AJ112" i="1"/>
  <c r="AI112" i="1"/>
  <c r="AK111" i="1"/>
  <c r="AJ111" i="1"/>
  <c r="AI111" i="1"/>
  <c r="AK110" i="1"/>
  <c r="AJ110" i="1"/>
  <c r="AI110" i="1"/>
  <c r="AK109" i="1"/>
  <c r="AJ109" i="1"/>
  <c r="AI109" i="1"/>
  <c r="AK108" i="1"/>
  <c r="AJ108" i="1"/>
  <c r="AI108" i="1"/>
  <c r="AK107" i="1"/>
  <c r="AJ107" i="1"/>
  <c r="AI107" i="1"/>
  <c r="AK106" i="1"/>
  <c r="AJ106" i="1"/>
  <c r="AI106" i="1"/>
  <c r="AK105" i="1"/>
  <c r="AJ105" i="1"/>
  <c r="AI105" i="1"/>
  <c r="AK104" i="1"/>
  <c r="AJ104" i="1"/>
  <c r="AI104" i="1"/>
  <c r="AK102" i="1"/>
  <c r="AJ102" i="1"/>
  <c r="AI102" i="1"/>
  <c r="AK101" i="1"/>
  <c r="AJ101" i="1"/>
  <c r="AI101" i="1"/>
  <c r="AK100" i="1"/>
  <c r="AJ100" i="1"/>
  <c r="AI100" i="1"/>
  <c r="AK99" i="1"/>
  <c r="AJ99" i="1"/>
  <c r="AI99" i="1"/>
  <c r="AK98" i="1"/>
  <c r="AJ98" i="1"/>
  <c r="AI98" i="1"/>
  <c r="AK97" i="1"/>
  <c r="AJ97" i="1"/>
  <c r="AI97" i="1"/>
  <c r="AK96" i="1"/>
  <c r="AJ96" i="1"/>
  <c r="AI96" i="1"/>
  <c r="AK95" i="1"/>
  <c r="AJ95" i="1"/>
  <c r="AI95" i="1"/>
  <c r="AK94" i="1"/>
  <c r="AJ94" i="1"/>
  <c r="AI94" i="1"/>
  <c r="AK93" i="1"/>
  <c r="AJ93" i="1"/>
  <c r="AI93" i="1"/>
  <c r="AK92" i="1"/>
  <c r="AJ92" i="1"/>
  <c r="AI92" i="1"/>
  <c r="AK91" i="1"/>
  <c r="AJ91" i="1"/>
  <c r="AI91" i="1"/>
  <c r="AK89" i="1"/>
  <c r="AJ89" i="1"/>
  <c r="AI89" i="1"/>
  <c r="AK88" i="1"/>
  <c r="AJ88" i="1"/>
  <c r="AI88" i="1"/>
  <c r="AK87" i="1"/>
  <c r="AJ87" i="1"/>
  <c r="AI87" i="1"/>
  <c r="AK86" i="1"/>
  <c r="AJ86" i="1"/>
  <c r="AI86" i="1"/>
  <c r="AK85" i="1"/>
  <c r="AJ85" i="1"/>
  <c r="AI85" i="1"/>
  <c r="AK84" i="1"/>
  <c r="AJ84" i="1"/>
  <c r="AI84" i="1"/>
  <c r="AK83" i="1"/>
  <c r="AJ83" i="1"/>
  <c r="AI83" i="1"/>
  <c r="AK82" i="1"/>
  <c r="AJ82" i="1"/>
  <c r="AI82" i="1"/>
  <c r="AK81" i="1"/>
  <c r="AJ81" i="1"/>
  <c r="AI81" i="1"/>
  <c r="AK80" i="1"/>
  <c r="AJ80" i="1"/>
  <c r="AI80" i="1"/>
  <c r="AK79" i="1"/>
  <c r="AJ79" i="1"/>
  <c r="AI79" i="1"/>
  <c r="AK78" i="1"/>
  <c r="AJ78" i="1"/>
  <c r="AI78" i="1"/>
  <c r="AK76" i="1"/>
  <c r="AJ76" i="1"/>
  <c r="AI76" i="1"/>
  <c r="AK75" i="1"/>
  <c r="AJ75" i="1"/>
  <c r="AI75" i="1"/>
  <c r="AK74" i="1"/>
  <c r="AJ74" i="1"/>
  <c r="AI74" i="1"/>
  <c r="AK73" i="1"/>
  <c r="AJ73" i="1"/>
  <c r="AI73" i="1"/>
  <c r="AK72" i="1"/>
  <c r="AJ72" i="1"/>
  <c r="AI72" i="1"/>
  <c r="AK71" i="1"/>
  <c r="AJ71" i="1"/>
  <c r="AI71" i="1"/>
  <c r="AK70" i="1"/>
  <c r="AJ70" i="1"/>
  <c r="AI70" i="1"/>
  <c r="AK69" i="1"/>
  <c r="AJ69" i="1"/>
  <c r="AI69" i="1"/>
  <c r="AK68" i="1"/>
  <c r="AJ68" i="1"/>
  <c r="AI68" i="1"/>
  <c r="AK67" i="1"/>
  <c r="AJ67" i="1"/>
  <c r="AI67" i="1"/>
  <c r="AK66" i="1"/>
  <c r="AJ66" i="1"/>
  <c r="AI66" i="1"/>
  <c r="AK65" i="1"/>
  <c r="AJ65" i="1"/>
  <c r="AI65" i="1"/>
  <c r="AK63" i="1"/>
  <c r="AJ63" i="1"/>
  <c r="AI63" i="1"/>
  <c r="AK62" i="1"/>
  <c r="AJ62" i="1"/>
  <c r="AI62" i="1"/>
  <c r="AK61" i="1"/>
  <c r="AJ61" i="1"/>
  <c r="AI61" i="1"/>
  <c r="AK60" i="1"/>
  <c r="AJ60" i="1"/>
  <c r="AI60" i="1"/>
  <c r="AK59" i="1"/>
  <c r="AJ59" i="1"/>
  <c r="AI59" i="1"/>
  <c r="AK58" i="1"/>
  <c r="AJ58" i="1"/>
  <c r="AI58" i="1"/>
  <c r="AK57" i="1"/>
  <c r="AJ57" i="1"/>
  <c r="AI57" i="1"/>
  <c r="AK56" i="1"/>
  <c r="AJ56" i="1"/>
  <c r="AI56" i="1"/>
  <c r="AK55" i="1"/>
  <c r="AJ55" i="1"/>
  <c r="AI55" i="1"/>
  <c r="AK54" i="1"/>
  <c r="AJ54" i="1"/>
  <c r="AI54" i="1"/>
  <c r="AK53" i="1"/>
  <c r="AJ53" i="1"/>
  <c r="AI53" i="1"/>
  <c r="AK52" i="1"/>
  <c r="AJ52" i="1"/>
  <c r="AI52" i="1"/>
  <c r="AK50" i="1"/>
  <c r="AJ50" i="1"/>
  <c r="AI50" i="1"/>
  <c r="AK49" i="1"/>
  <c r="AJ49" i="1"/>
  <c r="AI49" i="1"/>
  <c r="AK48" i="1"/>
  <c r="AJ48" i="1"/>
  <c r="AI48" i="1"/>
  <c r="AK47" i="1"/>
  <c r="AJ47" i="1"/>
  <c r="AI47" i="1"/>
  <c r="AK46" i="1"/>
  <c r="AJ46" i="1"/>
  <c r="AI46" i="1"/>
  <c r="AK45" i="1"/>
  <c r="AJ45" i="1"/>
  <c r="AI45" i="1"/>
  <c r="AK44" i="1"/>
  <c r="AJ44" i="1"/>
  <c r="AI44" i="1"/>
  <c r="AK43" i="1"/>
  <c r="AJ43" i="1"/>
  <c r="AI43" i="1"/>
  <c r="AK42" i="1"/>
  <c r="AJ42" i="1"/>
  <c r="AI42" i="1"/>
  <c r="AK41" i="1"/>
  <c r="AJ41" i="1"/>
  <c r="AI41" i="1"/>
  <c r="AK40" i="1"/>
  <c r="AJ40" i="1"/>
  <c r="AI40" i="1"/>
  <c r="AK39" i="1"/>
  <c r="AJ39" i="1"/>
  <c r="AI39" i="1"/>
  <c r="AK37" i="1"/>
  <c r="AJ37" i="1"/>
  <c r="AI37" i="1"/>
  <c r="AK36" i="1"/>
  <c r="AJ36" i="1"/>
  <c r="AI36" i="1"/>
  <c r="AK35" i="1"/>
  <c r="AJ35" i="1"/>
  <c r="AI35" i="1"/>
  <c r="AK34" i="1"/>
  <c r="AJ34" i="1"/>
  <c r="AI34" i="1"/>
  <c r="AK33" i="1"/>
  <c r="AJ33" i="1"/>
  <c r="AI33" i="1"/>
  <c r="AK32" i="1"/>
  <c r="AJ32" i="1"/>
  <c r="AI32" i="1"/>
  <c r="AK31" i="1"/>
  <c r="AJ31" i="1"/>
  <c r="AI31" i="1"/>
  <c r="AK30" i="1"/>
  <c r="AJ30" i="1"/>
  <c r="AI30" i="1"/>
  <c r="AK29" i="1"/>
  <c r="AJ29" i="1"/>
  <c r="AI29" i="1"/>
  <c r="AK28" i="1"/>
  <c r="AJ28" i="1"/>
  <c r="AI28" i="1"/>
  <c r="AK27" i="1"/>
  <c r="AJ27" i="1"/>
  <c r="AI27" i="1"/>
  <c r="AK26" i="1"/>
  <c r="AJ26" i="1"/>
  <c r="AI26" i="1"/>
  <c r="AK24" i="1"/>
  <c r="AJ24" i="1"/>
  <c r="AI24" i="1"/>
  <c r="AK23" i="1"/>
  <c r="AJ23" i="1"/>
  <c r="AI23" i="1"/>
  <c r="AK22" i="1"/>
  <c r="AJ22" i="1"/>
  <c r="AI22" i="1"/>
  <c r="AK21" i="1"/>
  <c r="AJ21" i="1"/>
  <c r="AI21" i="1"/>
  <c r="AK20" i="1"/>
  <c r="AJ20" i="1"/>
  <c r="AI20" i="1"/>
  <c r="AK19" i="1"/>
  <c r="AJ19" i="1"/>
  <c r="AI19" i="1"/>
  <c r="AK18" i="1"/>
  <c r="AJ18" i="1"/>
  <c r="AI18" i="1"/>
  <c r="AK17" i="1"/>
  <c r="AJ17" i="1"/>
  <c r="AI17" i="1"/>
  <c r="AK16" i="1"/>
  <c r="AJ16" i="1"/>
  <c r="AI16" i="1"/>
  <c r="AK15" i="1"/>
  <c r="AJ15" i="1"/>
  <c r="AI15" i="1"/>
  <c r="AK14" i="1"/>
  <c r="AJ14" i="1"/>
  <c r="AI14" i="1"/>
  <c r="AK13" i="1"/>
  <c r="AJ13" i="1"/>
  <c r="AI13" i="1"/>
  <c r="AE167" i="1"/>
  <c r="AE166" i="1"/>
  <c r="AE164" i="1"/>
  <c r="AE163" i="1"/>
  <c r="AE162" i="1"/>
  <c r="AE160" i="1"/>
  <c r="AE159" i="1"/>
  <c r="AE158" i="1"/>
  <c r="AE156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K212" i="1"/>
  <c r="C61" i="5"/>
  <c r="C60" i="5"/>
  <c r="C59" i="5"/>
  <c r="C58" i="5"/>
  <c r="C57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Z121" i="1" l="1"/>
  <c r="Z98" i="1"/>
  <c r="Z84" i="1"/>
  <c r="Z83" i="1"/>
  <c r="Z73" i="1"/>
  <c r="Z69" i="1"/>
  <c r="Z118" i="1"/>
  <c r="Z30" i="1"/>
  <c r="Z20" i="1"/>
  <c r="AB121" i="1"/>
  <c r="AB98" i="1"/>
  <c r="AB84" i="1"/>
  <c r="AB83" i="1"/>
  <c r="AB73" i="1"/>
  <c r="AB69" i="1"/>
  <c r="AB118" i="1"/>
  <c r="AB30" i="1"/>
  <c r="AB20" i="1"/>
  <c r="AP20" i="1" s="1"/>
  <c r="BW20" i="1" s="1"/>
  <c r="AC121" i="1"/>
  <c r="AC98" i="1"/>
  <c r="AC84" i="1"/>
  <c r="AC83" i="1"/>
  <c r="AC73" i="1"/>
  <c r="AC69" i="1"/>
  <c r="AC118" i="1"/>
  <c r="AC30" i="1"/>
  <c r="AC20" i="1"/>
  <c r="AQ20" i="1" s="1"/>
  <c r="BX20" i="1" s="1"/>
  <c r="AA121" i="1"/>
  <c r="AA98" i="1"/>
  <c r="AA84" i="1"/>
  <c r="AA83" i="1"/>
  <c r="AA73" i="1"/>
  <c r="AA69" i="1"/>
  <c r="AA118" i="1"/>
  <c r="AA30" i="1"/>
  <c r="AA20" i="1"/>
  <c r="Z321" i="1"/>
  <c r="Z269" i="1"/>
  <c r="Z214" i="1"/>
  <c r="Z191" i="1"/>
  <c r="Z302" i="1"/>
  <c r="Z289" i="1"/>
  <c r="Z237" i="1"/>
  <c r="Z200" i="1"/>
  <c r="AA321" i="1"/>
  <c r="AA269" i="1"/>
  <c r="AA214" i="1"/>
  <c r="AA191" i="1"/>
  <c r="AA302" i="1"/>
  <c r="AA289" i="1"/>
  <c r="AA237" i="1"/>
  <c r="AA200" i="1"/>
  <c r="AG13" i="1"/>
  <c r="AF13" i="1"/>
  <c r="AH13" i="1"/>
  <c r="AH14" i="1"/>
  <c r="AG14" i="1"/>
  <c r="AF14" i="1"/>
  <c r="AH15" i="1"/>
  <c r="AG15" i="1"/>
  <c r="AF15" i="1"/>
  <c r="AF16" i="1"/>
  <c r="AH16" i="1"/>
  <c r="AG16" i="1"/>
  <c r="AG17" i="1"/>
  <c r="AF17" i="1"/>
  <c r="AH17" i="1"/>
  <c r="AH18" i="1"/>
  <c r="AG18" i="1"/>
  <c r="AF18" i="1"/>
  <c r="AH19" i="1"/>
  <c r="AG19" i="1"/>
  <c r="AF19" i="1"/>
  <c r="AF20" i="1"/>
  <c r="AH20" i="1"/>
  <c r="AG20" i="1"/>
  <c r="AG21" i="1"/>
  <c r="AF21" i="1"/>
  <c r="AH21" i="1"/>
  <c r="AH22" i="1"/>
  <c r="AG22" i="1"/>
  <c r="AF22" i="1"/>
  <c r="AH23" i="1"/>
  <c r="AG23" i="1"/>
  <c r="AF23" i="1"/>
  <c r="AF24" i="1"/>
  <c r="AH24" i="1"/>
  <c r="AG24" i="1"/>
  <c r="AG26" i="1"/>
  <c r="AF26" i="1"/>
  <c r="AH26" i="1"/>
  <c r="AH27" i="1"/>
  <c r="AG27" i="1"/>
  <c r="AF27" i="1"/>
  <c r="AH28" i="1"/>
  <c r="AG28" i="1"/>
  <c r="AF28" i="1"/>
  <c r="AF29" i="1"/>
  <c r="AH29" i="1"/>
  <c r="AG29" i="1"/>
  <c r="AG30" i="1"/>
  <c r="AF30" i="1"/>
  <c r="AH30" i="1"/>
  <c r="AH31" i="1"/>
  <c r="AG31" i="1"/>
  <c r="AF31" i="1"/>
  <c r="AH32" i="1"/>
  <c r="AG32" i="1"/>
  <c r="AF32" i="1"/>
  <c r="AF33" i="1"/>
  <c r="AH33" i="1"/>
  <c r="AG33" i="1"/>
  <c r="AG34" i="1"/>
  <c r="AF34" i="1"/>
  <c r="AH34" i="1"/>
  <c r="AH35" i="1"/>
  <c r="AG35" i="1"/>
  <c r="AF35" i="1"/>
  <c r="AH36" i="1"/>
  <c r="AG36" i="1"/>
  <c r="AF36" i="1"/>
  <c r="AF37" i="1"/>
  <c r="AH37" i="1"/>
  <c r="AG37" i="1"/>
  <c r="AF39" i="1"/>
  <c r="AH39" i="1"/>
  <c r="AG39" i="1"/>
  <c r="AG40" i="1"/>
  <c r="AF40" i="1"/>
  <c r="AH40" i="1"/>
  <c r="AH41" i="1"/>
  <c r="AG41" i="1"/>
  <c r="AF41" i="1"/>
  <c r="AH42" i="1"/>
  <c r="AG42" i="1"/>
  <c r="AF42" i="1"/>
  <c r="AF43" i="1"/>
  <c r="AH43" i="1"/>
  <c r="AG43" i="1"/>
  <c r="AG44" i="1"/>
  <c r="AF44" i="1"/>
  <c r="AH44" i="1"/>
  <c r="AH45" i="1"/>
  <c r="AG45" i="1"/>
  <c r="AF45" i="1"/>
  <c r="AF46" i="1"/>
  <c r="AH46" i="1"/>
  <c r="AG46" i="1"/>
  <c r="AG47" i="1"/>
  <c r="AH47" i="1"/>
  <c r="AF47" i="1"/>
  <c r="AH48" i="1"/>
  <c r="AG48" i="1"/>
  <c r="AF48" i="1"/>
  <c r="AH49" i="1"/>
  <c r="AG49" i="1"/>
  <c r="AF49" i="1"/>
  <c r="AF50" i="1"/>
  <c r="AH50" i="1"/>
  <c r="AG50" i="1"/>
  <c r="AG52" i="1"/>
  <c r="AF52" i="1"/>
  <c r="AH52" i="1"/>
  <c r="AH53" i="1"/>
  <c r="AG53" i="1"/>
  <c r="AF53" i="1"/>
  <c r="AH54" i="1"/>
  <c r="AG54" i="1"/>
  <c r="AF54" i="1"/>
  <c r="AF55" i="1"/>
  <c r="AH55" i="1"/>
  <c r="AG55" i="1"/>
  <c r="AG56" i="1"/>
  <c r="AF56" i="1"/>
  <c r="AH56" i="1"/>
  <c r="AH57" i="1"/>
  <c r="AG57" i="1"/>
  <c r="AF57" i="1"/>
  <c r="AH58" i="1"/>
  <c r="AG58" i="1"/>
  <c r="AF58" i="1"/>
  <c r="AF59" i="1"/>
  <c r="AH59" i="1"/>
  <c r="AG59" i="1"/>
  <c r="AG60" i="1"/>
  <c r="AF60" i="1"/>
  <c r="AH60" i="1"/>
  <c r="AH61" i="1"/>
  <c r="AG61" i="1"/>
  <c r="AF61" i="1"/>
  <c r="AH62" i="1"/>
  <c r="AG62" i="1"/>
  <c r="AF62" i="1"/>
  <c r="AG63" i="1"/>
  <c r="AF63" i="1"/>
  <c r="AH63" i="1"/>
  <c r="AH65" i="1"/>
  <c r="AG65" i="1"/>
  <c r="AF65" i="1"/>
  <c r="AH66" i="1"/>
  <c r="AG66" i="1"/>
  <c r="AF66" i="1"/>
  <c r="AF67" i="1"/>
  <c r="AH67" i="1"/>
  <c r="AG67" i="1"/>
  <c r="AG68" i="1"/>
  <c r="AF68" i="1"/>
  <c r="AH68" i="1"/>
  <c r="AH69" i="1"/>
  <c r="AG69" i="1"/>
  <c r="AF69" i="1"/>
  <c r="AH70" i="1"/>
  <c r="AG70" i="1"/>
  <c r="AF70" i="1"/>
  <c r="AF71" i="1"/>
  <c r="AH71" i="1"/>
  <c r="AG71" i="1"/>
  <c r="AG72" i="1"/>
  <c r="AF72" i="1"/>
  <c r="AH72" i="1"/>
  <c r="AH73" i="1"/>
  <c r="AG73" i="1"/>
  <c r="AF73" i="1"/>
  <c r="AH74" i="1"/>
  <c r="AG74" i="1"/>
  <c r="AF74" i="1"/>
  <c r="AF75" i="1"/>
  <c r="AH75" i="1"/>
  <c r="AG75" i="1"/>
  <c r="AG76" i="1"/>
  <c r="AF76" i="1"/>
  <c r="AH76" i="1"/>
  <c r="AH78" i="1"/>
  <c r="AG78" i="1"/>
  <c r="AF78" i="1"/>
  <c r="AH79" i="1"/>
  <c r="AG79" i="1"/>
  <c r="AF79" i="1"/>
  <c r="AF80" i="1"/>
  <c r="AH80" i="1"/>
  <c r="AG80" i="1"/>
  <c r="AG81" i="1"/>
  <c r="AF81" i="1"/>
  <c r="AH81" i="1"/>
  <c r="AH82" i="1"/>
  <c r="AG82" i="1"/>
  <c r="AF82" i="1"/>
  <c r="AH83" i="1"/>
  <c r="AG83" i="1"/>
  <c r="AF83" i="1"/>
  <c r="AF84" i="1"/>
  <c r="AH84" i="1"/>
  <c r="AG84" i="1"/>
  <c r="AG85" i="1"/>
  <c r="AF85" i="1"/>
  <c r="AH85" i="1"/>
  <c r="AH86" i="1"/>
  <c r="AG86" i="1"/>
  <c r="AF86" i="1"/>
  <c r="AH87" i="1"/>
  <c r="AG87" i="1"/>
  <c r="AF87" i="1"/>
  <c r="AF88" i="1"/>
  <c r="AH88" i="1"/>
  <c r="AG88" i="1"/>
  <c r="AG89" i="1"/>
  <c r="AF89" i="1"/>
  <c r="AH89" i="1"/>
  <c r="AF91" i="1"/>
  <c r="AH91" i="1"/>
  <c r="AG91" i="1"/>
  <c r="AG92" i="1"/>
  <c r="AF92" i="1"/>
  <c r="AH92" i="1"/>
  <c r="AH93" i="1"/>
  <c r="AG93" i="1"/>
  <c r="AF93" i="1"/>
  <c r="AH94" i="1"/>
  <c r="AG94" i="1"/>
  <c r="AF94" i="1"/>
  <c r="AF95" i="1"/>
  <c r="AH95" i="1"/>
  <c r="AG95" i="1"/>
  <c r="AG96" i="1"/>
  <c r="AF96" i="1"/>
  <c r="AH96" i="1"/>
  <c r="AH97" i="1"/>
  <c r="AG97" i="1"/>
  <c r="AF97" i="1"/>
  <c r="AH98" i="1"/>
  <c r="AG98" i="1"/>
  <c r="AF98" i="1"/>
  <c r="AF99" i="1"/>
  <c r="AH99" i="1"/>
  <c r="AG99" i="1"/>
  <c r="AG100" i="1"/>
  <c r="AF100" i="1"/>
  <c r="AH100" i="1"/>
  <c r="AH101" i="1"/>
  <c r="AG101" i="1"/>
  <c r="AF101" i="1"/>
  <c r="AH102" i="1"/>
  <c r="AG102" i="1"/>
  <c r="AF102" i="1"/>
  <c r="AG104" i="1"/>
  <c r="AF104" i="1"/>
  <c r="AH104" i="1"/>
  <c r="AH105" i="1"/>
  <c r="AG105" i="1"/>
  <c r="AF105" i="1"/>
  <c r="AH106" i="1"/>
  <c r="AG106" i="1"/>
  <c r="AF106" i="1"/>
  <c r="AF107" i="1"/>
  <c r="AH107" i="1"/>
  <c r="AG107" i="1"/>
  <c r="AG108" i="1"/>
  <c r="AF108" i="1"/>
  <c r="AH108" i="1"/>
  <c r="AH109" i="1"/>
  <c r="AG109" i="1"/>
  <c r="AF109" i="1"/>
  <c r="AH110" i="1"/>
  <c r="AG110" i="1"/>
  <c r="AF110" i="1"/>
  <c r="AF111" i="1"/>
  <c r="AH111" i="1"/>
  <c r="AG111" i="1"/>
  <c r="AG112" i="1"/>
  <c r="AF112" i="1"/>
  <c r="AH112" i="1"/>
  <c r="AH113" i="1"/>
  <c r="AG113" i="1"/>
  <c r="AF113" i="1"/>
  <c r="AH114" i="1"/>
  <c r="AG114" i="1"/>
  <c r="AF114" i="1"/>
  <c r="AF115" i="1"/>
  <c r="AH115" i="1"/>
  <c r="AG115" i="1"/>
  <c r="AG130" i="1"/>
  <c r="AF130" i="1"/>
  <c r="AH130" i="1"/>
  <c r="AH131" i="1"/>
  <c r="AG131" i="1"/>
  <c r="AF131" i="1"/>
  <c r="AH132" i="1"/>
  <c r="AG132" i="1"/>
  <c r="AF132" i="1"/>
  <c r="AF133" i="1"/>
  <c r="AH133" i="1"/>
  <c r="AG133" i="1"/>
  <c r="AG134" i="1"/>
  <c r="AF134" i="1"/>
  <c r="AH134" i="1"/>
  <c r="AH135" i="1"/>
  <c r="AG135" i="1"/>
  <c r="AF135" i="1"/>
  <c r="AH136" i="1"/>
  <c r="AG136" i="1"/>
  <c r="AF136" i="1"/>
  <c r="AF137" i="1"/>
  <c r="AH137" i="1"/>
  <c r="AG137" i="1"/>
  <c r="AG138" i="1"/>
  <c r="AF138" i="1"/>
  <c r="AH138" i="1"/>
  <c r="AH139" i="1"/>
  <c r="AG139" i="1"/>
  <c r="AF139" i="1"/>
  <c r="AH140" i="1"/>
  <c r="AG140" i="1"/>
  <c r="AF140" i="1"/>
  <c r="AF141" i="1"/>
  <c r="AH141" i="1"/>
  <c r="AG141" i="1"/>
  <c r="AG143" i="1"/>
  <c r="AF143" i="1"/>
  <c r="AH143" i="1"/>
  <c r="AH144" i="1"/>
  <c r="AG144" i="1"/>
  <c r="AF144" i="1"/>
  <c r="AH145" i="1"/>
  <c r="AG145" i="1"/>
  <c r="AF145" i="1"/>
  <c r="AF146" i="1"/>
  <c r="AH146" i="1"/>
  <c r="AG146" i="1"/>
  <c r="AG147" i="1"/>
  <c r="AF147" i="1"/>
  <c r="AH147" i="1"/>
  <c r="AH148" i="1"/>
  <c r="AG148" i="1"/>
  <c r="AF148" i="1"/>
  <c r="AH149" i="1"/>
  <c r="AG149" i="1"/>
  <c r="AF149" i="1"/>
  <c r="AF150" i="1"/>
  <c r="AH150" i="1"/>
  <c r="AG150" i="1"/>
  <c r="AG151" i="1"/>
  <c r="AF151" i="1"/>
  <c r="AH151" i="1"/>
  <c r="AH152" i="1"/>
  <c r="AG152" i="1"/>
  <c r="AF152" i="1"/>
  <c r="AH153" i="1"/>
  <c r="AG153" i="1"/>
  <c r="AF153" i="1"/>
  <c r="AF154" i="1"/>
  <c r="AH154" i="1"/>
  <c r="AG154" i="1"/>
  <c r="AH156" i="1"/>
  <c r="AG156" i="1"/>
  <c r="AF156" i="1"/>
  <c r="AF158" i="1"/>
  <c r="AH158" i="1"/>
  <c r="AG158" i="1"/>
  <c r="AG159" i="1"/>
  <c r="AF159" i="1"/>
  <c r="AH159" i="1"/>
  <c r="AH160" i="1"/>
  <c r="AG160" i="1"/>
  <c r="AF160" i="1"/>
  <c r="AG162" i="1"/>
  <c r="AF162" i="1"/>
  <c r="AH162" i="1"/>
  <c r="AH163" i="1"/>
  <c r="AG163" i="1"/>
  <c r="AF163" i="1"/>
  <c r="AH164" i="1"/>
  <c r="AG164" i="1"/>
  <c r="AF164" i="1"/>
  <c r="AG166" i="1"/>
  <c r="AF166" i="1"/>
  <c r="AH166" i="1"/>
  <c r="AH167" i="1"/>
  <c r="AG167" i="1"/>
  <c r="AF167" i="1"/>
  <c r="Z134" i="1"/>
  <c r="Z40" i="1"/>
  <c r="Z138" i="1"/>
  <c r="Z166" i="1"/>
  <c r="Z160" i="1"/>
  <c r="Z155" i="1"/>
  <c r="Z147" i="1"/>
  <c r="Z143" i="1"/>
  <c r="Z139" i="1"/>
  <c r="Z135" i="1"/>
  <c r="Z131" i="1"/>
  <c r="Z123" i="1"/>
  <c r="Z119" i="1"/>
  <c r="Z115" i="1"/>
  <c r="Z111" i="1"/>
  <c r="Z107" i="1"/>
  <c r="Z103" i="1"/>
  <c r="Z99" i="1"/>
  <c r="Z95" i="1"/>
  <c r="Z164" i="1"/>
  <c r="Z159" i="1"/>
  <c r="Z154" i="1"/>
  <c r="Z146" i="1"/>
  <c r="Z142" i="1"/>
  <c r="Z130" i="1"/>
  <c r="Z126" i="1"/>
  <c r="Z110" i="1"/>
  <c r="Z106" i="1"/>
  <c r="Z102" i="1"/>
  <c r="Z94" i="1"/>
  <c r="Z163" i="1"/>
  <c r="Z158" i="1"/>
  <c r="Z153" i="1"/>
  <c r="Z149" i="1"/>
  <c r="Z145" i="1"/>
  <c r="Z141" i="1"/>
  <c r="Z133" i="1"/>
  <c r="Z129" i="1"/>
  <c r="Z125" i="1"/>
  <c r="Z117" i="1"/>
  <c r="Z113" i="1"/>
  <c r="Z109" i="1"/>
  <c r="Z101" i="1"/>
  <c r="Z157" i="1"/>
  <c r="Z165" i="1"/>
  <c r="Z161" i="1"/>
  <c r="Z167" i="1"/>
  <c r="Z162" i="1"/>
  <c r="Z156" i="1"/>
  <c r="Z152" i="1"/>
  <c r="Z148" i="1"/>
  <c r="Z144" i="1"/>
  <c r="Z136" i="1"/>
  <c r="Z132" i="1"/>
  <c r="Z128" i="1"/>
  <c r="Z124" i="1"/>
  <c r="Z120" i="1"/>
  <c r="Z116" i="1"/>
  <c r="Z112" i="1"/>
  <c r="Z104" i="1"/>
  <c r="Z100" i="1"/>
  <c r="Z96" i="1"/>
  <c r="Z88" i="1"/>
  <c r="Z80" i="1"/>
  <c r="Z91" i="1"/>
  <c r="Z81" i="1"/>
  <c r="Z76" i="1"/>
  <c r="Z72" i="1"/>
  <c r="Z68" i="1"/>
  <c r="Z64" i="1"/>
  <c r="Z60" i="1"/>
  <c r="Z56" i="1"/>
  <c r="Z52" i="1"/>
  <c r="Z48" i="1"/>
  <c r="Z44" i="1"/>
  <c r="Z36" i="1"/>
  <c r="Z32" i="1"/>
  <c r="Z28" i="1"/>
  <c r="Z24" i="1"/>
  <c r="Z16" i="1"/>
  <c r="Z18" i="1"/>
  <c r="Z79" i="1"/>
  <c r="Z75" i="1"/>
  <c r="Z71" i="1"/>
  <c r="Z67" i="1"/>
  <c r="Z63" i="1"/>
  <c r="Z59" i="1"/>
  <c r="Z55" i="1"/>
  <c r="Z51" i="1"/>
  <c r="Z47" i="1"/>
  <c r="Z43" i="1"/>
  <c r="Z35" i="1"/>
  <c r="Z31" i="1"/>
  <c r="Z19" i="1"/>
  <c r="Z15" i="1"/>
  <c r="Z93" i="1"/>
  <c r="Z78" i="1"/>
  <c r="Z74" i="1"/>
  <c r="Z70" i="1"/>
  <c r="Z54" i="1"/>
  <c r="Z50" i="1"/>
  <c r="Z46" i="1"/>
  <c r="Z42" i="1"/>
  <c r="Z38" i="1"/>
  <c r="Z34" i="1"/>
  <c r="Z26" i="1"/>
  <c r="Z22" i="1"/>
  <c r="Z14" i="1"/>
  <c r="Z90" i="1"/>
  <c r="Z89" i="1"/>
  <c r="Z87" i="1"/>
  <c r="Z86" i="1"/>
  <c r="Z85" i="1"/>
  <c r="Z77" i="1"/>
  <c r="Z65" i="1"/>
  <c r="Z61" i="1"/>
  <c r="Z57" i="1"/>
  <c r="Z53" i="1"/>
  <c r="Z49" i="1"/>
  <c r="Z45" i="1"/>
  <c r="Z41" i="1"/>
  <c r="Z37" i="1"/>
  <c r="Z29" i="1"/>
  <c r="Z25" i="1"/>
  <c r="Z21" i="1"/>
  <c r="Z17" i="1"/>
  <c r="AB134" i="1"/>
  <c r="AB40" i="1"/>
  <c r="AB163" i="1"/>
  <c r="AB158" i="1"/>
  <c r="AB153" i="1"/>
  <c r="AB149" i="1"/>
  <c r="AB145" i="1"/>
  <c r="AB141" i="1"/>
  <c r="AB133" i="1"/>
  <c r="AB129" i="1"/>
  <c r="AB125" i="1"/>
  <c r="AB117" i="1"/>
  <c r="AB113" i="1"/>
  <c r="AB109" i="1"/>
  <c r="AB101" i="1"/>
  <c r="AB93" i="1"/>
  <c r="AB157" i="1"/>
  <c r="AB165" i="1"/>
  <c r="AB161" i="1"/>
  <c r="AB167" i="1"/>
  <c r="AB162" i="1"/>
  <c r="AB156" i="1"/>
  <c r="AB152" i="1"/>
  <c r="AB148" i="1"/>
  <c r="AB144" i="1"/>
  <c r="AB136" i="1"/>
  <c r="AB132" i="1"/>
  <c r="AB128" i="1"/>
  <c r="AB124" i="1"/>
  <c r="AB120" i="1"/>
  <c r="AB116" i="1"/>
  <c r="AB112" i="1"/>
  <c r="AB104" i="1"/>
  <c r="AB100" i="1"/>
  <c r="AB96" i="1"/>
  <c r="AB138" i="1"/>
  <c r="AB166" i="1"/>
  <c r="AB160" i="1"/>
  <c r="AB155" i="1"/>
  <c r="AB147" i="1"/>
  <c r="AB143" i="1"/>
  <c r="AB139" i="1"/>
  <c r="AB135" i="1"/>
  <c r="AB131" i="1"/>
  <c r="AB123" i="1"/>
  <c r="AB119" i="1"/>
  <c r="AB115" i="1"/>
  <c r="AB111" i="1"/>
  <c r="AB107" i="1"/>
  <c r="AB103" i="1"/>
  <c r="AB99" i="1"/>
  <c r="AB95" i="1"/>
  <c r="AB164" i="1"/>
  <c r="AB159" i="1"/>
  <c r="AB154" i="1"/>
  <c r="AB146" i="1"/>
  <c r="AB142" i="1"/>
  <c r="AB130" i="1"/>
  <c r="AB126" i="1"/>
  <c r="AB110" i="1"/>
  <c r="AB106" i="1"/>
  <c r="AB102" i="1"/>
  <c r="AB94" i="1"/>
  <c r="AB90" i="1"/>
  <c r="AB86" i="1"/>
  <c r="AB78" i="1"/>
  <c r="AB74" i="1"/>
  <c r="AB70" i="1"/>
  <c r="AB54" i="1"/>
  <c r="AB50" i="1"/>
  <c r="AB46" i="1"/>
  <c r="AB42" i="1"/>
  <c r="AB38" i="1"/>
  <c r="AB34" i="1"/>
  <c r="AB26" i="1"/>
  <c r="AB22" i="1"/>
  <c r="AB18" i="1"/>
  <c r="AB14" i="1"/>
  <c r="AB89" i="1"/>
  <c r="AB85" i="1"/>
  <c r="AB77" i="1"/>
  <c r="AB65" i="1"/>
  <c r="AB61" i="1"/>
  <c r="AB57" i="1"/>
  <c r="AB53" i="1"/>
  <c r="AB49" i="1"/>
  <c r="AB45" i="1"/>
  <c r="AB41" i="1"/>
  <c r="AB37" i="1"/>
  <c r="AB29" i="1"/>
  <c r="AB25" i="1"/>
  <c r="AB21" i="1"/>
  <c r="AB17" i="1"/>
  <c r="AB16" i="1"/>
  <c r="AB88" i="1"/>
  <c r="AB87" i="1"/>
  <c r="AB81" i="1"/>
  <c r="AB76" i="1"/>
  <c r="AB72" i="1"/>
  <c r="AB68" i="1"/>
  <c r="AB64" i="1"/>
  <c r="AB60" i="1"/>
  <c r="AB56" i="1"/>
  <c r="AB52" i="1"/>
  <c r="AB48" i="1"/>
  <c r="AB44" i="1"/>
  <c r="AB36" i="1"/>
  <c r="AB32" i="1"/>
  <c r="AB28" i="1"/>
  <c r="AB24" i="1"/>
  <c r="AB91" i="1"/>
  <c r="AB80" i="1"/>
  <c r="AB79" i="1"/>
  <c r="AB75" i="1"/>
  <c r="AB71" i="1"/>
  <c r="AB67" i="1"/>
  <c r="AB63" i="1"/>
  <c r="AB59" i="1"/>
  <c r="AB55" i="1"/>
  <c r="AB51" i="1"/>
  <c r="AB47" i="1"/>
  <c r="AB43" i="1"/>
  <c r="AB35" i="1"/>
  <c r="AB31" i="1"/>
  <c r="AB19" i="1"/>
  <c r="AB15" i="1"/>
  <c r="Y323" i="1"/>
  <c r="Y318" i="1"/>
  <c r="Y305" i="1"/>
  <c r="Y298" i="1"/>
  <c r="Y290" i="1"/>
  <c r="Y284" i="1"/>
  <c r="Y279" i="1"/>
  <c r="Y265" i="1"/>
  <c r="Y253" i="1"/>
  <c r="Y240" i="1"/>
  <c r="Y234" i="1"/>
  <c r="Y224" i="1"/>
  <c r="Y220" i="1"/>
  <c r="Y317" i="1"/>
  <c r="Y308" i="1"/>
  <c r="Y304" i="1"/>
  <c r="Y297" i="1"/>
  <c r="Y293" i="1"/>
  <c r="Y278" i="1"/>
  <c r="Y264" i="1"/>
  <c r="Y260" i="1"/>
  <c r="Y256" i="1"/>
  <c r="Y252" i="1"/>
  <c r="Y243" i="1"/>
  <c r="Y238" i="1"/>
  <c r="Y233" i="1"/>
  <c r="Y316" i="1"/>
  <c r="Y311" i="1"/>
  <c r="Y292" i="1"/>
  <c r="Y277" i="1"/>
  <c r="Y272" i="1"/>
  <c r="Y267" i="1"/>
  <c r="Y263" i="1"/>
  <c r="Y259" i="1"/>
  <c r="Y251" i="1"/>
  <c r="Y246" i="1"/>
  <c r="Y232" i="1"/>
  <c r="Y226" i="1"/>
  <c r="Y319" i="1"/>
  <c r="Y315" i="1"/>
  <c r="Y310" i="1"/>
  <c r="Y306" i="1"/>
  <c r="Y295" i="1"/>
  <c r="Y291" i="1"/>
  <c r="Y285" i="1"/>
  <c r="Y280" i="1"/>
  <c r="Y276" i="1"/>
  <c r="Y271" i="1"/>
  <c r="Y266" i="1"/>
  <c r="Y258" i="1"/>
  <c r="Y254" i="1"/>
  <c r="Y250" i="1"/>
  <c r="Y245" i="1"/>
  <c r="Y241" i="1"/>
  <c r="Y225" i="1"/>
  <c r="Y221" i="1"/>
  <c r="Y217" i="1"/>
  <c r="Y215" i="1"/>
  <c r="Y199" i="1"/>
  <c r="Y195" i="1"/>
  <c r="Y185" i="1"/>
  <c r="Y181" i="1"/>
  <c r="Y176" i="1"/>
  <c r="Y169" i="1"/>
  <c r="Y219" i="1"/>
  <c r="Y213" i="1"/>
  <c r="Y208" i="1"/>
  <c r="Y204" i="1"/>
  <c r="Y198" i="1"/>
  <c r="Y194" i="1"/>
  <c r="Y189" i="1"/>
  <c r="Y227" i="1"/>
  <c r="Y211" i="1"/>
  <c r="Y207" i="1"/>
  <c r="Y193" i="1"/>
  <c r="Y188" i="1"/>
  <c r="Y174" i="1"/>
  <c r="Y206" i="1"/>
  <c r="Y202" i="1"/>
  <c r="Y187" i="1"/>
  <c r="Y182" i="1"/>
  <c r="Y178" i="1"/>
  <c r="Y172" i="1"/>
  <c r="Y180" i="1"/>
  <c r="Y321" i="1"/>
  <c r="Y299" i="1"/>
  <c r="Y286" i="1"/>
  <c r="Y212" i="1"/>
  <c r="Y237" i="1"/>
  <c r="Y228" i="1"/>
  <c r="Y200" i="1"/>
  <c r="Y302" i="1"/>
  <c r="Y289" i="1"/>
  <c r="Y269" i="1"/>
  <c r="Y201" i="1"/>
  <c r="Y175" i="1"/>
  <c r="Y303" i="1"/>
  <c r="Y247" i="1"/>
  <c r="Y273" i="1"/>
  <c r="Y186" i="1"/>
  <c r="Y173" i="1"/>
  <c r="Y312" i="1"/>
  <c r="Y214" i="1"/>
  <c r="Y239" i="1"/>
  <c r="Y230" i="1"/>
  <c r="Y282" i="1"/>
  <c r="Y191" i="1"/>
  <c r="Y168" i="1"/>
  <c r="Z323" i="1"/>
  <c r="Z318" i="1"/>
  <c r="Z314" i="1"/>
  <c r="Z309" i="1"/>
  <c r="Z305" i="1"/>
  <c r="Z298" i="1"/>
  <c r="Z294" i="1"/>
  <c r="Z290" i="1"/>
  <c r="Z284" i="1"/>
  <c r="Z279" i="1"/>
  <c r="Z275" i="1"/>
  <c r="Z270" i="1"/>
  <c r="Z265" i="1"/>
  <c r="Z261" i="1"/>
  <c r="Z257" i="1"/>
  <c r="Z253" i="1"/>
  <c r="Z249" i="1"/>
  <c r="Z244" i="1"/>
  <c r="Z240" i="1"/>
  <c r="Z234" i="1"/>
  <c r="Z229" i="1"/>
  <c r="Z224" i="1"/>
  <c r="Z220" i="1"/>
  <c r="Z216" i="1"/>
  <c r="Z210" i="1"/>
  <c r="Z206" i="1"/>
  <c r="Z202" i="1"/>
  <c r="Z196" i="1"/>
  <c r="Z192" i="1"/>
  <c r="Z187" i="1"/>
  <c r="Z182" i="1"/>
  <c r="Z178" i="1"/>
  <c r="Z172" i="1"/>
  <c r="Z322" i="1"/>
  <c r="Z317" i="1"/>
  <c r="Z313" i="1"/>
  <c r="Z308" i="1"/>
  <c r="Z304" i="1"/>
  <c r="Z297" i="1"/>
  <c r="Z293" i="1"/>
  <c r="Z288" i="1"/>
  <c r="Z283" i="1"/>
  <c r="Z278" i="1"/>
  <c r="Z274" i="1"/>
  <c r="Z268" i="1"/>
  <c r="Z264" i="1"/>
  <c r="Z260" i="1"/>
  <c r="Z256" i="1"/>
  <c r="Z252" i="1"/>
  <c r="Z248" i="1"/>
  <c r="Z243" i="1"/>
  <c r="Z238" i="1"/>
  <c r="Z233" i="1"/>
  <c r="Z227" i="1"/>
  <c r="Z223" i="1"/>
  <c r="Z219" i="1"/>
  <c r="Z209" i="1"/>
  <c r="Z205" i="1"/>
  <c r="Z199" i="1"/>
  <c r="Z195" i="1"/>
  <c r="Z190" i="1"/>
  <c r="Z185" i="1"/>
  <c r="Z181" i="1"/>
  <c r="Z177" i="1"/>
  <c r="Z171" i="1"/>
  <c r="Z320" i="1"/>
  <c r="Z316" i="1"/>
  <c r="Z311" i="1"/>
  <c r="Z307" i="1"/>
  <c r="Z301" i="1"/>
  <c r="Z296" i="1"/>
  <c r="Z292" i="1"/>
  <c r="Z287" i="1"/>
  <c r="Z281" i="1"/>
  <c r="Z277" i="1"/>
  <c r="Z272" i="1"/>
  <c r="Z267" i="1"/>
  <c r="Z259" i="1"/>
  <c r="Z255" i="1"/>
  <c r="Z251" i="1"/>
  <c r="Z246" i="1"/>
  <c r="Z242" i="1"/>
  <c r="Z236" i="1"/>
  <c r="Z232" i="1"/>
  <c r="Z226" i="1"/>
  <c r="Z222" i="1"/>
  <c r="Z218" i="1"/>
  <c r="Z213" i="1"/>
  <c r="Z208" i="1"/>
  <c r="Z204" i="1"/>
  <c r="Z198" i="1"/>
  <c r="Z194" i="1"/>
  <c r="Z189" i="1"/>
  <c r="Z184" i="1"/>
  <c r="Z180" i="1"/>
  <c r="Z176" i="1"/>
  <c r="Z170" i="1"/>
  <c r="Z319" i="1"/>
  <c r="Z315" i="1"/>
  <c r="Z310" i="1"/>
  <c r="Z306" i="1"/>
  <c r="Z300" i="1"/>
  <c r="Z295" i="1"/>
  <c r="Z285" i="1"/>
  <c r="Z280" i="1"/>
  <c r="Z276" i="1"/>
  <c r="Z271" i="1"/>
  <c r="Z266" i="1"/>
  <c r="Z262" i="1"/>
  <c r="Z258" i="1"/>
  <c r="Z254" i="1"/>
  <c r="Z250" i="1"/>
  <c r="Z245" i="1"/>
  <c r="Z241" i="1"/>
  <c r="Z235" i="1"/>
  <c r="Z231" i="1"/>
  <c r="Z225" i="1"/>
  <c r="Z221" i="1"/>
  <c r="Z217" i="1"/>
  <c r="Z211" i="1"/>
  <c r="Z207" i="1"/>
  <c r="Z203" i="1"/>
  <c r="Z197" i="1"/>
  <c r="Z193" i="1"/>
  <c r="Z188" i="1"/>
  <c r="Z183" i="1"/>
  <c r="Z179" i="1"/>
  <c r="Z174" i="1"/>
  <c r="Z169" i="1"/>
  <c r="Z168" i="1"/>
  <c r="AA323" i="1"/>
  <c r="AA318" i="1"/>
  <c r="AA314" i="1"/>
  <c r="AA309" i="1"/>
  <c r="AA305" i="1"/>
  <c r="AA298" i="1"/>
  <c r="AA294" i="1"/>
  <c r="AA290" i="1"/>
  <c r="AA284" i="1"/>
  <c r="AA279" i="1"/>
  <c r="AA275" i="1"/>
  <c r="AA270" i="1"/>
  <c r="AA265" i="1"/>
  <c r="AA261" i="1"/>
  <c r="AA257" i="1"/>
  <c r="AA253" i="1"/>
  <c r="AA249" i="1"/>
  <c r="AA244" i="1"/>
  <c r="AA240" i="1"/>
  <c r="AA234" i="1"/>
  <c r="AA229" i="1"/>
  <c r="AA224" i="1"/>
  <c r="AA220" i="1"/>
  <c r="AA216" i="1"/>
  <c r="AA210" i="1"/>
  <c r="AA206" i="1"/>
  <c r="AA202" i="1"/>
  <c r="AA196" i="1"/>
  <c r="AA192" i="1"/>
  <c r="AA187" i="1"/>
  <c r="AA182" i="1"/>
  <c r="AA178" i="1"/>
  <c r="AA172" i="1"/>
  <c r="AA322" i="1"/>
  <c r="AA317" i="1"/>
  <c r="AA313" i="1"/>
  <c r="AA308" i="1"/>
  <c r="AA304" i="1"/>
  <c r="AA297" i="1"/>
  <c r="AA293" i="1"/>
  <c r="AA288" i="1"/>
  <c r="AA283" i="1"/>
  <c r="AA278" i="1"/>
  <c r="AA274" i="1"/>
  <c r="AA268" i="1"/>
  <c r="AA264" i="1"/>
  <c r="AA260" i="1"/>
  <c r="AA256" i="1"/>
  <c r="AA252" i="1"/>
  <c r="AA248" i="1"/>
  <c r="AA243" i="1"/>
  <c r="AA238" i="1"/>
  <c r="AA233" i="1"/>
  <c r="AA227" i="1"/>
  <c r="AA223" i="1"/>
  <c r="AA219" i="1"/>
  <c r="AA209" i="1"/>
  <c r="AA205" i="1"/>
  <c r="AA199" i="1"/>
  <c r="AA195" i="1"/>
  <c r="AA190" i="1"/>
  <c r="AA185" i="1"/>
  <c r="AA181" i="1"/>
  <c r="AA177" i="1"/>
  <c r="AA171" i="1"/>
  <c r="AA320" i="1"/>
  <c r="AA316" i="1"/>
  <c r="AA311" i="1"/>
  <c r="AA307" i="1"/>
  <c r="AA301" i="1"/>
  <c r="AA296" i="1"/>
  <c r="AA292" i="1"/>
  <c r="AA287" i="1"/>
  <c r="AA281" i="1"/>
  <c r="AA277" i="1"/>
  <c r="AA272" i="1"/>
  <c r="AA267" i="1"/>
  <c r="AA259" i="1"/>
  <c r="AA255" i="1"/>
  <c r="AA251" i="1"/>
  <c r="AA246" i="1"/>
  <c r="AA242" i="1"/>
  <c r="AA236" i="1"/>
  <c r="AA232" i="1"/>
  <c r="AA226" i="1"/>
  <c r="AA222" i="1"/>
  <c r="AA218" i="1"/>
  <c r="AA213" i="1"/>
  <c r="AA208" i="1"/>
  <c r="AA204" i="1"/>
  <c r="AA198" i="1"/>
  <c r="AA194" i="1"/>
  <c r="AA189" i="1"/>
  <c r="AA184" i="1"/>
  <c r="AA180" i="1"/>
  <c r="AA176" i="1"/>
  <c r="AA170" i="1"/>
  <c r="AA319" i="1"/>
  <c r="AA315" i="1"/>
  <c r="AA310" i="1"/>
  <c r="AA306" i="1"/>
  <c r="AA300" i="1"/>
  <c r="AA295" i="1"/>
  <c r="AA285" i="1"/>
  <c r="AA280" i="1"/>
  <c r="AA276" i="1"/>
  <c r="AA271" i="1"/>
  <c r="AA266" i="1"/>
  <c r="AA262" i="1"/>
  <c r="AA258" i="1"/>
  <c r="AA254" i="1"/>
  <c r="AA250" i="1"/>
  <c r="AA245" i="1"/>
  <c r="AA241" i="1"/>
  <c r="AA235" i="1"/>
  <c r="AA231" i="1"/>
  <c r="AA225" i="1"/>
  <c r="AA221" i="1"/>
  <c r="AA217" i="1"/>
  <c r="AA211" i="1"/>
  <c r="AA207" i="1"/>
  <c r="AA203" i="1"/>
  <c r="AA197" i="1"/>
  <c r="AA193" i="1"/>
  <c r="AA188" i="1"/>
  <c r="AA183" i="1"/>
  <c r="AA179" i="1"/>
  <c r="AA174" i="1"/>
  <c r="AA169" i="1"/>
  <c r="AA168" i="1"/>
  <c r="Y157" i="1"/>
  <c r="Y165" i="1"/>
  <c r="Y161" i="1"/>
  <c r="Y167" i="1"/>
  <c r="Y162" i="1"/>
  <c r="Y156" i="1"/>
  <c r="Y148" i="1"/>
  <c r="Y144" i="1"/>
  <c r="Y140" i="1"/>
  <c r="Y136" i="1"/>
  <c r="Y124" i="1"/>
  <c r="Y116" i="1"/>
  <c r="AM116" i="1" s="1"/>
  <c r="BT116" i="1" s="1"/>
  <c r="Y112" i="1"/>
  <c r="Y108" i="1"/>
  <c r="Y104" i="1"/>
  <c r="Y96" i="1"/>
  <c r="Y166" i="1"/>
  <c r="Y160" i="1"/>
  <c r="Y155" i="1"/>
  <c r="AM155" i="1" s="1"/>
  <c r="BT155" i="1" s="1"/>
  <c r="Y151" i="1"/>
  <c r="Y147" i="1"/>
  <c r="Y143" i="1"/>
  <c r="Y135" i="1"/>
  <c r="Y131" i="1"/>
  <c r="Y127" i="1"/>
  <c r="Y123" i="1"/>
  <c r="Y111" i="1"/>
  <c r="Y103" i="1"/>
  <c r="AM103" i="1" s="1"/>
  <c r="BT103" i="1" s="1"/>
  <c r="Y99" i="1"/>
  <c r="Y95" i="1"/>
  <c r="Y91" i="1"/>
  <c r="Y164" i="1"/>
  <c r="Y159" i="1"/>
  <c r="Y150" i="1"/>
  <c r="Y142" i="1"/>
  <c r="AM142" i="1" s="1"/>
  <c r="BT142" i="1" s="1"/>
  <c r="Y138" i="1"/>
  <c r="Y134" i="1"/>
  <c r="Y130" i="1"/>
  <c r="Y122" i="1"/>
  <c r="Y118" i="1"/>
  <c r="Y114" i="1"/>
  <c r="Y110" i="1"/>
  <c r="Y98" i="1"/>
  <c r="Y163" i="1"/>
  <c r="Y158" i="1"/>
  <c r="Y153" i="1"/>
  <c r="Y149" i="1"/>
  <c r="Y137" i="1"/>
  <c r="Y129" i="1"/>
  <c r="Y125" i="1"/>
  <c r="Y121" i="1"/>
  <c r="Y117" i="1"/>
  <c r="Y109" i="1"/>
  <c r="Y105" i="1"/>
  <c r="Y101" i="1"/>
  <c r="Y97" i="1"/>
  <c r="Y85" i="1"/>
  <c r="Y90" i="1"/>
  <c r="AM90" i="1" s="1"/>
  <c r="BT90" i="1" s="1"/>
  <c r="Y88" i="1"/>
  <c r="Y86" i="1"/>
  <c r="Y84" i="1"/>
  <c r="Y83" i="1"/>
  <c r="Y77" i="1"/>
  <c r="AM77" i="1" s="1"/>
  <c r="BT77" i="1" s="1"/>
  <c r="Y73" i="1"/>
  <c r="Y69" i="1"/>
  <c r="Y65" i="1"/>
  <c r="Y57" i="1"/>
  <c r="Y53" i="1"/>
  <c r="Y49" i="1"/>
  <c r="Y45" i="1"/>
  <c r="Y33" i="1"/>
  <c r="Y25" i="1"/>
  <c r="AM25" i="1" s="1"/>
  <c r="Y21" i="1"/>
  <c r="Y17" i="1"/>
  <c r="AM17" i="1" s="1"/>
  <c r="Y82" i="1"/>
  <c r="Y72" i="1"/>
  <c r="Y64" i="1"/>
  <c r="AM64" i="1" s="1"/>
  <c r="BT64" i="1" s="1"/>
  <c r="Y60" i="1"/>
  <c r="Y56" i="1"/>
  <c r="Y52" i="1"/>
  <c r="Y44" i="1"/>
  <c r="Y40" i="1"/>
  <c r="Y36" i="1"/>
  <c r="Y32" i="1"/>
  <c r="Y20" i="1"/>
  <c r="Y92" i="1"/>
  <c r="Y79" i="1"/>
  <c r="Y75" i="1"/>
  <c r="Y71" i="1"/>
  <c r="Y59" i="1"/>
  <c r="Y51" i="1"/>
  <c r="AM51" i="1" s="1"/>
  <c r="BT51" i="1" s="1"/>
  <c r="Y47" i="1"/>
  <c r="Y43" i="1"/>
  <c r="Y39" i="1"/>
  <c r="Y31" i="1"/>
  <c r="Y27" i="1"/>
  <c r="Y23" i="1"/>
  <c r="Y19" i="1"/>
  <c r="Y78" i="1"/>
  <c r="Y70" i="1"/>
  <c r="Y66" i="1"/>
  <c r="Y62" i="1"/>
  <c r="Y58" i="1"/>
  <c r="Y46" i="1"/>
  <c r="Y38" i="1"/>
  <c r="AM38" i="1" s="1"/>
  <c r="BT38" i="1" s="1"/>
  <c r="Y34" i="1"/>
  <c r="Y30" i="1"/>
  <c r="AM30" i="1" s="1"/>
  <c r="Y26" i="1"/>
  <c r="Y18" i="1"/>
  <c r="Y14" i="1"/>
  <c r="AC134" i="1"/>
  <c r="AC40" i="1"/>
  <c r="AC157" i="1"/>
  <c r="AC165" i="1"/>
  <c r="AC161" i="1"/>
  <c r="AC167" i="1"/>
  <c r="AC162" i="1"/>
  <c r="AC156" i="1"/>
  <c r="AC152" i="1"/>
  <c r="AC148" i="1"/>
  <c r="AC144" i="1"/>
  <c r="AC136" i="1"/>
  <c r="AC132" i="1"/>
  <c r="AC128" i="1"/>
  <c r="AC124" i="1"/>
  <c r="AC120" i="1"/>
  <c r="AC116" i="1"/>
  <c r="AC112" i="1"/>
  <c r="AC104" i="1"/>
  <c r="AC100" i="1"/>
  <c r="AC96" i="1"/>
  <c r="AC138" i="1"/>
  <c r="AC166" i="1"/>
  <c r="AC160" i="1"/>
  <c r="AC155" i="1"/>
  <c r="AC147" i="1"/>
  <c r="AC143" i="1"/>
  <c r="AC139" i="1"/>
  <c r="AC135" i="1"/>
  <c r="AC131" i="1"/>
  <c r="AC123" i="1"/>
  <c r="AC119" i="1"/>
  <c r="AC115" i="1"/>
  <c r="AC111" i="1"/>
  <c r="AC107" i="1"/>
  <c r="AC103" i="1"/>
  <c r="AC99" i="1"/>
  <c r="AC95" i="1"/>
  <c r="AC91" i="1"/>
  <c r="AC164" i="1"/>
  <c r="AC159" i="1"/>
  <c r="AC154" i="1"/>
  <c r="AC146" i="1"/>
  <c r="AC142" i="1"/>
  <c r="AC130" i="1"/>
  <c r="AC126" i="1"/>
  <c r="AC110" i="1"/>
  <c r="AC106" i="1"/>
  <c r="AC102" i="1"/>
  <c r="AC94" i="1"/>
  <c r="AC163" i="1"/>
  <c r="AC158" i="1"/>
  <c r="AC153" i="1"/>
  <c r="AC149" i="1"/>
  <c r="AC145" i="1"/>
  <c r="AC141" i="1"/>
  <c r="AC133" i="1"/>
  <c r="AC129" i="1"/>
  <c r="AC125" i="1"/>
  <c r="AC117" i="1"/>
  <c r="AC113" i="1"/>
  <c r="AC109" i="1"/>
  <c r="AC101" i="1"/>
  <c r="AC93" i="1"/>
  <c r="AC89" i="1"/>
  <c r="AC85" i="1"/>
  <c r="AC81" i="1"/>
  <c r="AC77" i="1"/>
  <c r="AC65" i="1"/>
  <c r="AC61" i="1"/>
  <c r="AC57" i="1"/>
  <c r="AC53" i="1"/>
  <c r="AC49" i="1"/>
  <c r="AC45" i="1"/>
  <c r="AC41" i="1"/>
  <c r="AC37" i="1"/>
  <c r="AC29" i="1"/>
  <c r="AC25" i="1"/>
  <c r="AC21" i="1"/>
  <c r="AC17" i="1"/>
  <c r="AC15" i="1"/>
  <c r="AC90" i="1"/>
  <c r="AC88" i="1"/>
  <c r="AC87" i="1"/>
  <c r="AC86" i="1"/>
  <c r="AC76" i="1"/>
  <c r="AC72" i="1"/>
  <c r="AC68" i="1"/>
  <c r="AC64" i="1"/>
  <c r="AC60" i="1"/>
  <c r="AC56" i="1"/>
  <c r="AC52" i="1"/>
  <c r="AC48" i="1"/>
  <c r="AC44" i="1"/>
  <c r="AC36" i="1"/>
  <c r="AC32" i="1"/>
  <c r="AC28" i="1"/>
  <c r="AC24" i="1"/>
  <c r="AC16" i="1"/>
  <c r="AC80" i="1"/>
  <c r="AC79" i="1"/>
  <c r="AC75" i="1"/>
  <c r="AC71" i="1"/>
  <c r="AC67" i="1"/>
  <c r="AC63" i="1"/>
  <c r="AC59" i="1"/>
  <c r="AC55" i="1"/>
  <c r="AC51" i="1"/>
  <c r="AC47" i="1"/>
  <c r="AC43" i="1"/>
  <c r="AC35" i="1"/>
  <c r="AC31" i="1"/>
  <c r="AC19" i="1"/>
  <c r="AC78" i="1"/>
  <c r="AC74" i="1"/>
  <c r="AC70" i="1"/>
  <c r="AC54" i="1"/>
  <c r="AC50" i="1"/>
  <c r="AC46" i="1"/>
  <c r="AC42" i="1"/>
  <c r="AC38" i="1"/>
  <c r="AC34" i="1"/>
  <c r="AC26" i="1"/>
  <c r="AC22" i="1"/>
  <c r="AC18" i="1"/>
  <c r="AC14" i="1"/>
  <c r="AA134" i="1"/>
  <c r="AA40" i="1"/>
  <c r="AA164" i="1"/>
  <c r="AA159" i="1"/>
  <c r="AA154" i="1"/>
  <c r="AA146" i="1"/>
  <c r="AA142" i="1"/>
  <c r="AA130" i="1"/>
  <c r="AA126" i="1"/>
  <c r="AA110" i="1"/>
  <c r="AA106" i="1"/>
  <c r="AA102" i="1"/>
  <c r="AA94" i="1"/>
  <c r="AA163" i="1"/>
  <c r="AA158" i="1"/>
  <c r="AA153" i="1"/>
  <c r="AA149" i="1"/>
  <c r="AA145" i="1"/>
  <c r="AA141" i="1"/>
  <c r="AA133" i="1"/>
  <c r="AA129" i="1"/>
  <c r="AA125" i="1"/>
  <c r="AA117" i="1"/>
  <c r="AA113" i="1"/>
  <c r="AA109" i="1"/>
  <c r="AA101" i="1"/>
  <c r="AA93" i="1"/>
  <c r="AA157" i="1"/>
  <c r="AA165" i="1"/>
  <c r="AA161" i="1"/>
  <c r="AA167" i="1"/>
  <c r="AA162" i="1"/>
  <c r="AA156" i="1"/>
  <c r="AA152" i="1"/>
  <c r="AA148" i="1"/>
  <c r="AA144" i="1"/>
  <c r="AA136" i="1"/>
  <c r="AA132" i="1"/>
  <c r="AA128" i="1"/>
  <c r="AA124" i="1"/>
  <c r="AA120" i="1"/>
  <c r="AA116" i="1"/>
  <c r="AA112" i="1"/>
  <c r="AA104" i="1"/>
  <c r="AA100" i="1"/>
  <c r="AA96" i="1"/>
  <c r="AA138" i="1"/>
  <c r="AA166" i="1"/>
  <c r="AA160" i="1"/>
  <c r="AA155" i="1"/>
  <c r="AA147" i="1"/>
  <c r="AA143" i="1"/>
  <c r="AA139" i="1"/>
  <c r="AA135" i="1"/>
  <c r="AA131" i="1"/>
  <c r="AA123" i="1"/>
  <c r="AA119" i="1"/>
  <c r="AA115" i="1"/>
  <c r="AA111" i="1"/>
  <c r="AA107" i="1"/>
  <c r="AA103" i="1"/>
  <c r="AA99" i="1"/>
  <c r="AA95" i="1"/>
  <c r="AA91" i="1"/>
  <c r="AA87" i="1"/>
  <c r="AA80" i="1"/>
  <c r="AA79" i="1"/>
  <c r="AA75" i="1"/>
  <c r="AA71" i="1"/>
  <c r="AA67" i="1"/>
  <c r="AA63" i="1"/>
  <c r="AA59" i="1"/>
  <c r="AA55" i="1"/>
  <c r="AA51" i="1"/>
  <c r="AA47" i="1"/>
  <c r="AA43" i="1"/>
  <c r="AA35" i="1"/>
  <c r="AA31" i="1"/>
  <c r="AA19" i="1"/>
  <c r="AA15" i="1"/>
  <c r="AA78" i="1"/>
  <c r="AA74" i="1"/>
  <c r="AA70" i="1"/>
  <c r="AA54" i="1"/>
  <c r="AA50" i="1"/>
  <c r="AA46" i="1"/>
  <c r="AA42" i="1"/>
  <c r="AA38" i="1"/>
  <c r="AA34" i="1"/>
  <c r="AA26" i="1"/>
  <c r="AA22" i="1"/>
  <c r="AA18" i="1"/>
  <c r="AA14" i="1"/>
  <c r="AA90" i="1"/>
  <c r="AA89" i="1"/>
  <c r="AA86" i="1"/>
  <c r="AA85" i="1"/>
  <c r="AA77" i="1"/>
  <c r="AA65" i="1"/>
  <c r="AA61" i="1"/>
  <c r="AA57" i="1"/>
  <c r="AA53" i="1"/>
  <c r="AA49" i="1"/>
  <c r="AA45" i="1"/>
  <c r="AA41" i="1"/>
  <c r="AA37" i="1"/>
  <c r="AA29" i="1"/>
  <c r="AA25" i="1"/>
  <c r="AA21" i="1"/>
  <c r="AA17" i="1"/>
  <c r="AA88" i="1"/>
  <c r="AA81" i="1"/>
  <c r="AA76" i="1"/>
  <c r="AA72" i="1"/>
  <c r="AA68" i="1"/>
  <c r="AA64" i="1"/>
  <c r="AA60" i="1"/>
  <c r="AA56" i="1"/>
  <c r="AA52" i="1"/>
  <c r="AA48" i="1"/>
  <c r="AA44" i="1"/>
  <c r="AA36" i="1"/>
  <c r="AA32" i="1"/>
  <c r="AA28" i="1"/>
  <c r="AA24" i="1"/>
  <c r="AA16" i="1"/>
  <c r="AN108" i="1"/>
  <c r="AN105" i="1"/>
  <c r="E12" i="49"/>
  <c r="E14" i="49" s="1"/>
  <c r="AN20" i="1"/>
  <c r="AO20" i="1"/>
  <c r="O21" i="5"/>
  <c r="AL284" i="1"/>
  <c r="AL310" i="1"/>
  <c r="AL258" i="1"/>
  <c r="AL323" i="1"/>
  <c r="AL271" i="1"/>
  <c r="AL219" i="1"/>
  <c r="AL297" i="1"/>
  <c r="D59" i="5"/>
  <c r="D52" i="5"/>
  <c r="E52" i="5" s="1"/>
  <c r="D48" i="5"/>
  <c r="E48" i="5" s="1"/>
  <c r="D60" i="5"/>
  <c r="D56" i="5"/>
  <c r="E56" i="5" s="1"/>
  <c r="D53" i="5"/>
  <c r="E53" i="5" s="1"/>
  <c r="D49" i="5"/>
  <c r="E49" i="5" s="1"/>
  <c r="D58" i="5"/>
  <c r="D55" i="5"/>
  <c r="E55" i="5" s="1"/>
  <c r="D51" i="5"/>
  <c r="E51" i="5" s="1"/>
  <c r="D47" i="5"/>
  <c r="E47" i="5" s="1"/>
  <c r="D61" i="5"/>
  <c r="D57" i="5"/>
  <c r="E57" i="5" s="1"/>
  <c r="D54" i="5"/>
  <c r="E54" i="5" s="1"/>
  <c r="D50" i="5"/>
  <c r="E50" i="5" s="1"/>
  <c r="AL206" i="1"/>
  <c r="AL232" i="1"/>
  <c r="AL245" i="1"/>
  <c r="AL180" i="1"/>
  <c r="AL193" i="1"/>
  <c r="AJ321" i="1"/>
  <c r="AJ317" i="1"/>
  <c r="AJ313" i="1"/>
  <c r="AL313" i="1" s="1"/>
  <c r="AJ242" i="1"/>
  <c r="AJ238" i="1"/>
  <c r="AJ234" i="1"/>
  <c r="AJ294" i="1"/>
  <c r="AJ286" i="1"/>
  <c r="AJ216" i="1"/>
  <c r="AJ212" i="1"/>
  <c r="AJ208" i="1"/>
  <c r="AJ267" i="1"/>
  <c r="AJ263" i="1"/>
  <c r="AJ259" i="1"/>
  <c r="AJ257" i="1"/>
  <c r="AJ253" i="1"/>
  <c r="AJ249" i="1"/>
  <c r="AJ307" i="1"/>
  <c r="AJ322" i="1"/>
  <c r="AJ318" i="1"/>
  <c r="AJ314" i="1"/>
  <c r="AJ243" i="1"/>
  <c r="AJ239" i="1"/>
  <c r="AJ235" i="1"/>
  <c r="AJ295" i="1"/>
  <c r="AJ287" i="1"/>
  <c r="AJ217" i="1"/>
  <c r="AJ209" i="1"/>
  <c r="AJ268" i="1"/>
  <c r="AJ264" i="1"/>
  <c r="AJ260" i="1"/>
  <c r="AJ254" i="1"/>
  <c r="AJ250" i="1"/>
  <c r="AJ246" i="1"/>
  <c r="AJ319" i="1"/>
  <c r="AJ315" i="1"/>
  <c r="AJ311" i="1"/>
  <c r="AJ244" i="1"/>
  <c r="AJ240" i="1"/>
  <c r="AJ236" i="1"/>
  <c r="AJ296" i="1"/>
  <c r="AJ292" i="1"/>
  <c r="AJ288" i="1"/>
  <c r="AJ218" i="1"/>
  <c r="AJ210" i="1"/>
  <c r="AJ269" i="1"/>
  <c r="AJ265" i="1"/>
  <c r="AJ261" i="1"/>
  <c r="AJ255" i="1"/>
  <c r="AJ251" i="1"/>
  <c r="AJ247" i="1"/>
  <c r="AJ309" i="1"/>
  <c r="AJ316" i="1"/>
  <c r="AJ211" i="1"/>
  <c r="AJ207" i="1"/>
  <c r="AJ262" i="1"/>
  <c r="AJ256" i="1"/>
  <c r="AJ305" i="1"/>
  <c r="AJ302" i="1"/>
  <c r="AJ298" i="1"/>
  <c r="AJ231" i="1"/>
  <c r="AJ227" i="1"/>
  <c r="AJ223" i="1"/>
  <c r="AJ282" i="1"/>
  <c r="AJ274" i="1"/>
  <c r="AJ320" i="1"/>
  <c r="AJ312" i="1"/>
  <c r="AJ215" i="1"/>
  <c r="AJ270" i="1"/>
  <c r="AJ266" i="1"/>
  <c r="AJ303" i="1"/>
  <c r="AJ299" i="1"/>
  <c r="AJ228" i="1"/>
  <c r="AJ224" i="1"/>
  <c r="AJ220" i="1"/>
  <c r="AJ283" i="1"/>
  <c r="AJ275" i="1"/>
  <c r="AJ204" i="1"/>
  <c r="AJ200" i="1"/>
  <c r="AJ196" i="1"/>
  <c r="AJ190" i="1"/>
  <c r="AJ186" i="1"/>
  <c r="AJ182" i="1"/>
  <c r="AJ179" i="1"/>
  <c r="AJ175" i="1"/>
  <c r="AJ171" i="1"/>
  <c r="AJ237" i="1"/>
  <c r="AJ233" i="1"/>
  <c r="AJ308" i="1"/>
  <c r="AJ306" i="1"/>
  <c r="AJ304" i="1"/>
  <c r="AJ300" i="1"/>
  <c r="AJ229" i="1"/>
  <c r="AJ225" i="1"/>
  <c r="AJ221" i="1"/>
  <c r="AJ280" i="1"/>
  <c r="AJ276" i="1"/>
  <c r="AJ272" i="1"/>
  <c r="AJ205" i="1"/>
  <c r="AJ201" i="1"/>
  <c r="AJ197" i="1"/>
  <c r="AJ191" i="1"/>
  <c r="AJ187" i="1"/>
  <c r="AJ168" i="1"/>
  <c r="AK171" i="1"/>
  <c r="AJ173" i="1"/>
  <c r="AK178" i="1"/>
  <c r="AJ181" i="1"/>
  <c r="AJ185" i="1"/>
  <c r="AK190" i="1"/>
  <c r="AJ198" i="1"/>
  <c r="AK203" i="1"/>
  <c r="AK282" i="1"/>
  <c r="AK227" i="1"/>
  <c r="AK231" i="1"/>
  <c r="AK263" i="1"/>
  <c r="AK322" i="1"/>
  <c r="AK318" i="1"/>
  <c r="AK314" i="1"/>
  <c r="AK243" i="1"/>
  <c r="AK239" i="1"/>
  <c r="AK235" i="1"/>
  <c r="AK295" i="1"/>
  <c r="AK287" i="1"/>
  <c r="AK217" i="1"/>
  <c r="AK209" i="1"/>
  <c r="AK268" i="1"/>
  <c r="AK264" i="1"/>
  <c r="AK260" i="1"/>
  <c r="AK254" i="1"/>
  <c r="AK250" i="1"/>
  <c r="AK246" i="1"/>
  <c r="AK308" i="1"/>
  <c r="AK304" i="1"/>
  <c r="AK319" i="1"/>
  <c r="AK315" i="1"/>
  <c r="AK311" i="1"/>
  <c r="AK244" i="1"/>
  <c r="AK240" i="1"/>
  <c r="AK236" i="1"/>
  <c r="AK296" i="1"/>
  <c r="AK292" i="1"/>
  <c r="AK288" i="1"/>
  <c r="AK218" i="1"/>
  <c r="AK210" i="1"/>
  <c r="AK269" i="1"/>
  <c r="AK265" i="1"/>
  <c r="AK261" i="1"/>
  <c r="AK255" i="1"/>
  <c r="AK251" i="1"/>
  <c r="AK247" i="1"/>
  <c r="AK320" i="1"/>
  <c r="AK316" i="1"/>
  <c r="AK312" i="1"/>
  <c r="AK241" i="1"/>
  <c r="AK237" i="1"/>
  <c r="AK233" i="1"/>
  <c r="AK285" i="1"/>
  <c r="AK215" i="1"/>
  <c r="AK211" i="1"/>
  <c r="AK207" i="1"/>
  <c r="AK270" i="1"/>
  <c r="AK266" i="1"/>
  <c r="AK262" i="1"/>
  <c r="AK256" i="1"/>
  <c r="AK252" i="1"/>
  <c r="AK248" i="1"/>
  <c r="AK321" i="1"/>
  <c r="AK216" i="1"/>
  <c r="AK267" i="1"/>
  <c r="AK309" i="1"/>
  <c r="AK303" i="1"/>
  <c r="AK299" i="1"/>
  <c r="AK228" i="1"/>
  <c r="AK224" i="1"/>
  <c r="AK220" i="1"/>
  <c r="AK283" i="1"/>
  <c r="AK275" i="1"/>
  <c r="AK238" i="1"/>
  <c r="AK234" i="1"/>
  <c r="AK249" i="1"/>
  <c r="AK306" i="1"/>
  <c r="AK300" i="1"/>
  <c r="AK229" i="1"/>
  <c r="AK225" i="1"/>
  <c r="AK221" i="1"/>
  <c r="AK280" i="1"/>
  <c r="AK276" i="1"/>
  <c r="AK272" i="1"/>
  <c r="AK205" i="1"/>
  <c r="AK201" i="1"/>
  <c r="AK197" i="1"/>
  <c r="AK191" i="1"/>
  <c r="AK187" i="1"/>
  <c r="AK183" i="1"/>
  <c r="AK168" i="1"/>
  <c r="AK242" i="1"/>
  <c r="AK286" i="1"/>
  <c r="AK257" i="1"/>
  <c r="AK253" i="1"/>
  <c r="AK301" i="1"/>
  <c r="AK230" i="1"/>
  <c r="AK226" i="1"/>
  <c r="AK222" i="1"/>
  <c r="AL222" i="1" s="1"/>
  <c r="AK281" i="1"/>
  <c r="AK273" i="1"/>
  <c r="AK202" i="1"/>
  <c r="AK198" i="1"/>
  <c r="AK194" i="1"/>
  <c r="AK192" i="1"/>
  <c r="AL192" i="1" s="1"/>
  <c r="AK188" i="1"/>
  <c r="AK184" i="1"/>
  <c r="AL184" i="1" s="1"/>
  <c r="AJ170" i="1"/>
  <c r="AK173" i="1"/>
  <c r="AK175" i="1"/>
  <c r="AJ177" i="1"/>
  <c r="AK181" i="1"/>
  <c r="AJ183" i="1"/>
  <c r="AK185" i="1"/>
  <c r="AJ188" i="1"/>
  <c r="AJ194" i="1"/>
  <c r="AK196" i="1"/>
  <c r="AJ199" i="1"/>
  <c r="AK204" i="1"/>
  <c r="AK274" i="1"/>
  <c r="AK223" i="1"/>
  <c r="AK305" i="1"/>
  <c r="AJ248" i="1"/>
  <c r="AK259" i="1"/>
  <c r="AK208" i="1"/>
  <c r="AK317" i="1"/>
  <c r="AI291" i="1"/>
  <c r="AI213" i="1"/>
  <c r="AI214" i="1"/>
  <c r="AJ169" i="1"/>
  <c r="AK170" i="1"/>
  <c r="AJ174" i="1"/>
  <c r="AI176" i="1"/>
  <c r="AL176" i="1" s="1"/>
  <c r="AK177" i="1"/>
  <c r="AK179" i="1"/>
  <c r="AK186" i="1"/>
  <c r="AJ189" i="1"/>
  <c r="AJ195" i="1"/>
  <c r="AK199" i="1"/>
  <c r="AJ202" i="1"/>
  <c r="AJ230" i="1"/>
  <c r="AJ301" i="1"/>
  <c r="AK307" i="1"/>
  <c r="AJ285" i="1"/>
  <c r="AK294" i="1"/>
  <c r="C62" i="5"/>
  <c r="Y13" i="1"/>
  <c r="AC13" i="1"/>
  <c r="AB13" i="1"/>
  <c r="Z13" i="1"/>
  <c r="AA13" i="1"/>
  <c r="AL16" i="1"/>
  <c r="AL20" i="1"/>
  <c r="AL24" i="1"/>
  <c r="AL26" i="1"/>
  <c r="AL30" i="1"/>
  <c r="AL34" i="1"/>
  <c r="AL41" i="1"/>
  <c r="AL45" i="1"/>
  <c r="AL49" i="1"/>
  <c r="AL55" i="1"/>
  <c r="AL59" i="1"/>
  <c r="AL63" i="1"/>
  <c r="AL65" i="1"/>
  <c r="AL69" i="1"/>
  <c r="AL73" i="1"/>
  <c r="AL79" i="1"/>
  <c r="AL83" i="1"/>
  <c r="AL87" i="1"/>
  <c r="AL91" i="1"/>
  <c r="AL95" i="1"/>
  <c r="AL99" i="1"/>
  <c r="AL106" i="1"/>
  <c r="AL110" i="1"/>
  <c r="AL114" i="1"/>
  <c r="AL130" i="1"/>
  <c r="AL134" i="1"/>
  <c r="AL138" i="1"/>
  <c r="AL144" i="1"/>
  <c r="AL148" i="1"/>
  <c r="AL152" i="1"/>
  <c r="AL159" i="1"/>
  <c r="AL160" i="1"/>
  <c r="AL13" i="1"/>
  <c r="AL17" i="1"/>
  <c r="AL21" i="1"/>
  <c r="AL27" i="1"/>
  <c r="AL31" i="1"/>
  <c r="AL35" i="1"/>
  <c r="AL42" i="1"/>
  <c r="AL46" i="1"/>
  <c r="AL50" i="1"/>
  <c r="AL52" i="1"/>
  <c r="AL56" i="1"/>
  <c r="AL60" i="1"/>
  <c r="AL66" i="1"/>
  <c r="AL70" i="1"/>
  <c r="AL74" i="1"/>
  <c r="AL80" i="1"/>
  <c r="AL84" i="1"/>
  <c r="AL88" i="1"/>
  <c r="AL92" i="1"/>
  <c r="AL96" i="1"/>
  <c r="AL100" i="1"/>
  <c r="AL107" i="1"/>
  <c r="AL111" i="1"/>
  <c r="AL115" i="1"/>
  <c r="AL131" i="1"/>
  <c r="AL135" i="1"/>
  <c r="AL139" i="1"/>
  <c r="AL145" i="1"/>
  <c r="AL149" i="1"/>
  <c r="AL153" i="1"/>
  <c r="AL162" i="1"/>
  <c r="AL164" i="1"/>
  <c r="AL15" i="1"/>
  <c r="AL19" i="1"/>
  <c r="AL23" i="1"/>
  <c r="AL29" i="1"/>
  <c r="AL33" i="1"/>
  <c r="AL37" i="1"/>
  <c r="AL40" i="1"/>
  <c r="AL44" i="1"/>
  <c r="AL48" i="1"/>
  <c r="AL54" i="1"/>
  <c r="AL58" i="1"/>
  <c r="AL62" i="1"/>
  <c r="AL68" i="1"/>
  <c r="AL72" i="1"/>
  <c r="AL76" i="1"/>
  <c r="AL78" i="1"/>
  <c r="AL82" i="1"/>
  <c r="AL86" i="1"/>
  <c r="AL94" i="1"/>
  <c r="AL98" i="1"/>
  <c r="AL102" i="1"/>
  <c r="AL105" i="1"/>
  <c r="AL109" i="1"/>
  <c r="AL113" i="1"/>
  <c r="AL133" i="1"/>
  <c r="AL137" i="1"/>
  <c r="AL141" i="1"/>
  <c r="AL143" i="1"/>
  <c r="AL147" i="1"/>
  <c r="AL151" i="1"/>
  <c r="AL158" i="1"/>
  <c r="AL167" i="1"/>
  <c r="AL14" i="1"/>
  <c r="AL18" i="1"/>
  <c r="AL22" i="1"/>
  <c r="AL28" i="1"/>
  <c r="AL32" i="1"/>
  <c r="AL36" i="1"/>
  <c r="AL39" i="1"/>
  <c r="AL43" i="1"/>
  <c r="AL47" i="1"/>
  <c r="AL53" i="1"/>
  <c r="AL57" i="1"/>
  <c r="AL61" i="1"/>
  <c r="AL67" i="1"/>
  <c r="AL71" i="1"/>
  <c r="AL75" i="1"/>
  <c r="AL81" i="1"/>
  <c r="AL85" i="1"/>
  <c r="AL89" i="1"/>
  <c r="AL93" i="1"/>
  <c r="AL97" i="1"/>
  <c r="AL101" i="1"/>
  <c r="AL104" i="1"/>
  <c r="AL108" i="1"/>
  <c r="AL112" i="1"/>
  <c r="AL132" i="1"/>
  <c r="AL136" i="1"/>
  <c r="AL140" i="1"/>
  <c r="AL146" i="1"/>
  <c r="AL150" i="1"/>
  <c r="AL154" i="1"/>
  <c r="AL156" i="1"/>
  <c r="AL163" i="1"/>
  <c r="AL166" i="1"/>
  <c r="AO121" i="1" l="1"/>
  <c r="AP118" i="1"/>
  <c r="AQ121" i="1"/>
  <c r="AN118" i="1"/>
  <c r="AO118" i="1"/>
  <c r="AP121" i="1"/>
  <c r="AQ118" i="1"/>
  <c r="AN121" i="1"/>
  <c r="H15" i="55"/>
  <c r="BV20" i="1"/>
  <c r="BU20" i="1"/>
  <c r="BT25" i="1"/>
  <c r="AO165" i="1"/>
  <c r="AD157" i="1"/>
  <c r="AM157" i="1"/>
  <c r="AP165" i="1"/>
  <c r="AN161" i="1"/>
  <c r="AO124" i="1"/>
  <c r="AO157" i="1"/>
  <c r="AQ161" i="1"/>
  <c r="AP124" i="1"/>
  <c r="AP157" i="1"/>
  <c r="AN165" i="1"/>
  <c r="AQ165" i="1"/>
  <c r="AM161" i="1"/>
  <c r="AD161" i="1"/>
  <c r="AN124" i="1"/>
  <c r="AN157" i="1"/>
  <c r="AO161" i="1"/>
  <c r="AQ124" i="1"/>
  <c r="AQ157" i="1"/>
  <c r="AM165" i="1"/>
  <c r="AD165" i="1"/>
  <c r="AP161" i="1"/>
  <c r="AM129" i="1"/>
  <c r="AD129" i="1"/>
  <c r="AD122" i="1"/>
  <c r="AM122" i="1"/>
  <c r="AP123" i="1"/>
  <c r="AP119" i="1"/>
  <c r="AP128" i="1"/>
  <c r="AN120" i="1"/>
  <c r="AD120" i="1"/>
  <c r="AN129" i="1"/>
  <c r="AN122" i="1"/>
  <c r="AO117" i="1"/>
  <c r="AO128" i="1"/>
  <c r="AO127" i="1"/>
  <c r="AQ126" i="1"/>
  <c r="AM118" i="1"/>
  <c r="AD118" i="1"/>
  <c r="AP127" i="1"/>
  <c r="AP120" i="1"/>
  <c r="AP129" i="1"/>
  <c r="AN125" i="1"/>
  <c r="AD126" i="1"/>
  <c r="AN126" i="1"/>
  <c r="AO119" i="1"/>
  <c r="AO129" i="1"/>
  <c r="AQ117" i="1"/>
  <c r="AQ123" i="1"/>
  <c r="AQ119" i="1"/>
  <c r="AD117" i="1"/>
  <c r="AM117" i="1"/>
  <c r="AD123" i="1"/>
  <c r="AM123" i="1"/>
  <c r="AD121" i="1"/>
  <c r="AM121" i="1"/>
  <c r="AP122" i="1"/>
  <c r="AP125" i="1"/>
  <c r="AN117" i="1"/>
  <c r="AN123" i="1"/>
  <c r="AO122" i="1"/>
  <c r="AO120" i="1"/>
  <c r="AQ128" i="1"/>
  <c r="AQ127" i="1"/>
  <c r="AQ120" i="1"/>
  <c r="AM124" i="1"/>
  <c r="AD124" i="1"/>
  <c r="AM127" i="1"/>
  <c r="AD127" i="1"/>
  <c r="AD125" i="1"/>
  <c r="AM125" i="1"/>
  <c r="AP126" i="1"/>
  <c r="AP117" i="1"/>
  <c r="AN119" i="1"/>
  <c r="AD119" i="1"/>
  <c r="AD128" i="1"/>
  <c r="AN128" i="1"/>
  <c r="AN127" i="1"/>
  <c r="AO126" i="1"/>
  <c r="AO125" i="1"/>
  <c r="AO123" i="1"/>
  <c r="AQ129" i="1"/>
  <c r="AQ122" i="1"/>
  <c r="AQ125" i="1"/>
  <c r="D12" i="49"/>
  <c r="D14" i="49" s="1"/>
  <c r="D39" i="5"/>
  <c r="E39" i="5" s="1"/>
  <c r="D40" i="5"/>
  <c r="E40" i="5" s="1"/>
  <c r="AL273" i="1"/>
  <c r="AP147" i="1"/>
  <c r="BW147" i="1" s="1"/>
  <c r="AN79" i="1"/>
  <c r="BU79" i="1" s="1"/>
  <c r="AN52" i="1"/>
  <c r="BU52" i="1" s="1"/>
  <c r="AQ40" i="1"/>
  <c r="BX40" i="1" s="1"/>
  <c r="AO35" i="1"/>
  <c r="BV35" i="1" s="1"/>
  <c r="AN28" i="1"/>
  <c r="BU28" i="1" s="1"/>
  <c r="AO13" i="1"/>
  <c r="AP166" i="1"/>
  <c r="BW166" i="1" s="1"/>
  <c r="AO159" i="1"/>
  <c r="BV159" i="1" s="1"/>
  <c r="AN131" i="1"/>
  <c r="BU131" i="1" s="1"/>
  <c r="AO110" i="1"/>
  <c r="BV110" i="1" s="1"/>
  <c r="AQ96" i="1"/>
  <c r="BX96" i="1" s="1"/>
  <c r="AM84" i="1"/>
  <c r="BT84" i="1" s="1"/>
  <c r="AO73" i="1"/>
  <c r="BV73" i="1" s="1"/>
  <c r="AP67" i="1"/>
  <c r="BW67" i="1" s="1"/>
  <c r="AM61" i="1"/>
  <c r="BT61" i="1" s="1"/>
  <c r="CE61" i="1" s="1"/>
  <c r="AN55" i="1"/>
  <c r="BU55" i="1" s="1"/>
  <c r="AP49" i="1"/>
  <c r="BW49" i="1" s="1"/>
  <c r="AO46" i="1"/>
  <c r="BV46" i="1" s="1"/>
  <c r="AN43" i="1"/>
  <c r="BU43" i="1" s="1"/>
  <c r="AM40" i="1"/>
  <c r="BT40" i="1" s="1"/>
  <c r="AP34" i="1"/>
  <c r="BW34" i="1" s="1"/>
  <c r="AO31" i="1"/>
  <c r="BV31" i="1" s="1"/>
  <c r="AO27" i="1"/>
  <c r="BV27" i="1" s="1"/>
  <c r="AM23" i="1"/>
  <c r="AQ19" i="1"/>
  <c r="AP16" i="1"/>
  <c r="AM86" i="1"/>
  <c r="BT86" i="1" s="1"/>
  <c r="AM96" i="1"/>
  <c r="BT96" i="1" s="1"/>
  <c r="AM136" i="1"/>
  <c r="BT136" i="1" s="1"/>
  <c r="AM69" i="1"/>
  <c r="BT69" i="1" s="1"/>
  <c r="AM83" i="1"/>
  <c r="BT83" i="1" s="1"/>
  <c r="AM91" i="1"/>
  <c r="BT91" i="1" s="1"/>
  <c r="AM108" i="1"/>
  <c r="AM150" i="1"/>
  <c r="BT150" i="1" s="1"/>
  <c r="AM113" i="1"/>
  <c r="BT113" i="1" s="1"/>
  <c r="CE113" i="1" s="1"/>
  <c r="AM143" i="1"/>
  <c r="BT143" i="1" s="1"/>
  <c r="AM158" i="1"/>
  <c r="BT158" i="1" s="1"/>
  <c r="AM167" i="1"/>
  <c r="BT167" i="1" s="1"/>
  <c r="AM114" i="1"/>
  <c r="BT114" i="1" s="1"/>
  <c r="AM138" i="1"/>
  <c r="BT138" i="1" s="1"/>
  <c r="AM152" i="1"/>
  <c r="BT152" i="1" s="1"/>
  <c r="CE152" i="1" s="1"/>
  <c r="AQ58" i="1"/>
  <c r="BX58" i="1" s="1"/>
  <c r="AQ68" i="1"/>
  <c r="BX68" i="1" s="1"/>
  <c r="AQ82" i="1"/>
  <c r="BX82" i="1" s="1"/>
  <c r="AQ107" i="1"/>
  <c r="BX107" i="1" s="1"/>
  <c r="AQ59" i="1"/>
  <c r="BX59" i="1" s="1"/>
  <c r="AQ69" i="1"/>
  <c r="BX69" i="1" s="1"/>
  <c r="AQ83" i="1"/>
  <c r="BX83" i="1" s="1"/>
  <c r="AQ91" i="1"/>
  <c r="BX91" i="1" s="1"/>
  <c r="AQ112" i="1"/>
  <c r="BX112" i="1" s="1"/>
  <c r="AQ154" i="1"/>
  <c r="BX154" i="1" s="1"/>
  <c r="AQ102" i="1"/>
  <c r="BX102" i="1" s="1"/>
  <c r="AQ109" i="1"/>
  <c r="BX109" i="1" s="1"/>
  <c r="AQ133" i="1"/>
  <c r="BX133" i="1" s="1"/>
  <c r="AQ147" i="1"/>
  <c r="BX147" i="1" s="1"/>
  <c r="AQ99" i="1"/>
  <c r="BX99" i="1" s="1"/>
  <c r="AP81" i="1"/>
  <c r="BW81" i="1" s="1"/>
  <c r="AO48" i="1"/>
  <c r="BV48" i="1" s="1"/>
  <c r="AP22" i="1"/>
  <c r="AO134" i="1"/>
  <c r="BV134" i="1" s="1"/>
  <c r="AO160" i="1"/>
  <c r="BV160" i="1" s="1"/>
  <c r="AO75" i="1"/>
  <c r="BV75" i="1" s="1"/>
  <c r="AO89" i="1"/>
  <c r="BV89" i="1" s="1"/>
  <c r="AO102" i="1"/>
  <c r="BV102" i="1" s="1"/>
  <c r="AO114" i="1"/>
  <c r="BV114" i="1" s="1"/>
  <c r="AO148" i="1"/>
  <c r="BV148" i="1" s="1"/>
  <c r="AO167" i="1"/>
  <c r="BV167" i="1" s="1"/>
  <c r="AO111" i="1"/>
  <c r="BV111" i="1" s="1"/>
  <c r="AO135" i="1"/>
  <c r="BV135" i="1" s="1"/>
  <c r="AO149" i="1"/>
  <c r="BV149" i="1" s="1"/>
  <c r="AO162" i="1"/>
  <c r="BV162" i="1" s="1"/>
  <c r="AO101" i="1"/>
  <c r="BV101" i="1" s="1"/>
  <c r="AO108" i="1"/>
  <c r="BV108" i="1" s="1"/>
  <c r="AO132" i="1"/>
  <c r="BV132" i="1" s="1"/>
  <c r="AO146" i="1"/>
  <c r="BV146" i="1" s="1"/>
  <c r="AO163" i="1"/>
  <c r="BV163" i="1" s="1"/>
  <c r="AP133" i="1"/>
  <c r="BW133" i="1" s="1"/>
  <c r="AP54" i="1"/>
  <c r="BW54" i="1" s="1"/>
  <c r="AP17" i="1"/>
  <c r="AP65" i="1"/>
  <c r="BW65" i="1" s="1"/>
  <c r="AP79" i="1"/>
  <c r="BW79" i="1" s="1"/>
  <c r="AP112" i="1"/>
  <c r="BW112" i="1" s="1"/>
  <c r="AP154" i="1"/>
  <c r="BW154" i="1" s="1"/>
  <c r="AP60" i="1"/>
  <c r="BW60" i="1" s="1"/>
  <c r="AP70" i="1"/>
  <c r="BW70" i="1" s="1"/>
  <c r="AP84" i="1"/>
  <c r="BW84" i="1" s="1"/>
  <c r="AP92" i="1"/>
  <c r="BW92" i="1" s="1"/>
  <c r="AP109" i="1"/>
  <c r="BW109" i="1" s="1"/>
  <c r="AP151" i="1"/>
  <c r="BW151" i="1" s="1"/>
  <c r="AP99" i="1"/>
  <c r="BW99" i="1" s="1"/>
  <c r="AP96" i="1"/>
  <c r="BW96" i="1" s="1"/>
  <c r="AP115" i="1"/>
  <c r="BW115" i="1" s="1"/>
  <c r="AP139" i="1"/>
  <c r="BW139" i="1" s="1"/>
  <c r="AP153" i="1"/>
  <c r="BW153" i="1" s="1"/>
  <c r="AM131" i="1"/>
  <c r="BT131" i="1" s="1"/>
  <c r="AN110" i="1"/>
  <c r="BU110" i="1" s="1"/>
  <c r="AO95" i="1"/>
  <c r="BV95" i="1" s="1"/>
  <c r="AN88" i="1"/>
  <c r="BU88" i="1" s="1"/>
  <c r="AQ81" i="1"/>
  <c r="BX81" i="1" s="1"/>
  <c r="AM70" i="1"/>
  <c r="BT70" i="1" s="1"/>
  <c r="AO62" i="1"/>
  <c r="BV62" i="1" s="1"/>
  <c r="AM56" i="1"/>
  <c r="BT56" i="1" s="1"/>
  <c r="AP48" i="1"/>
  <c r="BW48" i="1" s="1"/>
  <c r="AO45" i="1"/>
  <c r="BV45" i="1" s="1"/>
  <c r="AN42" i="1"/>
  <c r="BU42" i="1" s="1"/>
  <c r="AM39" i="1"/>
  <c r="BT39" i="1" s="1"/>
  <c r="AP37" i="1"/>
  <c r="BW37" i="1" s="1"/>
  <c r="AO34" i="1"/>
  <c r="BV34" i="1" s="1"/>
  <c r="AN31" i="1"/>
  <c r="BU31" i="1" s="1"/>
  <c r="AN27" i="1"/>
  <c r="BU27" i="1" s="1"/>
  <c r="AQ22" i="1"/>
  <c r="AP19" i="1"/>
  <c r="AO16" i="1"/>
  <c r="AN13" i="1"/>
  <c r="AN75" i="1"/>
  <c r="BU75" i="1" s="1"/>
  <c r="AN89" i="1"/>
  <c r="BU89" i="1" s="1"/>
  <c r="AN99" i="1"/>
  <c r="BU99" i="1" s="1"/>
  <c r="AN114" i="1"/>
  <c r="BU114" i="1" s="1"/>
  <c r="AN148" i="1"/>
  <c r="BU148" i="1" s="1"/>
  <c r="AN54" i="1"/>
  <c r="BU54" i="1" s="1"/>
  <c r="AN78" i="1"/>
  <c r="BU78" i="1" s="1"/>
  <c r="AN145" i="1"/>
  <c r="BU145" i="1" s="1"/>
  <c r="AN101" i="1"/>
  <c r="BU101" i="1" s="1"/>
  <c r="BU108" i="1"/>
  <c r="AN132" i="1"/>
  <c r="BU132" i="1" s="1"/>
  <c r="AN146" i="1"/>
  <c r="BU146" i="1" s="1"/>
  <c r="AN163" i="1"/>
  <c r="BU163" i="1" s="1"/>
  <c r="AN98" i="1"/>
  <c r="BU98" i="1" s="1"/>
  <c r="BU105" i="1"/>
  <c r="AN143" i="1"/>
  <c r="BU143" i="1" s="1"/>
  <c r="AN158" i="1"/>
  <c r="BU158" i="1" s="1"/>
  <c r="AN167" i="1"/>
  <c r="BU167" i="1" s="1"/>
  <c r="AP58" i="1"/>
  <c r="BW58" i="1" s="1"/>
  <c r="AP47" i="1"/>
  <c r="BW47" i="1" s="1"/>
  <c r="AP36" i="1"/>
  <c r="BW36" i="1" s="1"/>
  <c r="AO23" i="1"/>
  <c r="AP61" i="1"/>
  <c r="BW61" i="1" s="1"/>
  <c r="AP42" i="1"/>
  <c r="BW42" i="1" s="1"/>
  <c r="AN41" i="1"/>
  <c r="BU41" i="1" s="1"/>
  <c r="AN37" i="1"/>
  <c r="BU37" i="1" s="1"/>
  <c r="AM27" i="1"/>
  <c r="BT27" i="1" s="1"/>
  <c r="AN115" i="1"/>
  <c r="BU115" i="1" s="1"/>
  <c r="AQ92" i="1"/>
  <c r="BX92" i="1" s="1"/>
  <c r="AN83" i="1"/>
  <c r="BU83" i="1" s="1"/>
  <c r="AQ53" i="1"/>
  <c r="BX53" i="1" s="1"/>
  <c r="AN45" i="1"/>
  <c r="BU45" i="1" s="1"/>
  <c r="AO28" i="1"/>
  <c r="BV28" i="1" s="1"/>
  <c r="AQ21" i="1"/>
  <c r="AM13" i="1"/>
  <c r="AN91" i="1"/>
  <c r="BU91" i="1" s="1"/>
  <c r="AN23" i="1"/>
  <c r="AQ75" i="1"/>
  <c r="BX75" i="1" s="1"/>
  <c r="AN49" i="1"/>
  <c r="BU49" i="1" s="1"/>
  <c r="AN34" i="1"/>
  <c r="BU34" i="1" s="1"/>
  <c r="AN74" i="1"/>
  <c r="BU74" i="1" s="1"/>
  <c r="AQ61" i="1"/>
  <c r="BX61" i="1" s="1"/>
  <c r="AM34" i="1"/>
  <c r="BT34" i="1" s="1"/>
  <c r="AQ136" i="1"/>
  <c r="BX136" i="1" s="1"/>
  <c r="AM46" i="1"/>
  <c r="BT46" i="1" s="1"/>
  <c r="AM112" i="1"/>
  <c r="BT112" i="1" s="1"/>
  <c r="AQ54" i="1"/>
  <c r="BX54" i="1" s="1"/>
  <c r="AM166" i="1"/>
  <c r="BT166" i="1" s="1"/>
  <c r="AP64" i="1"/>
  <c r="BW64" i="1" s="1"/>
  <c r="AP25" i="1"/>
  <c r="AN155" i="1"/>
  <c r="BU155" i="1" s="1"/>
  <c r="AN77" i="1"/>
  <c r="BU77" i="1" s="1"/>
  <c r="AN116" i="1"/>
  <c r="BU116" i="1" s="1"/>
  <c r="AO90" i="1"/>
  <c r="BV90" i="1" s="1"/>
  <c r="AO51" i="1"/>
  <c r="BV51" i="1" s="1"/>
  <c r="AQ25" i="1"/>
  <c r="AQ142" i="1"/>
  <c r="BX142" i="1" s="1"/>
  <c r="AQ116" i="1"/>
  <c r="BX116" i="1" s="1"/>
  <c r="AP210" i="1"/>
  <c r="BW210" i="1" s="1"/>
  <c r="AQ210" i="1"/>
  <c r="BX210" i="1" s="1"/>
  <c r="AO210" i="1"/>
  <c r="BV210" i="1" s="1"/>
  <c r="AN210" i="1"/>
  <c r="BU210" i="1" s="1"/>
  <c r="AO207" i="1"/>
  <c r="BV207" i="1" s="1"/>
  <c r="AQ207" i="1"/>
  <c r="BX207" i="1" s="1"/>
  <c r="AP207" i="1"/>
  <c r="BW207" i="1" s="1"/>
  <c r="AN207" i="1"/>
  <c r="BU207" i="1" s="1"/>
  <c r="AM207" i="1"/>
  <c r="BT207" i="1" s="1"/>
  <c r="AN216" i="1"/>
  <c r="BU216" i="1" s="1"/>
  <c r="AO216" i="1"/>
  <c r="BV216" i="1" s="1"/>
  <c r="AM216" i="1"/>
  <c r="BT216" i="1" s="1"/>
  <c r="CE216" i="1" s="1"/>
  <c r="AQ216" i="1"/>
  <c r="BX216" i="1" s="1"/>
  <c r="AP216" i="1"/>
  <c r="BW216" i="1" s="1"/>
  <c r="AN252" i="1"/>
  <c r="BU252" i="1" s="1"/>
  <c r="AO252" i="1"/>
  <c r="BV252" i="1" s="1"/>
  <c r="AQ252" i="1"/>
  <c r="BX252" i="1" s="1"/>
  <c r="AP252" i="1"/>
  <c r="BW252" i="1" s="1"/>
  <c r="AM252" i="1"/>
  <c r="BT252" i="1" s="1"/>
  <c r="AQ257" i="1"/>
  <c r="BX257" i="1" s="1"/>
  <c r="AP257" i="1"/>
  <c r="BW257" i="1" s="1"/>
  <c r="AN257" i="1"/>
  <c r="BU257" i="1" s="1"/>
  <c r="AO257" i="1"/>
  <c r="BV257" i="1" s="1"/>
  <c r="AP254" i="1"/>
  <c r="BW254" i="1" s="1"/>
  <c r="AO254" i="1"/>
  <c r="BV254" i="1" s="1"/>
  <c r="AQ254" i="1"/>
  <c r="BX254" i="1" s="1"/>
  <c r="AM254" i="1"/>
  <c r="BT254" i="1" s="1"/>
  <c r="AN254" i="1"/>
  <c r="BU254" i="1" s="1"/>
  <c r="AO251" i="1"/>
  <c r="BV251" i="1" s="1"/>
  <c r="AP251" i="1"/>
  <c r="BW251" i="1" s="1"/>
  <c r="AQ251" i="1"/>
  <c r="BX251" i="1" s="1"/>
  <c r="AN251" i="1"/>
  <c r="BU251" i="1" s="1"/>
  <c r="AM251" i="1"/>
  <c r="BT251" i="1" s="1"/>
  <c r="AN279" i="1"/>
  <c r="BU279" i="1" s="1"/>
  <c r="AQ279" i="1"/>
  <c r="BX279" i="1" s="1"/>
  <c r="AM279" i="1"/>
  <c r="BT279" i="1" s="1"/>
  <c r="AP279" i="1"/>
  <c r="BW279" i="1" s="1"/>
  <c r="AO279" i="1"/>
  <c r="BV279" i="1" s="1"/>
  <c r="AQ280" i="1"/>
  <c r="BX280" i="1" s="1"/>
  <c r="AM280" i="1"/>
  <c r="BT280" i="1" s="1"/>
  <c r="AP280" i="1"/>
  <c r="BW280" i="1" s="1"/>
  <c r="AO280" i="1"/>
  <c r="BV280" i="1" s="1"/>
  <c r="AN280" i="1"/>
  <c r="BU280" i="1" s="1"/>
  <c r="AP277" i="1"/>
  <c r="BW277" i="1" s="1"/>
  <c r="AO277" i="1"/>
  <c r="BV277" i="1" s="1"/>
  <c r="AN277" i="1"/>
  <c r="BU277" i="1" s="1"/>
  <c r="AQ277" i="1"/>
  <c r="BX277" i="1" s="1"/>
  <c r="AM277" i="1"/>
  <c r="BT277" i="1" s="1"/>
  <c r="AO274" i="1"/>
  <c r="BV274" i="1" s="1"/>
  <c r="AN274" i="1"/>
  <c r="BU274" i="1" s="1"/>
  <c r="AQ274" i="1"/>
  <c r="BX274" i="1" s="1"/>
  <c r="AP274" i="1"/>
  <c r="BW274" i="1" s="1"/>
  <c r="AN231" i="1"/>
  <c r="BU231" i="1" s="1"/>
  <c r="AQ231" i="1"/>
  <c r="BX231" i="1" s="1"/>
  <c r="AP231" i="1"/>
  <c r="BW231" i="1" s="1"/>
  <c r="AO231" i="1"/>
  <c r="BV231" i="1" s="1"/>
  <c r="AQ220" i="1"/>
  <c r="BX220" i="1" s="1"/>
  <c r="AM220" i="1"/>
  <c r="BT220" i="1" s="1"/>
  <c r="AP220" i="1"/>
  <c r="BW220" i="1" s="1"/>
  <c r="AO220" i="1"/>
  <c r="BV220" i="1" s="1"/>
  <c r="AN220" i="1"/>
  <c r="BU220" i="1" s="1"/>
  <c r="AP221" i="1"/>
  <c r="BW221" i="1" s="1"/>
  <c r="AO221" i="1"/>
  <c r="BV221" i="1" s="1"/>
  <c r="AN221" i="1"/>
  <c r="BU221" i="1" s="1"/>
  <c r="AQ221" i="1"/>
  <c r="BX221" i="1" s="1"/>
  <c r="AM221" i="1"/>
  <c r="BT221" i="1" s="1"/>
  <c r="AO314" i="1"/>
  <c r="BV314" i="1" s="1"/>
  <c r="AN314" i="1"/>
  <c r="BU314" i="1" s="1"/>
  <c r="AQ314" i="1"/>
  <c r="BX314" i="1" s="1"/>
  <c r="AP314" i="1"/>
  <c r="BW314" i="1" s="1"/>
  <c r="AP317" i="1"/>
  <c r="BW317" i="1" s="1"/>
  <c r="AO317" i="1"/>
  <c r="BV317" i="1" s="1"/>
  <c r="AN317" i="1"/>
  <c r="BU317" i="1" s="1"/>
  <c r="AQ317" i="1"/>
  <c r="BX317" i="1" s="1"/>
  <c r="AM317" i="1"/>
  <c r="BT317" i="1" s="1"/>
  <c r="AN323" i="1"/>
  <c r="BU323" i="1" s="1"/>
  <c r="AQ323" i="1"/>
  <c r="BX323" i="1" s="1"/>
  <c r="AM323" i="1"/>
  <c r="BT323" i="1" s="1"/>
  <c r="AP323" i="1"/>
  <c r="BW323" i="1" s="1"/>
  <c r="AO323" i="1"/>
  <c r="BV323" i="1" s="1"/>
  <c r="AQ320" i="1"/>
  <c r="BX320" i="1" s="1"/>
  <c r="AM320" i="1"/>
  <c r="BT320" i="1" s="1"/>
  <c r="CE320" i="1" s="1"/>
  <c r="AP320" i="1"/>
  <c r="BW320" i="1" s="1"/>
  <c r="AO320" i="1"/>
  <c r="BV320" i="1" s="1"/>
  <c r="AN320" i="1"/>
  <c r="BU320" i="1" s="1"/>
  <c r="AQ202" i="1"/>
  <c r="BX202" i="1" s="1"/>
  <c r="AM202" i="1"/>
  <c r="BT202" i="1" s="1"/>
  <c r="AP202" i="1"/>
  <c r="BW202" i="1" s="1"/>
  <c r="AO202" i="1"/>
  <c r="BV202" i="1" s="1"/>
  <c r="AN202" i="1"/>
  <c r="BU202" i="1" s="1"/>
  <c r="AP203" i="1"/>
  <c r="BW203" i="1" s="1"/>
  <c r="AO203" i="1"/>
  <c r="BV203" i="1" s="1"/>
  <c r="AN203" i="1"/>
  <c r="BU203" i="1" s="1"/>
  <c r="AQ203" i="1"/>
  <c r="BX203" i="1" s="1"/>
  <c r="AM203" i="1"/>
  <c r="BT203" i="1" s="1"/>
  <c r="CE203" i="1" s="1"/>
  <c r="AO200" i="1"/>
  <c r="BV200" i="1" s="1"/>
  <c r="AN200" i="1"/>
  <c r="BU200" i="1" s="1"/>
  <c r="AQ200" i="1"/>
  <c r="BX200" i="1" s="1"/>
  <c r="AM200" i="1"/>
  <c r="BT200" i="1" s="1"/>
  <c r="AP200" i="1"/>
  <c r="BW200" i="1" s="1"/>
  <c r="AN265" i="1"/>
  <c r="BU265" i="1" s="1"/>
  <c r="AQ265" i="1"/>
  <c r="BX265" i="1" s="1"/>
  <c r="AM265" i="1"/>
  <c r="BT265" i="1" s="1"/>
  <c r="AP265" i="1"/>
  <c r="BW265" i="1" s="1"/>
  <c r="AO265" i="1"/>
  <c r="BV265" i="1" s="1"/>
  <c r="AP271" i="1"/>
  <c r="BW271" i="1" s="1"/>
  <c r="AO271" i="1"/>
  <c r="BV271" i="1" s="1"/>
  <c r="AN271" i="1"/>
  <c r="BU271" i="1" s="1"/>
  <c r="AQ271" i="1"/>
  <c r="BX271" i="1" s="1"/>
  <c r="AM271" i="1"/>
  <c r="BT271" i="1" s="1"/>
  <c r="AO264" i="1"/>
  <c r="BV264" i="1" s="1"/>
  <c r="AN264" i="1"/>
  <c r="BU264" i="1" s="1"/>
  <c r="AQ264" i="1"/>
  <c r="BX264" i="1" s="1"/>
  <c r="AM264" i="1"/>
  <c r="BT264" i="1" s="1"/>
  <c r="AP264" i="1"/>
  <c r="BW264" i="1" s="1"/>
  <c r="AO240" i="1"/>
  <c r="BV240" i="1" s="1"/>
  <c r="AN240" i="1"/>
  <c r="BU240" i="1" s="1"/>
  <c r="AQ240" i="1"/>
  <c r="BX240" i="1" s="1"/>
  <c r="AM240" i="1"/>
  <c r="BT240" i="1" s="1"/>
  <c r="AP240" i="1"/>
  <c r="BW240" i="1" s="1"/>
  <c r="AN237" i="1"/>
  <c r="BU237" i="1" s="1"/>
  <c r="AQ237" i="1"/>
  <c r="BX237" i="1" s="1"/>
  <c r="AM237" i="1"/>
  <c r="BT237" i="1" s="1"/>
  <c r="AP237" i="1"/>
  <c r="BW237" i="1" s="1"/>
  <c r="AO237" i="1"/>
  <c r="BV237" i="1" s="1"/>
  <c r="AP239" i="1"/>
  <c r="BW239" i="1" s="1"/>
  <c r="AO239" i="1"/>
  <c r="BV239" i="1" s="1"/>
  <c r="AN239" i="1"/>
  <c r="BU239" i="1" s="1"/>
  <c r="AQ239" i="1"/>
  <c r="BX239" i="1" s="1"/>
  <c r="AM239" i="1"/>
  <c r="BT239" i="1" s="1"/>
  <c r="AN305" i="1"/>
  <c r="BU305" i="1" s="1"/>
  <c r="AO305" i="1"/>
  <c r="BV305" i="1" s="1"/>
  <c r="AP305" i="1"/>
  <c r="BW305" i="1" s="1"/>
  <c r="AM305" i="1"/>
  <c r="BT305" i="1" s="1"/>
  <c r="AQ305" i="1"/>
  <c r="BX305" i="1" s="1"/>
  <c r="AQ310" i="1"/>
  <c r="BX310" i="1" s="1"/>
  <c r="AM310" i="1"/>
  <c r="BT310" i="1" s="1"/>
  <c r="AN310" i="1"/>
  <c r="BU310" i="1" s="1"/>
  <c r="AO310" i="1"/>
  <c r="BV310" i="1" s="1"/>
  <c r="AP310" i="1"/>
  <c r="BW310" i="1" s="1"/>
  <c r="AP307" i="1"/>
  <c r="BW307" i="1" s="1"/>
  <c r="AQ307" i="1"/>
  <c r="BX307" i="1" s="1"/>
  <c r="AM307" i="1"/>
  <c r="BT307" i="1" s="1"/>
  <c r="CE307" i="1" s="1"/>
  <c r="AN307" i="1"/>
  <c r="BU307" i="1" s="1"/>
  <c r="AO307" i="1"/>
  <c r="BV307" i="1" s="1"/>
  <c r="AP300" i="1"/>
  <c r="BW300" i="1" s="1"/>
  <c r="AO300" i="1"/>
  <c r="BV300" i="1" s="1"/>
  <c r="AN300" i="1"/>
  <c r="BU300" i="1" s="1"/>
  <c r="AQ300" i="1"/>
  <c r="BX300" i="1" s="1"/>
  <c r="AQ181" i="1"/>
  <c r="BX181" i="1" s="1"/>
  <c r="AM181" i="1"/>
  <c r="BT181" i="1" s="1"/>
  <c r="AN181" i="1"/>
  <c r="BU181" i="1" s="1"/>
  <c r="AP181" i="1"/>
  <c r="BW181" i="1" s="1"/>
  <c r="AO181" i="1"/>
  <c r="BV181" i="1" s="1"/>
  <c r="AP182" i="1"/>
  <c r="BW182" i="1" s="1"/>
  <c r="AQ182" i="1"/>
  <c r="BX182" i="1" s="1"/>
  <c r="AM182" i="1"/>
  <c r="BT182" i="1" s="1"/>
  <c r="AO182" i="1"/>
  <c r="BV182" i="1" s="1"/>
  <c r="AN182" i="1"/>
  <c r="BU182" i="1" s="1"/>
  <c r="AO289" i="1"/>
  <c r="BV289" i="1" s="1"/>
  <c r="AN289" i="1"/>
  <c r="BU289" i="1" s="1"/>
  <c r="AQ289" i="1"/>
  <c r="BX289" i="1" s="1"/>
  <c r="AM289" i="1"/>
  <c r="BT289" i="1" s="1"/>
  <c r="AP289" i="1"/>
  <c r="BW289" i="1" s="1"/>
  <c r="AN286" i="1"/>
  <c r="BU286" i="1" s="1"/>
  <c r="AO286" i="1"/>
  <c r="BV286" i="1" s="1"/>
  <c r="AQ286" i="1"/>
  <c r="BX286" i="1" s="1"/>
  <c r="AP286" i="1"/>
  <c r="BW286" i="1" s="1"/>
  <c r="AM286" i="1"/>
  <c r="BT286" i="1" s="1"/>
  <c r="AP180" i="1"/>
  <c r="BW180" i="1" s="1"/>
  <c r="AQ180" i="1"/>
  <c r="BX180" i="1" s="1"/>
  <c r="AM180" i="1"/>
  <c r="AO180" i="1"/>
  <c r="AN180" i="1"/>
  <c r="AO177" i="1"/>
  <c r="AP177" i="1"/>
  <c r="BW177" i="1" s="1"/>
  <c r="AN177" i="1"/>
  <c r="AM177" i="1"/>
  <c r="AQ177" i="1"/>
  <c r="BX177" i="1" s="1"/>
  <c r="AQ135" i="1"/>
  <c r="BX135" i="1" s="1"/>
  <c r="AM100" i="1"/>
  <c r="BT100" i="1" s="1"/>
  <c r="CE100" i="1" s="1"/>
  <c r="AP85" i="1"/>
  <c r="BW85" i="1" s="1"/>
  <c r="AP68" i="1"/>
  <c r="BW68" i="1" s="1"/>
  <c r="AN56" i="1"/>
  <c r="BU56" i="1" s="1"/>
  <c r="AN47" i="1"/>
  <c r="BU47" i="1" s="1"/>
  <c r="AO141" i="1"/>
  <c r="BV141" i="1" s="1"/>
  <c r="AN107" i="1"/>
  <c r="BU107" i="1" s="1"/>
  <c r="AQ93" i="1"/>
  <c r="BX93" i="1" s="1"/>
  <c r="AQ88" i="1"/>
  <c r="BX88" i="1" s="1"/>
  <c r="AO82" i="1"/>
  <c r="BV82" i="1" s="1"/>
  <c r="AQ71" i="1"/>
  <c r="BX71" i="1" s="1"/>
  <c r="AM66" i="1"/>
  <c r="BT66" i="1" s="1"/>
  <c r="AO59" i="1"/>
  <c r="BV59" i="1" s="1"/>
  <c r="AO54" i="1"/>
  <c r="BV54" i="1" s="1"/>
  <c r="AQ48" i="1"/>
  <c r="BX48" i="1" s="1"/>
  <c r="AP45" i="1"/>
  <c r="BW45" i="1" s="1"/>
  <c r="AO42" i="1"/>
  <c r="BV42" i="1" s="1"/>
  <c r="AN39" i="1"/>
  <c r="BU39" i="1" s="1"/>
  <c r="AQ37" i="1"/>
  <c r="BX37" i="1" s="1"/>
  <c r="AQ33" i="1"/>
  <c r="AP30" i="1"/>
  <c r="BW30" i="1" s="1"/>
  <c r="AP26" i="1"/>
  <c r="BW26" i="1" s="1"/>
  <c r="AN22" i="1"/>
  <c r="AM19" i="1"/>
  <c r="AQ15" i="1"/>
  <c r="AM58" i="1"/>
  <c r="BT58" i="1" s="1"/>
  <c r="AM72" i="1"/>
  <c r="BT72" i="1" s="1"/>
  <c r="AM153" i="1"/>
  <c r="BT153" i="1" s="1"/>
  <c r="AM59" i="1"/>
  <c r="BT59" i="1" s="1"/>
  <c r="AM73" i="1"/>
  <c r="BT73" i="1" s="1"/>
  <c r="AM87" i="1"/>
  <c r="BT87" i="1" s="1"/>
  <c r="AM101" i="1"/>
  <c r="BT101" i="1" s="1"/>
  <c r="AM156" i="1"/>
  <c r="BT156" i="1" s="1"/>
  <c r="AM147" i="1"/>
  <c r="BT147" i="1" s="1"/>
  <c r="AM95" i="1"/>
  <c r="BT95" i="1" s="1"/>
  <c r="AQ62" i="1"/>
  <c r="BX62" i="1" s="1"/>
  <c r="AQ72" i="1"/>
  <c r="BX72" i="1" s="1"/>
  <c r="AQ86" i="1"/>
  <c r="BX86" i="1" s="1"/>
  <c r="AQ100" i="1"/>
  <c r="BX100" i="1" s="1"/>
  <c r="AQ115" i="1"/>
  <c r="BX115" i="1" s="1"/>
  <c r="AQ149" i="1"/>
  <c r="BX149" i="1" s="1"/>
  <c r="AQ166" i="1"/>
  <c r="BX166" i="1" s="1"/>
  <c r="AQ63" i="1"/>
  <c r="BX63" i="1" s="1"/>
  <c r="AQ73" i="1"/>
  <c r="BX73" i="1" s="1"/>
  <c r="AQ87" i="1"/>
  <c r="BX87" i="1" s="1"/>
  <c r="AQ97" i="1"/>
  <c r="BX97" i="1" s="1"/>
  <c r="AQ164" i="1"/>
  <c r="BX164" i="1" s="1"/>
  <c r="AQ113" i="1"/>
  <c r="BX113" i="1" s="1"/>
  <c r="AQ137" i="1"/>
  <c r="BX137" i="1" s="1"/>
  <c r="AQ151" i="1"/>
  <c r="BX151" i="1" s="1"/>
  <c r="AQ106" i="1"/>
  <c r="BX106" i="1" s="1"/>
  <c r="AQ130" i="1"/>
  <c r="BX130" i="1" s="1"/>
  <c r="AQ144" i="1"/>
  <c r="BX144" i="1" s="1"/>
  <c r="AQ159" i="1"/>
  <c r="BX159" i="1" s="1"/>
  <c r="AP101" i="1"/>
  <c r="BW101" i="1" s="1"/>
  <c r="AO78" i="1"/>
  <c r="BV78" i="1" s="1"/>
  <c r="AP43" i="1"/>
  <c r="BW43" i="1" s="1"/>
  <c r="AO33" i="1"/>
  <c r="BV33" i="1" s="1"/>
  <c r="AP18" i="1"/>
  <c r="AO56" i="1"/>
  <c r="BV56" i="1" s="1"/>
  <c r="AO66" i="1"/>
  <c r="BV66" i="1" s="1"/>
  <c r="AO80" i="1"/>
  <c r="BV80" i="1" s="1"/>
  <c r="AO143" i="1"/>
  <c r="BV143" i="1" s="1"/>
  <c r="AO53" i="1"/>
  <c r="BV53" i="1" s="1"/>
  <c r="AO130" i="1"/>
  <c r="BV130" i="1" s="1"/>
  <c r="AO96" i="1"/>
  <c r="BV96" i="1" s="1"/>
  <c r="AO115" i="1"/>
  <c r="BV115" i="1" s="1"/>
  <c r="AO139" i="1"/>
  <c r="BV139" i="1" s="1"/>
  <c r="AO153" i="1"/>
  <c r="BV153" i="1" s="1"/>
  <c r="AO164" i="1"/>
  <c r="BV164" i="1" s="1"/>
  <c r="AO112" i="1"/>
  <c r="BV112" i="1" s="1"/>
  <c r="AO136" i="1"/>
  <c r="BV136" i="1" s="1"/>
  <c r="AO150" i="1"/>
  <c r="BV150" i="1" s="1"/>
  <c r="AP108" i="1"/>
  <c r="BW108" i="1" s="1"/>
  <c r="AP59" i="1"/>
  <c r="BW59" i="1" s="1"/>
  <c r="AP69" i="1"/>
  <c r="BW69" i="1" s="1"/>
  <c r="AP83" i="1"/>
  <c r="BW83" i="1" s="1"/>
  <c r="AP91" i="1"/>
  <c r="BW91" i="1" s="1"/>
  <c r="AP74" i="1"/>
  <c r="BW74" i="1" s="1"/>
  <c r="AP88" i="1"/>
  <c r="BW88" i="1" s="1"/>
  <c r="AP93" i="1"/>
  <c r="BW93" i="1" s="1"/>
  <c r="AP158" i="1"/>
  <c r="BW158" i="1" s="1"/>
  <c r="AP106" i="1"/>
  <c r="BW106" i="1" s="1"/>
  <c r="AP130" i="1"/>
  <c r="BW130" i="1" s="1"/>
  <c r="AP144" i="1"/>
  <c r="BW144" i="1" s="1"/>
  <c r="AP159" i="1"/>
  <c r="BW159" i="1" s="1"/>
  <c r="AP100" i="1"/>
  <c r="BW100" i="1" s="1"/>
  <c r="AQ153" i="1"/>
  <c r="BX153" i="1" s="1"/>
  <c r="AO138" i="1"/>
  <c r="BV138" i="1" s="1"/>
  <c r="AM104" i="1"/>
  <c r="BT104" i="1" s="1"/>
  <c r="AO91" i="1"/>
  <c r="BV91" i="1" s="1"/>
  <c r="AP86" i="1"/>
  <c r="BW86" i="1" s="1"/>
  <c r="AN80" i="1"/>
  <c r="BU80" i="1" s="1"/>
  <c r="AQ74" i="1"/>
  <c r="BX74" i="1" s="1"/>
  <c r="AO68" i="1"/>
  <c r="BV68" i="1" s="1"/>
  <c r="AQ60" i="1"/>
  <c r="BX60" i="1" s="1"/>
  <c r="AM53" i="1"/>
  <c r="BT53" i="1" s="1"/>
  <c r="AQ47" i="1"/>
  <c r="BX47" i="1" s="1"/>
  <c r="AP44" i="1"/>
  <c r="BW44" i="1" s="1"/>
  <c r="AO41" i="1"/>
  <c r="BV41" i="1" s="1"/>
  <c r="AQ36" i="1"/>
  <c r="BX36" i="1" s="1"/>
  <c r="AP33" i="1"/>
  <c r="AO30" i="1"/>
  <c r="BV30" i="1" s="1"/>
  <c r="AO26" i="1"/>
  <c r="BV26" i="1" s="1"/>
  <c r="AM22" i="1"/>
  <c r="AQ18" i="1"/>
  <c r="AP15" i="1"/>
  <c r="AN130" i="1"/>
  <c r="BU130" i="1" s="1"/>
  <c r="AN58" i="1"/>
  <c r="BU58" i="1" s="1"/>
  <c r="AN68" i="1"/>
  <c r="BU68" i="1" s="1"/>
  <c r="AN82" i="1"/>
  <c r="BU82" i="1" s="1"/>
  <c r="AN111" i="1"/>
  <c r="BU111" i="1" s="1"/>
  <c r="AN153" i="1"/>
  <c r="BU153" i="1" s="1"/>
  <c r="AN112" i="1"/>
  <c r="BU112" i="1" s="1"/>
  <c r="AN136" i="1"/>
  <c r="BU136" i="1" s="1"/>
  <c r="AN150" i="1"/>
  <c r="BU150" i="1" s="1"/>
  <c r="AN102" i="1"/>
  <c r="BU102" i="1" s="1"/>
  <c r="AN109" i="1"/>
  <c r="BU109" i="1" s="1"/>
  <c r="AN133" i="1"/>
  <c r="BU133" i="1" s="1"/>
  <c r="AN147" i="1"/>
  <c r="BU147" i="1" s="1"/>
  <c r="AP72" i="1"/>
  <c r="BW72" i="1" s="1"/>
  <c r="AP55" i="1"/>
  <c r="BW55" i="1" s="1"/>
  <c r="AO44" i="1"/>
  <c r="BV44" i="1" s="1"/>
  <c r="AP32" i="1"/>
  <c r="BW32" i="1" s="1"/>
  <c r="AO19" i="1"/>
  <c r="AP167" i="1"/>
  <c r="BW167" i="1" s="1"/>
  <c r="AP82" i="1"/>
  <c r="BW82" i="1" s="1"/>
  <c r="AP53" i="1"/>
  <c r="BW53" i="1" s="1"/>
  <c r="AP13" i="1"/>
  <c r="AN134" i="1"/>
  <c r="BU134" i="1" s="1"/>
  <c r="AM88" i="1"/>
  <c r="BT88" i="1" s="1"/>
  <c r="AM74" i="1"/>
  <c r="BT74" i="1" s="1"/>
  <c r="CE74" i="1" s="1"/>
  <c r="AN48" i="1"/>
  <c r="BU48" i="1" s="1"/>
  <c r="AM35" i="1"/>
  <c r="BT35" i="1" s="1"/>
  <c r="CE35" i="1" s="1"/>
  <c r="AQ17" i="1"/>
  <c r="AQ108" i="1"/>
  <c r="BX108" i="1" s="1"/>
  <c r="AN63" i="1"/>
  <c r="BU63" i="1" s="1"/>
  <c r="AQ42" i="1"/>
  <c r="BX42" i="1" s="1"/>
  <c r="AQ34" i="1"/>
  <c r="BX34" i="1" s="1"/>
  <c r="AQ26" i="1"/>
  <c r="BX26" i="1" s="1"/>
  <c r="AM20" i="1"/>
  <c r="AN16" i="1"/>
  <c r="AM149" i="1"/>
  <c r="BT149" i="1" s="1"/>
  <c r="AM71" i="1"/>
  <c r="BT71" i="1" s="1"/>
  <c r="AO58" i="1"/>
  <c r="BV58" i="1" s="1"/>
  <c r="AQ46" i="1"/>
  <c r="AQ31" i="1"/>
  <c r="BX31" i="1" s="1"/>
  <c r="AM21" i="1"/>
  <c r="AM49" i="1"/>
  <c r="BT49" i="1" s="1"/>
  <c r="AQ84" i="1"/>
  <c r="BX84" i="1" s="1"/>
  <c r="AO39" i="1"/>
  <c r="BV39" i="1" s="1"/>
  <c r="AQ70" i="1"/>
  <c r="BX70" i="1" s="1"/>
  <c r="AQ41" i="1"/>
  <c r="BX41" i="1" s="1"/>
  <c r="AO18" i="1"/>
  <c r="AM26" i="1"/>
  <c r="BT26" i="1" s="1"/>
  <c r="AP90" i="1"/>
  <c r="BW90" i="1" s="1"/>
  <c r="AP51" i="1"/>
  <c r="BW51" i="1" s="1"/>
  <c r="AN38" i="1"/>
  <c r="BU38" i="1" s="1"/>
  <c r="AN103" i="1"/>
  <c r="BU103" i="1" s="1"/>
  <c r="AN25" i="1"/>
  <c r="AO116" i="1"/>
  <c r="BV116" i="1" s="1"/>
  <c r="AO77" i="1"/>
  <c r="BV77" i="1" s="1"/>
  <c r="AQ51" i="1"/>
  <c r="BX51" i="1" s="1"/>
  <c r="AQ38" i="1"/>
  <c r="BX38" i="1" s="1"/>
  <c r="AQ155" i="1"/>
  <c r="BX155" i="1" s="1"/>
  <c r="AP214" i="1"/>
  <c r="BW214" i="1" s="1"/>
  <c r="AN214" i="1"/>
  <c r="BU214" i="1" s="1"/>
  <c r="AM214" i="1"/>
  <c r="BT214" i="1" s="1"/>
  <c r="AQ214" i="1"/>
  <c r="BX214" i="1" s="1"/>
  <c r="AO214" i="1"/>
  <c r="BV214" i="1" s="1"/>
  <c r="AO211" i="1"/>
  <c r="BV211" i="1" s="1"/>
  <c r="AM211" i="1"/>
  <c r="BT211" i="1" s="1"/>
  <c r="AQ211" i="1"/>
  <c r="BX211" i="1" s="1"/>
  <c r="AP211" i="1"/>
  <c r="BW211" i="1" s="1"/>
  <c r="AN211" i="1"/>
  <c r="BU211" i="1" s="1"/>
  <c r="AQ217" i="1"/>
  <c r="BX217" i="1" s="1"/>
  <c r="AM217" i="1"/>
  <c r="BT217" i="1" s="1"/>
  <c r="AO217" i="1"/>
  <c r="BV217" i="1" s="1"/>
  <c r="AN217" i="1"/>
  <c r="BU217" i="1" s="1"/>
  <c r="AP217" i="1"/>
  <c r="BW217" i="1" s="1"/>
  <c r="AN256" i="1"/>
  <c r="BU256" i="1" s="1"/>
  <c r="AQ256" i="1"/>
  <c r="BX256" i="1" s="1"/>
  <c r="AM256" i="1"/>
  <c r="BT256" i="1" s="1"/>
  <c r="AO256" i="1"/>
  <c r="BV256" i="1" s="1"/>
  <c r="AP256" i="1"/>
  <c r="BW256" i="1" s="1"/>
  <c r="AP258" i="1"/>
  <c r="BW258" i="1" s="1"/>
  <c r="AO258" i="1"/>
  <c r="BV258" i="1" s="1"/>
  <c r="AQ258" i="1"/>
  <c r="BX258" i="1" s="1"/>
  <c r="AM258" i="1"/>
  <c r="BT258" i="1" s="1"/>
  <c r="AN258" i="1"/>
  <c r="BU258" i="1" s="1"/>
  <c r="AO255" i="1"/>
  <c r="BV255" i="1" s="1"/>
  <c r="AN255" i="1"/>
  <c r="BU255" i="1" s="1"/>
  <c r="AP255" i="1"/>
  <c r="BW255" i="1" s="1"/>
  <c r="AQ255" i="1"/>
  <c r="BX255" i="1" s="1"/>
  <c r="AM255" i="1"/>
  <c r="BT255" i="1" s="1"/>
  <c r="CE255" i="1" s="1"/>
  <c r="AQ284" i="1"/>
  <c r="BX284" i="1" s="1"/>
  <c r="AM284" i="1"/>
  <c r="BT284" i="1" s="1"/>
  <c r="AP284" i="1"/>
  <c r="BW284" i="1" s="1"/>
  <c r="AO284" i="1"/>
  <c r="BV284" i="1" s="1"/>
  <c r="AN284" i="1"/>
  <c r="BU284" i="1" s="1"/>
  <c r="AP281" i="1"/>
  <c r="BW281" i="1" s="1"/>
  <c r="AO281" i="1"/>
  <c r="BV281" i="1" s="1"/>
  <c r="AN281" i="1"/>
  <c r="BU281" i="1" s="1"/>
  <c r="AQ281" i="1"/>
  <c r="BX281" i="1" s="1"/>
  <c r="AM281" i="1"/>
  <c r="BT281" i="1" s="1"/>
  <c r="CE281" i="1" s="1"/>
  <c r="AO278" i="1"/>
  <c r="BV278" i="1" s="1"/>
  <c r="AN278" i="1"/>
  <c r="BU278" i="1" s="1"/>
  <c r="AQ278" i="1"/>
  <c r="BX278" i="1" s="1"/>
  <c r="AM278" i="1"/>
  <c r="BT278" i="1" s="1"/>
  <c r="AP278" i="1"/>
  <c r="BW278" i="1" s="1"/>
  <c r="AQ224" i="1"/>
  <c r="BX224" i="1" s="1"/>
  <c r="AM224" i="1"/>
  <c r="BT224" i="1" s="1"/>
  <c r="AP224" i="1"/>
  <c r="BW224" i="1" s="1"/>
  <c r="AO224" i="1"/>
  <c r="BV224" i="1" s="1"/>
  <c r="AN224" i="1"/>
  <c r="BU224" i="1" s="1"/>
  <c r="AP225" i="1"/>
  <c r="BW225" i="1" s="1"/>
  <c r="AO225" i="1"/>
  <c r="BV225" i="1" s="1"/>
  <c r="AN225" i="1"/>
  <c r="BU225" i="1" s="1"/>
  <c r="AQ225" i="1"/>
  <c r="BX225" i="1" s="1"/>
  <c r="AM225" i="1"/>
  <c r="BT225" i="1" s="1"/>
  <c r="AO222" i="1"/>
  <c r="BV222" i="1" s="1"/>
  <c r="AN222" i="1"/>
  <c r="BU222" i="1" s="1"/>
  <c r="AQ222" i="1"/>
  <c r="BX222" i="1" s="1"/>
  <c r="AP222" i="1"/>
  <c r="BW222" i="1" s="1"/>
  <c r="AO318" i="1"/>
  <c r="BV318" i="1" s="1"/>
  <c r="AN318" i="1"/>
  <c r="BU318" i="1" s="1"/>
  <c r="AQ318" i="1"/>
  <c r="BX318" i="1" s="1"/>
  <c r="AM318" i="1"/>
  <c r="BT318" i="1" s="1"/>
  <c r="AP318" i="1"/>
  <c r="BW318" i="1" s="1"/>
  <c r="AN311" i="1"/>
  <c r="BU311" i="1" s="1"/>
  <c r="AQ311" i="1"/>
  <c r="BX311" i="1" s="1"/>
  <c r="AM311" i="1"/>
  <c r="BT311" i="1" s="1"/>
  <c r="AP311" i="1"/>
  <c r="BW311" i="1" s="1"/>
  <c r="AO311" i="1"/>
  <c r="BV311" i="1" s="1"/>
  <c r="AP321" i="1"/>
  <c r="BW321" i="1" s="1"/>
  <c r="AO321" i="1"/>
  <c r="BV321" i="1" s="1"/>
  <c r="AN321" i="1"/>
  <c r="BU321" i="1" s="1"/>
  <c r="AQ321" i="1"/>
  <c r="BX321" i="1" s="1"/>
  <c r="AM321" i="1"/>
  <c r="BT321" i="1" s="1"/>
  <c r="AN205" i="1"/>
  <c r="BU205" i="1" s="1"/>
  <c r="AQ205" i="1"/>
  <c r="BX205" i="1" s="1"/>
  <c r="AP205" i="1"/>
  <c r="BW205" i="1" s="1"/>
  <c r="AO205" i="1"/>
  <c r="BV205" i="1" s="1"/>
  <c r="AQ206" i="1"/>
  <c r="BX206" i="1" s="1"/>
  <c r="AM206" i="1"/>
  <c r="BT206" i="1" s="1"/>
  <c r="AP206" i="1"/>
  <c r="BW206" i="1" s="1"/>
  <c r="AO206" i="1"/>
  <c r="BV206" i="1" s="1"/>
  <c r="AN206" i="1"/>
  <c r="BU206" i="1" s="1"/>
  <c r="AO204" i="1"/>
  <c r="BV204" i="1" s="1"/>
  <c r="AN204" i="1"/>
  <c r="BU204" i="1" s="1"/>
  <c r="AQ204" i="1"/>
  <c r="BX204" i="1" s="1"/>
  <c r="AM204" i="1"/>
  <c r="BT204" i="1" s="1"/>
  <c r="AP204" i="1"/>
  <c r="BW204" i="1" s="1"/>
  <c r="AQ262" i="1"/>
  <c r="BX262" i="1" s="1"/>
  <c r="AP262" i="1"/>
  <c r="BW262" i="1" s="1"/>
  <c r="AO262" i="1"/>
  <c r="BV262" i="1" s="1"/>
  <c r="AN262" i="1"/>
  <c r="BU262" i="1" s="1"/>
  <c r="AP259" i="1"/>
  <c r="BW259" i="1" s="1"/>
  <c r="AO259" i="1"/>
  <c r="BV259" i="1" s="1"/>
  <c r="AN259" i="1"/>
  <c r="BU259" i="1" s="1"/>
  <c r="AQ259" i="1"/>
  <c r="BX259" i="1" s="1"/>
  <c r="AM259" i="1"/>
  <c r="BT259" i="1" s="1"/>
  <c r="AO268" i="1"/>
  <c r="BV268" i="1" s="1"/>
  <c r="AN268" i="1"/>
  <c r="BU268" i="1" s="1"/>
  <c r="AQ268" i="1"/>
  <c r="BX268" i="1" s="1"/>
  <c r="AM268" i="1"/>
  <c r="BT268" i="1" s="1"/>
  <c r="CE268" i="1" s="1"/>
  <c r="AP268" i="1"/>
  <c r="BW268" i="1" s="1"/>
  <c r="AP243" i="1"/>
  <c r="BW243" i="1" s="1"/>
  <c r="AO243" i="1"/>
  <c r="BV243" i="1" s="1"/>
  <c r="AN243" i="1"/>
  <c r="BU243" i="1" s="1"/>
  <c r="AQ243" i="1"/>
  <c r="BX243" i="1" s="1"/>
  <c r="AM243" i="1"/>
  <c r="BT243" i="1" s="1"/>
  <c r="AO244" i="1"/>
  <c r="BV244" i="1" s="1"/>
  <c r="AN244" i="1"/>
  <c r="BU244" i="1" s="1"/>
  <c r="AQ244" i="1"/>
  <c r="BX244" i="1" s="1"/>
  <c r="AP244" i="1"/>
  <c r="BW244" i="1" s="1"/>
  <c r="AN241" i="1"/>
  <c r="BU241" i="1" s="1"/>
  <c r="AQ241" i="1"/>
  <c r="BX241" i="1" s="1"/>
  <c r="AM241" i="1"/>
  <c r="BT241" i="1" s="1"/>
  <c r="AP241" i="1"/>
  <c r="BW241" i="1" s="1"/>
  <c r="AO241" i="1"/>
  <c r="BV241" i="1" s="1"/>
  <c r="AQ234" i="1"/>
  <c r="BX234" i="1" s="1"/>
  <c r="AM234" i="1"/>
  <c r="BT234" i="1" s="1"/>
  <c r="AP234" i="1"/>
  <c r="BW234" i="1" s="1"/>
  <c r="AO234" i="1"/>
  <c r="BV234" i="1" s="1"/>
  <c r="AN234" i="1"/>
  <c r="BU234" i="1" s="1"/>
  <c r="AN298" i="1"/>
  <c r="BU298" i="1" s="1"/>
  <c r="AO298" i="1"/>
  <c r="BV298" i="1" s="1"/>
  <c r="AM298" i="1"/>
  <c r="BT298" i="1" s="1"/>
  <c r="AQ298" i="1"/>
  <c r="BX298" i="1" s="1"/>
  <c r="AP298" i="1"/>
  <c r="BW298" i="1" s="1"/>
  <c r="AO301" i="1"/>
  <c r="BV301" i="1" s="1"/>
  <c r="AP301" i="1"/>
  <c r="BW301" i="1" s="1"/>
  <c r="AN301" i="1"/>
  <c r="BU301" i="1" s="1"/>
  <c r="AQ301" i="1"/>
  <c r="BX301" i="1" s="1"/>
  <c r="AO304" i="1"/>
  <c r="BV304" i="1" s="1"/>
  <c r="AP304" i="1"/>
  <c r="BW304" i="1" s="1"/>
  <c r="AM304" i="1"/>
  <c r="BT304" i="1" s="1"/>
  <c r="AQ304" i="1"/>
  <c r="BX304" i="1" s="1"/>
  <c r="AN304" i="1"/>
  <c r="BU304" i="1" s="1"/>
  <c r="AN184" i="1"/>
  <c r="BU184" i="1" s="1"/>
  <c r="AO184" i="1"/>
  <c r="BV184" i="1" s="1"/>
  <c r="AQ184" i="1"/>
  <c r="BX184" i="1" s="1"/>
  <c r="AP184" i="1"/>
  <c r="BW184" i="1" s="1"/>
  <c r="AQ185" i="1"/>
  <c r="BX185" i="1" s="1"/>
  <c r="AM185" i="1"/>
  <c r="BT185" i="1" s="1"/>
  <c r="AN185" i="1"/>
  <c r="BU185" i="1" s="1"/>
  <c r="AP185" i="1"/>
  <c r="BW185" i="1" s="1"/>
  <c r="AO185" i="1"/>
  <c r="BV185" i="1" s="1"/>
  <c r="AP186" i="1"/>
  <c r="BW186" i="1" s="1"/>
  <c r="AQ186" i="1"/>
  <c r="BX186" i="1" s="1"/>
  <c r="AM186" i="1"/>
  <c r="BT186" i="1" s="1"/>
  <c r="AO186" i="1"/>
  <c r="BV186" i="1" s="1"/>
  <c r="AN186" i="1"/>
  <c r="BU186" i="1" s="1"/>
  <c r="AO183" i="1"/>
  <c r="BV183" i="1" s="1"/>
  <c r="AP183" i="1"/>
  <c r="BW183" i="1" s="1"/>
  <c r="AN183" i="1"/>
  <c r="BU183" i="1" s="1"/>
  <c r="AQ183" i="1"/>
  <c r="BX183" i="1" s="1"/>
  <c r="AP292" i="1"/>
  <c r="BW292" i="1" s="1"/>
  <c r="AO292" i="1"/>
  <c r="BV292" i="1" s="1"/>
  <c r="AN292" i="1"/>
  <c r="BU292" i="1" s="1"/>
  <c r="AQ292" i="1"/>
  <c r="BX292" i="1" s="1"/>
  <c r="AM292" i="1"/>
  <c r="BT292" i="1" s="1"/>
  <c r="AO293" i="1"/>
  <c r="BV293" i="1" s="1"/>
  <c r="AN293" i="1"/>
  <c r="BU293" i="1" s="1"/>
  <c r="AQ293" i="1"/>
  <c r="BX293" i="1" s="1"/>
  <c r="AM293" i="1"/>
  <c r="BT293" i="1" s="1"/>
  <c r="AP293" i="1"/>
  <c r="BW293" i="1" s="1"/>
  <c r="AN290" i="1"/>
  <c r="BU290" i="1" s="1"/>
  <c r="AQ290" i="1"/>
  <c r="BX290" i="1" s="1"/>
  <c r="AM290" i="1"/>
  <c r="BT290" i="1" s="1"/>
  <c r="AP290" i="1"/>
  <c r="BW290" i="1" s="1"/>
  <c r="AO290" i="1"/>
  <c r="BV290" i="1" s="1"/>
  <c r="AQ287" i="1"/>
  <c r="BX287" i="1" s="1"/>
  <c r="AN287" i="1"/>
  <c r="BU287" i="1" s="1"/>
  <c r="AO287" i="1"/>
  <c r="BV287" i="1" s="1"/>
  <c r="AP287" i="1"/>
  <c r="BW287" i="1" s="1"/>
  <c r="AN174" i="1"/>
  <c r="AO174" i="1"/>
  <c r="AM174" i="1"/>
  <c r="AQ174" i="1"/>
  <c r="BX174" i="1" s="1"/>
  <c r="AP174" i="1"/>
  <c r="BW174" i="1" s="1"/>
  <c r="AQ171" i="1"/>
  <c r="BX171" i="1" s="1"/>
  <c r="AN171" i="1"/>
  <c r="AP171" i="1"/>
  <c r="BW171" i="1" s="1"/>
  <c r="AO171" i="1"/>
  <c r="AP168" i="1"/>
  <c r="BW168" i="1" s="1"/>
  <c r="AQ168" i="1"/>
  <c r="BX168" i="1" s="1"/>
  <c r="AM168" i="1"/>
  <c r="AO168" i="1"/>
  <c r="AN168" i="1"/>
  <c r="AQ150" i="1"/>
  <c r="BX150" i="1" s="1"/>
  <c r="AM139" i="1"/>
  <c r="BT139" i="1" s="1"/>
  <c r="CE139" i="1" s="1"/>
  <c r="AP104" i="1"/>
  <c r="BW104" i="1" s="1"/>
  <c r="AM92" i="1"/>
  <c r="BT92" i="1" s="1"/>
  <c r="AN87" i="1"/>
  <c r="BU87" i="1" s="1"/>
  <c r="AQ80" i="1"/>
  <c r="BX80" i="1" s="1"/>
  <c r="AO76" i="1"/>
  <c r="BV76" i="1" s="1"/>
  <c r="AN70" i="1"/>
  <c r="BU70" i="1" s="1"/>
  <c r="AQ57" i="1"/>
  <c r="BX57" i="1" s="1"/>
  <c r="AN53" i="1"/>
  <c r="BU53" i="1" s="1"/>
  <c r="AM48" i="1"/>
  <c r="BT48" i="1" s="1"/>
  <c r="CE48" i="1" s="1"/>
  <c r="AQ44" i="1"/>
  <c r="BX44" i="1" s="1"/>
  <c r="AP41" i="1"/>
  <c r="BW41" i="1" s="1"/>
  <c r="AN36" i="1"/>
  <c r="BU36" i="1" s="1"/>
  <c r="AM33" i="1"/>
  <c r="BT33" i="1" s="1"/>
  <c r="AQ29" i="1"/>
  <c r="BX29" i="1" s="1"/>
  <c r="AP24" i="1"/>
  <c r="AO21" i="1"/>
  <c r="AN18" i="1"/>
  <c r="AN14" i="1"/>
  <c r="AM62" i="1"/>
  <c r="BT62" i="1" s="1"/>
  <c r="AM78" i="1"/>
  <c r="BT78" i="1" s="1"/>
  <c r="AM111" i="1"/>
  <c r="BT111" i="1" s="1"/>
  <c r="AM135" i="1"/>
  <c r="BT135" i="1" s="1"/>
  <c r="AM162" i="1"/>
  <c r="BT162" i="1" s="1"/>
  <c r="AM105" i="1"/>
  <c r="BT105" i="1" s="1"/>
  <c r="AM151" i="1"/>
  <c r="BT151" i="1" s="1"/>
  <c r="AM99" i="1"/>
  <c r="BT99" i="1" s="1"/>
  <c r="AM130" i="1"/>
  <c r="BT130" i="1" s="1"/>
  <c r="AM144" i="1"/>
  <c r="BT144" i="1" s="1"/>
  <c r="AM159" i="1"/>
  <c r="BT159" i="1" s="1"/>
  <c r="AQ76" i="1"/>
  <c r="BX76" i="1" s="1"/>
  <c r="AQ131" i="1"/>
  <c r="BX131" i="1" s="1"/>
  <c r="AQ139" i="1"/>
  <c r="BX139" i="1" s="1"/>
  <c r="AQ94" i="1"/>
  <c r="BX94" i="1" s="1"/>
  <c r="AQ141" i="1"/>
  <c r="BX141" i="1" s="1"/>
  <c r="AQ167" i="1"/>
  <c r="BX167" i="1" s="1"/>
  <c r="AQ110" i="1"/>
  <c r="BX110" i="1" s="1"/>
  <c r="AQ134" i="1"/>
  <c r="BX134" i="1" s="1"/>
  <c r="AQ148" i="1"/>
  <c r="BX148" i="1" s="1"/>
  <c r="AQ160" i="1"/>
  <c r="BX160" i="1" s="1"/>
  <c r="AO137" i="1"/>
  <c r="BV137" i="1" s="1"/>
  <c r="AP89" i="1"/>
  <c r="BW89" i="1" s="1"/>
  <c r="AO40" i="1"/>
  <c r="BV40" i="1" s="1"/>
  <c r="AO29" i="1"/>
  <c r="BV29" i="1" s="1"/>
  <c r="AP14" i="1"/>
  <c r="AO60" i="1"/>
  <c r="BV60" i="1" s="1"/>
  <c r="AO70" i="1"/>
  <c r="BV70" i="1" s="1"/>
  <c r="AO84" i="1"/>
  <c r="BV84" i="1" s="1"/>
  <c r="AO92" i="1"/>
  <c r="BV92" i="1" s="1"/>
  <c r="AO109" i="1"/>
  <c r="BV109" i="1" s="1"/>
  <c r="AO151" i="1"/>
  <c r="BV151" i="1" s="1"/>
  <c r="AO57" i="1"/>
  <c r="BV57" i="1" s="1"/>
  <c r="AO67" i="1"/>
  <c r="BV67" i="1" s="1"/>
  <c r="AO81" i="1"/>
  <c r="BV81" i="1" s="1"/>
  <c r="AO105" i="1"/>
  <c r="BV105" i="1" s="1"/>
  <c r="AO133" i="1"/>
  <c r="BV133" i="1" s="1"/>
  <c r="AO100" i="1"/>
  <c r="BV100" i="1" s="1"/>
  <c r="AO93" i="1"/>
  <c r="BV93" i="1" s="1"/>
  <c r="AO140" i="1"/>
  <c r="BV140" i="1" s="1"/>
  <c r="AO154" i="1"/>
  <c r="BV154" i="1" s="1"/>
  <c r="AO166" i="1"/>
  <c r="BV166" i="1" s="1"/>
  <c r="AP156" i="1"/>
  <c r="BW156" i="1" s="1"/>
  <c r="AP31" i="1"/>
  <c r="BW31" i="1" s="1"/>
  <c r="AP63" i="1"/>
  <c r="BW63" i="1" s="1"/>
  <c r="AP73" i="1"/>
  <c r="BW73" i="1" s="1"/>
  <c r="AP87" i="1"/>
  <c r="BW87" i="1" s="1"/>
  <c r="AP97" i="1"/>
  <c r="BW97" i="1" s="1"/>
  <c r="AP137" i="1"/>
  <c r="BW137" i="1" s="1"/>
  <c r="AP52" i="1"/>
  <c r="BW52" i="1" s="1"/>
  <c r="AP94" i="1"/>
  <c r="BW94" i="1" s="1"/>
  <c r="AP136" i="1"/>
  <c r="BW136" i="1" s="1"/>
  <c r="AP163" i="1"/>
  <c r="BW163" i="1" s="1"/>
  <c r="AP110" i="1"/>
  <c r="BW110" i="1" s="1"/>
  <c r="AP134" i="1"/>
  <c r="BW134" i="1" s="1"/>
  <c r="AP148" i="1"/>
  <c r="BW148" i="1" s="1"/>
  <c r="AP160" i="1"/>
  <c r="BW160" i="1" s="1"/>
  <c r="AP107" i="1"/>
  <c r="BW107" i="1" s="1"/>
  <c r="AP131" i="1"/>
  <c r="BW131" i="1" s="1"/>
  <c r="AP145" i="1"/>
  <c r="BW145" i="1" s="1"/>
  <c r="AP162" i="1"/>
  <c r="BW162" i="1" s="1"/>
  <c r="AP150" i="1"/>
  <c r="BW150" i="1" s="1"/>
  <c r="AN135" i="1"/>
  <c r="BU135" i="1" s="1"/>
  <c r="AQ101" i="1"/>
  <c r="BX101" i="1" s="1"/>
  <c r="AM85" i="1"/>
  <c r="BT85" i="1" s="1"/>
  <c r="AP78" i="1"/>
  <c r="BW78" i="1" s="1"/>
  <c r="AN73" i="1"/>
  <c r="BU73" i="1" s="1"/>
  <c r="AO65" i="1"/>
  <c r="BV65" i="1" s="1"/>
  <c r="AN59" i="1"/>
  <c r="BU59" i="1" s="1"/>
  <c r="AM52" i="1"/>
  <c r="BT52" i="1" s="1"/>
  <c r="AN50" i="1"/>
  <c r="BU50" i="1" s="1"/>
  <c r="AM47" i="1"/>
  <c r="BT47" i="1" s="1"/>
  <c r="AQ43" i="1"/>
  <c r="BX43" i="1" s="1"/>
  <c r="AP40" i="1"/>
  <c r="BW40" i="1" s="1"/>
  <c r="AM36" i="1"/>
  <c r="BT36" i="1" s="1"/>
  <c r="AQ32" i="1"/>
  <c r="BX32" i="1" s="1"/>
  <c r="AP29" i="1"/>
  <c r="BW29" i="1" s="1"/>
  <c r="AO24" i="1"/>
  <c r="AN21" i="1"/>
  <c r="AM18" i="1"/>
  <c r="AQ14" i="1"/>
  <c r="AN57" i="1"/>
  <c r="BU57" i="1" s="1"/>
  <c r="AN67" i="1"/>
  <c r="BU67" i="1" s="1"/>
  <c r="AN81" i="1"/>
  <c r="BU81" i="1" s="1"/>
  <c r="AN139" i="1"/>
  <c r="BU139" i="1" s="1"/>
  <c r="AN164" i="1"/>
  <c r="BU164" i="1" s="1"/>
  <c r="AN62" i="1"/>
  <c r="BU62" i="1" s="1"/>
  <c r="AN72" i="1"/>
  <c r="BU72" i="1" s="1"/>
  <c r="AN86" i="1"/>
  <c r="BU86" i="1" s="1"/>
  <c r="AN96" i="1"/>
  <c r="BU96" i="1" s="1"/>
  <c r="AN140" i="1"/>
  <c r="BU140" i="1" s="1"/>
  <c r="AN154" i="1"/>
  <c r="BU154" i="1" s="1"/>
  <c r="AN166" i="1"/>
  <c r="BU166" i="1" s="1"/>
  <c r="AN113" i="1"/>
  <c r="BU113" i="1" s="1"/>
  <c r="AN137" i="1"/>
  <c r="BU137" i="1" s="1"/>
  <c r="AN151" i="1"/>
  <c r="BU151" i="1" s="1"/>
  <c r="AO152" i="1"/>
  <c r="BV152" i="1" s="1"/>
  <c r="AO98" i="1"/>
  <c r="BV98" i="1" s="1"/>
  <c r="AO69" i="1"/>
  <c r="BV69" i="1" s="1"/>
  <c r="AP28" i="1"/>
  <c r="BW28" i="1" s="1"/>
  <c r="AO15" i="1"/>
  <c r="AP105" i="1"/>
  <c r="BW105" i="1" s="1"/>
  <c r="AP75" i="1"/>
  <c r="BW75" i="1" s="1"/>
  <c r="AP50" i="1"/>
  <c r="BW50" i="1" s="1"/>
  <c r="AP35" i="1"/>
  <c r="BW35" i="1" s="1"/>
  <c r="AN100" i="1"/>
  <c r="BU100" i="1" s="1"/>
  <c r="AN84" i="1"/>
  <c r="BU84" i="1" s="1"/>
  <c r="AN69" i="1"/>
  <c r="BU69" i="1" s="1"/>
  <c r="AN60" i="1"/>
  <c r="BU60" i="1" s="1"/>
  <c r="AQ45" i="1"/>
  <c r="BX45" i="1" s="1"/>
  <c r="AN33" i="1"/>
  <c r="BU33" i="1" s="1"/>
  <c r="AQ24" i="1"/>
  <c r="AQ13" i="1"/>
  <c r="AQ156" i="1"/>
  <c r="BX156" i="1" s="1"/>
  <c r="AO72" i="1"/>
  <c r="BV72" i="1" s="1"/>
  <c r="AM60" i="1"/>
  <c r="BT60" i="1" s="1"/>
  <c r="AQ49" i="1"/>
  <c r="BX49" i="1" s="1"/>
  <c r="AO32" i="1"/>
  <c r="BV32" i="1" s="1"/>
  <c r="AN44" i="1"/>
  <c r="BU44" i="1" s="1"/>
  <c r="AM164" i="1"/>
  <c r="BT164" i="1" s="1"/>
  <c r="AN144" i="1"/>
  <c r="BU144" i="1" s="1"/>
  <c r="AN95" i="1"/>
  <c r="BU95" i="1" s="1"/>
  <c r="AQ85" i="1"/>
  <c r="BX85" i="1" s="1"/>
  <c r="AQ67" i="1"/>
  <c r="BX67" i="1" s="1"/>
  <c r="AQ52" i="1"/>
  <c r="BX52" i="1" s="1"/>
  <c r="AM45" i="1"/>
  <c r="BT45" i="1" s="1"/>
  <c r="BT30" i="1"/>
  <c r="AN19" i="1"/>
  <c r="AM57" i="1"/>
  <c r="BT57" i="1" s="1"/>
  <c r="AQ35" i="1"/>
  <c r="BX35" i="1" s="1"/>
  <c r="AM31" i="1"/>
  <c r="BT31" i="1" s="1"/>
  <c r="AO147" i="1"/>
  <c r="BV147" i="1" s="1"/>
  <c r="AP142" i="1"/>
  <c r="BW142" i="1" s="1"/>
  <c r="AP116" i="1"/>
  <c r="BW116" i="1" s="1"/>
  <c r="AP77" i="1"/>
  <c r="BW77" i="1" s="1"/>
  <c r="AN90" i="1"/>
  <c r="BU90" i="1" s="1"/>
  <c r="AN142" i="1"/>
  <c r="BU142" i="1" s="1"/>
  <c r="AO38" i="1"/>
  <c r="BV38" i="1" s="1"/>
  <c r="AO155" i="1"/>
  <c r="BV155" i="1" s="1"/>
  <c r="AO103" i="1"/>
  <c r="BV103" i="1" s="1"/>
  <c r="AQ77" i="1"/>
  <c r="BX77" i="1" s="1"/>
  <c r="AQ64" i="1"/>
  <c r="BX64" i="1" s="1"/>
  <c r="AQ163" i="1"/>
  <c r="BX163" i="1" s="1"/>
  <c r="AQ213" i="1"/>
  <c r="BX213" i="1" s="1"/>
  <c r="AM213" i="1"/>
  <c r="BT213" i="1" s="1"/>
  <c r="AN213" i="1"/>
  <c r="BU213" i="1" s="1"/>
  <c r="AP213" i="1"/>
  <c r="BW213" i="1" s="1"/>
  <c r="AO213" i="1"/>
  <c r="BV213" i="1" s="1"/>
  <c r="AP218" i="1"/>
  <c r="BW218" i="1" s="1"/>
  <c r="AO218" i="1"/>
  <c r="BV218" i="1" s="1"/>
  <c r="AN218" i="1"/>
  <c r="BU218" i="1" s="1"/>
  <c r="AQ218" i="1"/>
  <c r="BX218" i="1" s="1"/>
  <c r="AO215" i="1"/>
  <c r="BV215" i="1" s="1"/>
  <c r="AN215" i="1"/>
  <c r="BU215" i="1" s="1"/>
  <c r="AM215" i="1"/>
  <c r="BT215" i="1" s="1"/>
  <c r="AQ215" i="1"/>
  <c r="BX215" i="1" s="1"/>
  <c r="AP215" i="1"/>
  <c r="BW215" i="1" s="1"/>
  <c r="AN208" i="1"/>
  <c r="BU208" i="1" s="1"/>
  <c r="AQ208" i="1"/>
  <c r="BX208" i="1" s="1"/>
  <c r="AP208" i="1"/>
  <c r="BW208" i="1" s="1"/>
  <c r="AO208" i="1"/>
  <c r="BV208" i="1" s="1"/>
  <c r="AM208" i="1"/>
  <c r="BT208" i="1" s="1"/>
  <c r="AQ249" i="1"/>
  <c r="BX249" i="1" s="1"/>
  <c r="AN249" i="1"/>
  <c r="BU249" i="1" s="1"/>
  <c r="AP249" i="1"/>
  <c r="BW249" i="1" s="1"/>
  <c r="AO249" i="1"/>
  <c r="BV249" i="1" s="1"/>
  <c r="AP246" i="1"/>
  <c r="BW246" i="1" s="1"/>
  <c r="AQ246" i="1"/>
  <c r="BX246" i="1" s="1"/>
  <c r="AM246" i="1"/>
  <c r="BT246" i="1" s="1"/>
  <c r="AO246" i="1"/>
  <c r="BV246" i="1" s="1"/>
  <c r="AN246" i="1"/>
  <c r="BU246" i="1" s="1"/>
  <c r="AN248" i="1"/>
  <c r="BU248" i="1" s="1"/>
  <c r="AO248" i="1"/>
  <c r="BV248" i="1" s="1"/>
  <c r="AP248" i="1"/>
  <c r="BW248" i="1" s="1"/>
  <c r="AQ248" i="1"/>
  <c r="BX248" i="1" s="1"/>
  <c r="AN275" i="1"/>
  <c r="BU275" i="1" s="1"/>
  <c r="AQ275" i="1"/>
  <c r="BX275" i="1" s="1"/>
  <c r="AP275" i="1"/>
  <c r="BW275" i="1" s="1"/>
  <c r="AO275" i="1"/>
  <c r="BV275" i="1" s="1"/>
  <c r="AQ272" i="1"/>
  <c r="BX272" i="1" s="1"/>
  <c r="AM272" i="1"/>
  <c r="BT272" i="1" s="1"/>
  <c r="AP272" i="1"/>
  <c r="BW272" i="1" s="1"/>
  <c r="AO272" i="1"/>
  <c r="BV272" i="1" s="1"/>
  <c r="AN272" i="1"/>
  <c r="BU272" i="1" s="1"/>
  <c r="AO282" i="1"/>
  <c r="BV282" i="1" s="1"/>
  <c r="AN282" i="1"/>
  <c r="BU282" i="1" s="1"/>
  <c r="AQ282" i="1"/>
  <c r="BX282" i="1" s="1"/>
  <c r="AM282" i="1"/>
  <c r="BT282" i="1" s="1"/>
  <c r="AP282" i="1"/>
  <c r="BW282" i="1" s="1"/>
  <c r="AN223" i="1"/>
  <c r="BU223" i="1" s="1"/>
  <c r="AQ223" i="1"/>
  <c r="BX223" i="1" s="1"/>
  <c r="AP223" i="1"/>
  <c r="BW223" i="1" s="1"/>
  <c r="AO223" i="1"/>
  <c r="BV223" i="1" s="1"/>
  <c r="AQ228" i="1"/>
  <c r="BX228" i="1" s="1"/>
  <c r="AM228" i="1"/>
  <c r="BT228" i="1" s="1"/>
  <c r="AP228" i="1"/>
  <c r="BW228" i="1" s="1"/>
  <c r="AO228" i="1"/>
  <c r="BV228" i="1" s="1"/>
  <c r="AN228" i="1"/>
  <c r="BU228" i="1" s="1"/>
  <c r="AP229" i="1"/>
  <c r="BW229" i="1" s="1"/>
  <c r="AO229" i="1"/>
  <c r="BV229" i="1" s="1"/>
  <c r="AN229" i="1"/>
  <c r="BU229" i="1" s="1"/>
  <c r="AQ229" i="1"/>
  <c r="BX229" i="1" s="1"/>
  <c r="AM229" i="1"/>
  <c r="BT229" i="1" s="1"/>
  <c r="CE229" i="1" s="1"/>
  <c r="AO226" i="1"/>
  <c r="BV226" i="1" s="1"/>
  <c r="AN226" i="1"/>
  <c r="BU226" i="1" s="1"/>
  <c r="AQ226" i="1"/>
  <c r="BX226" i="1" s="1"/>
  <c r="AM226" i="1"/>
  <c r="BT226" i="1" s="1"/>
  <c r="AP226" i="1"/>
  <c r="BW226" i="1" s="1"/>
  <c r="AP313" i="1"/>
  <c r="BW313" i="1" s="1"/>
  <c r="AO313" i="1"/>
  <c r="BV313" i="1" s="1"/>
  <c r="AN313" i="1"/>
  <c r="BU313" i="1" s="1"/>
  <c r="AQ313" i="1"/>
  <c r="BX313" i="1" s="1"/>
  <c r="AO322" i="1"/>
  <c r="BV322" i="1" s="1"/>
  <c r="AN322" i="1"/>
  <c r="BU322" i="1" s="1"/>
  <c r="AQ322" i="1"/>
  <c r="BX322" i="1" s="1"/>
  <c r="AP322" i="1"/>
  <c r="BW322" i="1" s="1"/>
  <c r="AN315" i="1"/>
  <c r="BU315" i="1" s="1"/>
  <c r="AQ315" i="1"/>
  <c r="BX315" i="1" s="1"/>
  <c r="AM315" i="1"/>
  <c r="BT315" i="1" s="1"/>
  <c r="AP315" i="1"/>
  <c r="BW315" i="1" s="1"/>
  <c r="AO315" i="1"/>
  <c r="BV315" i="1" s="1"/>
  <c r="AQ312" i="1"/>
  <c r="BX312" i="1" s="1"/>
  <c r="AM312" i="1"/>
  <c r="BT312" i="1" s="1"/>
  <c r="AP312" i="1"/>
  <c r="BW312" i="1" s="1"/>
  <c r="AO312" i="1"/>
  <c r="BV312" i="1" s="1"/>
  <c r="AN312" i="1"/>
  <c r="BU312" i="1" s="1"/>
  <c r="AN197" i="1"/>
  <c r="BU197" i="1" s="1"/>
  <c r="AQ197" i="1"/>
  <c r="BX197" i="1" s="1"/>
  <c r="AO197" i="1"/>
  <c r="BV197" i="1" s="1"/>
  <c r="AP197" i="1"/>
  <c r="BW197" i="1" s="1"/>
  <c r="AQ194" i="1"/>
  <c r="BX194" i="1" s="1"/>
  <c r="AM194" i="1"/>
  <c r="BT194" i="1" s="1"/>
  <c r="AP194" i="1"/>
  <c r="BW194" i="1" s="1"/>
  <c r="AN194" i="1"/>
  <c r="BU194" i="1" s="1"/>
  <c r="AO194" i="1"/>
  <c r="BV194" i="1" s="1"/>
  <c r="AP195" i="1"/>
  <c r="BW195" i="1" s="1"/>
  <c r="AO195" i="1"/>
  <c r="BV195" i="1" s="1"/>
  <c r="AQ195" i="1"/>
  <c r="BX195" i="1" s="1"/>
  <c r="AM195" i="1"/>
  <c r="BT195" i="1" s="1"/>
  <c r="AN195" i="1"/>
  <c r="BU195" i="1" s="1"/>
  <c r="AQ266" i="1"/>
  <c r="BX266" i="1" s="1"/>
  <c r="AM266" i="1"/>
  <c r="BT266" i="1" s="1"/>
  <c r="AP266" i="1"/>
  <c r="BW266" i="1" s="1"/>
  <c r="AO266" i="1"/>
  <c r="BV266" i="1" s="1"/>
  <c r="AN266" i="1"/>
  <c r="BU266" i="1" s="1"/>
  <c r="AP263" i="1"/>
  <c r="BW263" i="1" s="1"/>
  <c r="AO263" i="1"/>
  <c r="BV263" i="1" s="1"/>
  <c r="AN263" i="1"/>
  <c r="BU263" i="1" s="1"/>
  <c r="AQ263" i="1"/>
  <c r="BX263" i="1" s="1"/>
  <c r="AM263" i="1"/>
  <c r="BT263" i="1" s="1"/>
  <c r="AN269" i="1"/>
  <c r="BU269" i="1" s="1"/>
  <c r="AQ269" i="1"/>
  <c r="BX269" i="1" s="1"/>
  <c r="AM269" i="1"/>
  <c r="BT269" i="1" s="1"/>
  <c r="AP269" i="1"/>
  <c r="BW269" i="1" s="1"/>
  <c r="AO269" i="1"/>
  <c r="BV269" i="1" s="1"/>
  <c r="AP235" i="1"/>
  <c r="BW235" i="1" s="1"/>
  <c r="AO235" i="1"/>
  <c r="BV235" i="1" s="1"/>
  <c r="AN235" i="1"/>
  <c r="BU235" i="1" s="1"/>
  <c r="AQ235" i="1"/>
  <c r="BX235" i="1" s="1"/>
  <c r="AN245" i="1"/>
  <c r="BU245" i="1" s="1"/>
  <c r="AQ245" i="1"/>
  <c r="BX245" i="1" s="1"/>
  <c r="AM245" i="1"/>
  <c r="BT245" i="1" s="1"/>
  <c r="AP245" i="1"/>
  <c r="BW245" i="1" s="1"/>
  <c r="AO245" i="1"/>
  <c r="BV245" i="1" s="1"/>
  <c r="AQ238" i="1"/>
  <c r="BX238" i="1" s="1"/>
  <c r="AM238" i="1"/>
  <c r="AP238" i="1"/>
  <c r="BW238" i="1" s="1"/>
  <c r="AO238" i="1"/>
  <c r="AN238" i="1"/>
  <c r="AN302" i="1"/>
  <c r="BU302" i="1" s="1"/>
  <c r="AP302" i="1"/>
  <c r="BW302" i="1" s="1"/>
  <c r="AO302" i="1"/>
  <c r="BV302" i="1" s="1"/>
  <c r="AM302" i="1"/>
  <c r="BT302" i="1" s="1"/>
  <c r="AQ302" i="1"/>
  <c r="BX302" i="1" s="1"/>
  <c r="AQ299" i="1"/>
  <c r="BX299" i="1" s="1"/>
  <c r="AM299" i="1"/>
  <c r="BT299" i="1" s="1"/>
  <c r="AO299" i="1"/>
  <c r="BV299" i="1" s="1"/>
  <c r="AN299" i="1"/>
  <c r="BU299" i="1" s="1"/>
  <c r="AP299" i="1"/>
  <c r="BW299" i="1" s="1"/>
  <c r="AN309" i="1"/>
  <c r="BU309" i="1" s="1"/>
  <c r="AO309" i="1"/>
  <c r="BV309" i="1" s="1"/>
  <c r="AQ309" i="1"/>
  <c r="BX309" i="1" s="1"/>
  <c r="AP309" i="1"/>
  <c r="BW309" i="1" s="1"/>
  <c r="AO308" i="1"/>
  <c r="BV308" i="1" s="1"/>
  <c r="AP308" i="1"/>
  <c r="BW308" i="1" s="1"/>
  <c r="AQ308" i="1"/>
  <c r="BX308" i="1" s="1"/>
  <c r="AN308" i="1"/>
  <c r="BU308" i="1" s="1"/>
  <c r="AM308" i="1"/>
  <c r="BT308" i="1" s="1"/>
  <c r="AN188" i="1"/>
  <c r="AO188" i="1"/>
  <c r="AM188" i="1"/>
  <c r="BT188" i="1" s="1"/>
  <c r="AQ188" i="1"/>
  <c r="BX188" i="1" s="1"/>
  <c r="AP188" i="1"/>
  <c r="BW188" i="1" s="1"/>
  <c r="AQ189" i="1"/>
  <c r="BX189" i="1" s="1"/>
  <c r="AM189" i="1"/>
  <c r="BT189" i="1" s="1"/>
  <c r="AN189" i="1"/>
  <c r="BU189" i="1" s="1"/>
  <c r="AP189" i="1"/>
  <c r="BW189" i="1" s="1"/>
  <c r="AO189" i="1"/>
  <c r="BV189" i="1" s="1"/>
  <c r="AP190" i="1"/>
  <c r="BW190" i="1" s="1"/>
  <c r="AQ190" i="1"/>
  <c r="BX190" i="1" s="1"/>
  <c r="AM190" i="1"/>
  <c r="BT190" i="1" s="1"/>
  <c r="CE190" i="1" s="1"/>
  <c r="AO190" i="1"/>
  <c r="BV190" i="1" s="1"/>
  <c r="AN190" i="1"/>
  <c r="BU190" i="1" s="1"/>
  <c r="AO187" i="1"/>
  <c r="BV187" i="1" s="1"/>
  <c r="AP187" i="1"/>
  <c r="BW187" i="1" s="1"/>
  <c r="AQ187" i="1"/>
  <c r="BX187" i="1" s="1"/>
  <c r="AN187" i="1"/>
  <c r="BU187" i="1" s="1"/>
  <c r="AM187" i="1"/>
  <c r="BT187" i="1" s="1"/>
  <c r="AP296" i="1"/>
  <c r="BW296" i="1" s="1"/>
  <c r="AO296" i="1"/>
  <c r="BV296" i="1" s="1"/>
  <c r="AN296" i="1"/>
  <c r="BU296" i="1" s="1"/>
  <c r="AQ296" i="1"/>
  <c r="BX296" i="1" s="1"/>
  <c r="AO297" i="1"/>
  <c r="BV297" i="1" s="1"/>
  <c r="AN297" i="1"/>
  <c r="BU297" i="1" s="1"/>
  <c r="AQ297" i="1"/>
  <c r="BX297" i="1" s="1"/>
  <c r="AM297" i="1"/>
  <c r="BT297" i="1" s="1"/>
  <c r="AP297" i="1"/>
  <c r="BW297" i="1" s="1"/>
  <c r="AN294" i="1"/>
  <c r="BU294" i="1" s="1"/>
  <c r="AQ294" i="1"/>
  <c r="BX294" i="1" s="1"/>
  <c r="AM294" i="1"/>
  <c r="BT294" i="1" s="1"/>
  <c r="CE294" i="1" s="1"/>
  <c r="AP294" i="1"/>
  <c r="BW294" i="1" s="1"/>
  <c r="AO294" i="1"/>
  <c r="BV294" i="1" s="1"/>
  <c r="AQ291" i="1"/>
  <c r="BX291" i="1" s="1"/>
  <c r="AM291" i="1"/>
  <c r="BT291" i="1" s="1"/>
  <c r="AP291" i="1"/>
  <c r="BW291" i="1" s="1"/>
  <c r="AO291" i="1"/>
  <c r="BV291" i="1" s="1"/>
  <c r="AN291" i="1"/>
  <c r="BU291" i="1" s="1"/>
  <c r="AN178" i="1"/>
  <c r="AO178" i="1"/>
  <c r="AQ178" i="1"/>
  <c r="BX178" i="1" s="1"/>
  <c r="AP178" i="1"/>
  <c r="BW178" i="1" s="1"/>
  <c r="AM178" i="1"/>
  <c r="AQ175" i="1"/>
  <c r="BX175" i="1" s="1"/>
  <c r="AM175" i="1"/>
  <c r="AN175" i="1"/>
  <c r="AP175" i="1"/>
  <c r="BW175" i="1" s="1"/>
  <c r="AO175" i="1"/>
  <c r="AP172" i="1"/>
  <c r="BW172" i="1" s="1"/>
  <c r="AQ172" i="1"/>
  <c r="BX172" i="1" s="1"/>
  <c r="AM172" i="1"/>
  <c r="AO172" i="1"/>
  <c r="AN172" i="1"/>
  <c r="AO169" i="1"/>
  <c r="AP169" i="1"/>
  <c r="BW169" i="1" s="1"/>
  <c r="AN169" i="1"/>
  <c r="AM169" i="1"/>
  <c r="AQ169" i="1"/>
  <c r="BX169" i="1" s="1"/>
  <c r="AN160" i="1"/>
  <c r="BU160" i="1" s="1"/>
  <c r="AP113" i="1"/>
  <c r="BW113" i="1" s="1"/>
  <c r="AM75" i="1"/>
  <c r="BT75" i="1" s="1"/>
  <c r="AP62" i="1"/>
  <c r="BW62" i="1" s="1"/>
  <c r="AO50" i="1"/>
  <c r="BV50" i="1" s="1"/>
  <c r="AM44" i="1"/>
  <c r="BT44" i="1" s="1"/>
  <c r="AN32" i="1"/>
  <c r="BU32" i="1" s="1"/>
  <c r="AQ23" i="1"/>
  <c r="AO17" i="1"/>
  <c r="AM82" i="1"/>
  <c r="BT82" i="1" s="1"/>
  <c r="AM163" i="1"/>
  <c r="BT163" i="1" s="1"/>
  <c r="AM65" i="1"/>
  <c r="BT65" i="1" s="1"/>
  <c r="AM79" i="1"/>
  <c r="BT79" i="1" s="1"/>
  <c r="AM98" i="1"/>
  <c r="BT98" i="1" s="1"/>
  <c r="AM109" i="1"/>
  <c r="BT109" i="1" s="1"/>
  <c r="AM137" i="1"/>
  <c r="BT137" i="1" s="1"/>
  <c r="AM110" i="1"/>
  <c r="BT110" i="1" s="1"/>
  <c r="AM134" i="1"/>
  <c r="BT134" i="1" s="1"/>
  <c r="AM148" i="1"/>
  <c r="BT148" i="1" s="1"/>
  <c r="AM160" i="1"/>
  <c r="BT160" i="1" s="1"/>
  <c r="AQ78" i="1"/>
  <c r="BX78" i="1" s="1"/>
  <c r="AQ104" i="1"/>
  <c r="BX104" i="1" s="1"/>
  <c r="AQ140" i="1"/>
  <c r="BX140" i="1" s="1"/>
  <c r="AQ55" i="1"/>
  <c r="BX55" i="1" s="1"/>
  <c r="AQ65" i="1"/>
  <c r="BX65" i="1" s="1"/>
  <c r="AQ79" i="1"/>
  <c r="BX79" i="1" s="1"/>
  <c r="AQ146" i="1"/>
  <c r="BX146" i="1" s="1"/>
  <c r="AQ98" i="1"/>
  <c r="BX98" i="1" s="1"/>
  <c r="AQ105" i="1"/>
  <c r="BX105" i="1" s="1"/>
  <c r="AQ143" i="1"/>
  <c r="BX143" i="1" s="1"/>
  <c r="AQ158" i="1"/>
  <c r="BX158" i="1" s="1"/>
  <c r="AQ95" i="1"/>
  <c r="BX95" i="1" s="1"/>
  <c r="AQ114" i="1"/>
  <c r="BX114" i="1" s="1"/>
  <c r="AQ138" i="1"/>
  <c r="BX138" i="1" s="1"/>
  <c r="AQ152" i="1"/>
  <c r="BX152" i="1" s="1"/>
  <c r="AP132" i="1"/>
  <c r="BW132" i="1" s="1"/>
  <c r="AO86" i="1"/>
  <c r="BV86" i="1" s="1"/>
  <c r="AP39" i="1"/>
  <c r="BW39" i="1" s="1"/>
  <c r="AO74" i="1"/>
  <c r="BV74" i="1" s="1"/>
  <c r="AO88" i="1"/>
  <c r="BV88" i="1" s="1"/>
  <c r="AO94" i="1"/>
  <c r="BV94" i="1" s="1"/>
  <c r="AO158" i="1"/>
  <c r="BV158" i="1" s="1"/>
  <c r="AO61" i="1"/>
  <c r="BV61" i="1" s="1"/>
  <c r="AO71" i="1"/>
  <c r="BV71" i="1" s="1"/>
  <c r="AO85" i="1"/>
  <c r="BV85" i="1" s="1"/>
  <c r="AO99" i="1"/>
  <c r="BV99" i="1" s="1"/>
  <c r="AO106" i="1"/>
  <c r="BV106" i="1" s="1"/>
  <c r="AO107" i="1"/>
  <c r="BV107" i="1" s="1"/>
  <c r="AO131" i="1"/>
  <c r="BV131" i="1" s="1"/>
  <c r="AO145" i="1"/>
  <c r="BV145" i="1" s="1"/>
  <c r="AO97" i="1"/>
  <c r="BV97" i="1" s="1"/>
  <c r="AO104" i="1"/>
  <c r="BV104" i="1" s="1"/>
  <c r="AO156" i="1"/>
  <c r="BV156" i="1" s="1"/>
  <c r="AP141" i="1"/>
  <c r="BW141" i="1" s="1"/>
  <c r="AP76" i="1"/>
  <c r="BW76" i="1" s="1"/>
  <c r="AP21" i="1"/>
  <c r="AP146" i="1"/>
  <c r="BW146" i="1" s="1"/>
  <c r="AP56" i="1"/>
  <c r="BW56" i="1" s="1"/>
  <c r="AP66" i="1"/>
  <c r="BW66" i="1" s="1"/>
  <c r="AP80" i="1"/>
  <c r="BW80" i="1" s="1"/>
  <c r="AP143" i="1"/>
  <c r="BW143" i="1" s="1"/>
  <c r="AP95" i="1"/>
  <c r="BW95" i="1" s="1"/>
  <c r="AP114" i="1"/>
  <c r="BW114" i="1" s="1"/>
  <c r="AP138" i="1"/>
  <c r="BW138" i="1" s="1"/>
  <c r="AP152" i="1"/>
  <c r="BW152" i="1" s="1"/>
  <c r="AP111" i="1"/>
  <c r="BW111" i="1" s="1"/>
  <c r="AP135" i="1"/>
  <c r="BW135" i="1" s="1"/>
  <c r="AP149" i="1"/>
  <c r="BW149" i="1" s="1"/>
  <c r="AP164" i="1"/>
  <c r="BW164" i="1" s="1"/>
  <c r="AN159" i="1"/>
  <c r="BU159" i="1" s="1"/>
  <c r="AO144" i="1"/>
  <c r="BV144" i="1" s="1"/>
  <c r="AQ132" i="1"/>
  <c r="BX132" i="1" s="1"/>
  <c r="AO113" i="1"/>
  <c r="BV113" i="1" s="1"/>
  <c r="AP98" i="1"/>
  <c r="BW98" i="1" s="1"/>
  <c r="AQ89" i="1"/>
  <c r="BX89" i="1" s="1"/>
  <c r="AO83" i="1"/>
  <c r="BV83" i="1" s="1"/>
  <c r="AP71" i="1"/>
  <c r="BW71" i="1" s="1"/>
  <c r="AO63" i="1"/>
  <c r="BV63" i="1" s="1"/>
  <c r="AP57" i="1"/>
  <c r="BW57" i="1" s="1"/>
  <c r="AO49" i="1"/>
  <c r="BV49" i="1" s="1"/>
  <c r="AN46" i="1"/>
  <c r="BU46" i="1" s="1"/>
  <c r="AM43" i="1"/>
  <c r="BT43" i="1" s="1"/>
  <c r="AQ39" i="1"/>
  <c r="BX39" i="1" s="1"/>
  <c r="AN35" i="1"/>
  <c r="BU35" i="1" s="1"/>
  <c r="AM32" i="1"/>
  <c r="BT32" i="1" s="1"/>
  <c r="AQ28" i="1"/>
  <c r="BX28" i="1" s="1"/>
  <c r="AP23" i="1"/>
  <c r="AN17" i="1"/>
  <c r="AM14" i="1"/>
  <c r="AN61" i="1"/>
  <c r="BU61" i="1" s="1"/>
  <c r="AN71" i="1"/>
  <c r="BU71" i="1" s="1"/>
  <c r="AN85" i="1"/>
  <c r="BU85" i="1" s="1"/>
  <c r="AN93" i="1"/>
  <c r="BU93" i="1" s="1"/>
  <c r="AN106" i="1"/>
  <c r="BU106" i="1" s="1"/>
  <c r="AN76" i="1"/>
  <c r="BU76" i="1" s="1"/>
  <c r="AN138" i="1"/>
  <c r="BU138" i="1" s="1"/>
  <c r="AN97" i="1"/>
  <c r="BU97" i="1" s="1"/>
  <c r="AN104" i="1"/>
  <c r="BU104" i="1" s="1"/>
  <c r="AN156" i="1"/>
  <c r="BU156" i="1" s="1"/>
  <c r="AN94" i="1"/>
  <c r="BU94" i="1" s="1"/>
  <c r="AN141" i="1"/>
  <c r="BU141" i="1" s="1"/>
  <c r="AP140" i="1"/>
  <c r="BW140" i="1" s="1"/>
  <c r="AO37" i="1"/>
  <c r="BV37" i="1" s="1"/>
  <c r="AP102" i="1"/>
  <c r="BW102" i="1" s="1"/>
  <c r="AP46" i="1"/>
  <c r="AP27" i="1"/>
  <c r="BW27" i="1" s="1"/>
  <c r="AQ145" i="1"/>
  <c r="BX145" i="1" s="1"/>
  <c r="AQ111" i="1"/>
  <c r="BX111" i="1" s="1"/>
  <c r="AO79" i="1"/>
  <c r="BV79" i="1" s="1"/>
  <c r="AQ66" i="1"/>
  <c r="BX66" i="1" s="1"/>
  <c r="AQ56" i="1"/>
  <c r="BX56" i="1" s="1"/>
  <c r="AO43" i="1"/>
  <c r="BV43" i="1" s="1"/>
  <c r="AQ30" i="1"/>
  <c r="BX30" i="1" s="1"/>
  <c r="AO22" i="1"/>
  <c r="AN149" i="1"/>
  <c r="BU149" i="1" s="1"/>
  <c r="AM97" i="1"/>
  <c r="BT97" i="1" s="1"/>
  <c r="AO87" i="1"/>
  <c r="BV87" i="1" s="1"/>
  <c r="AN66" i="1"/>
  <c r="BU66" i="1" s="1"/>
  <c r="AO55" i="1"/>
  <c r="BV55" i="1" s="1"/>
  <c r="AO47" i="1"/>
  <c r="BV47" i="1" s="1"/>
  <c r="AN30" i="1"/>
  <c r="BU30" i="1" s="1"/>
  <c r="AN24" i="1"/>
  <c r="AN15" i="1"/>
  <c r="AN162" i="1"/>
  <c r="BU162" i="1" s="1"/>
  <c r="AN29" i="1"/>
  <c r="BU29" i="1" s="1"/>
  <c r="AQ162" i="1"/>
  <c r="BX162" i="1" s="1"/>
  <c r="AM140" i="1"/>
  <c r="BT140" i="1" s="1"/>
  <c r="AN92" i="1"/>
  <c r="BU92" i="1" s="1"/>
  <c r="AN65" i="1"/>
  <c r="BU65" i="1" s="1"/>
  <c r="AN40" i="1"/>
  <c r="BU40" i="1" s="1"/>
  <c r="AO36" i="1"/>
  <c r="BV36" i="1" s="1"/>
  <c r="AN26" i="1"/>
  <c r="BU26" i="1" s="1"/>
  <c r="AQ16" i="1"/>
  <c r="AQ50" i="1"/>
  <c r="BX50" i="1" s="1"/>
  <c r="AO52" i="1"/>
  <c r="BV52" i="1" s="1"/>
  <c r="AQ27" i="1"/>
  <c r="BX27" i="1" s="1"/>
  <c r="AO14" i="1"/>
  <c r="AN152" i="1"/>
  <c r="BU152" i="1" s="1"/>
  <c r="AP38" i="1"/>
  <c r="BW38" i="1" s="1"/>
  <c r="AP155" i="1"/>
  <c r="BW155" i="1" s="1"/>
  <c r="AP103" i="1"/>
  <c r="BW103" i="1" s="1"/>
  <c r="AN51" i="1"/>
  <c r="BU51" i="1" s="1"/>
  <c r="AN64" i="1"/>
  <c r="BU64" i="1" s="1"/>
  <c r="AO64" i="1"/>
  <c r="BV64" i="1" s="1"/>
  <c r="AO25" i="1"/>
  <c r="AO142" i="1"/>
  <c r="BV142" i="1" s="1"/>
  <c r="AQ103" i="1"/>
  <c r="BX103" i="1" s="1"/>
  <c r="AQ90" i="1"/>
  <c r="BX90" i="1" s="1"/>
  <c r="AQ209" i="1"/>
  <c r="BX209" i="1" s="1"/>
  <c r="AP209" i="1"/>
  <c r="BW209" i="1" s="1"/>
  <c r="AO209" i="1"/>
  <c r="BV209" i="1" s="1"/>
  <c r="AN209" i="1"/>
  <c r="BU209" i="1" s="1"/>
  <c r="AO219" i="1"/>
  <c r="BV219" i="1" s="1"/>
  <c r="AP219" i="1"/>
  <c r="BW219" i="1" s="1"/>
  <c r="AN219" i="1"/>
  <c r="BU219" i="1" s="1"/>
  <c r="AM219" i="1"/>
  <c r="BT219" i="1" s="1"/>
  <c r="AQ219" i="1"/>
  <c r="BX219" i="1" s="1"/>
  <c r="AN212" i="1"/>
  <c r="BU212" i="1" s="1"/>
  <c r="AM212" i="1"/>
  <c r="BT212" i="1" s="1"/>
  <c r="AQ212" i="1"/>
  <c r="BX212" i="1" s="1"/>
  <c r="AP212" i="1"/>
  <c r="BW212" i="1" s="1"/>
  <c r="AO212" i="1"/>
  <c r="BV212" i="1" s="1"/>
  <c r="AQ253" i="1"/>
  <c r="BX253" i="1" s="1"/>
  <c r="AM253" i="1"/>
  <c r="BT253" i="1" s="1"/>
  <c r="AP253" i="1"/>
  <c r="BW253" i="1" s="1"/>
  <c r="AN253" i="1"/>
  <c r="BU253" i="1" s="1"/>
  <c r="AO253" i="1"/>
  <c r="BV253" i="1" s="1"/>
  <c r="AP250" i="1"/>
  <c r="BW250" i="1" s="1"/>
  <c r="AQ250" i="1"/>
  <c r="BX250" i="1" s="1"/>
  <c r="AM250" i="1"/>
  <c r="BT250" i="1" s="1"/>
  <c r="AN250" i="1"/>
  <c r="BU250" i="1" s="1"/>
  <c r="AO250" i="1"/>
  <c r="BV250" i="1" s="1"/>
  <c r="AO247" i="1"/>
  <c r="BV247" i="1" s="1"/>
  <c r="AP247" i="1"/>
  <c r="BW247" i="1" s="1"/>
  <c r="AM247" i="1"/>
  <c r="BT247" i="1" s="1"/>
  <c r="AQ247" i="1"/>
  <c r="BX247" i="1" s="1"/>
  <c r="AN247" i="1"/>
  <c r="BU247" i="1" s="1"/>
  <c r="AN283" i="1"/>
  <c r="BU283" i="1" s="1"/>
  <c r="AQ283" i="1"/>
  <c r="BX283" i="1" s="1"/>
  <c r="AP283" i="1"/>
  <c r="BW283" i="1" s="1"/>
  <c r="AO283" i="1"/>
  <c r="BV283" i="1" s="1"/>
  <c r="AQ276" i="1"/>
  <c r="BX276" i="1" s="1"/>
  <c r="AM276" i="1"/>
  <c r="BT276" i="1" s="1"/>
  <c r="AP276" i="1"/>
  <c r="BW276" i="1" s="1"/>
  <c r="AO276" i="1"/>
  <c r="BV276" i="1" s="1"/>
  <c r="AN276" i="1"/>
  <c r="BU276" i="1" s="1"/>
  <c r="AP273" i="1"/>
  <c r="BW273" i="1" s="1"/>
  <c r="AO273" i="1"/>
  <c r="BV273" i="1" s="1"/>
  <c r="AN273" i="1"/>
  <c r="BU273" i="1" s="1"/>
  <c r="AQ273" i="1"/>
  <c r="BX273" i="1" s="1"/>
  <c r="AM273" i="1"/>
  <c r="BT273" i="1" s="1"/>
  <c r="AN227" i="1"/>
  <c r="BU227" i="1" s="1"/>
  <c r="AQ227" i="1"/>
  <c r="BX227" i="1" s="1"/>
  <c r="AM227" i="1"/>
  <c r="BT227" i="1" s="1"/>
  <c r="AP227" i="1"/>
  <c r="BW227" i="1" s="1"/>
  <c r="AO227" i="1"/>
  <c r="BV227" i="1" s="1"/>
  <c r="AN232" i="1"/>
  <c r="BU232" i="1" s="1"/>
  <c r="AM232" i="1"/>
  <c r="BT232" i="1" s="1"/>
  <c r="AQ232" i="1"/>
  <c r="BX232" i="1" s="1"/>
  <c r="AP232" i="1"/>
  <c r="BW232" i="1" s="1"/>
  <c r="AO232" i="1"/>
  <c r="BV232" i="1" s="1"/>
  <c r="AO230" i="1"/>
  <c r="BV230" i="1" s="1"/>
  <c r="AN230" i="1"/>
  <c r="BU230" i="1" s="1"/>
  <c r="AQ230" i="1"/>
  <c r="BX230" i="1" s="1"/>
  <c r="AM230" i="1"/>
  <c r="BT230" i="1" s="1"/>
  <c r="AP230" i="1"/>
  <c r="BW230" i="1" s="1"/>
  <c r="AN319" i="1"/>
  <c r="BU319" i="1" s="1"/>
  <c r="AQ319" i="1"/>
  <c r="BX319" i="1" s="1"/>
  <c r="AM319" i="1"/>
  <c r="BT319" i="1" s="1"/>
  <c r="AP319" i="1"/>
  <c r="BW319" i="1" s="1"/>
  <c r="AO319" i="1"/>
  <c r="BV319" i="1" s="1"/>
  <c r="AQ316" i="1"/>
  <c r="BX316" i="1" s="1"/>
  <c r="AM316" i="1"/>
  <c r="BT316" i="1" s="1"/>
  <c r="AP316" i="1"/>
  <c r="BW316" i="1" s="1"/>
  <c r="AO316" i="1"/>
  <c r="BV316" i="1" s="1"/>
  <c r="AN316" i="1"/>
  <c r="BU316" i="1" s="1"/>
  <c r="AN201" i="1"/>
  <c r="BU201" i="1" s="1"/>
  <c r="AQ201" i="1"/>
  <c r="BX201" i="1" s="1"/>
  <c r="AM201" i="1"/>
  <c r="BT201" i="1" s="1"/>
  <c r="AP201" i="1"/>
  <c r="BW201" i="1" s="1"/>
  <c r="AO201" i="1"/>
  <c r="BV201" i="1" s="1"/>
  <c r="AQ198" i="1"/>
  <c r="BX198" i="1" s="1"/>
  <c r="AM198" i="1"/>
  <c r="BT198" i="1" s="1"/>
  <c r="AP198" i="1"/>
  <c r="BW198" i="1" s="1"/>
  <c r="AN198" i="1"/>
  <c r="BU198" i="1" s="1"/>
  <c r="AO198" i="1"/>
  <c r="BV198" i="1" s="1"/>
  <c r="AP199" i="1"/>
  <c r="BW199" i="1" s="1"/>
  <c r="AO199" i="1"/>
  <c r="BV199" i="1" s="1"/>
  <c r="AQ199" i="1"/>
  <c r="BX199" i="1" s="1"/>
  <c r="AM199" i="1"/>
  <c r="BT199" i="1" s="1"/>
  <c r="AN199" i="1"/>
  <c r="BU199" i="1" s="1"/>
  <c r="AO196" i="1"/>
  <c r="BV196" i="1" s="1"/>
  <c r="AN196" i="1"/>
  <c r="BU196" i="1" s="1"/>
  <c r="AP196" i="1"/>
  <c r="BW196" i="1" s="1"/>
  <c r="AQ196" i="1"/>
  <c r="BX196" i="1" s="1"/>
  <c r="AN261" i="1"/>
  <c r="BU261" i="1" s="1"/>
  <c r="AQ261" i="1"/>
  <c r="BX261" i="1" s="1"/>
  <c r="AP261" i="1"/>
  <c r="BW261" i="1" s="1"/>
  <c r="AO261" i="1"/>
  <c r="BV261" i="1" s="1"/>
  <c r="AQ270" i="1"/>
  <c r="BX270" i="1" s="1"/>
  <c r="AP270" i="1"/>
  <c r="BW270" i="1" s="1"/>
  <c r="AO270" i="1"/>
  <c r="BV270" i="1" s="1"/>
  <c r="AN270" i="1"/>
  <c r="BU270" i="1" s="1"/>
  <c r="AP267" i="1"/>
  <c r="BW267" i="1" s="1"/>
  <c r="AO267" i="1"/>
  <c r="BV267" i="1" s="1"/>
  <c r="AN267" i="1"/>
  <c r="BU267" i="1" s="1"/>
  <c r="AQ267" i="1"/>
  <c r="BX267" i="1" s="1"/>
  <c r="AM267" i="1"/>
  <c r="BT267" i="1" s="1"/>
  <c r="AO260" i="1"/>
  <c r="BV260" i="1" s="1"/>
  <c r="AN260" i="1"/>
  <c r="BU260" i="1" s="1"/>
  <c r="AQ260" i="1"/>
  <c r="BX260" i="1" s="1"/>
  <c r="AM260" i="1"/>
  <c r="BT260" i="1" s="1"/>
  <c r="AP260" i="1"/>
  <c r="BW260" i="1" s="1"/>
  <c r="AO236" i="1"/>
  <c r="BV236" i="1" s="1"/>
  <c r="AN236" i="1"/>
  <c r="BU236" i="1" s="1"/>
  <c r="AQ236" i="1"/>
  <c r="BX236" i="1" s="1"/>
  <c r="AP236" i="1"/>
  <c r="BW236" i="1" s="1"/>
  <c r="AN233" i="1"/>
  <c r="BU233" i="1" s="1"/>
  <c r="AQ233" i="1"/>
  <c r="BX233" i="1" s="1"/>
  <c r="AM233" i="1"/>
  <c r="BT233" i="1" s="1"/>
  <c r="AP233" i="1"/>
  <c r="BW233" i="1" s="1"/>
  <c r="AO233" i="1"/>
  <c r="BV233" i="1" s="1"/>
  <c r="AQ242" i="1"/>
  <c r="BX242" i="1" s="1"/>
  <c r="AM242" i="1"/>
  <c r="BT242" i="1" s="1"/>
  <c r="CE242" i="1" s="1"/>
  <c r="AP242" i="1"/>
  <c r="BW242" i="1" s="1"/>
  <c r="AO242" i="1"/>
  <c r="BV242" i="1" s="1"/>
  <c r="AN242" i="1"/>
  <c r="BU242" i="1" s="1"/>
  <c r="AQ306" i="1"/>
  <c r="BX306" i="1" s="1"/>
  <c r="AM306" i="1"/>
  <c r="BT306" i="1" s="1"/>
  <c r="AN306" i="1"/>
  <c r="BU306" i="1" s="1"/>
  <c r="AP306" i="1"/>
  <c r="BW306" i="1" s="1"/>
  <c r="AO306" i="1"/>
  <c r="BV306" i="1" s="1"/>
  <c r="AP303" i="1"/>
  <c r="BW303" i="1" s="1"/>
  <c r="AQ303" i="1"/>
  <c r="BX303" i="1" s="1"/>
  <c r="AM303" i="1"/>
  <c r="BT303" i="1" s="1"/>
  <c r="AO303" i="1"/>
  <c r="BV303" i="1" s="1"/>
  <c r="AN303" i="1"/>
  <c r="BU303" i="1" s="1"/>
  <c r="AN192" i="1"/>
  <c r="BU192" i="1" s="1"/>
  <c r="AO192" i="1"/>
  <c r="BV192" i="1" s="1"/>
  <c r="AQ192" i="1"/>
  <c r="BX192" i="1" s="1"/>
  <c r="AP192" i="1"/>
  <c r="BW192" i="1" s="1"/>
  <c r="AQ193" i="1"/>
  <c r="BX193" i="1" s="1"/>
  <c r="AM193" i="1"/>
  <c r="BT193" i="1" s="1"/>
  <c r="AN193" i="1"/>
  <c r="BU193" i="1" s="1"/>
  <c r="AP193" i="1"/>
  <c r="BW193" i="1" s="1"/>
  <c r="AO193" i="1"/>
  <c r="BV193" i="1" s="1"/>
  <c r="AO191" i="1"/>
  <c r="BV191" i="1" s="1"/>
  <c r="AP191" i="1"/>
  <c r="BW191" i="1" s="1"/>
  <c r="AN191" i="1"/>
  <c r="BU191" i="1" s="1"/>
  <c r="AM191" i="1"/>
  <c r="BT191" i="1" s="1"/>
  <c r="AQ191" i="1"/>
  <c r="BX191" i="1" s="1"/>
  <c r="AP285" i="1"/>
  <c r="BW285" i="1" s="1"/>
  <c r="AQ285" i="1"/>
  <c r="BX285" i="1" s="1"/>
  <c r="AO285" i="1"/>
  <c r="BV285" i="1" s="1"/>
  <c r="AN285" i="1"/>
  <c r="BU285" i="1" s="1"/>
  <c r="AM285" i="1"/>
  <c r="BT285" i="1" s="1"/>
  <c r="AP288" i="1"/>
  <c r="BW288" i="1" s="1"/>
  <c r="AO288" i="1"/>
  <c r="BV288" i="1" s="1"/>
  <c r="AN288" i="1"/>
  <c r="BU288" i="1" s="1"/>
  <c r="AQ288" i="1"/>
  <c r="BX288" i="1" s="1"/>
  <c r="AQ295" i="1"/>
  <c r="BX295" i="1" s="1"/>
  <c r="AM295" i="1"/>
  <c r="BT295" i="1" s="1"/>
  <c r="AP295" i="1"/>
  <c r="BW295" i="1" s="1"/>
  <c r="AO295" i="1"/>
  <c r="BV295" i="1" s="1"/>
  <c r="AN295" i="1"/>
  <c r="BU295" i="1" s="1"/>
  <c r="AN170" i="1"/>
  <c r="AO170" i="1"/>
  <c r="AQ170" i="1"/>
  <c r="BX170" i="1" s="1"/>
  <c r="AP170" i="1"/>
  <c r="BW170" i="1" s="1"/>
  <c r="AQ179" i="1"/>
  <c r="BX179" i="1" s="1"/>
  <c r="AN179" i="1"/>
  <c r="AP179" i="1"/>
  <c r="BW179" i="1" s="1"/>
  <c r="AO179" i="1"/>
  <c r="AP176" i="1"/>
  <c r="BW176" i="1" s="1"/>
  <c r="AQ176" i="1"/>
  <c r="BX176" i="1" s="1"/>
  <c r="AM176" i="1"/>
  <c r="AO176" i="1"/>
  <c r="AN176" i="1"/>
  <c r="AO173" i="1"/>
  <c r="AP173" i="1"/>
  <c r="BW173" i="1" s="1"/>
  <c r="AQ173" i="1"/>
  <c r="BX173" i="1" s="1"/>
  <c r="AN173" i="1"/>
  <c r="AM173" i="1"/>
  <c r="D43" i="5"/>
  <c r="E43" i="5" s="1"/>
  <c r="D44" i="5"/>
  <c r="E44" i="5" s="1"/>
  <c r="D38" i="5"/>
  <c r="E38" i="5" s="1"/>
  <c r="D41" i="5"/>
  <c r="E41" i="5" s="1"/>
  <c r="D42" i="5"/>
  <c r="E42" i="5" s="1"/>
  <c r="D45" i="5"/>
  <c r="E45" i="5" s="1"/>
  <c r="D46" i="5"/>
  <c r="E46" i="5" s="1"/>
  <c r="D34" i="5"/>
  <c r="E34" i="5" s="1"/>
  <c r="D33" i="5"/>
  <c r="E33" i="5" s="1"/>
  <c r="D35" i="5"/>
  <c r="E35" i="5" s="1"/>
  <c r="D32" i="5"/>
  <c r="E32" i="5" s="1"/>
  <c r="D37" i="5"/>
  <c r="E37" i="5" s="1"/>
  <c r="D36" i="5"/>
  <c r="E36" i="5" s="1"/>
  <c r="AD258" i="1"/>
  <c r="AD232" i="1"/>
  <c r="AD297" i="1"/>
  <c r="AD245" i="1"/>
  <c r="AD103" i="1"/>
  <c r="AD90" i="1"/>
  <c r="AD180" i="1"/>
  <c r="AD284" i="1"/>
  <c r="AD219" i="1"/>
  <c r="AD271" i="1"/>
  <c r="AD25" i="1"/>
  <c r="AD142" i="1"/>
  <c r="AD116" i="1"/>
  <c r="AD310" i="1"/>
  <c r="AD77" i="1"/>
  <c r="AD64" i="1"/>
  <c r="AD323" i="1"/>
  <c r="AD193" i="1"/>
  <c r="AD206" i="1"/>
  <c r="AD51" i="1"/>
  <c r="AD38" i="1"/>
  <c r="AD155" i="1"/>
  <c r="AL289" i="1"/>
  <c r="AL237" i="1"/>
  <c r="AL190" i="1"/>
  <c r="AL302" i="1"/>
  <c r="AL281" i="1"/>
  <c r="AL293" i="1"/>
  <c r="AL241" i="1"/>
  <c r="AL320" i="1"/>
  <c r="AL175" i="1"/>
  <c r="AL233" i="1"/>
  <c r="AL183" i="1"/>
  <c r="AL260" i="1"/>
  <c r="AL200" i="1"/>
  <c r="AL217" i="1"/>
  <c r="AL285" i="1"/>
  <c r="AL280" i="1"/>
  <c r="AL170" i="1"/>
  <c r="AL224" i="1"/>
  <c r="AL303" i="1"/>
  <c r="AL311" i="1"/>
  <c r="AL203" i="1"/>
  <c r="AL282" i="1"/>
  <c r="AL213" i="1"/>
  <c r="AL295" i="1"/>
  <c r="AL252" i="1"/>
  <c r="AL215" i="1"/>
  <c r="AL259" i="1"/>
  <c r="AL306" i="1"/>
  <c r="AL195" i="1"/>
  <c r="AL231" i="1"/>
  <c r="AL207" i="1"/>
  <c r="AL296" i="1"/>
  <c r="AL239" i="1"/>
  <c r="AL229" i="1"/>
  <c r="AL201" i="1"/>
  <c r="AL274" i="1"/>
  <c r="AL278" i="1"/>
  <c r="AL196" i="1"/>
  <c r="AL182" i="1"/>
  <c r="AL317" i="1"/>
  <c r="AL242" i="1"/>
  <c r="AL194" i="1"/>
  <c r="AL218" i="1"/>
  <c r="AL257" i="1"/>
  <c r="AL319" i="1"/>
  <c r="AL307" i="1"/>
  <c r="AL248" i="1"/>
  <c r="AL262" i="1"/>
  <c r="AL304" i="1"/>
  <c r="AL205" i="1"/>
  <c r="AL275" i="1"/>
  <c r="AL265" i="1"/>
  <c r="AL246" i="1"/>
  <c r="AL322" i="1"/>
  <c r="AL169" i="1"/>
  <c r="AL294" i="1"/>
  <c r="AL301" i="1"/>
  <c r="AL202" i="1"/>
  <c r="AL189" i="1"/>
  <c r="AL186" i="1"/>
  <c r="AL204" i="1"/>
  <c r="AL220" i="1"/>
  <c r="AL299" i="1"/>
  <c r="AL214" i="1"/>
  <c r="AL185" i="1"/>
  <c r="AL199" i="1"/>
  <c r="AL298" i="1"/>
  <c r="AL247" i="1"/>
  <c r="AL292" i="1"/>
  <c r="AL277" i="1"/>
  <c r="AL251" i="1"/>
  <c r="AL308" i="1"/>
  <c r="AL250" i="1"/>
  <c r="AL264" i="1"/>
  <c r="AL291" i="1"/>
  <c r="AL243" i="1"/>
  <c r="AL253" i="1"/>
  <c r="AL212" i="1"/>
  <c r="AL290" i="1"/>
  <c r="AL238" i="1"/>
  <c r="AL321" i="1"/>
  <c r="AL266" i="1"/>
  <c r="AL211" i="1"/>
  <c r="AL316" i="1"/>
  <c r="AL223" i="1"/>
  <c r="AL191" i="1"/>
  <c r="AL173" i="1"/>
  <c r="AL226" i="1"/>
  <c r="AL249" i="1"/>
  <c r="AL309" i="1"/>
  <c r="AL270" i="1"/>
  <c r="AL269" i="1"/>
  <c r="AL210" i="1"/>
  <c r="AL288" i="1"/>
  <c r="AL236" i="1"/>
  <c r="AL171" i="1"/>
  <c r="AL230" i="1"/>
  <c r="AL263" i="1"/>
  <c r="AL179" i="1"/>
  <c r="AL227" i="1"/>
  <c r="AL305" i="1"/>
  <c r="AL240" i="1"/>
  <c r="AL254" i="1"/>
  <c r="AL268" i="1"/>
  <c r="AL209" i="1"/>
  <c r="AL287" i="1"/>
  <c r="AL235" i="1"/>
  <c r="AL314" i="1"/>
  <c r="AL174" i="1"/>
  <c r="AL172" i="1"/>
  <c r="AL177" i="1"/>
  <c r="AL187" i="1"/>
  <c r="AL276" i="1"/>
  <c r="AL225" i="1"/>
  <c r="AL261" i="1"/>
  <c r="AL244" i="1"/>
  <c r="AL318" i="1"/>
  <c r="AL181" i="1"/>
  <c r="AL279" i="1"/>
  <c r="AL228" i="1"/>
  <c r="AL216" i="1"/>
  <c r="AL256" i="1"/>
  <c r="AL255" i="1"/>
  <c r="AL315" i="1"/>
  <c r="AL168" i="1"/>
  <c r="AL198" i="1"/>
  <c r="AL188" i="1"/>
  <c r="AL178" i="1"/>
  <c r="AL197" i="1"/>
  <c r="AL272" i="1"/>
  <c r="AL221" i="1"/>
  <c r="AL300" i="1"/>
  <c r="AL283" i="1"/>
  <c r="AL312" i="1"/>
  <c r="AL267" i="1"/>
  <c r="AL208" i="1"/>
  <c r="AL286" i="1"/>
  <c r="AL234" i="1"/>
  <c r="O14" i="5"/>
  <c r="O17" i="5" s="1"/>
  <c r="BQ121" i="1" l="1"/>
  <c r="BW121" i="1"/>
  <c r="BO118" i="1"/>
  <c r="BU118" i="1"/>
  <c r="BU121" i="1"/>
  <c r="BO121" i="1"/>
  <c r="BQ118" i="1"/>
  <c r="BW118" i="1"/>
  <c r="BP118" i="1"/>
  <c r="BV118" i="1"/>
  <c r="BX118" i="1"/>
  <c r="BR118" i="1"/>
  <c r="BR121" i="1"/>
  <c r="BX121" i="1"/>
  <c r="BP121" i="1"/>
  <c r="BV121" i="1"/>
  <c r="BV188" i="1"/>
  <c r="BU188" i="1"/>
  <c r="BU238" i="1"/>
  <c r="BV238" i="1"/>
  <c r="BT238" i="1"/>
  <c r="BU173" i="1"/>
  <c r="BU176" i="1"/>
  <c r="BU169" i="1"/>
  <c r="BV172" i="1"/>
  <c r="BV175" i="1"/>
  <c r="BV178" i="1"/>
  <c r="BU168" i="1"/>
  <c r="BV174" i="1"/>
  <c r="BT177" i="1"/>
  <c r="BU180" i="1"/>
  <c r="BV176" i="1"/>
  <c r="BV179" i="1"/>
  <c r="BV170" i="1"/>
  <c r="BT172" i="1"/>
  <c r="BT178" i="1"/>
  <c r="BU178" i="1"/>
  <c r="BV168" i="1"/>
  <c r="BV171" i="1"/>
  <c r="BU174" i="1"/>
  <c r="BU177" i="1"/>
  <c r="BV180" i="1"/>
  <c r="BT176" i="1"/>
  <c r="BU170" i="1"/>
  <c r="BV169" i="1"/>
  <c r="BU175" i="1"/>
  <c r="BT168" i="1"/>
  <c r="BT180" i="1"/>
  <c r="BT173" i="1"/>
  <c r="BV173" i="1"/>
  <c r="BU179" i="1"/>
  <c r="BT169" i="1"/>
  <c r="BU172" i="1"/>
  <c r="BT175" i="1"/>
  <c r="BU171" i="1"/>
  <c r="BT174" i="1"/>
  <c r="BV177" i="1"/>
  <c r="BW33" i="1"/>
  <c r="BX33" i="1"/>
  <c r="CE87" i="1"/>
  <c r="BW21" i="1"/>
  <c r="BV17" i="1"/>
  <c r="BX24" i="1"/>
  <c r="BT18" i="1"/>
  <c r="BV24" i="1"/>
  <c r="BX46" i="1"/>
  <c r="BU16" i="1"/>
  <c r="BT20" i="1"/>
  <c r="BV19" i="1"/>
  <c r="BW15" i="1"/>
  <c r="BT22" i="1"/>
  <c r="BT19" i="1"/>
  <c r="BV23" i="1"/>
  <c r="BU13" i="1"/>
  <c r="BW19" i="1"/>
  <c r="BX19" i="1"/>
  <c r="BV14" i="1"/>
  <c r="BX16" i="1"/>
  <c r="BU15" i="1"/>
  <c r="BW46" i="1"/>
  <c r="BT14" i="1"/>
  <c r="BU18" i="1"/>
  <c r="BW24" i="1"/>
  <c r="BV18" i="1"/>
  <c r="BX25" i="1"/>
  <c r="BW25" i="1"/>
  <c r="BX21" i="1"/>
  <c r="BW23" i="1"/>
  <c r="BU19" i="1"/>
  <c r="BT17" i="1"/>
  <c r="BX13" i="1"/>
  <c r="BV15" i="1"/>
  <c r="BX14" i="1"/>
  <c r="BU21" i="1"/>
  <c r="BW14" i="1"/>
  <c r="BT21" i="1"/>
  <c r="BX17" i="1"/>
  <c r="BW13" i="1"/>
  <c r="BX18" i="1"/>
  <c r="BX15" i="1"/>
  <c r="BU22" i="1"/>
  <c r="BV16" i="1"/>
  <c r="BX22" i="1"/>
  <c r="BW17" i="1"/>
  <c r="BW22" i="1"/>
  <c r="BW16" i="1"/>
  <c r="BT23" i="1"/>
  <c r="BV13" i="1"/>
  <c r="BV25" i="1"/>
  <c r="BU24" i="1"/>
  <c r="BV22" i="1"/>
  <c r="BU17" i="1"/>
  <c r="BX23" i="1"/>
  <c r="BU14" i="1"/>
  <c r="BV21" i="1"/>
  <c r="BU25" i="1"/>
  <c r="BW18" i="1"/>
  <c r="BU23" i="1"/>
  <c r="BT13" i="1"/>
  <c r="AR165" i="1"/>
  <c r="BN165" i="1"/>
  <c r="BT165" i="1"/>
  <c r="BX124" i="1"/>
  <c r="BR124" i="1"/>
  <c r="BQ161" i="1"/>
  <c r="BW161" i="1"/>
  <c r="BO157" i="1"/>
  <c r="BU157" i="1"/>
  <c r="AR161" i="1"/>
  <c r="BN161" i="1"/>
  <c r="BT161" i="1"/>
  <c r="BO165" i="1"/>
  <c r="BU165" i="1"/>
  <c r="BR161" i="1"/>
  <c r="BX161" i="1"/>
  <c r="BV124" i="1"/>
  <c r="BP124" i="1"/>
  <c r="BQ165" i="1"/>
  <c r="BW165" i="1"/>
  <c r="BR157" i="1"/>
  <c r="BX157" i="1"/>
  <c r="BP161" i="1"/>
  <c r="BV161" i="1"/>
  <c r="BU124" i="1"/>
  <c r="BO124" i="1"/>
  <c r="BQ124" i="1"/>
  <c r="BW124" i="1"/>
  <c r="BP165" i="1"/>
  <c r="BV165" i="1"/>
  <c r="BR165" i="1"/>
  <c r="BX165" i="1"/>
  <c r="BQ157" i="1"/>
  <c r="BW157" i="1"/>
  <c r="BP157" i="1"/>
  <c r="BV157" i="1"/>
  <c r="BO161" i="1"/>
  <c r="BU161" i="1"/>
  <c r="AR157" i="1"/>
  <c r="BN157" i="1"/>
  <c r="BT157" i="1"/>
  <c r="BT108" i="1"/>
  <c r="BN108" i="1"/>
  <c r="BY154" i="1"/>
  <c r="BY142" i="1"/>
  <c r="BX122" i="1"/>
  <c r="BR122" i="1"/>
  <c r="BV123" i="1"/>
  <c r="BP123" i="1"/>
  <c r="BV126" i="1"/>
  <c r="BP126" i="1"/>
  <c r="AR128" i="1"/>
  <c r="BU128" i="1"/>
  <c r="BO128" i="1"/>
  <c r="BW126" i="1"/>
  <c r="BQ126" i="1"/>
  <c r="BU117" i="1"/>
  <c r="BO117" i="1"/>
  <c r="BT121" i="1"/>
  <c r="AR121" i="1"/>
  <c r="BN121" i="1"/>
  <c r="BS121" i="1" s="1"/>
  <c r="BX119" i="1"/>
  <c r="BR119" i="1"/>
  <c r="BX117" i="1"/>
  <c r="BR117" i="1"/>
  <c r="BU125" i="1"/>
  <c r="BO125" i="1"/>
  <c r="BV128" i="1"/>
  <c r="BP128" i="1"/>
  <c r="BW119" i="1"/>
  <c r="BQ119" i="1"/>
  <c r="BT122" i="1"/>
  <c r="AR122" i="1"/>
  <c r="BN122" i="1"/>
  <c r="BT129" i="1"/>
  <c r="AR129" i="1"/>
  <c r="BN129" i="1"/>
  <c r="BU119" i="1"/>
  <c r="AR119" i="1"/>
  <c r="BO119" i="1"/>
  <c r="BX120" i="1"/>
  <c r="BR120" i="1"/>
  <c r="BX128" i="1"/>
  <c r="BR128" i="1"/>
  <c r="BU123" i="1"/>
  <c r="BO123" i="1"/>
  <c r="BW122" i="1"/>
  <c r="BQ122" i="1"/>
  <c r="BT117" i="1"/>
  <c r="AR117" i="1"/>
  <c r="BN117" i="1"/>
  <c r="BV119" i="1"/>
  <c r="BP119" i="1"/>
  <c r="BW129" i="1"/>
  <c r="BQ129" i="1"/>
  <c r="BW127" i="1"/>
  <c r="BQ127" i="1"/>
  <c r="BT118" i="1"/>
  <c r="AR118" i="1"/>
  <c r="BN118" i="1"/>
  <c r="BS118" i="1" s="1"/>
  <c r="BX126" i="1"/>
  <c r="BR126" i="1"/>
  <c r="BV127" i="1"/>
  <c r="BP127" i="1"/>
  <c r="BU129" i="1"/>
  <c r="BO129" i="1"/>
  <c r="AR120" i="1"/>
  <c r="BU120" i="1"/>
  <c r="BO120" i="1"/>
  <c r="BX125" i="1"/>
  <c r="BR125" i="1"/>
  <c r="BX129" i="1"/>
  <c r="BR129" i="1"/>
  <c r="BV125" i="1"/>
  <c r="BP125" i="1"/>
  <c r="BW117" i="1"/>
  <c r="BQ117" i="1"/>
  <c r="BT125" i="1"/>
  <c r="AR125" i="1"/>
  <c r="BN125" i="1"/>
  <c r="BT124" i="1"/>
  <c r="AR124" i="1"/>
  <c r="BN124" i="1"/>
  <c r="BV120" i="1"/>
  <c r="BP120" i="1"/>
  <c r="BX123" i="1"/>
  <c r="BR123" i="1"/>
  <c r="BV129" i="1"/>
  <c r="BP129" i="1"/>
  <c r="BV117" i="1"/>
  <c r="BP117" i="1"/>
  <c r="BW128" i="1"/>
  <c r="BQ128" i="1"/>
  <c r="BW123" i="1"/>
  <c r="BQ123" i="1"/>
  <c r="BU127" i="1"/>
  <c r="BO127" i="1"/>
  <c r="BT127" i="1"/>
  <c r="AR127" i="1"/>
  <c r="BN127" i="1"/>
  <c r="BX127" i="1"/>
  <c r="BR127" i="1"/>
  <c r="BV122" i="1"/>
  <c r="BP122" i="1"/>
  <c r="BW125" i="1"/>
  <c r="BQ125" i="1"/>
  <c r="BT123" i="1"/>
  <c r="AR123" i="1"/>
  <c r="BN123" i="1"/>
  <c r="BU126" i="1"/>
  <c r="AR126" i="1"/>
  <c r="BO126" i="1"/>
  <c r="BW120" i="1"/>
  <c r="BQ120" i="1"/>
  <c r="BU122" i="1"/>
  <c r="BO122" i="1"/>
  <c r="BY131" i="1"/>
  <c r="BY60" i="1"/>
  <c r="BY81" i="1"/>
  <c r="BY109" i="1"/>
  <c r="BY82" i="1"/>
  <c r="BY90" i="1"/>
  <c r="BY30" i="1"/>
  <c r="BY93" i="1"/>
  <c r="BY48" i="1"/>
  <c r="BY285" i="1"/>
  <c r="BY191" i="1"/>
  <c r="BY193" i="1"/>
  <c r="BY242" i="1"/>
  <c r="BY233" i="1"/>
  <c r="BY230" i="1"/>
  <c r="BY232" i="1"/>
  <c r="BY247" i="1"/>
  <c r="BY32" i="1"/>
  <c r="BY134" i="1"/>
  <c r="BY291" i="1"/>
  <c r="BY297" i="1"/>
  <c r="BY308" i="1"/>
  <c r="BY322" i="1"/>
  <c r="BY275" i="1"/>
  <c r="BY215" i="1"/>
  <c r="BY31" i="1"/>
  <c r="BY36" i="1"/>
  <c r="BY304" i="1"/>
  <c r="BY234" i="1"/>
  <c r="BY318" i="1"/>
  <c r="BY225" i="1"/>
  <c r="BY224" i="1"/>
  <c r="BY281" i="1"/>
  <c r="BY217" i="1"/>
  <c r="BY214" i="1"/>
  <c r="BY49" i="1"/>
  <c r="BY102" i="1"/>
  <c r="BY68" i="1"/>
  <c r="BY56" i="1"/>
  <c r="BY107" i="1"/>
  <c r="BY300" i="1"/>
  <c r="BY239" i="1"/>
  <c r="BY264" i="1"/>
  <c r="BY203" i="1"/>
  <c r="BY323" i="1"/>
  <c r="BY317" i="1"/>
  <c r="BY274" i="1"/>
  <c r="BY277" i="1"/>
  <c r="BY279" i="1"/>
  <c r="BY251" i="1"/>
  <c r="BY51" i="1"/>
  <c r="BY116" i="1"/>
  <c r="BY155" i="1"/>
  <c r="BY38" i="1"/>
  <c r="BY77" i="1"/>
  <c r="BY103" i="1"/>
  <c r="BY105" i="1"/>
  <c r="BY111" i="1"/>
  <c r="BY255" i="1"/>
  <c r="BY149" i="1"/>
  <c r="BY74" i="1"/>
  <c r="BY66" i="1"/>
  <c r="BY271" i="1"/>
  <c r="BY166" i="1"/>
  <c r="BY236" i="1"/>
  <c r="BY270" i="1"/>
  <c r="BY209" i="1"/>
  <c r="BY113" i="1"/>
  <c r="BY86" i="1"/>
  <c r="BY288" i="1"/>
  <c r="BY192" i="1"/>
  <c r="BY261" i="1"/>
  <c r="BY196" i="1"/>
  <c r="BY199" i="1"/>
  <c r="BY227" i="1"/>
  <c r="BY276" i="1"/>
  <c r="BY250" i="1"/>
  <c r="BY253" i="1"/>
  <c r="BY141" i="1"/>
  <c r="BY76" i="1"/>
  <c r="BY106" i="1"/>
  <c r="BY44" i="1"/>
  <c r="BY294" i="1"/>
  <c r="BY296" i="1"/>
  <c r="BY187" i="1"/>
  <c r="BY190" i="1"/>
  <c r="BY189" i="1"/>
  <c r="BY302" i="1"/>
  <c r="BY194" i="1"/>
  <c r="BY312" i="1"/>
  <c r="BY226" i="1"/>
  <c r="BY229" i="1"/>
  <c r="BY228" i="1"/>
  <c r="BY248" i="1"/>
  <c r="BY208" i="1"/>
  <c r="BY287" i="1"/>
  <c r="BY293" i="1"/>
  <c r="BY292" i="1"/>
  <c r="BY241" i="1"/>
  <c r="BY243" i="1"/>
  <c r="BY262" i="1"/>
  <c r="BY204" i="1"/>
  <c r="BY206" i="1"/>
  <c r="BY311" i="1"/>
  <c r="BY278" i="1"/>
  <c r="BY284" i="1"/>
  <c r="BY26" i="1"/>
  <c r="BY289" i="1"/>
  <c r="BY307" i="1"/>
  <c r="BY310" i="1"/>
  <c r="BY305" i="1"/>
  <c r="BY240" i="1"/>
  <c r="BY200" i="1"/>
  <c r="BY202" i="1"/>
  <c r="BY314" i="1"/>
  <c r="BY280" i="1"/>
  <c r="BY257" i="1"/>
  <c r="BY252" i="1"/>
  <c r="BY207" i="1"/>
  <c r="BY37" i="1"/>
  <c r="BY132" i="1"/>
  <c r="BY54" i="1"/>
  <c r="BY89" i="1"/>
  <c r="BY42" i="1"/>
  <c r="BY160" i="1"/>
  <c r="BY114" i="1"/>
  <c r="BY143" i="1"/>
  <c r="BY83" i="1"/>
  <c r="BY96" i="1"/>
  <c r="BY55" i="1"/>
  <c r="BY73" i="1"/>
  <c r="BY84" i="1"/>
  <c r="BY159" i="1"/>
  <c r="BY65" i="1"/>
  <c r="BY35" i="1"/>
  <c r="BY167" i="1"/>
  <c r="BY78" i="1"/>
  <c r="BY153" i="1"/>
  <c r="BY50" i="1"/>
  <c r="BY162" i="1"/>
  <c r="BY63" i="1"/>
  <c r="BY112" i="1"/>
  <c r="BY295" i="1"/>
  <c r="BY303" i="1"/>
  <c r="BY306" i="1"/>
  <c r="BY260" i="1"/>
  <c r="BY267" i="1"/>
  <c r="BY198" i="1"/>
  <c r="BY319" i="1"/>
  <c r="BY283" i="1"/>
  <c r="BY212" i="1"/>
  <c r="BY64" i="1"/>
  <c r="BY140" i="1"/>
  <c r="BY29" i="1"/>
  <c r="BY97" i="1"/>
  <c r="BY43" i="1"/>
  <c r="BY94" i="1"/>
  <c r="BY75" i="1"/>
  <c r="BY309" i="1"/>
  <c r="BY299" i="1"/>
  <c r="BY235" i="1"/>
  <c r="BY269" i="1"/>
  <c r="BY263" i="1"/>
  <c r="BY266" i="1"/>
  <c r="BY195" i="1"/>
  <c r="BY197" i="1"/>
  <c r="BY313" i="1"/>
  <c r="BY282" i="1"/>
  <c r="BY249" i="1"/>
  <c r="BY184" i="1"/>
  <c r="BY301" i="1"/>
  <c r="BY298" i="1"/>
  <c r="BY244" i="1"/>
  <c r="BY268" i="1"/>
  <c r="BY205" i="1"/>
  <c r="BY321" i="1"/>
  <c r="BY258" i="1"/>
  <c r="BY320" i="1"/>
  <c r="BY231" i="1"/>
  <c r="BY254" i="1"/>
  <c r="BY216" i="1"/>
  <c r="BY27" i="1"/>
  <c r="BY41" i="1"/>
  <c r="BY146" i="1"/>
  <c r="BY145" i="1"/>
  <c r="BY39" i="1"/>
  <c r="BY45" i="1"/>
  <c r="BY70" i="1"/>
  <c r="BY101" i="1"/>
  <c r="BY138" i="1"/>
  <c r="BY158" i="1"/>
  <c r="BY150" i="1"/>
  <c r="BY91" i="1"/>
  <c r="BY69" i="1"/>
  <c r="BY136" i="1"/>
  <c r="BY40" i="1"/>
  <c r="BY61" i="1"/>
  <c r="BY28" i="1"/>
  <c r="BY273" i="1"/>
  <c r="BY80" i="1"/>
  <c r="BY139" i="1"/>
  <c r="BY58" i="1"/>
  <c r="BY201" i="1"/>
  <c r="BY316" i="1"/>
  <c r="BY219" i="1"/>
  <c r="BY144" i="1"/>
  <c r="BY164" i="1"/>
  <c r="BY156" i="1"/>
  <c r="BY88" i="1"/>
  <c r="BY148" i="1"/>
  <c r="BY110" i="1"/>
  <c r="BY137" i="1"/>
  <c r="BY98" i="1"/>
  <c r="BY79" i="1"/>
  <c r="BY163" i="1"/>
  <c r="BY245" i="1"/>
  <c r="BY315" i="1"/>
  <c r="BY223" i="1"/>
  <c r="BY272" i="1"/>
  <c r="BY246" i="1"/>
  <c r="BY218" i="1"/>
  <c r="BY213" i="1"/>
  <c r="BY57" i="1"/>
  <c r="BY152" i="1"/>
  <c r="BY67" i="1"/>
  <c r="BY47" i="1"/>
  <c r="BY52" i="1"/>
  <c r="BY85" i="1"/>
  <c r="BY133" i="1"/>
  <c r="BY130" i="1"/>
  <c r="BY99" i="1"/>
  <c r="BY151" i="1"/>
  <c r="BY135" i="1"/>
  <c r="BY62" i="1"/>
  <c r="BY92" i="1"/>
  <c r="BY290" i="1"/>
  <c r="BY183" i="1"/>
  <c r="BY186" i="1"/>
  <c r="BY185" i="1"/>
  <c r="BY259" i="1"/>
  <c r="BY222" i="1"/>
  <c r="BY256" i="1"/>
  <c r="BY211" i="1"/>
  <c r="BY71" i="1"/>
  <c r="BY53" i="1"/>
  <c r="BY104" i="1"/>
  <c r="BY95" i="1"/>
  <c r="BY147" i="1"/>
  <c r="BY87" i="1"/>
  <c r="BY59" i="1"/>
  <c r="BY72" i="1"/>
  <c r="BY100" i="1"/>
  <c r="BY286" i="1"/>
  <c r="BY182" i="1"/>
  <c r="BY181" i="1"/>
  <c r="BY237" i="1"/>
  <c r="BY265" i="1"/>
  <c r="BY221" i="1"/>
  <c r="BY220" i="1"/>
  <c r="BY210" i="1"/>
  <c r="BY34" i="1"/>
  <c r="BY115" i="1"/>
  <c r="C12" i="49"/>
  <c r="C14" i="49" s="1"/>
  <c r="AR20" i="1"/>
  <c r="AR15" i="1"/>
  <c r="AR82" i="1"/>
  <c r="AR51" i="1"/>
  <c r="AR29" i="1"/>
  <c r="AR93" i="1"/>
  <c r="AR94" i="1"/>
  <c r="AR24" i="1"/>
  <c r="AR31" i="1"/>
  <c r="AR60" i="1"/>
  <c r="AR154" i="1"/>
  <c r="AR81" i="1"/>
  <c r="AR140" i="1"/>
  <c r="AR68" i="1"/>
  <c r="AR180" i="1"/>
  <c r="AR286" i="1"/>
  <c r="AR307" i="1"/>
  <c r="AR320" i="1"/>
  <c r="AR323" i="1"/>
  <c r="AR216" i="1"/>
  <c r="AR207" i="1"/>
  <c r="AR76" i="1"/>
  <c r="AR106" i="1"/>
  <c r="AR75" i="1"/>
  <c r="AR130" i="1"/>
  <c r="AR48" i="1"/>
  <c r="AR253" i="1"/>
  <c r="AR64" i="1"/>
  <c r="AR45" i="1"/>
  <c r="AR168" i="1"/>
  <c r="AR287" i="1"/>
  <c r="AR290" i="1"/>
  <c r="AR293" i="1"/>
  <c r="AR292" i="1"/>
  <c r="AR259" i="1"/>
  <c r="AR44" i="1"/>
  <c r="AR109" i="1"/>
  <c r="AR54" i="1"/>
  <c r="AR97" i="1"/>
  <c r="AR190" i="1"/>
  <c r="AR302" i="1"/>
  <c r="AR238" i="1"/>
  <c r="AR245" i="1"/>
  <c r="AR235" i="1"/>
  <c r="AR176" i="1"/>
  <c r="AR191" i="1"/>
  <c r="AR193" i="1"/>
  <c r="AR236" i="1"/>
  <c r="AR270" i="1"/>
  <c r="AR198" i="1"/>
  <c r="AR201" i="1"/>
  <c r="AR43" i="1"/>
  <c r="AR134" i="1"/>
  <c r="AR194" i="1"/>
  <c r="AR322" i="1"/>
  <c r="AR223" i="1"/>
  <c r="AR275" i="1"/>
  <c r="AR246" i="1"/>
  <c r="AR213" i="1"/>
  <c r="AR222" i="1"/>
  <c r="AR258" i="1"/>
  <c r="AR179" i="1"/>
  <c r="AR141" i="1"/>
  <c r="AR296" i="1"/>
  <c r="AR189" i="1"/>
  <c r="AR188" i="1"/>
  <c r="AR263" i="1"/>
  <c r="AR266" i="1"/>
  <c r="AR195" i="1"/>
  <c r="AR197" i="1"/>
  <c r="AR248" i="1"/>
  <c r="AR249" i="1"/>
  <c r="AR90" i="1"/>
  <c r="AR30" i="1"/>
  <c r="AR164" i="1"/>
  <c r="AR77" i="1"/>
  <c r="AR173" i="1"/>
  <c r="AR192" i="1"/>
  <c r="AR303" i="1"/>
  <c r="AR199" i="1"/>
  <c r="AR103" i="1"/>
  <c r="AR170" i="1"/>
  <c r="AR295" i="1"/>
  <c r="AR288" i="1"/>
  <c r="AR306" i="1"/>
  <c r="AR233" i="1"/>
  <c r="AR260" i="1"/>
  <c r="AR267" i="1"/>
  <c r="AR261" i="1"/>
  <c r="AR283" i="1"/>
  <c r="AR250" i="1"/>
  <c r="AR212" i="1"/>
  <c r="AR14" i="1"/>
  <c r="AR312" i="1"/>
  <c r="AR315" i="1"/>
  <c r="AR313" i="1"/>
  <c r="AR226" i="1"/>
  <c r="AR229" i="1"/>
  <c r="AR228" i="1"/>
  <c r="AR272" i="1"/>
  <c r="AR208" i="1"/>
  <c r="AR142" i="1"/>
  <c r="AR57" i="1"/>
  <c r="AR17" i="1"/>
  <c r="AR67" i="1"/>
  <c r="AR47" i="1"/>
  <c r="AR52" i="1"/>
  <c r="AR85" i="1"/>
  <c r="AR116" i="1"/>
  <c r="AR155" i="1"/>
  <c r="AR316" i="1"/>
  <c r="AR319" i="1"/>
  <c r="AR160" i="1"/>
  <c r="AR65" i="1"/>
  <c r="AR172" i="1"/>
  <c r="AR178" i="1"/>
  <c r="AR291" i="1"/>
  <c r="AR294" i="1"/>
  <c r="AR297" i="1"/>
  <c r="AR187" i="1"/>
  <c r="AR308" i="1"/>
  <c r="AR309" i="1"/>
  <c r="AR299" i="1"/>
  <c r="AR25" i="1"/>
  <c r="AR38" i="1"/>
  <c r="AR18" i="1"/>
  <c r="AR36" i="1"/>
  <c r="AR50" i="1"/>
  <c r="AR159" i="1"/>
  <c r="AR99" i="1"/>
  <c r="AR151" i="1"/>
  <c r="AR105" i="1"/>
  <c r="AR135" i="1"/>
  <c r="AR111" i="1"/>
  <c r="AR78" i="1"/>
  <c r="AR33" i="1"/>
  <c r="AR171" i="1"/>
  <c r="AR174" i="1"/>
  <c r="AR185" i="1"/>
  <c r="AR304" i="1"/>
  <c r="AR243" i="1"/>
  <c r="AR262" i="1"/>
  <c r="AR71" i="1"/>
  <c r="AR16" i="1"/>
  <c r="AR88" i="1"/>
  <c r="AR22" i="1"/>
  <c r="AR53" i="1"/>
  <c r="AR104" i="1"/>
  <c r="AR95" i="1"/>
  <c r="AR147" i="1"/>
  <c r="AR87" i="1"/>
  <c r="AR59" i="1"/>
  <c r="AR72" i="1"/>
  <c r="AR100" i="1"/>
  <c r="AR182" i="1"/>
  <c r="AR305" i="1"/>
  <c r="AR221" i="1"/>
  <c r="AR220" i="1"/>
  <c r="AR274" i="1"/>
  <c r="AR254" i="1"/>
  <c r="AR252" i="1"/>
  <c r="AR210" i="1"/>
  <c r="AR46" i="1"/>
  <c r="AR34" i="1"/>
  <c r="AR115" i="1"/>
  <c r="AR285" i="1"/>
  <c r="AR242" i="1"/>
  <c r="AR196" i="1"/>
  <c r="AR230" i="1"/>
  <c r="AR232" i="1"/>
  <c r="AR227" i="1"/>
  <c r="AR273" i="1"/>
  <c r="AR276" i="1"/>
  <c r="AR247" i="1"/>
  <c r="AR219" i="1"/>
  <c r="AR209" i="1"/>
  <c r="AR32" i="1"/>
  <c r="AR148" i="1"/>
  <c r="AR110" i="1"/>
  <c r="AR137" i="1"/>
  <c r="AR98" i="1"/>
  <c r="AR79" i="1"/>
  <c r="AR163" i="1"/>
  <c r="AR169" i="1"/>
  <c r="AR175" i="1"/>
  <c r="AR269" i="1"/>
  <c r="AR282" i="1"/>
  <c r="AR215" i="1"/>
  <c r="AR218" i="1"/>
  <c r="AR183" i="1"/>
  <c r="AR184" i="1"/>
  <c r="AR301" i="1"/>
  <c r="AR234" i="1"/>
  <c r="AR241" i="1"/>
  <c r="AR204" i="1"/>
  <c r="AR206" i="1"/>
  <c r="AR311" i="1"/>
  <c r="AR318" i="1"/>
  <c r="AR225" i="1"/>
  <c r="AR224" i="1"/>
  <c r="AR278" i="1"/>
  <c r="AR281" i="1"/>
  <c r="AR284" i="1"/>
  <c r="AR255" i="1"/>
  <c r="AR256" i="1"/>
  <c r="AR217" i="1"/>
  <c r="AR26" i="1"/>
  <c r="AR177" i="1"/>
  <c r="AR289" i="1"/>
  <c r="AR310" i="1"/>
  <c r="AR237" i="1"/>
  <c r="AR240" i="1"/>
  <c r="AR265" i="1"/>
  <c r="AR314" i="1"/>
  <c r="AR231" i="1"/>
  <c r="AR257" i="1"/>
  <c r="AR37" i="1"/>
  <c r="AR146" i="1"/>
  <c r="AR145" i="1"/>
  <c r="AR39" i="1"/>
  <c r="AR70" i="1"/>
  <c r="AR131" i="1"/>
  <c r="AR152" i="1"/>
  <c r="AR114" i="1"/>
  <c r="AR167" i="1"/>
  <c r="AR143" i="1"/>
  <c r="AR108" i="1"/>
  <c r="AR83" i="1"/>
  <c r="AR96" i="1"/>
  <c r="AR23" i="1"/>
  <c r="AR55" i="1"/>
  <c r="AR84" i="1"/>
  <c r="AR144" i="1"/>
  <c r="AR162" i="1"/>
  <c r="AR62" i="1"/>
  <c r="AR92" i="1"/>
  <c r="AR139" i="1"/>
  <c r="AR186" i="1"/>
  <c r="AR298" i="1"/>
  <c r="AR244" i="1"/>
  <c r="AR268" i="1"/>
  <c r="AR205" i="1"/>
  <c r="AR321" i="1"/>
  <c r="AR211" i="1"/>
  <c r="AR214" i="1"/>
  <c r="AR49" i="1"/>
  <c r="AR21" i="1"/>
  <c r="AR149" i="1"/>
  <c r="AR63" i="1"/>
  <c r="AR35" i="1"/>
  <c r="AR74" i="1"/>
  <c r="AR133" i="1"/>
  <c r="AR102" i="1"/>
  <c r="AR80" i="1"/>
  <c r="AR156" i="1"/>
  <c r="AR101" i="1"/>
  <c r="AR73" i="1"/>
  <c r="AR153" i="1"/>
  <c r="AR58" i="1"/>
  <c r="AR19" i="1"/>
  <c r="AR66" i="1"/>
  <c r="AR107" i="1"/>
  <c r="AR181" i="1"/>
  <c r="AR300" i="1"/>
  <c r="AR239" i="1"/>
  <c r="AR264" i="1"/>
  <c r="AR271" i="1"/>
  <c r="AR200" i="1"/>
  <c r="AR203" i="1"/>
  <c r="AR202" i="1"/>
  <c r="AR317" i="1"/>
  <c r="AR277" i="1"/>
  <c r="AR280" i="1"/>
  <c r="AR279" i="1"/>
  <c r="AR251" i="1"/>
  <c r="AR166" i="1"/>
  <c r="AR112" i="1"/>
  <c r="AR13" i="1"/>
  <c r="AR27" i="1"/>
  <c r="AR41" i="1"/>
  <c r="AR132" i="1"/>
  <c r="AR89" i="1"/>
  <c r="AR42" i="1"/>
  <c r="AR56" i="1"/>
  <c r="AR138" i="1"/>
  <c r="AR158" i="1"/>
  <c r="AR113" i="1"/>
  <c r="AR150" i="1"/>
  <c r="AR91" i="1"/>
  <c r="AR69" i="1"/>
  <c r="AR136" i="1"/>
  <c r="AR86" i="1"/>
  <c r="AR40" i="1"/>
  <c r="AR61" i="1"/>
  <c r="AR28" i="1"/>
  <c r="BQ190" i="1"/>
  <c r="CH190" i="1" s="1"/>
  <c r="BR175" i="1"/>
  <c r="CI175" i="1" s="1"/>
  <c r="BQ186" i="1"/>
  <c r="CH186" i="1" s="1"/>
  <c r="BR202" i="1"/>
  <c r="CI202" i="1" s="1"/>
  <c r="BR279" i="1"/>
  <c r="CI279" i="1" s="1"/>
  <c r="BQ224" i="1"/>
  <c r="CH224" i="1" s="1"/>
  <c r="BQ229" i="1"/>
  <c r="CH229" i="1" s="1"/>
  <c r="BR283" i="1"/>
  <c r="CI283" i="1" s="1"/>
  <c r="BQ228" i="1"/>
  <c r="CH228" i="1" s="1"/>
  <c r="BQ298" i="1"/>
  <c r="CH298" i="1" s="1"/>
  <c r="BR171" i="1"/>
  <c r="CI171" i="1" s="1"/>
  <c r="BR176" i="1"/>
  <c r="CI176" i="1" s="1"/>
  <c r="BQ187" i="1"/>
  <c r="CH187" i="1" s="1"/>
  <c r="BR203" i="1"/>
  <c r="CI203" i="1" s="1"/>
  <c r="BR280" i="1"/>
  <c r="CI280" i="1" s="1"/>
  <c r="BQ225" i="1"/>
  <c r="CH225" i="1" s="1"/>
  <c r="BR170" i="1"/>
  <c r="CI170" i="1" s="1"/>
  <c r="BQ181" i="1"/>
  <c r="CH181" i="1" s="1"/>
  <c r="BR184" i="1"/>
  <c r="CI184" i="1" s="1"/>
  <c r="BQ194" i="1"/>
  <c r="CH194" i="1" s="1"/>
  <c r="BR197" i="1"/>
  <c r="CI197" i="1" s="1"/>
  <c r="BR274" i="1"/>
  <c r="CI274" i="1" s="1"/>
  <c r="BR222" i="1"/>
  <c r="CI222" i="1" s="1"/>
  <c r="BR300" i="1"/>
  <c r="CI300" i="1" s="1"/>
  <c r="BR259" i="1"/>
  <c r="CI259" i="1" s="1"/>
  <c r="BQ216" i="1"/>
  <c r="CH216" i="1" s="1"/>
  <c r="BR246" i="1"/>
  <c r="CI246" i="1" s="1"/>
  <c r="BQ307" i="1"/>
  <c r="CH307" i="1" s="1"/>
  <c r="BR250" i="1"/>
  <c r="CI250" i="1" s="1"/>
  <c r="BQ260" i="1"/>
  <c r="CH260" i="1" s="1"/>
  <c r="BQ218" i="1"/>
  <c r="CH218" i="1" s="1"/>
  <c r="BR177" i="1"/>
  <c r="CI177" i="1" s="1"/>
  <c r="BQ188" i="1"/>
  <c r="CH188" i="1" s="1"/>
  <c r="BR191" i="1"/>
  <c r="CI191" i="1" s="1"/>
  <c r="BQ201" i="1"/>
  <c r="CH201" i="1" s="1"/>
  <c r="BR204" i="1"/>
  <c r="CI204" i="1" s="1"/>
  <c r="BQ278" i="1"/>
  <c r="CH278" i="1" s="1"/>
  <c r="BR281" i="1"/>
  <c r="CI281" i="1" s="1"/>
  <c r="BQ226" i="1"/>
  <c r="CH226" i="1" s="1"/>
  <c r="BR229" i="1"/>
  <c r="CI229" i="1" s="1"/>
  <c r="BQ304" i="1"/>
  <c r="CH304" i="1" s="1"/>
  <c r="BR307" i="1"/>
  <c r="CI307" i="1" s="1"/>
  <c r="BR257" i="1"/>
  <c r="CI257" i="1" s="1"/>
  <c r="BQ267" i="1"/>
  <c r="CH267" i="1" s="1"/>
  <c r="BQ253" i="1"/>
  <c r="CH253" i="1" s="1"/>
  <c r="BR256" i="1"/>
  <c r="CI256" i="1" s="1"/>
  <c r="BQ266" i="1"/>
  <c r="CH266" i="1" s="1"/>
  <c r="BR269" i="1"/>
  <c r="CI269" i="1" s="1"/>
  <c r="BR209" i="1"/>
  <c r="CI209" i="1" s="1"/>
  <c r="BQ285" i="1"/>
  <c r="CH285" i="1" s="1"/>
  <c r="BR207" i="1"/>
  <c r="CI207" i="1" s="1"/>
  <c r="BR215" i="1"/>
  <c r="CI215" i="1" s="1"/>
  <c r="BQ291" i="1"/>
  <c r="CH291" i="1" s="1"/>
  <c r="BQ296" i="1"/>
  <c r="CH296" i="1" s="1"/>
  <c r="BR260" i="1"/>
  <c r="CI260" i="1" s="1"/>
  <c r="BQ210" i="1"/>
  <c r="CH210" i="1" s="1"/>
  <c r="BR290" i="1"/>
  <c r="CI290" i="1" s="1"/>
  <c r="BQ295" i="1"/>
  <c r="CH295" i="1" s="1"/>
  <c r="BR210" i="1"/>
  <c r="CI210" i="1" s="1"/>
  <c r="BQ286" i="1"/>
  <c r="CH286" i="1" s="1"/>
  <c r="BR289" i="1"/>
  <c r="CI289" i="1" s="1"/>
  <c r="BQ233" i="1"/>
  <c r="CH233" i="1" s="1"/>
  <c r="BR236" i="1"/>
  <c r="CI236" i="1" s="1"/>
  <c r="BQ311" i="1"/>
  <c r="CH311" i="1" s="1"/>
  <c r="BR314" i="1"/>
  <c r="CI314" i="1" s="1"/>
  <c r="BQ320" i="1"/>
  <c r="CH320" i="1" s="1"/>
  <c r="BQ317" i="1"/>
  <c r="CH317" i="1" s="1"/>
  <c r="BR320" i="1"/>
  <c r="CI320" i="1" s="1"/>
  <c r="BR296" i="1"/>
  <c r="CI296" i="1" s="1"/>
  <c r="BQ240" i="1"/>
  <c r="CH240" i="1" s="1"/>
  <c r="BR243" i="1"/>
  <c r="CI243" i="1" s="1"/>
  <c r="BQ318" i="1"/>
  <c r="CH318" i="1" s="1"/>
  <c r="BR321" i="1"/>
  <c r="CI321" i="1" s="1"/>
  <c r="BQ169" i="1"/>
  <c r="CH169" i="1" s="1"/>
  <c r="BQ182" i="1"/>
  <c r="CH182" i="1" s="1"/>
  <c r="BQ173" i="1"/>
  <c r="CH173" i="1" s="1"/>
  <c r="BR181" i="1"/>
  <c r="CI181" i="1" s="1"/>
  <c r="BQ273" i="1"/>
  <c r="CH273" i="1" s="1"/>
  <c r="BR224" i="1"/>
  <c r="CI224" i="1" s="1"/>
  <c r="BQ272" i="1"/>
  <c r="CH272" i="1" s="1"/>
  <c r="BR223" i="1"/>
  <c r="CI223" i="1" s="1"/>
  <c r="BR301" i="1"/>
  <c r="CI301" i="1" s="1"/>
  <c r="BQ196" i="1"/>
  <c r="CH196" i="1" s="1"/>
  <c r="BR182" i="1"/>
  <c r="CI182" i="1" s="1"/>
  <c r="BR220" i="1"/>
  <c r="CI220" i="1" s="1"/>
  <c r="BR173" i="1"/>
  <c r="CI173" i="1" s="1"/>
  <c r="BQ171" i="1"/>
  <c r="CH171" i="1" s="1"/>
  <c r="BR174" i="1"/>
  <c r="CI174" i="1" s="1"/>
  <c r="BQ185" i="1"/>
  <c r="CH185" i="1" s="1"/>
  <c r="BR188" i="1"/>
  <c r="CI188" i="1" s="1"/>
  <c r="BQ198" i="1"/>
  <c r="CH198" i="1" s="1"/>
  <c r="BR201" i="1"/>
  <c r="CI201" i="1" s="1"/>
  <c r="BQ275" i="1"/>
  <c r="CH275" i="1" s="1"/>
  <c r="BR278" i="1"/>
  <c r="CI278" i="1" s="1"/>
  <c r="BQ223" i="1"/>
  <c r="CH223" i="1" s="1"/>
  <c r="BR226" i="1"/>
  <c r="CI226" i="1" s="1"/>
  <c r="BQ301" i="1"/>
  <c r="CH301" i="1" s="1"/>
  <c r="BR304" i="1"/>
  <c r="CI304" i="1" s="1"/>
  <c r="BQ246" i="1"/>
  <c r="CH246" i="1" s="1"/>
  <c r="BQ251" i="1"/>
  <c r="CH251" i="1" s="1"/>
  <c r="BR267" i="1"/>
  <c r="CI267" i="1" s="1"/>
  <c r="BR305" i="1"/>
  <c r="CI305" i="1" s="1"/>
  <c r="BR247" i="1"/>
  <c r="CI247" i="1" s="1"/>
  <c r="BR253" i="1"/>
  <c r="CI253" i="1" s="1"/>
  <c r="BQ263" i="1"/>
  <c r="CH263" i="1" s="1"/>
  <c r="BR298" i="1"/>
  <c r="CI298" i="1" s="1"/>
  <c r="BQ268" i="1"/>
  <c r="CH268" i="1" s="1"/>
  <c r="BQ178" i="1"/>
  <c r="CH178" i="1" s="1"/>
  <c r="BQ192" i="1"/>
  <c r="CH192" i="1" s="1"/>
  <c r="BQ205" i="1"/>
  <c r="CH205" i="1" s="1"/>
  <c r="BQ282" i="1"/>
  <c r="CH282" i="1" s="1"/>
  <c r="BQ230" i="1"/>
  <c r="CH230" i="1" s="1"/>
  <c r="BQ308" i="1"/>
  <c r="CH308" i="1" s="1"/>
  <c r="BR262" i="1"/>
  <c r="CI262" i="1" s="1"/>
  <c r="BQ207" i="1"/>
  <c r="CH207" i="1" s="1"/>
  <c r="BQ257" i="1"/>
  <c r="CH257" i="1" s="1"/>
  <c r="BQ270" i="1"/>
  <c r="CH270" i="1" s="1"/>
  <c r="BR286" i="1"/>
  <c r="CI286" i="1" s="1"/>
  <c r="BR295" i="1"/>
  <c r="CI295" i="1" s="1"/>
  <c r="BQ239" i="1"/>
  <c r="CH239" i="1" s="1"/>
  <c r="BR294" i="1"/>
  <c r="CI294" i="1" s="1"/>
  <c r="BQ238" i="1"/>
  <c r="CH238" i="1" s="1"/>
  <c r="BQ208" i="1"/>
  <c r="CH208" i="1" s="1"/>
  <c r="BQ212" i="1"/>
  <c r="CH212" i="1" s="1"/>
  <c r="BR216" i="1"/>
  <c r="CI216" i="1" s="1"/>
  <c r="BQ292" i="1"/>
  <c r="CH292" i="1" s="1"/>
  <c r="BQ235" i="1"/>
  <c r="CH235" i="1" s="1"/>
  <c r="BQ312" i="1"/>
  <c r="CH312" i="1" s="1"/>
  <c r="BR251" i="1"/>
  <c r="CI251" i="1" s="1"/>
  <c r="BQ261" i="1"/>
  <c r="CH261" i="1" s="1"/>
  <c r="BR264" i="1"/>
  <c r="CI264" i="1" s="1"/>
  <c r="BR211" i="1"/>
  <c r="CI211" i="1" s="1"/>
  <c r="BQ287" i="1"/>
  <c r="CH287" i="1" s="1"/>
  <c r="BR291" i="1"/>
  <c r="CI291" i="1" s="1"/>
  <c r="BQ234" i="1"/>
  <c r="CH234" i="1" s="1"/>
  <c r="BQ211" i="1"/>
  <c r="CH211" i="1" s="1"/>
  <c r="BR214" i="1"/>
  <c r="CI214" i="1" s="1"/>
  <c r="BQ290" i="1"/>
  <c r="CH290" i="1" s="1"/>
  <c r="BR293" i="1"/>
  <c r="CI293" i="1" s="1"/>
  <c r="BQ237" i="1"/>
  <c r="CH237" i="1" s="1"/>
  <c r="BR240" i="1"/>
  <c r="CI240" i="1" s="1"/>
  <c r="BQ315" i="1"/>
  <c r="CH315" i="1" s="1"/>
  <c r="BR318" i="1"/>
  <c r="CI318" i="1" s="1"/>
  <c r="BQ321" i="1"/>
  <c r="CH321" i="1" s="1"/>
  <c r="BQ244" i="1"/>
  <c r="CH244" i="1" s="1"/>
  <c r="BQ322" i="1"/>
  <c r="CH322" i="1" s="1"/>
  <c r="BQ177" i="1"/>
  <c r="CH177" i="1" s="1"/>
  <c r="BR199" i="1"/>
  <c r="CI199" i="1" s="1"/>
  <c r="BR185" i="1"/>
  <c r="CI185" i="1" s="1"/>
  <c r="BQ172" i="1"/>
  <c r="CH172" i="1" s="1"/>
  <c r="BR189" i="1"/>
  <c r="CI189" i="1" s="1"/>
  <c r="BQ199" i="1"/>
  <c r="CH199" i="1" s="1"/>
  <c r="BQ276" i="1"/>
  <c r="CH276" i="1" s="1"/>
  <c r="BR227" i="1"/>
  <c r="CI227" i="1" s="1"/>
  <c r="BQ281" i="1"/>
  <c r="CH281" i="1" s="1"/>
  <c r="BQ168" i="1"/>
  <c r="CH168" i="1" s="1"/>
  <c r="BQ195" i="1"/>
  <c r="CH195" i="1" s="1"/>
  <c r="BQ203" i="1"/>
  <c r="CH203" i="1" s="1"/>
  <c r="BQ280" i="1"/>
  <c r="CH280" i="1" s="1"/>
  <c r="BR231" i="1"/>
  <c r="CI231" i="1" s="1"/>
  <c r="BR190" i="1"/>
  <c r="CI190" i="1" s="1"/>
  <c r="BQ200" i="1"/>
  <c r="CH200" i="1" s="1"/>
  <c r="BQ277" i="1"/>
  <c r="CH277" i="1" s="1"/>
  <c r="BR228" i="1"/>
  <c r="CI228" i="1" s="1"/>
  <c r="BQ174" i="1"/>
  <c r="CH174" i="1" s="1"/>
  <c r="BQ175" i="1"/>
  <c r="CH175" i="1" s="1"/>
  <c r="BR178" i="1"/>
  <c r="CI178" i="1" s="1"/>
  <c r="BQ189" i="1"/>
  <c r="CH189" i="1" s="1"/>
  <c r="BR192" i="1"/>
  <c r="CI192" i="1" s="1"/>
  <c r="BQ202" i="1"/>
  <c r="CH202" i="1" s="1"/>
  <c r="BR205" i="1"/>
  <c r="CI205" i="1" s="1"/>
  <c r="BQ279" i="1"/>
  <c r="CH279" i="1" s="1"/>
  <c r="BR282" i="1"/>
  <c r="CI282" i="1" s="1"/>
  <c r="BQ227" i="1"/>
  <c r="CH227" i="1" s="1"/>
  <c r="BR230" i="1"/>
  <c r="CI230" i="1" s="1"/>
  <c r="BQ305" i="1"/>
  <c r="CH305" i="1" s="1"/>
  <c r="BR308" i="1"/>
  <c r="CI308" i="1" s="1"/>
  <c r="BQ247" i="1"/>
  <c r="CH247" i="1" s="1"/>
  <c r="BQ306" i="1"/>
  <c r="CH306" i="1" s="1"/>
  <c r="BR309" i="1"/>
  <c r="CI309" i="1" s="1"/>
  <c r="BQ299" i="1"/>
  <c r="CH299" i="1" s="1"/>
  <c r="BR302" i="1"/>
  <c r="CI302" i="1" s="1"/>
  <c r="BR263" i="1"/>
  <c r="CI263" i="1" s="1"/>
  <c r="BR169" i="1"/>
  <c r="CI169" i="1" s="1"/>
  <c r="BR183" i="1"/>
  <c r="CI183" i="1" s="1"/>
  <c r="BR196" i="1"/>
  <c r="CI196" i="1" s="1"/>
  <c r="BR273" i="1"/>
  <c r="CI273" i="1" s="1"/>
  <c r="BR221" i="1"/>
  <c r="CI221" i="1" s="1"/>
  <c r="BR299" i="1"/>
  <c r="CI299" i="1" s="1"/>
  <c r="BQ254" i="1"/>
  <c r="CH254" i="1" s="1"/>
  <c r="BR270" i="1"/>
  <c r="CI270" i="1" s="1"/>
  <c r="BR248" i="1"/>
  <c r="CI248" i="1" s="1"/>
  <c r="BR261" i="1"/>
  <c r="CI261" i="1" s="1"/>
  <c r="BR287" i="1"/>
  <c r="CI287" i="1" s="1"/>
  <c r="BR234" i="1"/>
  <c r="CI234" i="1" s="1"/>
  <c r="BR233" i="1"/>
  <c r="CI233" i="1" s="1"/>
  <c r="BQ213" i="1"/>
  <c r="CH213" i="1" s="1"/>
  <c r="BR217" i="1"/>
  <c r="CI217" i="1" s="1"/>
  <c r="BQ293" i="1"/>
  <c r="CH293" i="1" s="1"/>
  <c r="BQ243" i="1"/>
  <c r="CH243" i="1" s="1"/>
  <c r="BQ252" i="1"/>
  <c r="CH252" i="1" s="1"/>
  <c r="BR255" i="1"/>
  <c r="CI255" i="1" s="1"/>
  <c r="BQ265" i="1"/>
  <c r="CH265" i="1" s="1"/>
  <c r="BR268" i="1"/>
  <c r="CI268" i="1" s="1"/>
  <c r="BR208" i="1"/>
  <c r="CI208" i="1" s="1"/>
  <c r="BR212" i="1"/>
  <c r="CI212" i="1" s="1"/>
  <c r="BQ288" i="1"/>
  <c r="CH288" i="1" s="1"/>
  <c r="BR292" i="1"/>
  <c r="CI292" i="1" s="1"/>
  <c r="BQ242" i="1"/>
  <c r="CH242" i="1" s="1"/>
  <c r="BQ215" i="1"/>
  <c r="CH215" i="1" s="1"/>
  <c r="BR218" i="1"/>
  <c r="CI218" i="1" s="1"/>
  <c r="BQ294" i="1"/>
  <c r="CH294" i="1" s="1"/>
  <c r="BQ241" i="1"/>
  <c r="CH241" i="1" s="1"/>
  <c r="BR244" i="1"/>
  <c r="CI244" i="1" s="1"/>
  <c r="BQ319" i="1"/>
  <c r="CH319" i="1" s="1"/>
  <c r="BR322" i="1"/>
  <c r="CI322" i="1" s="1"/>
  <c r="BR315" i="1"/>
  <c r="CI315" i="1" s="1"/>
  <c r="BR312" i="1"/>
  <c r="CI312" i="1" s="1"/>
  <c r="BR235" i="1"/>
  <c r="CI235" i="1" s="1"/>
  <c r="BR313" i="1"/>
  <c r="CI313" i="1" s="1"/>
  <c r="BQ183" i="1"/>
  <c r="CH183" i="1" s="1"/>
  <c r="BR179" i="1"/>
  <c r="CI179" i="1" s="1"/>
  <c r="BR168" i="1"/>
  <c r="CI168" i="1" s="1"/>
  <c r="BR194" i="1"/>
  <c r="CI194" i="1" s="1"/>
  <c r="BR186" i="1"/>
  <c r="CI186" i="1" s="1"/>
  <c r="BQ204" i="1"/>
  <c r="CH204" i="1" s="1"/>
  <c r="BR276" i="1"/>
  <c r="CI276" i="1" s="1"/>
  <c r="BQ221" i="1"/>
  <c r="CH221" i="1" s="1"/>
  <c r="BQ176" i="1"/>
  <c r="CH176" i="1" s="1"/>
  <c r="BR198" i="1"/>
  <c r="CI198" i="1" s="1"/>
  <c r="BR275" i="1"/>
  <c r="CI275" i="1" s="1"/>
  <c r="BQ220" i="1"/>
  <c r="CH220" i="1" s="1"/>
  <c r="BR172" i="1"/>
  <c r="CI172" i="1" s="1"/>
  <c r="BQ191" i="1"/>
  <c r="CH191" i="1" s="1"/>
  <c r="BR195" i="1"/>
  <c r="CI195" i="1" s="1"/>
  <c r="BR272" i="1"/>
  <c r="CI272" i="1" s="1"/>
  <c r="BQ302" i="1"/>
  <c r="CH302" i="1" s="1"/>
  <c r="BQ170" i="1"/>
  <c r="CH170" i="1" s="1"/>
  <c r="BQ179" i="1"/>
  <c r="CH179" i="1" s="1"/>
  <c r="BQ283" i="1"/>
  <c r="CH283" i="1" s="1"/>
  <c r="BQ231" i="1"/>
  <c r="CH231" i="1" s="1"/>
  <c r="BQ309" i="1"/>
  <c r="CH309" i="1" s="1"/>
  <c r="BQ248" i="1"/>
  <c r="CH248" i="1" s="1"/>
  <c r="BR254" i="1"/>
  <c r="CI254" i="1" s="1"/>
  <c r="BQ264" i="1"/>
  <c r="CH264" i="1" s="1"/>
  <c r="BQ250" i="1"/>
  <c r="CH250" i="1" s="1"/>
  <c r="BR266" i="1"/>
  <c r="CI266" i="1" s="1"/>
  <c r="BQ217" i="1"/>
  <c r="CH217" i="1" s="1"/>
  <c r="BQ303" i="1"/>
  <c r="CH303" i="1" s="1"/>
  <c r="BR306" i="1"/>
  <c r="CI306" i="1" s="1"/>
  <c r="BQ255" i="1"/>
  <c r="CH255" i="1" s="1"/>
  <c r="BQ184" i="1"/>
  <c r="CH184" i="1" s="1"/>
  <c r="BR187" i="1"/>
  <c r="CI187" i="1" s="1"/>
  <c r="BQ197" i="1"/>
  <c r="CH197" i="1" s="1"/>
  <c r="BR200" i="1"/>
  <c r="CI200" i="1" s="1"/>
  <c r="BQ274" i="1"/>
  <c r="CH274" i="1" s="1"/>
  <c r="BR277" i="1"/>
  <c r="CI277" i="1" s="1"/>
  <c r="BQ222" i="1"/>
  <c r="CH222" i="1" s="1"/>
  <c r="BR225" i="1"/>
  <c r="CI225" i="1" s="1"/>
  <c r="BQ300" i="1"/>
  <c r="CH300" i="1" s="1"/>
  <c r="BR303" i="1"/>
  <c r="CI303" i="1" s="1"/>
  <c r="BR249" i="1"/>
  <c r="CI249" i="1" s="1"/>
  <c r="BQ259" i="1"/>
  <c r="CH259" i="1" s="1"/>
  <c r="BQ249" i="1"/>
  <c r="CH249" i="1" s="1"/>
  <c r="BR252" i="1"/>
  <c r="CI252" i="1" s="1"/>
  <c r="BQ262" i="1"/>
  <c r="CH262" i="1" s="1"/>
  <c r="BR265" i="1"/>
  <c r="CI265" i="1" s="1"/>
  <c r="BR288" i="1"/>
  <c r="CI288" i="1" s="1"/>
  <c r="BR242" i="1"/>
  <c r="CI242" i="1" s="1"/>
  <c r="BR241" i="1"/>
  <c r="CI241" i="1" s="1"/>
  <c r="BR311" i="1"/>
  <c r="CI311" i="1" s="1"/>
  <c r="BQ214" i="1"/>
  <c r="CH214" i="1" s="1"/>
  <c r="BR238" i="1"/>
  <c r="CI238" i="1" s="1"/>
  <c r="BQ256" i="1"/>
  <c r="CH256" i="1" s="1"/>
  <c r="BQ269" i="1"/>
  <c r="CH269" i="1" s="1"/>
  <c r="BQ209" i="1"/>
  <c r="CH209" i="1" s="1"/>
  <c r="BR213" i="1"/>
  <c r="CI213" i="1" s="1"/>
  <c r="BQ289" i="1"/>
  <c r="CH289" i="1" s="1"/>
  <c r="BR237" i="1"/>
  <c r="CI237" i="1" s="1"/>
  <c r="BR285" i="1"/>
  <c r="CI285" i="1" s="1"/>
  <c r="BQ316" i="1"/>
  <c r="CH316" i="1" s="1"/>
  <c r="BR319" i="1"/>
  <c r="CI319" i="1" s="1"/>
  <c r="BQ313" i="1"/>
  <c r="CH313" i="1" s="1"/>
  <c r="BR316" i="1"/>
  <c r="CI316" i="1" s="1"/>
  <c r="BQ236" i="1"/>
  <c r="CH236" i="1" s="1"/>
  <c r="BR239" i="1"/>
  <c r="CI239" i="1" s="1"/>
  <c r="BQ314" i="1"/>
  <c r="CH314" i="1" s="1"/>
  <c r="BR317" i="1"/>
  <c r="CI317" i="1" s="1"/>
  <c r="BP137" i="1"/>
  <c r="CG137" i="1" s="1"/>
  <c r="BO59" i="1"/>
  <c r="CF59" i="1" s="1"/>
  <c r="BO99" i="1"/>
  <c r="CF99" i="1" s="1"/>
  <c r="BP28" i="1"/>
  <c r="CG28" i="1" s="1"/>
  <c r="BP81" i="1"/>
  <c r="CG81" i="1" s="1"/>
  <c r="BP140" i="1"/>
  <c r="CG140" i="1" s="1"/>
  <c r="BP166" i="1"/>
  <c r="CG166" i="1" s="1"/>
  <c r="BP41" i="1"/>
  <c r="CG41" i="1" s="1"/>
  <c r="BP83" i="1"/>
  <c r="CG83" i="1" s="1"/>
  <c r="BP110" i="1"/>
  <c r="CG110" i="1" s="1"/>
  <c r="BO67" i="1"/>
  <c r="CF67" i="1" s="1"/>
  <c r="BO132" i="1"/>
  <c r="CF132" i="1" s="1"/>
  <c r="BP84" i="1"/>
  <c r="CG84" i="1" s="1"/>
  <c r="BO33" i="1"/>
  <c r="CF33" i="1" s="1"/>
  <c r="BO133" i="1"/>
  <c r="CF133" i="1" s="1"/>
  <c r="BO143" i="1"/>
  <c r="CF143" i="1" s="1"/>
  <c r="BO162" i="1"/>
  <c r="CF162" i="1" s="1"/>
  <c r="BP70" i="1"/>
  <c r="CG70" i="1" s="1"/>
  <c r="BN53" i="1"/>
  <c r="CE53" i="1" s="1"/>
  <c r="BP147" i="1"/>
  <c r="CG147" i="1" s="1"/>
  <c r="BP167" i="1"/>
  <c r="CG167" i="1" s="1"/>
  <c r="BP105" i="1"/>
  <c r="CG105" i="1" s="1"/>
  <c r="BO98" i="1"/>
  <c r="CF98" i="1" s="1"/>
  <c r="BN88" i="1"/>
  <c r="CE88" i="1" s="1"/>
  <c r="BP68" i="1"/>
  <c r="CG68" i="1" s="1"/>
  <c r="BN27" i="1"/>
  <c r="CE27" i="1" s="1"/>
  <c r="BN18" i="1"/>
  <c r="BP53" i="1"/>
  <c r="CG53" i="1" s="1"/>
  <c r="BO140" i="1"/>
  <c r="CF140" i="1" s="1"/>
  <c r="BN149" i="1"/>
  <c r="CE149" i="1" s="1"/>
  <c r="BP48" i="1"/>
  <c r="CG48" i="1" s="1"/>
  <c r="BN160" i="1"/>
  <c r="CE160" i="1" s="1"/>
  <c r="BP109" i="1"/>
  <c r="CG109" i="1" s="1"/>
  <c r="BP97" i="1"/>
  <c r="CG97" i="1" s="1"/>
  <c r="BP82" i="1"/>
  <c r="CG82" i="1" s="1"/>
  <c r="BN101" i="1"/>
  <c r="CE101" i="1" s="1"/>
  <c r="BO164" i="1"/>
  <c r="CF164" i="1" s="1"/>
  <c r="BO138" i="1"/>
  <c r="CF138" i="1" s="1"/>
  <c r="BN92" i="1"/>
  <c r="CE92" i="1" s="1"/>
  <c r="BO39" i="1"/>
  <c r="CF39" i="1" s="1"/>
  <c r="BP19" i="1"/>
  <c r="BO35" i="1"/>
  <c r="CF35" i="1" s="1"/>
  <c r="BN114" i="1"/>
  <c r="CE114" i="1" s="1"/>
  <c r="BP76" i="1"/>
  <c r="CG76" i="1" s="1"/>
  <c r="BN46" i="1"/>
  <c r="CE46" i="1" s="1"/>
  <c r="BN31" i="1"/>
  <c r="CE31" i="1" s="1"/>
  <c r="BO14" i="1"/>
  <c r="BN34" i="1"/>
  <c r="CE34" i="1" s="1"/>
  <c r="BP57" i="1"/>
  <c r="CG57" i="1" s="1"/>
  <c r="BO84" i="1"/>
  <c r="CF84" i="1" s="1"/>
  <c r="BO115" i="1"/>
  <c r="CF115" i="1" s="1"/>
  <c r="BN95" i="1"/>
  <c r="CE95" i="1" s="1"/>
  <c r="BO91" i="1"/>
  <c r="CF91" i="1" s="1"/>
  <c r="BP32" i="1"/>
  <c r="CG32" i="1" s="1"/>
  <c r="BP16" i="1"/>
  <c r="BP91" i="1"/>
  <c r="CG91" i="1" s="1"/>
  <c r="BN136" i="1"/>
  <c r="CE136" i="1" s="1"/>
  <c r="BO85" i="1"/>
  <c r="CF85" i="1" s="1"/>
  <c r="BO136" i="1"/>
  <c r="CF136" i="1" s="1"/>
  <c r="BP27" i="1"/>
  <c r="CG27" i="1" s="1"/>
  <c r="BP56" i="1"/>
  <c r="CG56" i="1" s="1"/>
  <c r="BN86" i="1"/>
  <c r="CE86" i="1" s="1"/>
  <c r="BO113" i="1"/>
  <c r="CF113" i="1" s="1"/>
  <c r="BN143" i="1"/>
  <c r="CE143" i="1" s="1"/>
  <c r="BO41" i="1"/>
  <c r="CF41" i="1" s="1"/>
  <c r="BO87" i="1"/>
  <c r="CF87" i="1" s="1"/>
  <c r="BO152" i="1"/>
  <c r="CF152" i="1" s="1"/>
  <c r="BN159" i="1"/>
  <c r="CE159" i="1" s="1"/>
  <c r="BN32" i="1"/>
  <c r="CE32" i="1" s="1"/>
  <c r="BO68" i="1"/>
  <c r="CF68" i="1" s="1"/>
  <c r="BP159" i="1"/>
  <c r="CG159" i="1" s="1"/>
  <c r="BP13" i="1"/>
  <c r="BP42" i="1"/>
  <c r="CG42" i="1" s="1"/>
  <c r="BP74" i="1"/>
  <c r="CG74" i="1" s="1"/>
  <c r="BN98" i="1"/>
  <c r="CE98" i="1" s="1"/>
  <c r="BO94" i="1"/>
  <c r="CF94" i="1" s="1"/>
  <c r="BP135" i="1"/>
  <c r="CG135" i="1" s="1"/>
  <c r="BN144" i="1"/>
  <c r="CE144" i="1" s="1"/>
  <c r="BP154" i="1"/>
  <c r="CG154" i="1" s="1"/>
  <c r="BO141" i="1"/>
  <c r="CF141" i="1" s="1"/>
  <c r="BN33" i="1"/>
  <c r="CE33" i="1" s="1"/>
  <c r="BP152" i="1"/>
  <c r="CG152" i="1" s="1"/>
  <c r="BN138" i="1"/>
  <c r="CE138" i="1" s="1"/>
  <c r="BP96" i="1"/>
  <c r="CG96" i="1" s="1"/>
  <c r="BO78" i="1"/>
  <c r="CF78" i="1" s="1"/>
  <c r="BO104" i="1"/>
  <c r="CF104" i="1" s="1"/>
  <c r="BO16" i="1"/>
  <c r="BN77" i="1"/>
  <c r="CE77" i="1" s="1"/>
  <c r="BP193" i="1"/>
  <c r="CG193" i="1" s="1"/>
  <c r="BR77" i="1"/>
  <c r="CI77" i="1" s="1"/>
  <c r="BR284" i="1"/>
  <c r="CI284" i="1" s="1"/>
  <c r="BN284" i="1"/>
  <c r="CE284" i="1" s="1"/>
  <c r="BQ310" i="1"/>
  <c r="CH310" i="1" s="1"/>
  <c r="BQ180" i="1"/>
  <c r="CH180" i="1" s="1"/>
  <c r="BO142" i="1"/>
  <c r="CF142" i="1" s="1"/>
  <c r="BP232" i="1"/>
  <c r="CG232" i="1" s="1"/>
  <c r="BR245" i="1"/>
  <c r="CI245" i="1" s="1"/>
  <c r="BR180" i="1"/>
  <c r="CI180" i="1" s="1"/>
  <c r="BR51" i="1"/>
  <c r="CI51" i="1" s="1"/>
  <c r="BN51" i="1"/>
  <c r="CE51" i="1" s="1"/>
  <c r="BP258" i="1"/>
  <c r="CG258" i="1" s="1"/>
  <c r="BQ142" i="1"/>
  <c r="CH142" i="1" s="1"/>
  <c r="BN116" i="1"/>
  <c r="CE116" i="1" s="1"/>
  <c r="BN103" i="1"/>
  <c r="CE103" i="1" s="1"/>
  <c r="BN271" i="1"/>
  <c r="CE271" i="1" s="1"/>
  <c r="BQ64" i="1"/>
  <c r="CH64" i="1" s="1"/>
  <c r="BP64" i="1"/>
  <c r="CG64" i="1" s="1"/>
  <c r="BN206" i="1"/>
  <c r="CE206" i="1" s="1"/>
  <c r="BP323" i="1"/>
  <c r="CG323" i="1" s="1"/>
  <c r="BO271" i="1"/>
  <c r="CF271" i="1" s="1"/>
  <c r="BQ155" i="1"/>
  <c r="CH155" i="1" s="1"/>
  <c r="BO297" i="1"/>
  <c r="CF297" i="1" s="1"/>
  <c r="BQ25" i="1"/>
  <c r="BQ38" i="1"/>
  <c r="CH38" i="1" s="1"/>
  <c r="BO57" i="1"/>
  <c r="CF57" i="1" s="1"/>
  <c r="BO108" i="1"/>
  <c r="CF108" i="1" s="1"/>
  <c r="BP46" i="1"/>
  <c r="CG46" i="1" s="1"/>
  <c r="BN151" i="1"/>
  <c r="CE151" i="1" s="1"/>
  <c r="BO109" i="1"/>
  <c r="CF109" i="1" s="1"/>
  <c r="BP141" i="1"/>
  <c r="CG141" i="1" s="1"/>
  <c r="BO46" i="1"/>
  <c r="CF46" i="1" s="1"/>
  <c r="BN14" i="1"/>
  <c r="BO149" i="1"/>
  <c r="CF149" i="1" s="1"/>
  <c r="BO145" i="1"/>
  <c r="CF145" i="1" s="1"/>
  <c r="BP102" i="1"/>
  <c r="CG102" i="1" s="1"/>
  <c r="BP33" i="1"/>
  <c r="CG33" i="1" s="1"/>
  <c r="BP49" i="1"/>
  <c r="CG49" i="1" s="1"/>
  <c r="BO131" i="1"/>
  <c r="CF131" i="1" s="1"/>
  <c r="BO53" i="1"/>
  <c r="CF53" i="1" s="1"/>
  <c r="BP30" i="1"/>
  <c r="CG30" i="1" s="1"/>
  <c r="BP112" i="1"/>
  <c r="CG112" i="1" s="1"/>
  <c r="BP85" i="1"/>
  <c r="CG85" i="1" s="1"/>
  <c r="BO92" i="1"/>
  <c r="CF92" i="1" s="1"/>
  <c r="BN79" i="1"/>
  <c r="CE79" i="1" s="1"/>
  <c r="BO17" i="1"/>
  <c r="BO52" i="1"/>
  <c r="CF52" i="1" s="1"/>
  <c r="BO148" i="1"/>
  <c r="CF148" i="1" s="1"/>
  <c r="BP104" i="1"/>
  <c r="CG104" i="1" s="1"/>
  <c r="BO86" i="1"/>
  <c r="CF86" i="1" s="1"/>
  <c r="BO71" i="1"/>
  <c r="CF71" i="1" s="1"/>
  <c r="BP21" i="1"/>
  <c r="BN78" i="1"/>
  <c r="CE78" i="1" s="1"/>
  <c r="BO73" i="1"/>
  <c r="CF73" i="1" s="1"/>
  <c r="BP43" i="1"/>
  <c r="CG43" i="1" s="1"/>
  <c r="BO62" i="1"/>
  <c r="CF62" i="1" s="1"/>
  <c r="BO151" i="1"/>
  <c r="CF151" i="1" s="1"/>
  <c r="BO97" i="1"/>
  <c r="CF97" i="1" s="1"/>
  <c r="BO72" i="1"/>
  <c r="CF72" i="1" s="1"/>
  <c r="BO24" i="1"/>
  <c r="BO34" i="1"/>
  <c r="CF34" i="1" s="1"/>
  <c r="BP99" i="1"/>
  <c r="CG99" i="1" s="1"/>
  <c r="BN109" i="1"/>
  <c r="CE109" i="1" s="1"/>
  <c r="BO45" i="1"/>
  <c r="CF45" i="1" s="1"/>
  <c r="BO163" i="1"/>
  <c r="CF163" i="1" s="1"/>
  <c r="BO55" i="1"/>
  <c r="CF55" i="1" s="1"/>
  <c r="BP149" i="1"/>
  <c r="CG149" i="1" s="1"/>
  <c r="BO26" i="1"/>
  <c r="CF26" i="1" s="1"/>
  <c r="BO106" i="1"/>
  <c r="CF106" i="1" s="1"/>
  <c r="BP39" i="1"/>
  <c r="CG39" i="1" s="1"/>
  <c r="BP146" i="1"/>
  <c r="CG146" i="1" s="1"/>
  <c r="BO22" i="1"/>
  <c r="BP35" i="1"/>
  <c r="CG35" i="1" s="1"/>
  <c r="BO58" i="1"/>
  <c r="CF58" i="1" s="1"/>
  <c r="BP164" i="1"/>
  <c r="CG164" i="1" s="1"/>
  <c r="BP75" i="1"/>
  <c r="CG75" i="1" s="1"/>
  <c r="BN164" i="1"/>
  <c r="CE164" i="1" s="1"/>
  <c r="BO50" i="1"/>
  <c r="CF50" i="1" s="1"/>
  <c r="BP44" i="1"/>
  <c r="CG44" i="1" s="1"/>
  <c r="BP133" i="1"/>
  <c r="CG133" i="1" s="1"/>
  <c r="BO139" i="1"/>
  <c r="CF139" i="1" s="1"/>
  <c r="BN83" i="1"/>
  <c r="CE83" i="1" s="1"/>
  <c r="BO42" i="1"/>
  <c r="CF42" i="1" s="1"/>
  <c r="BO27" i="1"/>
  <c r="CF27" i="1" s="1"/>
  <c r="BO100" i="1"/>
  <c r="CF100" i="1" s="1"/>
  <c r="BN21" i="1"/>
  <c r="BP158" i="1"/>
  <c r="CG158" i="1" s="1"/>
  <c r="BN131" i="1"/>
  <c r="CE131" i="1" s="1"/>
  <c r="BN73" i="1"/>
  <c r="CE73" i="1" s="1"/>
  <c r="BP134" i="1"/>
  <c r="CG134" i="1" s="1"/>
  <c r="BP148" i="1"/>
  <c r="CG148" i="1" s="1"/>
  <c r="BO111" i="1"/>
  <c r="CF111" i="1" s="1"/>
  <c r="BO76" i="1"/>
  <c r="CF76" i="1" s="1"/>
  <c r="BP37" i="1"/>
  <c r="CG37" i="1" s="1"/>
  <c r="BN43" i="1"/>
  <c r="CE43" i="1" s="1"/>
  <c r="BN45" i="1"/>
  <c r="CE45" i="1" s="1"/>
  <c r="BP63" i="1"/>
  <c r="CG63" i="1" s="1"/>
  <c r="BN148" i="1"/>
  <c r="CE148" i="1" s="1"/>
  <c r="BP150" i="1"/>
  <c r="CG150" i="1" s="1"/>
  <c r="BP65" i="1"/>
  <c r="CG65" i="1" s="1"/>
  <c r="BN150" i="1"/>
  <c r="CE150" i="1" s="1"/>
  <c r="BO147" i="1"/>
  <c r="CF147" i="1" s="1"/>
  <c r="BN167" i="1"/>
  <c r="CE167" i="1" s="1"/>
  <c r="BP108" i="1"/>
  <c r="CG108" i="1" s="1"/>
  <c r="BN39" i="1"/>
  <c r="CE39" i="1" s="1"/>
  <c r="BP114" i="1"/>
  <c r="CG114" i="1" s="1"/>
  <c r="BO75" i="1"/>
  <c r="CF75" i="1" s="1"/>
  <c r="BP50" i="1"/>
  <c r="CG50" i="1" s="1"/>
  <c r="BP107" i="1"/>
  <c r="CG107" i="1" s="1"/>
  <c r="BO18" i="1"/>
  <c r="BO105" i="1"/>
  <c r="CF105" i="1" s="1"/>
  <c r="BP60" i="1"/>
  <c r="CG60" i="1" s="1"/>
  <c r="BP25" i="1"/>
  <c r="BP142" i="1"/>
  <c r="CG142" i="1" s="1"/>
  <c r="BN219" i="1"/>
  <c r="CE219" i="1" s="1"/>
  <c r="BR64" i="1"/>
  <c r="CI64" i="1" s="1"/>
  <c r="BN90" i="1"/>
  <c r="CE90" i="1" s="1"/>
  <c r="BN258" i="1"/>
  <c r="CE258" i="1" s="1"/>
  <c r="BQ51" i="1"/>
  <c r="CH51" i="1" s="1"/>
  <c r="BN25" i="1"/>
  <c r="CE25" i="1" s="1"/>
  <c r="BO155" i="1"/>
  <c r="CF155" i="1" s="1"/>
  <c r="BO206" i="1"/>
  <c r="CF206" i="1" s="1"/>
  <c r="BO103" i="1"/>
  <c r="CF103" i="1" s="1"/>
  <c r="BR103" i="1"/>
  <c r="CI103" i="1" s="1"/>
  <c r="BO25" i="1"/>
  <c r="BP90" i="1"/>
  <c r="CG90" i="1" s="1"/>
  <c r="BN297" i="1"/>
  <c r="CE297" i="1" s="1"/>
  <c r="BR258" i="1"/>
  <c r="CI258" i="1" s="1"/>
  <c r="BR219" i="1"/>
  <c r="CI219" i="1" s="1"/>
  <c r="BN155" i="1"/>
  <c r="CE155" i="1" s="1"/>
  <c r="BO219" i="1"/>
  <c r="CF219" i="1" s="1"/>
  <c r="BQ103" i="1"/>
  <c r="CH103" i="1" s="1"/>
  <c r="BO180" i="1"/>
  <c r="BP271" i="1"/>
  <c r="CG271" i="1" s="1"/>
  <c r="BR232" i="1"/>
  <c r="CI232" i="1" s="1"/>
  <c r="BO77" i="1"/>
  <c r="CF77" i="1" s="1"/>
  <c r="BR90" i="1"/>
  <c r="CI90" i="1" s="1"/>
  <c r="BO232" i="1"/>
  <c r="CF232" i="1" s="1"/>
  <c r="BQ206" i="1"/>
  <c r="CH206" i="1" s="1"/>
  <c r="BQ90" i="1"/>
  <c r="CH90" i="1" s="1"/>
  <c r="BO49" i="1"/>
  <c r="CF49" i="1" s="1"/>
  <c r="BO159" i="1"/>
  <c r="CF159" i="1" s="1"/>
  <c r="BP163" i="1"/>
  <c r="CG163" i="1" s="1"/>
  <c r="BP73" i="1"/>
  <c r="CG73" i="1" s="1"/>
  <c r="BN156" i="1"/>
  <c r="CE156" i="1" s="1"/>
  <c r="BN19" i="1"/>
  <c r="BO88" i="1"/>
  <c r="CF88" i="1" s="1"/>
  <c r="BN84" i="1"/>
  <c r="CE84" i="1" s="1"/>
  <c r="BN162" i="1"/>
  <c r="CE162" i="1" s="1"/>
  <c r="BN17" i="1"/>
  <c r="BO160" i="1"/>
  <c r="CF160" i="1" s="1"/>
  <c r="BN110" i="1"/>
  <c r="CE110" i="1" s="1"/>
  <c r="BO74" i="1"/>
  <c r="CF74" i="1" s="1"/>
  <c r="BO54" i="1"/>
  <c r="CF54" i="1" s="1"/>
  <c r="BO31" i="1"/>
  <c r="CF31" i="1" s="1"/>
  <c r="BO154" i="1"/>
  <c r="CF154" i="1" s="1"/>
  <c r="BP101" i="1"/>
  <c r="CG101" i="1" s="1"/>
  <c r="BP86" i="1"/>
  <c r="CG86" i="1" s="1"/>
  <c r="BO96" i="1"/>
  <c r="CF96" i="1" s="1"/>
  <c r="BN66" i="1"/>
  <c r="CE66" i="1" s="1"/>
  <c r="BP45" i="1"/>
  <c r="CG45" i="1" s="1"/>
  <c r="BP59" i="1"/>
  <c r="CG59" i="1" s="1"/>
  <c r="BP144" i="1"/>
  <c r="CG144" i="1" s="1"/>
  <c r="BN130" i="1"/>
  <c r="CE130" i="1" s="1"/>
  <c r="BO37" i="1"/>
  <c r="CF37" i="1" s="1"/>
  <c r="BP24" i="1"/>
  <c r="BN65" i="1"/>
  <c r="CE65" i="1" s="1"/>
  <c r="BO83" i="1"/>
  <c r="CF83" i="1" s="1"/>
  <c r="BP18" i="1"/>
  <c r="BN47" i="1"/>
  <c r="CE47" i="1" s="1"/>
  <c r="BN112" i="1"/>
  <c r="CE112" i="1" s="1"/>
  <c r="BO112" i="1"/>
  <c r="CF112" i="1" s="1"/>
  <c r="BP31" i="1"/>
  <c r="CG31" i="1" s="1"/>
  <c r="BO114" i="1"/>
  <c r="CF114" i="1" s="1"/>
  <c r="BP20" i="1"/>
  <c r="CG20" i="1" s="1"/>
  <c r="BN97" i="1"/>
  <c r="CE97" i="1" s="1"/>
  <c r="BO47" i="1"/>
  <c r="CF47" i="1" s="1"/>
  <c r="BP145" i="1"/>
  <c r="CG145" i="1" s="1"/>
  <c r="BP111" i="1"/>
  <c r="CG111" i="1" s="1"/>
  <c r="BN99" i="1"/>
  <c r="CE99" i="1" s="1"/>
  <c r="BO146" i="1"/>
  <c r="CF146" i="1" s="1"/>
  <c r="BN44" i="1"/>
  <c r="CE44" i="1" s="1"/>
  <c r="BP79" i="1"/>
  <c r="CG79" i="1" s="1"/>
  <c r="BO65" i="1"/>
  <c r="CF65" i="1" s="1"/>
  <c r="BN26" i="1"/>
  <c r="CE26" i="1" s="1"/>
  <c r="BN57" i="1"/>
  <c r="CE57" i="1" s="1"/>
  <c r="BP130" i="1"/>
  <c r="CG130" i="1" s="1"/>
  <c r="BO81" i="1"/>
  <c r="CF81" i="1" s="1"/>
  <c r="BO150" i="1"/>
  <c r="CF150" i="1" s="1"/>
  <c r="BN62" i="1"/>
  <c r="CE62" i="1" s="1"/>
  <c r="BP115" i="1"/>
  <c r="CG115" i="1" s="1"/>
  <c r="BN36" i="1"/>
  <c r="CE36" i="1" s="1"/>
  <c r="BP87" i="1"/>
  <c r="CG87" i="1" s="1"/>
  <c r="BP62" i="1"/>
  <c r="CG62" i="1" s="1"/>
  <c r="BO60" i="1"/>
  <c r="CF60" i="1" s="1"/>
  <c r="BP94" i="1"/>
  <c r="CG94" i="1" s="1"/>
  <c r="BO23" i="1"/>
  <c r="BP61" i="1"/>
  <c r="CG61" i="1" s="1"/>
  <c r="BO153" i="1"/>
  <c r="CF153" i="1" s="1"/>
  <c r="BP40" i="1"/>
  <c r="CG40" i="1" s="1"/>
  <c r="BO80" i="1"/>
  <c r="CF80" i="1" s="1"/>
  <c r="BP93" i="1"/>
  <c r="CG93" i="1" s="1"/>
  <c r="BO56" i="1"/>
  <c r="CF56" i="1" s="1"/>
  <c r="BN163" i="1"/>
  <c r="CE163" i="1" s="1"/>
  <c r="BN134" i="1"/>
  <c r="CE134" i="1" s="1"/>
  <c r="BN56" i="1"/>
  <c r="CE56" i="1" s="1"/>
  <c r="BN13" i="1"/>
  <c r="BN75" i="1"/>
  <c r="CE75" i="1" s="1"/>
  <c r="BN59" i="1"/>
  <c r="CE59" i="1" s="1"/>
  <c r="BP26" i="1"/>
  <c r="CG26" i="1" s="1"/>
  <c r="BN166" i="1"/>
  <c r="CE166" i="1" s="1"/>
  <c r="BO63" i="1"/>
  <c r="CF63" i="1" s="1"/>
  <c r="BO29" i="1"/>
  <c r="CF29" i="1" s="1"/>
  <c r="BO43" i="1"/>
  <c r="CF43" i="1" s="1"/>
  <c r="BO93" i="1"/>
  <c r="CF93" i="1" s="1"/>
  <c r="BO156" i="1"/>
  <c r="CF156" i="1" s="1"/>
  <c r="BN158" i="1"/>
  <c r="CE158" i="1" s="1"/>
  <c r="BO95" i="1"/>
  <c r="CF95" i="1" s="1"/>
  <c r="BN69" i="1"/>
  <c r="CE69" i="1" s="1"/>
  <c r="BN23" i="1"/>
  <c r="BP80" i="1"/>
  <c r="CG80" i="1" s="1"/>
  <c r="BO19" i="1"/>
  <c r="BN147" i="1"/>
  <c r="CE147" i="1" s="1"/>
  <c r="BP52" i="1"/>
  <c r="CG52" i="1" s="1"/>
  <c r="BO134" i="1"/>
  <c r="CF134" i="1" s="1"/>
  <c r="BO36" i="1"/>
  <c r="CF36" i="1" s="1"/>
  <c r="BP34" i="1"/>
  <c r="CG34" i="1" s="1"/>
  <c r="BP106" i="1"/>
  <c r="CG106" i="1" s="1"/>
  <c r="BP22" i="1"/>
  <c r="BP100" i="1"/>
  <c r="CG100" i="1" s="1"/>
  <c r="BO79" i="1"/>
  <c r="CF79" i="1" s="1"/>
  <c r="BO144" i="1"/>
  <c r="CF144" i="1" s="1"/>
  <c r="BO102" i="1"/>
  <c r="CF102" i="1" s="1"/>
  <c r="BP66" i="1"/>
  <c r="CG66" i="1" s="1"/>
  <c r="BP92" i="1"/>
  <c r="CG92" i="1" s="1"/>
  <c r="BP139" i="1"/>
  <c r="CG139" i="1" s="1"/>
  <c r="BO82" i="1"/>
  <c r="CF82" i="1" s="1"/>
  <c r="BP55" i="1"/>
  <c r="CG55" i="1" s="1"/>
  <c r="BO66" i="1"/>
  <c r="CF66" i="1" s="1"/>
  <c r="BP98" i="1"/>
  <c r="CG98" i="1" s="1"/>
  <c r="BO28" i="1"/>
  <c r="CF28" i="1" s="1"/>
  <c r="BN153" i="1"/>
  <c r="CE153" i="1" s="1"/>
  <c r="BN96" i="1"/>
  <c r="CE96" i="1" s="1"/>
  <c r="BP138" i="1"/>
  <c r="CG138" i="1" s="1"/>
  <c r="BN111" i="1"/>
  <c r="CE111" i="1" s="1"/>
  <c r="BP151" i="1"/>
  <c r="CG151" i="1" s="1"/>
  <c r="BP136" i="1"/>
  <c r="CG136" i="1" s="1"/>
  <c r="BP113" i="1"/>
  <c r="CG113" i="1" s="1"/>
  <c r="BP78" i="1"/>
  <c r="CG78" i="1" s="1"/>
  <c r="BN60" i="1"/>
  <c r="CE60" i="1" s="1"/>
  <c r="BP15" i="1"/>
  <c r="BP36" i="1"/>
  <c r="CG36" i="1" s="1"/>
  <c r="BP69" i="1"/>
  <c r="CG69" i="1" s="1"/>
  <c r="BN104" i="1"/>
  <c r="CE104" i="1" s="1"/>
  <c r="BN135" i="1"/>
  <c r="CE135" i="1" s="1"/>
  <c r="BP58" i="1"/>
  <c r="CG58" i="1" s="1"/>
  <c r="BO15" i="1"/>
  <c r="BO107" i="1"/>
  <c r="CF107" i="1" s="1"/>
  <c r="BO167" i="1"/>
  <c r="CF167" i="1" s="1"/>
  <c r="BO21" i="1"/>
  <c r="BO70" i="1"/>
  <c r="CF70" i="1" s="1"/>
  <c r="BP143" i="1"/>
  <c r="CG143" i="1" s="1"/>
  <c r="BO130" i="1"/>
  <c r="CF130" i="1" s="1"/>
  <c r="BP72" i="1"/>
  <c r="CG72" i="1" s="1"/>
  <c r="BN52" i="1"/>
  <c r="CE52" i="1" s="1"/>
  <c r="BP29" i="1"/>
  <c r="CG29" i="1" s="1"/>
  <c r="BO13" i="1"/>
  <c r="BN85" i="1"/>
  <c r="CE85" i="1" s="1"/>
  <c r="BO135" i="1"/>
  <c r="CF135" i="1" s="1"/>
  <c r="BN30" i="1"/>
  <c r="CE30" i="1" s="1"/>
  <c r="BN91" i="1"/>
  <c r="CE91" i="1" s="1"/>
  <c r="BN70" i="1"/>
  <c r="CE70" i="1" s="1"/>
  <c r="BP54" i="1"/>
  <c r="CG54" i="1" s="1"/>
  <c r="BP23" i="1"/>
  <c r="BP14" i="1"/>
  <c r="BP47" i="1"/>
  <c r="CG47" i="1" s="1"/>
  <c r="BP67" i="1"/>
  <c r="CG67" i="1" s="1"/>
  <c r="BP95" i="1"/>
  <c r="CG95" i="1" s="1"/>
  <c r="BN140" i="1"/>
  <c r="CE140" i="1" s="1"/>
  <c r="BO30" i="1"/>
  <c r="CF30" i="1" s="1"/>
  <c r="BO69" i="1"/>
  <c r="CF69" i="1" s="1"/>
  <c r="BO110" i="1"/>
  <c r="CF110" i="1" s="1"/>
  <c r="BP156" i="1"/>
  <c r="CG156" i="1" s="1"/>
  <c r="BO158" i="1"/>
  <c r="CF158" i="1" s="1"/>
  <c r="BO61" i="1"/>
  <c r="CF61" i="1" s="1"/>
  <c r="BO166" i="1"/>
  <c r="CF166" i="1" s="1"/>
  <c r="BN40" i="1"/>
  <c r="CE40" i="1" s="1"/>
  <c r="BN72" i="1"/>
  <c r="CE72" i="1" s="1"/>
  <c r="BN105" i="1"/>
  <c r="CE105" i="1" s="1"/>
  <c r="BO20" i="1"/>
  <c r="CF20" i="1" s="1"/>
  <c r="BP89" i="1"/>
  <c r="CG89" i="1" s="1"/>
  <c r="BN20" i="1"/>
  <c r="BO48" i="1"/>
  <c r="CF48" i="1" s="1"/>
  <c r="BO137" i="1"/>
  <c r="CF137" i="1" s="1"/>
  <c r="BO32" i="1"/>
  <c r="CF32" i="1" s="1"/>
  <c r="BO89" i="1"/>
  <c r="CF89" i="1" s="1"/>
  <c r="BN58" i="1"/>
  <c r="CE58" i="1" s="1"/>
  <c r="BP88" i="1"/>
  <c r="CG88" i="1" s="1"/>
  <c r="BP131" i="1"/>
  <c r="CG131" i="1" s="1"/>
  <c r="BO44" i="1"/>
  <c r="CF44" i="1" s="1"/>
  <c r="BP162" i="1"/>
  <c r="CG162" i="1" s="1"/>
  <c r="BN82" i="1"/>
  <c r="CE82" i="1" s="1"/>
  <c r="BN137" i="1"/>
  <c r="CE137" i="1" s="1"/>
  <c r="BN49" i="1"/>
  <c r="CE49" i="1" s="1"/>
  <c r="BP153" i="1"/>
  <c r="CG153" i="1" s="1"/>
  <c r="BN71" i="1"/>
  <c r="CE71" i="1" s="1"/>
  <c r="BO101" i="1"/>
  <c r="CF101" i="1" s="1"/>
  <c r="BP17" i="1"/>
  <c r="BP160" i="1"/>
  <c r="CG160" i="1" s="1"/>
  <c r="BO40" i="1"/>
  <c r="CF40" i="1" s="1"/>
  <c r="BP71" i="1"/>
  <c r="CG71" i="1" s="1"/>
  <c r="BN38" i="1"/>
  <c r="CE38" i="1" s="1"/>
  <c r="BP155" i="1"/>
  <c r="CG155" i="1" s="1"/>
  <c r="BN245" i="1"/>
  <c r="CE245" i="1" s="1"/>
  <c r="BR193" i="1"/>
  <c r="CI193" i="1" s="1"/>
  <c r="BN142" i="1"/>
  <c r="CE142" i="1" s="1"/>
  <c r="BO323" i="1"/>
  <c r="CF323" i="1" s="1"/>
  <c r="BO193" i="1"/>
  <c r="CF193" i="1" s="1"/>
  <c r="BR206" i="1"/>
  <c r="CI206" i="1" s="1"/>
  <c r="BN180" i="1"/>
  <c r="BO258" i="1"/>
  <c r="CF258" i="1" s="1"/>
  <c r="BQ116" i="1"/>
  <c r="CH116" i="1" s="1"/>
  <c r="BO51" i="1"/>
  <c r="CF51" i="1" s="1"/>
  <c r="BQ258" i="1"/>
  <c r="CH258" i="1" s="1"/>
  <c r="BP103" i="1"/>
  <c r="CG103" i="1" s="1"/>
  <c r="BN323" i="1"/>
  <c r="CE323" i="1" s="1"/>
  <c r="BQ245" i="1"/>
  <c r="CH245" i="1" s="1"/>
  <c r="BO64" i="1"/>
  <c r="CF64" i="1" s="1"/>
  <c r="BP180" i="1"/>
  <c r="BO245" i="1"/>
  <c r="CF245" i="1" s="1"/>
  <c r="BR271" i="1"/>
  <c r="CI271" i="1" s="1"/>
  <c r="BP310" i="1"/>
  <c r="CG310" i="1" s="1"/>
  <c r="BP219" i="1"/>
  <c r="CG219" i="1" s="1"/>
  <c r="BR155" i="1"/>
  <c r="CI155" i="1" s="1"/>
  <c r="BR323" i="1"/>
  <c r="CI323" i="1" s="1"/>
  <c r="BO38" i="1"/>
  <c r="CF38" i="1" s="1"/>
  <c r="BR142" i="1"/>
  <c r="CI142" i="1" s="1"/>
  <c r="BQ271" i="1"/>
  <c r="CH271" i="1" s="1"/>
  <c r="BQ323" i="1"/>
  <c r="CH323" i="1" s="1"/>
  <c r="BP132" i="1"/>
  <c r="CG132" i="1" s="1"/>
  <c r="BN64" i="1"/>
  <c r="CE64" i="1" s="1"/>
  <c r="BO284" i="1"/>
  <c r="CF284" i="1" s="1"/>
  <c r="BN232" i="1"/>
  <c r="CE232" i="1" s="1"/>
  <c r="BR38" i="1"/>
  <c r="CI38" i="1" s="1"/>
  <c r="BO310" i="1"/>
  <c r="CF310" i="1" s="1"/>
  <c r="BQ219" i="1"/>
  <c r="CH219" i="1" s="1"/>
  <c r="BO116" i="1"/>
  <c r="CF116" i="1" s="1"/>
  <c r="BP38" i="1"/>
  <c r="CG38" i="1" s="1"/>
  <c r="BP206" i="1"/>
  <c r="CG206" i="1" s="1"/>
  <c r="BP297" i="1"/>
  <c r="CG297" i="1" s="1"/>
  <c r="BR310" i="1"/>
  <c r="CI310" i="1" s="1"/>
  <c r="BP116" i="1"/>
  <c r="CG116" i="1" s="1"/>
  <c r="BQ193" i="1"/>
  <c r="CH193" i="1" s="1"/>
  <c r="BN310" i="1"/>
  <c r="CE310" i="1" s="1"/>
  <c r="BR297" i="1"/>
  <c r="CI297" i="1" s="1"/>
  <c r="BQ77" i="1"/>
  <c r="CH77" i="1" s="1"/>
  <c r="BP77" i="1"/>
  <c r="CG77" i="1" s="1"/>
  <c r="BN193" i="1"/>
  <c r="CE193" i="1" s="1"/>
  <c r="BQ284" i="1"/>
  <c r="CH284" i="1" s="1"/>
  <c r="BP51" i="1"/>
  <c r="CG51" i="1" s="1"/>
  <c r="BP284" i="1"/>
  <c r="CG284" i="1" s="1"/>
  <c r="BP245" i="1"/>
  <c r="CG245" i="1" s="1"/>
  <c r="BO90" i="1"/>
  <c r="CF90" i="1" s="1"/>
  <c r="BQ232" i="1"/>
  <c r="CH232" i="1" s="1"/>
  <c r="BR116" i="1"/>
  <c r="CI116" i="1" s="1"/>
  <c r="BQ297" i="1"/>
  <c r="CH297" i="1" s="1"/>
  <c r="BR25" i="1"/>
  <c r="D29" i="5"/>
  <c r="E29" i="5" s="1"/>
  <c r="D25" i="5"/>
  <c r="E25" i="5" s="1"/>
  <c r="D21" i="5"/>
  <c r="E21" i="5" s="1"/>
  <c r="D15" i="5"/>
  <c r="E15" i="5" s="1"/>
  <c r="D28" i="5"/>
  <c r="E28" i="5" s="1"/>
  <c r="D24" i="5"/>
  <c r="E24" i="5" s="1"/>
  <c r="D20" i="5"/>
  <c r="E20" i="5" s="1"/>
  <c r="D17" i="5"/>
  <c r="E17" i="5" s="1"/>
  <c r="D31" i="5"/>
  <c r="E31" i="5" s="1"/>
  <c r="D27" i="5"/>
  <c r="E27" i="5" s="1"/>
  <c r="D23" i="5"/>
  <c r="E23" i="5" s="1"/>
  <c r="D19" i="5"/>
  <c r="E19" i="5" s="1"/>
  <c r="D16" i="5"/>
  <c r="E16" i="5" s="1"/>
  <c r="D30" i="5"/>
  <c r="E30" i="5" s="1"/>
  <c r="D26" i="5"/>
  <c r="E26" i="5" s="1"/>
  <c r="D22" i="5"/>
  <c r="E22" i="5" s="1"/>
  <c r="D18" i="5"/>
  <c r="E18" i="5" s="1"/>
  <c r="D14" i="5"/>
  <c r="E61" i="5"/>
  <c r="E60" i="5"/>
  <c r="E58" i="5"/>
  <c r="E59" i="5"/>
  <c r="AD286" i="1"/>
  <c r="AD253" i="1"/>
  <c r="AD107" i="1"/>
  <c r="AD66" i="1"/>
  <c r="AD267" i="1"/>
  <c r="AD283" i="1"/>
  <c r="AD254" i="1"/>
  <c r="AD242" i="1"/>
  <c r="AD294" i="1"/>
  <c r="AD259" i="1"/>
  <c r="AD224" i="1"/>
  <c r="AD275" i="1"/>
  <c r="AD200" i="1"/>
  <c r="AD186" i="1"/>
  <c r="AD171" i="1"/>
  <c r="AD152" i="1"/>
  <c r="AD114" i="1"/>
  <c r="AD87" i="1"/>
  <c r="AD73" i="1"/>
  <c r="AD241" i="1"/>
  <c r="AD268" i="1"/>
  <c r="AD321" i="1"/>
  <c r="AD216" i="1"/>
  <c r="AD303" i="1"/>
  <c r="AD138" i="1"/>
  <c r="AD95" i="1"/>
  <c r="AD63" i="1"/>
  <c r="AD49" i="1"/>
  <c r="AD20" i="1"/>
  <c r="AD313" i="1"/>
  <c r="AD179" i="1"/>
  <c r="AD159" i="1"/>
  <c r="AD145" i="1"/>
  <c r="AD144" i="1"/>
  <c r="AD131" i="1"/>
  <c r="AD130" i="1"/>
  <c r="AD106" i="1"/>
  <c r="AD80" i="1"/>
  <c r="AD79" i="1"/>
  <c r="AD65" i="1"/>
  <c r="AD56" i="1"/>
  <c r="AD55" i="1"/>
  <c r="AD42" i="1"/>
  <c r="AD41" i="1"/>
  <c r="AD30" i="1"/>
  <c r="AD316" i="1"/>
  <c r="AD312" i="1"/>
  <c r="AD237" i="1"/>
  <c r="AD233" i="1"/>
  <c r="AD293" i="1"/>
  <c r="AD289" i="1"/>
  <c r="AD285" i="1"/>
  <c r="AD215" i="1"/>
  <c r="AD211" i="1"/>
  <c r="AD207" i="1"/>
  <c r="AD320" i="1"/>
  <c r="AD244" i="1"/>
  <c r="AD240" i="1"/>
  <c r="AD314" i="1"/>
  <c r="AD235" i="1"/>
  <c r="AD234" i="1"/>
  <c r="AD287" i="1"/>
  <c r="AD209" i="1"/>
  <c r="AD208" i="1"/>
  <c r="AD270" i="1"/>
  <c r="AD266" i="1"/>
  <c r="AD262" i="1"/>
  <c r="AD256" i="1"/>
  <c r="AD252" i="1"/>
  <c r="AD248" i="1"/>
  <c r="AD306" i="1"/>
  <c r="AD302" i="1"/>
  <c r="AD298" i="1"/>
  <c r="AD231" i="1"/>
  <c r="AD227" i="1"/>
  <c r="AD223" i="1"/>
  <c r="AD282" i="1"/>
  <c r="AD278" i="1"/>
  <c r="AD274" i="1"/>
  <c r="AD203" i="1"/>
  <c r="AD199" i="1"/>
  <c r="AD195" i="1"/>
  <c r="AD189" i="1"/>
  <c r="AD185" i="1"/>
  <c r="AD181" i="1"/>
  <c r="AD178" i="1"/>
  <c r="AD174" i="1"/>
  <c r="AD170" i="1"/>
  <c r="AD167" i="1"/>
  <c r="AD158" i="1"/>
  <c r="AD151" i="1"/>
  <c r="AD147" i="1"/>
  <c r="AD143" i="1"/>
  <c r="AD141" i="1"/>
  <c r="AD137" i="1"/>
  <c r="AD133" i="1"/>
  <c r="AD113" i="1"/>
  <c r="AD109" i="1"/>
  <c r="AD105" i="1"/>
  <c r="AD102" i="1"/>
  <c r="AD98" i="1"/>
  <c r="AD94" i="1"/>
  <c r="AD86" i="1"/>
  <c r="AD82" i="1"/>
  <c r="AD78" i="1"/>
  <c r="AD76" i="1"/>
  <c r="AD72" i="1"/>
  <c r="AD68" i="1"/>
  <c r="AD62" i="1"/>
  <c r="AD58" i="1"/>
  <c r="AD54" i="1"/>
  <c r="AD48" i="1"/>
  <c r="AD44" i="1"/>
  <c r="AD40" i="1"/>
  <c r="AD37" i="1"/>
  <c r="AD28" i="1"/>
  <c r="AD14" i="1"/>
  <c r="AD322" i="1"/>
  <c r="AD318" i="1"/>
  <c r="AD317" i="1"/>
  <c r="AD243" i="1"/>
  <c r="AD239" i="1"/>
  <c r="AD238" i="1"/>
  <c r="AD295" i="1"/>
  <c r="AD291" i="1"/>
  <c r="AD290" i="1"/>
  <c r="AD217" i="1"/>
  <c r="AD213" i="1"/>
  <c r="AD212" i="1"/>
  <c r="AD264" i="1"/>
  <c r="AD263" i="1"/>
  <c r="AD260" i="1"/>
  <c r="AD257" i="1"/>
  <c r="AD250" i="1"/>
  <c r="AD249" i="1"/>
  <c r="AD246" i="1"/>
  <c r="AD308" i="1"/>
  <c r="AD307" i="1"/>
  <c r="AD304" i="1"/>
  <c r="AD300" i="1"/>
  <c r="AD299" i="1"/>
  <c r="AD229" i="1"/>
  <c r="AD228" i="1"/>
  <c r="AD225" i="1"/>
  <c r="AD221" i="1"/>
  <c r="AD220" i="1"/>
  <c r="AD280" i="1"/>
  <c r="AD279" i="1"/>
  <c r="AD276" i="1"/>
  <c r="AD201" i="1"/>
  <c r="AD187" i="1"/>
  <c r="AD172" i="1"/>
  <c r="AD153" i="1"/>
  <c r="AD139" i="1"/>
  <c r="AD115" i="1"/>
  <c r="AD96" i="1"/>
  <c r="AD88" i="1"/>
  <c r="AD74" i="1"/>
  <c r="AD50" i="1"/>
  <c r="AD21" i="1"/>
  <c r="AD272" i="1"/>
  <c r="AD205" i="1"/>
  <c r="AD204" i="1"/>
  <c r="AD197" i="1"/>
  <c r="AD196" i="1"/>
  <c r="AD191" i="1"/>
  <c r="AD190" i="1"/>
  <c r="AD183" i="1"/>
  <c r="AD182" i="1"/>
  <c r="AD176" i="1"/>
  <c r="AD175" i="1"/>
  <c r="AD168" i="1"/>
  <c r="AD164" i="1"/>
  <c r="AD162" i="1"/>
  <c r="AD160" i="1"/>
  <c r="AD149" i="1"/>
  <c r="AD148" i="1"/>
  <c r="AD135" i="1"/>
  <c r="AD134" i="1"/>
  <c r="AD111" i="1"/>
  <c r="AD110" i="1"/>
  <c r="AD100" i="1"/>
  <c r="AD99" i="1"/>
  <c r="AD92" i="1"/>
  <c r="AD91" i="1"/>
  <c r="AD84" i="1"/>
  <c r="AD83" i="1"/>
  <c r="AD70" i="1"/>
  <c r="AD69" i="1"/>
  <c r="AD60" i="1"/>
  <c r="AD59" i="1"/>
  <c r="AD52" i="1"/>
  <c r="AD46" i="1"/>
  <c r="AD45" i="1"/>
  <c r="AD35" i="1"/>
  <c r="AD34" i="1"/>
  <c r="AD16" i="1"/>
  <c r="AD26" i="1"/>
  <c r="AD24" i="1"/>
  <c r="AD319" i="1"/>
  <c r="AD311" i="1"/>
  <c r="AD236" i="1"/>
  <c r="AD296" i="1"/>
  <c r="AD292" i="1"/>
  <c r="AD288" i="1"/>
  <c r="AD218" i="1"/>
  <c r="AD214" i="1"/>
  <c r="AD210" i="1"/>
  <c r="AD269" i="1"/>
  <c r="AD265" i="1"/>
  <c r="AD261" i="1"/>
  <c r="AD255" i="1"/>
  <c r="AD251" i="1"/>
  <c r="AD247" i="1"/>
  <c r="AD309" i="1"/>
  <c r="AD305" i="1"/>
  <c r="AD301" i="1"/>
  <c r="AD230" i="1"/>
  <c r="AD226" i="1"/>
  <c r="AD222" i="1"/>
  <c r="AD281" i="1"/>
  <c r="AD277" i="1"/>
  <c r="AD273" i="1"/>
  <c r="AD202" i="1"/>
  <c r="AD198" i="1"/>
  <c r="AD194" i="1"/>
  <c r="AD192" i="1"/>
  <c r="AD188" i="1"/>
  <c r="AD184" i="1"/>
  <c r="AD177" i="1"/>
  <c r="AD173" i="1"/>
  <c r="AD169" i="1"/>
  <c r="AD166" i="1"/>
  <c r="AD163" i="1"/>
  <c r="AD156" i="1"/>
  <c r="AD154" i="1"/>
  <c r="AD150" i="1"/>
  <c r="AD146" i="1"/>
  <c r="AD140" i="1"/>
  <c r="AD136" i="1"/>
  <c r="AD132" i="1"/>
  <c r="AD112" i="1"/>
  <c r="AD108" i="1"/>
  <c r="AD104" i="1"/>
  <c r="AD101" i="1"/>
  <c r="AD97" i="1"/>
  <c r="AD93" i="1"/>
  <c r="AD89" i="1"/>
  <c r="AD85" i="1"/>
  <c r="AD81" i="1"/>
  <c r="AD75" i="1"/>
  <c r="AD71" i="1"/>
  <c r="AD67" i="1"/>
  <c r="AD61" i="1"/>
  <c r="AD57" i="1"/>
  <c r="AD53" i="1"/>
  <c r="AD47" i="1"/>
  <c r="AD43" i="1"/>
  <c r="AD39" i="1"/>
  <c r="AD36" i="1"/>
  <c r="AD32" i="1"/>
  <c r="AD22" i="1"/>
  <c r="AD18" i="1"/>
  <c r="AD315" i="1"/>
  <c r="AD31" i="1"/>
  <c r="AD27" i="1"/>
  <c r="AD17" i="1"/>
  <c r="AD13" i="1"/>
  <c r="AD33" i="1"/>
  <c r="AD29" i="1"/>
  <c r="AD23" i="1"/>
  <c r="AD19" i="1"/>
  <c r="AD15" i="1"/>
  <c r="CG161" i="1" l="1"/>
  <c r="CF161" i="1"/>
  <c r="CF165" i="1"/>
  <c r="CH127" i="1"/>
  <c r="CH119" i="1"/>
  <c r="CG124" i="1"/>
  <c r="CI127" i="1"/>
  <c r="CI125" i="1"/>
  <c r="CF118" i="1"/>
  <c r="CG123" i="1"/>
  <c r="CF129" i="1"/>
  <c r="CH129" i="1"/>
  <c r="CF121" i="1"/>
  <c r="CF122" i="1"/>
  <c r="CI117" i="1"/>
  <c r="CF128" i="1"/>
  <c r="CG129" i="1"/>
  <c r="CF120" i="1"/>
  <c r="CF123" i="1"/>
  <c r="CG128" i="1"/>
  <c r="CF125" i="1"/>
  <c r="CH157" i="1"/>
  <c r="CG122" i="1"/>
  <c r="CH128" i="1"/>
  <c r="CG117" i="1"/>
  <c r="CG125" i="1"/>
  <c r="CI129" i="1"/>
  <c r="CI120" i="1"/>
  <c r="CF117" i="1"/>
  <c r="CG126" i="1"/>
  <c r="CF124" i="1"/>
  <c r="CI124" i="1"/>
  <c r="CG121" i="1"/>
  <c r="CH118" i="1"/>
  <c r="CF126" i="1"/>
  <c r="CF127" i="1"/>
  <c r="CH123" i="1"/>
  <c r="CE117" i="1"/>
  <c r="CE121" i="1"/>
  <c r="CI122" i="1"/>
  <c r="CG165" i="1"/>
  <c r="CH161" i="1"/>
  <c r="CE123" i="1"/>
  <c r="CE127" i="1"/>
  <c r="CE125" i="1"/>
  <c r="CG157" i="1"/>
  <c r="CI165" i="1"/>
  <c r="CI157" i="1"/>
  <c r="CH165" i="1"/>
  <c r="CF157" i="1"/>
  <c r="CI121" i="1"/>
  <c r="CI118" i="1"/>
  <c r="CH120" i="1"/>
  <c r="CH125" i="1"/>
  <c r="CI123" i="1"/>
  <c r="CG120" i="1"/>
  <c r="CH117" i="1"/>
  <c r="CG127" i="1"/>
  <c r="CI126" i="1"/>
  <c r="CG119" i="1"/>
  <c r="CH122" i="1"/>
  <c r="CI128" i="1"/>
  <c r="CF119" i="1"/>
  <c r="CE129" i="1"/>
  <c r="CE122" i="1"/>
  <c r="CI119" i="1"/>
  <c r="CH126" i="1"/>
  <c r="CH124" i="1"/>
  <c r="CI161" i="1"/>
  <c r="CG118" i="1"/>
  <c r="CH121" i="1"/>
  <c r="CE180" i="1"/>
  <c r="CG180" i="1"/>
  <c r="CE177" i="1"/>
  <c r="BY188" i="1"/>
  <c r="BY176" i="1"/>
  <c r="BY180" i="1"/>
  <c r="BY171" i="1"/>
  <c r="BY170" i="1"/>
  <c r="BY169" i="1"/>
  <c r="BY168" i="1"/>
  <c r="BY172" i="1"/>
  <c r="BY238" i="1"/>
  <c r="CF180" i="1"/>
  <c r="BY175" i="1"/>
  <c r="BY177" i="1"/>
  <c r="BY174" i="1"/>
  <c r="BY173" i="1"/>
  <c r="BY179" i="1"/>
  <c r="BY178" i="1"/>
  <c r="AS52" i="56"/>
  <c r="AS39" i="56"/>
  <c r="AS208" i="56"/>
  <c r="AS195" i="56"/>
  <c r="AS182" i="56"/>
  <c r="AS143" i="56"/>
  <c r="AS156" i="56"/>
  <c r="AS117" i="56"/>
  <c r="AS104" i="56"/>
  <c r="AS21" i="56"/>
  <c r="AS377" i="56"/>
  <c r="AS364" i="56"/>
  <c r="AS24" i="56"/>
  <c r="AS16" i="56"/>
  <c r="AS22" i="56"/>
  <c r="AS19" i="56"/>
  <c r="BY25" i="1"/>
  <c r="BY20" i="1"/>
  <c r="BY22" i="1"/>
  <c r="BY33" i="1"/>
  <c r="BY14" i="1"/>
  <c r="BY18" i="1"/>
  <c r="BY13" i="1"/>
  <c r="BY17" i="1"/>
  <c r="BY21" i="1"/>
  <c r="BY15" i="1"/>
  <c r="BY19" i="1"/>
  <c r="BY23" i="1"/>
  <c r="BY24" i="1"/>
  <c r="BY16" i="1"/>
  <c r="BY46" i="1"/>
  <c r="CE13" i="1"/>
  <c r="CF25" i="1"/>
  <c r="CG22" i="1"/>
  <c r="CE23" i="1"/>
  <c r="CG16" i="1"/>
  <c r="CE21" i="1"/>
  <c r="CG14" i="1"/>
  <c r="CF14" i="1"/>
  <c r="CG25" i="1"/>
  <c r="CE17" i="1"/>
  <c r="CH25" i="1"/>
  <c r="CG18" i="1"/>
  <c r="CE14" i="1"/>
  <c r="CG19" i="1"/>
  <c r="CF16" i="1"/>
  <c r="CG24" i="1"/>
  <c r="CF23" i="1"/>
  <c r="CF17" i="1"/>
  <c r="CF24" i="1"/>
  <c r="CG13" i="1"/>
  <c r="CF22" i="1"/>
  <c r="CF15" i="1"/>
  <c r="CF13" i="1"/>
  <c r="CG23" i="1"/>
  <c r="CE19" i="1"/>
  <c r="CG17" i="1"/>
  <c r="CG21" i="1"/>
  <c r="CF21" i="1"/>
  <c r="CG15" i="1"/>
  <c r="CF19" i="1"/>
  <c r="CI25" i="1"/>
  <c r="CF18" i="1"/>
  <c r="CE22" i="1"/>
  <c r="CE20" i="1"/>
  <c r="CE18" i="1"/>
  <c r="BS124" i="1"/>
  <c r="BS157" i="1"/>
  <c r="BS161" i="1"/>
  <c r="CE165" i="1"/>
  <c r="BY165" i="1"/>
  <c r="BS165" i="1"/>
  <c r="CE157" i="1"/>
  <c r="BY157" i="1"/>
  <c r="CE161" i="1"/>
  <c r="BY161" i="1"/>
  <c r="CE124" i="1"/>
  <c r="CE118" i="1"/>
  <c r="BY108" i="1"/>
  <c r="CE108" i="1"/>
  <c r="BY126" i="1"/>
  <c r="BY124" i="1"/>
  <c r="BY118" i="1"/>
  <c r="BY121" i="1"/>
  <c r="BS123" i="1"/>
  <c r="BS126" i="1"/>
  <c r="BS119" i="1"/>
  <c r="BY127" i="1"/>
  <c r="BS127" i="1"/>
  <c r="BY120" i="1"/>
  <c r="BY117" i="1"/>
  <c r="BY128" i="1"/>
  <c r="BS117" i="1"/>
  <c r="BY125" i="1"/>
  <c r="BY129" i="1"/>
  <c r="BY122" i="1"/>
  <c r="BY123" i="1"/>
  <c r="BS125" i="1"/>
  <c r="BS120" i="1"/>
  <c r="BY119" i="1"/>
  <c r="BS129" i="1"/>
  <c r="BS122" i="1"/>
  <c r="BS128" i="1"/>
  <c r="BS64" i="1"/>
  <c r="BS103" i="1"/>
  <c r="BS90" i="1"/>
  <c r="BS219" i="1"/>
  <c r="BS25" i="1"/>
  <c r="BS51" i="1"/>
  <c r="BS323" i="1"/>
  <c r="BS297" i="1"/>
  <c r="BS271" i="1"/>
  <c r="BS258" i="1"/>
  <c r="BS180" i="1"/>
  <c r="BS142" i="1"/>
  <c r="BS310" i="1"/>
  <c r="BS193" i="1"/>
  <c r="BS38" i="1"/>
  <c r="BS232" i="1"/>
  <c r="BS245" i="1"/>
  <c r="BS77" i="1"/>
  <c r="BS116" i="1"/>
  <c r="BS284" i="1"/>
  <c r="BS206" i="1"/>
  <c r="BS155" i="1"/>
  <c r="E14" i="5"/>
  <c r="E62" i="5" s="1"/>
  <c r="C24" i="1"/>
  <c r="C23" i="1"/>
  <c r="C22" i="1"/>
  <c r="C21" i="1"/>
  <c r="C20" i="1"/>
  <c r="C19" i="1"/>
  <c r="C18" i="1"/>
  <c r="C17" i="1"/>
  <c r="C16" i="1"/>
  <c r="C15" i="1"/>
  <c r="C14" i="1"/>
  <c r="C37" i="1"/>
  <c r="C36" i="1"/>
  <c r="C35" i="1"/>
  <c r="C34" i="1"/>
  <c r="C33" i="1"/>
  <c r="C32" i="1"/>
  <c r="C31" i="1"/>
  <c r="C30" i="1"/>
  <c r="C29" i="1"/>
  <c r="C28" i="1"/>
  <c r="C27" i="1"/>
  <c r="AP11" i="56" l="1"/>
  <c r="R11" i="56"/>
  <c r="AD11" i="56"/>
  <c r="AA11" i="56"/>
  <c r="O11" i="56"/>
  <c r="M11" i="56"/>
  <c r="AM11" i="56"/>
  <c r="AK11" i="56"/>
  <c r="Y11" i="56"/>
  <c r="AS18" i="56"/>
  <c r="AS260" i="56"/>
  <c r="AS312" i="56"/>
  <c r="AS91" i="56"/>
  <c r="AS247" i="56"/>
  <c r="AS299" i="56"/>
  <c r="AS403" i="56"/>
  <c r="AS27" i="56"/>
  <c r="AS23" i="56"/>
  <c r="AS26" i="56"/>
  <c r="AS338" i="56"/>
  <c r="AS390" i="56"/>
  <c r="AS25" i="56"/>
  <c r="AS351" i="56"/>
  <c r="AS28" i="56"/>
  <c r="AS78" i="56"/>
  <c r="AS130" i="56"/>
  <c r="AS169" i="56"/>
  <c r="AS221" i="56"/>
  <c r="AS293" i="56"/>
  <c r="AS358" i="56"/>
  <c r="AS20" i="56"/>
  <c r="AS261" i="56"/>
  <c r="AS313" i="56"/>
  <c r="AS378" i="56"/>
  <c r="AS17" i="56"/>
  <c r="AS246" i="56"/>
  <c r="AS298" i="56"/>
  <c r="AS311" i="56"/>
  <c r="AS389" i="56"/>
  <c r="AS239" i="56"/>
  <c r="AS291" i="56"/>
  <c r="AS343" i="56"/>
  <c r="AS395" i="56"/>
  <c r="AS273" i="56"/>
  <c r="AS325" i="56"/>
  <c r="AS65" i="56"/>
  <c r="AS228" i="56"/>
  <c r="AS280" i="56"/>
  <c r="AS319" i="56"/>
  <c r="AS384" i="56"/>
  <c r="AS248" i="56"/>
  <c r="AS287" i="56"/>
  <c r="AS352" i="56"/>
  <c r="AS404" i="56"/>
  <c r="AS259" i="56"/>
  <c r="AS324" i="56"/>
  <c r="AS363" i="56"/>
  <c r="AS252" i="56"/>
  <c r="AS317" i="56"/>
  <c r="AS369" i="56"/>
  <c r="AS238" i="56"/>
  <c r="AS290" i="56"/>
  <c r="AS316" i="56"/>
  <c r="AS381" i="56"/>
  <c r="AS229" i="56"/>
  <c r="AS281" i="56"/>
  <c r="AS346" i="56"/>
  <c r="AS398" i="56"/>
  <c r="AS234" i="56"/>
  <c r="AS286" i="56"/>
  <c r="AS241" i="56"/>
  <c r="AS306" i="56"/>
  <c r="AS345" i="56"/>
  <c r="AS397" i="56"/>
  <c r="AS274" i="56"/>
  <c r="AS326" i="56"/>
  <c r="AS365" i="56"/>
  <c r="AS272" i="56"/>
  <c r="AS337" i="56"/>
  <c r="AS376" i="56"/>
  <c r="AS226" i="56"/>
  <c r="AS278" i="56"/>
  <c r="AS304" i="56"/>
  <c r="AS382" i="56"/>
  <c r="AS225" i="56"/>
  <c r="AS303" i="56"/>
  <c r="AS342" i="56"/>
  <c r="AS394" i="56"/>
  <c r="AS255" i="56"/>
  <c r="AS320" i="56"/>
  <c r="AS359" i="56"/>
  <c r="AS243" i="56"/>
  <c r="AS308" i="56"/>
  <c r="AS347" i="56"/>
  <c r="AS399" i="56"/>
  <c r="AS262" i="56"/>
  <c r="AS314" i="56"/>
  <c r="AS379" i="56"/>
  <c r="AS263" i="56"/>
  <c r="AS289" i="56"/>
  <c r="AS354" i="56"/>
  <c r="AS245" i="56"/>
  <c r="AS297" i="56"/>
  <c r="AS336" i="56"/>
  <c r="AS388" i="56"/>
  <c r="AS227" i="56"/>
  <c r="AS279" i="56"/>
  <c r="AS344" i="56"/>
  <c r="AS396" i="56"/>
  <c r="AS270" i="56"/>
  <c r="AS322" i="56"/>
  <c r="AS361" i="56"/>
  <c r="AS267" i="56"/>
  <c r="AS251" i="56"/>
  <c r="AS254" i="56"/>
  <c r="AS332" i="56"/>
  <c r="AS371" i="56"/>
  <c r="AS235" i="56"/>
  <c r="AS300" i="56"/>
  <c r="AS339" i="56"/>
  <c r="AS391" i="56"/>
  <c r="AS233" i="56"/>
  <c r="AS285" i="56"/>
  <c r="AS350" i="56"/>
  <c r="AS402" i="56"/>
  <c r="AS265" i="56"/>
  <c r="AS330" i="56"/>
  <c r="AS356" i="56"/>
  <c r="AS264" i="56"/>
  <c r="AS329" i="56"/>
  <c r="AS230" i="56"/>
  <c r="AS282" i="56"/>
  <c r="AS321" i="56"/>
  <c r="AS386" i="56"/>
  <c r="AS275" i="56"/>
  <c r="AS327" i="56"/>
  <c r="AS366" i="56"/>
  <c r="AS237" i="56"/>
  <c r="AS276" i="56"/>
  <c r="AS341" i="56"/>
  <c r="AS393" i="56"/>
  <c r="AS271" i="56"/>
  <c r="AS323" i="56"/>
  <c r="AS375" i="56"/>
  <c r="AS240" i="56"/>
  <c r="AS292" i="56"/>
  <c r="AS318" i="56"/>
  <c r="AS383" i="56"/>
  <c r="AS244" i="56"/>
  <c r="AS283" i="56"/>
  <c r="AS335" i="56"/>
  <c r="AS400" i="56"/>
  <c r="AS277" i="56"/>
  <c r="AS355" i="56"/>
  <c r="AS268" i="56"/>
  <c r="AS307" i="56"/>
  <c r="AS372" i="56"/>
  <c r="AS269" i="56"/>
  <c r="AS295" i="56"/>
  <c r="AS360" i="56"/>
  <c r="AS236" i="56"/>
  <c r="AS288" i="56"/>
  <c r="AS340" i="56"/>
  <c r="AS392" i="56"/>
  <c r="AS250" i="56"/>
  <c r="AS328" i="56"/>
  <c r="AS367" i="56"/>
  <c r="AS232" i="56"/>
  <c r="AS284" i="56"/>
  <c r="AS349" i="56"/>
  <c r="AS401" i="56"/>
  <c r="AS253" i="56"/>
  <c r="AS305" i="56"/>
  <c r="AS357" i="56"/>
  <c r="AS257" i="56"/>
  <c r="AS309" i="56"/>
  <c r="AS374" i="56"/>
  <c r="AS368" i="56"/>
  <c r="AS242" i="56"/>
  <c r="AS294" i="56"/>
  <c r="AS333" i="56"/>
  <c r="AS385" i="56"/>
  <c r="AS256" i="56"/>
  <c r="AS334" i="56"/>
  <c r="AS373" i="56"/>
  <c r="AS249" i="56"/>
  <c r="AS301" i="56"/>
  <c r="AS353" i="56"/>
  <c r="AS405" i="56"/>
  <c r="AS224" i="56"/>
  <c r="AS302" i="56"/>
  <c r="AS315" i="56"/>
  <c r="AS380" i="56"/>
  <c r="AS258" i="56"/>
  <c r="AS310" i="56"/>
  <c r="AS362" i="56"/>
  <c r="AS266" i="56"/>
  <c r="AS331" i="56"/>
  <c r="AS370" i="56"/>
  <c r="AS231" i="56"/>
  <c r="AS296" i="56"/>
  <c r="AS348" i="56"/>
  <c r="AS387" i="56"/>
  <c r="AS59" i="56"/>
  <c r="AS111" i="56"/>
  <c r="AS176" i="56"/>
  <c r="AS66" i="56"/>
  <c r="AS118" i="56"/>
  <c r="AS170" i="56"/>
  <c r="AS222" i="56"/>
  <c r="AS90" i="56"/>
  <c r="AS142" i="56"/>
  <c r="AS207" i="56"/>
  <c r="AS96" i="56"/>
  <c r="AS135" i="56"/>
  <c r="AS187" i="56"/>
  <c r="AS56" i="56"/>
  <c r="AS108" i="56"/>
  <c r="AS173" i="56"/>
  <c r="AS73" i="56"/>
  <c r="AS125" i="56"/>
  <c r="AS164" i="56"/>
  <c r="AS203" i="56"/>
  <c r="AS100" i="56"/>
  <c r="AS152" i="56"/>
  <c r="AS191" i="56"/>
  <c r="AS80" i="56"/>
  <c r="AS132" i="56"/>
  <c r="AS171" i="56"/>
  <c r="AS223" i="56"/>
  <c r="AS68" i="56"/>
  <c r="AS120" i="56"/>
  <c r="AS172" i="56"/>
  <c r="AS102" i="56"/>
  <c r="AS141" i="56"/>
  <c r="AS206" i="56"/>
  <c r="AS84" i="56"/>
  <c r="AS149" i="56"/>
  <c r="AS188" i="56"/>
  <c r="AS75" i="56"/>
  <c r="AS127" i="56"/>
  <c r="AS179" i="56"/>
  <c r="AS98" i="56"/>
  <c r="AS150" i="56"/>
  <c r="AS189" i="56"/>
  <c r="AS79" i="56"/>
  <c r="AS131" i="56"/>
  <c r="AS183" i="56"/>
  <c r="AS77" i="56"/>
  <c r="AS129" i="56"/>
  <c r="AS168" i="56"/>
  <c r="AS220" i="56"/>
  <c r="AS83" i="56"/>
  <c r="AS148" i="56"/>
  <c r="AS200" i="56"/>
  <c r="AS82" i="56"/>
  <c r="AS147" i="56"/>
  <c r="AS186" i="56"/>
  <c r="AS60" i="56"/>
  <c r="AS112" i="56"/>
  <c r="AS177" i="56"/>
  <c r="AS87" i="56"/>
  <c r="AS139" i="56"/>
  <c r="AS217" i="56"/>
  <c r="AS67" i="56"/>
  <c r="AS119" i="56"/>
  <c r="AS184" i="56"/>
  <c r="AS94" i="56"/>
  <c r="AS133" i="56"/>
  <c r="AS185" i="56"/>
  <c r="AS76" i="56"/>
  <c r="AS128" i="56"/>
  <c r="AS167" i="56"/>
  <c r="AS219" i="56"/>
  <c r="AS97" i="56"/>
  <c r="AS136" i="56"/>
  <c r="AS201" i="56"/>
  <c r="AS101" i="56"/>
  <c r="AS140" i="56"/>
  <c r="AS192" i="56"/>
  <c r="AS85" i="56"/>
  <c r="AS137" i="56"/>
  <c r="AS202" i="56"/>
  <c r="AS105" i="56"/>
  <c r="AS144" i="56"/>
  <c r="AS196" i="56"/>
  <c r="AS64" i="56"/>
  <c r="AS116" i="56"/>
  <c r="AS181" i="56"/>
  <c r="AS57" i="56"/>
  <c r="AS109" i="56"/>
  <c r="AS161" i="56"/>
  <c r="AS213" i="56"/>
  <c r="AS95" i="56"/>
  <c r="AS134" i="56"/>
  <c r="AS199" i="56"/>
  <c r="AS99" i="56"/>
  <c r="AS151" i="56"/>
  <c r="AS190" i="56"/>
  <c r="AS74" i="56"/>
  <c r="AS126" i="56"/>
  <c r="AS165" i="56"/>
  <c r="AS204" i="56"/>
  <c r="AS106" i="56"/>
  <c r="AS158" i="56"/>
  <c r="AS197" i="56"/>
  <c r="AS81" i="56"/>
  <c r="AS146" i="56"/>
  <c r="AS198" i="56"/>
  <c r="AS63" i="56"/>
  <c r="AS115" i="56"/>
  <c r="AS180" i="56"/>
  <c r="AS71" i="56"/>
  <c r="AS123" i="56"/>
  <c r="AS162" i="56"/>
  <c r="AS214" i="56"/>
  <c r="AS88" i="56"/>
  <c r="AS153" i="56"/>
  <c r="AS205" i="56"/>
  <c r="AS72" i="56"/>
  <c r="AS124" i="56"/>
  <c r="AS163" i="56"/>
  <c r="AS215" i="56"/>
  <c r="AS92" i="56"/>
  <c r="AS157" i="56"/>
  <c r="AS209" i="56"/>
  <c r="AS103" i="56"/>
  <c r="AS155" i="56"/>
  <c r="AS194" i="56"/>
  <c r="AS70" i="56"/>
  <c r="AS122" i="56"/>
  <c r="AS174" i="56"/>
  <c r="AS69" i="56"/>
  <c r="AS121" i="56"/>
  <c r="AS160" i="56"/>
  <c r="AS212" i="56"/>
  <c r="AS86" i="56"/>
  <c r="AS138" i="56"/>
  <c r="AS216" i="56"/>
  <c r="AS61" i="56"/>
  <c r="AS113" i="56"/>
  <c r="AS178" i="56"/>
  <c r="AS93" i="56"/>
  <c r="AS145" i="56"/>
  <c r="AS210" i="56"/>
  <c r="AS55" i="56"/>
  <c r="AS107" i="56"/>
  <c r="AS159" i="56"/>
  <c r="AS211" i="56"/>
  <c r="AS89" i="56"/>
  <c r="AS154" i="56"/>
  <c r="AS193" i="56"/>
  <c r="AS58" i="56"/>
  <c r="AS110" i="56"/>
  <c r="AS175" i="56"/>
  <c r="AS62" i="56"/>
  <c r="AS114" i="56"/>
  <c r="AS166" i="56"/>
  <c r="AS218" i="56"/>
  <c r="AS40" i="56"/>
  <c r="AS31" i="56"/>
  <c r="AS34" i="56"/>
  <c r="AS32" i="56"/>
  <c r="AS53" i="56"/>
  <c r="AS44" i="56"/>
  <c r="AS47" i="56"/>
  <c r="AS45" i="56"/>
  <c r="AS33" i="56"/>
  <c r="AS38" i="56"/>
  <c r="AS30" i="56"/>
  <c r="AS35" i="56"/>
  <c r="AS41" i="56"/>
  <c r="AS29" i="56"/>
  <c r="AS37" i="56"/>
  <c r="AS36" i="56"/>
  <c r="AS46" i="56"/>
  <c r="AS51" i="56"/>
  <c r="AS43" i="56"/>
  <c r="AS48" i="56"/>
  <c r="AS54" i="56"/>
  <c r="AS42" i="56"/>
  <c r="AS50" i="56"/>
  <c r="AS49" i="56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AR11" i="56" l="1"/>
  <c r="P11" i="56"/>
  <c r="AB11" i="56"/>
  <c r="AN11" i="56"/>
  <c r="C13" i="1"/>
  <c r="C26" i="1"/>
  <c r="AP404" i="60" l="1"/>
  <c r="AC11" i="56"/>
  <c r="Q11" i="56"/>
  <c r="S11" i="56"/>
  <c r="AO11" i="56"/>
  <c r="AE11" i="56"/>
  <c r="AO404" i="60" l="1"/>
  <c r="I15" i="55"/>
  <c r="AQ11" i="56"/>
  <c r="E20" i="49"/>
  <c r="BQ130" i="1"/>
  <c r="CH130" i="1" s="1"/>
  <c r="BQ114" i="1"/>
  <c r="CH114" i="1" s="1"/>
  <c r="BQ39" i="1"/>
  <c r="CH39" i="1" s="1"/>
  <c r="BN259" i="1"/>
  <c r="CE259" i="1" s="1"/>
  <c r="BR40" i="1"/>
  <c r="CI40" i="1" s="1"/>
  <c r="BQ110" i="1"/>
  <c r="CH110" i="1" s="1"/>
  <c r="BR93" i="1"/>
  <c r="CI93" i="1" s="1"/>
  <c r="BR44" i="1"/>
  <c r="CI44" i="1" s="1"/>
  <c r="BP191" i="1"/>
  <c r="CG191" i="1" s="1"/>
  <c r="BP170" i="1"/>
  <c r="CG170" i="1" s="1"/>
  <c r="BP270" i="1"/>
  <c r="CG270" i="1" s="1"/>
  <c r="BR70" i="1"/>
  <c r="CI70" i="1" s="1"/>
  <c r="BR110" i="1"/>
  <c r="CI110" i="1" s="1"/>
  <c r="BN285" i="1"/>
  <c r="CE285" i="1" s="1"/>
  <c r="BQ106" i="1"/>
  <c r="CH106" i="1" s="1"/>
  <c r="BQ22" i="1"/>
  <c r="CH22" i="1" s="1"/>
  <c r="BP181" i="1"/>
  <c r="CG181" i="1" s="1"/>
  <c r="BP225" i="1"/>
  <c r="CG225" i="1" s="1"/>
  <c r="BR97" i="1"/>
  <c r="CI97" i="1" s="1"/>
  <c r="BO182" i="1"/>
  <c r="CF182" i="1" s="1"/>
  <c r="BP242" i="1"/>
  <c r="CG242" i="1" s="1"/>
  <c r="BR72" i="1"/>
  <c r="CI72" i="1" s="1"/>
  <c r="BQ46" i="1"/>
  <c r="CH46" i="1" s="1"/>
  <c r="BR91" i="1"/>
  <c r="CI91" i="1" s="1"/>
  <c r="BR156" i="1"/>
  <c r="CI156" i="1" s="1"/>
  <c r="BN303" i="1"/>
  <c r="CE303" i="1" s="1"/>
  <c r="BR58" i="1"/>
  <c r="CI58" i="1" s="1"/>
  <c r="BQ151" i="1"/>
  <c r="CH151" i="1" s="1"/>
  <c r="BR41" i="1"/>
  <c r="CI41" i="1" s="1"/>
  <c r="BR35" i="1"/>
  <c r="CI35" i="1" s="1"/>
  <c r="BO179" i="1"/>
  <c r="CF179" i="1" s="1"/>
  <c r="BR89" i="1"/>
  <c r="CI89" i="1" s="1"/>
  <c r="BR162" i="1"/>
  <c r="CI162" i="1" s="1"/>
  <c r="BO178" i="1"/>
  <c r="CF178" i="1" s="1"/>
  <c r="BP230" i="1"/>
  <c r="CG230" i="1" s="1"/>
  <c r="BP246" i="1"/>
  <c r="CG246" i="1" s="1"/>
  <c r="BN263" i="1"/>
  <c r="CE263" i="1" s="1"/>
  <c r="BO264" i="1"/>
  <c r="CF264" i="1" s="1"/>
  <c r="BO311" i="1"/>
  <c r="CF311" i="1" s="1"/>
  <c r="BN221" i="1"/>
  <c r="CE221" i="1" s="1"/>
  <c r="BO235" i="1"/>
  <c r="CF235" i="1" s="1"/>
  <c r="BQ150" i="1"/>
  <c r="CH150" i="1" s="1"/>
  <c r="BR95" i="1"/>
  <c r="CI95" i="1" s="1"/>
  <c r="BR163" i="1"/>
  <c r="CI163" i="1" s="1"/>
  <c r="BO196" i="1"/>
  <c r="CF196" i="1" s="1"/>
  <c r="BR135" i="1"/>
  <c r="CI135" i="1" s="1"/>
  <c r="BO187" i="1"/>
  <c r="CF187" i="1" s="1"/>
  <c r="BP227" i="1"/>
  <c r="CG227" i="1" s="1"/>
  <c r="BR136" i="1"/>
  <c r="CI136" i="1" s="1"/>
  <c r="BR158" i="1"/>
  <c r="CI158" i="1" s="1"/>
  <c r="BP172" i="1"/>
  <c r="CG172" i="1" s="1"/>
  <c r="BN202" i="1"/>
  <c r="CE202" i="1" s="1"/>
  <c r="BP305" i="1"/>
  <c r="CG305" i="1" s="1"/>
  <c r="BN280" i="1"/>
  <c r="CE280" i="1" s="1"/>
  <c r="BP239" i="1"/>
  <c r="CG239" i="1" s="1"/>
  <c r="BP192" i="1"/>
  <c r="CG192" i="1" s="1"/>
  <c r="BN233" i="1"/>
  <c r="CE233" i="1" s="1"/>
  <c r="BP269" i="1"/>
  <c r="CG269" i="1" s="1"/>
  <c r="BO286" i="1"/>
  <c r="CF286" i="1" s="1"/>
  <c r="BQ63" i="1"/>
  <c r="CH63" i="1" s="1"/>
  <c r="BQ163" i="1"/>
  <c r="CH163" i="1" s="1"/>
  <c r="BQ76" i="1"/>
  <c r="CH76" i="1" s="1"/>
  <c r="BR154" i="1"/>
  <c r="CI154" i="1" s="1"/>
  <c r="BQ88" i="1"/>
  <c r="CH88" i="1" s="1"/>
  <c r="BQ146" i="1"/>
  <c r="CH146" i="1" s="1"/>
  <c r="BP201" i="1"/>
  <c r="CG201" i="1" s="1"/>
  <c r="BN304" i="1"/>
  <c r="CE304" i="1" s="1"/>
  <c r="BR144" i="1"/>
  <c r="CI144" i="1" s="1"/>
  <c r="BO226" i="1"/>
  <c r="CF226" i="1" s="1"/>
  <c r="BP253" i="1"/>
  <c r="CG253" i="1" s="1"/>
  <c r="BP268" i="1"/>
  <c r="CG268" i="1" s="1"/>
  <c r="BP267" i="1"/>
  <c r="CG267" i="1" s="1"/>
  <c r="BP320" i="1"/>
  <c r="CG320" i="1" s="1"/>
  <c r="BP184" i="1"/>
  <c r="CG184" i="1" s="1"/>
  <c r="BP281" i="1"/>
  <c r="CG281" i="1" s="1"/>
  <c r="BP252" i="1"/>
  <c r="CG252" i="1" s="1"/>
  <c r="BP220" i="1"/>
  <c r="CG220" i="1" s="1"/>
  <c r="BP257" i="1"/>
  <c r="CG257" i="1" s="1"/>
  <c r="BO305" i="1"/>
  <c r="CF305" i="1" s="1"/>
  <c r="BO287" i="1"/>
  <c r="CF287" i="1" s="1"/>
  <c r="BN212" i="1"/>
  <c r="CE212" i="1" s="1"/>
  <c r="BO320" i="1"/>
  <c r="CF320" i="1" s="1"/>
  <c r="BP188" i="1"/>
  <c r="CG188" i="1" s="1"/>
  <c r="BR94" i="1"/>
  <c r="CI94" i="1" s="1"/>
  <c r="BR34" i="1"/>
  <c r="CI34" i="1" s="1"/>
  <c r="BN189" i="1"/>
  <c r="CE189" i="1" s="1"/>
  <c r="BN252" i="1"/>
  <c r="CE252" i="1" s="1"/>
  <c r="BR80" i="1"/>
  <c r="CI80" i="1" s="1"/>
  <c r="BO173" i="1"/>
  <c r="CF173" i="1" s="1"/>
  <c r="BP195" i="1"/>
  <c r="CG195" i="1" s="1"/>
  <c r="BN278" i="1"/>
  <c r="CE278" i="1" s="1"/>
  <c r="BP301" i="1"/>
  <c r="CG301" i="1" s="1"/>
  <c r="BQ41" i="1"/>
  <c r="CH41" i="1" s="1"/>
  <c r="BR37" i="1"/>
  <c r="CI37" i="1" s="1"/>
  <c r="BQ54" i="1"/>
  <c r="CH54" i="1" s="1"/>
  <c r="BR130" i="1"/>
  <c r="CI130" i="1" s="1"/>
  <c r="BP205" i="1"/>
  <c r="CG205" i="1" s="1"/>
  <c r="BO174" i="1"/>
  <c r="CF174" i="1" s="1"/>
  <c r="BO208" i="1"/>
  <c r="CF208" i="1" s="1"/>
  <c r="BR54" i="1"/>
  <c r="CI54" i="1" s="1"/>
  <c r="BQ78" i="1"/>
  <c r="CH78" i="1" s="1"/>
  <c r="BQ45" i="1"/>
  <c r="CH45" i="1" s="1"/>
  <c r="BQ113" i="1"/>
  <c r="CH113" i="1" s="1"/>
  <c r="BQ29" i="1"/>
  <c r="CH29" i="1" s="1"/>
  <c r="BN173" i="1"/>
  <c r="CE173" i="1" s="1"/>
  <c r="BP274" i="1"/>
  <c r="CG274" i="1" s="1"/>
  <c r="BN200" i="1"/>
  <c r="CE200" i="1" s="1"/>
  <c r="BQ35" i="1"/>
  <c r="CH35" i="1" s="1"/>
  <c r="BQ81" i="1"/>
  <c r="CH81" i="1" s="1"/>
  <c r="BQ94" i="1"/>
  <c r="CH94" i="1" s="1"/>
  <c r="BQ131" i="1"/>
  <c r="CH131" i="1" s="1"/>
  <c r="BP187" i="1"/>
  <c r="CG187" i="1" s="1"/>
  <c r="BP213" i="1"/>
  <c r="CG213" i="1" s="1"/>
  <c r="BO301" i="1"/>
  <c r="CF301" i="1" s="1"/>
  <c r="BO314" i="1"/>
  <c r="CF314" i="1" s="1"/>
  <c r="BO296" i="1"/>
  <c r="CF296" i="1" s="1"/>
  <c r="BP241" i="1"/>
  <c r="CG241" i="1" s="1"/>
  <c r="BQ30" i="1"/>
  <c r="CH30" i="1" s="1"/>
  <c r="BR78" i="1"/>
  <c r="CI78" i="1" s="1"/>
  <c r="BR109" i="1"/>
  <c r="CI109" i="1" s="1"/>
  <c r="BR17" i="1"/>
  <c r="CI17" i="1" s="1"/>
  <c r="BN207" i="1"/>
  <c r="CE207" i="1" s="1"/>
  <c r="BR66" i="1"/>
  <c r="CI66" i="1" s="1"/>
  <c r="BR104" i="1"/>
  <c r="CI104" i="1" s="1"/>
  <c r="BQ15" i="1"/>
  <c r="CH15" i="1" s="1"/>
  <c r="BQ147" i="1"/>
  <c r="CH147" i="1" s="1"/>
  <c r="BN298" i="1"/>
  <c r="CE298" i="1" s="1"/>
  <c r="BN185" i="1"/>
  <c r="CE185" i="1" s="1"/>
  <c r="BN191" i="1"/>
  <c r="CE191" i="1" s="1"/>
  <c r="BO272" i="1"/>
  <c r="CF272" i="1" s="1"/>
  <c r="BO202" i="1"/>
  <c r="CF202" i="1" s="1"/>
  <c r="BP290" i="1"/>
  <c r="CG290" i="1" s="1"/>
  <c r="BP177" i="1"/>
  <c r="CG177" i="1" s="1"/>
  <c r="BN246" i="1"/>
  <c r="CE246" i="1" s="1"/>
  <c r="BP261" i="1"/>
  <c r="CG261" i="1" s="1"/>
  <c r="BO243" i="1"/>
  <c r="CF243" i="1" s="1"/>
  <c r="BP322" i="1"/>
  <c r="CG322" i="1" s="1"/>
  <c r="BQ34" i="1"/>
  <c r="CH34" i="1" s="1"/>
  <c r="BR63" i="1"/>
  <c r="CI63" i="1" s="1"/>
  <c r="BR46" i="1"/>
  <c r="CI46" i="1" s="1"/>
  <c r="BQ19" i="1"/>
  <c r="CH19" i="1" s="1"/>
  <c r="BR131" i="1"/>
  <c r="CI131" i="1" s="1"/>
  <c r="BO223" i="1"/>
  <c r="CF223" i="1" s="1"/>
  <c r="BR167" i="1"/>
  <c r="CI167" i="1" s="1"/>
  <c r="BN279" i="1"/>
  <c r="CE279" i="1" s="1"/>
  <c r="BQ149" i="1"/>
  <c r="CH149" i="1" s="1"/>
  <c r="BP283" i="1"/>
  <c r="CG283" i="1" s="1"/>
  <c r="BR20" i="1"/>
  <c r="CI20" i="1" s="1"/>
  <c r="BQ59" i="1"/>
  <c r="CH59" i="1" s="1"/>
  <c r="BQ27" i="1"/>
  <c r="CH27" i="1" s="1"/>
  <c r="BQ52" i="1"/>
  <c r="CH52" i="1" s="1"/>
  <c r="BQ43" i="1"/>
  <c r="CH43" i="1" s="1"/>
  <c r="BN308" i="1"/>
  <c r="CE308" i="1" s="1"/>
  <c r="BQ58" i="1"/>
  <c r="CH58" i="1" s="1"/>
  <c r="BR98" i="1"/>
  <c r="CI98" i="1" s="1"/>
  <c r="BQ107" i="1"/>
  <c r="CH107" i="1" s="1"/>
  <c r="BP178" i="1"/>
  <c r="CG178" i="1" s="1"/>
  <c r="BQ166" i="1"/>
  <c r="CH166" i="1" s="1"/>
  <c r="BR132" i="1"/>
  <c r="CI132" i="1" s="1"/>
  <c r="BO183" i="1"/>
  <c r="CF183" i="1" s="1"/>
  <c r="BP222" i="1"/>
  <c r="CG222" i="1" s="1"/>
  <c r="BO283" i="1"/>
  <c r="CF283" i="1" s="1"/>
  <c r="BR152" i="1"/>
  <c r="CI152" i="1" s="1"/>
  <c r="BP194" i="1"/>
  <c r="CG194" i="1" s="1"/>
  <c r="BO249" i="1"/>
  <c r="CF249" i="1" s="1"/>
  <c r="BP262" i="1"/>
  <c r="CG262" i="1" s="1"/>
  <c r="BO217" i="1"/>
  <c r="CF217" i="1" s="1"/>
  <c r="BP294" i="1"/>
  <c r="CG294" i="1" s="1"/>
  <c r="BP215" i="1"/>
  <c r="CG215" i="1" s="1"/>
  <c r="BQ104" i="1"/>
  <c r="CH104" i="1" s="1"/>
  <c r="BR50" i="1"/>
  <c r="CI50" i="1" s="1"/>
  <c r="BR74" i="1"/>
  <c r="CI74" i="1" s="1"/>
  <c r="BQ98" i="1"/>
  <c r="CH98" i="1" s="1"/>
  <c r="BQ23" i="1"/>
  <c r="CH23" i="1" s="1"/>
  <c r="BQ48" i="1"/>
  <c r="CH48" i="1" s="1"/>
  <c r="BQ72" i="1"/>
  <c r="CH72" i="1" s="1"/>
  <c r="BQ95" i="1"/>
  <c r="CH95" i="1" s="1"/>
  <c r="BQ135" i="1"/>
  <c r="CH135" i="1" s="1"/>
  <c r="BO175" i="1"/>
  <c r="CF175" i="1" s="1"/>
  <c r="BO204" i="1"/>
  <c r="CF204" i="1" s="1"/>
  <c r="BQ108" i="1"/>
  <c r="CH108" i="1" s="1"/>
  <c r="BR145" i="1"/>
  <c r="CI145" i="1" s="1"/>
  <c r="BO171" i="1"/>
  <c r="CF171" i="1" s="1"/>
  <c r="BO192" i="1"/>
  <c r="CF192" i="1" s="1"/>
  <c r="BQ140" i="1"/>
  <c r="CH140" i="1" s="1"/>
  <c r="BP256" i="1"/>
  <c r="CG256" i="1" s="1"/>
  <c r="BO205" i="1"/>
  <c r="CF205" i="1" s="1"/>
  <c r="BP223" i="1"/>
  <c r="CG223" i="1" s="1"/>
  <c r="BP248" i="1"/>
  <c r="CG248" i="1" s="1"/>
  <c r="BQ139" i="1"/>
  <c r="CH139" i="1" s="1"/>
  <c r="BO203" i="1"/>
  <c r="CF203" i="1" s="1"/>
  <c r="BP279" i="1"/>
  <c r="CG279" i="1" s="1"/>
  <c r="BO246" i="1"/>
  <c r="CF246" i="1" s="1"/>
  <c r="BP212" i="1"/>
  <c r="CG212" i="1" s="1"/>
  <c r="BN238" i="1"/>
  <c r="CE238" i="1" s="1"/>
  <c r="BR13" i="1"/>
  <c r="CI13" i="1" s="1"/>
  <c r="BO194" i="1"/>
  <c r="CF194" i="1" s="1"/>
  <c r="BO275" i="1"/>
  <c r="CF275" i="1" s="1"/>
  <c r="BR28" i="1"/>
  <c r="CI28" i="1" s="1"/>
  <c r="BR53" i="1"/>
  <c r="CI53" i="1" s="1"/>
  <c r="BR150" i="1"/>
  <c r="CI150" i="1" s="1"/>
  <c r="BO176" i="1"/>
  <c r="CF176" i="1" s="1"/>
  <c r="BQ136" i="1"/>
  <c r="CH136" i="1" s="1"/>
  <c r="BO253" i="1"/>
  <c r="CF253" i="1" s="1"/>
  <c r="BR143" i="1"/>
  <c r="CI143" i="1" s="1"/>
  <c r="BO169" i="1"/>
  <c r="CF169" i="1" s="1"/>
  <c r="BN227" i="1"/>
  <c r="CE227" i="1" s="1"/>
  <c r="BP264" i="1"/>
  <c r="CG264" i="1" s="1"/>
  <c r="BO170" i="1"/>
  <c r="CF170" i="1" s="1"/>
  <c r="BN204" i="1"/>
  <c r="CE204" i="1" s="1"/>
  <c r="BP214" i="1"/>
  <c r="CG214" i="1" s="1"/>
  <c r="BO270" i="1"/>
  <c r="CF270" i="1" s="1"/>
  <c r="BO239" i="1"/>
  <c r="CF239" i="1" s="1"/>
  <c r="BO207" i="1"/>
  <c r="CF207" i="1" s="1"/>
  <c r="BP315" i="1"/>
  <c r="CG315" i="1" s="1"/>
  <c r="BP293" i="1"/>
  <c r="CG293" i="1" s="1"/>
  <c r="BN230" i="1"/>
  <c r="CE230" i="1" s="1"/>
  <c r="BO259" i="1"/>
  <c r="CF259" i="1" s="1"/>
  <c r="BP308" i="1"/>
  <c r="CG308" i="1" s="1"/>
  <c r="BO236" i="1"/>
  <c r="CF236" i="1" s="1"/>
  <c r="BO248" i="1"/>
  <c r="CF248" i="1" s="1"/>
  <c r="BP216" i="1"/>
  <c r="CG216" i="1" s="1"/>
  <c r="BO240" i="1"/>
  <c r="CF240" i="1" s="1"/>
  <c r="BP318" i="1"/>
  <c r="CG318" i="1" s="1"/>
  <c r="BN239" i="1"/>
  <c r="CE239" i="1" s="1"/>
  <c r="BO321" i="1"/>
  <c r="CF321" i="1" s="1"/>
  <c r="BO274" i="1"/>
  <c r="CF274" i="1" s="1"/>
  <c r="BO228" i="1"/>
  <c r="CF228" i="1" s="1"/>
  <c r="BP275" i="1"/>
  <c r="CG275" i="1" s="1"/>
  <c r="BP311" i="1"/>
  <c r="CG311" i="1" s="1"/>
  <c r="BO289" i="1"/>
  <c r="CF289" i="1" s="1"/>
  <c r="BP265" i="1"/>
  <c r="CG265" i="1" s="1"/>
  <c r="BO241" i="1"/>
  <c r="CF241" i="1" s="1"/>
  <c r="BP259" i="1"/>
  <c r="CG259" i="1" s="1"/>
  <c r="BP209" i="1"/>
  <c r="CG209" i="1" s="1"/>
  <c r="BO233" i="1"/>
  <c r="CF233" i="1" s="1"/>
  <c r="BP285" i="1"/>
  <c r="CG285" i="1" s="1"/>
  <c r="BN243" i="1"/>
  <c r="CE243" i="1" s="1"/>
  <c r="BO189" i="1"/>
  <c r="CF189" i="1" s="1"/>
  <c r="BQ80" i="1"/>
  <c r="CH80" i="1" s="1"/>
  <c r="BP210" i="1"/>
  <c r="CG210" i="1" s="1"/>
  <c r="BQ138" i="1"/>
  <c r="CH138" i="1" s="1"/>
  <c r="BQ66" i="1"/>
  <c r="CH66" i="1" s="1"/>
  <c r="BR151" i="1"/>
  <c r="CI151" i="1" s="1"/>
  <c r="BR85" i="1"/>
  <c r="CI85" i="1" s="1"/>
  <c r="BP171" i="1"/>
  <c r="CG171" i="1" s="1"/>
  <c r="BO295" i="1"/>
  <c r="CF295" i="1" s="1"/>
  <c r="BR68" i="1"/>
  <c r="CI68" i="1" s="1"/>
  <c r="BR21" i="1"/>
  <c r="CI21" i="1" s="1"/>
  <c r="BQ53" i="1"/>
  <c r="CH53" i="1" s="1"/>
  <c r="BR57" i="1"/>
  <c r="CI57" i="1" s="1"/>
  <c r="BN299" i="1"/>
  <c r="CE299" i="1" s="1"/>
  <c r="BP200" i="1"/>
  <c r="CG200" i="1" s="1"/>
  <c r="BP229" i="1"/>
  <c r="CG229" i="1" s="1"/>
  <c r="BN215" i="1"/>
  <c r="CE215" i="1" s="1"/>
  <c r="BO234" i="1"/>
  <c r="CF234" i="1" s="1"/>
  <c r="BN198" i="1"/>
  <c r="CE198" i="1" s="1"/>
  <c r="BR65" i="1"/>
  <c r="CI65" i="1" s="1"/>
  <c r="BQ71" i="1"/>
  <c r="CH71" i="1" s="1"/>
  <c r="BQ55" i="1"/>
  <c r="CH55" i="1" s="1"/>
  <c r="BR45" i="1"/>
  <c r="CI45" i="1" s="1"/>
  <c r="BO197" i="1"/>
  <c r="CF197" i="1" s="1"/>
  <c r="BP168" i="1"/>
  <c r="CG168" i="1" s="1"/>
  <c r="BQ93" i="1"/>
  <c r="CH93" i="1" s="1"/>
  <c r="BN312" i="1"/>
  <c r="CE312" i="1" s="1"/>
  <c r="BR15" i="1"/>
  <c r="CI15" i="1" s="1"/>
  <c r="BR67" i="1"/>
  <c r="CI67" i="1" s="1"/>
  <c r="BO237" i="1"/>
  <c r="CF237" i="1" s="1"/>
  <c r="BN201" i="1"/>
  <c r="CE201" i="1" s="1"/>
  <c r="BO229" i="1"/>
  <c r="CF229" i="1" s="1"/>
  <c r="BN267" i="1"/>
  <c r="CE267" i="1" s="1"/>
  <c r="BO317" i="1"/>
  <c r="CF317" i="1" s="1"/>
  <c r="BQ17" i="1"/>
  <c r="CH17" i="1" s="1"/>
  <c r="BQ69" i="1"/>
  <c r="CH69" i="1" s="1"/>
  <c r="BQ13" i="1"/>
  <c r="CH13" i="1" s="1"/>
  <c r="BQ28" i="1"/>
  <c r="CH28" i="1" s="1"/>
  <c r="BR32" i="1"/>
  <c r="CI32" i="1" s="1"/>
  <c r="BR81" i="1"/>
  <c r="CI81" i="1" s="1"/>
  <c r="BR112" i="1"/>
  <c r="CI112" i="1" s="1"/>
  <c r="BQ100" i="1"/>
  <c r="CH100" i="1" s="1"/>
  <c r="BQ160" i="1"/>
  <c r="CH160" i="1" s="1"/>
  <c r="BO224" i="1"/>
  <c r="CF224" i="1" s="1"/>
  <c r="BP221" i="1"/>
  <c r="CG221" i="1" s="1"/>
  <c r="BQ145" i="1"/>
  <c r="CH145" i="1" s="1"/>
  <c r="BO276" i="1"/>
  <c r="CF276" i="1" s="1"/>
  <c r="BN214" i="1"/>
  <c r="CE214" i="1" s="1"/>
  <c r="BO214" i="1"/>
  <c r="CF214" i="1" s="1"/>
  <c r="BP263" i="1"/>
  <c r="CG263" i="1" s="1"/>
  <c r="BQ21" i="1"/>
  <c r="CH21" i="1" s="1"/>
  <c r="BQ70" i="1"/>
  <c r="CH70" i="1" s="1"/>
  <c r="BQ57" i="1"/>
  <c r="CH57" i="1" s="1"/>
  <c r="BR61" i="1"/>
  <c r="CI61" i="1" s="1"/>
  <c r="BN174" i="1"/>
  <c r="CE174" i="1" s="1"/>
  <c r="BQ144" i="1"/>
  <c r="CH144" i="1" s="1"/>
  <c r="BO298" i="1"/>
  <c r="CF298" i="1" s="1"/>
  <c r="BN175" i="1"/>
  <c r="CE175" i="1" s="1"/>
  <c r="BQ16" i="1"/>
  <c r="CH16" i="1" s="1"/>
  <c r="BQ26" i="1"/>
  <c r="CH26" i="1" s="1"/>
  <c r="BR48" i="1"/>
  <c r="CI48" i="1" s="1"/>
  <c r="BR30" i="1"/>
  <c r="CI30" i="1" s="1"/>
  <c r="BR55" i="1"/>
  <c r="CI55" i="1" s="1"/>
  <c r="BR79" i="1"/>
  <c r="CI79" i="1" s="1"/>
  <c r="BR108" i="1"/>
  <c r="CI108" i="1" s="1"/>
  <c r="BR60" i="1"/>
  <c r="CI60" i="1" s="1"/>
  <c r="BR101" i="1"/>
  <c r="CI101" i="1" s="1"/>
  <c r="BR22" i="1"/>
  <c r="CI22" i="1" s="1"/>
  <c r="BR71" i="1"/>
  <c r="CI71" i="1" s="1"/>
  <c r="BR134" i="1"/>
  <c r="CI134" i="1" s="1"/>
  <c r="BO303" i="1"/>
  <c r="CF303" i="1" s="1"/>
  <c r="BQ154" i="1"/>
  <c r="CH154" i="1" s="1"/>
  <c r="BP190" i="1"/>
  <c r="CG190" i="1" s="1"/>
  <c r="BQ162" i="1"/>
  <c r="CH162" i="1" s="1"/>
  <c r="BN277" i="1"/>
  <c r="CE277" i="1" s="1"/>
  <c r="BP243" i="1"/>
  <c r="CG243" i="1" s="1"/>
  <c r="BO290" i="1"/>
  <c r="CF290" i="1" s="1"/>
  <c r="BR137" i="1"/>
  <c r="CI137" i="1" s="1"/>
  <c r="BQ36" i="1"/>
  <c r="CH36" i="1" s="1"/>
  <c r="BQ61" i="1"/>
  <c r="CH61" i="1" s="1"/>
  <c r="BQ85" i="1"/>
  <c r="CH85" i="1" s="1"/>
  <c r="BR102" i="1"/>
  <c r="CI102" i="1" s="1"/>
  <c r="BP182" i="1"/>
  <c r="CG182" i="1" s="1"/>
  <c r="BR75" i="1"/>
  <c r="CI75" i="1" s="1"/>
  <c r="BR87" i="1"/>
  <c r="CI87" i="1" s="1"/>
  <c r="BR149" i="1"/>
  <c r="CI149" i="1" s="1"/>
  <c r="BP179" i="1"/>
  <c r="CG179" i="1" s="1"/>
  <c r="BP276" i="1"/>
  <c r="CG276" i="1" s="1"/>
  <c r="BR111" i="1"/>
  <c r="CI111" i="1" s="1"/>
  <c r="BQ156" i="1"/>
  <c r="CH156" i="1" s="1"/>
  <c r="BP175" i="1"/>
  <c r="CG175" i="1" s="1"/>
  <c r="BO315" i="1"/>
  <c r="CF315" i="1" s="1"/>
  <c r="BO184" i="1"/>
  <c r="CF184" i="1" s="1"/>
  <c r="BO191" i="1"/>
  <c r="CF191" i="1" s="1"/>
  <c r="BN254" i="1"/>
  <c r="CE254" i="1" s="1"/>
  <c r="BO230" i="1"/>
  <c r="CF230" i="1" s="1"/>
  <c r="BN260" i="1"/>
  <c r="CE260" i="1" s="1"/>
  <c r="BO181" i="1"/>
  <c r="CF181" i="1" s="1"/>
  <c r="BO225" i="1"/>
  <c r="CF225" i="1" s="1"/>
  <c r="BP291" i="1"/>
  <c r="CG291" i="1" s="1"/>
  <c r="BN253" i="1"/>
  <c r="CE253" i="1" s="1"/>
  <c r="BO318" i="1"/>
  <c r="CF318" i="1" s="1"/>
  <c r="BO285" i="1"/>
  <c r="CF285" i="1" s="1"/>
  <c r="BP237" i="1"/>
  <c r="CG237" i="1" s="1"/>
  <c r="BQ105" i="1"/>
  <c r="CH105" i="1" s="1"/>
  <c r="BQ75" i="1"/>
  <c r="CH75" i="1" s="1"/>
  <c r="BQ99" i="1"/>
  <c r="CH99" i="1" s="1"/>
  <c r="BQ87" i="1"/>
  <c r="CH87" i="1" s="1"/>
  <c r="BN176" i="1"/>
  <c r="CE176" i="1" s="1"/>
  <c r="BQ96" i="1"/>
  <c r="CH96" i="1" s="1"/>
  <c r="BQ115" i="1"/>
  <c r="CH115" i="1" s="1"/>
  <c r="BN250" i="1"/>
  <c r="CE250" i="1" s="1"/>
  <c r="BN168" i="1"/>
  <c r="CE168" i="1" s="1"/>
  <c r="BO188" i="1"/>
  <c r="CF188" i="1" s="1"/>
  <c r="BN181" i="1"/>
  <c r="CE181" i="1" s="1"/>
  <c r="BN220" i="1"/>
  <c r="CE220" i="1" s="1"/>
  <c r="BP196" i="1"/>
  <c r="CG196" i="1" s="1"/>
  <c r="BO273" i="1"/>
  <c r="CF273" i="1" s="1"/>
  <c r="BO231" i="1"/>
  <c r="CF231" i="1" s="1"/>
  <c r="BN311" i="1"/>
  <c r="CE311" i="1" s="1"/>
  <c r="BR159" i="1"/>
  <c r="CI159" i="1" s="1"/>
  <c r="BP173" i="1"/>
  <c r="CG173" i="1" s="1"/>
  <c r="BO261" i="1"/>
  <c r="CF261" i="1" s="1"/>
  <c r="BO308" i="1"/>
  <c r="CF308" i="1" s="1"/>
  <c r="BP304" i="1"/>
  <c r="CG304" i="1" s="1"/>
  <c r="BO319" i="1"/>
  <c r="CF319" i="1" s="1"/>
  <c r="BP286" i="1"/>
  <c r="CG286" i="1" s="1"/>
  <c r="BO238" i="1"/>
  <c r="CF238" i="1" s="1"/>
  <c r="BO195" i="1"/>
  <c r="CF195" i="1" s="1"/>
  <c r="BP273" i="1"/>
  <c r="CG273" i="1" s="1"/>
  <c r="BO227" i="1"/>
  <c r="CF227" i="1" s="1"/>
  <c r="BN251" i="1"/>
  <c r="CE251" i="1" s="1"/>
  <c r="BO269" i="1"/>
  <c r="CF269" i="1" s="1"/>
  <c r="BO316" i="1"/>
  <c r="CF316" i="1" s="1"/>
  <c r="BP251" i="1"/>
  <c r="CG251" i="1" s="1"/>
  <c r="BO291" i="1"/>
  <c r="CF291" i="1" s="1"/>
  <c r="BP244" i="1"/>
  <c r="CG244" i="1" s="1"/>
  <c r="BN265" i="1"/>
  <c r="CE265" i="1" s="1"/>
  <c r="BP208" i="1"/>
  <c r="CG208" i="1" s="1"/>
  <c r="BP236" i="1"/>
  <c r="CG236" i="1" s="1"/>
  <c r="BN291" i="1"/>
  <c r="CE291" i="1" s="1"/>
  <c r="BO242" i="1"/>
  <c r="CF242" i="1" s="1"/>
  <c r="BR140" i="1"/>
  <c r="CI140" i="1" s="1"/>
  <c r="BO199" i="1"/>
  <c r="CF199" i="1" s="1"/>
  <c r="BO278" i="1"/>
  <c r="CF278" i="1" s="1"/>
  <c r="BO306" i="1"/>
  <c r="CF306" i="1" s="1"/>
  <c r="BO300" i="1"/>
  <c r="CF300" i="1" s="1"/>
  <c r="BO322" i="1"/>
  <c r="CF322" i="1" s="1"/>
  <c r="BO251" i="1"/>
  <c r="CF251" i="1" s="1"/>
  <c r="BP238" i="1"/>
  <c r="CG238" i="1" s="1"/>
  <c r="BO252" i="1"/>
  <c r="CF252" i="1" s="1"/>
  <c r="BN292" i="1"/>
  <c r="CE292" i="1" s="1"/>
  <c r="BO292" i="1"/>
  <c r="CF292" i="1" s="1"/>
  <c r="BN317" i="1"/>
  <c r="CE317" i="1" s="1"/>
  <c r="BN269" i="1"/>
  <c r="CE269" i="1" s="1"/>
  <c r="BP207" i="1"/>
  <c r="CG207" i="1" s="1"/>
  <c r="BN295" i="1"/>
  <c r="CE295" i="1" s="1"/>
  <c r="BQ24" i="1"/>
  <c r="CH24" i="1" s="1"/>
  <c r="BR18" i="1"/>
  <c r="CI18" i="1" s="1"/>
  <c r="BO256" i="1"/>
  <c r="CF256" i="1" s="1"/>
  <c r="BR24" i="1"/>
  <c r="CI24" i="1" s="1"/>
  <c r="BO222" i="1"/>
  <c r="CF222" i="1" s="1"/>
  <c r="BQ143" i="1"/>
  <c r="CH143" i="1" s="1"/>
  <c r="BR33" i="1"/>
  <c r="CI33" i="1" s="1"/>
  <c r="BO304" i="1"/>
  <c r="CF304" i="1" s="1"/>
  <c r="BR23" i="1"/>
  <c r="CI23" i="1" s="1"/>
  <c r="BQ31" i="1"/>
  <c r="CH31" i="1" s="1"/>
  <c r="BO262" i="1"/>
  <c r="CF262" i="1" s="1"/>
  <c r="BP306" i="1"/>
  <c r="CG306" i="1" s="1"/>
  <c r="BN228" i="1"/>
  <c r="CE228" i="1" s="1"/>
  <c r="BP316" i="1"/>
  <c r="CG316" i="1" s="1"/>
  <c r="BQ42" i="1"/>
  <c r="CH42" i="1" s="1"/>
  <c r="BQ159" i="1"/>
  <c r="CH159" i="1" s="1"/>
  <c r="BQ83" i="1"/>
  <c r="CH83" i="1" s="1"/>
  <c r="BR49" i="1"/>
  <c r="CI49" i="1" s="1"/>
  <c r="BN272" i="1"/>
  <c r="CE272" i="1" s="1"/>
  <c r="BR36" i="1"/>
  <c r="CI36" i="1" s="1"/>
  <c r="BP278" i="1"/>
  <c r="CG278" i="1" s="1"/>
  <c r="BR19" i="1"/>
  <c r="CI19" i="1" s="1"/>
  <c r="BR56" i="1"/>
  <c r="CI56" i="1" s="1"/>
  <c r="BP228" i="1"/>
  <c r="CG228" i="1" s="1"/>
  <c r="BO266" i="1"/>
  <c r="CF266" i="1" s="1"/>
  <c r="BQ18" i="1"/>
  <c r="CH18" i="1" s="1"/>
  <c r="BQ56" i="1"/>
  <c r="CH56" i="1" s="1"/>
  <c r="BR43" i="1"/>
  <c r="CI43" i="1" s="1"/>
  <c r="BP199" i="1"/>
  <c r="CG199" i="1" s="1"/>
  <c r="BR148" i="1"/>
  <c r="CI148" i="1" s="1"/>
  <c r="BN293" i="1"/>
  <c r="CE293" i="1" s="1"/>
  <c r="BR69" i="1"/>
  <c r="CI69" i="1" s="1"/>
  <c r="BR31" i="1"/>
  <c r="CI31" i="1" s="1"/>
  <c r="BP189" i="1"/>
  <c r="CG189" i="1" s="1"/>
  <c r="BN321" i="1"/>
  <c r="CE321" i="1" s="1"/>
  <c r="BR133" i="1"/>
  <c r="CI133" i="1" s="1"/>
  <c r="BR83" i="1"/>
  <c r="CI83" i="1" s="1"/>
  <c r="BP186" i="1"/>
  <c r="CG186" i="1" s="1"/>
  <c r="BR59" i="1"/>
  <c r="CI59" i="1" s="1"/>
  <c r="BO267" i="1"/>
  <c r="CF267" i="1" s="1"/>
  <c r="BP300" i="1"/>
  <c r="CG300" i="1" s="1"/>
  <c r="BQ14" i="1"/>
  <c r="CH14" i="1" s="1"/>
  <c r="BQ60" i="1"/>
  <c r="CH60" i="1" s="1"/>
  <c r="BQ32" i="1"/>
  <c r="CH32" i="1" s="1"/>
  <c r="BQ44" i="1"/>
  <c r="CH44" i="1" s="1"/>
  <c r="BP183" i="1"/>
  <c r="CG183" i="1" s="1"/>
  <c r="BN286" i="1"/>
  <c r="CE286" i="1" s="1"/>
  <c r="BP204" i="1"/>
  <c r="CG204" i="1" s="1"/>
  <c r="BN305" i="1"/>
  <c r="CE305" i="1" s="1"/>
  <c r="BP266" i="1"/>
  <c r="CG266" i="1" s="1"/>
  <c r="BN315" i="1"/>
  <c r="CE315" i="1" s="1"/>
  <c r="BQ79" i="1"/>
  <c r="CH79" i="1" s="1"/>
  <c r="BR29" i="1"/>
  <c r="CI29" i="1" s="1"/>
  <c r="BR62" i="1"/>
  <c r="CI62" i="1" s="1"/>
  <c r="BQ50" i="1"/>
  <c r="CH50" i="1" s="1"/>
  <c r="BQ74" i="1"/>
  <c r="CH74" i="1" s="1"/>
  <c r="BQ102" i="1"/>
  <c r="CH102" i="1" s="1"/>
  <c r="BR42" i="1"/>
  <c r="CI42" i="1" s="1"/>
  <c r="BR153" i="1"/>
  <c r="CI153" i="1" s="1"/>
  <c r="BQ40" i="1"/>
  <c r="CH40" i="1" s="1"/>
  <c r="BR88" i="1"/>
  <c r="CI88" i="1" s="1"/>
  <c r="BR106" i="1"/>
  <c r="CI106" i="1" s="1"/>
  <c r="BO177" i="1"/>
  <c r="CF177" i="1" s="1"/>
  <c r="BR147" i="1"/>
  <c r="CI147" i="1" s="1"/>
  <c r="BN194" i="1"/>
  <c r="CE194" i="1" s="1"/>
  <c r="BO302" i="1"/>
  <c r="CF302" i="1" s="1"/>
  <c r="BO282" i="1"/>
  <c r="CF282" i="1" s="1"/>
  <c r="BR160" i="1"/>
  <c r="CI160" i="1" s="1"/>
  <c r="BO279" i="1"/>
  <c r="CF279" i="1" s="1"/>
  <c r="BO293" i="1"/>
  <c r="CF293" i="1" s="1"/>
  <c r="BP289" i="1"/>
  <c r="CG289" i="1" s="1"/>
  <c r="BQ91" i="1"/>
  <c r="CH91" i="1" s="1"/>
  <c r="BQ84" i="1"/>
  <c r="CH84" i="1" s="1"/>
  <c r="BQ97" i="1"/>
  <c r="CH97" i="1" s="1"/>
  <c r="BQ68" i="1"/>
  <c r="CH68" i="1" s="1"/>
  <c r="BO190" i="1"/>
  <c r="CF190" i="1" s="1"/>
  <c r="BO263" i="1"/>
  <c r="CF263" i="1" s="1"/>
  <c r="BQ65" i="1"/>
  <c r="CH65" i="1" s="1"/>
  <c r="BN199" i="1"/>
  <c r="CE199" i="1" s="1"/>
  <c r="BQ20" i="1"/>
  <c r="CH20" i="1" s="1"/>
  <c r="BR16" i="1"/>
  <c r="CI16" i="1" s="1"/>
  <c r="BQ134" i="1"/>
  <c r="CH134" i="1" s="1"/>
  <c r="BQ67" i="1"/>
  <c r="CH67" i="1" s="1"/>
  <c r="BR105" i="1"/>
  <c r="CI105" i="1" s="1"/>
  <c r="BQ33" i="1"/>
  <c r="CH33" i="1" s="1"/>
  <c r="BQ82" i="1"/>
  <c r="CH82" i="1" s="1"/>
  <c r="BQ148" i="1"/>
  <c r="CH148" i="1" s="1"/>
  <c r="BR107" i="1"/>
  <c r="CI107" i="1" s="1"/>
  <c r="BO186" i="1"/>
  <c r="CF186" i="1" s="1"/>
  <c r="BO201" i="1"/>
  <c r="CF201" i="1" s="1"/>
  <c r="BO307" i="1"/>
  <c r="CF307" i="1" s="1"/>
  <c r="BP280" i="1"/>
  <c r="CG280" i="1" s="1"/>
  <c r="BO244" i="1"/>
  <c r="CF244" i="1" s="1"/>
  <c r="BN234" i="1"/>
  <c r="CE234" i="1" s="1"/>
  <c r="BQ152" i="1"/>
  <c r="CH152" i="1" s="1"/>
  <c r="BQ89" i="1"/>
  <c r="CH89" i="1" s="1"/>
  <c r="BP203" i="1"/>
  <c r="CG203" i="1" s="1"/>
  <c r="BQ37" i="1"/>
  <c r="CH37" i="1" s="1"/>
  <c r="BQ62" i="1"/>
  <c r="CH62" i="1" s="1"/>
  <c r="BQ86" i="1"/>
  <c r="CH86" i="1" s="1"/>
  <c r="BQ109" i="1"/>
  <c r="CH109" i="1" s="1"/>
  <c r="BQ92" i="1"/>
  <c r="CH92" i="1" s="1"/>
  <c r="BQ111" i="1"/>
  <c r="CH111" i="1" s="1"/>
  <c r="BN187" i="1"/>
  <c r="CE187" i="1" s="1"/>
  <c r="BP226" i="1"/>
  <c r="CG226" i="1" s="1"/>
  <c r="BQ132" i="1"/>
  <c r="CH132" i="1" s="1"/>
  <c r="BP277" i="1"/>
  <c r="CG277" i="1" s="1"/>
  <c r="BQ133" i="1"/>
  <c r="CH133" i="1" s="1"/>
  <c r="BO168" i="1"/>
  <c r="CF168" i="1" s="1"/>
  <c r="BN282" i="1"/>
  <c r="CE282" i="1" s="1"/>
  <c r="BO299" i="1"/>
  <c r="CF299" i="1" s="1"/>
  <c r="BO288" i="1"/>
  <c r="CF288" i="1" s="1"/>
  <c r="BP272" i="1"/>
  <c r="CG272" i="1" s="1"/>
  <c r="BO211" i="1"/>
  <c r="CF211" i="1" s="1"/>
  <c r="BQ153" i="1"/>
  <c r="CH153" i="1" s="1"/>
  <c r="BN186" i="1"/>
  <c r="CE186" i="1" s="1"/>
  <c r="BN225" i="1"/>
  <c r="CE225" i="1" s="1"/>
  <c r="BN266" i="1"/>
  <c r="CE266" i="1" s="1"/>
  <c r="BO255" i="1"/>
  <c r="CF255" i="1" s="1"/>
  <c r="BP240" i="1"/>
  <c r="CG240" i="1" s="1"/>
  <c r="BP218" i="1"/>
  <c r="CG218" i="1" s="1"/>
  <c r="BO260" i="1"/>
  <c r="CF260" i="1" s="1"/>
  <c r="BP234" i="1"/>
  <c r="CG234" i="1" s="1"/>
  <c r="BP211" i="1"/>
  <c r="CG211" i="1" s="1"/>
  <c r="BO313" i="1"/>
  <c r="CF313" i="1" s="1"/>
  <c r="BR141" i="1"/>
  <c r="CI141" i="1" s="1"/>
  <c r="BR27" i="1"/>
  <c r="CI27" i="1" s="1"/>
  <c r="BR52" i="1"/>
  <c r="CI52" i="1" s="1"/>
  <c r="BR14" i="1"/>
  <c r="CI14" i="1" s="1"/>
  <c r="BR39" i="1"/>
  <c r="CI39" i="1" s="1"/>
  <c r="BR96" i="1"/>
  <c r="CI96" i="1" s="1"/>
  <c r="BR139" i="1"/>
  <c r="CI139" i="1" s="1"/>
  <c r="BR99" i="1"/>
  <c r="CI99" i="1" s="1"/>
  <c r="BN188" i="1"/>
  <c r="CE188" i="1" s="1"/>
  <c r="BQ112" i="1"/>
  <c r="CH112" i="1" s="1"/>
  <c r="BR146" i="1"/>
  <c r="CI146" i="1" s="1"/>
  <c r="BO172" i="1"/>
  <c r="CF172" i="1" s="1"/>
  <c r="BO198" i="1"/>
  <c r="CF198" i="1" s="1"/>
  <c r="BQ137" i="1"/>
  <c r="CH137" i="1" s="1"/>
  <c r="BR164" i="1"/>
  <c r="CI164" i="1" s="1"/>
  <c r="BP185" i="1"/>
  <c r="CG185" i="1" s="1"/>
  <c r="BO220" i="1"/>
  <c r="CF220" i="1" s="1"/>
  <c r="BO257" i="1"/>
  <c r="CF257" i="1" s="1"/>
  <c r="BO281" i="1"/>
  <c r="CF281" i="1" s="1"/>
  <c r="BP298" i="1"/>
  <c r="CG298" i="1" s="1"/>
  <c r="BQ164" i="1"/>
  <c r="CH164" i="1" s="1"/>
  <c r="BN182" i="1"/>
  <c r="CE182" i="1" s="1"/>
  <c r="BN276" i="1"/>
  <c r="CE276" i="1" s="1"/>
  <c r="BO280" i="1"/>
  <c r="CF280" i="1" s="1"/>
  <c r="BN247" i="1"/>
  <c r="CE247" i="1" s="1"/>
  <c r="BP247" i="1"/>
  <c r="CG247" i="1" s="1"/>
  <c r="BN211" i="1"/>
  <c r="CE211" i="1" s="1"/>
  <c r="BP235" i="1"/>
  <c r="CG235" i="1" s="1"/>
  <c r="BO212" i="1"/>
  <c r="CF212" i="1" s="1"/>
  <c r="BP198" i="1"/>
  <c r="CG198" i="1" s="1"/>
  <c r="BO277" i="1"/>
  <c r="CF277" i="1" s="1"/>
  <c r="BP231" i="1"/>
  <c r="CG231" i="1" s="1"/>
  <c r="BP299" i="1"/>
  <c r="CG299" i="1" s="1"/>
  <c r="BO254" i="1"/>
  <c r="CF254" i="1" s="1"/>
  <c r="BN302" i="1"/>
  <c r="CE302" i="1" s="1"/>
  <c r="BO247" i="1"/>
  <c r="CF247" i="1" s="1"/>
  <c r="BN208" i="1"/>
  <c r="CE208" i="1" s="1"/>
  <c r="BP309" i="1"/>
  <c r="CG309" i="1" s="1"/>
  <c r="BN264" i="1"/>
  <c r="CE264" i="1" s="1"/>
  <c r="BP295" i="1"/>
  <c r="CG295" i="1" s="1"/>
  <c r="BN316" i="1"/>
  <c r="CE316" i="1" s="1"/>
  <c r="BO268" i="1"/>
  <c r="CF268" i="1" s="1"/>
  <c r="BP287" i="1"/>
  <c r="CG287" i="1" s="1"/>
  <c r="BN213" i="1"/>
  <c r="CE213" i="1" s="1"/>
  <c r="BO294" i="1"/>
  <c r="CF294" i="1" s="1"/>
  <c r="BR76" i="1"/>
  <c r="CI76" i="1" s="1"/>
  <c r="BO185" i="1"/>
  <c r="CF185" i="1" s="1"/>
  <c r="BP202" i="1"/>
  <c r="CG202" i="1" s="1"/>
  <c r="BP282" i="1"/>
  <c r="CG282" i="1" s="1"/>
  <c r="BO221" i="1"/>
  <c r="CF221" i="1" s="1"/>
  <c r="BP303" i="1"/>
  <c r="CG303" i="1" s="1"/>
  <c r="BN306" i="1"/>
  <c r="CE306" i="1" s="1"/>
  <c r="BP254" i="1"/>
  <c r="CG254" i="1" s="1"/>
  <c r="BN319" i="1"/>
  <c r="CE319" i="1" s="1"/>
  <c r="BP255" i="1"/>
  <c r="CG255" i="1" s="1"/>
  <c r="BO213" i="1"/>
  <c r="CF213" i="1" s="1"/>
  <c r="BP296" i="1"/>
  <c r="CG296" i="1" s="1"/>
  <c r="BP321" i="1"/>
  <c r="CG321" i="1" s="1"/>
  <c r="BP288" i="1"/>
  <c r="CG288" i="1" s="1"/>
  <c r="BP313" i="1"/>
  <c r="CG313" i="1" s="1"/>
  <c r="BN217" i="1"/>
  <c r="CE217" i="1" s="1"/>
  <c r="BP312" i="1"/>
  <c r="CG312" i="1" s="1"/>
  <c r="BR92" i="1"/>
  <c r="CI92" i="1" s="1"/>
  <c r="BR166" i="1"/>
  <c r="CI166" i="1" s="1"/>
  <c r="BR82" i="1"/>
  <c r="CI82" i="1" s="1"/>
  <c r="BR86" i="1"/>
  <c r="CI86" i="1" s="1"/>
  <c r="BR73" i="1"/>
  <c r="CI73" i="1" s="1"/>
  <c r="BR26" i="1"/>
  <c r="CI26" i="1" s="1"/>
  <c r="BR100" i="1"/>
  <c r="CI100" i="1" s="1"/>
  <c r="BP197" i="1"/>
  <c r="CG197" i="1" s="1"/>
  <c r="BN169" i="1"/>
  <c r="CE169" i="1" s="1"/>
  <c r="BO209" i="1"/>
  <c r="CF209" i="1" s="1"/>
  <c r="BP249" i="1"/>
  <c r="CG249" i="1" s="1"/>
  <c r="BQ101" i="1"/>
  <c r="CH101" i="1" s="1"/>
  <c r="BP174" i="1"/>
  <c r="CG174" i="1" s="1"/>
  <c r="BR138" i="1"/>
  <c r="CI138" i="1" s="1"/>
  <c r="BR84" i="1"/>
  <c r="CI84" i="1" s="1"/>
  <c r="BR47" i="1"/>
  <c r="CI47" i="1" s="1"/>
  <c r="BN195" i="1"/>
  <c r="CE195" i="1" s="1"/>
  <c r="BN273" i="1"/>
  <c r="CE273" i="1" s="1"/>
  <c r="BO250" i="1"/>
  <c r="CF250" i="1" s="1"/>
  <c r="BO215" i="1"/>
  <c r="CF215" i="1" s="1"/>
  <c r="BQ49" i="1"/>
  <c r="CH49" i="1" s="1"/>
  <c r="BQ47" i="1"/>
  <c r="CH47" i="1" s="1"/>
  <c r="BR113" i="1"/>
  <c r="CI113" i="1" s="1"/>
  <c r="BR114" i="1"/>
  <c r="CI114" i="1" s="1"/>
  <c r="BQ167" i="1"/>
  <c r="CH167" i="1" s="1"/>
  <c r="BP317" i="1"/>
  <c r="CG317" i="1" s="1"/>
  <c r="BP302" i="1"/>
  <c r="CG302" i="1" s="1"/>
  <c r="BP169" i="1"/>
  <c r="CG169" i="1" s="1"/>
  <c r="BP307" i="1"/>
  <c r="CG307" i="1" s="1"/>
  <c r="BN289" i="1"/>
  <c r="CE289" i="1" s="1"/>
  <c r="BP314" i="1"/>
  <c r="CG314" i="1" s="1"/>
  <c r="BN178" i="1"/>
  <c r="CE178" i="1" s="1"/>
  <c r="BN172" i="1"/>
  <c r="CE172" i="1" s="1"/>
  <c r="BR115" i="1"/>
  <c r="CI115" i="1" s="1"/>
  <c r="BQ158" i="1"/>
  <c r="CH158" i="1" s="1"/>
  <c r="BP176" i="1"/>
  <c r="CG176" i="1" s="1"/>
  <c r="BQ141" i="1"/>
  <c r="CH141" i="1" s="1"/>
  <c r="BO200" i="1"/>
  <c r="CF200" i="1" s="1"/>
  <c r="BN226" i="1"/>
  <c r="CE226" i="1" s="1"/>
  <c r="BN256" i="1"/>
  <c r="CE256" i="1" s="1"/>
  <c r="BN290" i="1"/>
  <c r="CE290" i="1" s="1"/>
  <c r="BO218" i="1"/>
  <c r="CF218" i="1" s="1"/>
  <c r="BP250" i="1"/>
  <c r="CG250" i="1" s="1"/>
  <c r="BO312" i="1"/>
  <c r="CF312" i="1" s="1"/>
  <c r="BO216" i="1"/>
  <c r="CF216" i="1" s="1"/>
  <c r="BN318" i="1"/>
  <c r="CE318" i="1" s="1"/>
  <c r="BN224" i="1"/>
  <c r="CE224" i="1" s="1"/>
  <c r="BP292" i="1"/>
  <c r="CG292" i="1" s="1"/>
  <c r="BP224" i="1"/>
  <c r="CG224" i="1" s="1"/>
  <c r="BP260" i="1"/>
  <c r="CG260" i="1" s="1"/>
  <c r="BN240" i="1"/>
  <c r="CE240" i="1" s="1"/>
  <c r="BO309" i="1"/>
  <c r="CF309" i="1" s="1"/>
  <c r="BO210" i="1"/>
  <c r="CF210" i="1" s="1"/>
  <c r="BO265" i="1"/>
  <c r="CF265" i="1" s="1"/>
  <c r="BN241" i="1"/>
  <c r="CE241" i="1" s="1"/>
  <c r="BP217" i="1"/>
  <c r="CG217" i="1" s="1"/>
  <c r="BN237" i="1"/>
  <c r="CE237" i="1" s="1"/>
  <c r="BP319" i="1"/>
  <c r="CG319" i="1" s="1"/>
  <c r="BP233" i="1"/>
  <c r="CG233" i="1" s="1"/>
  <c r="BQ73" i="1"/>
  <c r="CH73" i="1" s="1"/>
  <c r="AS11" i="56" l="1"/>
  <c r="L15" i="55"/>
  <c r="K15" i="55"/>
  <c r="J15" i="55"/>
  <c r="BS46" i="1"/>
  <c r="BS94" i="1"/>
  <c r="BS257" i="1"/>
  <c r="BS164" i="1"/>
  <c r="BS274" i="1"/>
  <c r="BS36" i="1"/>
  <c r="BS99" i="1"/>
  <c r="BS88" i="1"/>
  <c r="BS62" i="1"/>
  <c r="BS209" i="1"/>
  <c r="BS61" i="1"/>
  <c r="BS30" i="1"/>
  <c r="BS296" i="1"/>
  <c r="BS287" i="1"/>
  <c r="BS235" i="1"/>
  <c r="BS139" i="1"/>
  <c r="BS45" i="1"/>
  <c r="BS192" i="1"/>
  <c r="BS37" i="1"/>
  <c r="BS68" i="1"/>
  <c r="BS29" i="1"/>
  <c r="BS183" i="1"/>
  <c r="BS189" i="1"/>
  <c r="BS184" i="1"/>
  <c r="BS205" i="1"/>
  <c r="BS109" i="1"/>
  <c r="BS102" i="1"/>
  <c r="BS60" i="1"/>
  <c r="BS267" i="1"/>
  <c r="BS80" i="1"/>
  <c r="BS56" i="1"/>
  <c r="BS43" i="1"/>
  <c r="BS19" i="1"/>
  <c r="BS130" i="1"/>
  <c r="BS66" i="1"/>
  <c r="BS135" i="1"/>
  <c r="BS41" i="1"/>
  <c r="BS196" i="1"/>
  <c r="BS158" i="1"/>
  <c r="BS201" i="1"/>
  <c r="BS15" i="1"/>
  <c r="BS143" i="1"/>
  <c r="BS85" i="1"/>
  <c r="BS231" i="1"/>
  <c r="BS57" i="1"/>
  <c r="BS229" i="1"/>
  <c r="BS145" i="1"/>
  <c r="BS28" i="1"/>
  <c r="BS13" i="1"/>
  <c r="BS89" i="1"/>
  <c r="BS156" i="1"/>
  <c r="BS270" i="1"/>
  <c r="BS22" i="1"/>
  <c r="BS151" i="1"/>
  <c r="BS104" i="1"/>
  <c r="BS97" i="1"/>
  <c r="BS93" i="1"/>
  <c r="BS136" i="1"/>
  <c r="BS163" i="1"/>
  <c r="BS225" i="1"/>
  <c r="BS279" i="1"/>
  <c r="BS63" i="1"/>
  <c r="BS16" i="1"/>
  <c r="BS159" i="1"/>
  <c r="BS173" i="1"/>
  <c r="BS132" i="1"/>
  <c r="BS210" i="1"/>
  <c r="BS216" i="1"/>
  <c r="BS290" i="1"/>
  <c r="BS152" i="1"/>
  <c r="BS263" i="1"/>
  <c r="BS160" i="1"/>
  <c r="BS74" i="1"/>
  <c r="BS26" i="1"/>
  <c r="BS276" i="1"/>
  <c r="BS23" i="1"/>
  <c r="BS140" i="1"/>
  <c r="BS236" i="1"/>
  <c r="BS75" i="1"/>
  <c r="BS178" i="1"/>
  <c r="BS167" i="1"/>
  <c r="BS249" i="1"/>
  <c r="BS264" i="1"/>
  <c r="BS137" i="1"/>
  <c r="BS112" i="1"/>
  <c r="BS27" i="1"/>
  <c r="BS222" i="1"/>
  <c r="BS322" i="1"/>
  <c r="BS261" i="1"/>
  <c r="BS78" i="1"/>
  <c r="BS69" i="1"/>
  <c r="BS148" i="1"/>
  <c r="BS21" i="1"/>
  <c r="BS71" i="1"/>
  <c r="BS259" i="1"/>
  <c r="BS300" i="1"/>
  <c r="BS53" i="1"/>
  <c r="BS203" i="1"/>
  <c r="BS105" i="1"/>
  <c r="BS320" i="1"/>
  <c r="BS248" i="1"/>
  <c r="BS83" i="1"/>
  <c r="BS18" i="1"/>
  <c r="BS111" i="1"/>
  <c r="BS87" i="1"/>
  <c r="BS317" i="1"/>
  <c r="BS67" i="1"/>
  <c r="BS65" i="1"/>
  <c r="BS295" i="1"/>
  <c r="BS177" i="1"/>
  <c r="BS285" i="1"/>
  <c r="BS233" i="1"/>
  <c r="BS243" i="1"/>
  <c r="BS197" i="1"/>
  <c r="BS303" i="1"/>
  <c r="BS298" i="1"/>
  <c r="BS215" i="1"/>
  <c r="BS100" i="1"/>
  <c r="BS166" i="1"/>
  <c r="BS73" i="1"/>
  <c r="BS272" i="1"/>
  <c r="BS134" i="1"/>
  <c r="BS199" i="1"/>
  <c r="BS79" i="1"/>
  <c r="BS32" i="1"/>
  <c r="BS95" i="1"/>
  <c r="BS289" i="1"/>
  <c r="BS308" i="1"/>
  <c r="BS311" i="1"/>
  <c r="BS133" i="1"/>
  <c r="BS190" i="1"/>
  <c r="BS153" i="1"/>
  <c r="BS237" i="1"/>
  <c r="BS115" i="1"/>
  <c r="BS195" i="1"/>
  <c r="BS84" i="1"/>
  <c r="BS220" i="1"/>
  <c r="BS234" i="1"/>
  <c r="BS266" i="1"/>
  <c r="BS35" i="1"/>
  <c r="BS256" i="1"/>
  <c r="BS306" i="1"/>
  <c r="BS316" i="1"/>
  <c r="BS246" i="1"/>
  <c r="BS321" i="1"/>
  <c r="BS141" i="1"/>
  <c r="BS240" i="1"/>
  <c r="BS282" i="1"/>
  <c r="BS277" i="1"/>
  <c r="BS181" i="1"/>
  <c r="BS302" i="1"/>
  <c r="BS278" i="1"/>
  <c r="BS242" i="1"/>
  <c r="BS244" i="1"/>
  <c r="BS268" i="1"/>
  <c r="BS168" i="1"/>
  <c r="BS96" i="1"/>
  <c r="BS291" i="1"/>
  <c r="BS260" i="1"/>
  <c r="BS307" i="1"/>
  <c r="BS253" i="1"/>
  <c r="BS176" i="1"/>
  <c r="BS275" i="1"/>
  <c r="BS17" i="1"/>
  <c r="BS131" i="1"/>
  <c r="BS81" i="1"/>
  <c r="BS54" i="1"/>
  <c r="BS301" i="1"/>
  <c r="BS252" i="1"/>
  <c r="BS34" i="1"/>
  <c r="BS188" i="1"/>
  <c r="BS305" i="1"/>
  <c r="BS144" i="1"/>
  <c r="BS146" i="1"/>
  <c r="BS154" i="1"/>
  <c r="BS187" i="1"/>
  <c r="BS150" i="1"/>
  <c r="BS221" i="1"/>
  <c r="BS162" i="1"/>
  <c r="BS179" i="1"/>
  <c r="BS58" i="1"/>
  <c r="BS91" i="1"/>
  <c r="BS72" i="1"/>
  <c r="BS106" i="1"/>
  <c r="BS70" i="1"/>
  <c r="BS170" i="1"/>
  <c r="BS44" i="1"/>
  <c r="BS40" i="1"/>
  <c r="BS39" i="1"/>
  <c r="BS211" i="1"/>
  <c r="BS318" i="1"/>
  <c r="BS218" i="1"/>
  <c r="BS200" i="1"/>
  <c r="BS172" i="1"/>
  <c r="BS314" i="1"/>
  <c r="BS113" i="1"/>
  <c r="BS49" i="1"/>
  <c r="BS273" i="1"/>
  <c r="BS174" i="1"/>
  <c r="BS86" i="1"/>
  <c r="BS82" i="1"/>
  <c r="BS76" i="1"/>
  <c r="BS294" i="1"/>
  <c r="BS299" i="1"/>
  <c r="BS212" i="1"/>
  <c r="BS230" i="1"/>
  <c r="BS241" i="1"/>
  <c r="BS14" i="1"/>
  <c r="BS217" i="1"/>
  <c r="BS265" i="1"/>
  <c r="BS182" i="1"/>
  <c r="BS262" i="1"/>
  <c r="BS101" i="1"/>
  <c r="BS319" i="1"/>
  <c r="BS280" i="1"/>
  <c r="BS304" i="1"/>
  <c r="BS198" i="1"/>
  <c r="BS288" i="1"/>
  <c r="BS313" i="1"/>
  <c r="BS254" i="1"/>
  <c r="BS293" i="1"/>
  <c r="BS224" i="1"/>
  <c r="BS186" i="1"/>
  <c r="BS228" i="1"/>
  <c r="BS251" i="1"/>
  <c r="BS286" i="1"/>
  <c r="BS309" i="1"/>
  <c r="BS312" i="1"/>
  <c r="BS169" i="1"/>
  <c r="BS47" i="1"/>
  <c r="BS213" i="1"/>
  <c r="BS315" i="1"/>
  <c r="BS239" i="1"/>
  <c r="BS214" i="1"/>
  <c r="BS204" i="1"/>
  <c r="BS227" i="1"/>
  <c r="BS171" i="1"/>
  <c r="BS108" i="1"/>
  <c r="BS175" i="1"/>
  <c r="BS48" i="1"/>
  <c r="BS98" i="1"/>
  <c r="BS50" i="1"/>
  <c r="BS194" i="1"/>
  <c r="BS283" i="1"/>
  <c r="BS107" i="1"/>
  <c r="BS52" i="1"/>
  <c r="BS59" i="1"/>
  <c r="BS20" i="1"/>
  <c r="BS149" i="1"/>
  <c r="BS202" i="1"/>
  <c r="BS191" i="1"/>
  <c r="BS185" i="1"/>
  <c r="BS147" i="1"/>
  <c r="BS207" i="1"/>
  <c r="BS42" i="1"/>
  <c r="BS31" i="1"/>
  <c r="BS33" i="1"/>
  <c r="BS24" i="1"/>
  <c r="BS269" i="1"/>
  <c r="BS292" i="1"/>
  <c r="BS255" i="1"/>
  <c r="BS208" i="1"/>
  <c r="BS281" i="1"/>
  <c r="BS238" i="1"/>
  <c r="BS250" i="1"/>
  <c r="BS226" i="1"/>
  <c r="BS247" i="1"/>
  <c r="BS92" i="1"/>
  <c r="BS55" i="1"/>
  <c r="BS138" i="1"/>
  <c r="BS110" i="1"/>
  <c r="BS114" i="1"/>
  <c r="BS223" i="1"/>
  <c r="A9" i="55" l="1"/>
  <c r="M15" i="55" l="1"/>
  <c r="F18" i="49" l="1"/>
  <c r="F19" i="49" l="1"/>
  <c r="F20" i="49" l="1"/>
  <c r="F21" i="49" s="1"/>
  <c r="F23" i="49" s="1"/>
  <c r="A9" i="49" l="1"/>
</calcChain>
</file>

<file path=xl/comments1.xml><?xml version="1.0" encoding="utf-8"?>
<comments xmlns="http://schemas.openxmlformats.org/spreadsheetml/2006/main">
  <authors>
    <author>JUAN CARLOS ZAMBRANO</author>
  </authors>
  <commentList>
    <comment ref="M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 TipoA 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CiruelaTipoA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la Uchuva  TipoA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- Uva -Uchuva - Durazno TipoA</t>
        </r>
      </text>
    </comment>
    <comment ref="N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 y Uchuva y ciruela Tipo A
</t>
        </r>
      </text>
    </comment>
    <comment ref="M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y Uchuva TipoA</t>
        </r>
      </text>
    </comment>
    <comment ref="N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y la ciruelaTipoA</t>
        </r>
      </text>
    </comment>
    <comment ref="M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DuraznoTipoA</t>
        </r>
      </text>
    </comment>
    <comment ref="N1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N1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1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y la Uva TipoA</t>
        </r>
      </text>
    </comment>
    <comment ref="N1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 CiruelaTipoA</t>
        </r>
      </text>
    </comment>
    <comment ref="M1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lel Durazno TipoA</t>
        </r>
      </text>
    </comment>
    <comment ref="N1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N1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1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1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DuraznoTipoA</t>
        </r>
      </text>
    </comment>
    <comment ref="M1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1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17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Uva TipoA</t>
        </r>
      </text>
    </comment>
    <comment ref="N17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y la Uchuva TipoA</t>
        </r>
      </text>
    </comment>
    <comment ref="M1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el durazno y la Uva  TipoA</t>
        </r>
      </text>
    </comment>
    <comment ref="M2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M2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TipoA</t>
        </r>
      </text>
    </comment>
    <comment ref="M2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2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2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2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2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a Uva  TipoA</t>
        </r>
      </text>
    </comment>
    <comment ref="N2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3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- la Uchuva  y la Uva TipoA</t>
        </r>
      </text>
    </comment>
    <comment ref="M2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4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 Y LA CIRUELA TipoA</t>
        </r>
      </text>
    </comment>
    <comment ref="N2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6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Verde, la Ciruela, el Durazno y la Uchuva  TipoA</t>
        </r>
      </text>
    </comment>
    <comment ref="M2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7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UchuvaTipoA</t>
        </r>
      </text>
    </comment>
    <comment ref="N2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8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la Uva TipoA</t>
        </r>
      </text>
    </comment>
    <comment ref="N2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8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2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8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29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AE29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Ciruela TipoA</t>
        </r>
      </text>
    </comment>
    <comment ref="M2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9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3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0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Uchuva TipoA</t>
        </r>
      </text>
    </comment>
    <comment ref="M3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1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- El durazno- La Uchuva y La Uva TipoA</t>
        </r>
      </text>
    </comment>
    <comment ref="N3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3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8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1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</commentList>
</comments>
</file>

<file path=xl/sharedStrings.xml><?xml version="1.0" encoding="utf-8"?>
<sst xmlns="http://schemas.openxmlformats.org/spreadsheetml/2006/main" count="37228" uniqueCount="2494">
  <si>
    <t>COMPONENTE</t>
  </si>
  <si>
    <t>FRUTA</t>
  </si>
  <si>
    <t>Fruta Natural</t>
  </si>
  <si>
    <t>Tipo A</t>
  </si>
  <si>
    <t>Tipo B</t>
  </si>
  <si>
    <t>Tipo C</t>
  </si>
  <si>
    <t>Tipo M</t>
  </si>
  <si>
    <t>Tipo H</t>
  </si>
  <si>
    <t>Unidad</t>
  </si>
  <si>
    <t>gr</t>
  </si>
  <si>
    <t>E1</t>
  </si>
  <si>
    <t>E2</t>
  </si>
  <si>
    <t>E3</t>
  </si>
  <si>
    <t>Uva tipo Isabella o Pera o Manzana o Granadilla</t>
  </si>
  <si>
    <t>PE1</t>
  </si>
  <si>
    <t>PE2</t>
  </si>
  <si>
    <t>PE3</t>
  </si>
  <si>
    <t>PE4</t>
  </si>
  <si>
    <t>PE5</t>
  </si>
  <si>
    <t>PE6</t>
  </si>
  <si>
    <t>PE7</t>
  </si>
  <si>
    <t>PE8</t>
  </si>
  <si>
    <t>PE9</t>
  </si>
  <si>
    <t>PE10</t>
  </si>
  <si>
    <t>PE11</t>
  </si>
  <si>
    <t>PE12</t>
  </si>
  <si>
    <t>PE13</t>
  </si>
  <si>
    <t>PE14</t>
  </si>
  <si>
    <t>PE15</t>
  </si>
  <si>
    <t>SE1</t>
  </si>
  <si>
    <t>PRODUCTO</t>
  </si>
  <si>
    <t>SE2</t>
  </si>
  <si>
    <t>SE3</t>
  </si>
  <si>
    <t>SE4</t>
  </si>
  <si>
    <t>SE5</t>
  </si>
  <si>
    <t>SE6</t>
  </si>
  <si>
    <t>SE7</t>
  </si>
  <si>
    <t>SE8</t>
  </si>
  <si>
    <t>SE9</t>
  </si>
  <si>
    <t>SE10</t>
  </si>
  <si>
    <t>SE11</t>
  </si>
  <si>
    <t>SE12</t>
  </si>
  <si>
    <t>SE13</t>
  </si>
  <si>
    <t>SE14</t>
  </si>
  <si>
    <t>SE15</t>
  </si>
  <si>
    <t>OBSERVACION</t>
  </si>
  <si>
    <t>Nombre Ficha Tecnica</t>
  </si>
  <si>
    <t>SubProducto</t>
  </si>
  <si>
    <t>UN</t>
  </si>
  <si>
    <t>Mandarina Variedad Arrayana</t>
  </si>
  <si>
    <t>Durazno</t>
  </si>
  <si>
    <t>Durazno (80 -100 g)</t>
  </si>
  <si>
    <t>Ciruela Calentana</t>
  </si>
  <si>
    <t>Ciruela Calentana (80 -100 g)</t>
  </si>
  <si>
    <t>Banano Variedad Bocadillo</t>
  </si>
  <si>
    <t>Banano Variedad Bocadillo (80 -100 g)</t>
  </si>
  <si>
    <t>Banano Maduro o Banano Uraba Común</t>
  </si>
  <si>
    <t>Banano Maduro o Banano Uraba Común (80 -100 g)</t>
  </si>
  <si>
    <t>Granadilla</t>
  </si>
  <si>
    <t>Granadilla Unidad</t>
  </si>
  <si>
    <t>Mango Maduro</t>
  </si>
  <si>
    <t>Mandarina Variedad Arrayana (80 -100 g)</t>
  </si>
  <si>
    <t>Mango Maduro (80 -100 g)</t>
  </si>
  <si>
    <t>Manzana (Verde, Roja o Nacional)</t>
  </si>
  <si>
    <t>Manzana (Verde, Roja o Nacional) (80 -100 g)</t>
  </si>
  <si>
    <t>Pera</t>
  </si>
  <si>
    <t>Uchuva</t>
  </si>
  <si>
    <t>Pera (80 -100 g)</t>
  </si>
  <si>
    <t>Uva variedad isabella</t>
  </si>
  <si>
    <t>Uva variedad negra o verde</t>
  </si>
  <si>
    <t>Uva variedad isabella (Bolsa 80 -100 g)</t>
  </si>
  <si>
    <t>Uva variedad negra o verde (Bolsa 80 -100 g)</t>
  </si>
  <si>
    <t>Codigo Alimento</t>
  </si>
  <si>
    <t>No se entrega en tipo A</t>
  </si>
  <si>
    <t>ITEM</t>
  </si>
  <si>
    <t>FECHA</t>
  </si>
  <si>
    <t>MES</t>
  </si>
  <si>
    <t>DIA</t>
  </si>
  <si>
    <t>DIA SEMANA</t>
  </si>
  <si>
    <t>FEBRERO</t>
  </si>
  <si>
    <t>MIERCOLES</t>
  </si>
  <si>
    <t>JUEVES</t>
  </si>
  <si>
    <t>VIERNES</t>
  </si>
  <si>
    <t>SABADO</t>
  </si>
  <si>
    <t>NO</t>
  </si>
  <si>
    <t>DOMINGO</t>
  </si>
  <si>
    <t>LUNES</t>
  </si>
  <si>
    <t>MARTES</t>
  </si>
  <si>
    <t>MARZO</t>
  </si>
  <si>
    <t>ABRIL</t>
  </si>
  <si>
    <t>SEMANA SANTA</t>
  </si>
  <si>
    <t>MAYO</t>
  </si>
  <si>
    <t>JUNIO</t>
  </si>
  <si>
    <t>VACACIONES</t>
  </si>
  <si>
    <t>AGOSTO</t>
  </si>
  <si>
    <t>SEPTIEMBRE</t>
  </si>
  <si>
    <t>OCTUBRE</t>
  </si>
  <si>
    <t>NOVIEMBRE</t>
  </si>
  <si>
    <t>NA</t>
  </si>
  <si>
    <t>Uchuva (Bolsa 80 -100 g)</t>
  </si>
  <si>
    <t>ENTREGA</t>
  </si>
  <si>
    <t>P_</t>
  </si>
  <si>
    <t>S_</t>
  </si>
  <si>
    <t>TOTAL</t>
  </si>
  <si>
    <t>TOTAL AÑO</t>
  </si>
  <si>
    <t>COD</t>
  </si>
  <si>
    <t>SI</t>
  </si>
  <si>
    <t>TIPO MUJER</t>
  </si>
  <si>
    <t>TIPO HOMBRE</t>
  </si>
  <si>
    <t>OBSERVACIONES</t>
  </si>
  <si>
    <t>JORNADA</t>
  </si>
  <si>
    <t>MAÑANA</t>
  </si>
  <si>
    <t>TARDE</t>
  </si>
  <si>
    <t>TOTAL ENTREGA DIARIA</t>
  </si>
  <si>
    <t>TIPO A
 (4 A 6 AÑOS)</t>
  </si>
  <si>
    <t>TIPO B  
(7 A 12 AÑOS)</t>
  </si>
  <si>
    <t>TIPO C  
(13 A 17 AÑOS)</t>
  </si>
  <si>
    <t>REFRIGERIOS PRIMERA ENTREGA</t>
  </si>
  <si>
    <t>REFRIGERIOS SEGUNDA ENTREGA</t>
  </si>
  <si>
    <t>El Calendario no incluye : La semana Santa , Vacaciones de Mitad de año (Dos semanas de Junio y una en Julio), Semana de Receso Octubre</t>
  </si>
  <si>
    <t>PE15 - FESTIVO</t>
  </si>
  <si>
    <t>SE5 - FESTIVO</t>
  </si>
  <si>
    <t>SE11 - FESTIVO</t>
  </si>
  <si>
    <t>PE14 - FESTIVO</t>
  </si>
  <si>
    <t>ENTREGA FIN DE SEMANA</t>
  </si>
  <si>
    <t>ENTREGA ENTRE SEMANA</t>
  </si>
  <si>
    <t>S_FDS</t>
  </si>
  <si>
    <t>CODIGO MENU</t>
  </si>
  <si>
    <t>TOTALES</t>
  </si>
  <si>
    <t>Proveedor del Suministro</t>
  </si>
  <si>
    <t>N° Contrato</t>
  </si>
  <si>
    <t>Proyecto</t>
  </si>
  <si>
    <t>Modalidad</t>
  </si>
  <si>
    <t>Loc.</t>
  </si>
  <si>
    <t>Localidad</t>
  </si>
  <si>
    <t>Nombre IDE</t>
  </si>
  <si>
    <t>Sede</t>
  </si>
  <si>
    <t>Nombre Sede</t>
  </si>
  <si>
    <t>FIN DE SEMANA</t>
  </si>
  <si>
    <t>J</t>
  </si>
  <si>
    <t>TIPO A</t>
  </si>
  <si>
    <t>TIPO B</t>
  </si>
  <si>
    <t>TIPO C</t>
  </si>
  <si>
    <t>TIPO M</t>
  </si>
  <si>
    <t>TIPO H</t>
  </si>
  <si>
    <t>LA CAMPIÑA SAS</t>
  </si>
  <si>
    <t>2362-G12</t>
  </si>
  <si>
    <t>1052-1</t>
  </si>
  <si>
    <t>REFRIGERIOS</t>
  </si>
  <si>
    <t>Kennedy</t>
  </si>
  <si>
    <t>COL NAL NICOLAS ESGUERRA (IED)</t>
  </si>
  <si>
    <t xml:space="preserve">SEDE A </t>
  </si>
  <si>
    <t>M</t>
  </si>
  <si>
    <t>SEDE A</t>
  </si>
  <si>
    <t>N</t>
  </si>
  <si>
    <t>T</t>
  </si>
  <si>
    <t>COL SAN PEDRO CLAVER (IED)</t>
  </si>
  <si>
    <t>CED SAN PEDRO CLAVER Sede A</t>
  </si>
  <si>
    <t>CED GERMAN ZEA HERNANDEZ</t>
  </si>
  <si>
    <t>CED GERNAN ZEA HERNANDEZ</t>
  </si>
  <si>
    <t>COL PAULO VI (IED)</t>
  </si>
  <si>
    <t>CED PAULO VI</t>
  </si>
  <si>
    <t>SEDE D (TEMPORAL SEDE B)</t>
  </si>
  <si>
    <t>COL MARSELLA (IED)</t>
  </si>
  <si>
    <t>CED MARSELLA</t>
  </si>
  <si>
    <t>SEDE B</t>
  </si>
  <si>
    <t>COL ALQUERIA DE LA FRAGUA (IED)</t>
  </si>
  <si>
    <t>CENT EDUC DIST ALQUERIA LA FRAGUA</t>
  </si>
  <si>
    <t>COL LOS PERIODISTAS (IED)</t>
  </si>
  <si>
    <t>CENT EDUC DIST LOS PERIODISTAS</t>
  </si>
  <si>
    <t>COL PROSPERO PINZON (IED)</t>
  </si>
  <si>
    <t>CED PROSPERO PINZON</t>
  </si>
  <si>
    <t>COL CASTILLA (IED)</t>
  </si>
  <si>
    <t>CENTRO EDUCATIVO DISTRITAL BAS Y MEDIA NUEVA CASTILLA</t>
  </si>
  <si>
    <t>COL CODEMA (IED)</t>
  </si>
  <si>
    <t>CED PRIMAVERA</t>
  </si>
  <si>
    <t>COL GUSTAVO ROJAS PINILLA (IED)</t>
  </si>
  <si>
    <t>SEDE B "EL TINTAL"</t>
  </si>
  <si>
    <t>COL SALUDCOOP SUR (IED)</t>
  </si>
  <si>
    <t>MUJERES DEL RIO</t>
  </si>
  <si>
    <t>COL NELSON MANDELA (IED)</t>
  </si>
  <si>
    <t>SEDE A - NELSON MANDELA</t>
  </si>
  <si>
    <t>2362-G12-JC2</t>
  </si>
  <si>
    <t>1052-2</t>
  </si>
  <si>
    <t>2362-G12-PI</t>
  </si>
  <si>
    <t>2362-G4</t>
  </si>
  <si>
    <t>COL CARLOS ARTURO TORRES (IED)</t>
  </si>
  <si>
    <t>CED REPUBLICA DE FINLANDIA</t>
  </si>
  <si>
    <t>SEDE EDUCACION ESPECIAL</t>
  </si>
  <si>
    <t>COL TOM ADAMS (IED)</t>
  </si>
  <si>
    <t>CED TOM ADAMS Sede A</t>
  </si>
  <si>
    <t>CENT EDUC DIST SAN JORGE(ENCY)</t>
  </si>
  <si>
    <t>COL CLASS (IED)</t>
  </si>
  <si>
    <t>CENT EDUC DIST CIUDAD ROMA</t>
  </si>
  <si>
    <t>CENT EDUC DIST ROMULO GALLEGOS</t>
  </si>
  <si>
    <t>COL SAN JOSE (IED)</t>
  </si>
  <si>
    <t>CED SAN JOSE</t>
  </si>
  <si>
    <t>CED SAN JOSE DESCANSO</t>
  </si>
  <si>
    <t>COL OEA (IED)</t>
  </si>
  <si>
    <t>CENT EDUC DIST BAS Y MEDIA O.E.A</t>
  </si>
  <si>
    <t>CED ANTONIA SANTOS</t>
  </si>
  <si>
    <t>COL KENNEDY (IED)</t>
  </si>
  <si>
    <t>COL DIST KENNEDY</t>
  </si>
  <si>
    <t>ANTONIA SANTOS</t>
  </si>
  <si>
    <t>HEROES</t>
  </si>
  <si>
    <t>ROSA MARIA GORDILLO</t>
  </si>
  <si>
    <t>COL MANUEL CEPEDA VARGAS (IED)</t>
  </si>
  <si>
    <t>CED BRITALIA</t>
  </si>
  <si>
    <t>CED GRAN BRITALIA</t>
  </si>
  <si>
    <t>CAMILO TORRES</t>
  </si>
  <si>
    <t>COL ALFONSO LOPEZ PUMAREJO (IED)</t>
  </si>
  <si>
    <t xml:space="preserve">SEDE A    </t>
  </si>
  <si>
    <t xml:space="preserve">SEDE B    </t>
  </si>
  <si>
    <t>COL GABRIEL BETANCOURT MEJIA (IED)</t>
  </si>
  <si>
    <t>SEDE MAGDALENA</t>
  </si>
  <si>
    <t>2362-G4-JC</t>
  </si>
  <si>
    <t>M1</t>
  </si>
  <si>
    <t>2362-G4-JC2</t>
  </si>
  <si>
    <t>2362-G4-PI</t>
  </si>
  <si>
    <t>FABIO DOBLADO BARRETO</t>
  </si>
  <si>
    <t>2306-G28</t>
  </si>
  <si>
    <t>Bosa</t>
  </si>
  <si>
    <t>COL NUEVO CHILE (IED)</t>
  </si>
  <si>
    <t>CED NUEVO CHILE</t>
  </si>
  <si>
    <t>CED RODRIGO DE BASTIDAS</t>
  </si>
  <si>
    <t>SEDE C - PI</t>
  </si>
  <si>
    <t>SEDE D</t>
  </si>
  <si>
    <t>SEDE E</t>
  </si>
  <si>
    <t>COL GRAN COLOMBIANO (IED)</t>
  </si>
  <si>
    <t>CENT EDUC DIST GRAN COLOMBIANO</t>
  </si>
  <si>
    <t>CED LOS LAURELES</t>
  </si>
  <si>
    <t>CED LOS NARANJOS</t>
  </si>
  <si>
    <t>COL LLANO ORIENTAL (IED)</t>
  </si>
  <si>
    <t>CENT EDUC DIST LLANO ORIENTAL</t>
  </si>
  <si>
    <t>LLANO ORIENTAL</t>
  </si>
  <si>
    <t>COL PABLO DE TARSO (IED)</t>
  </si>
  <si>
    <t>CED PABLO DE TARSO A</t>
  </si>
  <si>
    <t>CED PAULO VI Sede B</t>
  </si>
  <si>
    <t>COL VILLAS DEL PROGRESO (IED)</t>
  </si>
  <si>
    <t>CENT EDUC DIST VILLAS DEL PROGRESO</t>
  </si>
  <si>
    <t>JUVENTUD DE AMERICA</t>
  </si>
  <si>
    <t>JARDINES DE LA LIBERTAD</t>
  </si>
  <si>
    <t>2306-G28-JC</t>
  </si>
  <si>
    <t>Tunjuelito</t>
  </si>
  <si>
    <t>COL INST TEC INDUSTRIAL PILOTO (IED)</t>
  </si>
  <si>
    <t>INST TEC IND PILOTO</t>
  </si>
  <si>
    <t>COL SAN CARLOS (IED)</t>
  </si>
  <si>
    <t>CED JOSE ANTONIO RICAURTE</t>
  </si>
  <si>
    <t>SEDE B-ACTUALMENTE SEDE C</t>
  </si>
  <si>
    <t>2306-G28-JC2</t>
  </si>
  <si>
    <t>Ciudad Bolívar</t>
  </si>
  <si>
    <t>COL LA ESTANCIA - SAN ISIDRO LABRADOR (IED)</t>
  </si>
  <si>
    <t>COL DIST LA ESTANCIA</t>
  </si>
  <si>
    <t>COL RUR PASQUILLA (IED)</t>
  </si>
  <si>
    <t>PASQUILLA</t>
  </si>
  <si>
    <t>COL MARCO FIDEL SUAREZ (IED)</t>
  </si>
  <si>
    <t>COL DIST U.B. MARCO FIDEL SUAREZ</t>
  </si>
  <si>
    <t>2306-G28-PI</t>
  </si>
  <si>
    <t>COL LEONARDO POSADA PEDRAZA (IED)</t>
  </si>
  <si>
    <t>LEONARDO POSADA PEDRAZA</t>
  </si>
  <si>
    <t>2306-G30</t>
  </si>
  <si>
    <t>COL FANNY MICKEY (IED)</t>
  </si>
  <si>
    <t>FANNY MICKEY IED</t>
  </si>
  <si>
    <t>COL CENT INTEGL JOSE MARIA CORDOBA (IED)</t>
  </si>
  <si>
    <t>COL DIST JOSE MARIA CORDOBA</t>
  </si>
  <si>
    <t>COL VENECIA (IED)</t>
  </si>
  <si>
    <t>COL RAFAEL URIBE URIBE (IED)_6</t>
  </si>
  <si>
    <t>CENT EDUC DIST NSTRA SRA DEL CARMEN</t>
  </si>
  <si>
    <t>COL CIUDAD DE BOGOTA (IED)</t>
  </si>
  <si>
    <t>COL DIST U.B. CIUDAD DE BOGOTA</t>
  </si>
  <si>
    <t>CENT EDUC DIST ROCKEFELLER</t>
  </si>
  <si>
    <t>COL INEM SANTIAGO PEREZ (IED)</t>
  </si>
  <si>
    <t>CED AGUSTIN CODAZZI</t>
  </si>
  <si>
    <t>COL ISLA DEL SOL (IED)</t>
  </si>
  <si>
    <t>CED ISLA DEL SOL</t>
  </si>
  <si>
    <t>COL SAN BENITO ABAD (IED)</t>
  </si>
  <si>
    <t>CENT EDUC DIST DIANA TURBAY</t>
  </si>
  <si>
    <t>CENT EDUC DIST SAN BENITO</t>
  </si>
  <si>
    <t>2306-G30-JC</t>
  </si>
  <si>
    <t>2306-G30-JC2</t>
  </si>
  <si>
    <t>COL BERNARDO JARAMILLO (IED)</t>
  </si>
  <si>
    <t>CED BERNARDO JARAMILLO</t>
  </si>
  <si>
    <t>2306-G30-PI</t>
  </si>
  <si>
    <t>2306-G9</t>
  </si>
  <si>
    <t>COL LA ARABIA (IED)</t>
  </si>
  <si>
    <t>LA ARABIA</t>
  </si>
  <si>
    <t>COL PARAISO MIRADOR (IED)</t>
  </si>
  <si>
    <t>IED PARAISO MIRADOR</t>
  </si>
  <si>
    <t>CASAS PREFABRICADAS</t>
  </si>
  <si>
    <t>COL SOTAVENTO (IED)</t>
  </si>
  <si>
    <t>SOTAVENTO</t>
  </si>
  <si>
    <t>CED SAN ISIDRO LABRADOR</t>
  </si>
  <si>
    <t>SANTA BARBARA PASQUILLA</t>
  </si>
  <si>
    <t>PASQUILLITA</t>
  </si>
  <si>
    <t>CED NUESTRA SEÑORA DE FATIMA</t>
  </si>
  <si>
    <t>CED FATIMA COLMOTORES</t>
  </si>
  <si>
    <t>CED NUESTRA SEÑORA DEL ROSARIO</t>
  </si>
  <si>
    <t>COL RUFINO JOSE CUERVO (IED)</t>
  </si>
  <si>
    <t>CED RUFINO JOSE CUERVO</t>
  </si>
  <si>
    <t>CED CECILIA DE LA FUENTE LLERAS</t>
  </si>
  <si>
    <t>CED NUEVO TUNJUELITO</t>
  </si>
  <si>
    <t>SEDE ANEXA NUEVO TUNJUELITO</t>
  </si>
  <si>
    <t>SEDE B-ACTUALMENT SEDE C</t>
  </si>
  <si>
    <t>2306-G9-JC</t>
  </si>
  <si>
    <t>2306-G9-JC2</t>
  </si>
  <si>
    <t>2306-G9-PI</t>
  </si>
  <si>
    <t>ALIMENTOS SPRESS LTDA</t>
  </si>
  <si>
    <t>3537-1</t>
  </si>
  <si>
    <t>Rafael Uribe</t>
  </si>
  <si>
    <t>COL REINO DE HOLANDA (IED)</t>
  </si>
  <si>
    <t>CED REINO DE HOLANDA</t>
  </si>
  <si>
    <t>CED MARCO FIDEL SUAREZ</t>
  </si>
  <si>
    <t>COL LIC FEM MERCEDES NARIÑO (IED)</t>
  </si>
  <si>
    <t xml:space="preserve">CED LICEO FEMENINO MERCEDES NARIÑO </t>
  </si>
  <si>
    <t>COL SAN AGUSTIN (IED)</t>
  </si>
  <si>
    <t>CED SAN AGUSTIN</t>
  </si>
  <si>
    <t>CED  MAXIMO GORKI</t>
  </si>
  <si>
    <t>COL ALEJANDRO OBREGON (IED)</t>
  </si>
  <si>
    <t>SEDE A UNICA</t>
  </si>
  <si>
    <t>COL ANTONIO BARAYA (IED)</t>
  </si>
  <si>
    <t>CENT EDUC DIST ANTONIO BARAYA</t>
  </si>
  <si>
    <t>CENT EDUC DIST PABLO VI</t>
  </si>
  <si>
    <t>COL PALERMO SUR (CED)</t>
  </si>
  <si>
    <t xml:space="preserve">SEDE  NUEVA  </t>
  </si>
  <si>
    <t>SEDE NUEVA</t>
  </si>
  <si>
    <t>COL LA PAZ (CED)</t>
  </si>
  <si>
    <t>CED LA PAZ</t>
  </si>
  <si>
    <t>3537-2E</t>
  </si>
  <si>
    <t>CED LICEO FEMENINO MERCEDES NARIÑO</t>
  </si>
  <si>
    <t>3537-2U</t>
  </si>
  <si>
    <t>3538-1</t>
  </si>
  <si>
    <t>Engativá</t>
  </si>
  <si>
    <t>COL ANTONIO NARIÑO (IED)</t>
  </si>
  <si>
    <t>ANTONIO NARIÑO</t>
  </si>
  <si>
    <t>LA CONSOLACION</t>
  </si>
  <si>
    <t>COL REPUBLICA DE COLOMBIA (IED)</t>
  </si>
  <si>
    <t>CED REPUBLICA DE COLOMBIA</t>
  </si>
  <si>
    <t>CED REPUBLICA DE CHILE</t>
  </si>
  <si>
    <t>CED NUEVA ESTRADA</t>
  </si>
  <si>
    <t>COL INST TEC INDUSTRIAL FRANCISCO JOSE DE CALDAS (IED)</t>
  </si>
  <si>
    <t>INST TEC DIST FRANCISCO JOSE DE CALDAS</t>
  </si>
  <si>
    <t>CIUDAD DE HONDA</t>
  </si>
  <si>
    <t>CLEMENCIA CAICEDO</t>
  </si>
  <si>
    <t>DÁMASO ZAPATA</t>
  </si>
  <si>
    <t>COL MIGUEL ANTONIO CARO (IED)</t>
  </si>
  <si>
    <t>CED MIGUEL ANTONIO CARO</t>
  </si>
  <si>
    <t>COL MORISCO (IED)</t>
  </si>
  <si>
    <t>CED MORISCO</t>
  </si>
  <si>
    <t>CENT EDUC DIST MORISCO</t>
  </si>
  <si>
    <t>COL SAN JOSE NORTE (IED)</t>
  </si>
  <si>
    <t>CED AGUAS CLARAS</t>
  </si>
  <si>
    <t>COL FLORIDABLANCA (IED)</t>
  </si>
  <si>
    <t>CENT EDUC DIST DE EDUC BAS Y MEDIA FLORIDABLANCA</t>
  </si>
  <si>
    <t>RAFAEL POMBO</t>
  </si>
  <si>
    <t>FLORIDA BLANCA II SECTOR</t>
  </si>
  <si>
    <t>COL REPUBLICA DE CHINA (IED)</t>
  </si>
  <si>
    <t>COL MAGDALENA ORTEGA DE NARIÑO (IED)</t>
  </si>
  <si>
    <t>LICEO NAL MAGDALENA ORTEGA DE NARIÑO</t>
  </si>
  <si>
    <t>COL MANUELA AYALA DE GAITAN (IED)</t>
  </si>
  <si>
    <t>CENT EDUC DIST MANUELA AYALA DE GAITAN</t>
  </si>
  <si>
    <t>CENT EDUC DIST CARLOS LLERAS RESTREPO</t>
  </si>
  <si>
    <t>COL RODOLFO LLINAS (ANTIGUO BOLIVIA)</t>
  </si>
  <si>
    <t>SEDE A (ANTIGUO BOLIVIA)</t>
  </si>
  <si>
    <t>3538-2E</t>
  </si>
  <si>
    <t>3539-1</t>
  </si>
  <si>
    <t>Antonio Nariño</t>
  </si>
  <si>
    <t>COL GUILLERMO LEON VALENCIA (IED) (A Nariño)</t>
  </si>
  <si>
    <t>COL DIST GUILLERMO LEON VALENCIA</t>
  </si>
  <si>
    <t>CENT EDUC DIST NSTRA SRA DE LA SABIDURIA</t>
  </si>
  <si>
    <t>CENT EDUC DIST REP DE PANAMA</t>
  </si>
  <si>
    <t>COL ESC NORMAL SUPERIOR DISTRITAL MARIA MONTESSORI Y ANEXA (IED)</t>
  </si>
  <si>
    <t>ESC NORMAL SUPERIOR DIST MARIA MONTESSORI</t>
  </si>
  <si>
    <t>ESC NORMAL SUPERIOR DIST MARIA MONTESSORI ANEXA</t>
  </si>
  <si>
    <t>COL ATANASIO GIRARDOT (IED)</t>
  </si>
  <si>
    <t>COL FRANCISCO DE PAULA SANTANDER (IED)_15</t>
  </si>
  <si>
    <t>COL TEC JAIME PARDO LEAL (IED)</t>
  </si>
  <si>
    <t>CEDIT JAIME PARDO LEAL</t>
  </si>
  <si>
    <t>COL QUIROGA ALIANZA (IED)</t>
  </si>
  <si>
    <t xml:space="preserve">CED QUIROGA ALIANZA </t>
  </si>
  <si>
    <t>COL REPUBLICA FEDERAL DE ALEMANIA (IED)</t>
  </si>
  <si>
    <t>COL ALEXANDER FLEMING (IED)</t>
  </si>
  <si>
    <t xml:space="preserve">CED     REINO UNIDO DE HOLANDA </t>
  </si>
  <si>
    <t>CENT EDUC DIST REINO UNIDO DE HOLANDA</t>
  </si>
  <si>
    <t>COL  DIST ANTONIO RICAURTE</t>
  </si>
  <si>
    <t>SEDE C PARQUE EL TUNAL</t>
  </si>
  <si>
    <t>COL JOSE MARTI (IED)</t>
  </si>
  <si>
    <t>CED  NAZARETH</t>
  </si>
  <si>
    <t xml:space="preserve">COL DIST GRANJA SAN PABLO </t>
  </si>
  <si>
    <t xml:space="preserve">CED  LA RESURRECCION </t>
  </si>
  <si>
    <t>CED  LA RESURRECCION</t>
  </si>
  <si>
    <t xml:space="preserve">CED  RIO DE JANEIRO </t>
  </si>
  <si>
    <t>COL MARRUECOS Y MOLINOS (IED)</t>
  </si>
  <si>
    <t>CED MARRUECOS Y MOLINOS</t>
  </si>
  <si>
    <t>3539-2E</t>
  </si>
  <si>
    <t>3539-2U</t>
  </si>
  <si>
    <t>SURCOLOMBIANA DE INVERSIONES LTDA</t>
  </si>
  <si>
    <t>3522-1</t>
  </si>
  <si>
    <t>Usaquen</t>
  </si>
  <si>
    <t>COL AGUSTIN FERNANDEZ (IED)</t>
  </si>
  <si>
    <t>AGUSTIN FERNANDEZ</t>
  </si>
  <si>
    <t>SAN BERNARDO</t>
  </si>
  <si>
    <t>SANTA CECILIA ALTA</t>
  </si>
  <si>
    <t>SEDE A PRIMARIA</t>
  </si>
  <si>
    <t>COL TOBERIN (IED)</t>
  </si>
  <si>
    <t>BABILONIA</t>
  </si>
  <si>
    <t>LAS ORQUIDEAS</t>
  </si>
  <si>
    <t>SEDE D -PI</t>
  </si>
  <si>
    <t>COL UNION COLOMBIA (IED)</t>
  </si>
  <si>
    <t>PILOTO DE aplicación</t>
  </si>
  <si>
    <t>PILOTO DE APLICACIÓN</t>
  </si>
  <si>
    <t>SANTA CLAUDIA</t>
  </si>
  <si>
    <t>COL CRISTOBAL COLON (IED)</t>
  </si>
  <si>
    <t>CRISTOBAL COLON</t>
  </si>
  <si>
    <t>SANTA CECILIA BAJA</t>
  </si>
  <si>
    <t>SORATAMA</t>
  </si>
  <si>
    <t>COL GENERAL SANTANDER (IED)_1</t>
  </si>
  <si>
    <t>GENERAL SANTANDER</t>
  </si>
  <si>
    <t>COL RESTREPO MILLAN (IED)</t>
  </si>
  <si>
    <t>COL NAL RESTREPO MILLAN</t>
  </si>
  <si>
    <t>ESC. DIST. ISABEL II DE INGLATERRA</t>
  </si>
  <si>
    <t>CED EL PESEBRE</t>
  </si>
  <si>
    <t>COL BRAVO PAEZ (IED)</t>
  </si>
  <si>
    <t xml:space="preserve">COL DIST BRAVO PAEZ </t>
  </si>
  <si>
    <t>COL MANUEL DEL SOCORRO RODRIGUEZ (IED)</t>
  </si>
  <si>
    <t>CED MANUEL DEL SOCORRO RODRIGUEZ</t>
  </si>
  <si>
    <t>CED REPUBLICA DE ISARAEL</t>
  </si>
  <si>
    <t>COL ALFREDO IRIARTE (IED)</t>
  </si>
  <si>
    <t>CED CHIRCALES</t>
  </si>
  <si>
    <t>CED EL MIRADOR</t>
  </si>
  <si>
    <t>CED LA MERCED SUR</t>
  </si>
  <si>
    <t>COL ENRIQUE OLAYA HERRERA (IED)</t>
  </si>
  <si>
    <t>COL DIST ENRIQUE OLAYA HERRERA</t>
  </si>
  <si>
    <t>3522-2E</t>
  </si>
  <si>
    <t>UNIÓN TEMPORAL NUTRIR INFANCIA 2014 SED</t>
  </si>
  <si>
    <t>2310-G1</t>
  </si>
  <si>
    <t>Puente Aranda</t>
  </si>
  <si>
    <t>COL ANDRES BELLO (IED)</t>
  </si>
  <si>
    <t>CED ANDRES BELLO</t>
  </si>
  <si>
    <t>COL JOSE JOAQUIN CASAS (IED)</t>
  </si>
  <si>
    <t>CENT EDUC DIST JOSE JOAQUIN CASAS</t>
  </si>
  <si>
    <t>JOSE JOAQUIN CASAS</t>
  </si>
  <si>
    <t>COL DARIO ECHANDIA (IED)</t>
  </si>
  <si>
    <t>CED DARIO ECHANDIA</t>
  </si>
  <si>
    <t>CED LOS PATIOS</t>
  </si>
  <si>
    <t>CED TOCAREMA</t>
  </si>
  <si>
    <t>COL LA AMISTAD (IED)</t>
  </si>
  <si>
    <t>IED LA AMISTAD</t>
  </si>
  <si>
    <t xml:space="preserve">CED LLANO GRANDE </t>
  </si>
  <si>
    <t>CED PINAR DEL RIO</t>
  </si>
  <si>
    <t>COL EL JAPON (IED)</t>
  </si>
  <si>
    <t>CED JAPON</t>
  </si>
  <si>
    <t>COL LAS AMERICAS (IED)</t>
  </si>
  <si>
    <t>UNIDAD DE EDUC BASICA LAS AMERICAS</t>
  </si>
  <si>
    <t>COL LA CHUCUA (IED)</t>
  </si>
  <si>
    <t>CENT EDUC DIST LA CHUCUA</t>
  </si>
  <si>
    <t>COL FERNANDO SOTO APARICIO (ANTIGUO NUEVO KENNEDY)</t>
  </si>
  <si>
    <t>COL DIST NUEVO KENNEDY</t>
  </si>
  <si>
    <t>CED PASTRANITA</t>
  </si>
  <si>
    <t>SEDE C</t>
  </si>
  <si>
    <t>COL JAIRO ANIBAL NIÑO (CED) (ANTIGUO PATIO BONITO)</t>
  </si>
  <si>
    <t>CED PATIO BONITO I</t>
  </si>
  <si>
    <t>COL MANUEL ZAPATA OLIVELLA (ANT. PATIO BONITO II) (IED)</t>
  </si>
  <si>
    <t>CED PATIO BONITO II</t>
  </si>
  <si>
    <t>COL VILLA RICA (IED)</t>
  </si>
  <si>
    <t>CED BAS Y MEDIA VILLA RICA</t>
  </si>
  <si>
    <t>CENT EDUC DIST PERPETUO SOCORRO</t>
  </si>
  <si>
    <t>COL SAN JOSE DE CASTILLA (IED)</t>
  </si>
  <si>
    <t>INST DIST CASTILLA</t>
  </si>
  <si>
    <t>CED SAN JOSE OCCIDENTAL</t>
  </si>
  <si>
    <t>CENT EDUC DIST VISION DE COLOMBIA</t>
  </si>
  <si>
    <t>2310-G1-JC</t>
  </si>
  <si>
    <t>2310-G1-JC2</t>
  </si>
  <si>
    <t>2310-G1-PI</t>
  </si>
  <si>
    <t>2310-G29</t>
  </si>
  <si>
    <t>COL BRASILIA - BOSA (IED)</t>
  </si>
  <si>
    <t>CENT EDUC DIST BRASILIA - BOSA</t>
  </si>
  <si>
    <t>CED LUIS HERNANDO PEREA</t>
  </si>
  <si>
    <t>CED BRASILIA  - BOSA</t>
  </si>
  <si>
    <t>COL MOTORISTA (CED)</t>
  </si>
  <si>
    <t>CENT EDUC DIST MOTORISTA</t>
  </si>
  <si>
    <t>COL JOSE ANTONIO GALAN (IED)</t>
  </si>
  <si>
    <t>CENT EDUC DIST JOSE ANTONIO GALAN</t>
  </si>
  <si>
    <t>COL CARLOS PIZARRO LEON GOMEZ (IED)</t>
  </si>
  <si>
    <t>SEDE B - PI</t>
  </si>
  <si>
    <t xml:space="preserve">COL GERMAN ARCINIEGAS (IED) </t>
  </si>
  <si>
    <t>NUEVOS HORIZONTES</t>
  </si>
  <si>
    <t>COL LUIS LOPEZ DE MESA (IED)</t>
  </si>
  <si>
    <t xml:space="preserve">SEDE NUEVA </t>
  </si>
  <si>
    <t>COL FRANCISCO DE PAULA SANTANDER (IED)_7</t>
  </si>
  <si>
    <t>CENT EDUC DIST FRANCISCO DE PAULA SANTANDER</t>
  </si>
  <si>
    <t>COL FERNANDO MAZUERA VILLEGAS (IED)</t>
  </si>
  <si>
    <t>FERNANDO MAZUERA VILLEGAS</t>
  </si>
  <si>
    <t>CED GONZALO JIMENEZ DE QUESADA</t>
  </si>
  <si>
    <t>CED HUMBERTO VALENCIA</t>
  </si>
  <si>
    <t>CED NUEVA ISLANDIA</t>
  </si>
  <si>
    <t>SEDE B EL LIBERTADOR</t>
  </si>
  <si>
    <t>LOS ANGELES</t>
  </si>
  <si>
    <t>COL PORFIRIO BARBA JACOB (IED)</t>
  </si>
  <si>
    <t>R SALON COMUNAL LA PALESTINA</t>
  </si>
  <si>
    <t>COL SAN BERNARDINO (IED)</t>
  </si>
  <si>
    <t>CENT EDUC DIST SAN BERNARDINO</t>
  </si>
  <si>
    <t>COL EL PORVENIR (IED)</t>
  </si>
  <si>
    <t>CED PORVENIR NO.2</t>
  </si>
  <si>
    <t>COL BOSANOVA (IED)</t>
  </si>
  <si>
    <t xml:space="preserve">CED BOSA NOVA </t>
  </si>
  <si>
    <t>CLARA, FE Y PAZ</t>
  </si>
  <si>
    <t>2310-G29-JC</t>
  </si>
  <si>
    <t>C.E.D. CARLOS PIZARRO</t>
  </si>
  <si>
    <t>CENT EDUC DIST LUIS LOPEZ DE MESA</t>
  </si>
  <si>
    <t>CED PORFIRIO BARBA JACOB</t>
  </si>
  <si>
    <t xml:space="preserve">CED PORFIRIO BARBA JACOB </t>
  </si>
  <si>
    <t>EL PORVENIR</t>
  </si>
  <si>
    <t>2310-G29-JC2</t>
  </si>
  <si>
    <t>2310-G29-PI</t>
  </si>
  <si>
    <t>2310-G7</t>
  </si>
  <si>
    <t>COL DE CULTURA POPULAR (IED)</t>
  </si>
  <si>
    <t>INST NAL DE CULTURA POPULAR</t>
  </si>
  <si>
    <t>COL LA MERCED (IED)</t>
  </si>
  <si>
    <t>COL DIST LA MERCED</t>
  </si>
  <si>
    <t>COL SILVERIA ESPINOSA DE RENDON (IED)</t>
  </si>
  <si>
    <t>COL DEPT SILVERIA ESPINOSA DE RENDON</t>
  </si>
  <si>
    <t>CED RAFAEL POMBO</t>
  </si>
  <si>
    <t>CED TRINIDAD</t>
  </si>
  <si>
    <t>COL EL JAZMIN (IED)</t>
  </si>
  <si>
    <t>CENT EDUC DIST EL JAZMIN</t>
  </si>
  <si>
    <t>CED EL JAZMIN</t>
  </si>
  <si>
    <t>COL ESPAÑA (IED)</t>
  </si>
  <si>
    <t>CENT EDUC DIST ESPAÑA</t>
  </si>
  <si>
    <t>CED ESPAÑA</t>
  </si>
  <si>
    <t>COL BENJAMIN HERRERA (IED)</t>
  </si>
  <si>
    <t>COL DIST BENJAMIN HERRERA</t>
  </si>
  <si>
    <t>CED TAYRONA</t>
  </si>
  <si>
    <t>COL ANTONIO JOSE DE SUCRE (IED)</t>
  </si>
  <si>
    <t>CENT EDUC DIST ANTONIO JOSE DE SUCRE</t>
  </si>
  <si>
    <t>COL MARCO ANTONIO CARREÑO SILVA (IED)</t>
  </si>
  <si>
    <t>CENT EDUC DIST EL REMANSO</t>
  </si>
  <si>
    <t>CENT EDUC DIST MARCO ANTONIO CARREÑO SILVA</t>
  </si>
  <si>
    <t>CENT EDUC DIST JORGE GAITAN CORTES</t>
  </si>
  <si>
    <t>COL LUIS VARGAS TEJADA (IED)</t>
  </si>
  <si>
    <t>COL DIST LUIS VARGAS TEJADA</t>
  </si>
  <si>
    <t>CENT EDUC DIST JOHN F KENNEDY</t>
  </si>
  <si>
    <t>COL SORRENTO (IED)</t>
  </si>
  <si>
    <t>COL DIST SORRENTO</t>
  </si>
  <si>
    <t>SEDE B SAN RAFAEL</t>
  </si>
  <si>
    <t>COL JOSE MANUEL RESTREPO (IED)</t>
  </si>
  <si>
    <t>COL DIST EDUC BAS Y MEDIA JOSE MANUEL RESTREPO</t>
  </si>
  <si>
    <t>COL LUIS CARLOS GALAN SARMIENTO (IED)</t>
  </si>
  <si>
    <t>COL DIST LUIS CARLOS GALAN SARMIENTO</t>
  </si>
  <si>
    <t>COL JULIO GARAVITO ARMERO (IED)</t>
  </si>
  <si>
    <t>CENT EDUC DIST LA ALQUERIA</t>
  </si>
  <si>
    <t>CENT EDUC DIST MUZU No. 1</t>
  </si>
  <si>
    <t>CENT EDUC DIST MUZU No. 2</t>
  </si>
  <si>
    <t>2310-G7-JC</t>
  </si>
  <si>
    <t>2310-G7-JC2</t>
  </si>
  <si>
    <t>2310-G7-PI</t>
  </si>
  <si>
    <t>PROALIMENTOS LIBER SAS</t>
  </si>
  <si>
    <t>2330-G14</t>
  </si>
  <si>
    <t>Los Mártires</t>
  </si>
  <si>
    <t>COL EDUARDO SANTOS (IED)</t>
  </si>
  <si>
    <t>COL REPUBLICA BOLIVARIANA DE VENEZUELA (IED)</t>
  </si>
  <si>
    <t>COL LIC NAL ANTONIA SANTOS (IED)</t>
  </si>
  <si>
    <t>LICEO NAL EDUC BAS Y MEDIA ANTONIA SANTOS</t>
  </si>
  <si>
    <t>COL TEC MENORAH (IED)</t>
  </si>
  <si>
    <t>CED TECNICO MENORAH</t>
  </si>
  <si>
    <t>COL PANAMERICANO (IED)</t>
  </si>
  <si>
    <t>CED PANAMERICANO</t>
  </si>
  <si>
    <t>CENT EDUC DIST PANAMERICANO</t>
  </si>
  <si>
    <t>COL RICAURTE (CONCEJO) (IED)</t>
  </si>
  <si>
    <t>CENT EDUC DIST ANTONIO RICAURTE</t>
  </si>
  <si>
    <t>COL SAN FRANCISCO DE ASIS (IED)</t>
  </si>
  <si>
    <t>INST POLITECNICO NAL FEMENINO</t>
  </si>
  <si>
    <t>CED EMMA VILLEGAS DE GAITAN</t>
  </si>
  <si>
    <t>La Candelaria</t>
  </si>
  <si>
    <t>COL ESC NAL DE COMERCIO (IED)</t>
  </si>
  <si>
    <t>QUINTA DIAZ</t>
  </si>
  <si>
    <t>COL INTEGRADA LA CANDELARIA (IED)</t>
  </si>
  <si>
    <t>CENT EDUC DIST LA CANDELARIA</t>
  </si>
  <si>
    <t>LA INMACULADA</t>
  </si>
  <si>
    <t>Santafé</t>
  </si>
  <si>
    <t>COL POLICARPA SALAVARRIETA (IED)</t>
  </si>
  <si>
    <t>COL EXTERN NAL CAMILO TORRES (IED)</t>
  </si>
  <si>
    <t>EXTERNADO NAL CAMILO TORRES</t>
  </si>
  <si>
    <t>COL JORGE SOTO DEL CORRAL (IED)</t>
  </si>
  <si>
    <t>ATANASIO GIRARDOT</t>
  </si>
  <si>
    <t>EL GUAVIO</t>
  </si>
  <si>
    <t>COL ANTONIO JOSE URIBE (IED)</t>
  </si>
  <si>
    <t>COL DIST ANTONIO JOSE URIBE</t>
  </si>
  <si>
    <t>SANTA INES-LOS ANGELES</t>
  </si>
  <si>
    <t>COL MANUEL ELKIN PATARROYO (IED)</t>
  </si>
  <si>
    <t>MANUEL ELKIN PATARROLLO</t>
  </si>
  <si>
    <t>COL AULAS COLOMBIANAS SAN LUIS (IED)</t>
  </si>
  <si>
    <t>AULAS COLOMBIANAS EL CONSUELO</t>
  </si>
  <si>
    <t>SAN LUIS EL DORADO</t>
  </si>
  <si>
    <t>COL EL VERJON BAJO (IED)</t>
  </si>
  <si>
    <t>VERJON ALTO</t>
  </si>
  <si>
    <t>COL LOS PINOS (IED)</t>
  </si>
  <si>
    <t>LOS PINOS</t>
  </si>
  <si>
    <t>EFRAIN CAÑAVERA</t>
  </si>
  <si>
    <t>CENT EDUC DIST EFRAIN CAÑAVERA</t>
  </si>
  <si>
    <t xml:space="preserve">EL PAREJO </t>
  </si>
  <si>
    <t>2330-G14-JC</t>
  </si>
  <si>
    <t>San Cristóbal</t>
  </si>
  <si>
    <t>COL TEC TOMAS RUEDA VARGAS (IED)</t>
  </si>
  <si>
    <t>CED TOMAS RUEDA VARGAS</t>
  </si>
  <si>
    <t>CED SANTA INES SUR ORIENTAL</t>
  </si>
  <si>
    <t>CED REP DEL CANADA I</t>
  </si>
  <si>
    <t>2330-G14-JC2</t>
  </si>
  <si>
    <t>2330-G14-PI</t>
  </si>
  <si>
    <t>2330-G2</t>
  </si>
  <si>
    <t>COL JOSE MARIA CARBONELL (IED)</t>
  </si>
  <si>
    <t>JOSE MARIA CARBONELL</t>
  </si>
  <si>
    <t>COL ATENAS (IED)</t>
  </si>
  <si>
    <t>CED ATENAS</t>
  </si>
  <si>
    <t>COL JOSE JOAQUIN CASTRO MARTINEZ (IED)</t>
  </si>
  <si>
    <t>JOSE JOAQUIN CASTRO MARTINEZ</t>
  </si>
  <si>
    <t>CE  SAN VICENTE SUR ORIENTAL</t>
  </si>
  <si>
    <t>COL EL RODEO (IED)</t>
  </si>
  <si>
    <t>CED EL RODEO</t>
  </si>
  <si>
    <t>CED LA GLORIA</t>
  </si>
  <si>
    <t>COL LA VICTORIA (IED)</t>
  </si>
  <si>
    <t>CED LA VICTORIA</t>
  </si>
  <si>
    <t>CED SANTAFEREÑA I</t>
  </si>
  <si>
    <t>COL MORALBA SURORIENTAL (IED)</t>
  </si>
  <si>
    <t>CED MORALBA SUR ORIENTAL</t>
  </si>
  <si>
    <t>CED EL QUINDIO</t>
  </si>
  <si>
    <t>CED FUNDACION EL CONSUELO</t>
  </si>
  <si>
    <t>COL FLORENTINO GONZALEZ (IED)</t>
  </si>
  <si>
    <t>FLORENTINO GONZÁLEZ</t>
  </si>
  <si>
    <t>COL ALEMANIA UNIFICADA (IED)</t>
  </si>
  <si>
    <t>CED GUACAMAYAS</t>
  </si>
  <si>
    <t>CENT EDUC DIST GUACAMAYAS</t>
  </si>
  <si>
    <t>CED ALEMANIA UNIFICADA</t>
  </si>
  <si>
    <t>COL REPUBLICA DEL ECUADOR (IED)</t>
  </si>
  <si>
    <t>CENT EDUC DIST VITELMA</t>
  </si>
  <si>
    <t>COL DIST EDUC BAS Y MEDIA REP DEL ECUADOR</t>
  </si>
  <si>
    <t>CED VITELMA</t>
  </si>
  <si>
    <t>COL JUAN REY (IED)</t>
  </si>
  <si>
    <t>CED JUAN REY</t>
  </si>
  <si>
    <t>CED CIUDAD DE LONDRES</t>
  </si>
  <si>
    <t>CED CHIGUAZA</t>
  </si>
  <si>
    <t>COL JOSE FELIX RESTREPO (IED)</t>
  </si>
  <si>
    <t>COL DIST JOSE FELIX RESTREPO</t>
  </si>
  <si>
    <t>CENT EDUC DIST SANTA ANA SUR</t>
  </si>
  <si>
    <t>CED JUAN XXIII</t>
  </si>
  <si>
    <t>CARLOS ALBAN HOLGUIN</t>
  </si>
  <si>
    <t>COL JUAN EVANGELISTA GOMEZ (IED)</t>
  </si>
  <si>
    <t>JUAN EVANGELISTA GOMEZ</t>
  </si>
  <si>
    <t>COL ENTRE NUBES SURORIENTAL (IED)</t>
  </si>
  <si>
    <t>CED ANIBAL FERNANDEZ DE SOTO</t>
  </si>
  <si>
    <t>CED LA PENINSULA</t>
  </si>
  <si>
    <t>CED CANADA GÜIRA</t>
  </si>
  <si>
    <t>2330-G2-JC</t>
  </si>
  <si>
    <t>2330-G2-JC2</t>
  </si>
  <si>
    <t>2330-G2-PI</t>
  </si>
  <si>
    <t>2330-G3</t>
  </si>
  <si>
    <t>COL GRAN COLOMBIA (IED)</t>
  </si>
  <si>
    <t>CED GRAN COLOMBIA</t>
  </si>
  <si>
    <t>COL VEINTE DE JULIO (IED)</t>
  </si>
  <si>
    <t>CED VEINTE DE JULIO</t>
  </si>
  <si>
    <t>COL PANTALEON GAITAN PEREZ (CED)</t>
  </si>
  <si>
    <t>CED PANTALEON GAITAN PEREZ</t>
  </si>
  <si>
    <t>COL JUANA ESCOBAR (IED)</t>
  </si>
  <si>
    <t>ESC SAN LUIS SUR ORIENTAL</t>
  </si>
  <si>
    <t>CED REP DE CANADA II</t>
  </si>
  <si>
    <t>COL AGUAS CLARAS (IED)</t>
  </si>
  <si>
    <t>COL ALTAMIRA SURORIENTAL (IED)</t>
  </si>
  <si>
    <t>CED ALTAMIRA SUR ORIENTAL</t>
  </si>
  <si>
    <t>CED NUEVA GLORIA</t>
  </si>
  <si>
    <t>CED REP DE ISRAEL</t>
  </si>
  <si>
    <t>COL SAN CRISTOBAL SUR (IED)</t>
  </si>
  <si>
    <t>CED SAN CRISTOBAL SUR</t>
  </si>
  <si>
    <t>CED JOSE A MORALES</t>
  </si>
  <si>
    <t>JARDIN INFANTIL NAL POPULAR No.2</t>
  </si>
  <si>
    <t>COL JOSE ACEVEDO Y GOMEZ (IED)</t>
  </si>
  <si>
    <t>CED JOSE ACEVEDO Y GOMEZ</t>
  </si>
  <si>
    <t>CED RAMAJAL</t>
  </si>
  <si>
    <t>COL MONTEBELLO (IED)</t>
  </si>
  <si>
    <t>COL DIST EDUC BAS Y MEDIA MONTEBELLO</t>
  </si>
  <si>
    <t>CED JOSE MARIA CORDOBA</t>
  </si>
  <si>
    <t>COL LOS ALPES (IED)</t>
  </si>
  <si>
    <t>COL DIST EDUC BAS Y MEDIA LOS ALPES</t>
  </si>
  <si>
    <t>CED BELLAVISTA</t>
  </si>
  <si>
    <t>COL LA BELLEZA LOS LIBERTADORES (IED)</t>
  </si>
  <si>
    <t>CED LA BELLEZA</t>
  </si>
  <si>
    <t>CED LOS LIBERTADORES</t>
  </si>
  <si>
    <t>COL FRANCISCO JAVIER MATIZ (IED)</t>
  </si>
  <si>
    <t>CED FRANCISCO JAVIER MATIZ</t>
  </si>
  <si>
    <t>CENT EDUC DIST SURAMERICA</t>
  </si>
  <si>
    <t>COL SAN ISIDRO SURORIENTAL (IED)</t>
  </si>
  <si>
    <t>CED SAN ISIDRO SUR ORIENTAL</t>
  </si>
  <si>
    <t>CED OMAR TORRIJOS</t>
  </si>
  <si>
    <t>COL MANUELITA SAENZ (IED)</t>
  </si>
  <si>
    <t>COL DIST EDUC BAS Y MEDIA MANUELITA SAENZ</t>
  </si>
  <si>
    <t>COL EL MANANTIAL (CED)</t>
  </si>
  <si>
    <t>ESC EL MANANTIAL</t>
  </si>
  <si>
    <t>COL RAFAEL NUÑEZ (IED)</t>
  </si>
  <si>
    <t>COL ALDEMAR ROJAS (IED)</t>
  </si>
  <si>
    <t>CENT EDUC DIST ALDEMAR ROJAS</t>
  </si>
  <si>
    <t>COL INT AVANCEMOS</t>
  </si>
  <si>
    <t>2330-G3-JC</t>
  </si>
  <si>
    <t>2330-G3-JC2</t>
  </si>
  <si>
    <t>2330-G3-PI</t>
  </si>
  <si>
    <t>FUNDALIMENTOS</t>
  </si>
  <si>
    <t>2287-G21</t>
  </si>
  <si>
    <t>COL ISMAEL PERDOMO (IED)</t>
  </si>
  <si>
    <t>ISMAEL PERDOMO</t>
  </si>
  <si>
    <t>COL ACACIA II (IED)</t>
  </si>
  <si>
    <t>CENT EDUC DIST ACACIA II</t>
  </si>
  <si>
    <t>CED ACACIA I</t>
  </si>
  <si>
    <t>COL EL PARAISO DE MANUELA BELTRAN (IED)</t>
  </si>
  <si>
    <t xml:space="preserve">CED MANUELA BELTRAN </t>
  </si>
  <si>
    <t>CED EL PARAISO</t>
  </si>
  <si>
    <t>COL ARBORIZADORA ALTA (IED)</t>
  </si>
  <si>
    <t>ARBORIZADORA ALTA</t>
  </si>
  <si>
    <t>CED PRADERA ESPERANZA</t>
  </si>
  <si>
    <t>COL SAN FRANCISCO (IED)</t>
  </si>
  <si>
    <t>CED SAN FRANCISCO  I A</t>
  </si>
  <si>
    <t>CED SAN FRANCISCO II B</t>
  </si>
  <si>
    <t>CED SAN FRANCISCO III C</t>
  </si>
  <si>
    <t>COLEGIO LA JOYA (IED)(ANT DON BOSCO)</t>
  </si>
  <si>
    <t>COLEGIO LA JOYA (IED) (ANT DON BOSCO)</t>
  </si>
  <si>
    <t>COL CONFEDERACION BRISAS DEL DIAMANTE (IED)</t>
  </si>
  <si>
    <t>CED CONFEDERACION SUIZA</t>
  </si>
  <si>
    <t>VILLAS DEL DIAMANTE</t>
  </si>
  <si>
    <t>MANITAS</t>
  </si>
  <si>
    <t>COL MOCHUELO ALTO (CED)</t>
  </si>
  <si>
    <t>MOCHUELO ALTO</t>
  </si>
  <si>
    <t>2287-G21-2E</t>
  </si>
  <si>
    <t>2287-G21-JC</t>
  </si>
  <si>
    <t>COL ANTONIO GARCIA (IED)</t>
  </si>
  <si>
    <t>ANTONIO GARCIA</t>
  </si>
  <si>
    <t>2287-G21-JC2</t>
  </si>
  <si>
    <t>AERODELICIAS LTDA CCE</t>
  </si>
  <si>
    <t>2606-1</t>
  </si>
  <si>
    <t>MATRICULA CONTRATADA</t>
  </si>
  <si>
    <t>INST TEC IND CENTRO DON BOSCO</t>
  </si>
  <si>
    <t>LIC PSICOPEDAG BOLIVIA</t>
  </si>
  <si>
    <t>LIC PSICOPEDAG ENGATIVA</t>
  </si>
  <si>
    <t>LIC SAN BASILIO MAGNO</t>
  </si>
  <si>
    <t>COLEGIO DE FORMACION INTEGRAL VIRGEN DE LA PEÑA</t>
  </si>
  <si>
    <t>COLEGIO REMBRANDT</t>
  </si>
  <si>
    <t>COLEGIO PAE (PROCESO ALTERNATIVO EDUCATIVO)</t>
  </si>
  <si>
    <t>LIC SAN LEON MAGNO</t>
  </si>
  <si>
    <t>2607-2</t>
  </si>
  <si>
    <t>EL PORTAL FUNDACION PARA HIJOS DE RECLUSOS</t>
  </si>
  <si>
    <t>COLEGIO HERMANOS BELTRAN</t>
  </si>
  <si>
    <t>GIMN SAN JOSE</t>
  </si>
  <si>
    <t>INST NSTRA SRA DE LA SABIDURIA PARA NIÑOS SORDOS</t>
  </si>
  <si>
    <t>GIMNASIO NUEVA VILLA MAYOR</t>
  </si>
  <si>
    <t>2608-5</t>
  </si>
  <si>
    <t>COLEGIO ISABELITA TEJADA</t>
  </si>
  <si>
    <t>COLEGIO INTERAMERICANO</t>
  </si>
  <si>
    <t xml:space="preserve">INSTITUTO DE EDUC ELEMENTAL PREES Y SECUN INELPRES </t>
  </si>
  <si>
    <t>COLEGIO COFRATERNIDAD DE SAN FERNANDO</t>
  </si>
  <si>
    <t>INST ORESTES SINDICI</t>
  </si>
  <si>
    <t>INST JERUSALEN</t>
  </si>
  <si>
    <t>COLEGIO LA NUEVA ESTANCIA</t>
  </si>
  <si>
    <t>COLEGIO TALLER PSICOPEDAG DE LOS ANDES</t>
  </si>
  <si>
    <t>COLEGIO PSICOPEDAG LA ACACIA  LTDA</t>
  </si>
  <si>
    <t>LIC CONTADORA</t>
  </si>
  <si>
    <t>COLEGIO SOLES DEL SABER</t>
  </si>
  <si>
    <t>INST SAN PABLO APOSTOL</t>
  </si>
  <si>
    <t>2610-5-CC</t>
  </si>
  <si>
    <t>2612-2-CC</t>
  </si>
  <si>
    <t>Usme</t>
  </si>
  <si>
    <t>COL COLSUBSIDIO SAN CAYETANO (CED)</t>
  </si>
  <si>
    <t xml:space="preserve">COL COLSUBSIDIO SAN CAYETANO </t>
  </si>
  <si>
    <t>2613-1-CC</t>
  </si>
  <si>
    <t>Barrios Unidos</t>
  </si>
  <si>
    <t>COL JORGE ELIECER GAITAN (IED)</t>
  </si>
  <si>
    <t>SEDE B CRA 47 NO 71 A89</t>
  </si>
  <si>
    <t>2614-2-CC</t>
  </si>
  <si>
    <t>COL FERNANDO GONZALEZ OCHOA (IED)</t>
  </si>
  <si>
    <t>CHICO SUR</t>
  </si>
  <si>
    <t>COL GRAN YOMASA (IED)</t>
  </si>
  <si>
    <t>CED GRAN YOMASA</t>
  </si>
  <si>
    <t>UNIÓN TEMPORAL CAPITALIÑOS PAE CCE</t>
  </si>
  <si>
    <t>2603-3</t>
  </si>
  <si>
    <t>COLEGIO ESTANCIA DE BOSA</t>
  </si>
  <si>
    <t>COLEGIO COLOMBO JAPONES</t>
  </si>
  <si>
    <t>GIMNASIO COLOMBO ANDINO</t>
  </si>
  <si>
    <t>CENT EDUC SAN LUIS GONZAGA FE Y ALEGRIA</t>
  </si>
  <si>
    <t>UNID EDUC JEAN PIAGET</t>
  </si>
  <si>
    <t>COLEGIO SAN BONIFACIO</t>
  </si>
  <si>
    <t>GIMNASIO MODERNO DEL PRADO</t>
  </si>
  <si>
    <t>COLEGIO CIUDAD PATIO BONITO</t>
  </si>
  <si>
    <t>LIC NSTRA SRA DE LAS NIEVES</t>
  </si>
  <si>
    <t>INST RENATO DESCARTES</t>
  </si>
  <si>
    <t>COLEGIO JAZMIN OCCIDENTAL</t>
  </si>
  <si>
    <t>COLEGIO RAFAEL GOBERNA SEDE II</t>
  </si>
  <si>
    <t>LIC CULT MOSQUERA</t>
  </si>
  <si>
    <t>2604-4</t>
  </si>
  <si>
    <t>LICEO CIUDAD CAPITAL</t>
  </si>
  <si>
    <t>GIMN SANTA ROCIO</t>
  </si>
  <si>
    <t>COLEGIO MIX CIUDADANOS DEL FUTURO</t>
  </si>
  <si>
    <t>COLEGIO MIGUEL ANGEL ASTURIAS</t>
  </si>
  <si>
    <t>COLEGIO CLARETIANO EL LIBERTADOR</t>
  </si>
  <si>
    <t>COLEGIO CLARETIANO</t>
  </si>
  <si>
    <t>LIC  SAN PABLO</t>
  </si>
  <si>
    <t>LICEO MODERNO GRAN PARIS</t>
  </si>
  <si>
    <t>INST CLARA FEY</t>
  </si>
  <si>
    <t>UNIÓN TEMPORAL ALICOL 2015 - 1 CCE</t>
  </si>
  <si>
    <t>2605-6</t>
  </si>
  <si>
    <t>Suba</t>
  </si>
  <si>
    <t>COLEGIO WINCHESTER</t>
  </si>
  <si>
    <t>INST CULT RAFAEL MAYA</t>
  </si>
  <si>
    <t>GIMN BILING CAMPESTRE STEPHEN HAWKING</t>
  </si>
  <si>
    <t>INST  EDUC COMPARTIR SUBA</t>
  </si>
  <si>
    <t>LIC MALLERLAND</t>
  </si>
  <si>
    <t>COLEGIO CELESTIN FREINET</t>
  </si>
  <si>
    <t>COLEGIO PEDAG DULCE MARIA</t>
  </si>
  <si>
    <t>COLEGIO NUEVA CIENCIA</t>
  </si>
  <si>
    <t>LIC SIGLO XXI</t>
  </si>
  <si>
    <t>CENT EDUC LOMBARDIA</t>
  </si>
  <si>
    <t>COLEGIO HOGAR DE NAZARETH</t>
  </si>
  <si>
    <t>LIC LA NUEVA ESTANCIA DE SUBA</t>
  </si>
  <si>
    <t>LICEO EMPRESARIAL DEL CAMPO</t>
  </si>
  <si>
    <t>COLEGIO INSTITUTO UNIVERSAL SAN PEDRO LIMITADA</t>
  </si>
  <si>
    <t>LIC SANTA ISABEL</t>
  </si>
  <si>
    <t>LIC ARKADIA COLOMBIA</t>
  </si>
  <si>
    <t>COLEGIO FUND HOGAR SAN MAURICIO</t>
  </si>
  <si>
    <t>CENT EDUC ASOSIERVAS</t>
  </si>
  <si>
    <t>COLEGIO ALAFAS DEL NORTE</t>
  </si>
  <si>
    <t>INST TEC CIAL CERROS DE SUBA</t>
  </si>
  <si>
    <t>GIMN SANTANDER</t>
  </si>
  <si>
    <t>COLEGIO HOWARD GARDNER</t>
  </si>
  <si>
    <t>2609-6-CC</t>
  </si>
  <si>
    <t>COL RAMON DE ZUBIRIA (IED)</t>
  </si>
  <si>
    <t>CED STEPHEN HAWGING</t>
  </si>
  <si>
    <t>UNIÓN TEMPORAL ALICOL 2016</t>
  </si>
  <si>
    <t>2370-G17</t>
  </si>
  <si>
    <t>COL INST TEC LAUREANO GOMEZ (IED)</t>
  </si>
  <si>
    <t>INST TEC DIST LAUREANO GOMEZ</t>
  </si>
  <si>
    <t>CED BACHUE</t>
  </si>
  <si>
    <t>COL JOSE ASUNCION SILVA (IED)</t>
  </si>
  <si>
    <t>COL DIST JOSE ASUNCION SILVA</t>
  </si>
  <si>
    <t>COL JORGE GAITAN CORTES (IED)</t>
  </si>
  <si>
    <t>JORGE GAITAN CORTES</t>
  </si>
  <si>
    <t>COL ANTONIO VILLAVICENCIO (IED)</t>
  </si>
  <si>
    <t>CED ANTONIO VILLAVICENCIO</t>
  </si>
  <si>
    <t>COL NIDIA QUINTERO DE TURBAY (IED)</t>
  </si>
  <si>
    <t>COL NAL NIDYA QUINTERO DE TURBAY</t>
  </si>
  <si>
    <t>CENT EDUC DIST FLORENCIA</t>
  </si>
  <si>
    <t>COL LA GAITANA (IED)</t>
  </si>
  <si>
    <t>CED VILLA MARIA</t>
  </si>
  <si>
    <t>CENT EDUC DIST VILLA MARIA</t>
  </si>
  <si>
    <t>COL LA TOSCANA - LISBOA (IED)</t>
  </si>
  <si>
    <t>CED LA TOSCANA</t>
  </si>
  <si>
    <t>CED LISBOA</t>
  </si>
  <si>
    <t>PEDAGOGICO  DULCE MARIA</t>
  </si>
  <si>
    <t>COL VEINTIUN ANGELES (IED)</t>
  </si>
  <si>
    <t>TUNA ALTA</t>
  </si>
  <si>
    <t>CASA BLANCA</t>
  </si>
  <si>
    <t>JARDIN CASTILLO DE LOS CEREZOS</t>
  </si>
  <si>
    <t>COL GERARDO PAREDES (IED)</t>
  </si>
  <si>
    <t>COL DIST EDUC BAS Y MEDIA GERARDO PAREDES MARTINEZ</t>
  </si>
  <si>
    <t>COL DIST GERARDO PAREDES MARTINEZ</t>
  </si>
  <si>
    <t>CENT EDUC DIST LA FRONTERA</t>
  </si>
  <si>
    <t>CED LA FRONTERA</t>
  </si>
  <si>
    <t>CED SAN CAYETANO</t>
  </si>
  <si>
    <t>SPENCER</t>
  </si>
  <si>
    <t>COL NICOLAS BUENAVENTURA (IED)</t>
  </si>
  <si>
    <t>NICOLAS BUENAVENTURA</t>
  </si>
  <si>
    <t>2370-G17-JC</t>
  </si>
  <si>
    <t>COL INST TEC JUAN DEL CORRAL (IED)</t>
  </si>
  <si>
    <t>INST TEC DIST JUAN DEL CORRAL</t>
  </si>
  <si>
    <t>SANTA FE DE BOGOTA</t>
  </si>
  <si>
    <t>COL NACIONES UNIDAS (IED)</t>
  </si>
  <si>
    <t>NACIONES UNIDAS</t>
  </si>
  <si>
    <t>JOSE ASUNCION SILVA</t>
  </si>
  <si>
    <t>2370-G17-JC2</t>
  </si>
  <si>
    <t>2370-G17-PI</t>
  </si>
  <si>
    <t>2370-G19</t>
  </si>
  <si>
    <t>COL INST TEC DISTRITAL JULIO FLOREZ (IED)</t>
  </si>
  <si>
    <t>SANTA ROSA</t>
  </si>
  <si>
    <t>JULIO FLOREZ</t>
  </si>
  <si>
    <t>COL TIBABUYES UNIVERSAL (IED)</t>
  </si>
  <si>
    <t>CENT EDUC DIST TIBABUYES UNIVERSAL</t>
  </si>
  <si>
    <t>CED TIBABUYES UNIVERSAL</t>
  </si>
  <si>
    <t>CED BILBAO</t>
  </si>
  <si>
    <t>COL NUEVA COLOMBIA (IED)</t>
  </si>
  <si>
    <t>CED NUEVA COLOMBIA</t>
  </si>
  <si>
    <t>ARRENDAMIENTO NVA COLOMBIA</t>
  </si>
  <si>
    <t>COL GUSTAVO MORALES MORALES (IED)</t>
  </si>
  <si>
    <t>CED GUSTAVO MORALES</t>
  </si>
  <si>
    <t>COL ALVARO GOMEZ HURTADO (IED)</t>
  </si>
  <si>
    <t>CED CHUCUA NORTE</t>
  </si>
  <si>
    <t>COL GONZALO ARANGO (IED)</t>
  </si>
  <si>
    <t>CATALANES</t>
  </si>
  <si>
    <t>COL SIMON BOLIVAR (IED)_11</t>
  </si>
  <si>
    <t>SIMON BOLIVAR</t>
  </si>
  <si>
    <t>COL EL SALITRE - SUBA (IED)</t>
  </si>
  <si>
    <t>CONEJERA</t>
  </si>
  <si>
    <t>SAN CARLOS DE SUBA</t>
  </si>
  <si>
    <t>LICEO MIXTO DEL DAS</t>
  </si>
  <si>
    <t>COL NUEVA ZELANDIA (IED)</t>
  </si>
  <si>
    <t>CED NUEVA ZELANDIA</t>
  </si>
  <si>
    <t>CED ABC</t>
  </si>
  <si>
    <t>2370-G19-JC</t>
  </si>
  <si>
    <t>COL JUAN LOZANO Y LOZANO (IED)</t>
  </si>
  <si>
    <t>CED SUBA CENTRO</t>
  </si>
  <si>
    <t>2370-G19-JC2</t>
  </si>
  <si>
    <t>COL NUEVA CONSTITUCION (IED)</t>
  </si>
  <si>
    <t>COL VILLA AMALIA (IED)</t>
  </si>
  <si>
    <t>CED VILLA AMALIA</t>
  </si>
  <si>
    <t>CED RAMON DE ZUBIRIA</t>
  </si>
  <si>
    <t>2370-G20</t>
  </si>
  <si>
    <t>COL ALBERTO LLERAS CAMARGO (IED)</t>
  </si>
  <si>
    <t>COL DIST ALBERTO LLERAS CAMARGO</t>
  </si>
  <si>
    <t>COL VIRGINIA GUTIERREZ DE PINEDA (IED)</t>
  </si>
  <si>
    <t>VIRGINIA GUTIERREZ DE PINEDA</t>
  </si>
  <si>
    <t>COL PRADO VERANIEGO (IED)</t>
  </si>
  <si>
    <t>CED PRADO VERANIEGO</t>
  </si>
  <si>
    <t>CENT EDUC DIST PRADO VERANIEGO I</t>
  </si>
  <si>
    <t>COL ANIBAL FERNANDEZ DE SOTO (IED)</t>
  </si>
  <si>
    <t>CED PRADO  PINZON</t>
  </si>
  <si>
    <t>CENT EDUC DIST PRADO PINZON</t>
  </si>
  <si>
    <t>COL VISTA BELLA (IED)</t>
  </si>
  <si>
    <t>CED VISTA BELLA</t>
  </si>
  <si>
    <t>CENT EDUC DIST VISTA BELLA</t>
  </si>
  <si>
    <t>CED GRANADA NORTE</t>
  </si>
  <si>
    <t>COL VILLA ELISA (IED)</t>
  </si>
  <si>
    <t>CED VILLA ELISA</t>
  </si>
  <si>
    <t>EL RUBI-JAPON (Cll 128 Bis Nº 93-07)</t>
  </si>
  <si>
    <t>EL RUBI-JAPON</t>
  </si>
  <si>
    <t>COL REPUBLICA DOMINICANA (IED)</t>
  </si>
  <si>
    <t>SEDE CELESTIN FREINEL</t>
  </si>
  <si>
    <t>COL DIST JUAN LOZANO Y LOZANO</t>
  </si>
  <si>
    <t>COL HUNZA (IED)</t>
  </si>
  <si>
    <t>CED AGUADITA</t>
  </si>
  <si>
    <t>CED DIVINO NIÑO JESUS EL CONDOR</t>
  </si>
  <si>
    <t>CED CIUDAD HUNZA</t>
  </si>
  <si>
    <t>2370-G20-JC</t>
  </si>
  <si>
    <t>COL MARCO TULIO FERNANDEZ (IED)</t>
  </si>
  <si>
    <t>COL DIST MARIANO OSPINA PEREZ</t>
  </si>
  <si>
    <t>CENT EDUC DIST MERCEDES DE FERNANDEZ</t>
  </si>
  <si>
    <t>CENT EDUC DIST SAN JOAQUIN</t>
  </si>
  <si>
    <t>CENT EDUC DIST SAN IGNACIO</t>
  </si>
  <si>
    <t>TOLENTINO</t>
  </si>
  <si>
    <t>2370-G20-JC2</t>
  </si>
  <si>
    <t>2370-G20-PI</t>
  </si>
  <si>
    <t>CED LA NUEVA GAITANA</t>
  </si>
  <si>
    <t>2370-G5</t>
  </si>
  <si>
    <t>COL AQUILEO PARRA (IED)</t>
  </si>
  <si>
    <t>AQUILEO PARRA</t>
  </si>
  <si>
    <t>SAN ANTONIO NORTE 2 SECTOR</t>
  </si>
  <si>
    <t>COL ROBERT F KENNEDY (IED)</t>
  </si>
  <si>
    <t>CENT EDUC DIST ROBERT KENNEDY</t>
  </si>
  <si>
    <t>CENT EDUC DIST EL REAL</t>
  </si>
  <si>
    <t>COL TABORA (IED)</t>
  </si>
  <si>
    <t xml:space="preserve">I.E.D. TABORA </t>
  </si>
  <si>
    <t>I.E.D. SANTA Ma. LAGO</t>
  </si>
  <si>
    <t>I.E.D. LA GRANJA</t>
  </si>
  <si>
    <t>COL GARCES NAVAS (IED)</t>
  </si>
  <si>
    <t>CED GARCES NAVAS No 3</t>
  </si>
  <si>
    <t>CED GARCES NAVAS II</t>
  </si>
  <si>
    <t>COL GUILLERMO LEON VALENCIA (IED) (Engativa)</t>
  </si>
  <si>
    <t>CENT EDUC DIST GUILLERMO LEON VALENCIA</t>
  </si>
  <si>
    <t>COL NESTOR FORERO ALCALA (IED)</t>
  </si>
  <si>
    <t>COL DIST NESTOR FORERO ALCALA</t>
  </si>
  <si>
    <t>COL INST TEC DISTRITAL REPUBLICA DE GUATEMALA (IED)</t>
  </si>
  <si>
    <t>INST TEC DIST REP DE GUATEMALA</t>
  </si>
  <si>
    <t>COL TOMAS CIPRIANO DE MOSQUERA (IED)</t>
  </si>
  <si>
    <t>EMAUS</t>
  </si>
  <si>
    <t>COL LA PALESTINA (IED)</t>
  </si>
  <si>
    <t>CED DEL NIÑO</t>
  </si>
  <si>
    <t>LA PALESTINA</t>
  </si>
  <si>
    <t>COL GENERAL SANTANDER (IED)_10</t>
  </si>
  <si>
    <t xml:space="preserve">CARDENAL DUQUE </t>
  </si>
  <si>
    <t>CARDENAL DUQUE</t>
  </si>
  <si>
    <t>CARDENAL LUQUE</t>
  </si>
  <si>
    <t>COL SIMON BOLIVAR (IED)_10</t>
  </si>
  <si>
    <t>COL DIST SIMON BOLIVAR</t>
  </si>
  <si>
    <t>CENT EDUC DIST MATILDE ANARAY</t>
  </si>
  <si>
    <t>2370-G5-JC2</t>
  </si>
  <si>
    <t>2370-G5-PI</t>
  </si>
  <si>
    <t>UNIÓN TEMPORAL ALIMENTANDO SOLIDARIO</t>
  </si>
  <si>
    <t>2372-G11</t>
  </si>
  <si>
    <t>Fontibón</t>
  </si>
  <si>
    <t>COL RODRIGO ARENAS BETANCOURT (IED)</t>
  </si>
  <si>
    <t>COL PABLO NERUDA (IED)</t>
  </si>
  <si>
    <t>PABLO NERUDA SEDE A</t>
  </si>
  <si>
    <t>PABLO NERUDA SEDE B</t>
  </si>
  <si>
    <t>COL ANTONIO VAN UDEN (IED)</t>
  </si>
  <si>
    <t>ANTONIO VAN UDEN</t>
  </si>
  <si>
    <t>CED LA ESTACION</t>
  </si>
  <si>
    <t>CED SAN VICENTE</t>
  </si>
  <si>
    <t>COL VILLEMAR EL CARMEN (IED)</t>
  </si>
  <si>
    <t>SANTA CECILIA</t>
  </si>
  <si>
    <t>SEDE D  NUEVA REFORZAMIENTO (ANTIGUA SEDE C)</t>
  </si>
  <si>
    <t>COL INST TEC INTERNACIONAL (IED)</t>
  </si>
  <si>
    <t xml:space="preserve">IEDIT INTERNACIONAL </t>
  </si>
  <si>
    <t>COL LUIS ANGEL ARANGO (IED)</t>
  </si>
  <si>
    <t>LUIS ANGEL ARANGO SEDE A</t>
  </si>
  <si>
    <t>LUIS ANGEL ARANGO SEDE B</t>
  </si>
  <si>
    <t>COL COSTA RICA (IED)</t>
  </si>
  <si>
    <t>REP DE COSTA RICA</t>
  </si>
  <si>
    <t>PUERTA TEJADA</t>
  </si>
  <si>
    <t>NUEVO COLEGIO DE FONTIBON</t>
  </si>
  <si>
    <t>COL INTEGD DE FONTIBON IBEP (IED)</t>
  </si>
  <si>
    <t xml:space="preserve">INTEGRADO DE FONTIBON </t>
  </si>
  <si>
    <t>EMMA VILLEGAS DE GAITAN</t>
  </si>
  <si>
    <t>BATAVIA</t>
  </si>
  <si>
    <t>PALESTINA</t>
  </si>
  <si>
    <t>EMMA VILLEGAS B2</t>
  </si>
  <si>
    <t>COL ATAHUALPA (IED)</t>
  </si>
  <si>
    <t>ATAHUALPA</t>
  </si>
  <si>
    <t>2372-G11-JC</t>
  </si>
  <si>
    <t>2372-G11-JC2</t>
  </si>
  <si>
    <t>2372-G8</t>
  </si>
  <si>
    <t>COL FEM LORENCITA VILLEGAS DE SANTOS (IED)</t>
  </si>
  <si>
    <t>COL TEC DOMINGO FAUSTINO SARMIENTO (IED)</t>
  </si>
  <si>
    <t>DOMINGO FAUSTINO SARMIENTO</t>
  </si>
  <si>
    <t>SEVILLA</t>
  </si>
  <si>
    <t>CARLOS SANZ DE SANTAMARIA</t>
  </si>
  <si>
    <t>JOSE ANTONIO RICAURTE</t>
  </si>
  <si>
    <t>COL HELADIA MEJIA (IED)</t>
  </si>
  <si>
    <t>COL DIST HELADIA MEJIA HIJOS DE EDUCADORES</t>
  </si>
  <si>
    <t xml:space="preserve">SEDE C CLL 66 A NO 42-00 </t>
  </si>
  <si>
    <t>COL REPUBLICA DE PANAMA (IED)</t>
  </si>
  <si>
    <t>COL DIST REP DE PANAMA</t>
  </si>
  <si>
    <t>COL FRANCISCO PRIMERO S.S. (IED)(ANT ALEMANIA SOLIDARIA )</t>
  </si>
  <si>
    <t>CED ALEMANIA</t>
  </si>
  <si>
    <t>CED MANUEL ANTONIO RUEDA VARGAS</t>
  </si>
  <si>
    <t>CED MANUELA AYALA DE GAITAN</t>
  </si>
  <si>
    <t>COL RAFAEL BERNAL JIMENEZ (IED)</t>
  </si>
  <si>
    <t>COL DIST RAFAEL BERNAL JIMENEZ</t>
  </si>
  <si>
    <t>GLORIA GAITAN</t>
  </si>
  <si>
    <t>COL JUAN FRANCISCO BERBEO (IED)</t>
  </si>
  <si>
    <t>Teusaquillo</t>
  </si>
  <si>
    <t>COL MANUELA BELTRAN (IED)</t>
  </si>
  <si>
    <t>INST DIST DE COMERCIO MANUELA BELTRAN</t>
  </si>
  <si>
    <t>CENT EDUC DIST ANTONIO NARIÑO</t>
  </si>
  <si>
    <t>Chapinero</t>
  </si>
  <si>
    <t>COL SIMON RODRIGUEZ (IED)</t>
  </si>
  <si>
    <t>NUEVA GRANADA</t>
  </si>
  <si>
    <t>CENT EDUC DIST BOSQUE CALDERON TEJADA</t>
  </si>
  <si>
    <t>COL SAN MARTIN DE PORRES (IED)</t>
  </si>
  <si>
    <t>CENT EDUC DIST SAN MARTIN DE PORRES</t>
  </si>
  <si>
    <t>ANTONIO JOSE DE SUCRE</t>
  </si>
  <si>
    <t>COL CAMP MONTE VERDE (IED)</t>
  </si>
  <si>
    <t>PLAN PADRINOS SAN LUIS</t>
  </si>
  <si>
    <t xml:space="preserve">SEDE B JULIO ANTONIO GAITAN (ANTIG VERJON </t>
  </si>
  <si>
    <t>2372-G8-JC</t>
  </si>
  <si>
    <t>COL TOMAS CARRASQUILLA (IED)</t>
  </si>
  <si>
    <t xml:space="preserve"> TOMAS CARRASQUILLA</t>
  </si>
  <si>
    <t>CED PANAMERICANA</t>
  </si>
  <si>
    <t>2372-G8-JC2</t>
  </si>
  <si>
    <t>2372-G8-PI</t>
  </si>
  <si>
    <t>UNIÓN TEMPORAL PRONUTRIMOS 12</t>
  </si>
  <si>
    <t>2307-G10</t>
  </si>
  <si>
    <t>COL CARLOS ARANGO VELEZ (IED)</t>
  </si>
  <si>
    <t>COL DIST CARLOS ARANGO VELEZ</t>
  </si>
  <si>
    <t>FLORALIA</t>
  </si>
  <si>
    <t>COL SAN RAFAEL (IED)</t>
  </si>
  <si>
    <t>CENT EDUC DIST SAN RAFAEL</t>
  </si>
  <si>
    <t>CED CATALINA</t>
  </si>
  <si>
    <t>COL ISABEL II (IED)</t>
  </si>
  <si>
    <t>CENTRO EDUCATIVO DISTRITAL ISABEL II</t>
  </si>
  <si>
    <t>CENTRO EDUCATIVO DISTRITAL PIO XII</t>
  </si>
  <si>
    <t>COL INEM FRANCISCO DE PAULA SANTANDER (IED)</t>
  </si>
  <si>
    <t>IED INEM FRANCISCO DE PAULA SANTANDER</t>
  </si>
  <si>
    <t>CENTRO EDUCATIVO DISTRITAL CASABLANCA</t>
  </si>
  <si>
    <t>COL JACKELINE (IED)</t>
  </si>
  <si>
    <t>CENT EDUC DIST JACKELINE</t>
  </si>
  <si>
    <t>COL LA FLORESTA SUR (IED)</t>
  </si>
  <si>
    <t>CENT EDUC DIST LA FLORESTA SUR</t>
  </si>
  <si>
    <t>CENT EDUC DIST JUAN PABLO II</t>
  </si>
  <si>
    <t>COL INST TEC RODRIGO DE TRIANA (IED)</t>
  </si>
  <si>
    <t>CED LAS PALMERAS</t>
  </si>
  <si>
    <t>CED CAMPO HERMOSO</t>
  </si>
  <si>
    <t>COL HERNANDO DURAN DUSAN (CED)</t>
  </si>
  <si>
    <t xml:space="preserve">COL HERNANDO DURAN DUSAN </t>
  </si>
  <si>
    <t>2307-G10-2U</t>
  </si>
  <si>
    <t>2307-G10-PI</t>
  </si>
  <si>
    <t>2307-G24</t>
  </si>
  <si>
    <t>COL RAFAEL DELGADO SALGUERO (IED)</t>
  </si>
  <si>
    <t>2_MATER ADMIRABILIS</t>
  </si>
  <si>
    <t>COL EL LIBERTADOR (IED)</t>
  </si>
  <si>
    <t>CENT EDUC DIST EL LIBERTADOR</t>
  </si>
  <si>
    <t>CED MANUEL MURILLO TORO</t>
  </si>
  <si>
    <t>CED JUAN DE RIZZO</t>
  </si>
  <si>
    <t>COL MISAEL PASTRANA BORRERO (IED)</t>
  </si>
  <si>
    <t>CED    MISAEL PASTRANA BORRERO</t>
  </si>
  <si>
    <t>CED MISAEL PASTRANA BORRERO</t>
  </si>
  <si>
    <t>COL GUSTAVO RESTREPO (IED)</t>
  </si>
  <si>
    <t>GUSTAVO RESTREPO</t>
  </si>
  <si>
    <t>JOSE ACEVEDO Y GOMEZ</t>
  </si>
  <si>
    <t>CENTRO D MENTAL JOSE ACEVEDO Y GOMEZ</t>
  </si>
  <si>
    <t>GABRIEL TURBAY</t>
  </si>
  <si>
    <t>COL REPUBLICA EEUU DE AMERICA (IED)</t>
  </si>
  <si>
    <t>COL CLEMENCIA DE CAYCEDO (IED)</t>
  </si>
  <si>
    <t>COL DIANA TURBAY (IED)</t>
  </si>
  <si>
    <t>CED  DIANA  TURBAY  I</t>
  </si>
  <si>
    <t>CED  DIANA TURBAY   II</t>
  </si>
  <si>
    <t>AYACUCHO</t>
  </si>
  <si>
    <t>COL COLOMBIA VIVA (IED)</t>
  </si>
  <si>
    <t xml:space="preserve"> SEDE NESTOR FORERO ALCALA </t>
  </si>
  <si>
    <t>COL MARIA CANO (IED)</t>
  </si>
  <si>
    <t>MARIA CANO</t>
  </si>
  <si>
    <t>SEDE BACHILLERATO</t>
  </si>
  <si>
    <t>2307-G24-2E</t>
  </si>
  <si>
    <t>SEDE C ALQUERIA</t>
  </si>
  <si>
    <t>2307-G24-2U</t>
  </si>
  <si>
    <t>2307-G24-PI</t>
  </si>
  <si>
    <t>UNIÓN TEMPORAL NUTRISERVI 2016</t>
  </si>
  <si>
    <t>2328-G15</t>
  </si>
  <si>
    <t>COL SANTA LIBRADA (IED)</t>
  </si>
  <si>
    <t>CED SANTA LIBRADA</t>
  </si>
  <si>
    <t>COL SANTA MARTHA (IED)</t>
  </si>
  <si>
    <t>CED SANTA MARTA</t>
  </si>
  <si>
    <t>COL ESTANISLAO ZULETA (IED)</t>
  </si>
  <si>
    <t>ESTANISLAO ZULETA</t>
  </si>
  <si>
    <t>CENT EDUC DIST LA ALBORADA</t>
  </si>
  <si>
    <t>COL PROVINCIA DE QUEBEC (IED)</t>
  </si>
  <si>
    <t>CED PROVINCIA DE QUEBEC</t>
  </si>
  <si>
    <t>COL LOS COMUNEROS - OSWALDO GUAYAZAMIN (IED)</t>
  </si>
  <si>
    <t>CENT EDUC DIST LOS COMUNEROS</t>
  </si>
  <si>
    <t>CENT EDUC DIST EL VIRREY ULTIMA ETAPA</t>
  </si>
  <si>
    <t>COL LA AURORA (IED)</t>
  </si>
  <si>
    <t>CED LA AURORA</t>
  </si>
  <si>
    <t>COL NUEVO SAN ANDRES DE LOS ALTOS (IED)</t>
  </si>
  <si>
    <t>CED NUEVO SAN ANDRES DE LOS ALTOS</t>
  </si>
  <si>
    <t>COL USMINIA (IED)</t>
  </si>
  <si>
    <t>CENT EDUC DIST USMINIA</t>
  </si>
  <si>
    <t>CENT EDUC DIST LORENZO ALCANTUZ</t>
  </si>
  <si>
    <t>COL DIEGO MONTAÑA CUELLAR (IED)</t>
  </si>
  <si>
    <t>MONTEBLANCO</t>
  </si>
  <si>
    <t>EL UVAL</t>
  </si>
  <si>
    <t>SERRANIAS</t>
  </si>
  <si>
    <t>COL OFELIA URIBE DE ACOSTA (IED)</t>
  </si>
  <si>
    <t>CENT EDUC DIST CHICO SUR</t>
  </si>
  <si>
    <t>COL BRASILIA - USME (IED)</t>
  </si>
  <si>
    <t>IED  BRASILIA  - USME</t>
  </si>
  <si>
    <t>COL EL VIRREY JOSE SOLIS (IED)</t>
  </si>
  <si>
    <t>COL DIST EDUC BAS Y MEDIA EL VIRREY JOSE SOLIS</t>
  </si>
  <si>
    <t>COL EL CORTIJO - VIANEY (IED)</t>
  </si>
  <si>
    <t>CENT EDUC  EL CORTIJO</t>
  </si>
  <si>
    <t>CENT EDUC  VIANEY Calle 72 s No 2 A 32</t>
  </si>
  <si>
    <t>COL CIUDAD DE VILLAVICENCIO (IED)</t>
  </si>
  <si>
    <t>CENT EDUC DIST PUERTA AL LLANO</t>
  </si>
  <si>
    <t>CENT EDUC DIST VILLA HERMOSA</t>
  </si>
  <si>
    <t>COL RUR LA UNION USME (CED)</t>
  </si>
  <si>
    <t>CENT EDUC DIST RUR LA UNION USME</t>
  </si>
  <si>
    <t>COL RUR OLARTE (CED)</t>
  </si>
  <si>
    <t>CENT EDUC DIST RUR OLARTE</t>
  </si>
  <si>
    <t>COL RUR LOS ANDES (CED)</t>
  </si>
  <si>
    <t>CENT EDUC DIST RUR LOS ANDES</t>
  </si>
  <si>
    <t>COL RUR LOS ARRAYANES (CED)</t>
  </si>
  <si>
    <t>CENT EDUC DIST RUR LOS ARRAYANES</t>
  </si>
  <si>
    <t>COL RUR LA ARGENTINA (CED)</t>
  </si>
  <si>
    <t>CENT EDUC DIST LA ARGENTINA</t>
  </si>
  <si>
    <t>COL RUR CHIZACA (CED)</t>
  </si>
  <si>
    <t>CENT EDUC DIST RURAL CHIZACA</t>
  </si>
  <si>
    <t>COL RUR EL CURUBITAL (CED)</t>
  </si>
  <si>
    <t>CENT EDUC DIST RURAL EL CURUBITAL</t>
  </si>
  <si>
    <t>COL RUR EL HATO (CED)</t>
  </si>
  <si>
    <t>CENT EDUC DIST RURAL EL HATO</t>
  </si>
  <si>
    <t>COL RUR LA MAYORIA (CED)</t>
  </si>
  <si>
    <t>CENT EDUC DIST RURAL LA MAYORIA</t>
  </si>
  <si>
    <t>COL RUR LAS MERCEDES (CED)</t>
  </si>
  <si>
    <t>CENT EDUC DIST RURAL LAS MERCEDES</t>
  </si>
  <si>
    <t>2328-G15-JC</t>
  </si>
  <si>
    <t>2328-G15-JC2</t>
  </si>
  <si>
    <t>2328-G15-PI</t>
  </si>
  <si>
    <t>2328-G18</t>
  </si>
  <si>
    <t>COL FRIEDRICH NAUMANN (IED)</t>
  </si>
  <si>
    <t>CODITO</t>
  </si>
  <si>
    <t>COL NUEVO HORIZONTE (IED)</t>
  </si>
  <si>
    <t>CENT EDUC DIST NUEVO HORIZONTE</t>
  </si>
  <si>
    <t>BUENAVISTA</t>
  </si>
  <si>
    <t>HORIZONTE</t>
  </si>
  <si>
    <t>INSTITUTO TORCA (ANTIGUO SEDE B SALUCOOP N)</t>
  </si>
  <si>
    <t>COL NUEVA ESPERANZA (IED)</t>
  </si>
  <si>
    <t>CED NUEVA ESPERANZA</t>
  </si>
  <si>
    <t>SEDE B(SECUNDARIA)</t>
  </si>
  <si>
    <t>SEDE B (SECUNDARIA)</t>
  </si>
  <si>
    <t>COL MIGUEL DE CERVANTES SAAVEDRA (IED)</t>
  </si>
  <si>
    <t>CED MIGUEL DE CERVANTES S</t>
  </si>
  <si>
    <t>ARRIENDO CED MIGUEL DE CERVANTES S</t>
  </si>
  <si>
    <t>COL CHUNIZA (IED)</t>
  </si>
  <si>
    <t>CENT EDUC DIST CHUNIZA</t>
  </si>
  <si>
    <t>COL LUIS EDUARDO MORA OSEJO (IED)</t>
  </si>
  <si>
    <t>COL FRANCISCO ANTONIO ZEA DE USME (IED)</t>
  </si>
  <si>
    <t>FRANCISCO ANTONIO ZEA</t>
  </si>
  <si>
    <t>COL ALMIRANTE PADILLA (IED)</t>
  </si>
  <si>
    <t>IED  ALMIRANTE PADILLA CLL76 AS 1 D 59 ESTE</t>
  </si>
  <si>
    <t>IED  ALMIRANTE PADILLA</t>
  </si>
  <si>
    <t>COL LOS TEJARES (IED)</t>
  </si>
  <si>
    <t>CED LOS TEJARES</t>
  </si>
  <si>
    <t>CED EL CURUBO</t>
  </si>
  <si>
    <t>COL FEDERICO GARCIA LORCA (IED)</t>
  </si>
  <si>
    <t>CENT EDUC DIST FEDERICO GARCIA LORCA</t>
  </si>
  <si>
    <t>CED BETANIA</t>
  </si>
  <si>
    <t>BETANIA PRESCOLAR Y PRIMERO</t>
  </si>
  <si>
    <t>BETANIA PRESCOLAR Y PRIMARIA</t>
  </si>
  <si>
    <t>COL TENERIFE - GRANADA SUR (IED)</t>
  </si>
  <si>
    <t>CED TENERIFE</t>
  </si>
  <si>
    <t>CED GRANADA SUR</t>
  </si>
  <si>
    <t>COL BRAZUELOS (IED)</t>
  </si>
  <si>
    <t>CENT EDUC DIST BRAZUELOS</t>
  </si>
  <si>
    <t>COL EL UVAL (IED)</t>
  </si>
  <si>
    <t>CED RURAL EL UVAL</t>
  </si>
  <si>
    <t>COL FABIO LOZANO SIMONELLI (IED)</t>
  </si>
  <si>
    <t>CED FABIO LOZANO SIMONELLI</t>
  </si>
  <si>
    <t>CED DANUBIO AZUL</t>
  </si>
  <si>
    <t>CED FISCALA  ALTA</t>
  </si>
  <si>
    <t>2328-G18-JC</t>
  </si>
  <si>
    <t>2328-G18-JC2</t>
  </si>
  <si>
    <t>2328-G18-PI</t>
  </si>
  <si>
    <t>2328-G27</t>
  </si>
  <si>
    <t>COL USAQUEN (IED)</t>
  </si>
  <si>
    <t xml:space="preserve">SEDE B </t>
  </si>
  <si>
    <t>COL DIVINO MAESTRO (IED)</t>
  </si>
  <si>
    <t>PILOTO BAVARIA</t>
  </si>
  <si>
    <t>SEDEB -DIVINO MAESTRO</t>
  </si>
  <si>
    <t>COL CARLOS ALBAN HOLGUIN (IED)</t>
  </si>
  <si>
    <t>CED CARLOS ALBAN HOLGUIN</t>
  </si>
  <si>
    <t>CED JOSE MARIA CARBONELL</t>
  </si>
  <si>
    <t>COL CEDID SAN PABLO (IED)</t>
  </si>
  <si>
    <t>CEDID SAN PABLO BOSA</t>
  </si>
  <si>
    <t>CED LA AMISTAD</t>
  </si>
  <si>
    <t>CED NUEVA GRANADA</t>
  </si>
  <si>
    <t>GRUPOS JUVENILES CREATIVOS</t>
  </si>
  <si>
    <t>COL LA CONCEPCION (CED)</t>
  </si>
  <si>
    <t>CENT EDUC DIST RURAL LA CONCEPCION</t>
  </si>
  <si>
    <t>CED NUESTRA SEÑORA DE LOURDES</t>
  </si>
  <si>
    <t>COL ORLANDO HIGUITA ROJAS (IED)</t>
  </si>
  <si>
    <t>JUAN MAXIMILIANO AMBROSIO</t>
  </si>
  <si>
    <t>2328-G27-JC</t>
  </si>
  <si>
    <t>2328-G27-JC2</t>
  </si>
  <si>
    <t>2328-G27-PI</t>
  </si>
  <si>
    <t>COL DEBORA ARANGO PEREZ (IED)</t>
  </si>
  <si>
    <t>DEBORA ARANGO</t>
  </si>
  <si>
    <t>UNIÓN TEMPORAL CAPITALIÑOS SED 2016</t>
  </si>
  <si>
    <t>2271-G22</t>
  </si>
  <si>
    <t>COL REPUBLICA DE MEXICO (IED)</t>
  </si>
  <si>
    <t>CED REPUBLICA DE MEXICO</t>
  </si>
  <si>
    <t>COL RAFAEL URIBE URIBE (IED)_19</t>
  </si>
  <si>
    <t>RAFAEL URIBE A</t>
  </si>
  <si>
    <t>COL LEON DE GREIFF (IED)</t>
  </si>
  <si>
    <t>LEON DE GREIFF</t>
  </si>
  <si>
    <t>COL RODRIGO LARA BONILLA (IED)</t>
  </si>
  <si>
    <t>RODRIGO LARA BONILLA</t>
  </si>
  <si>
    <t>CED JOSE CELESTINO MUTIS</t>
  </si>
  <si>
    <t>JARDIN RODRIGUITO</t>
  </si>
  <si>
    <t>COL GUILLERMO CANO ISAZA (IED)</t>
  </si>
  <si>
    <t>CEDID GUILLERMO CANO ISAZA</t>
  </si>
  <si>
    <t>COL CEDID CIUDAD BOLIVAR (IED)</t>
  </si>
  <si>
    <t>CED TANQUE LAGUNA</t>
  </si>
  <si>
    <t>CED PERDOMO ALTO</t>
  </si>
  <si>
    <t>CED SANTA ROSITA LAS VEGAS</t>
  </si>
  <si>
    <t>COL CIUDAD BOLIVAR - ARGENTINA (IED)</t>
  </si>
  <si>
    <t>CED CIUDAD BOLIVAR</t>
  </si>
  <si>
    <t>CED ARGENTINA LA NUEVA</t>
  </si>
  <si>
    <t>COL COMPARTIR RECUERDO (IED)</t>
  </si>
  <si>
    <t>COMPARTIR LUCERO</t>
  </si>
  <si>
    <t>EL RECUERDO</t>
  </si>
  <si>
    <t>COL CANADA (IED)</t>
  </si>
  <si>
    <t>CANADA</t>
  </si>
  <si>
    <t>2271-G22-JC</t>
  </si>
  <si>
    <t>COL CUNDINAMARCA (IED)</t>
  </si>
  <si>
    <t>CUNDINAMARCA</t>
  </si>
  <si>
    <t>2271-G22-JC2</t>
  </si>
  <si>
    <t>2271-G22-PI</t>
  </si>
  <si>
    <t>2271-G23</t>
  </si>
  <si>
    <t>COL CIUDAD DE MONTREAL (IED)</t>
  </si>
  <si>
    <t xml:space="preserve">CIUDAD DE MONTREAL </t>
  </si>
  <si>
    <t>COL SANTA BARBARA (IED)</t>
  </si>
  <si>
    <t>COL DIST EDUC SANTA BARBARA</t>
  </si>
  <si>
    <t>CED SANTA BARBARA</t>
  </si>
  <si>
    <t>CED SANTA BARBARA / POLICIA</t>
  </si>
  <si>
    <t>COL UNION EUROPEA (IED)</t>
  </si>
  <si>
    <t>UNION EUROPEA</t>
  </si>
  <si>
    <t>COL ARBORIZADORA BAJA (IED)</t>
  </si>
  <si>
    <t>CED ARBORIZADORA BAJA</t>
  </si>
  <si>
    <t>COL NICOLAS GOMEZ DAVILA (IED)</t>
  </si>
  <si>
    <t>CED SAN FRANCISCO  I</t>
  </si>
  <si>
    <t>SEDE  DIEGO ANDRES</t>
  </si>
  <si>
    <t>SEDE DIEGO ANDRES</t>
  </si>
  <si>
    <t>COL ESTRELLA DEL SUR (IED)</t>
  </si>
  <si>
    <t>ESTRELLA A</t>
  </si>
  <si>
    <t>ESTRELLA B</t>
  </si>
  <si>
    <t>ESTRELLA C</t>
  </si>
  <si>
    <t>ESTRELLA D</t>
  </si>
  <si>
    <t>ESTRELLA F</t>
  </si>
  <si>
    <t>COL SIERRA MORENA (IED)</t>
  </si>
  <si>
    <t>DIVINO NINO</t>
  </si>
  <si>
    <t>ARRENDAMIENTO</t>
  </si>
  <si>
    <t>COL EL TESORO DE LA CUMBRE (IED)</t>
  </si>
  <si>
    <t>EL TESORO</t>
  </si>
  <si>
    <t xml:space="preserve">LA CUMBRE </t>
  </si>
  <si>
    <t>COL VILLAMAR (IED)</t>
  </si>
  <si>
    <t>CED VILLA GLORIA</t>
  </si>
  <si>
    <t>CED MARANDU</t>
  </si>
  <si>
    <t>COL EL MINUTO DE BUENOS AIRES (IED)</t>
  </si>
  <si>
    <t xml:space="preserve">BUENOS AIRES </t>
  </si>
  <si>
    <t>COL RUR QUIBA ALTA (IED)</t>
  </si>
  <si>
    <t>CED QUIBA ALTA</t>
  </si>
  <si>
    <t>CED QUIBA BAJA</t>
  </si>
  <si>
    <t>2271-G23-JC</t>
  </si>
  <si>
    <t>JUAN BOSCO OBRERO</t>
  </si>
  <si>
    <t>2271-G23-JC2</t>
  </si>
  <si>
    <t>2271-G23-PI</t>
  </si>
  <si>
    <t>UNIÓN TEMPORAL NUTRIR DE COLOMBIA 2016</t>
  </si>
  <si>
    <t>2379-G16-JC</t>
  </si>
  <si>
    <t>SERVITA - 40 HORAS</t>
  </si>
  <si>
    <t>PISINGOS</t>
  </si>
  <si>
    <t>PARQUE ALTABLANCA 40 HORAS - PARROQUIA BARRANCAS</t>
  </si>
  <si>
    <t>CLUB COMPENSAR</t>
  </si>
  <si>
    <t>2379-G16-JC2</t>
  </si>
  <si>
    <t>2379-G16-PI</t>
  </si>
  <si>
    <t>DON BOSCO II</t>
  </si>
  <si>
    <t>DON BOSCO IV</t>
  </si>
  <si>
    <t>JUAN  LUIS LONDOÑO LA SALLE</t>
  </si>
  <si>
    <t>COLEGIO MIRAVALLE</t>
  </si>
  <si>
    <t>COLEGIO ARGELIA</t>
  </si>
  <si>
    <t xml:space="preserve">IED FE Y ALEGRÍA SAN IGNACIO </t>
  </si>
  <si>
    <t>COLEGIO SANTIAGO DE LAS ATALAYAS</t>
  </si>
  <si>
    <t>CALASANZ</t>
  </si>
  <si>
    <t xml:space="preserve">COLEGIO JAIME GARZON </t>
  </si>
  <si>
    <t>Usaquén</t>
  </si>
  <si>
    <t>DON BOSCO III</t>
  </si>
  <si>
    <t>DON BOSCO V</t>
  </si>
  <si>
    <t>IED FE Y ALEGRIA JOSE MARIA VELEZ</t>
  </si>
  <si>
    <t>COLEGIO LA GIRALDA</t>
  </si>
  <si>
    <t>GIMNASIO SABIO CALDAS</t>
  </si>
  <si>
    <t>ALIMENTOS SPRESS LIMITADA</t>
  </si>
  <si>
    <t>LAS MERCEDES</t>
  </si>
  <si>
    <t>TORQUIGUA</t>
  </si>
  <si>
    <t>NOTAS :</t>
  </si>
  <si>
    <t>Columna1</t>
  </si>
  <si>
    <t>MAÑANA M1</t>
  </si>
  <si>
    <t>NOCTURNA</t>
  </si>
  <si>
    <t>NUMERO DE ENTREGAS</t>
  </si>
  <si>
    <t>VOLUMEN ESTIMADO  DE SUMINISTRO VIGENCIA 2017 SEGÚN COLEGIO SEDE Y JORNADA</t>
  </si>
  <si>
    <t>VOLUMEN ESTIMADO DE SUMINISTROS DIARIOS</t>
  </si>
  <si>
    <t>VOLUMEN ESTIMADO DE SUMINISTROS VIGENCIA 2017</t>
  </si>
  <si>
    <t>PRESENTACION REQUERIDA SEGÚN TIPO DE REFRIGERIO (GRUPO ETAREO)</t>
  </si>
  <si>
    <t>SEMANA DE RECESO</t>
  </si>
  <si>
    <t>Zanahoria Baby</t>
  </si>
  <si>
    <t>F_PE1</t>
  </si>
  <si>
    <t>F_PE2</t>
  </si>
  <si>
    <t>F_PE3</t>
  </si>
  <si>
    <t>F_PE4</t>
  </si>
  <si>
    <t>F_PE6</t>
  </si>
  <si>
    <t>F_PE7</t>
  </si>
  <si>
    <t>F_PE9</t>
  </si>
  <si>
    <t>F_PE12</t>
  </si>
  <si>
    <t>F_PE14</t>
  </si>
  <si>
    <t>F_PE15</t>
  </si>
  <si>
    <t>F_E1</t>
  </si>
  <si>
    <t>F_E2</t>
  </si>
  <si>
    <t>F_E3</t>
  </si>
  <si>
    <t>CODIGO GRUPO</t>
  </si>
  <si>
    <t>CICLO</t>
  </si>
  <si>
    <t>DIA DE SUMINISTRO</t>
  </si>
  <si>
    <t>MENU PROGRAMADO 
(FIN DE SEMANA)</t>
  </si>
  <si>
    <t>DIA DE SUMINISTRO L-V</t>
  </si>
  <si>
    <t>DIA DE SUMINISTRO FDS</t>
  </si>
  <si>
    <t>F_SE1</t>
  </si>
  <si>
    <t>F_SE2</t>
  </si>
  <si>
    <t>F_SE3</t>
  </si>
  <si>
    <t>F_SE4</t>
  </si>
  <si>
    <t>F_SE5</t>
  </si>
  <si>
    <t>F_SE6</t>
  </si>
  <si>
    <t>F_SE8</t>
  </si>
  <si>
    <t>F_SE9</t>
  </si>
  <si>
    <t>F_SE12</t>
  </si>
  <si>
    <t>F_SE13</t>
  </si>
  <si>
    <t>F_SE14</t>
  </si>
  <si>
    <t>F_SE15</t>
  </si>
  <si>
    <t>CONSOLIDADO DE PROVEEDORES</t>
  </si>
  <si>
    <t>COD PROVEEDOR</t>
  </si>
  <si>
    <t xml:space="preserve">NIT </t>
  </si>
  <si>
    <t>CONTACTO</t>
  </si>
  <si>
    <t>CARGO</t>
  </si>
  <si>
    <t>TELEFONO</t>
  </si>
  <si>
    <t>E-MAIL</t>
  </si>
  <si>
    <t>CONSOLIDADO DE COTIZACIONES</t>
  </si>
  <si>
    <t>COD
ELEMENTO</t>
  </si>
  <si>
    <t>NOMBRE PRODUCTO</t>
  </si>
  <si>
    <t>UNIDADES</t>
  </si>
  <si>
    <t>VALOR UNITARIO SIN IVA</t>
  </si>
  <si>
    <t>VALOR UNITARIO IVA INCLUIDO</t>
  </si>
  <si>
    <t>OBSERVACIONE3S</t>
  </si>
  <si>
    <t>AÑO VALOR</t>
  </si>
  <si>
    <t>EVALUAR ?</t>
  </si>
  <si>
    <t>UNIDAD DE MEDIDA</t>
  </si>
  <si>
    <t>FACTOR PROMEDIO PONDERADO</t>
  </si>
  <si>
    <t># COT.</t>
  </si>
  <si>
    <t>NOMBRE PRODUCTO Y/O SERVICIO</t>
  </si>
  <si>
    <t>TIPO</t>
  </si>
  <si>
    <t>RESPONSABLE</t>
  </si>
  <si>
    <t>JUAN CARLOS ZAMBRANO</t>
  </si>
  <si>
    <t>COMPONENTE MENU</t>
  </si>
  <si>
    <t>APAVE</t>
  </si>
  <si>
    <t>HORTIFRESCO S.A.</t>
  </si>
  <si>
    <t>TROPIC FRUITS S.A</t>
  </si>
  <si>
    <t>METRO</t>
  </si>
  <si>
    <t>200 gr</t>
  </si>
  <si>
    <t>150 gr</t>
  </si>
  <si>
    <t xml:space="preserve"> Banano  criollo 3000 kilos  semanales</t>
  </si>
  <si>
    <t xml:space="preserve"> Banano  bocadillo 2400 kilos semanales</t>
  </si>
  <si>
    <t>Ciruela 2800 kilos</t>
  </si>
  <si>
    <t>Durazno 2200 kilo</t>
  </si>
  <si>
    <t xml:space="preserve"> Granadilla 5000 unidades  semana</t>
  </si>
  <si>
    <t>Mandairna 2300 kilos semanales</t>
  </si>
  <si>
    <t>Mango  1800 kilos semanales</t>
  </si>
  <si>
    <t>Manzanas verde y roja 7000 unidades x semana</t>
  </si>
  <si>
    <t xml:space="preserve"> Pera 2500 unidades x semana en tiempo de cosecha</t>
  </si>
  <si>
    <t>Uchuva 2300 kilos semanales</t>
  </si>
  <si>
    <t xml:space="preserve"> Uva isabelina 2800 kilos semanales</t>
  </si>
  <si>
    <t>UVA Verde y  roja 2600 kilos semanales</t>
  </si>
  <si>
    <t>20-40</t>
  </si>
  <si>
    <t>Bolsa x 250 gr</t>
  </si>
  <si>
    <t>20 gr</t>
  </si>
  <si>
    <t>40 gr</t>
  </si>
  <si>
    <t>100 gr</t>
  </si>
  <si>
    <t>50/100 gr</t>
  </si>
  <si>
    <t>500 gr</t>
  </si>
  <si>
    <t>55 gr</t>
  </si>
  <si>
    <t>COTIZACION ESTUDIO SED 2016</t>
  </si>
  <si>
    <t>AVTP</t>
  </si>
  <si>
    <t>Producto no grabado</t>
  </si>
  <si>
    <t>Presentacion en bolsa por 250 gramos</t>
  </si>
  <si>
    <t>A</t>
  </si>
  <si>
    <t>B</t>
  </si>
  <si>
    <t>C</t>
  </si>
  <si>
    <t>DIRECTO</t>
  </si>
  <si>
    <t>TARIFA IVA</t>
  </si>
  <si>
    <t>SE MODIFICO EL VALOR UNIATRIO</t>
  </si>
  <si>
    <t>REVISAR CONVERSION</t>
  </si>
  <si>
    <t>SE MODIFICO EL VALOR UNITARIO</t>
  </si>
  <si>
    <t>AB</t>
  </si>
  <si>
    <t>CMH</t>
  </si>
  <si>
    <t>H</t>
  </si>
  <si>
    <t>ABM</t>
  </si>
  <si>
    <t>BM</t>
  </si>
  <si>
    <t>CH</t>
  </si>
  <si>
    <t>BH</t>
  </si>
  <si>
    <t>BCMH</t>
  </si>
  <si>
    <t>PRECIOS 2016</t>
  </si>
  <si>
    <t>LA 14</t>
  </si>
  <si>
    <t>Valor Componente 
Tipo A</t>
  </si>
  <si>
    <t>Valor Componente 
Tipo B</t>
  </si>
  <si>
    <t>Valor Componente 
Tipo C</t>
  </si>
  <si>
    <t>Valor Componente 
Tipo M</t>
  </si>
  <si>
    <t>Valor Componente 
Tipo H</t>
  </si>
  <si>
    <t>TIPOA</t>
  </si>
  <si>
    <t>TIPOB</t>
  </si>
  <si>
    <t>TIPOC</t>
  </si>
  <si>
    <t>TIPOM</t>
  </si>
  <si>
    <t>TIPOH</t>
  </si>
  <si>
    <t>Estadistico Seleccionado</t>
  </si>
  <si>
    <t>Promedio Simple</t>
  </si>
  <si>
    <t>Media Geometrica</t>
  </si>
  <si>
    <t>Promedio Ponderado</t>
  </si>
  <si>
    <t>Mediana</t>
  </si>
  <si>
    <t>La Mas Baja</t>
  </si>
  <si>
    <t>La mas Alta</t>
  </si>
  <si>
    <t>NOTAS : Esta hoja de calculo, agrupa las cotizaciones recibidas según el alimento , producto y/ servicio requerido.</t>
  </si>
  <si>
    <t>ABCM</t>
  </si>
  <si>
    <t>SIPSA Sem1_2ene_8ene_2016</t>
  </si>
  <si>
    <t>SIPSA Sem2_9ene_15ene_2016</t>
  </si>
  <si>
    <t>SIPSA Sem3_16ene_22ene_2016</t>
  </si>
  <si>
    <t>SIPSA Sem4_23ene_29ene_2016</t>
  </si>
  <si>
    <t>SIPSA Sem5_30ene_5feb_2016</t>
  </si>
  <si>
    <t>SIPSA Sem6_6feb_12feb_2016</t>
  </si>
  <si>
    <t>SIPSA Sem7_13feb_19feb_2016</t>
  </si>
  <si>
    <t>SIPSA Sem8_20feb_26feb_2016</t>
  </si>
  <si>
    <t>SIPSA Sem9_27feb_4mar_2016</t>
  </si>
  <si>
    <t>SIPSA Sem10_5mar_11mar_2016</t>
  </si>
  <si>
    <t>SIPSA Sem11_12mar_18mar_2016</t>
  </si>
  <si>
    <t>SIPSA Sem12_19mar_23mar_2016</t>
  </si>
  <si>
    <t>SIPSA Sem13_26mar_1abr_2016</t>
  </si>
  <si>
    <t>SIPSA Sem14_2abr_8abr_2016</t>
  </si>
  <si>
    <t>SIPSA Sem15_9abr_15abr_2016</t>
  </si>
  <si>
    <t>SIPSA Sem16_16abr_22abr_2016</t>
  </si>
  <si>
    <t>SIPSA Sem17_23abr_29abr_2016</t>
  </si>
  <si>
    <t>SIPSA Sem18_30abr_06may_2016</t>
  </si>
  <si>
    <t>SIPSA Sem19_7may_13may_2016</t>
  </si>
  <si>
    <t>SIPSA Sem20_14may_20may_2016</t>
  </si>
  <si>
    <t>SIPSA Sem21_21may_27may_2016</t>
  </si>
  <si>
    <t>SIPSA Sem22_28may_3jun_2016</t>
  </si>
  <si>
    <t>SIPSA Sem23_4jun_10jun_2016</t>
  </si>
  <si>
    <t>SIPSA Sem24_11jun_17jun_2016</t>
  </si>
  <si>
    <t>SIPSA Sem25_18jun_24jun_2016</t>
  </si>
  <si>
    <t>SIPSA Sem26_24jun_1jul_2016</t>
  </si>
  <si>
    <t>SIPSA Sem27_2jul_8jul_2016</t>
  </si>
  <si>
    <t>SIPSA Sem28_9jul_15jul_2016</t>
  </si>
  <si>
    <t>SIPSA Sem29_16jul_22jul_2016</t>
  </si>
  <si>
    <t>SIPSA Sem30_23jul_29jul_2016</t>
  </si>
  <si>
    <t>SIPSA Sem31_30jul_5ago_2016</t>
  </si>
  <si>
    <t>SIPSA Sem32_6ago_12ago_2016</t>
  </si>
  <si>
    <t>SIPSA Sem33_13ago_19ago_2016</t>
  </si>
  <si>
    <t>SIPSA Sem34_20ago_26ago_2016</t>
  </si>
  <si>
    <t>SIPSA Sem35_27ago_2sep_2016</t>
  </si>
  <si>
    <t>SIPSA Sem36_3sep_9sep_2016</t>
  </si>
  <si>
    <t>SIPSA Sem37_10sep_16sep_2016</t>
  </si>
  <si>
    <t>SIPSA Sem38_17sep_23sept_2016</t>
  </si>
  <si>
    <t>SIPSA Sem39_24sep_30sep_2016</t>
  </si>
  <si>
    <t>SIPSA Sem40_1oct_7oct_2016</t>
  </si>
  <si>
    <t>SIPSA Sem41_8oct_14oct_2016</t>
  </si>
  <si>
    <t>Mango común</t>
  </si>
  <si>
    <t>Mango de azúcar</t>
  </si>
  <si>
    <t>Manzana nacional</t>
  </si>
  <si>
    <t>Manzana roja importada</t>
  </si>
  <si>
    <t>Manzana verde importada</t>
  </si>
  <si>
    <t>Uva Isabela</t>
  </si>
  <si>
    <t>Uva red globe nacional</t>
  </si>
  <si>
    <t>Uva verde</t>
  </si>
  <si>
    <t>REPORTE SIPSA PRIMERAS 41 SEMANAS 2016</t>
  </si>
  <si>
    <t>FARMATODO</t>
  </si>
  <si>
    <t>ALMACENES ÉXITO SA</t>
  </si>
  <si>
    <t>SURTIFRUVER DE LA SABANA</t>
  </si>
  <si>
    <t>250 gr</t>
  </si>
  <si>
    <t>400 gr</t>
  </si>
  <si>
    <t>1000 gr</t>
  </si>
  <si>
    <t>220 gr</t>
  </si>
  <si>
    <t>400gr</t>
  </si>
  <si>
    <t>PRIMERA ENTREGA</t>
  </si>
  <si>
    <t>SEGUNDA ENTREGA</t>
  </si>
  <si>
    <t>COMPONENTE MENU FRUTA</t>
  </si>
  <si>
    <t>CULTIVOS EL MORRO SAS</t>
  </si>
  <si>
    <t>CITRICOS AGROCIERRA  LTDA</t>
  </si>
  <si>
    <t>CAL_CALENDARIO_CICLOS</t>
  </si>
  <si>
    <t>FRE_FRECUENCIAS</t>
  </si>
  <si>
    <t>VOL_VOLUMEN_SUMINISTROS</t>
  </si>
  <si>
    <t>PRO_BASE_PROVEEDORES</t>
  </si>
  <si>
    <t>MNU_BD_MENUS</t>
  </si>
  <si>
    <t>COT_BASE_COTIZACIONES</t>
  </si>
  <si>
    <t>COT_PRECALCULOS</t>
  </si>
  <si>
    <t>Ir a Indice</t>
  </si>
  <si>
    <t>CAL_DIAS_SUMINISTRO_PE</t>
  </si>
  <si>
    <t>CAL_DIAS_SUMINISTRO_SE_FDS</t>
  </si>
  <si>
    <t>CAL_DIAS_SUMINISTRO_SE_LAV</t>
  </si>
  <si>
    <t>CAL_PRIMERA_ENTREGA</t>
  </si>
  <si>
    <t>CAL_SEGUNDA_ENTREGA_FDS</t>
  </si>
  <si>
    <t>CAL_SEGUNDA_ENTREGA_LAV</t>
  </si>
  <si>
    <t>COT_ALIMENTOS</t>
  </si>
  <si>
    <t>COT_CODIGO_ALIMENTOS</t>
  </si>
  <si>
    <t>COT_COTIZACIONES_TOTAL</t>
  </si>
  <si>
    <t>COT_FACTOR_PROMEDIO_PONDERADO</t>
  </si>
  <si>
    <t>COT_PRE_ALIMENTOS</t>
  </si>
  <si>
    <t>COT_PRE_CODIGO_ALIMENTOS</t>
  </si>
  <si>
    <t>COT_PRE_ESTADISTICOS</t>
  </si>
  <si>
    <t>FRE_CANTIDADES_DIARIAS_SUMINISTROS</t>
  </si>
  <si>
    <t>MNU_ALIMENTOS</t>
  </si>
  <si>
    <t>MNU_ALMACENAMIENTO_FRUTA</t>
  </si>
  <si>
    <t>MNU_ALMACENAMIENTO_MP_FRIO</t>
  </si>
  <si>
    <t>MNU_ALMACENAMIENTO_MP_SECO</t>
  </si>
  <si>
    <t>MNU_ALMACENAMIENTO_TERM_FRIO</t>
  </si>
  <si>
    <t>MNU_ALMACENAMIENTO_TERM_SECO</t>
  </si>
  <si>
    <t>MNU_BOLSATINAS_FDS</t>
  </si>
  <si>
    <t>MNU_BOLSATINAS_LAV</t>
  </si>
  <si>
    <t>MNU_CUCHARITAS_FDS</t>
  </si>
  <si>
    <t>MNU_CUCHARITAS_LAV</t>
  </si>
  <si>
    <t>MNU_EMPAQUE_SECUNDARIO_FDS</t>
  </si>
  <si>
    <t>MNU_EMPAQUE_SECUNDARIO_LAV</t>
  </si>
  <si>
    <t>MNU_GRUPO_ALIMENTO</t>
  </si>
  <si>
    <t>MNU_GRUPO_ALIMENTO_CANASTILLAS</t>
  </si>
  <si>
    <t>MNU_GRUPO_ALIMENTO_PESO</t>
  </si>
  <si>
    <t>MNU_NUMERO_MENU</t>
  </si>
  <si>
    <t>MNU_VOLUMEN_TON</t>
  </si>
  <si>
    <t>VOL_JORNADA</t>
  </si>
  <si>
    <t>VOL_TIPOA</t>
  </si>
  <si>
    <t>VOL_TIPOB</t>
  </si>
  <si>
    <t>VOL_TIPOC</t>
  </si>
  <si>
    <t>VOL_TIPOH</t>
  </si>
  <si>
    <t>VOL_TIPOM</t>
  </si>
  <si>
    <t>VOL_VOLUMEN_SUMINISTROS[[#Todo],[Columna1]]</t>
  </si>
  <si>
    <t>VOL_VOLUMEN_SUMINISTROS[[#Todo],[TIPO A]]</t>
  </si>
  <si>
    <t>VOL_VOLUMEN_SUMINISTROS[[#Todo],[TIPO B]]</t>
  </si>
  <si>
    <t>VOL_VOLUMEN_SUMINISTROS[[#Todo],[TIPO C]]</t>
  </si>
  <si>
    <t>VOL_VOLUMEN_SUMINISTROS[[#Todo],[TIPO H]]</t>
  </si>
  <si>
    <t>VOL_VOLUMEN_SUMINISTROS[[#Todo],[TIPO M]]</t>
  </si>
  <si>
    <t xml:space="preserve">NOMBRE RANGO </t>
  </si>
  <si>
    <t>REFERENCIA EN LA HOJA DE CALCULO</t>
  </si>
  <si>
    <t>Número Usuarios diarios:</t>
  </si>
  <si>
    <t>Días Atención:</t>
  </si>
  <si>
    <t>Total  Refrigerios periodo:</t>
  </si>
  <si>
    <t>Tiempo de ejecución en meses</t>
  </si>
  <si>
    <t>REFRIGERIOS ESCOLARES</t>
  </si>
  <si>
    <t>SEGUNDA ENTREGA LAV</t>
  </si>
  <si>
    <t>SEGUNDA ENTREGA FDS</t>
  </si>
  <si>
    <t>PRIMERA  ENTREGA</t>
  </si>
  <si>
    <t>DETALLE</t>
  </si>
  <si>
    <t>TOTALES SEGUNDA ENTREGA</t>
  </si>
  <si>
    <t>TOTALES PRIMERA ENTREGA</t>
  </si>
  <si>
    <t>Valor Total Componente</t>
  </si>
  <si>
    <t>COMERCIALIZADORA DE FRUTAS Y VERDURAS AGROARAUJO COMPAÑÍA Y LTDA</t>
  </si>
  <si>
    <t>OCATI</t>
  </si>
  <si>
    <t>Mango maduro azucar</t>
  </si>
  <si>
    <t>Mango maduro comun</t>
  </si>
  <si>
    <t>Muestra un resumen del presupuesto estimado para la Vigencia 2017. Incluye Primera y Segunda Entrega</t>
  </si>
  <si>
    <t>FRECUENCIA FDS</t>
  </si>
  <si>
    <t>FRECUENCIA LAV</t>
  </si>
  <si>
    <t>PE1_8</t>
  </si>
  <si>
    <t>PE2_17</t>
  </si>
  <si>
    <t>PE4_33</t>
  </si>
  <si>
    <t>PE6_42</t>
  </si>
  <si>
    <t>PE12_58</t>
  </si>
  <si>
    <t>PE15_17</t>
  </si>
  <si>
    <t>PE4_58</t>
  </si>
  <si>
    <t>PE6_70</t>
  </si>
  <si>
    <t>PE12_22</t>
  </si>
  <si>
    <t>PE15_42</t>
  </si>
  <si>
    <t>E2_58</t>
  </si>
  <si>
    <t>PE4_46</t>
  </si>
  <si>
    <t>PE6_43</t>
  </si>
  <si>
    <t>PE9_33</t>
  </si>
  <si>
    <t>PE14_17</t>
  </si>
  <si>
    <t>E3_69</t>
  </si>
  <si>
    <t>PE1_7</t>
  </si>
  <si>
    <t>PE6_46</t>
  </si>
  <si>
    <t>PE9_42</t>
  </si>
  <si>
    <t>PE15_22</t>
  </si>
  <si>
    <t>E2_46</t>
  </si>
  <si>
    <t>PE3_69</t>
  </si>
  <si>
    <t>PE7_46</t>
  </si>
  <si>
    <t>PE12_42</t>
  </si>
  <si>
    <t>E3_58</t>
  </si>
  <si>
    <t>PE4_59</t>
  </si>
  <si>
    <t>PE6_22</t>
  </si>
  <si>
    <t>PE12_43</t>
  </si>
  <si>
    <t>E1_69</t>
  </si>
  <si>
    <t>PE4_22</t>
  </si>
  <si>
    <t>PE4_17</t>
  </si>
  <si>
    <t>PE9_58</t>
  </si>
  <si>
    <t>Aplica para calculos</t>
  </si>
  <si>
    <t>100gr</t>
  </si>
  <si>
    <t>E1_58</t>
  </si>
  <si>
    <t>PE9_59</t>
  </si>
  <si>
    <t>PE12_59</t>
  </si>
  <si>
    <t>PE2_42</t>
  </si>
  <si>
    <t>PE2_59</t>
  </si>
  <si>
    <t>PE12_36</t>
  </si>
  <si>
    <t>CODIGO ALIMENTO</t>
  </si>
  <si>
    <t>CALCULO DEL VALOR UNITARIO DE LOS COMPONENTES  TIPO A- B- C  SEGUNDA ENTREGA</t>
  </si>
  <si>
    <t>SUMINISTROS TIPOA</t>
  </si>
  <si>
    <t>SUMINISTROS TIPOB</t>
  </si>
  <si>
    <t>SUMINISTROS TIPOC</t>
  </si>
  <si>
    <t>SUMINISTROS TIPO MUJER (NOCTURNO)</t>
  </si>
  <si>
    <t>SUMINISTROS TIPO HOMBRE (NOCTURNO)</t>
  </si>
  <si>
    <t>Nombre Producto</t>
  </si>
  <si>
    <t>VIGOMEZ S.A.</t>
  </si>
  <si>
    <t>Zanahoria baby</t>
  </si>
  <si>
    <t>Precios Base Gravable</t>
  </si>
  <si>
    <t>VALOR TOTAL GRUPO</t>
  </si>
  <si>
    <t>COD
ELEMENTO X TIPO</t>
  </si>
  <si>
    <t>CANTIDAD ESTIMADA DE ENTREGAS DIARIAS SEGÚN TIPO DE REFRIGERIO LAV</t>
  </si>
  <si>
    <t>CANTIDAD ESTIMADA DE ENTREGAS DIARIAS POR TIPO DE REFRIGERIO FDS</t>
  </si>
  <si>
    <t>ENTREGAS ESTIMADAS PARA LA VIGENCIA 2017</t>
  </si>
  <si>
    <t>Consolida los componentes asociados a cada uno de los 15 Menús (Primera y Segunda entrega), incluye el detalle de los menús especiales primera entrega y los componentes de los menús de contingencia de acuerdo a lo estipulado en el anexo técnico</t>
  </si>
  <si>
    <t>FORMA EVALUACION</t>
  </si>
  <si>
    <t>RES_RESUMEN_PRESUPUESTO_2</t>
  </si>
  <si>
    <t>TIPO REGISTRO</t>
  </si>
  <si>
    <t>COSTPE_A_ALIMENTOS</t>
  </si>
  <si>
    <t>COSTSE_A_ALIMENTOS</t>
  </si>
  <si>
    <t>CAL_PRIMERA_ENTREGA_FRUTA</t>
  </si>
  <si>
    <t>CAL_SEGUNDA_ENTREGA_FDS_FRUTA</t>
  </si>
  <si>
    <t>CAL_SEGUNDA_ENTREGA_LAV_FRUTA</t>
  </si>
  <si>
    <t>COSTPE_A_CATEGORIA</t>
  </si>
  <si>
    <t>COSTPE_A_COSTO_TOTAL_A</t>
  </si>
  <si>
    <t>COSTPE_A_COSTO_TOTAL_B</t>
  </si>
  <si>
    <t>COSTPE_A_COSTO_TOTAL_C</t>
  </si>
  <si>
    <t>COSTPE_A_COSTO_TOTAL_H</t>
  </si>
  <si>
    <t>COSTPE_A_COSTO_TOTAL_M</t>
  </si>
  <si>
    <t>COSTSE_A_CATEGORIA</t>
  </si>
  <si>
    <t>COSTSE_A_COSTO_TOTAL_A</t>
  </si>
  <si>
    <t>COSTSE_A_COSTO_TOTAL_B</t>
  </si>
  <si>
    <t>COSTSE_A_COSTO_TOTAL_C</t>
  </si>
  <si>
    <t>FRE_FRECUENCIA_MENUS_FDS</t>
  </si>
  <si>
    <t>FRE_FRECUENCIA_MENUS_LAV</t>
  </si>
  <si>
    <t>MNU_CODIGO_ALIMENTO</t>
  </si>
  <si>
    <t>MNU_CODIGO_ALIMENTO_ENTREGA</t>
  </si>
  <si>
    <t>MNU_FRECUENCIAS_FDS</t>
  </si>
  <si>
    <t>MNU_FRECUENCIAS_LAV</t>
  </si>
  <si>
    <t>MNU_GRUPO_ALIMENTO_PRECIO</t>
  </si>
  <si>
    <t>MNU_VOLUMEN_TOTAL_A</t>
  </si>
  <si>
    <t>MNU_VOLUMEN_TOTAL_B</t>
  </si>
  <si>
    <t>MNU_VOLUMEN_TOTAL_C</t>
  </si>
  <si>
    <t>MNU_VOLUMEN_TOTAL_H</t>
  </si>
  <si>
    <t>MNU_VOLUMEN_TOTAL_M</t>
  </si>
  <si>
    <t>Descripción breve del contenido de cada Tabla</t>
  </si>
  <si>
    <t>DESCRIPCIÓN BREVE</t>
  </si>
  <si>
    <t>VALOR PRESUPUESTO</t>
  </si>
  <si>
    <t>INDUSTRIA DE ALIMENTOS DAZA</t>
  </si>
  <si>
    <t>EXPOGRANCOL SAS</t>
  </si>
  <si>
    <t>1000gr</t>
  </si>
  <si>
    <t>20 -40</t>
  </si>
  <si>
    <t>EL PRECIO SE MANTIENE</t>
  </si>
  <si>
    <t>COTIZACION NUEVA</t>
  </si>
  <si>
    <t>Cotización subió- CANASTILLA FRUVER GRANDE A</t>
  </si>
  <si>
    <t>Cotización subió - CANASTILLA FRUVER MEDIA</t>
  </si>
  <si>
    <t>Cotización no varia- CANASTILLA FRUVER GRANDE A</t>
  </si>
  <si>
    <t>Cotización no varia - CANASTILLA FRUVER MEDIA</t>
  </si>
  <si>
    <t>Cotización subió - La presentación es en caja por 150 unid. Cada manzana aprox. 200 gr</t>
  </si>
  <si>
    <t>Cotización subió - La presentación caja de cartón por 135 unid. Peso aproa por unid 220 gr</t>
  </si>
  <si>
    <t>Cotización no vario - CANASTILLA FRUVER PQÑA</t>
  </si>
  <si>
    <t>Cotización subió- Presentación canastilla fruver grande A</t>
  </si>
  <si>
    <t>Cotización no varia - CAJA CARTON</t>
  </si>
  <si>
    <t>Cotización no varia - CANASTILLA FRUVER PQÑA</t>
  </si>
  <si>
    <t>COTIZACION ESTUDIO SED 2016 - NUEVO MODELO</t>
  </si>
  <si>
    <t>Cotización no varia</t>
  </si>
  <si>
    <t>F_PE13</t>
  </si>
  <si>
    <t>ESTADISTICO SELECCIONADO</t>
  </si>
  <si>
    <t>VALOR UNITARIO IVA INCLUDO</t>
  </si>
  <si>
    <t>VALOR UNITARIO BASE GRAVABLE</t>
  </si>
  <si>
    <t>VALOR PONDERADO BASE GRAVABLE</t>
  </si>
  <si>
    <t>VALOR PONDERADO IVA INCLUIDO</t>
  </si>
  <si>
    <t>CALCULO PROMEDIO SIMPLE</t>
  </si>
  <si>
    <t>CALCULO MEDIA GEOMETRICA</t>
  </si>
  <si>
    <t>MEDIA GEOMETRICA BASE GRAVABLE</t>
  </si>
  <si>
    <t>MEDIA GEOMETRICA IVA INCLUIDO</t>
  </si>
  <si>
    <t>Establece el Producto de los Valores Cotizados asosiados al producto de cada fila (Valores Base Gravable)</t>
  </si>
  <si>
    <t>Establece el Producto de los Valores Cotizados asosiados al producto de cada fila (Valores Iva Incluido)</t>
  </si>
  <si>
    <t>Desviacion Estándar
(Valores Iva Incluido)</t>
  </si>
  <si>
    <t>Mediana
(Valores Iva Incluido)</t>
  </si>
  <si>
    <t>Desviacion Estándar 
(Valores Base Gavable)</t>
  </si>
  <si>
    <t>Mediana
(Valores Base Gavable)</t>
  </si>
  <si>
    <t>CALCULO MEDIANA</t>
  </si>
  <si>
    <t>CALCULO P. PONDERADO</t>
  </si>
  <si>
    <t>Estado Revisión</t>
  </si>
  <si>
    <t>Unidad de Medida</t>
  </si>
  <si>
    <t>Valor Unitario 
(Iva Incluido)</t>
  </si>
  <si>
    <t>Valor Unitario 
(Base Gravable)</t>
  </si>
  <si>
    <t>Promedio Simple
(Base Gravable)</t>
  </si>
  <si>
    <t>Promedio Simple 
(Iva Incluido)</t>
  </si>
  <si>
    <t>Desviación Estandar
(Base Gravable)</t>
  </si>
  <si>
    <t>Desviación Estandar
(Iva Incluido)</t>
  </si>
  <si>
    <t>Mediana 
(Iva Incluido)</t>
  </si>
  <si>
    <t>Mediana
(Base Gravable)</t>
  </si>
  <si>
    <t>Promedio Ponderado
(Iva Incluido)</t>
  </si>
  <si>
    <t>Promedio Ponderado
(Base Gravable)</t>
  </si>
  <si>
    <t>CALCULO DESVIACIÓN E.</t>
  </si>
  <si>
    <t>COEFICIENTE D. E.</t>
  </si>
  <si>
    <t>Coef 
(Iva Incluido)</t>
  </si>
  <si>
    <t>Coef 
(Base Gravable)</t>
  </si>
  <si>
    <t>CALCULO CUARTIL</t>
  </si>
  <si>
    <t>Valor Mas Bajo
(Base Gravable)</t>
  </si>
  <si>
    <t>Valor Mas Bajo
(Iva Incluido)</t>
  </si>
  <si>
    <t>Valor Mas Alto
(Base Gravable)</t>
  </si>
  <si>
    <t>Valor Mas Alto
(Iva Incluido)</t>
  </si>
  <si>
    <t>VALOR MAS BAJO</t>
  </si>
  <si>
    <t>VALOR MAS ALTO</t>
  </si>
  <si>
    <t>Obtienen el Valor Minimo Cotizado del producto
(Valores Base Gavable)</t>
  </si>
  <si>
    <t>Obtienen el Valor Minimo Cotizado del producto
(Valores Iva Incluido)</t>
  </si>
  <si>
    <t>Obtienen el Valor Maximo Cotizado del producto
(Valores Iva Incluido)</t>
  </si>
  <si>
    <t>Obtienen el Valor Maximo Cotizado del producto
(Valores Base Gavable)</t>
  </si>
  <si>
    <t>CALCULO DEL COSTO X COMPONENTE</t>
  </si>
  <si>
    <t>CALCULO CON LOS VALORES BASE GRAVABLE</t>
  </si>
  <si>
    <t>CALCULO CON LOS VALORES IVA INCLUIDO</t>
  </si>
  <si>
    <t>Valor gr o ml  Tipo C</t>
  </si>
  <si>
    <t>Valor gr o ml  Tipo B</t>
  </si>
  <si>
    <t>Valor gr o ml  Tipo A</t>
  </si>
  <si>
    <t>Valor gr o ml  Tipo H</t>
  </si>
  <si>
    <t>Valor gr o ml  Tipo M</t>
  </si>
  <si>
    <t>VALOR TOTAL SELECCIONADO</t>
  </si>
  <si>
    <t>VALOR UNITARIO SELECCIONADO</t>
  </si>
  <si>
    <t>PE10 - FESTIVO</t>
  </si>
  <si>
    <t>PE7- DIA DEL TRABAJO</t>
  </si>
  <si>
    <t>PE11 - FESTIVO</t>
  </si>
  <si>
    <t>PE2 - 20 DE JULIO</t>
  </si>
  <si>
    <t>PE14 - 7 DE AGOSTO</t>
  </si>
  <si>
    <t>PE8 - FESTIVO</t>
  </si>
  <si>
    <t>SE2- FESTIVO</t>
  </si>
  <si>
    <t>SE2 - DIA DEL TRABAJO</t>
  </si>
  <si>
    <t>SE8 - 20 DE JULIO</t>
  </si>
  <si>
    <t>SE8 - 7 DE AGOSTO</t>
  </si>
  <si>
    <t>SE2 - FESTIVO</t>
  </si>
  <si>
    <t>E1_33</t>
  </si>
  <si>
    <t>E1_46</t>
  </si>
  <si>
    <t>PE13_36</t>
  </si>
  <si>
    <t>PE15_36</t>
  </si>
  <si>
    <t>PE9_36</t>
  </si>
  <si>
    <t>PE13_59</t>
  </si>
  <si>
    <t>PE7_59</t>
  </si>
  <si>
    <t>PE2_58</t>
  </si>
  <si>
    <t>PE2_43</t>
  </si>
  <si>
    <t>PE4_42</t>
  </si>
  <si>
    <t>PE9_69</t>
  </si>
  <si>
    <t>PE11_33</t>
  </si>
  <si>
    <t>PE11_46</t>
  </si>
  <si>
    <t>PE11_43</t>
  </si>
  <si>
    <t>PE11_70</t>
  </si>
  <si>
    <t>PE13_58</t>
  </si>
  <si>
    <t>PE7_70</t>
  </si>
  <si>
    <t>PE3_58</t>
  </si>
  <si>
    <t>PE12_46</t>
  </si>
  <si>
    <t>PE6_17</t>
  </si>
  <si>
    <t>PE13_43</t>
  </si>
  <si>
    <t>PE13_17</t>
  </si>
  <si>
    <t>PE14_43</t>
  </si>
  <si>
    <t>PE9_22</t>
  </si>
  <si>
    <t>PE3_42</t>
  </si>
  <si>
    <t>PE2_69</t>
  </si>
  <si>
    <t>PE9_70</t>
  </si>
  <si>
    <t>PE3_33</t>
  </si>
  <si>
    <t>PE7_58</t>
  </si>
  <si>
    <t>PE12_17</t>
  </si>
  <si>
    <t>PE14_42</t>
  </si>
  <si>
    <t>PE7_17</t>
  </si>
  <si>
    <t>PE13_46</t>
  </si>
  <si>
    <t>PE3_43</t>
  </si>
  <si>
    <t>PE6_69</t>
  </si>
  <si>
    <t>PE7_69</t>
  </si>
  <si>
    <t>PE13_22</t>
  </si>
  <si>
    <t>PE14_58</t>
  </si>
  <si>
    <t>PE3_46</t>
  </si>
  <si>
    <t>PE15_69</t>
  </si>
  <si>
    <t>PE15_33</t>
  </si>
  <si>
    <t>PE14_22</t>
  </si>
  <si>
    <t>E3_33</t>
  </si>
  <si>
    <t>E2_33</t>
  </si>
  <si>
    <t>PE15_43</t>
  </si>
  <si>
    <t>REVISADO</t>
  </si>
  <si>
    <t>PE2_8</t>
  </si>
  <si>
    <t>PE1_17</t>
  </si>
  <si>
    <t>PE7_7</t>
  </si>
  <si>
    <t>PE1_42</t>
  </si>
  <si>
    <t>PE1_33</t>
  </si>
  <si>
    <t>PE3_7</t>
  </si>
  <si>
    <t>PE6_8</t>
  </si>
  <si>
    <t>PE1_43</t>
  </si>
  <si>
    <t>PE1_58</t>
  </si>
  <si>
    <t>SE2_7</t>
  </si>
  <si>
    <t>SE3_7</t>
  </si>
  <si>
    <t>SE3_8</t>
  </si>
  <si>
    <t>SE5_7</t>
  </si>
  <si>
    <t>SE6_8</t>
  </si>
  <si>
    <t>SE6_7</t>
  </si>
  <si>
    <t>SE8_8</t>
  </si>
  <si>
    <t>SE9_7</t>
  </si>
  <si>
    <t>SE1_7</t>
  </si>
  <si>
    <t>SE2_8</t>
  </si>
  <si>
    <t>SE4_8</t>
  </si>
  <si>
    <t>SE6_59</t>
  </si>
  <si>
    <t>SE12_59</t>
  </si>
  <si>
    <t>SE15_59</t>
  </si>
  <si>
    <t>SE2_59</t>
  </si>
  <si>
    <t>SE14_59</t>
  </si>
  <si>
    <t>SE6_36</t>
  </si>
  <si>
    <t>SE8_36</t>
  </si>
  <si>
    <t>SE4_36</t>
  </si>
  <si>
    <t>SE9_36</t>
  </si>
  <si>
    <t>SE5_36</t>
  </si>
  <si>
    <t>SE1_17</t>
  </si>
  <si>
    <t>SE3_22</t>
  </si>
  <si>
    <t>SE4_33</t>
  </si>
  <si>
    <t>SE5_42</t>
  </si>
  <si>
    <t>SE8_43</t>
  </si>
  <si>
    <t>SE9_43</t>
  </si>
  <si>
    <t>SE12_46</t>
  </si>
  <si>
    <t>SE13_58</t>
  </si>
  <si>
    <t>SE14_17</t>
  </si>
  <si>
    <t>SE14_22</t>
  </si>
  <si>
    <t>SE15_22</t>
  </si>
  <si>
    <t>SE1_22</t>
  </si>
  <si>
    <t>SE15_33</t>
  </si>
  <si>
    <t>SE4_42</t>
  </si>
  <si>
    <t>SE5_43</t>
  </si>
  <si>
    <t>SE8_46</t>
  </si>
  <si>
    <t>SE9_46</t>
  </si>
  <si>
    <t>SE9_58</t>
  </si>
  <si>
    <t>SE9_17</t>
  </si>
  <si>
    <t>SE9_22</t>
  </si>
  <si>
    <t>SE12_17</t>
  </si>
  <si>
    <t>SE15_42</t>
  </si>
  <si>
    <t>SE1_43</t>
  </si>
  <si>
    <t>SE2_46</t>
  </si>
  <si>
    <t>SE2_58</t>
  </si>
  <si>
    <t>SE3_17</t>
  </si>
  <si>
    <t>SE6_22</t>
  </si>
  <si>
    <t>SE8_33</t>
  </si>
  <si>
    <t>SE8_42</t>
  </si>
  <si>
    <t>SE8_58</t>
  </si>
  <si>
    <t>SE12_33</t>
  </si>
  <si>
    <t>SE14_58</t>
  </si>
  <si>
    <t>SE15_46</t>
  </si>
  <si>
    <t>SE12_58</t>
  </si>
  <si>
    <t>SE13_22</t>
  </si>
  <si>
    <t>SE15_17</t>
  </si>
  <si>
    <t>SE1_42</t>
  </si>
  <si>
    <t>SE2_43</t>
  </si>
  <si>
    <t>SE4_58</t>
  </si>
  <si>
    <t>SE13_69</t>
  </si>
  <si>
    <t>SE12_70</t>
  </si>
  <si>
    <t>SE13_42</t>
  </si>
  <si>
    <t>SE1_33</t>
  </si>
  <si>
    <t>SE3_69</t>
  </si>
  <si>
    <t>SE6_46</t>
  </si>
  <si>
    <t>SE8_17</t>
  </si>
  <si>
    <t>SE14_43</t>
  </si>
  <si>
    <t>SE1_69</t>
  </si>
  <si>
    <t>SE3_58</t>
  </si>
  <si>
    <t>SE4_17</t>
  </si>
  <si>
    <t>SE5_17</t>
  </si>
  <si>
    <t>SE5_22</t>
  </si>
  <si>
    <t>SE9_42</t>
  </si>
  <si>
    <t>SE12_43</t>
  </si>
  <si>
    <t>SE13_46</t>
  </si>
  <si>
    <t>SE15_70</t>
  </si>
  <si>
    <t>SE1_70</t>
  </si>
  <si>
    <t>SE2_22</t>
  </si>
  <si>
    <t>SE3_33</t>
  </si>
  <si>
    <t>SE2_33</t>
  </si>
  <si>
    <t>SE3_42</t>
  </si>
  <si>
    <t>SE4_43</t>
  </si>
  <si>
    <t>SE5_46</t>
  </si>
  <si>
    <t>SE6_58</t>
  </si>
  <si>
    <t>SE9_70</t>
  </si>
  <si>
    <t>SE4_69</t>
  </si>
  <si>
    <t>SE1_46</t>
  </si>
  <si>
    <t>SE3_70</t>
  </si>
  <si>
    <t>SE6_69</t>
  </si>
  <si>
    <t>SE8_22</t>
  </si>
  <si>
    <t>SE12_42</t>
  </si>
  <si>
    <t>SE14_46</t>
  </si>
  <si>
    <t>SE15_58</t>
  </si>
  <si>
    <t>SE4_22</t>
  </si>
  <si>
    <t>SE5_33</t>
  </si>
  <si>
    <t>SE14_69</t>
  </si>
  <si>
    <t>SE13_17</t>
  </si>
  <si>
    <t>SE8_69</t>
  </si>
  <si>
    <t>SE4_70</t>
  </si>
  <si>
    <t>SE6_42</t>
  </si>
  <si>
    <t>SE15_43</t>
  </si>
  <si>
    <t>SE9_8</t>
  </si>
  <si>
    <t>SE13_70</t>
  </si>
  <si>
    <t>SE2_17</t>
  </si>
  <si>
    <t>Calculo primer Cuartil
(Valores Base Gavable)</t>
  </si>
  <si>
    <t>Calculo primer Cuartil
(Valores Iva Incluido)</t>
  </si>
  <si>
    <t>Primer Cuartil</t>
  </si>
  <si>
    <t>Primer Cuartil
(Base Gravable)</t>
  </si>
  <si>
    <t>Primer Cuartil
(Iva Incluido)</t>
  </si>
  <si>
    <t>SECRETARÍA DE EDUCACIÓN DEL DISTRITO</t>
  </si>
  <si>
    <t>DIRECCIÓN DE BIENESTAR ESTUDIANTIL</t>
  </si>
  <si>
    <t>PROGRAMA DE ALIMENTACIÓN ESCOLAR</t>
  </si>
  <si>
    <t>Ir a Índice</t>
  </si>
  <si>
    <t>CATEGORÍA</t>
  </si>
  <si>
    <t>DÍAS ATENCIÓN</t>
  </si>
  <si>
    <t>TOTAL PRESUPUESTO REFRIGERIOS PAE 2017</t>
  </si>
  <si>
    <t>CATEGORÍA ACUERDO MARCO DE PRECIOS</t>
  </si>
  <si>
    <t>RAZÓN SOCIAL Y/O FUENTE INFORMACIÓN</t>
  </si>
  <si>
    <t xml:space="preserve">PRESENTACIÓN OFERTADA PROVEEDOR </t>
  </si>
  <si>
    <t xml:space="preserve">PRESENTACIÓN REQUERIDA
SED
</t>
  </si>
  <si>
    <t>CUMPLE PRESENTACIÓN</t>
  </si>
  <si>
    <t>PRODUCCIÓN ACTUAL</t>
  </si>
  <si>
    <t>CAPACIDAD MÁXIMA DE PRODUCCIÓN DIARIA</t>
  </si>
  <si>
    <t>TIPO COTIZACIÓN</t>
  </si>
  <si>
    <t>INDIQUE  EL MÉTODO DE CÁLCULO PRECIOS UNITARIOS</t>
  </si>
  <si>
    <t>CÁLCULO DEL VALOR UNITARIO DE LOS COMPONENTES  TIPO A- B- C-N (MUJER Y HOMBRE )- PRIMERA ENTREGA</t>
  </si>
  <si>
    <t>Precios Iva Incluído</t>
  </si>
  <si>
    <t>PROYECCIÓN VOLUMEN SUMINISTROS DIARIOS</t>
  </si>
  <si>
    <t>RAZÓN SOCIAL</t>
  </si>
  <si>
    <t>FECHA COTIZACIÓN</t>
  </si>
  <si>
    <t>PROYECCIÓN ENTREGA DE MENÚS AÑO 2017</t>
  </si>
  <si>
    <t>PROGRAMACIÓN PRIMERA  ENTREGA</t>
  </si>
  <si>
    <t>PROGRAMACIÓN SEGUNDA ENTREGA</t>
  </si>
  <si>
    <t>MENÚ PROGRAMADO</t>
  </si>
  <si>
    <t>SIMULACIÓN PROGRAMACIÓN FRUTA</t>
  </si>
  <si>
    <t>MENÚ PROGRAMADO
(LUNES A VIERNES)</t>
  </si>
  <si>
    <t>SIMULACIÓN PROGRAMACIÓN FRUTA
(LUNES A VIERNES)</t>
  </si>
  <si>
    <t>SIMULACIÓN PROGRAMACIÓN FRUTA
(FIN DE SEMANA)</t>
  </si>
  <si>
    <t>FRECUENCIA MENÚS VIGENCIA 2017</t>
  </si>
  <si>
    <t>FRECUENCIAS ESTIMADAS Y PROYECCIóN DE LA CANTIDAD DE MENÚS A ENTREGAR VIGENCIA 2017</t>
  </si>
  <si>
    <t>ESTIMADO DEL NUMERO DE DIAS  A ENTREGAR EL MENÚ</t>
  </si>
  <si>
    <t>MENÚS PROGRAMADOS PARA LA PRIMERA ENTREGA</t>
  </si>
  <si>
    <t>MENÚS PROGRAMADOS PARA LA SEGUNDA  ENTREGA
(LUNES AVIERNES)</t>
  </si>
  <si>
    <t>MENÚS PROGRAMADOS PARA LA SEGUNDA  ENTREGA
(FIN DE SEMANA)</t>
  </si>
  <si>
    <t xml:space="preserve">PROYECTO 1052- 1 CORRESPONDE A PRIMERA ENTREGA </t>
  </si>
  <si>
    <t xml:space="preserve">PROYECTO 1052- 2 CORRESPONDE A SEGUNDA  ENTREGA </t>
  </si>
  <si>
    <t>En esta hoja de cálculo se realiza la simulación de la rotación de los menús para la vigencia 2017.</t>
  </si>
  <si>
    <t>Refleja para cada uno de los elementos (alimentos, transporte, canastillas, dotación, empaques, etc.) cotizados, el cálculo de los valores unitarios conforme las cotizaciones recepcionadas y existentes en la tabla COT_BASE_COTIZACIONES</t>
  </si>
  <si>
    <t>Documenta de manera ordenada  los registros de cotización recepcionados durante la ejecución del estudio de costos 2016. En la base de datos existen tres tipos de registros.</t>
  </si>
  <si>
    <t>Código Alimento</t>
  </si>
  <si>
    <t>MENÚ</t>
  </si>
  <si>
    <t>GERENTE COMERCIAL - GERENTE</t>
  </si>
  <si>
    <t>ALMACENES ÉXITO</t>
  </si>
  <si>
    <t>890900608-9</t>
  </si>
  <si>
    <t>LEONARDO RIOS</t>
  </si>
  <si>
    <t>AUXILIAR VENTAS POR MAYOR</t>
  </si>
  <si>
    <t>311 65 51</t>
  </si>
  <si>
    <t>VentasporMayor.ExitoCalle80@grupo-exito.com</t>
  </si>
  <si>
    <t>CAROLINA VELEZ</t>
  </si>
  <si>
    <t>REPRESENTANTE DE VENTAS</t>
  </si>
  <si>
    <t>informacion14_ta30@la14.com</t>
  </si>
  <si>
    <t>GERENTE COMERCIAL</t>
  </si>
  <si>
    <t>REPRESENTANTE LEGAL</t>
  </si>
  <si>
    <t>GERENTE</t>
  </si>
  <si>
    <t>ASESOR COMERCIAL</t>
  </si>
  <si>
    <t>ACOMERFRUTAS</t>
  </si>
  <si>
    <t>813009692 - 7</t>
  </si>
  <si>
    <t>ARNULFO TRUJILLO</t>
  </si>
  <si>
    <t>311 592 47 31 - 833 39 43</t>
  </si>
  <si>
    <t>artrudi@msn.com</t>
  </si>
  <si>
    <t>AGROFRUT</t>
  </si>
  <si>
    <t> 800157130-6</t>
  </si>
  <si>
    <t>LUIS MIGUEL ARANGO</t>
  </si>
  <si>
    <t>(034) -379 20 00 - 3104265015</t>
  </si>
  <si>
    <t>vmedellin1@agrofrut.com - servicioalcliente@agrofrut.com- aexports@agrofrut.com</t>
  </si>
  <si>
    <t>ANDINO FRUIT LTDA. </t>
  </si>
  <si>
    <t> 90011969-5</t>
  </si>
  <si>
    <t>SERVICIO AL CLIENTE</t>
  </si>
  <si>
    <t>655-5715 - 320 232 45 65 - 224 2976 -  490 60 11</t>
  </si>
  <si>
    <t>info@andinofruit.com</t>
  </si>
  <si>
    <t>832009363 - 8</t>
  </si>
  <si>
    <t>NAVIA BELTRAN CORCHUELO</t>
  </si>
  <si>
    <t>3112145267 -  3202225913 -  9026661 - 404 0841</t>
  </si>
  <si>
    <t>navia.beltran@apave.org.co - asociación.emprendimiento@apave.org.co - percan@apave.org.co</t>
  </si>
  <si>
    <t>APROFRUSA</t>
  </si>
  <si>
    <t>JORGE LUIS MUÑOZ ESPAÑA</t>
  </si>
  <si>
    <t>3158118126 - fax 8368942</t>
  </si>
  <si>
    <t>aprofrusa@yahoo.es - jlme_1yahoo.com</t>
  </si>
  <si>
    <t>ASIFRUT</t>
  </si>
  <si>
    <t>830001284-0</t>
  </si>
  <si>
    <t>ASOCIACION CON AFILIADOS</t>
  </si>
  <si>
    <t>312 583 97 91</t>
  </si>
  <si>
    <t>info@asifrut.com - asifrut@yahoo.es</t>
  </si>
  <si>
    <t>ASOGRAHUILA</t>
  </si>
  <si>
    <t>900042514 - 9</t>
  </si>
  <si>
    <t>JAIME BURBANO</t>
  </si>
  <si>
    <t>8326041-3163384602 fax 8325137</t>
  </si>
  <si>
    <t>asograhuila@yahoo.es</t>
  </si>
  <si>
    <t>BALU ALIMENTOS ORGANICOS</t>
  </si>
  <si>
    <t>900053199 - 9</t>
  </si>
  <si>
    <t>FRANCY MUÑETON</t>
  </si>
  <si>
    <t>6127490 - 3165288022</t>
  </si>
  <si>
    <t>balunatural@yahoo.com - organicosbalu@g mail.com -  info@organicosbalu.com</t>
  </si>
  <si>
    <t>C.I TROPIKIT</t>
  </si>
  <si>
    <t>LIZETH CORREA</t>
  </si>
  <si>
    <t xml:space="preserve"> (57-2) 5526496</t>
  </si>
  <si>
    <t>gerencia@tropickit.com</t>
  </si>
  <si>
    <t>CARULLA</t>
  </si>
  <si>
    <t>ANA CRISTINA MONROY</t>
  </si>
  <si>
    <t>ASESOR VENTAS</t>
  </si>
  <si>
    <t>425 28 25</t>
  </si>
  <si>
    <t>anacristina.monroybuitrago@grupo_exito.com</t>
  </si>
  <si>
    <t>CI PROBA SOLUCIONES AGROINDUSTRIALES</t>
  </si>
  <si>
    <t>JHONNATAN CARDONA LÓPEZ</t>
  </si>
  <si>
    <t>(57-6) 3338066</t>
  </si>
  <si>
    <t>jhonatanc@ciproba.com</t>
  </si>
  <si>
    <t>900.020.911-5</t>
  </si>
  <si>
    <t>JOHANNA CAMARGO - JAIME SIERRA ARIZA</t>
  </si>
  <si>
    <t>EJECUTIVA COMERCIAL - GERENTE GENERAL</t>
  </si>
  <si>
    <t xml:space="preserve"> 3144607165 - 2996732 - 4020781 Fax: 2643026 - 3112717607</t>
  </si>
  <si>
    <t>agrosierracomercial@gmail.com  -  agrosierra@g.mail.com</t>
  </si>
  <si>
    <t>COLOMBIA PARADISE S A S</t>
  </si>
  <si>
    <t>900390141 – 7</t>
  </si>
  <si>
    <t>3202315058 - 3112124404</t>
  </si>
  <si>
    <t>900218047-8</t>
  </si>
  <si>
    <t>MIREYA MALAVER</t>
  </si>
  <si>
    <t>GERENTE EJECUTIVA</t>
  </si>
  <si>
    <t>6697218 - 6696936</t>
  </si>
  <si>
    <t>agroaraujo@gmail.com</t>
  </si>
  <si>
    <t>COMERCIALIZADORA DE FRUTAS Y VERDURAS COMFRUVER SAS</t>
  </si>
  <si>
    <t>90062247-0</t>
  </si>
  <si>
    <t>WILLIAM JIMENEZ</t>
  </si>
  <si>
    <t>273 94 12 - 265 38 65 - 321 294 84 67 - 310 585 23 59</t>
  </si>
  <si>
    <t>comfruver_a@hotmail.com</t>
  </si>
  <si>
    <t>COMERCIALIZADORA DEPARTAMENTAL "FRUTAS DEL HUILA"</t>
  </si>
  <si>
    <t>CESAR AUGUSTO CORTES</t>
  </si>
  <si>
    <t>8712060--3164636630  fax 8718446 - 8738735</t>
  </si>
  <si>
    <t>cecortes555@yahoo.com</t>
  </si>
  <si>
    <t>COMERCIALIZADORA INTERNACIONAL SABE LTDA</t>
  </si>
  <si>
    <t> (57) (2) 3707749 -  (2)4856574</t>
  </si>
  <si>
    <t>sabeventas@gmail.com</t>
  </si>
  <si>
    <t>HECTOR ALFONSO GONZALEZ - SILVIA MARCELA CORTES</t>
  </si>
  <si>
    <t>GERENTE - ASISTENTE ADMON</t>
  </si>
  <si>
    <t>2537567 - 3123065841</t>
  </si>
  <si>
    <t>gerencia@ecolorganica.com - administracion@ecolorganica.com - culltivoselmorro@gmail.com</t>
  </si>
  <si>
    <t>DISTRIBUIDORA DE FRUTAS SANTA CLARA LTDA</t>
  </si>
  <si>
    <t>90023101-1</t>
  </si>
  <si>
    <t>NICOLAS SALDARRIAGA</t>
  </si>
  <si>
    <t>(57-4) 285 20 46  Fax (57-4) 361 03 57</t>
  </si>
  <si>
    <t> distribuidorasantaclara@une.net.co - distrisantaclara@une.net.co</t>
  </si>
  <si>
    <t>DISTRIBUIDORA DE FRUTAS SANTANDER DISFRUSAN LTDA</t>
  </si>
  <si>
    <t>900029886 - 1</t>
  </si>
  <si>
    <t>037- 5731347</t>
  </si>
  <si>
    <t>disfrusan@ventas.com</t>
  </si>
  <si>
    <t>DISTRIBUIDORA FRUTAS Y VERDURAS MP</t>
  </si>
  <si>
    <t>900356495 – 5</t>
  </si>
  <si>
    <t>JAVIER FERNANDO PÉREZ</t>
  </si>
  <si>
    <t>223 1397 - 3144600147 - 312 448 8535 - 311 898 2815</t>
  </si>
  <si>
    <t>frutasyverduras.mp@hotmail.com</t>
  </si>
  <si>
    <t>ECO VITALE ORGANICO</t>
  </si>
  <si>
    <t>JOHN PINZON</t>
  </si>
  <si>
    <t>4776399 - 3112811464</t>
  </si>
  <si>
    <t>​john_fpl@hotmail.com - ecovitale.co@gmail.com​</t>
  </si>
  <si>
    <t>900469693 - 2</t>
  </si>
  <si>
    <t>NIDIA ROCÍO MONGUI</t>
  </si>
  <si>
    <t>313 881 4748 - 402 8416</t>
  </si>
  <si>
    <t>expograncolsas@hotmail.com - nidia-mongui@hotmail.com</t>
  </si>
  <si>
    <t>830.129.327-1</t>
  </si>
  <si>
    <t>fcotizaciones@farmatodo.com</t>
  </si>
  <si>
    <t>FRUANDINA LTDA</t>
  </si>
  <si>
    <t>900013025 - 5</t>
  </si>
  <si>
    <t>JHON GARCIA</t>
  </si>
  <si>
    <t> 841 5680 - 841 5681 Fax: 841 5682</t>
  </si>
  <si>
    <t>jhongarcia@fruandina.com - www.fruandina.com</t>
  </si>
  <si>
    <t>FRUHORVE</t>
  </si>
  <si>
    <t>VÍCTOR MANUEL GÜIZA</t>
  </si>
  <si>
    <t>311 584 1346</t>
  </si>
  <si>
    <t>fruhorve@hotmail.com</t>
  </si>
  <si>
    <t>FRUI ‘C S.A.S.</t>
  </si>
  <si>
    <t>CAROLINA SUÁREZ</t>
  </si>
  <si>
    <t>311 514 8666 - 311 312 0568</t>
  </si>
  <si>
    <t>leo2009@gmail.com</t>
  </si>
  <si>
    <t>FRUTACINO</t>
  </si>
  <si>
    <t>032-6602626</t>
  </si>
  <si>
    <t>frutacino@248gmail.com</t>
  </si>
  <si>
    <t>FRUTALES LAS LAJAS S.A.</t>
  </si>
  <si>
    <t>830515183 - 1</t>
  </si>
  <si>
    <t>JOHANNA ANGULO</t>
  </si>
  <si>
    <t>311 3298727 - 311 3298731 -311 3298715 - 313 7432024 -3146209163</t>
  </si>
  <si>
    <t>procesos@frutaleslaslajas.com</t>
  </si>
  <si>
    <t>FRUTAS COMERCIALES SA EN REORGANIZACION</t>
  </si>
  <si>
    <t>80017300 - 4</t>
  </si>
  <si>
    <t>MARIA CRISTINA ROJAS</t>
  </si>
  <si>
    <t>contabilidad@frutascomerciales.com</t>
  </si>
  <si>
    <t>FRUTCOM S.A </t>
  </si>
  <si>
    <t>830045768 - 2</t>
  </si>
  <si>
    <t>ASTRID ESTUPIÑAN</t>
  </si>
  <si>
    <t>4021844 - 4523506</t>
  </si>
  <si>
    <t>astrid.estupinan@frutcom.com -  frutcom@frutcom.com</t>
  </si>
  <si>
    <t>FRUTICOLA DE COLOMBIA S.A.</t>
  </si>
  <si>
    <t>805027111 - 7</t>
  </si>
  <si>
    <t>MARTHA CHIVATA</t>
  </si>
  <si>
    <t> 7400688 – 2656426 </t>
  </si>
  <si>
    <t> martha.chivata@fruticoladecolombia.com -  gerente@fruticoladecolombia.com</t>
  </si>
  <si>
    <t>FRUTIERREZ S.A.</t>
  </si>
  <si>
    <t>830029615 - 7</t>
  </si>
  <si>
    <t>GAIRA VELASTEGUI C.</t>
  </si>
  <si>
    <t>3002192187 - 7590043</t>
  </si>
  <si>
    <t>eurepgap@frutierrez.com</t>
  </si>
  <si>
    <t>FRUTIHUILA</t>
  </si>
  <si>
    <t>900218167 - 3</t>
  </si>
  <si>
    <t>FRANCISCO VEGA- CONSUELO VILLANUEVA</t>
  </si>
  <si>
    <t>3108565765 - 8701613-3158213139</t>
  </si>
  <si>
    <t>frutihuila@telesat.com.co</t>
  </si>
  <si>
    <t>GREEN AND FRESH</t>
  </si>
  <si>
    <t> 90010616 - 3</t>
  </si>
  <si>
    <t>ASTRID SUAREZ</t>
  </si>
  <si>
    <t>2656096 - 313 499 6512</t>
  </si>
  <si>
    <t> astridsuarez@hotmail.com- gerencia@greenandfresh.co</t>
  </si>
  <si>
    <t>GUILLERMO CUBIDES OLARTE</t>
  </si>
  <si>
    <t>3138708411 - 7434325 ext. 101</t>
  </si>
  <si>
    <t>guillermocubideso@hotmail.com</t>
  </si>
  <si>
    <t>HACIENDA BUENAVENTURA S EN C</t>
  </si>
  <si>
    <t>MARIA TERESA P. BUENAVENTURA</t>
  </si>
  <si>
    <t>haciendaelportal@gmail.com</t>
  </si>
  <si>
    <t>830062640 - 0</t>
  </si>
  <si>
    <t>BEATRIZ MALAVER - IVAN GENARO ARENAS GARZON</t>
  </si>
  <si>
    <t>3108062653 - 8519077 - 8519147</t>
  </si>
  <si>
    <t>bety.malaver@hortifresco.com.co - hortifresco@hortifresco.com.co</t>
  </si>
  <si>
    <t>IMPORFRUIT</t>
  </si>
  <si>
    <t>265 76 53 -Fax (57-1) 265 78 64</t>
  </si>
  <si>
    <t> jexcol@yahoo.com</t>
  </si>
  <si>
    <t>IMPORFRUTAS SAS</t>
  </si>
  <si>
    <t> 90034643- 6</t>
  </si>
  <si>
    <t xml:space="preserve">BEATRIZ PEÑARANDA </t>
  </si>
  <si>
    <t xml:space="preserve"> (57) (2) 370 7264 -  317 4419260</t>
  </si>
  <si>
    <t>imporfrutas1@hotmail.com</t>
  </si>
  <si>
    <t>IMPORTADORA BECERRA GALLEGO LTDA</t>
  </si>
  <si>
    <t>830085839 - 8</t>
  </si>
  <si>
    <t>293 30 63</t>
  </si>
  <si>
    <t> impbecgall2@tutopia.com</t>
  </si>
  <si>
    <t>900664307 - 1</t>
  </si>
  <si>
    <t>GEIMI DAZA- FELIPE BUENO</t>
  </si>
  <si>
    <t>GERENTE - COMERCIAL</t>
  </si>
  <si>
    <t xml:space="preserve">4116671 - 322 3653408
</t>
  </si>
  <si>
    <t>servicioalcliente@industriadaza.co - gerencia.operativa@industriadaza.co</t>
  </si>
  <si>
    <t>INTERFRESH PRODUCE SAS</t>
  </si>
  <si>
    <t>900451652-1</t>
  </si>
  <si>
    <t xml:space="preserve">GLORIA BECERRA </t>
  </si>
  <si>
    <t xml:space="preserve">293 30 63 </t>
  </si>
  <si>
    <t>ventas@interfreshproduce.com - contabilidad@interfreshproduce.com</t>
  </si>
  <si>
    <t>JOSE GUILLERMO ALFONSO CHAPARRO</t>
  </si>
  <si>
    <t>guillermoal.1975@hotmail.com</t>
  </si>
  <si>
    <t>JUAN MANUEL CHIRIVI FORERO</t>
  </si>
  <si>
    <t>jmchirivif@hotmail.com</t>
  </si>
  <si>
    <t>MAKRO SUPERMAYORISTA S.A</t>
  </si>
  <si>
    <t>900 059 238-5</t>
  </si>
  <si>
    <t>AREA VENTAS</t>
  </si>
  <si>
    <t>makrovirtual@makro.com.co</t>
  </si>
  <si>
    <t>MARIA ISABEL TRUJILLO DE GARCIA</t>
  </si>
  <si>
    <t>3158340072 - 6008113 - 3158340069</t>
  </si>
  <si>
    <t>frutay@gmail.com</t>
  </si>
  <si>
    <t>MARIA JULIA AMAYA GONZALEZ</t>
  </si>
  <si>
    <t>mjamaya11@etb.net.co</t>
  </si>
  <si>
    <t>MAXIFRUTAS LTDA.</t>
  </si>
  <si>
    <t>830012212-8</t>
  </si>
  <si>
    <t>HUGO ARISTIZABAL</t>
  </si>
  <si>
    <t>451 75 55 – 264 97 43 Fax: (57-1) 451 75 56</t>
  </si>
  <si>
    <t> maxifrutasltda@etb.net.co - gerentemaxifrutasltda.com</t>
  </si>
  <si>
    <t>NIETO &amp; MILEVCIC LTDA</t>
  </si>
  <si>
    <t>860353805 - 7</t>
  </si>
  <si>
    <t>LUZ ELENA CONTRERAS-GRACIELA SALAZAR-CARLOS CAPADOR</t>
  </si>
  <si>
    <t>JEFE AREA COMERCIAL- ASESOR VENTAS - REPRE. LEGAL</t>
  </si>
  <si>
    <t>5483755- 5483759-  428 66 77- 3174338491</t>
  </si>
  <si>
    <t>almenu@setaspotin.com -compras@setaspotin.com -  oficinacorabastos@setaspotin.com</t>
  </si>
  <si>
    <t>PEDRO JACINTO CASTELBLANCO GONZALEZ</t>
  </si>
  <si>
    <t>pedrojacinto1968@hotmail.com</t>
  </si>
  <si>
    <t>REYNEL CUBIDES CASTILLO</t>
  </si>
  <si>
    <t>038-2012548</t>
  </si>
  <si>
    <t>frutastropicalesrc@hotmail.com</t>
  </si>
  <si>
    <t>SOFRUVER S.A</t>
  </si>
  <si>
    <t>804014806 - 7</t>
  </si>
  <si>
    <t>(57) (7) 6761521</t>
  </si>
  <si>
    <t> sofruver@une.net.co</t>
  </si>
  <si>
    <t>83200561- 7</t>
  </si>
  <si>
    <t>WILMAR AMBROSIO - SANDRA MILENA NOVOA</t>
  </si>
  <si>
    <t>ADMON CALLE 100 - GERENTE DE COMPRAS</t>
  </si>
  <si>
    <t>6207736 - 3507999801</t>
  </si>
  <si>
    <t>gtecompras@surtifruver.com</t>
  </si>
  <si>
    <t>THE FIRSTH FRUIT</t>
  </si>
  <si>
    <t>451 46 45 - 3203007017- 3213444302</t>
  </si>
  <si>
    <t>info@thefirstfruitsas.com</t>
  </si>
  <si>
    <t>TROPIC FRUITS S.A.</t>
  </si>
  <si>
    <t xml:space="preserve">PEDRO OSVALDO BECERRA NIÑO - WENDY GISSELL GARCIA </t>
  </si>
  <si>
    <t>GERENTE GENERAL - AUXILIAR CONTABLE</t>
  </si>
  <si>
    <t>3165215816 - 485 7072 - 321 746 2806</t>
  </si>
  <si>
    <t>tropicfruits2012@hotmail.com</t>
  </si>
  <si>
    <t>TROPIC SAS</t>
  </si>
  <si>
    <t>JHON JAIRO UPEGUI</t>
  </si>
  <si>
    <t> 4924945</t>
  </si>
  <si>
    <t>dolecolombia@gmail.com</t>
  </si>
  <si>
    <t>891300830 - 7</t>
  </si>
  <si>
    <t>OLGA RAMIREZ</t>
  </si>
  <si>
    <t>3122956395 - 4521619 - 3702088 - 2493181</t>
  </si>
  <si>
    <t> logistica@vigomez.com - asesor11@vigomez.com</t>
  </si>
  <si>
    <t>Muestra para cada una de las instituciones educativas el estimado de suministro diario requerido para primera y segunda entrega.</t>
  </si>
  <si>
    <t>Consolida las frecuencias de cada menú, a partir de la simulación de la rotación efectuada en la Tabla CAL_CALENDARIO_CICLOS,  de la misma manera consolidad los volúmenes de suministro estimados para la vigencia 2017.</t>
  </si>
  <si>
    <t>COT_VALOR_UNITARIO_CONIVA</t>
  </si>
  <si>
    <t>COT_VALOR_UNITARIO_SINIVA</t>
  </si>
  <si>
    <t>COT_VALORES_PONDERADOS_CONIVA</t>
  </si>
  <si>
    <t>COT_VALORES_PONDERADOS_SINIVA</t>
  </si>
  <si>
    <t>MNU_COSTO_GRAMO_TIPOA_CONIVA</t>
  </si>
  <si>
    <t>MNU_COSTO_GRAMO_TIPOA_SINIVA</t>
  </si>
  <si>
    <t>MNU_COSTO_GRAMO_TIPOB_CONIVA</t>
  </si>
  <si>
    <t>MNU_COSTO_GRAMO_TIPOB_SINIVA</t>
  </si>
  <si>
    <t>MNU_COSTO_GRAMO_TIPOC_CONIVA</t>
  </si>
  <si>
    <t>MNU_COSTO_GRAMO_TIPOC_SINIVA</t>
  </si>
  <si>
    <t>MNU_COSTO_GRAMO_TIPOH_CONIVA</t>
  </si>
  <si>
    <t>MNU_COSTO_GRAMO_TIPOH_SINIVA</t>
  </si>
  <si>
    <t>MNU_COSTO_GRAMO_TIPOM_CONIVA</t>
  </si>
  <si>
    <t>MNU_COSTO_GRAMO_TIPOM_SINIVA</t>
  </si>
  <si>
    <t>MNU_COSTO_TOTAL_CONIVA</t>
  </si>
  <si>
    <t>MNU_COSTO_TOTAL_SINIVA</t>
  </si>
  <si>
    <t>MNU_COSTO_TOTAL_TIPOA_CONIVA</t>
  </si>
  <si>
    <t>MNU_COSTO_TOTAL_TIPOA_SELECCIONADO</t>
  </si>
  <si>
    <t>MNU_COSTO_TOTAL_TIPOA_SINIVA</t>
  </si>
  <si>
    <t>MNU_COSTO_TOTAL_TIPOB_CONIVA</t>
  </si>
  <si>
    <t>MNU_COSTO_TOTAL_TIPOB_SELECCIONADO</t>
  </si>
  <si>
    <t>MNU_COSTO_TOTAL_TIPOB_SINIVA</t>
  </si>
  <si>
    <t>MNU_COSTO_TOTAL_TIPOC_CONIVA</t>
  </si>
  <si>
    <t>MNU_COSTO_TOTAL_TIPOC_SELECCIONADO</t>
  </si>
  <si>
    <t>MNU_COSTO_TOTAL_TIPOC_SINIVA</t>
  </si>
  <si>
    <t>MNU_COSTO_TOTAL_TIPOH_CONIVA</t>
  </si>
  <si>
    <t>MNU_COSTO_TOTAL_TIPOH_SELECCIONADO</t>
  </si>
  <si>
    <t>MNU_COSTO_TOTAL_TIPOH_SINIVA</t>
  </si>
  <si>
    <t>MNU_COSTO_TOTAL_TIPOM_CONIVA</t>
  </si>
  <si>
    <t>MNU_COSTO_TOTAL_TIPOM_SELECCIONADO</t>
  </si>
  <si>
    <t>MNU_COSTO_TOTAL_TIPOM_SINIVA</t>
  </si>
  <si>
    <t>MNU_COSTO_UNITARIO_TIPOA_CONIVA</t>
  </si>
  <si>
    <t>MNU_COSTO_UNITARIO_TIPOA_SELECCIONADO</t>
  </si>
  <si>
    <t>MNU_COSTO_UNITARIO_TIPOA_SINIVA</t>
  </si>
  <si>
    <t>MNU_COSTO_UNITARIO_TIPOB_CONIVA</t>
  </si>
  <si>
    <t>MNU_COSTO_UNITARIO_TIPOB_SELECCIONADO</t>
  </si>
  <si>
    <t>MNU_COSTO_UNITARIO_TIPOB_SINIVA</t>
  </si>
  <si>
    <t>MNU_COSTO_UNITARIO_TIPOC_CONIVA</t>
  </si>
  <si>
    <t>MNU_COSTO_UNITARIO_TIPOC_SELECCIONADO</t>
  </si>
  <si>
    <t>MNU_COSTO_UNITARIO_TIPOC_SINIVA</t>
  </si>
  <si>
    <t>MNU_COSTO_UNITARIO_TIPOH_CONIVA</t>
  </si>
  <si>
    <t>MNU_COSTO_UNITARIO_TIPOH_SELECCIONADO</t>
  </si>
  <si>
    <t>MNU_COSTO_UNITARIO_TIPOH_SINIVA</t>
  </si>
  <si>
    <t>MNU_COSTO_UNITARIO_TIPOM_CONIVA</t>
  </si>
  <si>
    <t>MNU_COSTO_UNITARIO_TIPOM_SELECCIONADO</t>
  </si>
  <si>
    <t>MNU_COSTO_UNITARIO_TIPOM_SINIVA</t>
  </si>
  <si>
    <t>MNU_GRAMAJE_REQUERIDO_TIPOA</t>
  </si>
  <si>
    <t>MNU_GRAMAJE_REQUERIDO_TIPOB</t>
  </si>
  <si>
    <t>MNU_GRAMAJE_REQUERIDO_TIPOC</t>
  </si>
  <si>
    <t>MNU_GRAMAJE_REQUERIDO_TIPOH</t>
  </si>
  <si>
    <t>MNU_GRAMAJE_REQUERIDO_TIPOM</t>
  </si>
  <si>
    <t>CAL_CALENDARIO_CICLOS!$F$18:$F$321</t>
  </si>
  <si>
    <t>CAL_CALENDARIO_CICLOS!$K$18:$K$321</t>
  </si>
  <si>
    <t>CAL_CALENDARIO_CICLOS!$J$18:$J$321</t>
  </si>
  <si>
    <t>CAL_CALENDARIO_CICLOS!$H$18:$H$321</t>
  </si>
  <si>
    <t>CAL_CALENDARIO_CICLOS!$I$18:$I$321</t>
  </si>
  <si>
    <t>CAL_CALENDARIO_CICLOS!$O$18:$O$321</t>
  </si>
  <si>
    <t>CAL_CALENDARIO_CICLOS!$P$18:$P$321</t>
  </si>
  <si>
    <t>CAL_CALENDARIO_CICLOS!$M$18:$M$321</t>
  </si>
  <si>
    <t>CAL_CALENDARIO_CICLOS!$N$18:$N$321</t>
  </si>
  <si>
    <t>COSTPE_A_ALIMENTOS!$A$35:$A$94</t>
  </si>
  <si>
    <t>COSTPE_A_ALIMENTOS!$AP$35:$AP$94</t>
  </si>
  <si>
    <t>COSTPE_A_ALIMENTOS!$AQ$35:$AQ$94</t>
  </si>
  <si>
    <t>COSTPE_A_ALIMENTOS!$AR$35:$AR$94</t>
  </si>
  <si>
    <t>COSTPE_A_ALIMENTOS!$AT$35:$AT$94</t>
  </si>
  <si>
    <t>COSTPE_A_ALIMENTOS!$AS$35:$AS$94</t>
  </si>
  <si>
    <t>COSTSE_A_ALIMENTOS!$A$31:$A$77</t>
  </si>
  <si>
    <t>COSTSE_A_ALIMENTOS!$AD$31:$AD$77</t>
  </si>
  <si>
    <t>COSTSE_A_ALIMENTOS!$AE$31:$AE$77</t>
  </si>
  <si>
    <t>COSTSE_A_ALIMENTOS!$AF$31:$AF$77</t>
  </si>
  <si>
    <t>COT_BASE_COTIZACIONES!$I$15:$M$2355</t>
  </si>
  <si>
    <t>COT_BASE_COTIZACIONES!$I$14:$I$2355</t>
  </si>
  <si>
    <t>COT_BASE_COTIZACIONES!$I$14:$AE$2355</t>
  </si>
  <si>
    <t>COT_BASE_COTIZACIONES!$AC$14:$AC$2355</t>
  </si>
  <si>
    <t>COT_PRECALCULOS!$D$29:$AC$1026</t>
  </si>
  <si>
    <t>COT_PRECALCULOS!$D$29:$D$1026</t>
  </si>
  <si>
    <t>COT_PRECALCULOS!$AD$2:$AD$8</t>
  </si>
  <si>
    <t>COT_BASE_COTIZACIONES!$AB$14:$AB$2355</t>
  </si>
  <si>
    <t>COT_BASE_COTIZACIONES!$AA$14:$AA$2355</t>
  </si>
  <si>
    <t>COT_BASE_COTIZACIONES!$AE$14:$AE$2355</t>
  </si>
  <si>
    <t>COT_BASE_COTIZACIONES!$AD$14:$AD$2355</t>
  </si>
  <si>
    <t>FRE_FRECUENCIAS!$G$13:$O$22</t>
  </si>
  <si>
    <t>FRE_FRECUENCIAS!$B$47:$C$62</t>
  </si>
  <si>
    <t>FRE_FRECUENCIAS!$B$14:$C$46</t>
  </si>
  <si>
    <t>MNU_BD_MENUS!$J$12:$L$466</t>
  </si>
  <si>
    <t>MNU_BD_MENUS!$BC$12:$BC$466</t>
  </si>
  <si>
    <t>MNU_BD_MENUS!$AY$12:$AY$466</t>
  </si>
  <si>
    <t>MNU_BD_MENUS!$AZ$12:$AZ$466</t>
  </si>
  <si>
    <t>MNU_BD_MENUS!$BA$12:$BA$466</t>
  </si>
  <si>
    <t>MNU_BD_MENUS!$BB$12:$BB$466</t>
  </si>
  <si>
    <t>MNU_BD_MENUS!$BH$12:$BH$466</t>
  </si>
  <si>
    <t>MNU_BD_MENUS!$BG$12:$BG$466</t>
  </si>
  <si>
    <t>MNU_BD_MENUS!$J$12:$J$466</t>
  </si>
  <si>
    <t>MNU_BD_MENUS!$D$12:$D$466</t>
  </si>
  <si>
    <t>MNU_BD_MENUS!$BQ$12:$BQ$466</t>
  </si>
  <si>
    <t>MNU_BD_MENUS!$BL$12:$BL$466</t>
  </si>
  <si>
    <t>MNU_BD_MENUS!$BR$12:$BR$466</t>
  </si>
  <si>
    <t>MNU_BD_MENUS!$BM$12:$BM$466</t>
  </si>
  <si>
    <t>MNU_BD_MENUS!$BS$12:$BS$466</t>
  </si>
  <si>
    <t>MNU_BD_MENUS!$BN$12:$BN$466</t>
  </si>
  <si>
    <t>MNU_BD_MENUS!$BU$12:$BU$466</t>
  </si>
  <si>
    <t>MNU_BD_MENUS!$BP$12:$BP$466</t>
  </si>
  <si>
    <t>MNU_BD_MENUS!$BT$12:$BT$466</t>
  </si>
  <si>
    <t>MNU_BD_MENUS!$BO$12:$BO$466</t>
  </si>
  <si>
    <t>MNU_BD_MENUS!$CQ$12:$CQ$466</t>
  </si>
  <si>
    <t>MNU_BD_MENUS!$CK$12:$CK$466</t>
  </si>
  <si>
    <t>MNU_BD_MENUS!$CL$12:$CL$466</t>
  </si>
  <si>
    <t>MNU_BD_MENUS!$CW$12:$CW$466</t>
  </si>
  <si>
    <t>MNU_BD_MENUS!$CF$12:$CF$466</t>
  </si>
  <si>
    <t>MNU_BD_MENUS!$CM$12:$CM$466</t>
  </si>
  <si>
    <t>MNU_BD_MENUS!$CX$12:$CX$466</t>
  </si>
  <si>
    <t>MNU_BD_MENUS!$CG$12:$CG$466</t>
  </si>
  <si>
    <t>MNU_BD_MENUS!$CN$12:$CN$466</t>
  </si>
  <si>
    <t>MNU_BD_MENUS!$CY$12:$CY$466</t>
  </si>
  <si>
    <t>MNU_BD_MENUS!$CH$12:$CH$466</t>
  </si>
  <si>
    <t>MNU_BD_MENUS!$CP$12:$CP$466</t>
  </si>
  <si>
    <t>MNU_BD_MENUS!$DA$12:$DA$466</t>
  </si>
  <si>
    <t>MNU_BD_MENUS!$CJ$12:$CJ$466</t>
  </si>
  <si>
    <t>MNU_BD_MENUS!$CO$12:$CO$466</t>
  </si>
  <si>
    <t>MNU_BD_MENUS!$CZ$12:$CZ$466</t>
  </si>
  <si>
    <t>MNU_BD_MENUS!$CI$12:$CI$466</t>
  </si>
  <si>
    <t>MNU_BD_MENUS!$CA$12:$CA$466</t>
  </si>
  <si>
    <t>MNU_BD_MENUS!$CR$12:$CR$466</t>
  </si>
  <si>
    <t>MNU_BD_MENUS!$BV$12:$BV$466</t>
  </si>
  <si>
    <t>MNU_BD_MENUS!$CB$12:$CB$466</t>
  </si>
  <si>
    <t>MNU_BD_MENUS!$CS$12:$CS$466</t>
  </si>
  <si>
    <t>MNU_BD_MENUS!$BW$12:$BW$466</t>
  </si>
  <si>
    <t>MNU_BD_MENUS!$CC$12:$CC$466</t>
  </si>
  <si>
    <t>MNU_BD_MENUS!$CT$12:$CT$466</t>
  </si>
  <si>
    <t>MNU_BD_MENUS!$BX$12:$BX$466</t>
  </si>
  <si>
    <t>MNU_BD_MENUS!$CE$12:$CE$466</t>
  </si>
  <si>
    <t>MNU_BD_MENUS!$CV$12:$CV$466</t>
  </si>
  <si>
    <t>MNU_BD_MENUS!$BZ$12:$BZ$466</t>
  </si>
  <si>
    <t>MNU_BD_MENUS!$CD$12:$CD$466</t>
  </si>
  <si>
    <t>MNU_BD_MENUS!$CU$12:$CU$466</t>
  </si>
  <si>
    <t>MNU_BD_MENUS!$BY$12:$BY$466</t>
  </si>
  <si>
    <t>MNU_BD_MENUS!$BJ$12:$BJ$466</t>
  </si>
  <si>
    <t>MNU_BD_MENUS!$BI$12:$BI$466</t>
  </si>
  <si>
    <t>MNU_BD_MENUS!$BF$12:$BF$466</t>
  </si>
  <si>
    <t>MNU_BD_MENUS!$BE$12:$BE$466</t>
  </si>
  <si>
    <t>MNU_BD_MENUS!$Z$12:$Z$466</t>
  </si>
  <si>
    <t>MNU_BD_MENUS!$S$12:$S$466</t>
  </si>
  <si>
    <t>MNU_BD_MENUS!$M$12:$M$466</t>
  </si>
  <si>
    <t>MNU_BD_MENUS!$N$12:$N$466</t>
  </si>
  <si>
    <t>MNU_BD_MENUS!$O$12:$O$466</t>
  </si>
  <si>
    <t>MNU_BD_MENUS!$Q$12:$Q$466</t>
  </si>
  <si>
    <t>MNU_BD_MENUS!$P$12:$P$466</t>
  </si>
  <si>
    <t>MNU_BD_MENUS!$C$12:$C$466</t>
  </si>
  <si>
    <t>MNU_BD_MENUS!$AS$12:$AS$466</t>
  </si>
  <si>
    <t>MNU_BD_MENUS!$AK$12:$AK$466</t>
  </si>
  <si>
    <t>MNU_BD_MENUS!$BK$12:$BK$466</t>
  </si>
  <si>
    <t>MNU_BD_MENUS!$G$12:$G$466</t>
  </si>
  <si>
    <t>MNU_BD_MENUS!$AR$12:$AR$466</t>
  </si>
  <si>
    <t>MNU_BD_MENUS!$AE$12:$AE$466</t>
  </si>
  <si>
    <t>MNU_BD_MENUS!$AF$12:$AF$466</t>
  </si>
  <si>
    <t>MNU_BD_MENUS!$AG$12:$AG$466</t>
  </si>
  <si>
    <t>MNU_BD_MENUS!$AI$12:$AI$466</t>
  </si>
  <si>
    <t>MNU_BD_MENUS!$AH$12:$AH$466</t>
  </si>
  <si>
    <t>PRESENTACIÓN OFERTADA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</si>
  <si>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primera entrega.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</si>
  <si>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segunda entrega.</t>
  </si>
  <si>
    <t>Consolidado de proveedores clasificados según la categoría de alimentos del acuerdo marco de precios.</t>
  </si>
  <si>
    <t>ENERO</t>
  </si>
  <si>
    <t>PE5 - FESTIVO</t>
  </si>
  <si>
    <t>PE15- DIA DEL TRABAJO</t>
  </si>
  <si>
    <t>PE7 - FESTIVO</t>
  </si>
  <si>
    <t>Columna2</t>
  </si>
  <si>
    <t>Grupo</t>
  </si>
  <si>
    <t>FRECUENCIA LAV
TIPOA</t>
  </si>
  <si>
    <t>FRECUENCIA LAV
TIPOB</t>
  </si>
  <si>
    <t>FRECUENCIA LAV
TIPOC</t>
  </si>
  <si>
    <t>FRECUENCIA LAV
TIPOM</t>
  </si>
  <si>
    <t>FRECUENCIA LAV
TIPOH</t>
  </si>
  <si>
    <t>VALOR TOTAL TIPOM</t>
  </si>
  <si>
    <t>VALOR TOTAL CATEGORIA/ GRUPO</t>
  </si>
  <si>
    <t>SE14 - FESTIVO</t>
  </si>
  <si>
    <t>FRECUENCIA FDS TIPOA</t>
  </si>
  <si>
    <t>FRECUENCIA FDS TIPOB</t>
  </si>
  <si>
    <t>FRECUENCIA FDS TIPOC</t>
  </si>
  <si>
    <t>FRECUENCIAS POR ALIMENTO PARA LOS FINES DE SEMANA</t>
  </si>
  <si>
    <t>FRECUENCIAS POR ALIMENTO PARA LUNES A VIERNES</t>
  </si>
  <si>
    <t xml:space="preserve">Gramaje Requerido 
</t>
  </si>
  <si>
    <t xml:space="preserve">Gramaje Requerido </t>
  </si>
  <si>
    <t>PE4_8</t>
  </si>
  <si>
    <t>PE9_8</t>
  </si>
  <si>
    <t>PE4_7</t>
  </si>
  <si>
    <t>PE12_8</t>
  </si>
  <si>
    <t>PE13_7</t>
  </si>
  <si>
    <t>E2_69</t>
  </si>
  <si>
    <t>E3_46</t>
  </si>
  <si>
    <t>PE6_59</t>
  </si>
  <si>
    <t>PE11_59</t>
  </si>
  <si>
    <t>PE2_36</t>
  </si>
  <si>
    <t>PE11_36</t>
  </si>
  <si>
    <t>PE11_58</t>
  </si>
  <si>
    <t>PE11_69</t>
  </si>
  <si>
    <t>PE13_70</t>
  </si>
  <si>
    <t>PE9_17</t>
  </si>
  <si>
    <t>PE13_33</t>
  </si>
  <si>
    <t>PE1_46</t>
  </si>
  <si>
    <t>PE3_17</t>
  </si>
  <si>
    <t>PE6_33</t>
  </si>
  <si>
    <t>PE11_42</t>
  </si>
  <si>
    <t>PE3_22</t>
  </si>
  <si>
    <t>PE7_42</t>
  </si>
  <si>
    <t>PE6_58</t>
  </si>
  <si>
    <t>PE1_22</t>
  </si>
  <si>
    <t>PE2_33</t>
  </si>
  <si>
    <t>PE7_43</t>
  </si>
  <si>
    <t>PE9_46</t>
  </si>
  <si>
    <t>SE12_8</t>
  </si>
  <si>
    <t>SE9_59</t>
  </si>
  <si>
    <t>SE15_36</t>
  </si>
  <si>
    <t>SE5_70</t>
  </si>
  <si>
    <t>SE13_33</t>
  </si>
  <si>
    <t>SE2_69</t>
  </si>
  <si>
    <t>SE4_46</t>
  </si>
  <si>
    <t>SE1_58</t>
  </si>
  <si>
    <t>SE9_69</t>
  </si>
  <si>
    <t>SE6_70</t>
  </si>
  <si>
    <t>SE14_33</t>
  </si>
  <si>
    <t>SE6_33</t>
  </si>
  <si>
    <t>SE15_69</t>
  </si>
  <si>
    <t>SE3_43</t>
  </si>
  <si>
    <t>NOTAS : El total de Dias Calendario escolar son 259 solo de lunes a viernes, para el periodo comprendido entre el 1 de Marzo de 2017 a 30 de junio de 2018.</t>
  </si>
  <si>
    <t>El numero de Sabados Proyectado para entrega de refrigerio en la Segunda Entrega corresponde a 53</t>
  </si>
  <si>
    <t>Frecuencia
Lunes a Viernes</t>
  </si>
  <si>
    <t>Segmento</t>
  </si>
  <si>
    <t>Categoría Acuerdo Marco De Precios</t>
  </si>
  <si>
    <t>Volumen Estimado Diario</t>
  </si>
  <si>
    <t>Volumen Estimado Total</t>
  </si>
  <si>
    <t>Frecuencia
Fin de Semana</t>
  </si>
  <si>
    <t>Gramaje Requerido</t>
  </si>
  <si>
    <t>Volumen Estimado Diario Lunes a Viernes</t>
  </si>
  <si>
    <t>Volumen Estimado Diario Fin de Semana</t>
  </si>
  <si>
    <t>Volumen Estimado Total Segunda Entrega</t>
  </si>
  <si>
    <t>Volumen Estimado Total Primera Entrega</t>
  </si>
  <si>
    <t>VALOR TOTAL CATEGORIA ALIMENTOS</t>
  </si>
  <si>
    <t>VALOR SEGMENTO</t>
  </si>
  <si>
    <t>NUMERO DE SALARIOS MINIMOS</t>
  </si>
  <si>
    <t>VALOR TOTAL CATEGORIA PRIMERA  ENTREGA</t>
  </si>
  <si>
    <t xml:space="preserve">SEGUNDA ENTREGA </t>
  </si>
  <si>
    <t>Valor Unitario Estampillas e Impuestos</t>
  </si>
  <si>
    <t>Valor Unitario Polizas Y Garantia</t>
  </si>
  <si>
    <t>Valor Unitario
Producto</t>
  </si>
  <si>
    <t>Valor Unitario
Producto+ Impuestos + Polizas</t>
  </si>
  <si>
    <t>Costo Total Suministro
Antes de Impuestos y Polizas</t>
  </si>
  <si>
    <t>Costo Total Suministro
+ Impuestos y Polizas</t>
  </si>
  <si>
    <t>Costo Total Suministro
Antes de Impuestos</t>
  </si>
  <si>
    <t>VALOR TOTAL 
TIPOA</t>
  </si>
  <si>
    <t>VALOR TOTAL
 TIPOB</t>
  </si>
  <si>
    <t>VALOR TOTAL 
TIPOC</t>
  </si>
  <si>
    <t>VALOR TOTAL 
TIPOH</t>
  </si>
  <si>
    <t>VALOR TOTAL 
TIPOB</t>
  </si>
  <si>
    <t>Volumen Total Estimado</t>
  </si>
  <si>
    <t>Costo Total Suministro
Primera Entrega</t>
  </si>
  <si>
    <t xml:space="preserve">Costo Total Suministro
</t>
  </si>
  <si>
    <t>Costo Total Suministro
Segunda Entrega</t>
  </si>
  <si>
    <t xml:space="preserve">Valor Total Suministro Año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</si>
</sst>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&quot;$&quot;#,##0;[Red]\-&quot;$&quot;#,##0"/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&quot;$&quot;#,##0.00"/>
    <numFmt numFmtId="166" formatCode="_-* #,##0.00\ _€_-;\-* #,##0.00\ _€_-;_-* &quot;-&quot;??\ _€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 * #,##0.00_ ;_ * \-#,##0.00_ ;_ * &quot;-&quot;??_ ;_ @_ "/>
    <numFmt numFmtId="170" formatCode="[$-F800]dddd\,\ mmmm\ dd\,\ yyyy"/>
    <numFmt numFmtId="171" formatCode="#,##0_ ;[Red]\-#,##0\ "/>
    <numFmt numFmtId="172" formatCode="_-* #,##0.00\ &quot;€&quot;_-;\-* #,##0.00\ &quot;€&quot;_-;_-* &quot;-&quot;??\ &quot;€&quot;_-;_-@_-"/>
    <numFmt numFmtId="173" formatCode="_ [$€-2]\ * #,##0.00_ ;_ [$€-2]\ * \-#,##0.00_ ;_ [$€-2]\ * &quot;-&quot;??_ "/>
    <numFmt numFmtId="174" formatCode="_(&quot;$&quot;\ * #,##0_);_(&quot;$&quot;\ * \(#,##0\);_(&quot;$&quot;\ * &quot;-&quot;??_);_(@_)"/>
    <numFmt numFmtId="175" formatCode="_([$€]\ * #,##0.00_);_([$€]\ * \(#,##0.00\);_([$€]\ * &quot;-&quot;??_);_(@_)"/>
    <numFmt numFmtId="176" formatCode="&quot;$&quot;#,##0"/>
    <numFmt numFmtId="177" formatCode="&quot; IPC ALIMENTOS &quot;\ 0.00%"/>
    <numFmt numFmtId="178" formatCode="&quot;VALOR TOTAL PRESUPUESTO : &quot;\ &quot;$&quot;#,##0;[Red]\-&quot;$&quot;#,##0"/>
    <numFmt numFmtId="179" formatCode="_ * #,##0_ ;_ * \-#,##0_ ;_ * &quot;-&quot;??_ ;_ @_ "/>
    <numFmt numFmtId="180" formatCode="0\ &quot;días&quot;"/>
    <numFmt numFmtId="181" formatCode="&quot;$&quot;#,##0.00000;[Red]\-&quot;$&quot;#,##0.00000"/>
    <numFmt numFmtId="182" formatCode="#,##0.0000"/>
    <numFmt numFmtId="183" formatCode="&quot;1&quot;"/>
    <numFmt numFmtId="184" formatCode="dd\ mmmm\ e\ "/>
    <numFmt numFmtId="185" formatCode="&quot;Valor SMMV&quot;\ &quot;$&quot;#,###"/>
    <numFmt numFmtId="186" formatCode="#,##0.00_ ;[Red]\-#,##0.00\ "/>
  </numFmts>
  <fonts count="82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8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12"/>
      <color theme="0"/>
      <name val="Century Gothic"/>
      <family val="2"/>
    </font>
    <font>
      <sz val="8"/>
      <color theme="0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Zurich BT"/>
    </font>
    <font>
      <sz val="8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4"/>
      <color theme="1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u/>
      <sz val="16"/>
      <color theme="10"/>
      <name val="Century Gothic"/>
      <family val="2"/>
    </font>
    <font>
      <u/>
      <sz val="10"/>
      <color theme="10"/>
      <name val="Century Gothic"/>
      <family val="2"/>
    </font>
    <font>
      <sz val="12"/>
      <color theme="8" tint="-0.499984740745262"/>
      <name val="Century Gothic"/>
      <family val="2"/>
    </font>
    <font>
      <b/>
      <sz val="16"/>
      <color theme="8" tint="-0.499984740745262"/>
      <name val="Century Gothic"/>
      <family val="2"/>
    </font>
    <font>
      <sz val="10"/>
      <color theme="8" tint="-0.499984740745262"/>
      <name val="Century Gothic"/>
      <family val="2"/>
    </font>
    <font>
      <b/>
      <sz val="18"/>
      <color theme="8" tint="-0.499984740745262"/>
      <name val="Century Gothic"/>
      <family val="2"/>
    </font>
    <font>
      <b/>
      <sz val="14"/>
      <color theme="8" tint="-0.499984740745262"/>
      <name val="Century Gothic"/>
      <family val="2"/>
    </font>
    <font>
      <sz val="14"/>
      <color theme="8" tint="-0.499984740745262"/>
      <name val="Century Gothic"/>
      <family val="2"/>
    </font>
    <font>
      <sz val="8"/>
      <color theme="8" tint="-0.499984740745262"/>
      <name val="Century Gothic"/>
      <family val="2"/>
    </font>
    <font>
      <sz val="9"/>
      <color theme="8" tint="-0.499984740745262"/>
      <name val="Century Gothic"/>
      <family val="2"/>
    </font>
    <font>
      <b/>
      <sz val="8"/>
      <color theme="8" tint="-0.499984740745262"/>
      <name val="Century Gothic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b/>
      <sz val="16"/>
      <color theme="0"/>
      <name val="Century Gothic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entury Gothic"/>
      <family val="2"/>
    </font>
    <font>
      <b/>
      <sz val="14"/>
      <color theme="2" tint="-0.499984740745262"/>
      <name val="Century Gothic"/>
      <family val="2"/>
    </font>
    <font>
      <b/>
      <sz val="11"/>
      <color rgb="FFFF0000"/>
      <name val="Century Gothic"/>
      <family val="2"/>
    </font>
    <font>
      <b/>
      <sz val="12"/>
      <color theme="8" tint="-0.499984740745262"/>
      <name val="Century Gothic"/>
      <family val="2"/>
    </font>
    <font>
      <sz val="12"/>
      <color theme="1"/>
      <name val="Calibri"/>
      <family val="2"/>
      <scheme val="minor"/>
    </font>
    <font>
      <sz val="11"/>
      <color rgb="FF006100"/>
      <name val="Century Gothic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entury Gothic"/>
      <family val="2"/>
    </font>
  </fonts>
  <fills count="7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58987"/>
        <bgColor indexed="64"/>
      </patternFill>
    </fill>
    <fill>
      <patternFill patternType="solid">
        <fgColor rgb="FFFF826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AF3D6"/>
        <bgColor indexed="64"/>
      </patternFill>
    </fill>
    <fill>
      <patternFill patternType="solid">
        <fgColor rgb="FFC6EFCE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34998626667073579"/>
      </left>
      <right/>
      <top style="medium">
        <color theme="0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4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</borders>
  <cellStyleXfs count="500">
    <xf numFmtId="0" fontId="0" fillId="0" borderId="0"/>
    <xf numFmtId="0" fontId="13" fillId="0" borderId="0"/>
    <xf numFmtId="0" fontId="19" fillId="0" borderId="0"/>
    <xf numFmtId="0" fontId="24" fillId="0" borderId="0"/>
    <xf numFmtId="0" fontId="27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0" fontId="28" fillId="0" borderId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3" fillId="0" borderId="0"/>
    <xf numFmtId="0" fontId="19" fillId="0" borderId="0"/>
    <xf numFmtId="0" fontId="19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8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4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19" fillId="0" borderId="0" applyFont="0" applyFill="0" applyBorder="0" applyAlignment="0" applyProtection="0"/>
    <xf numFmtId="174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4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168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/>
    <xf numFmtId="42" fontId="36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0" fontId="19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9" fillId="0" borderId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22" applyNumberFormat="0" applyFill="0" applyAlignment="0" applyProtection="0"/>
    <xf numFmtId="0" fontId="40" fillId="0" borderId="23" applyNumberFormat="0" applyFill="0" applyAlignment="0" applyProtection="0"/>
    <xf numFmtId="0" fontId="40" fillId="0" borderId="0" applyNumberFormat="0" applyFill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3" fillId="29" borderId="24" applyNumberFormat="0" applyAlignment="0" applyProtection="0"/>
    <xf numFmtId="0" fontId="44" fillId="30" borderId="25" applyNumberFormat="0" applyAlignment="0" applyProtection="0"/>
    <xf numFmtId="0" fontId="45" fillId="30" borderId="24" applyNumberFormat="0" applyAlignment="0" applyProtection="0"/>
    <xf numFmtId="0" fontId="46" fillId="0" borderId="26" applyNumberFormat="0" applyFill="0" applyAlignment="0" applyProtection="0"/>
    <xf numFmtId="0" fontId="47" fillId="31" borderId="27" applyNumberFormat="0" applyAlignment="0" applyProtection="0"/>
    <xf numFmtId="0" fontId="48" fillId="0" borderId="0" applyNumberFormat="0" applyFill="0" applyBorder="0" applyAlignment="0" applyProtection="0"/>
    <xf numFmtId="0" fontId="19" fillId="32" borderId="28" applyNumberFormat="0" applyFont="0" applyAlignment="0" applyProtection="0"/>
    <xf numFmtId="0" fontId="49" fillId="0" borderId="0" applyNumberFormat="0" applyFill="0" applyBorder="0" applyAlignment="0" applyProtection="0"/>
    <xf numFmtId="0" fontId="32" fillId="0" borderId="29" applyNumberFormat="0" applyFill="0" applyAlignment="0" applyProtection="0"/>
    <xf numFmtId="0" fontId="37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37" fillId="56" borderId="0" applyNumberFormat="0" applyBorder="0" applyAlignment="0" applyProtection="0"/>
    <xf numFmtId="168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2" borderId="0" applyNumberFormat="0" applyBorder="0" applyAlignment="0" applyProtection="0"/>
    <xf numFmtId="0" fontId="53" fillId="65" borderId="0" applyNumberFormat="0" applyBorder="0" applyAlignment="0" applyProtection="0"/>
    <xf numFmtId="0" fontId="54" fillId="63" borderId="0" applyNumberFormat="0" applyBorder="0" applyAlignment="0" applyProtection="0"/>
    <xf numFmtId="0" fontId="53" fillId="60" borderId="0" applyNumberFormat="0" applyBorder="0" applyAlignment="0" applyProtection="0"/>
    <xf numFmtId="0" fontId="53" fillId="63" borderId="0" applyNumberFormat="0" applyBorder="0" applyAlignment="0" applyProtection="0"/>
    <xf numFmtId="0" fontId="54" fillId="63" borderId="0" applyNumberFormat="0" applyBorder="0" applyAlignment="0" applyProtection="0"/>
    <xf numFmtId="0" fontId="53" fillId="66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7" borderId="0" applyNumberFormat="0" applyBorder="0" applyAlignment="0" applyProtection="0"/>
    <xf numFmtId="0" fontId="54" fillId="67" borderId="0" applyNumberFormat="0" applyBorder="0" applyAlignment="0" applyProtection="0"/>
    <xf numFmtId="175" fontId="13" fillId="0" borderId="0" applyFont="0" applyFill="0" applyBorder="0" applyAlignment="0" applyProtection="0"/>
    <xf numFmtId="0" fontId="13" fillId="0" borderId="0"/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67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8" fillId="71" borderId="0" applyNumberFormat="0" applyBorder="0" applyAlignment="0" applyProtection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</cellStyleXfs>
  <cellXfs count="55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8" fillId="9" borderId="10" xfId="0" applyFont="1" applyFill="1" applyBorder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8" fillId="9" borderId="12" xfId="0" applyFont="1" applyFill="1" applyBorder="1"/>
    <xf numFmtId="0" fontId="8" fillId="9" borderId="8" xfId="0" applyFont="1" applyFill="1" applyBorder="1"/>
    <xf numFmtId="0" fontId="5" fillId="9" borderId="0" xfId="0" applyFont="1" applyFill="1" applyBorder="1"/>
    <xf numFmtId="0" fontId="8" fillId="9" borderId="13" xfId="0" applyFont="1" applyFill="1" applyBorder="1"/>
    <xf numFmtId="0" fontId="8" fillId="9" borderId="14" xfId="0" applyFont="1" applyFill="1" applyBorder="1"/>
    <xf numFmtId="0" fontId="5" fillId="9" borderId="14" xfId="0" applyFont="1" applyFill="1" applyBorder="1"/>
    <xf numFmtId="0" fontId="5" fillId="9" borderId="15" xfId="0" applyFont="1" applyFill="1" applyBorder="1"/>
    <xf numFmtId="0" fontId="8" fillId="9" borderId="16" xfId="0" applyFont="1" applyFill="1" applyBorder="1"/>
    <xf numFmtId="0" fontId="5" fillId="9" borderId="17" xfId="0" applyFont="1" applyFill="1" applyBorder="1"/>
    <xf numFmtId="0" fontId="5" fillId="9" borderId="18" xfId="0" applyFont="1" applyFill="1" applyBorder="1"/>
    <xf numFmtId="0" fontId="5" fillId="9" borderId="19" xfId="0" applyFont="1" applyFill="1" applyBorder="1"/>
    <xf numFmtId="0" fontId="5" fillId="0" borderId="20" xfId="0" applyFont="1" applyBorder="1"/>
    <xf numFmtId="0" fontId="5" fillId="9" borderId="19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/>
    <xf numFmtId="0" fontId="8" fillId="9" borderId="15" xfId="0" applyFont="1" applyFill="1" applyBorder="1"/>
    <xf numFmtId="0" fontId="8" fillId="9" borderId="17" xfId="0" applyFont="1" applyFill="1" applyBorder="1"/>
    <xf numFmtId="0" fontId="8" fillId="9" borderId="18" xfId="0" applyFont="1" applyFill="1" applyBorder="1"/>
    <xf numFmtId="0" fontId="8" fillId="9" borderId="19" xfId="0" applyFont="1" applyFill="1" applyBorder="1"/>
    <xf numFmtId="0" fontId="8" fillId="9" borderId="20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14" borderId="0" xfId="0" applyFont="1" applyFill="1" applyAlignment="1">
      <alignment horizontal="center" vertical="center" wrapText="1"/>
    </xf>
    <xf numFmtId="0" fontId="14" fillId="0" borderId="0" xfId="0" applyFont="1"/>
    <xf numFmtId="0" fontId="14" fillId="9" borderId="0" xfId="0" applyFont="1" applyFill="1"/>
    <xf numFmtId="0" fontId="20" fillId="0" borderId="0" xfId="0" applyFont="1"/>
    <xf numFmtId="0" fontId="21" fillId="9" borderId="0" xfId="0" applyFont="1" applyFill="1" applyBorder="1"/>
    <xf numFmtId="0" fontId="5" fillId="9" borderId="7" xfId="0" applyFont="1" applyFill="1" applyBorder="1"/>
    <xf numFmtId="0" fontId="20" fillId="9" borderId="0" xfId="0" applyFont="1" applyFill="1" applyBorder="1"/>
    <xf numFmtId="0" fontId="20" fillId="9" borderId="10" xfId="0" applyFont="1" applyFill="1" applyBorder="1"/>
    <xf numFmtId="0" fontId="5" fillId="9" borderId="3" xfId="0" applyFont="1" applyFill="1" applyBorder="1"/>
    <xf numFmtId="0" fontId="5" fillId="9" borderId="11" xfId="0" applyFont="1" applyFill="1" applyBorder="1"/>
    <xf numFmtId="0" fontId="14" fillId="0" borderId="0" xfId="0" applyFont="1" applyBorder="1"/>
    <xf numFmtId="0" fontId="0" fillId="22" borderId="0" xfId="0" applyFill="1"/>
    <xf numFmtId="0" fontId="14" fillId="22" borderId="0" xfId="0" applyFont="1" applyFill="1"/>
    <xf numFmtId="0" fontId="6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6" fillId="9" borderId="1" xfId="0" quotePrefix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5" fillId="9" borderId="8" xfId="0" applyFont="1" applyFill="1" applyBorder="1"/>
    <xf numFmtId="0" fontId="0" fillId="9" borderId="7" xfId="0" applyFill="1" applyBorder="1"/>
    <xf numFmtId="0" fontId="0" fillId="9" borderId="3" xfId="0" applyFill="1" applyBorder="1"/>
    <xf numFmtId="0" fontId="0" fillId="9" borderId="0" xfId="0" applyFill="1" applyBorder="1"/>
    <xf numFmtId="0" fontId="0" fillId="9" borderId="11" xfId="0" applyFill="1" applyBorder="1"/>
    <xf numFmtId="0" fontId="0" fillId="9" borderId="8" xfId="0" applyFill="1" applyBorder="1"/>
    <xf numFmtId="0" fontId="0" fillId="9" borderId="2" xfId="0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0" fillId="24" borderId="6" xfId="0" applyFill="1" applyBorder="1"/>
    <xf numFmtId="0" fontId="0" fillId="24" borderId="21" xfId="0" applyFill="1" applyBorder="1"/>
    <xf numFmtId="0" fontId="0" fillId="24" borderId="5" xfId="0" applyFill="1" applyBorder="1"/>
    <xf numFmtId="0" fontId="12" fillId="9" borderId="0" xfId="0" applyFont="1" applyFill="1" applyBorder="1" applyAlignment="1"/>
    <xf numFmtId="0" fontId="12" fillId="9" borderId="11" xfId="0" applyFont="1" applyFill="1" applyBorder="1" applyAlignment="1"/>
    <xf numFmtId="0" fontId="30" fillId="9" borderId="0" xfId="0" applyFont="1" applyFill="1" applyBorder="1"/>
    <xf numFmtId="0" fontId="31" fillId="9" borderId="0" xfId="0" applyFont="1" applyFill="1" applyBorder="1"/>
    <xf numFmtId="0" fontId="0" fillId="0" borderId="0" xfId="0"/>
    <xf numFmtId="0" fontId="8" fillId="9" borderId="10" xfId="0" applyFont="1" applyFill="1" applyBorder="1"/>
    <xf numFmtId="0" fontId="8" fillId="9" borderId="0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5" fillId="9" borderId="0" xfId="0" applyFont="1" applyFill="1" applyBorder="1"/>
    <xf numFmtId="0" fontId="5" fillId="9" borderId="7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0" xfId="0" applyFont="1" applyFill="1" applyBorder="1" applyAlignment="1">
      <alignment horizontal="center"/>
    </xf>
    <xf numFmtId="0" fontId="0" fillId="22" borderId="0" xfId="0" applyFill="1"/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left"/>
    </xf>
    <xf numFmtId="0" fontId="23" fillId="9" borderId="0" xfId="0" applyFont="1" applyFill="1" applyBorder="1" applyAlignment="1">
      <alignment horizontal="center"/>
    </xf>
    <xf numFmtId="0" fontId="5" fillId="9" borderId="0" xfId="0" applyFont="1" applyFill="1" applyBorder="1"/>
    <xf numFmtId="0" fontId="5" fillId="0" borderId="0" xfId="0" applyFont="1"/>
    <xf numFmtId="0" fontId="8" fillId="9" borderId="0" xfId="0" applyFont="1" applyFill="1" applyBorder="1"/>
    <xf numFmtId="0" fontId="37" fillId="9" borderId="0" xfId="0" applyFont="1" applyFill="1" applyBorder="1" applyAlignment="1">
      <alignment horizontal="center"/>
    </xf>
    <xf numFmtId="0" fontId="8" fillId="9" borderId="0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5" fillId="9" borderId="0" xfId="0" applyFont="1" applyFill="1"/>
    <xf numFmtId="0" fontId="11" fillId="0" borderId="0" xfId="0" applyFont="1"/>
    <xf numFmtId="0" fontId="11" fillId="9" borderId="10" xfId="0" applyFont="1" applyFill="1" applyBorder="1"/>
    <xf numFmtId="0" fontId="11" fillId="9" borderId="0" xfId="0" applyFont="1" applyFill="1" applyBorder="1"/>
    <xf numFmtId="0" fontId="11" fillId="9" borderId="11" xfId="0" applyFont="1" applyFill="1" applyBorder="1"/>
    <xf numFmtId="0" fontId="11" fillId="9" borderId="12" xfId="0" applyFont="1" applyFill="1" applyBorder="1"/>
    <xf numFmtId="0" fontId="11" fillId="9" borderId="8" xfId="0" applyFont="1" applyFill="1" applyBorder="1"/>
    <xf numFmtId="0" fontId="11" fillId="9" borderId="2" xfId="0" applyFont="1" applyFill="1" applyBorder="1"/>
    <xf numFmtId="0" fontId="58" fillId="9" borderId="0" xfId="0" applyFont="1" applyFill="1" applyBorder="1" applyAlignment="1">
      <alignment vertical="center"/>
    </xf>
    <xf numFmtId="0" fontId="62" fillId="9" borderId="10" xfId="0" applyFont="1" applyFill="1" applyBorder="1"/>
    <xf numFmtId="0" fontId="62" fillId="9" borderId="0" xfId="0" applyFont="1" applyFill="1" applyBorder="1"/>
    <xf numFmtId="0" fontId="62" fillId="9" borderId="11" xfId="0" applyFont="1" applyFill="1" applyBorder="1"/>
    <xf numFmtId="0" fontId="62" fillId="9" borderId="16" xfId="0" applyFont="1" applyFill="1" applyBorder="1"/>
    <xf numFmtId="0" fontId="30" fillId="9" borderId="0" xfId="0" applyFont="1" applyFill="1" applyBorder="1" applyAlignment="1"/>
    <xf numFmtId="0" fontId="30" fillId="9" borderId="11" xfId="0" applyFont="1" applyFill="1" applyBorder="1" applyAlignment="1"/>
    <xf numFmtId="0" fontId="62" fillId="9" borderId="0" xfId="0" applyFont="1" applyFill="1" applyBorder="1" applyAlignment="1"/>
    <xf numFmtId="0" fontId="62" fillId="9" borderId="17" xfId="0" applyFont="1" applyFill="1" applyBorder="1"/>
    <xf numFmtId="0" fontId="63" fillId="9" borderId="0" xfId="0" applyFont="1" applyFill="1" applyBorder="1"/>
    <xf numFmtId="0" fontId="64" fillId="9" borderId="0" xfId="0" applyFont="1" applyFill="1" applyBorder="1"/>
    <xf numFmtId="0" fontId="64" fillId="9" borderId="17" xfId="0" applyFont="1" applyFill="1" applyBorder="1"/>
    <xf numFmtId="0" fontId="65" fillId="9" borderId="16" xfId="0" applyFont="1" applyFill="1" applyBorder="1"/>
    <xf numFmtId="0" fontId="65" fillId="9" borderId="0" xfId="0" applyFont="1" applyFill="1" applyBorder="1"/>
    <xf numFmtId="0" fontId="65" fillId="9" borderId="17" xfId="0" applyFont="1" applyFill="1" applyBorder="1"/>
    <xf numFmtId="0" fontId="66" fillId="9" borderId="0" xfId="0" applyFont="1" applyFill="1" applyBorder="1"/>
    <xf numFmtId="0" fontId="60" fillId="0" borderId="33" xfId="0" applyFont="1" applyBorder="1" applyAlignment="1">
      <alignment vertical="center"/>
    </xf>
    <xf numFmtId="0" fontId="20" fillId="9" borderId="0" xfId="0" applyFont="1" applyFill="1" applyBorder="1" applyAlignment="1">
      <alignment horizontal="right"/>
    </xf>
    <xf numFmtId="7" fontId="29" fillId="0" borderId="0" xfId="187" applyNumberFormat="1" applyFont="1" applyBorder="1" applyAlignment="1">
      <alignment vertical="center"/>
    </xf>
    <xf numFmtId="0" fontId="5" fillId="0" borderId="0" xfId="0" applyFont="1" applyBorder="1"/>
    <xf numFmtId="0" fontId="25" fillId="0" borderId="0" xfId="187" applyFont="1" applyBorder="1"/>
    <xf numFmtId="179" fontId="25" fillId="0" borderId="0" xfId="188" applyNumberFormat="1" applyFont="1" applyBorder="1"/>
    <xf numFmtId="0" fontId="29" fillId="9" borderId="0" xfId="187" applyFont="1" applyFill="1" applyBorder="1"/>
    <xf numFmtId="0" fontId="29" fillId="0" borderId="0" xfId="187" applyFont="1" applyBorder="1" applyAlignment="1">
      <alignment horizontal="left"/>
    </xf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7" fontId="68" fillId="68" borderId="0" xfId="187" applyNumberFormat="1" applyFont="1" applyFill="1" applyBorder="1" applyAlignment="1">
      <alignment vertical="center"/>
    </xf>
    <xf numFmtId="0" fontId="68" fillId="68" borderId="0" xfId="187" applyFont="1" applyFill="1" applyBorder="1" applyAlignment="1">
      <alignment horizontal="center" vertical="center" wrapText="1"/>
    </xf>
    <xf numFmtId="0" fontId="5" fillId="68" borderId="0" xfId="0" quotePrefix="1" applyFont="1" applyFill="1" applyBorder="1" applyAlignment="1">
      <alignment horizontal="center" vertical="center" wrapText="1"/>
    </xf>
    <xf numFmtId="0" fontId="5" fillId="68" borderId="0" xfId="0" applyFont="1" applyFill="1" applyBorder="1" applyAlignment="1">
      <alignment horizontal="center" vertical="center" wrapText="1"/>
    </xf>
    <xf numFmtId="0" fontId="14" fillId="0" borderId="46" xfId="0" applyFont="1" applyBorder="1"/>
    <xf numFmtId="0" fontId="6" fillId="9" borderId="46" xfId="0" applyFont="1" applyFill="1" applyBorder="1" applyAlignment="1">
      <alignment horizontal="center" vertical="center" wrapText="1"/>
    </xf>
    <xf numFmtId="0" fontId="6" fillId="12" borderId="46" xfId="0" applyFont="1" applyFill="1" applyBorder="1" applyAlignment="1">
      <alignment horizontal="center" vertical="center" wrapText="1"/>
    </xf>
    <xf numFmtId="0" fontId="6" fillId="9" borderId="46" xfId="0" quotePrefix="1" applyFont="1" applyFill="1" applyBorder="1" applyAlignment="1">
      <alignment horizontal="center" vertical="center" wrapText="1"/>
    </xf>
    <xf numFmtId="0" fontId="0" fillId="0" borderId="46" xfId="0" applyBorder="1"/>
    <xf numFmtId="0" fontId="0" fillId="0" borderId="46" xfId="0" applyBorder="1" applyAlignment="1">
      <alignment horizontal="center"/>
    </xf>
    <xf numFmtId="0" fontId="0" fillId="12" borderId="46" xfId="0" applyFill="1" applyBorder="1"/>
    <xf numFmtId="4" fontId="0" fillId="0" borderId="46" xfId="0" applyNumberFormat="1" applyBorder="1"/>
    <xf numFmtId="0" fontId="0" fillId="0" borderId="46" xfId="0" applyFill="1" applyBorder="1"/>
    <xf numFmtId="0" fontId="9" fillId="22" borderId="4" xfId="0" applyFont="1" applyFill="1" applyBorder="1" applyAlignment="1">
      <alignment horizontal="center" vertical="center"/>
    </xf>
    <xf numFmtId="0" fontId="6" fillId="22" borderId="4" xfId="0" quotePrefix="1" applyFont="1" applyFill="1" applyBorder="1" applyAlignment="1">
      <alignment horizontal="center" vertical="center"/>
    </xf>
    <xf numFmtId="0" fontId="6" fillId="22" borderId="4" xfId="0" applyFont="1" applyFill="1" applyBorder="1" applyAlignment="1">
      <alignment horizontal="center" vertical="center"/>
    </xf>
    <xf numFmtId="0" fontId="9" fillId="9" borderId="46" xfId="0" applyFont="1" applyFill="1" applyBorder="1" applyAlignment="1">
      <alignment horizontal="center" vertical="center" wrapText="1"/>
    </xf>
    <xf numFmtId="0" fontId="9" fillId="12" borderId="46" xfId="0" applyFont="1" applyFill="1" applyBorder="1" applyAlignment="1">
      <alignment horizontal="center" vertical="center" wrapText="1"/>
    </xf>
    <xf numFmtId="0" fontId="9" fillId="25" borderId="46" xfId="0" applyFont="1" applyFill="1" applyBorder="1" applyAlignment="1">
      <alignment horizontal="center" vertical="center" wrapText="1"/>
    </xf>
    <xf numFmtId="0" fontId="6" fillId="4" borderId="46" xfId="0" quotePrefix="1" applyFont="1" applyFill="1" applyBorder="1" applyAlignment="1">
      <alignment horizontal="center" vertical="center" wrapText="1"/>
    </xf>
    <xf numFmtId="0" fontId="6" fillId="18" borderId="46" xfId="0" quotePrefix="1" applyFont="1" applyFill="1" applyBorder="1" applyAlignment="1">
      <alignment horizontal="center" vertical="center" wrapText="1"/>
    </xf>
    <xf numFmtId="0" fontId="14" fillId="0" borderId="46" xfId="0" applyFont="1" applyBorder="1" applyAlignment="1"/>
    <xf numFmtId="0" fontId="14" fillId="0" borderId="46" xfId="0" applyFont="1" applyBorder="1" applyAlignment="1">
      <alignment horizontal="center"/>
    </xf>
    <xf numFmtId="0" fontId="14" fillId="12" borderId="46" xfId="0" applyFont="1" applyFill="1" applyBorder="1" applyAlignment="1"/>
    <xf numFmtId="0" fontId="14" fillId="25" borderId="46" xfId="0" applyFont="1" applyFill="1" applyBorder="1" applyAlignment="1">
      <alignment horizontal="left"/>
    </xf>
    <xf numFmtId="10" fontId="14" fillId="0" borderId="46" xfId="6" applyNumberFormat="1" applyFont="1" applyBorder="1" applyAlignment="1">
      <alignment horizontal="center"/>
    </xf>
    <xf numFmtId="0" fontId="14" fillId="4" borderId="46" xfId="0" applyFont="1" applyFill="1" applyBorder="1" applyAlignment="1">
      <alignment horizontal="right"/>
    </xf>
    <xf numFmtId="4" fontId="14" fillId="4" borderId="46" xfId="0" applyNumberFormat="1" applyFont="1" applyFill="1" applyBorder="1" applyAlignment="1"/>
    <xf numFmtId="0" fontId="14" fillId="18" borderId="46" xfId="0" applyFont="1" applyFill="1" applyBorder="1" applyAlignment="1"/>
    <xf numFmtId="4" fontId="14" fillId="18" borderId="46" xfId="0" applyNumberFormat="1" applyFont="1" applyFill="1" applyBorder="1" applyAlignment="1"/>
    <xf numFmtId="0" fontId="14" fillId="0" borderId="46" xfId="0" applyFont="1" applyBorder="1" applyAlignment="1">
      <alignment horizontal="left"/>
    </xf>
    <xf numFmtId="3" fontId="14" fillId="0" borderId="46" xfId="0" applyNumberFormat="1" applyFont="1" applyBorder="1" applyAlignment="1"/>
    <xf numFmtId="0" fontId="14" fillId="12" borderId="46" xfId="0" applyFont="1" applyFill="1" applyBorder="1"/>
    <xf numFmtId="4" fontId="14" fillId="4" borderId="46" xfId="0" applyNumberFormat="1" applyFont="1" applyFill="1" applyBorder="1"/>
    <xf numFmtId="4" fontId="14" fillId="18" borderId="46" xfId="0" applyNumberFormat="1" applyFont="1" applyFill="1" applyBorder="1"/>
    <xf numFmtId="0" fontId="14" fillId="18" borderId="46" xfId="0" applyFont="1" applyFill="1" applyBorder="1"/>
    <xf numFmtId="0" fontId="5" fillId="9" borderId="46" xfId="0" applyFont="1" applyFill="1" applyBorder="1"/>
    <xf numFmtId="0" fontId="8" fillId="9" borderId="41" xfId="0" applyFont="1" applyFill="1" applyBorder="1"/>
    <xf numFmtId="0" fontId="8" fillId="9" borderId="36" xfId="0" applyFont="1" applyFill="1" applyBorder="1"/>
    <xf numFmtId="0" fontId="8" fillId="0" borderId="45" xfId="0" applyFont="1" applyBorder="1" applyAlignment="1">
      <alignment horizontal="center"/>
    </xf>
    <xf numFmtId="14" fontId="9" fillId="0" borderId="45" xfId="0" applyNumberFormat="1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14" fontId="9" fillId="16" borderId="45" xfId="0" applyNumberFormat="1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14" fontId="9" fillId="17" borderId="45" xfId="0" applyNumberFormat="1" applyFont="1" applyFill="1" applyBorder="1" applyAlignment="1">
      <alignment horizontal="center"/>
    </xf>
    <xf numFmtId="0" fontId="16" fillId="15" borderId="45" xfId="0" applyFont="1" applyFill="1" applyBorder="1" applyAlignment="1">
      <alignment horizontal="center" vertical="center" wrapText="1"/>
    </xf>
    <xf numFmtId="0" fontId="17" fillId="0" borderId="45" xfId="0" applyFont="1" applyBorder="1" applyAlignment="1">
      <alignment horizontal="center"/>
    </xf>
    <xf numFmtId="0" fontId="6" fillId="0" borderId="45" xfId="0" applyFont="1" applyBorder="1"/>
    <xf numFmtId="3" fontId="5" fillId="0" borderId="45" xfId="0" applyNumberFormat="1" applyFont="1" applyBorder="1"/>
    <xf numFmtId="0" fontId="5" fillId="0" borderId="45" xfId="0" applyFont="1" applyBorder="1"/>
    <xf numFmtId="0" fontId="16" fillId="15" borderId="45" xfId="0" applyFont="1" applyFill="1" applyBorder="1"/>
    <xf numFmtId="3" fontId="16" fillId="15" borderId="45" xfId="0" applyNumberFormat="1" applyFont="1" applyFill="1" applyBorder="1"/>
    <xf numFmtId="0" fontId="6" fillId="11" borderId="45" xfId="0" applyFont="1" applyFill="1" applyBorder="1"/>
    <xf numFmtId="3" fontId="5" fillId="11" borderId="45" xfId="0" applyNumberFormat="1" applyFont="1" applyFill="1" applyBorder="1"/>
    <xf numFmtId="0" fontId="15" fillId="10" borderId="4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4" fillId="0" borderId="45" xfId="0" applyFont="1" applyBorder="1"/>
    <xf numFmtId="0" fontId="5" fillId="0" borderId="45" xfId="0" applyFont="1" applyBorder="1" applyAlignment="1">
      <alignment horizontal="center"/>
    </xf>
    <xf numFmtId="0" fontId="5" fillId="12" borderId="45" xfId="0" applyFont="1" applyFill="1" applyBorder="1"/>
    <xf numFmtId="3" fontId="5" fillId="8" borderId="45" xfId="0" applyNumberFormat="1" applyFont="1" applyFill="1" applyBorder="1"/>
    <xf numFmtId="3" fontId="5" fillId="4" borderId="45" xfId="0" applyNumberFormat="1" applyFont="1" applyFill="1" applyBorder="1"/>
    <xf numFmtId="165" fontId="23" fillId="26" borderId="45" xfId="0" applyNumberFormat="1" applyFont="1" applyFill="1" applyBorder="1"/>
    <xf numFmtId="165" fontId="5" fillId="0" borderId="45" xfId="0" applyNumberFormat="1" applyFont="1" applyBorder="1"/>
    <xf numFmtId="165" fontId="5" fillId="4" borderId="45" xfId="0" applyNumberFormat="1" applyFont="1" applyFill="1" applyBorder="1"/>
    <xf numFmtId="0" fontId="5" fillId="4" borderId="45" xfId="0" applyFont="1" applyFill="1" applyBorder="1" applyAlignment="1">
      <alignment horizontal="center"/>
    </xf>
    <xf numFmtId="0" fontId="5" fillId="4" borderId="45" xfId="0" applyFont="1" applyFill="1" applyBorder="1"/>
    <xf numFmtId="0" fontId="5" fillId="5" borderId="45" xfId="0" applyFont="1" applyFill="1" applyBorder="1"/>
    <xf numFmtId="0" fontId="14" fillId="9" borderId="0" xfId="0" applyFont="1" applyFill="1" applyBorder="1"/>
    <xf numFmtId="0" fontId="8" fillId="9" borderId="69" xfId="0" applyFont="1" applyFill="1" applyBorder="1"/>
    <xf numFmtId="0" fontId="8" fillId="9" borderId="66" xfId="0" applyFont="1" applyFill="1" applyBorder="1"/>
    <xf numFmtId="0" fontId="6" fillId="19" borderId="61" xfId="0" applyFont="1" applyFill="1" applyBorder="1" applyAlignment="1">
      <alignment horizontal="center" vertical="center" wrapText="1"/>
    </xf>
    <xf numFmtId="0" fontId="8" fillId="9" borderId="70" xfId="0" applyFont="1" applyFill="1" applyBorder="1"/>
    <xf numFmtId="0" fontId="8" fillId="9" borderId="63" xfId="0" applyFont="1" applyFill="1" applyBorder="1"/>
    <xf numFmtId="0" fontId="8" fillId="9" borderId="68" xfId="0" applyFont="1" applyFill="1" applyBorder="1"/>
    <xf numFmtId="0" fontId="8" fillId="9" borderId="65" xfId="0" applyFont="1" applyFill="1" applyBorder="1"/>
    <xf numFmtId="0" fontId="6" fillId="5" borderId="61" xfId="0" applyFont="1" applyFill="1" applyBorder="1" applyAlignment="1">
      <alignment horizontal="center" vertical="center" wrapText="1"/>
    </xf>
    <xf numFmtId="0" fontId="5" fillId="69" borderId="45" xfId="0" applyFont="1" applyFill="1" applyBorder="1"/>
    <xf numFmtId="0" fontId="63" fillId="9" borderId="65" xfId="0" applyFont="1" applyFill="1" applyBorder="1"/>
    <xf numFmtId="0" fontId="21" fillId="9" borderId="65" xfId="0" applyFont="1" applyFill="1" applyBorder="1"/>
    <xf numFmtId="0" fontId="21" fillId="9" borderId="66" xfId="0" applyFont="1" applyFill="1" applyBorder="1"/>
    <xf numFmtId="0" fontId="8" fillId="9" borderId="62" xfId="0" applyFont="1" applyFill="1" applyBorder="1"/>
    <xf numFmtId="0" fontId="8" fillId="9" borderId="64" xfId="0" applyFont="1" applyFill="1" applyBorder="1"/>
    <xf numFmtId="0" fontId="63" fillId="9" borderId="66" xfId="0" applyFont="1" applyFill="1" applyBorder="1"/>
    <xf numFmtId="0" fontId="8" fillId="0" borderId="45" xfId="0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0" fontId="5" fillId="4" borderId="45" xfId="0" applyFont="1" applyFill="1" applyBorder="1"/>
    <xf numFmtId="0" fontId="5" fillId="9" borderId="71" xfId="0" applyFont="1" applyFill="1" applyBorder="1"/>
    <xf numFmtId="0" fontId="5" fillId="0" borderId="0" xfId="0" applyFont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0" borderId="0" xfId="0" applyBorder="1"/>
    <xf numFmtId="0" fontId="5" fillId="9" borderId="74" xfId="0" applyFont="1" applyFill="1" applyBorder="1"/>
    <xf numFmtId="0" fontId="5" fillId="9" borderId="76" xfId="0" applyFont="1" applyFill="1" applyBorder="1"/>
    <xf numFmtId="0" fontId="12" fillId="9" borderId="75" xfId="0" applyFont="1" applyFill="1" applyBorder="1" applyAlignment="1">
      <alignment horizontal="center"/>
    </xf>
    <xf numFmtId="0" fontId="12" fillId="9" borderId="76" xfId="0" applyFont="1" applyFill="1" applyBorder="1" applyAlignment="1">
      <alignment horizontal="center"/>
    </xf>
    <xf numFmtId="0" fontId="12" fillId="9" borderId="77" xfId="0" applyFont="1" applyFill="1" applyBorder="1" applyAlignment="1">
      <alignment horizontal="center"/>
    </xf>
    <xf numFmtId="0" fontId="12" fillId="9" borderId="78" xfId="0" applyFont="1" applyFill="1" applyBorder="1" applyAlignment="1">
      <alignment horizontal="center"/>
    </xf>
    <xf numFmtId="165" fontId="5" fillId="0" borderId="0" xfId="0" applyNumberFormat="1" applyFont="1"/>
    <xf numFmtId="0" fontId="5" fillId="9" borderId="80" xfId="0" applyFont="1" applyFill="1" applyBorder="1"/>
    <xf numFmtId="0" fontId="0" fillId="0" borderId="0" xfId="0"/>
    <xf numFmtId="0" fontId="5" fillId="9" borderId="42" xfId="0" applyFont="1" applyFill="1" applyBorder="1" applyAlignment="1">
      <alignment horizontal="center"/>
    </xf>
    <xf numFmtId="3" fontId="5" fillId="8" borderId="42" xfId="0" applyNumberFormat="1" applyFont="1" applyFill="1" applyBorder="1"/>
    <xf numFmtId="165" fontId="5" fillId="8" borderId="42" xfId="0" applyNumberFormat="1" applyFont="1" applyFill="1" applyBorder="1"/>
    <xf numFmtId="165" fontId="5" fillId="9" borderId="42" xfId="0" applyNumberFormat="1" applyFont="1" applyFill="1" applyBorder="1"/>
    <xf numFmtId="0" fontId="6" fillId="0" borderId="42" xfId="0" applyFont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right"/>
    </xf>
    <xf numFmtId="6" fontId="69" fillId="9" borderId="0" xfId="0" applyNumberFormat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5" fillId="0" borderId="0" xfId="0" applyFont="1"/>
    <xf numFmtId="7" fontId="5" fillId="9" borderId="0" xfId="0" applyNumberFormat="1" applyFont="1" applyFill="1" applyBorder="1"/>
    <xf numFmtId="0" fontId="59" fillId="9" borderId="75" xfId="0" applyFont="1" applyFill="1" applyBorder="1" applyAlignment="1"/>
    <xf numFmtId="0" fontId="59" fillId="9" borderId="0" xfId="0" applyFont="1" applyFill="1" applyBorder="1" applyAlignment="1"/>
    <xf numFmtId="0" fontId="59" fillId="9" borderId="76" xfId="0" applyFont="1" applyFill="1" applyBorder="1" applyAlignment="1"/>
    <xf numFmtId="0" fontId="9" fillId="9" borderId="0" xfId="0" applyFont="1" applyFill="1" applyBorder="1" applyAlignment="1">
      <alignment horizontal="left"/>
    </xf>
    <xf numFmtId="0" fontId="0" fillId="0" borderId="48" xfId="0" applyBorder="1"/>
    <xf numFmtId="0" fontId="57" fillId="24" borderId="83" xfId="4" applyFont="1" applyFill="1" applyBorder="1" applyAlignment="1">
      <alignment vertical="center"/>
    </xf>
    <xf numFmtId="0" fontId="76" fillId="0" borderId="84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/>
    </xf>
    <xf numFmtId="0" fontId="14" fillId="24" borderId="83" xfId="0" applyFont="1" applyFill="1" applyBorder="1" applyAlignment="1">
      <alignment vertical="center"/>
    </xf>
    <xf numFmtId="0" fontId="60" fillId="0" borderId="84" xfId="0" applyFont="1" applyBorder="1" applyAlignment="1">
      <alignment vertical="center"/>
    </xf>
    <xf numFmtId="10" fontId="58" fillId="0" borderId="84" xfId="0" applyNumberFormat="1" applyFont="1" applyBorder="1" applyAlignment="1">
      <alignment vertical="center"/>
    </xf>
    <xf numFmtId="0" fontId="11" fillId="9" borderId="31" xfId="0" applyFont="1" applyFill="1" applyBorder="1" applyAlignment="1">
      <alignment vertical="center"/>
    </xf>
    <xf numFmtId="0" fontId="58" fillId="0" borderId="84" xfId="0" applyFont="1" applyBorder="1" applyAlignment="1">
      <alignment vertical="center"/>
    </xf>
    <xf numFmtId="0" fontId="60" fillId="0" borderId="85" xfId="0" applyFont="1" applyBorder="1" applyAlignment="1">
      <alignment vertical="center"/>
    </xf>
    <xf numFmtId="0" fontId="14" fillId="7" borderId="46" xfId="0" applyFont="1" applyFill="1" applyBorder="1" applyAlignment="1"/>
    <xf numFmtId="0" fontId="14" fillId="21" borderId="46" xfId="0" applyFont="1" applyFill="1" applyBorder="1" applyAlignment="1"/>
    <xf numFmtId="0" fontId="14" fillId="21" borderId="46" xfId="0" applyFont="1" applyFill="1" applyBorder="1"/>
    <xf numFmtId="0" fontId="0" fillId="2" borderId="46" xfId="0" applyNumberFormat="1" applyFill="1" applyBorder="1"/>
    <xf numFmtId="0" fontId="6" fillId="8" borderId="43" xfId="0" applyFont="1" applyFill="1" applyBorder="1" applyAlignment="1">
      <alignment horizontal="center" vertical="center" wrapText="1"/>
    </xf>
    <xf numFmtId="0" fontId="5" fillId="9" borderId="87" xfId="0" applyFont="1" applyFill="1" applyBorder="1" applyAlignment="1">
      <alignment horizontal="center"/>
    </xf>
    <xf numFmtId="3" fontId="5" fillId="8" borderId="87" xfId="0" applyNumberFormat="1" applyFont="1" applyFill="1" applyBorder="1"/>
    <xf numFmtId="165" fontId="5" fillId="8" borderId="87" xfId="0" applyNumberFormat="1" applyFont="1" applyFill="1" applyBorder="1"/>
    <xf numFmtId="3" fontId="5" fillId="9" borderId="87" xfId="0" applyNumberFormat="1" applyFont="1" applyFill="1" applyBorder="1"/>
    <xf numFmtId="165" fontId="5" fillId="9" borderId="87" xfId="0" applyNumberFormat="1" applyFont="1" applyFill="1" applyBorder="1"/>
    <xf numFmtId="176" fontId="5" fillId="9" borderId="87" xfId="0" applyNumberFormat="1" applyFont="1" applyFill="1" applyBorder="1"/>
    <xf numFmtId="0" fontId="5" fillId="9" borderId="87" xfId="0" applyFont="1" applyFill="1" applyBorder="1"/>
    <xf numFmtId="0" fontId="8" fillId="9" borderId="74" xfId="0" applyFont="1" applyFill="1" applyBorder="1"/>
    <xf numFmtId="0" fontId="8" fillId="9" borderId="76" xfId="0" applyFont="1" applyFill="1" applyBorder="1"/>
    <xf numFmtId="0" fontId="73" fillId="9" borderId="0" xfId="0" applyFont="1" applyFill="1" applyBorder="1" applyAlignment="1">
      <alignment horizontal="center"/>
    </xf>
    <xf numFmtId="44" fontId="7" fillId="9" borderId="0" xfId="5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23" borderId="46" xfId="0" quotePrefix="1" applyFont="1" applyFill="1" applyBorder="1" applyAlignment="1">
      <alignment horizontal="center" vertical="center" wrapText="1"/>
    </xf>
    <xf numFmtId="4" fontId="0" fillId="23" borderId="46" xfId="0" applyNumberFormat="1" applyFill="1" applyBorder="1"/>
    <xf numFmtId="0" fontId="0" fillId="23" borderId="46" xfId="0" applyFill="1" applyBorder="1"/>
    <xf numFmtId="181" fontId="14" fillId="12" borderId="46" xfId="0" applyNumberFormat="1" applyFont="1" applyFill="1" applyBorder="1" applyAlignment="1"/>
    <xf numFmtId="3" fontId="14" fillId="4" borderId="46" xfId="0" applyNumberFormat="1" applyFont="1" applyFill="1" applyBorder="1" applyAlignment="1"/>
    <xf numFmtId="0" fontId="6" fillId="12" borderId="46" xfId="0" quotePrefix="1" applyFont="1" applyFill="1" applyBorder="1" applyAlignment="1">
      <alignment horizontal="center" vertical="center" wrapText="1"/>
    </xf>
    <xf numFmtId="4" fontId="0" fillId="12" borderId="46" xfId="0" applyNumberFormat="1" applyFill="1" applyBorder="1"/>
    <xf numFmtId="182" fontId="0" fillId="12" borderId="46" xfId="0" applyNumberFormat="1" applyFill="1" applyBorder="1"/>
    <xf numFmtId="0" fontId="6" fillId="20" borderId="46" xfId="0" quotePrefix="1" applyFont="1" applyFill="1" applyBorder="1" applyAlignment="1">
      <alignment horizontal="center" vertical="center" wrapText="1"/>
    </xf>
    <xf numFmtId="4" fontId="0" fillId="20" borderId="46" xfId="0" applyNumberFormat="1" applyFill="1" applyBorder="1"/>
    <xf numFmtId="0" fontId="0" fillId="20" borderId="46" xfId="0" applyFill="1" applyBorder="1"/>
    <xf numFmtId="0" fontId="6" fillId="5" borderId="46" xfId="0" quotePrefix="1" applyFont="1" applyFill="1" applyBorder="1" applyAlignment="1">
      <alignment horizontal="center" vertical="center" wrapText="1"/>
    </xf>
    <xf numFmtId="0" fontId="0" fillId="5" borderId="46" xfId="0" applyFill="1" applyBorder="1"/>
    <xf numFmtId="0" fontId="6" fillId="3" borderId="46" xfId="0" quotePrefix="1" applyFont="1" applyFill="1" applyBorder="1" applyAlignment="1">
      <alignment horizontal="center" vertical="center" wrapText="1"/>
    </xf>
    <xf numFmtId="182" fontId="0" fillId="3" borderId="46" xfId="0" applyNumberFormat="1" applyFill="1" applyBorder="1"/>
    <xf numFmtId="4" fontId="0" fillId="3" borderId="46" xfId="0" applyNumberFormat="1" applyFill="1" applyBorder="1"/>
    <xf numFmtId="0" fontId="0" fillId="3" borderId="46" xfId="0" applyFill="1" applyBorder="1"/>
    <xf numFmtId="0" fontId="6" fillId="21" borderId="46" xfId="0" quotePrefix="1" applyFont="1" applyFill="1" applyBorder="1" applyAlignment="1">
      <alignment horizontal="center" vertical="center" wrapText="1"/>
    </xf>
    <xf numFmtId="4" fontId="0" fillId="21" borderId="46" xfId="0" applyNumberFormat="1" applyFill="1" applyBorder="1"/>
    <xf numFmtId="0" fontId="0" fillId="21" borderId="46" xfId="0" applyFill="1" applyBorder="1"/>
    <xf numFmtId="0" fontId="6" fillId="70" borderId="46" xfId="0" quotePrefix="1" applyFont="1" applyFill="1" applyBorder="1" applyAlignment="1">
      <alignment horizontal="center" vertical="center" wrapText="1"/>
    </xf>
    <xf numFmtId="10" fontId="0" fillId="70" borderId="46" xfId="6" applyNumberFormat="1" applyFont="1" applyFill="1" applyBorder="1" applyAlignment="1">
      <alignment horizontal="center"/>
    </xf>
    <xf numFmtId="0" fontId="0" fillId="70" borderId="46" xfId="0" applyFill="1" applyBorder="1"/>
    <xf numFmtId="182" fontId="0" fillId="21" borderId="46" xfId="0" applyNumberFormat="1" applyFill="1" applyBorder="1"/>
    <xf numFmtId="182" fontId="0" fillId="20" borderId="46" xfId="0" applyNumberFormat="1" applyFill="1" applyBorder="1"/>
    <xf numFmtId="182" fontId="0" fillId="5" borderId="46" xfId="0" applyNumberFormat="1" applyFill="1" applyBorder="1"/>
    <xf numFmtId="0" fontId="6" fillId="11" borderId="46" xfId="0" quotePrefix="1" applyFont="1" applyFill="1" applyBorder="1" applyAlignment="1">
      <alignment horizontal="center" vertical="center" wrapText="1"/>
    </xf>
    <xf numFmtId="0" fontId="0" fillId="11" borderId="46" xfId="0" applyFill="1" applyBorder="1"/>
    <xf numFmtId="0" fontId="75" fillId="9" borderId="0" xfId="0" applyFont="1" applyFill="1" applyBorder="1" applyAlignment="1">
      <alignment horizontal="center"/>
    </xf>
    <xf numFmtId="182" fontId="0" fillId="0" borderId="46" xfId="0" applyNumberFormat="1" applyBorder="1"/>
    <xf numFmtId="165" fontId="5" fillId="7" borderId="45" xfId="0" applyNumberFormat="1" applyFont="1" applyFill="1" applyBorder="1"/>
    <xf numFmtId="165" fontId="5" fillId="5" borderId="45" xfId="0" applyNumberFormat="1" applyFont="1" applyFill="1" applyBorder="1"/>
    <xf numFmtId="165" fontId="5" fillId="9" borderId="0" xfId="0" applyNumberFormat="1" applyFont="1" applyFill="1" applyBorder="1"/>
    <xf numFmtId="0" fontId="6" fillId="9" borderId="43" xfId="0" applyFont="1" applyFill="1" applyBorder="1" applyAlignment="1">
      <alignment horizontal="center" vertical="center" wrapText="1"/>
    </xf>
    <xf numFmtId="176" fontId="5" fillId="9" borderId="0" xfId="0" applyNumberFormat="1" applyFont="1" applyFill="1" applyBorder="1"/>
    <xf numFmtId="165" fontId="5" fillId="9" borderId="45" xfId="0" applyNumberFormat="1" applyFont="1" applyFill="1" applyBorder="1"/>
    <xf numFmtId="3" fontId="5" fillId="9" borderId="0" xfId="0" applyNumberFormat="1" applyFont="1" applyFill="1" applyBorder="1"/>
    <xf numFmtId="0" fontId="14" fillId="9" borderId="0" xfId="0" applyFont="1" applyFill="1" applyBorder="1" applyAlignment="1"/>
    <xf numFmtId="0" fontId="14" fillId="9" borderId="0" xfId="0" applyFont="1" applyFill="1" applyBorder="1" applyAlignment="1">
      <alignment horizontal="center"/>
    </xf>
    <xf numFmtId="9" fontId="14" fillId="9" borderId="0" xfId="6" applyFont="1" applyFill="1" applyBorder="1" applyAlignment="1">
      <alignment horizontal="center"/>
    </xf>
    <xf numFmtId="183" fontId="5" fillId="4" borderId="45" xfId="0" applyNumberFormat="1" applyFont="1" applyFill="1" applyBorder="1"/>
    <xf numFmtId="0" fontId="7" fillId="8" borderId="43" xfId="0" applyFont="1" applyFill="1" applyBorder="1" applyAlignment="1">
      <alignment horizontal="center"/>
    </xf>
    <xf numFmtId="0" fontId="7" fillId="9" borderId="43" xfId="0" applyFont="1" applyFill="1" applyBorder="1" applyAlignment="1">
      <alignment horizontal="center"/>
    </xf>
    <xf numFmtId="182" fontId="0" fillId="11" borderId="46" xfId="0" applyNumberFormat="1" applyFill="1" applyBorder="1"/>
    <xf numFmtId="6" fontId="20" fillId="9" borderId="0" xfId="6" applyNumberFormat="1" applyFont="1" applyFill="1" applyBorder="1" applyAlignment="1"/>
    <xf numFmtId="10" fontId="20" fillId="9" borderId="0" xfId="6" applyNumberFormat="1" applyFont="1" applyFill="1" applyBorder="1" applyAlignment="1"/>
    <xf numFmtId="6" fontId="20" fillId="9" borderId="0" xfId="0" applyNumberFormat="1" applyFont="1" applyFill="1" applyBorder="1" applyAlignment="1">
      <alignment horizontal="right"/>
    </xf>
    <xf numFmtId="0" fontId="14" fillId="9" borderId="0" xfId="0" applyFont="1" applyFill="1" applyBorder="1" applyAlignment="1">
      <alignment horizontal="center"/>
    </xf>
    <xf numFmtId="0" fontId="77" fillId="23" borderId="46" xfId="0" applyFont="1" applyFill="1" applyBorder="1" applyAlignment="1">
      <alignment horizontal="center"/>
    </xf>
    <xf numFmtId="4" fontId="77" fillId="23" borderId="46" xfId="0" applyNumberFormat="1" applyFont="1" applyFill="1" applyBorder="1"/>
    <xf numFmtId="4" fontId="77" fillId="23" borderId="46" xfId="0" applyNumberFormat="1" applyFont="1" applyFill="1" applyBorder="1" applyAlignment="1">
      <alignment horizontal="center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79" fillId="0" borderId="1" xfId="104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vertical="center" wrapText="1"/>
    </xf>
    <xf numFmtId="0" fontId="79" fillId="0" borderId="1" xfId="308" applyFont="1" applyFill="1" applyBorder="1" applyAlignment="1">
      <alignment horizontal="left" vertical="center" wrapText="1"/>
    </xf>
    <xf numFmtId="0" fontId="79" fillId="0" borderId="1" xfId="105" applyFont="1" applyFill="1" applyBorder="1" applyAlignment="1" applyProtection="1">
      <alignment horizontal="left" vertical="center" wrapText="1"/>
    </xf>
    <xf numFmtId="0" fontId="5" fillId="9" borderId="87" xfId="0" applyFont="1" applyFill="1" applyBorder="1" applyAlignment="1">
      <alignment vertical="center" wrapText="1"/>
    </xf>
    <xf numFmtId="0" fontId="79" fillId="0" borderId="1" xfId="4" applyFont="1" applyFill="1" applyBorder="1" applyAlignment="1" applyProtection="1">
      <alignment horizontal="left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0" fillId="12" borderId="46" xfId="0" applyFill="1" applyBorder="1" applyAlignment="1">
      <alignment wrapText="1"/>
    </xf>
    <xf numFmtId="0" fontId="5" fillId="9" borderId="42" xfId="0" applyFont="1" applyFill="1" applyBorder="1" applyAlignment="1">
      <alignment vertical="center" wrapText="1"/>
    </xf>
    <xf numFmtId="16" fontId="79" fillId="0" borderId="1" xfId="0" applyNumberFormat="1" applyFont="1" applyFill="1" applyBorder="1" applyAlignment="1">
      <alignment vertical="center" wrapText="1"/>
    </xf>
    <xf numFmtId="0" fontId="79" fillId="0" borderId="1" xfId="0" quotePrefix="1" applyFont="1" applyFill="1" applyBorder="1" applyAlignment="1">
      <alignment horizontal="left" vertical="center" wrapText="1"/>
    </xf>
    <xf numFmtId="0" fontId="79" fillId="0" borderId="1" xfId="104" quotePrefix="1" applyFont="1" applyFill="1" applyBorder="1" applyAlignment="1">
      <alignment horizontal="left" vertical="center" wrapText="1"/>
    </xf>
    <xf numFmtId="0" fontId="14" fillId="12" borderId="46" xfId="0" applyFont="1" applyFill="1" applyBorder="1" applyAlignment="1">
      <alignment wrapText="1"/>
    </xf>
    <xf numFmtId="0" fontId="14" fillId="0" borderId="46" xfId="0" applyFont="1" applyBorder="1" applyAlignment="1"/>
    <xf numFmtId="0" fontId="5" fillId="9" borderId="86" xfId="0" applyFont="1" applyFill="1" applyBorder="1"/>
    <xf numFmtId="7" fontId="5" fillId="9" borderId="8" xfId="0" applyNumberFormat="1" applyFont="1" applyFill="1" applyBorder="1"/>
    <xf numFmtId="0" fontId="6" fillId="0" borderId="89" xfId="0" applyFont="1" applyBorder="1" applyAlignment="1">
      <alignment horizontal="center" vertical="center" wrapText="1"/>
    </xf>
    <xf numFmtId="0" fontId="7" fillId="9" borderId="42" xfId="0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184" fontId="8" fillId="0" borderId="45" xfId="0" applyNumberFormat="1" applyFont="1" applyBorder="1" applyAlignment="1">
      <alignment horizontal="center"/>
    </xf>
    <xf numFmtId="184" fontId="8" fillId="16" borderId="45" xfId="0" applyNumberFormat="1" applyFont="1" applyFill="1" applyBorder="1" applyAlignment="1">
      <alignment horizontal="center"/>
    </xf>
    <xf numFmtId="184" fontId="8" fillId="17" borderId="45" xfId="0" applyNumberFormat="1" applyFont="1" applyFill="1" applyBorder="1" applyAlignment="1">
      <alignment horizontal="center"/>
    </xf>
    <xf numFmtId="3" fontId="5" fillId="0" borderId="87" xfId="0" applyNumberFormat="1" applyFont="1" applyFill="1" applyBorder="1"/>
    <xf numFmtId="165" fontId="5" fillId="0" borderId="87" xfId="0" applyNumberFormat="1" applyFont="1" applyFill="1" applyBorder="1"/>
    <xf numFmtId="0" fontId="6" fillId="0" borderId="43" xfId="0" applyFont="1" applyFill="1" applyBorder="1" applyAlignment="1">
      <alignment horizontal="center" vertical="center" wrapText="1"/>
    </xf>
    <xf numFmtId="0" fontId="7" fillId="9" borderId="38" xfId="0" applyFont="1" applyFill="1" applyBorder="1" applyAlignment="1"/>
    <xf numFmtId="0" fontId="8" fillId="21" borderId="45" xfId="0" applyFont="1" applyFill="1" applyBorder="1" applyAlignment="1">
      <alignment horizontal="center"/>
    </xf>
    <xf numFmtId="0" fontId="5" fillId="8" borderId="87" xfId="0" applyFont="1" applyFill="1" applyBorder="1" applyAlignment="1">
      <alignment horizontal="center"/>
    </xf>
    <xf numFmtId="0" fontId="0" fillId="0" borderId="0" xfId="0"/>
    <xf numFmtId="0" fontId="5" fillId="0" borderId="0" xfId="0" applyFont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5" fillId="9" borderId="0" xfId="0" applyFont="1" applyFill="1" applyBorder="1"/>
    <xf numFmtId="0" fontId="8" fillId="9" borderId="14" xfId="0" applyFont="1" applyFill="1" applyBorder="1"/>
    <xf numFmtId="0" fontId="8" fillId="0" borderId="0" xfId="0" applyFont="1" applyAlignment="1">
      <alignment horizontal="center" vertical="center" wrapText="1"/>
    </xf>
    <xf numFmtId="0" fontId="8" fillId="9" borderId="19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14" fillId="9" borderId="0" xfId="0" applyFont="1" applyFill="1"/>
    <xf numFmtId="0" fontId="2" fillId="0" borderId="0" xfId="0" applyFont="1"/>
    <xf numFmtId="0" fontId="2" fillId="9" borderId="0" xfId="0" applyFont="1" applyFill="1" applyBorder="1"/>
    <xf numFmtId="0" fontId="2" fillId="9" borderId="10" xfId="0" applyFont="1" applyFill="1" applyBorder="1"/>
    <xf numFmtId="0" fontId="5" fillId="9" borderId="11" xfId="0" applyFont="1" applyFill="1" applyBorder="1"/>
    <xf numFmtId="0" fontId="5" fillId="9" borderId="8" xfId="0" applyFont="1" applyFill="1" applyBorder="1"/>
    <xf numFmtId="0" fontId="0" fillId="9" borderId="0" xfId="0" applyFill="1" applyBorder="1"/>
    <xf numFmtId="0" fontId="56" fillId="9" borderId="0" xfId="4" applyFont="1" applyFill="1" applyBorder="1" applyAlignment="1">
      <alignment horizontal="center"/>
    </xf>
    <xf numFmtId="0" fontId="62" fillId="9" borderId="0" xfId="0" applyFont="1" applyFill="1" applyBorder="1"/>
    <xf numFmtId="0" fontId="62" fillId="9" borderId="11" xfId="0" applyFont="1" applyFill="1" applyBorder="1"/>
    <xf numFmtId="0" fontId="64" fillId="9" borderId="0" xfId="0" applyFont="1" applyFill="1" applyBorder="1"/>
    <xf numFmtId="0" fontId="65" fillId="9" borderId="0" xfId="0" applyFont="1" applyFill="1" applyBorder="1"/>
    <xf numFmtId="0" fontId="2" fillId="9" borderId="9" xfId="0" applyFont="1" applyFill="1" applyBorder="1"/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0" fontId="6" fillId="9" borderId="46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/>
    </xf>
    <xf numFmtId="0" fontId="5" fillId="12" borderId="45" xfId="0" applyFont="1" applyFill="1" applyBorder="1"/>
    <xf numFmtId="0" fontId="5" fillId="5" borderId="45" xfId="0" applyFont="1" applyFill="1" applyBorder="1"/>
    <xf numFmtId="0" fontId="5" fillId="2" borderId="45" xfId="0" applyFont="1" applyFill="1" applyBorder="1"/>
    <xf numFmtId="0" fontId="5" fillId="69" borderId="45" xfId="0" applyFont="1" applyFill="1" applyBorder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9" borderId="77" xfId="0" applyFill="1" applyBorder="1"/>
    <xf numFmtId="0" fontId="0" fillId="9" borderId="78" xfId="0" applyFill="1" applyBorder="1"/>
    <xf numFmtId="0" fontId="0" fillId="9" borderId="79" xfId="0" applyFill="1" applyBorder="1"/>
    <xf numFmtId="0" fontId="5" fillId="9" borderId="0" xfId="0" applyFont="1" applyFill="1" applyBorder="1" applyAlignment="1">
      <alignment horizontal="center"/>
    </xf>
    <xf numFmtId="3" fontId="5" fillId="9" borderId="42" xfId="0" applyNumberFormat="1" applyFont="1" applyFill="1" applyBorder="1"/>
    <xf numFmtId="0" fontId="5" fillId="9" borderId="42" xfId="0" applyFont="1" applyFill="1" applyBorder="1"/>
    <xf numFmtId="0" fontId="56" fillId="9" borderId="0" xfId="4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6" fillId="0" borderId="89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12" borderId="61" xfId="0" applyFont="1" applyFill="1" applyBorder="1" applyAlignment="1">
      <alignment horizontal="center" vertical="center" wrapText="1"/>
    </xf>
    <xf numFmtId="0" fontId="6" fillId="8" borderId="61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0" fontId="16" fillId="26" borderId="61" xfId="0" applyFont="1" applyFill="1" applyBorder="1" applyAlignment="1">
      <alignment horizontal="center" vertical="center" wrapText="1"/>
    </xf>
    <xf numFmtId="0" fontId="6" fillId="7" borderId="61" xfId="0" applyFont="1" applyFill="1" applyBorder="1" applyAlignment="1">
      <alignment horizontal="center" vertical="center" wrapText="1"/>
    </xf>
    <xf numFmtId="0" fontId="5" fillId="9" borderId="36" xfId="0" applyFont="1" applyFill="1" applyBorder="1"/>
    <xf numFmtId="0" fontId="37" fillId="9" borderId="36" xfId="0" applyFont="1" applyFill="1" applyBorder="1" applyAlignment="1">
      <alignment horizontal="center"/>
    </xf>
    <xf numFmtId="0" fontId="8" fillId="9" borderId="39" xfId="0" applyFont="1" applyFill="1" applyBorder="1"/>
    <xf numFmtId="0" fontId="5" fillId="9" borderId="39" xfId="0" applyFont="1" applyFill="1" applyBorder="1"/>
    <xf numFmtId="0" fontId="5" fillId="9" borderId="40" xfId="0" applyFont="1" applyFill="1" applyBorder="1"/>
    <xf numFmtId="0" fontId="5" fillId="9" borderId="34" xfId="0" applyFont="1" applyFill="1" applyBorder="1"/>
    <xf numFmtId="0" fontId="5" fillId="9" borderId="34" xfId="0" applyFont="1" applyFill="1" applyBorder="1" applyAlignment="1">
      <alignment horizontal="center"/>
    </xf>
    <xf numFmtId="0" fontId="29" fillId="0" borderId="45" xfId="0" applyFont="1" applyFill="1" applyBorder="1"/>
    <xf numFmtId="0" fontId="29" fillId="0" borderId="45" xfId="0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right"/>
    </xf>
    <xf numFmtId="3" fontId="29" fillId="0" borderId="45" xfId="0" applyNumberFormat="1" applyFont="1" applyFill="1" applyBorder="1" applyAlignment="1">
      <alignment horizontal="center"/>
    </xf>
    <xf numFmtId="0" fontId="62" fillId="9" borderId="75" xfId="0" applyFont="1" applyFill="1" applyBorder="1" applyAlignment="1"/>
    <xf numFmtId="0" fontId="62" fillId="9" borderId="76" xfId="0" applyFont="1" applyFill="1" applyBorder="1" applyAlignment="1"/>
    <xf numFmtId="0" fontId="74" fillId="9" borderId="75" xfId="0" applyFont="1" applyFill="1" applyBorder="1" applyAlignment="1"/>
    <xf numFmtId="0" fontId="74" fillId="9" borderId="0" xfId="0" applyFont="1" applyFill="1" applyBorder="1" applyAlignment="1"/>
    <xf numFmtId="0" fontId="74" fillId="9" borderId="76" xfId="0" applyFont="1" applyFill="1" applyBorder="1" applyAlignment="1"/>
    <xf numFmtId="3" fontId="5" fillId="8" borderId="42" xfId="0" applyNumberFormat="1" applyFont="1" applyFill="1" applyBorder="1" applyAlignment="1">
      <alignment horizontal="center" vertical="center"/>
    </xf>
    <xf numFmtId="3" fontId="5" fillId="8" borderId="42" xfId="0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center" vertical="center"/>
    </xf>
    <xf numFmtId="3" fontId="5" fillId="9" borderId="42" xfId="0" applyNumberFormat="1" applyFont="1" applyFill="1" applyBorder="1" applyAlignment="1">
      <alignment horizontal="center"/>
    </xf>
    <xf numFmtId="3" fontId="5" fillId="8" borderId="87" xfId="0" applyNumberFormat="1" applyFont="1" applyFill="1" applyBorder="1" applyAlignment="1">
      <alignment horizontal="center"/>
    </xf>
    <xf numFmtId="3" fontId="5" fillId="9" borderId="87" xfId="0" applyNumberFormat="1" applyFont="1" applyFill="1" applyBorder="1" applyAlignment="1">
      <alignment horizontal="center"/>
    </xf>
    <xf numFmtId="165" fontId="7" fillId="9" borderId="38" xfId="0" applyNumberFormat="1" applyFont="1" applyFill="1" applyBorder="1" applyAlignment="1"/>
    <xf numFmtId="165" fontId="6" fillId="9" borderId="38" xfId="0" applyNumberFormat="1" applyFont="1" applyFill="1" applyBorder="1" applyAlignment="1"/>
    <xf numFmtId="3" fontId="6" fillId="9" borderId="87" xfId="0" applyNumberFormat="1" applyFont="1" applyFill="1" applyBorder="1" applyAlignment="1"/>
    <xf numFmtId="165" fontId="6" fillId="9" borderId="87" xfId="0" applyNumberFormat="1" applyFont="1" applyFill="1" applyBorder="1" applyAlignment="1"/>
    <xf numFmtId="0" fontId="6" fillId="21" borderId="50" xfId="339" applyFont="1" applyFill="1" applyBorder="1" applyAlignment="1">
      <alignment horizontal="center" vertical="center" wrapText="1"/>
    </xf>
    <xf numFmtId="0" fontId="6" fillId="8" borderId="50" xfId="339" applyFont="1" applyFill="1" applyBorder="1" applyAlignment="1">
      <alignment horizontal="center" vertical="center" wrapText="1"/>
    </xf>
    <xf numFmtId="186" fontId="5" fillId="9" borderId="46" xfId="0" applyNumberFormat="1" applyFont="1" applyFill="1" applyBorder="1"/>
    <xf numFmtId="165" fontId="5" fillId="9" borderId="46" xfId="0" applyNumberFormat="1" applyFont="1" applyFill="1" applyBorder="1"/>
    <xf numFmtId="0" fontId="26" fillId="9" borderId="0" xfId="0" applyFont="1" applyFill="1" applyBorder="1"/>
    <xf numFmtId="0" fontId="6" fillId="13" borderId="50" xfId="339" applyFont="1" applyFill="1" applyBorder="1" applyAlignment="1">
      <alignment horizontal="center" vertical="center" wrapText="1"/>
    </xf>
    <xf numFmtId="185" fontId="6" fillId="13" borderId="50" xfId="339" applyNumberFormat="1" applyFont="1" applyFill="1" applyBorder="1" applyAlignment="1">
      <alignment horizontal="center" vertical="center" wrapText="1"/>
    </xf>
    <xf numFmtId="0" fontId="16" fillId="68" borderId="55" xfId="339" applyFont="1" applyFill="1" applyBorder="1" applyAlignment="1">
      <alignment horizontal="center" vertical="center" wrapText="1"/>
    </xf>
    <xf numFmtId="165" fontId="16" fillId="68" borderId="44" xfId="339" applyNumberFormat="1" applyFont="1" applyFill="1" applyBorder="1" applyAlignment="1">
      <alignment horizontal="center" vertical="center" wrapText="1"/>
    </xf>
    <xf numFmtId="0" fontId="80" fillId="9" borderId="0" xfId="0" applyFont="1" applyFill="1" applyBorder="1"/>
    <xf numFmtId="0" fontId="6" fillId="9" borderId="37" xfId="0" applyFont="1" applyFill="1" applyBorder="1"/>
    <xf numFmtId="165" fontId="6" fillId="9" borderId="36" xfId="0" applyNumberFormat="1" applyFont="1" applyFill="1" applyBorder="1"/>
    <xf numFmtId="0" fontId="6" fillId="9" borderId="0" xfId="0" applyFont="1" applyFill="1" applyBorder="1"/>
    <xf numFmtId="165" fontId="6" fillId="9" borderId="0" xfId="0" applyNumberFormat="1" applyFont="1" applyFill="1" applyBorder="1"/>
    <xf numFmtId="0" fontId="6" fillId="12" borderId="43" xfId="0" applyFont="1" applyFill="1" applyBorder="1" applyAlignment="1">
      <alignment horizontal="center" vertical="center" wrapText="1"/>
    </xf>
    <xf numFmtId="165" fontId="5" fillId="12" borderId="87" xfId="0" applyNumberFormat="1" applyFont="1" applyFill="1" applyBorder="1"/>
    <xf numFmtId="165" fontId="0" fillId="9" borderId="79" xfId="0" applyNumberFormat="1" applyFill="1" applyBorder="1"/>
    <xf numFmtId="165" fontId="5" fillId="12" borderId="42" xfId="0" applyNumberFormat="1" applyFont="1" applyFill="1" applyBorder="1"/>
    <xf numFmtId="0" fontId="6" fillId="12" borderId="42" xfId="0" applyFont="1" applyFill="1" applyBorder="1" applyAlignment="1">
      <alignment horizontal="center" vertical="center" wrapText="1"/>
    </xf>
    <xf numFmtId="176" fontId="5" fillId="12" borderId="87" xfId="0" applyNumberFormat="1" applyFont="1" applyFill="1" applyBorder="1"/>
    <xf numFmtId="3" fontId="5" fillId="12" borderId="87" xfId="0" applyNumberFormat="1" applyFont="1" applyFill="1" applyBorder="1"/>
    <xf numFmtId="0" fontId="23" fillId="9" borderId="0" xfId="0" applyFont="1" applyFill="1"/>
    <xf numFmtId="0" fontId="29" fillId="0" borderId="42" xfId="187" applyFont="1" applyBorder="1" applyAlignment="1">
      <alignment horizontal="left"/>
    </xf>
    <xf numFmtId="0" fontId="81" fillId="9" borderId="9" xfId="0" applyFont="1" applyFill="1" applyBorder="1"/>
    <xf numFmtId="165" fontId="16" fillId="9" borderId="0" xfId="0" applyNumberFormat="1" applyFont="1" applyFill="1" applyBorder="1"/>
    <xf numFmtId="0" fontId="37" fillId="0" borderId="0" xfId="0" applyFont="1" applyBorder="1"/>
    <xf numFmtId="0" fontId="37" fillId="9" borderId="0" xfId="0" applyFont="1" applyFill="1" applyBorder="1"/>
    <xf numFmtId="0" fontId="1" fillId="9" borderId="10" xfId="0" applyFont="1" applyFill="1" applyBorder="1"/>
    <xf numFmtId="0" fontId="5" fillId="9" borderId="45" xfId="0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180" fontId="25" fillId="0" borderId="0" xfId="187" applyNumberFormat="1" applyFont="1" applyBorder="1" applyAlignment="1">
      <alignment horizontal="center" vertical="center"/>
    </xf>
    <xf numFmtId="7" fontId="29" fillId="0" borderId="0" xfId="187" applyNumberFormat="1" applyFont="1" applyBorder="1" applyAlignment="1">
      <alignment horizontal="center" vertical="center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59" fillId="9" borderId="32" xfId="0" applyFont="1" applyFill="1" applyBorder="1" applyAlignment="1">
      <alignment horizontal="center"/>
    </xf>
    <xf numFmtId="0" fontId="59" fillId="9" borderId="81" xfId="0" applyFont="1" applyFill="1" applyBorder="1" applyAlignment="1">
      <alignment horizontal="center"/>
    </xf>
    <xf numFmtId="0" fontId="59" fillId="9" borderId="82" xfId="0" applyFont="1" applyFill="1" applyBorder="1" applyAlignment="1">
      <alignment horizontal="center"/>
    </xf>
    <xf numFmtId="0" fontId="51" fillId="9" borderId="30" xfId="4" applyFont="1" applyFill="1" applyBorder="1" applyAlignment="1">
      <alignment horizontal="left" vertical="center"/>
    </xf>
    <xf numFmtId="0" fontId="51" fillId="9" borderId="31" xfId="4" applyFont="1" applyFill="1" applyBorder="1" applyAlignment="1">
      <alignment horizontal="left" vertical="center"/>
    </xf>
    <xf numFmtId="0" fontId="58" fillId="0" borderId="30" xfId="0" applyFont="1" applyBorder="1" applyAlignment="1">
      <alignment horizontal="left" vertical="center" wrapText="1"/>
    </xf>
    <xf numFmtId="0" fontId="58" fillId="0" borderId="31" xfId="0" applyFont="1" applyBorder="1" applyAlignment="1">
      <alignment horizontal="left" vertical="center" wrapText="1"/>
    </xf>
    <xf numFmtId="0" fontId="68" fillId="68" borderId="0" xfId="187" applyFont="1" applyFill="1" applyBorder="1" applyAlignment="1">
      <alignment horizontal="center" vertical="center"/>
    </xf>
    <xf numFmtId="0" fontId="56" fillId="9" borderId="0" xfId="4" applyFont="1" applyFill="1" applyBorder="1" applyAlignment="1">
      <alignment horizontal="center"/>
    </xf>
    <xf numFmtId="0" fontId="62" fillId="9" borderId="10" xfId="0" applyFont="1" applyFill="1" applyBorder="1" applyAlignment="1">
      <alignment horizontal="center"/>
    </xf>
    <xf numFmtId="0" fontId="62" fillId="9" borderId="0" xfId="0" applyFont="1" applyFill="1" applyBorder="1" applyAlignment="1">
      <alignment horizontal="center"/>
    </xf>
    <xf numFmtId="0" fontId="62" fillId="9" borderId="11" xfId="0" applyFont="1" applyFill="1" applyBorder="1" applyAlignment="1">
      <alignment horizontal="center"/>
    </xf>
    <xf numFmtId="178" fontId="62" fillId="9" borderId="10" xfId="0" applyNumberFormat="1" applyFont="1" applyFill="1" applyBorder="1" applyAlignment="1">
      <alignment horizontal="center"/>
    </xf>
    <xf numFmtId="178" fontId="62" fillId="9" borderId="0" xfId="0" applyNumberFormat="1" applyFont="1" applyFill="1" applyBorder="1" applyAlignment="1">
      <alignment horizontal="center"/>
    </xf>
    <xf numFmtId="178" fontId="62" fillId="9" borderId="11" xfId="0" applyNumberFormat="1" applyFont="1" applyFill="1" applyBorder="1" applyAlignment="1">
      <alignment horizontal="center"/>
    </xf>
    <xf numFmtId="0" fontId="10" fillId="21" borderId="0" xfId="339" applyFont="1" applyFill="1" applyBorder="1" applyAlignment="1">
      <alignment horizontal="center" vertical="center" wrapText="1"/>
    </xf>
    <xf numFmtId="0" fontId="10" fillId="8" borderId="0" xfId="339" applyFont="1" applyFill="1" applyBorder="1" applyAlignment="1">
      <alignment horizontal="center" vertical="center" wrapText="1"/>
    </xf>
    <xf numFmtId="0" fontId="74" fillId="9" borderId="75" xfId="0" applyFont="1" applyFill="1" applyBorder="1" applyAlignment="1">
      <alignment horizontal="left"/>
    </xf>
    <xf numFmtId="0" fontId="74" fillId="9" borderId="0" xfId="0" applyFont="1" applyFill="1" applyBorder="1" applyAlignment="1">
      <alignment horizontal="left"/>
    </xf>
    <xf numFmtId="0" fontId="74" fillId="9" borderId="76" xfId="0" applyFont="1" applyFill="1" applyBorder="1" applyAlignment="1">
      <alignment horizontal="left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7" fillId="8" borderId="42" xfId="0" applyFont="1" applyFill="1" applyBorder="1" applyAlignment="1">
      <alignment horizontal="center"/>
    </xf>
    <xf numFmtId="0" fontId="7" fillId="9" borderId="42" xfId="0" applyFont="1" applyFill="1" applyBorder="1" applyAlignment="1">
      <alignment horizontal="center"/>
    </xf>
    <xf numFmtId="0" fontId="7" fillId="8" borderId="47" xfId="0" applyFont="1" applyFill="1" applyBorder="1" applyAlignment="1">
      <alignment horizontal="center"/>
    </xf>
    <xf numFmtId="0" fontId="7" fillId="8" borderId="35" xfId="0" applyFont="1" applyFill="1" applyBorder="1" applyAlignment="1">
      <alignment horizontal="center"/>
    </xf>
    <xf numFmtId="0" fontId="10" fillId="7" borderId="88" xfId="0" applyFont="1" applyFill="1" applyBorder="1" applyAlignment="1">
      <alignment horizontal="center"/>
    </xf>
    <xf numFmtId="0" fontId="10" fillId="6" borderId="46" xfId="0" applyFont="1" applyFill="1" applyBorder="1" applyAlignment="1">
      <alignment horizontal="center" vertical="center"/>
    </xf>
    <xf numFmtId="0" fontId="62" fillId="9" borderId="39" xfId="0" applyFont="1" applyFill="1" applyBorder="1" applyAlignment="1">
      <alignment horizontal="center"/>
    </xf>
    <xf numFmtId="0" fontId="17" fillId="4" borderId="46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17" fillId="8" borderId="51" xfId="0" applyFont="1" applyFill="1" applyBorder="1" applyAlignment="1">
      <alignment horizontal="center" vertical="center" wrapText="1"/>
    </xf>
    <xf numFmtId="0" fontId="17" fillId="8" borderId="60" xfId="0" applyFont="1" applyFill="1" applyBorder="1" applyAlignment="1">
      <alignment horizontal="center" vertical="center" wrapText="1"/>
    </xf>
    <xf numFmtId="0" fontId="17" fillId="8" borderId="49" xfId="0" applyFont="1" applyFill="1" applyBorder="1" applyAlignment="1">
      <alignment horizontal="center" vertical="center" wrapText="1"/>
    </xf>
    <xf numFmtId="0" fontId="17" fillId="12" borderId="9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91" xfId="0" applyFont="1" applyFill="1" applyBorder="1" applyAlignment="1">
      <alignment horizontal="center" vertical="center" wrapText="1"/>
    </xf>
    <xf numFmtId="177" fontId="9" fillId="12" borderId="39" xfId="6" applyNumberFormat="1" applyFont="1" applyFill="1" applyBorder="1" applyAlignment="1">
      <alignment horizontal="center"/>
    </xf>
    <xf numFmtId="177" fontId="9" fillId="12" borderId="0" xfId="6" applyNumberFormat="1" applyFont="1" applyFill="1" applyBorder="1" applyAlignment="1">
      <alignment horizontal="center"/>
    </xf>
    <xf numFmtId="0" fontId="10" fillId="5" borderId="88" xfId="0" applyFont="1" applyFill="1" applyBorder="1" applyAlignment="1">
      <alignment horizontal="center"/>
    </xf>
    <xf numFmtId="0" fontId="22" fillId="26" borderId="51" xfId="0" applyFont="1" applyFill="1" applyBorder="1" applyAlignment="1">
      <alignment horizontal="center" vertical="center"/>
    </xf>
    <xf numFmtId="0" fontId="22" fillId="26" borderId="60" xfId="0" applyFont="1" applyFill="1" applyBorder="1" applyAlignment="1">
      <alignment horizontal="center" vertical="center"/>
    </xf>
    <xf numFmtId="0" fontId="22" fillId="26" borderId="49" xfId="0" applyFont="1" applyFill="1" applyBorder="1" applyAlignment="1">
      <alignment horizontal="center" vertical="center"/>
    </xf>
    <xf numFmtId="0" fontId="10" fillId="18" borderId="5" xfId="0" applyFont="1" applyFill="1" applyBorder="1" applyAlignment="1">
      <alignment horizontal="center" vertical="center" wrapText="1"/>
    </xf>
    <xf numFmtId="0" fontId="10" fillId="18" borderId="6" xfId="0" applyFont="1" applyFill="1" applyBorder="1" applyAlignment="1">
      <alignment horizontal="center" vertical="center" wrapText="1"/>
    </xf>
    <xf numFmtId="0" fontId="10" fillId="18" borderId="21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/>
    </xf>
    <xf numFmtId="0" fontId="17" fillId="23" borderId="78" xfId="0" applyFont="1" applyFill="1" applyBorder="1" applyAlignment="1">
      <alignment horizontal="center" wrapText="1"/>
    </xf>
    <xf numFmtId="0" fontId="17" fillId="20" borderId="78" xfId="0" applyFont="1" applyFill="1" applyBorder="1" applyAlignment="1">
      <alignment horizontal="center"/>
    </xf>
    <xf numFmtId="0" fontId="59" fillId="9" borderId="75" xfId="0" applyFont="1" applyFill="1" applyBorder="1" applyAlignment="1">
      <alignment horizontal="center"/>
    </xf>
    <xf numFmtId="0" fontId="59" fillId="9" borderId="0" xfId="0" applyFont="1" applyFill="1" applyBorder="1" applyAlignment="1">
      <alignment horizontal="center"/>
    </xf>
    <xf numFmtId="0" fontId="59" fillId="9" borderId="76" xfId="0" applyFont="1" applyFill="1" applyBorder="1" applyAlignment="1">
      <alignment horizontal="center"/>
    </xf>
    <xf numFmtId="0" fontId="73" fillId="9" borderId="0" xfId="0" applyFont="1" applyFill="1" applyBorder="1" applyAlignment="1">
      <alignment horizontal="center"/>
    </xf>
    <xf numFmtId="0" fontId="17" fillId="21" borderId="78" xfId="0" applyFont="1" applyFill="1" applyBorder="1" applyAlignment="1">
      <alignment horizontal="center"/>
    </xf>
    <xf numFmtId="0" fontId="17" fillId="5" borderId="78" xfId="0" applyFont="1" applyFill="1" applyBorder="1" applyAlignment="1">
      <alignment horizontal="center"/>
    </xf>
    <xf numFmtId="0" fontId="17" fillId="3" borderId="78" xfId="0" applyFont="1" applyFill="1" applyBorder="1" applyAlignment="1">
      <alignment horizontal="center"/>
    </xf>
    <xf numFmtId="0" fontId="17" fillId="70" borderId="78" xfId="0" applyFont="1" applyFill="1" applyBorder="1" applyAlignment="1">
      <alignment horizontal="center"/>
    </xf>
    <xf numFmtId="0" fontId="17" fillId="12" borderId="78" xfId="0" applyFont="1" applyFill="1" applyBorder="1" applyAlignment="1">
      <alignment horizontal="center"/>
    </xf>
    <xf numFmtId="6" fontId="20" fillId="9" borderId="0" xfId="6" applyNumberFormat="1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center"/>
    </xf>
    <xf numFmtId="6" fontId="4" fillId="9" borderId="0" xfId="6" applyNumberFormat="1" applyFont="1" applyFill="1" applyBorder="1" applyAlignment="1">
      <alignment horizontal="center"/>
    </xf>
    <xf numFmtId="0" fontId="17" fillId="9" borderId="78" xfId="0" applyFont="1" applyFill="1" applyBorder="1" applyAlignment="1">
      <alignment horizontal="center"/>
    </xf>
    <xf numFmtId="0" fontId="17" fillId="9" borderId="79" xfId="0" applyFont="1" applyFill="1" applyBorder="1" applyAlignment="1">
      <alignment horizontal="center"/>
    </xf>
    <xf numFmtId="0" fontId="17" fillId="11" borderId="78" xfId="0" applyFont="1" applyFill="1" applyBorder="1" applyAlignment="1">
      <alignment horizontal="center"/>
    </xf>
    <xf numFmtId="0" fontId="14" fillId="9" borderId="45" xfId="0" applyFont="1" applyFill="1" applyBorder="1" applyAlignment="1">
      <alignment horizontal="center" vertical="center" wrapText="1"/>
    </xf>
    <xf numFmtId="0" fontId="6" fillId="13" borderId="52" xfId="0" applyFont="1" applyFill="1" applyBorder="1" applyAlignment="1">
      <alignment horizontal="center"/>
    </xf>
    <xf numFmtId="0" fontId="6" fillId="13" borderId="53" xfId="0" applyFont="1" applyFill="1" applyBorder="1" applyAlignment="1">
      <alignment horizontal="center"/>
    </xf>
    <xf numFmtId="0" fontId="6" fillId="13" borderId="54" xfId="0" applyFont="1" applyFill="1" applyBorder="1" applyAlignment="1">
      <alignment horizontal="center"/>
    </xf>
    <xf numFmtId="0" fontId="18" fillId="15" borderId="52" xfId="0" applyFont="1" applyFill="1" applyBorder="1" applyAlignment="1">
      <alignment horizontal="center"/>
    </xf>
    <xf numFmtId="0" fontId="18" fillId="15" borderId="53" xfId="0" applyFont="1" applyFill="1" applyBorder="1" applyAlignment="1">
      <alignment horizontal="center"/>
    </xf>
    <xf numFmtId="0" fontId="18" fillId="15" borderId="54" xfId="0" applyFont="1" applyFill="1" applyBorder="1" applyAlignment="1">
      <alignment horizontal="center"/>
    </xf>
    <xf numFmtId="0" fontId="6" fillId="0" borderId="45" xfId="0" applyFont="1" applyBorder="1" applyAlignment="1">
      <alignment horizontal="center" vertical="center" wrapText="1"/>
    </xf>
    <xf numFmtId="0" fontId="62" fillId="9" borderId="16" xfId="0" applyFont="1" applyFill="1" applyBorder="1" applyAlignment="1">
      <alignment horizontal="center"/>
    </xf>
    <xf numFmtId="0" fontId="62" fillId="9" borderId="17" xfId="0" applyFont="1" applyFill="1" applyBorder="1" applyAlignment="1">
      <alignment horizontal="center"/>
    </xf>
    <xf numFmtId="0" fontId="9" fillId="5" borderId="56" xfId="0" applyFont="1" applyFill="1" applyBorder="1" applyAlignment="1">
      <alignment horizontal="center" vertical="center" wrapText="1"/>
    </xf>
    <xf numFmtId="0" fontId="9" fillId="5" borderId="57" xfId="0" applyFont="1" applyFill="1" applyBorder="1" applyAlignment="1">
      <alignment horizontal="center" vertical="center" wrapText="1"/>
    </xf>
    <xf numFmtId="0" fontId="9" fillId="5" borderId="58" xfId="0" applyFont="1" applyFill="1" applyBorder="1" applyAlignment="1">
      <alignment horizontal="center" vertical="center" wrapText="1"/>
    </xf>
    <xf numFmtId="0" fontId="9" fillId="19" borderId="59" xfId="0" applyFont="1" applyFill="1" applyBorder="1" applyAlignment="1">
      <alignment horizontal="center" vertical="center" wrapText="1"/>
    </xf>
    <xf numFmtId="0" fontId="9" fillId="19" borderId="60" xfId="0" applyFont="1" applyFill="1" applyBorder="1" applyAlignment="1">
      <alignment horizontal="center" vertical="center" wrapText="1"/>
    </xf>
    <xf numFmtId="0" fontId="9" fillId="19" borderId="67" xfId="0" applyFont="1" applyFill="1" applyBorder="1" applyAlignment="1">
      <alignment horizontal="center" vertical="center" wrapText="1"/>
    </xf>
    <xf numFmtId="0" fontId="62" fillId="9" borderId="65" xfId="0" applyFont="1" applyFill="1" applyBorder="1" applyAlignment="1">
      <alignment horizontal="center"/>
    </xf>
    <xf numFmtId="0" fontId="62" fillId="9" borderId="66" xfId="0" applyFont="1" applyFill="1" applyBorder="1" applyAlignment="1">
      <alignment horizontal="center"/>
    </xf>
  </cellXfs>
  <cellStyles count="500">
    <cellStyle name="20% - Énfasis1" xfId="115" builtinId="30" customBuiltin="1"/>
    <cellStyle name="20% - Énfasis2" xfId="119" builtinId="34" customBuiltin="1"/>
    <cellStyle name="20% - Énfasis3" xfId="123" builtinId="38" customBuiltin="1"/>
    <cellStyle name="20% - Énfasis4" xfId="127" builtinId="42" customBuiltin="1"/>
    <cellStyle name="20% - Énfasis5" xfId="131" builtinId="46" customBuiltin="1"/>
    <cellStyle name="20% - Énfasis6" xfId="135" builtinId="50" customBuiltin="1"/>
    <cellStyle name="40% - Énfasis1" xfId="116" builtinId="31" customBuiltin="1"/>
    <cellStyle name="40% - Énfasis2" xfId="120" builtinId="35" customBuiltin="1"/>
    <cellStyle name="40% - Énfasis3" xfId="124" builtinId="39" customBuiltin="1"/>
    <cellStyle name="40% - Énfasis4" xfId="128" builtinId="43" customBuiltin="1"/>
    <cellStyle name="40% - Énfasis5" xfId="132" builtinId="47" customBuiltin="1"/>
    <cellStyle name="40% - Énfasis6" xfId="136" builtinId="51" customBuiltin="1"/>
    <cellStyle name="60% - Énfasis1" xfId="117" builtinId="32" customBuiltin="1"/>
    <cellStyle name="60% - Énfasis2" xfId="121" builtinId="36" customBuiltin="1"/>
    <cellStyle name="60% - Énfasis3" xfId="125" builtinId="40" customBuiltin="1"/>
    <cellStyle name="60% - Énfasis4" xfId="129" builtinId="44" customBuiltin="1"/>
    <cellStyle name="60% - Énfasis5" xfId="133" builtinId="48" customBuiltin="1"/>
    <cellStyle name="60% - Énfasis6" xfId="137" builtinId="52" customBuiltin="1"/>
    <cellStyle name="Buena" xfId="308"/>
    <cellStyle name="Cálculo" xfId="107" builtinId="22" customBuiltin="1"/>
    <cellStyle name="Celda de comprobación" xfId="109" builtinId="23" customBuiltin="1"/>
    <cellStyle name="Celda vinculada" xfId="108" builtinId="24" customBuiltin="1"/>
    <cellStyle name="Encabezado 4" xfId="102" builtinId="19" customBuiltin="1"/>
    <cellStyle name="Énfasis 1" xfId="152"/>
    <cellStyle name="Énfasis 2" xfId="153"/>
    <cellStyle name="Énfasis 3" xfId="154"/>
    <cellStyle name="Énfasis1" xfId="114" builtinId="29" customBuiltin="1"/>
    <cellStyle name="Énfasis1 - 20%" xfId="155"/>
    <cellStyle name="Énfasis1 - 40%" xfId="156"/>
    <cellStyle name="Énfasis1 - 60%" xfId="157"/>
    <cellStyle name="Énfasis2" xfId="118" builtinId="33" customBuiltin="1"/>
    <cellStyle name="Énfasis2 - 20%" xfId="158"/>
    <cellStyle name="Énfasis2 - 40%" xfId="159"/>
    <cellStyle name="Énfasis2 - 60%" xfId="160"/>
    <cellStyle name="Énfasis3" xfId="122" builtinId="37" customBuiltin="1"/>
    <cellStyle name="Énfasis3 - 20%" xfId="161"/>
    <cellStyle name="Énfasis3 - 40%" xfId="162"/>
    <cellStyle name="Énfasis3 - 60%" xfId="163"/>
    <cellStyle name="Énfasis4" xfId="126" builtinId="41" customBuiltin="1"/>
    <cellStyle name="Énfasis4 - 20%" xfId="164"/>
    <cellStyle name="Énfasis4 - 40%" xfId="165"/>
    <cellStyle name="Énfasis4 - 60%" xfId="166"/>
    <cellStyle name="Énfasis5" xfId="130" builtinId="45" customBuiltin="1"/>
    <cellStyle name="Énfasis5 - 20%" xfId="167"/>
    <cellStyle name="Énfasis5 - 40%" xfId="168"/>
    <cellStyle name="Énfasis5 - 60%" xfId="169"/>
    <cellStyle name="Énfasis6" xfId="134" builtinId="49" customBuiltin="1"/>
    <cellStyle name="Énfasis6 - 20%" xfId="170"/>
    <cellStyle name="Énfasis6 - 40%" xfId="171"/>
    <cellStyle name="Énfasis6 - 60%" xfId="172"/>
    <cellStyle name="Entrada" xfId="105" builtinId="20" customBuiltin="1"/>
    <cellStyle name="Euro" xfId="37"/>
    <cellStyle name="Euro 2" xfId="38"/>
    <cellStyle name="Euro 3" xfId="173"/>
    <cellStyle name="Hipervínculo" xfId="4" builtinId="8"/>
    <cellStyle name="Hipervínculo 2" xfId="99"/>
    <cellStyle name="Hipervínculo 3" xfId="49"/>
    <cellStyle name="Incorrecto" xfId="103" builtinId="27" customBuiltin="1"/>
    <cellStyle name="Millares" xfId="307"/>
    <cellStyle name="Millares [0] 2" xfId="86"/>
    <cellStyle name="Millares 10" xfId="84"/>
    <cellStyle name="Millares 11" xfId="13"/>
    <cellStyle name="Millares 12" xfId="87"/>
    <cellStyle name="Millares 13" xfId="61"/>
    <cellStyle name="Millares 14" xfId="88"/>
    <cellStyle name="Millares 15" xfId="98"/>
    <cellStyle name="Millares 16" xfId="97"/>
    <cellStyle name="Millares 17" xfId="94"/>
    <cellStyle name="Millares 18" xfId="138"/>
    <cellStyle name="Millares 19" xfId="141"/>
    <cellStyle name="Millares 2" xfId="14"/>
    <cellStyle name="Millares 2 2" xfId="15"/>
    <cellStyle name="Millares 2 2 2" xfId="26"/>
    <cellStyle name="Millares 2 2 9" xfId="59"/>
    <cellStyle name="Millares 2 3" xfId="25"/>
    <cellStyle name="Millares 2 4" xfId="54"/>
    <cellStyle name="Millares 2 4 2" xfId="71"/>
    <cellStyle name="Millares 2 5" xfId="90"/>
    <cellStyle name="Millares 2 6" xfId="147"/>
    <cellStyle name="Millares 2 7" xfId="145"/>
    <cellStyle name="Millares 2 8" xfId="148"/>
    <cellStyle name="Millares 20" xfId="140"/>
    <cellStyle name="Millares 21" xfId="142"/>
    <cellStyle name="Millares 22" xfId="144"/>
    <cellStyle name="Millares 23" xfId="186"/>
    <cellStyle name="Millares 24" xfId="188"/>
    <cellStyle name="Millares 25" xfId="206"/>
    <cellStyle name="Millares 26" xfId="201"/>
    <cellStyle name="Millares 27" xfId="197"/>
    <cellStyle name="Millares 28" xfId="207"/>
    <cellStyle name="Millares 29" xfId="196"/>
    <cellStyle name="Millares 3" xfId="16"/>
    <cellStyle name="Millares 3 2" xfId="27"/>
    <cellStyle name="Millares 30" xfId="202"/>
    <cellStyle name="Millares 31" xfId="210"/>
    <cellStyle name="Millares 32" xfId="211"/>
    <cellStyle name="Millares 33" xfId="192"/>
    <cellStyle name="Millares 34" xfId="200"/>
    <cellStyle name="Millares 35" xfId="208"/>
    <cellStyle name="Millares 36" xfId="214"/>
    <cellStyle name="Millares 37" xfId="245"/>
    <cellStyle name="Millares 38" xfId="252"/>
    <cellStyle name="Millares 39" xfId="236"/>
    <cellStyle name="Millares 4" xfId="34"/>
    <cellStyle name="Millares 40" xfId="244"/>
    <cellStyle name="Millares 41" xfId="272"/>
    <cellStyle name="Millares 42" xfId="274"/>
    <cellStyle name="Millares 43" xfId="276"/>
    <cellStyle name="Millares 44" xfId="278"/>
    <cellStyle name="Millares 45" xfId="280"/>
    <cellStyle name="Millares 46" xfId="282"/>
    <cellStyle name="Millares 47" xfId="283"/>
    <cellStyle name="Millares 48" xfId="284"/>
    <cellStyle name="Millares 49" xfId="285"/>
    <cellStyle name="Millares 5" xfId="36"/>
    <cellStyle name="Millares 50" xfId="286"/>
    <cellStyle name="Millares 51" xfId="287"/>
    <cellStyle name="Millares 52" xfId="288"/>
    <cellStyle name="Millares 53" xfId="289"/>
    <cellStyle name="Millares 54" xfId="290"/>
    <cellStyle name="Millares 55" xfId="291"/>
    <cellStyle name="Millares 56" xfId="292"/>
    <cellStyle name="Millares 57" xfId="293"/>
    <cellStyle name="Millares 58" xfId="294"/>
    <cellStyle name="Millares 59" xfId="295"/>
    <cellStyle name="Millares 6" xfId="42"/>
    <cellStyle name="Millares 60" xfId="296"/>
    <cellStyle name="Millares 61" xfId="297"/>
    <cellStyle name="Millares 62" xfId="298"/>
    <cellStyle name="Millares 63" xfId="299"/>
    <cellStyle name="Millares 64" xfId="300"/>
    <cellStyle name="Millares 65" xfId="301"/>
    <cellStyle name="Millares 66" xfId="302"/>
    <cellStyle name="Millares 67" xfId="304"/>
    <cellStyle name="Millares 68" xfId="305"/>
    <cellStyle name="Millares 69" xfId="303"/>
    <cellStyle name="Millares 7" xfId="46"/>
    <cellStyle name="Millares 7 2" xfId="58"/>
    <cellStyle name="Millares 70" xfId="306"/>
    <cellStyle name="Millares 8" xfId="10"/>
    <cellStyle name="Millares 8 2" xfId="73"/>
    <cellStyle name="Millares 9" xfId="67"/>
    <cellStyle name="Moneda" xfId="5" builtinId="4"/>
    <cellStyle name="Moneda [0] 2" xfId="76"/>
    <cellStyle name="Moneda 10" xfId="62"/>
    <cellStyle name="Moneda 11" xfId="95"/>
    <cellStyle name="Moneda 12" xfId="93"/>
    <cellStyle name="Moneda 13" xfId="89"/>
    <cellStyle name="Moneda 14" xfId="143"/>
    <cellStyle name="Moneda 15" xfId="146"/>
    <cellStyle name="Moneda 16" xfId="185"/>
    <cellStyle name="Moneda 17" xfId="189"/>
    <cellStyle name="Moneda 18" xfId="195"/>
    <cellStyle name="Moneda 19" xfId="209"/>
    <cellStyle name="Moneda 2" xfId="11"/>
    <cellStyle name="Moneda 2 2" xfId="28"/>
    <cellStyle name="Moneda 2 2 2" xfId="63"/>
    <cellStyle name="Moneda 2 3" xfId="64"/>
    <cellStyle name="Moneda 2 4" xfId="18"/>
    <cellStyle name="Moneda 20" xfId="205"/>
    <cellStyle name="Moneda 21" xfId="199"/>
    <cellStyle name="Moneda 22" xfId="194"/>
    <cellStyle name="Moneda 23" xfId="204"/>
    <cellStyle name="Moneda 24" xfId="191"/>
    <cellStyle name="Moneda 25" xfId="198"/>
    <cellStyle name="Moneda 26" xfId="203"/>
    <cellStyle name="Moneda 27" xfId="190"/>
    <cellStyle name="Moneda 28" xfId="193"/>
    <cellStyle name="Moneda 29" xfId="217"/>
    <cellStyle name="Moneda 3" xfId="39"/>
    <cellStyle name="Moneda 3 3" xfId="57"/>
    <cellStyle name="Moneda 30" xfId="220"/>
    <cellStyle name="Moneda 31" xfId="266"/>
    <cellStyle name="Moneda 32" xfId="255"/>
    <cellStyle name="Moneda 33" xfId="235"/>
    <cellStyle name="Moneda 34" xfId="216"/>
    <cellStyle name="Moneda 35" xfId="219"/>
    <cellStyle name="Moneda 36" xfId="232"/>
    <cellStyle name="Moneda 37" xfId="225"/>
    <cellStyle name="Moneda 38" xfId="223"/>
    <cellStyle name="Moneda 39" xfId="241"/>
    <cellStyle name="Moneda 4" xfId="43"/>
    <cellStyle name="Moneda 4 2" xfId="56"/>
    <cellStyle name="Moneda 40" xfId="268"/>
    <cellStyle name="Moneda 41" xfId="258"/>
    <cellStyle name="Moneda 42" xfId="237"/>
    <cellStyle name="Moneda 43" xfId="261"/>
    <cellStyle name="Moneda 44" xfId="239"/>
    <cellStyle name="Moneda 45" xfId="215"/>
    <cellStyle name="Moneda 46" xfId="257"/>
    <cellStyle name="Moneda 47" xfId="259"/>
    <cellStyle name="Moneda 48" xfId="260"/>
    <cellStyle name="Moneda 49" xfId="248"/>
    <cellStyle name="Moneda 5" xfId="53"/>
    <cellStyle name="Moneda 50" xfId="254"/>
    <cellStyle name="Moneda 51" xfId="267"/>
    <cellStyle name="Moneda 52" xfId="243"/>
    <cellStyle name="Moneda 53" xfId="218"/>
    <cellStyle name="Moneda 54" xfId="273"/>
    <cellStyle name="Moneda 55" xfId="275"/>
    <cellStyle name="Moneda 56" xfId="277"/>
    <cellStyle name="Moneda 57" xfId="279"/>
    <cellStyle name="Moneda 58" xfId="281"/>
    <cellStyle name="Moneda 6" xfId="66"/>
    <cellStyle name="Moneda 7" xfId="52"/>
    <cellStyle name="Moneda 8" xfId="77"/>
    <cellStyle name="Moneda 8 2" xfId="79"/>
    <cellStyle name="Moneda 9" xfId="17"/>
    <cellStyle name="Neutral" xfId="104" builtinId="28" customBuiltin="1"/>
    <cellStyle name="Normal" xfId="0" builtinId="0"/>
    <cellStyle name="Normal 10" xfId="47"/>
    <cellStyle name="Normal 10 2" xfId="51"/>
    <cellStyle name="Normal 10 3" xfId="184"/>
    <cellStyle name="Normal 11" xfId="48"/>
    <cellStyle name="Normal 12" xfId="65"/>
    <cellStyle name="Normal 13" xfId="69"/>
    <cellStyle name="Normal 14" xfId="72"/>
    <cellStyle name="Normal 14 2" xfId="2"/>
    <cellStyle name="Normal 15" xfId="80"/>
    <cellStyle name="Normal 16" xfId="81"/>
    <cellStyle name="Normal 17" xfId="83"/>
    <cellStyle name="Normal 18" xfId="12"/>
    <cellStyle name="Normal 19" xfId="187"/>
    <cellStyle name="Normal 19 2" xfId="339"/>
    <cellStyle name="Normal 19 3" xfId="428"/>
    <cellStyle name="Normal 19 4" xfId="397"/>
    <cellStyle name="Normal 19 5" xfId="466"/>
    <cellStyle name="Normal 19 6" xfId="373"/>
    <cellStyle name="Normal 19 7" xfId="325"/>
    <cellStyle name="Normal 2" xfId="1"/>
    <cellStyle name="Normal 2 2" xfId="22"/>
    <cellStyle name="Normal 2 2 2" xfId="179"/>
    <cellStyle name="Normal 2 3" xfId="91"/>
    <cellStyle name="Normal 2 3 2" xfId="75"/>
    <cellStyle name="Normal 2 3 3" xfId="174"/>
    <cellStyle name="Normal 2 9" xfId="50"/>
    <cellStyle name="Normal 2_TABLAS_UT_ALICOL_olga%20BOLSA%20NUEVA(1)" xfId="150"/>
    <cellStyle name="Normal 20" xfId="212"/>
    <cellStyle name="Normal 20 2" xfId="340"/>
    <cellStyle name="Normal 20 3" xfId="429"/>
    <cellStyle name="Normal 20 4" xfId="398"/>
    <cellStyle name="Normal 20 5" xfId="467"/>
    <cellStyle name="Normal 20 6" xfId="396"/>
    <cellStyle name="Normal 20 7" xfId="370"/>
    <cellStyle name="Normal 21" xfId="253"/>
    <cellStyle name="Normal 21 2" xfId="361"/>
    <cellStyle name="Normal 21 3" xfId="450"/>
    <cellStyle name="Normal 21 4" xfId="419"/>
    <cellStyle name="Normal 21 5" xfId="488"/>
    <cellStyle name="Normal 21 6" xfId="377"/>
    <cellStyle name="Normal 21 7" xfId="322"/>
    <cellStyle name="Normal 22" xfId="250"/>
    <cellStyle name="Normal 22 2" xfId="359"/>
    <cellStyle name="Normal 22 3" xfId="448"/>
    <cellStyle name="Normal 22 4" xfId="417"/>
    <cellStyle name="Normal 22 5" xfId="486"/>
    <cellStyle name="Normal 22 6" xfId="385"/>
    <cellStyle name="Normal 22 7" xfId="314"/>
    <cellStyle name="Normal 23" xfId="226"/>
    <cellStyle name="Normal 23 2" xfId="345"/>
    <cellStyle name="Normal 23 3" xfId="434"/>
    <cellStyle name="Normal 23 4" xfId="403"/>
    <cellStyle name="Normal 23 5" xfId="472"/>
    <cellStyle name="Normal 23 6" xfId="381"/>
    <cellStyle name="Normal 23 7" xfId="336"/>
    <cellStyle name="Normal 24" xfId="230"/>
    <cellStyle name="Normal 24 2" xfId="349"/>
    <cellStyle name="Normal 24 3" xfId="438"/>
    <cellStyle name="Normal 24 4" xfId="407"/>
    <cellStyle name="Normal 24 5" xfId="476"/>
    <cellStyle name="Normal 24 6" xfId="379"/>
    <cellStyle name="Normal 24 7" xfId="333"/>
    <cellStyle name="Normal 25" xfId="247"/>
    <cellStyle name="Normal 25 2" xfId="357"/>
    <cellStyle name="Normal 25 3" xfId="446"/>
    <cellStyle name="Normal 25 4" xfId="415"/>
    <cellStyle name="Normal 25 5" xfId="484"/>
    <cellStyle name="Normal 25 6" xfId="378"/>
    <cellStyle name="Normal 25 7" xfId="326"/>
    <cellStyle name="Normal 26" xfId="233"/>
    <cellStyle name="Normal 26 2" xfId="351"/>
    <cellStyle name="Normal 26 3" xfId="440"/>
    <cellStyle name="Normal 26 4" xfId="409"/>
    <cellStyle name="Normal 26 5" xfId="478"/>
    <cellStyle name="Normal 26 6" xfId="388"/>
    <cellStyle name="Normal 26 7" xfId="331"/>
    <cellStyle name="Normal 27" xfId="227"/>
    <cellStyle name="Normal 27 2" xfId="346"/>
    <cellStyle name="Normal 27 3" xfId="435"/>
    <cellStyle name="Normal 27 4" xfId="404"/>
    <cellStyle name="Normal 27 5" xfId="473"/>
    <cellStyle name="Normal 27 6" xfId="392"/>
    <cellStyle name="Normal 27 7" xfId="335"/>
    <cellStyle name="Normal 28" xfId="68"/>
    <cellStyle name="Normal 29" xfId="240"/>
    <cellStyle name="Normal 29 2" xfId="354"/>
    <cellStyle name="Normal 29 3" xfId="443"/>
    <cellStyle name="Normal 29 4" xfId="412"/>
    <cellStyle name="Normal 29 5" xfId="481"/>
    <cellStyle name="Normal 29 6" xfId="375"/>
    <cellStyle name="Normal 29 7" xfId="317"/>
    <cellStyle name="Normal 3" xfId="3"/>
    <cellStyle name="Normal 3 2" xfId="30"/>
    <cellStyle name="Normal 3 2 2" xfId="151"/>
    <cellStyle name="Normal 3 3" xfId="21"/>
    <cellStyle name="Normal 3 4" xfId="149"/>
    <cellStyle name="Normal 30" xfId="269"/>
    <cellStyle name="Normal 30 2" xfId="367"/>
    <cellStyle name="Normal 30 3" xfId="456"/>
    <cellStyle name="Normal 30 4" xfId="425"/>
    <cellStyle name="Normal 30 5" xfId="494"/>
    <cellStyle name="Normal 30 6" xfId="463"/>
    <cellStyle name="Normal 30 7" xfId="315"/>
    <cellStyle name="Normal 31" xfId="242"/>
    <cellStyle name="Normal 31 2" xfId="355"/>
    <cellStyle name="Normal 31 3" xfId="444"/>
    <cellStyle name="Normal 31 4" xfId="413"/>
    <cellStyle name="Normal 31 5" xfId="482"/>
    <cellStyle name="Normal 31 6" xfId="387"/>
    <cellStyle name="Normal 31 7" xfId="328"/>
    <cellStyle name="Normal 32" xfId="264"/>
    <cellStyle name="Normal 32 2" xfId="365"/>
    <cellStyle name="Normal 32 3" xfId="454"/>
    <cellStyle name="Normal 32 4" xfId="423"/>
    <cellStyle name="Normal 32 5" xfId="492"/>
    <cellStyle name="Normal 32 6" xfId="461"/>
    <cellStyle name="Normal 32 7" xfId="324"/>
    <cellStyle name="Normal 33" xfId="231"/>
    <cellStyle name="Normal 33 2" xfId="350"/>
    <cellStyle name="Normal 33 3" xfId="439"/>
    <cellStyle name="Normal 33 4" xfId="408"/>
    <cellStyle name="Normal 33 5" xfId="477"/>
    <cellStyle name="Normal 33 6" xfId="389"/>
    <cellStyle name="Normal 33 7" xfId="332"/>
    <cellStyle name="Normal 34" xfId="249"/>
    <cellStyle name="Normal 34 2" xfId="358"/>
    <cellStyle name="Normal 34 3" xfId="447"/>
    <cellStyle name="Normal 34 4" xfId="416"/>
    <cellStyle name="Normal 34 5" xfId="485"/>
    <cellStyle name="Normal 34 6" xfId="386"/>
    <cellStyle name="Normal 34 7" xfId="313"/>
    <cellStyle name="Normal 35" xfId="265"/>
    <cellStyle name="Normal 35 2" xfId="366"/>
    <cellStyle name="Normal 35 3" xfId="455"/>
    <cellStyle name="Normal 35 4" xfId="424"/>
    <cellStyle name="Normal 35 5" xfId="493"/>
    <cellStyle name="Normal 35 6" xfId="462"/>
    <cellStyle name="Normal 35 7" xfId="321"/>
    <cellStyle name="Normal 36" xfId="224"/>
    <cellStyle name="Normal 36 2" xfId="344"/>
    <cellStyle name="Normal 36 3" xfId="433"/>
    <cellStyle name="Normal 36 4" xfId="402"/>
    <cellStyle name="Normal 36 5" xfId="471"/>
    <cellStyle name="Normal 36 6" xfId="393"/>
    <cellStyle name="Normal 36 7" xfId="323"/>
    <cellStyle name="Normal 37" xfId="246"/>
    <cellStyle name="Normal 37 2" xfId="356"/>
    <cellStyle name="Normal 37 3" xfId="445"/>
    <cellStyle name="Normal 37 4" xfId="414"/>
    <cellStyle name="Normal 37 5" xfId="483"/>
    <cellStyle name="Normal 37 6" xfId="380"/>
    <cellStyle name="Normal 37 7" xfId="327"/>
    <cellStyle name="Normal 38" xfId="270"/>
    <cellStyle name="Normal 38 2" xfId="368"/>
    <cellStyle name="Normal 38 3" xfId="457"/>
    <cellStyle name="Normal 38 4" xfId="426"/>
    <cellStyle name="Normal 38 5" xfId="495"/>
    <cellStyle name="Normal 38 6" xfId="464"/>
    <cellStyle name="Normal 38 7" xfId="371"/>
    <cellStyle name="Normal 39" xfId="213"/>
    <cellStyle name="Normal 39 2" xfId="341"/>
    <cellStyle name="Normal 39 3" xfId="430"/>
    <cellStyle name="Normal 39 4" xfId="399"/>
    <cellStyle name="Normal 39 5" xfId="468"/>
    <cellStyle name="Normal 39 6" xfId="395"/>
    <cellStyle name="Normal 39 7" xfId="311"/>
    <cellStyle name="Normal 4" xfId="7"/>
    <cellStyle name="Normal 4 2" xfId="31"/>
    <cellStyle name="Normal 4 3" xfId="177"/>
    <cellStyle name="Normal 4 4 2" xfId="9"/>
    <cellStyle name="Normal 40" xfId="221"/>
    <cellStyle name="Normal 40 2" xfId="342"/>
    <cellStyle name="Normal 40 3" xfId="431"/>
    <cellStyle name="Normal 40 4" xfId="400"/>
    <cellStyle name="Normal 40 5" xfId="469"/>
    <cellStyle name="Normal 40 6" xfId="394"/>
    <cellStyle name="Normal 40 7" xfId="338"/>
    <cellStyle name="Normal 41" xfId="251"/>
    <cellStyle name="Normal 41 2" xfId="360"/>
    <cellStyle name="Normal 41 3" xfId="449"/>
    <cellStyle name="Normal 41 4" xfId="418"/>
    <cellStyle name="Normal 41 5" xfId="487"/>
    <cellStyle name="Normal 41 6" xfId="382"/>
    <cellStyle name="Normal 41 7" xfId="312"/>
    <cellStyle name="Normal 42" xfId="234"/>
    <cellStyle name="Normal 42 2" xfId="352"/>
    <cellStyle name="Normal 42 3" xfId="441"/>
    <cellStyle name="Normal 42 4" xfId="410"/>
    <cellStyle name="Normal 42 5" xfId="479"/>
    <cellStyle name="Normal 42 6" xfId="376"/>
    <cellStyle name="Normal 42 7" xfId="330"/>
    <cellStyle name="Normal 43" xfId="222"/>
    <cellStyle name="Normal 43 2" xfId="343"/>
    <cellStyle name="Normal 43 3" xfId="432"/>
    <cellStyle name="Normal 43 4" xfId="401"/>
    <cellStyle name="Normal 43 5" xfId="470"/>
    <cellStyle name="Normal 43 6" xfId="383"/>
    <cellStyle name="Normal 43 7" xfId="337"/>
    <cellStyle name="Normal 44" xfId="238"/>
    <cellStyle name="Normal 44 2" xfId="353"/>
    <cellStyle name="Normal 44 3" xfId="442"/>
    <cellStyle name="Normal 44 4" xfId="411"/>
    <cellStyle name="Normal 44 5" xfId="480"/>
    <cellStyle name="Normal 44 6" xfId="374"/>
    <cellStyle name="Normal 44 7" xfId="329"/>
    <cellStyle name="Normal 45" xfId="256"/>
    <cellStyle name="Normal 45 2" xfId="362"/>
    <cellStyle name="Normal 45 3" xfId="451"/>
    <cellStyle name="Normal 45 4" xfId="420"/>
    <cellStyle name="Normal 45 5" xfId="489"/>
    <cellStyle name="Normal 45 6" xfId="384"/>
    <cellStyle name="Normal 45 7" xfId="319"/>
    <cellStyle name="Normal 46" xfId="228"/>
    <cellStyle name="Normal 46 2" xfId="347"/>
    <cellStyle name="Normal 46 3" xfId="436"/>
    <cellStyle name="Normal 46 4" xfId="405"/>
    <cellStyle name="Normal 46 5" xfId="474"/>
    <cellStyle name="Normal 46 6" xfId="391"/>
    <cellStyle name="Normal 46 7" xfId="320"/>
    <cellStyle name="Normal 47" xfId="263"/>
    <cellStyle name="Normal 47 2" xfId="364"/>
    <cellStyle name="Normal 47 3" xfId="453"/>
    <cellStyle name="Normal 47 4" xfId="422"/>
    <cellStyle name="Normal 47 5" xfId="491"/>
    <cellStyle name="Normal 47 6" xfId="460"/>
    <cellStyle name="Normal 47 7" xfId="316"/>
    <cellStyle name="Normal 48" xfId="262"/>
    <cellStyle name="Normal 48 2" xfId="363"/>
    <cellStyle name="Normal 48 3" xfId="452"/>
    <cellStyle name="Normal 48 4" xfId="421"/>
    <cellStyle name="Normal 48 5" xfId="490"/>
    <cellStyle name="Normal 48 6" xfId="459"/>
    <cellStyle name="Normal 48 7" xfId="318"/>
    <cellStyle name="Normal 49" xfId="229"/>
    <cellStyle name="Normal 49 2" xfId="348"/>
    <cellStyle name="Normal 49 3" xfId="437"/>
    <cellStyle name="Normal 49 4" xfId="406"/>
    <cellStyle name="Normal 49 5" xfId="475"/>
    <cellStyle name="Normal 49 6" xfId="390"/>
    <cellStyle name="Normal 49 7" xfId="334"/>
    <cellStyle name="Normal 5" xfId="23"/>
    <cellStyle name="Normal 5 2" xfId="32"/>
    <cellStyle name="Normal 5 3" xfId="180"/>
    <cellStyle name="Normal 50" xfId="271"/>
    <cellStyle name="Normal 50 2" xfId="369"/>
    <cellStyle name="Normal 50 3" xfId="458"/>
    <cellStyle name="Normal 50 4" xfId="427"/>
    <cellStyle name="Normal 50 5" xfId="496"/>
    <cellStyle name="Normal 50 6" xfId="465"/>
    <cellStyle name="Normal 50 7" xfId="372"/>
    <cellStyle name="Normal 51" xfId="309"/>
    <cellStyle name="Normal 51 2" xfId="497"/>
    <cellStyle name="Normal 52" xfId="310"/>
    <cellStyle name="Normal 52 2" xfId="498"/>
    <cellStyle name="Normal 53" xfId="499"/>
    <cellStyle name="Normal 6" xfId="24"/>
    <cellStyle name="Normal 6 2" xfId="33"/>
    <cellStyle name="Normal 6 3" xfId="182"/>
    <cellStyle name="Normal 7" xfId="40"/>
    <cellStyle name="Normal 7 2" xfId="96"/>
    <cellStyle name="Normal 7 3" xfId="178"/>
    <cellStyle name="Normal 8" xfId="41"/>
    <cellStyle name="Normal 8 2" xfId="183"/>
    <cellStyle name="Normal 9" xfId="44"/>
    <cellStyle name="Normal 9 2" xfId="92"/>
    <cellStyle name="Normal 9 3" xfId="175"/>
    <cellStyle name="Notas" xfId="111" builtinId="10" customBuiltin="1"/>
    <cellStyle name="Porcentaje" xfId="6" builtinId="5"/>
    <cellStyle name="Porcentaje 2" xfId="70"/>
    <cellStyle name="Porcentaje 2 2" xfId="181"/>
    <cellStyle name="Porcentaje 3" xfId="74"/>
    <cellStyle name="Porcentaje 3 2" xfId="78"/>
    <cellStyle name="Porcentaje 4" xfId="82"/>
    <cellStyle name="Porcentaje 5" xfId="85"/>
    <cellStyle name="Porcentaje 6" xfId="19"/>
    <cellStyle name="Porcentual 2" xfId="20"/>
    <cellStyle name="Porcentual 2 2" xfId="29"/>
    <cellStyle name="Porcentual 2 2 2" xfId="55"/>
    <cellStyle name="Porcentual 2 3" xfId="45"/>
    <cellStyle name="Porcentual 2 3 2" xfId="60"/>
    <cellStyle name="Porcentual 3" xfId="35"/>
    <cellStyle name="Porcentual 5" xfId="8"/>
    <cellStyle name="Salida" xfId="106" builtinId="21" customBuiltin="1"/>
    <cellStyle name="Texto de advertencia" xfId="110" builtinId="11" customBuiltin="1"/>
    <cellStyle name="Texto explicativo" xfId="112" builtinId="53" customBuiltin="1"/>
    <cellStyle name="Título 2" xfId="100" builtinId="17" customBuiltin="1"/>
    <cellStyle name="Título 3" xfId="101" builtinId="18" customBuiltin="1"/>
    <cellStyle name="Título 4" xfId="139"/>
    <cellStyle name="Título de hoja" xfId="176"/>
    <cellStyle name="Total" xfId="113" builtinId="25" customBuiltin="1"/>
  </cellStyles>
  <dxfs count="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strike val="0"/>
        <outline val="0"/>
        <shadow val="0"/>
        <vertAlign val="baseline"/>
        <sz val="8"/>
        <name val="Century Gothic"/>
        <scheme val="none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vertAlign val="baseline"/>
        <sz val="8"/>
        <name val="Century Gothic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Estilo de tabla 1" pivot="0" count="0"/>
  </tableStyles>
  <colors>
    <mruColors>
      <color rgb="FFFF8265"/>
      <color rgb="FFFAF3D6"/>
      <color rgb="FFCCFF99"/>
      <color rgb="FFE0CE4C"/>
      <color rgb="FFFF3300"/>
      <color rgb="FF647D33"/>
      <color rgb="FFD3D983"/>
      <color rgb="FFCCCCFF"/>
      <color rgb="FFD5898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7171764</xdr:colOff>
      <xdr:row>0</xdr:row>
      <xdr:rowOff>67235</xdr:rowOff>
    </xdr:from>
    <xdr:to>
      <xdr:col>5</xdr:col>
      <xdr:colOff>9023232</xdr:colOff>
      <xdr:row>6</xdr:row>
      <xdr:rowOff>55468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52" y="67235"/>
          <a:ext cx="1851468" cy="13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33618</xdr:rowOff>
    </xdr:from>
    <xdr:to>
      <xdr:col>3</xdr:col>
      <xdr:colOff>930088</xdr:colOff>
      <xdr:row>6</xdr:row>
      <xdr:rowOff>221110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882588" cy="185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723902</xdr:colOff>
      <xdr:row>0</xdr:row>
      <xdr:rowOff>33618</xdr:rowOff>
    </xdr:from>
    <xdr:to>
      <xdr:col>15</xdr:col>
      <xdr:colOff>1195923</xdr:colOff>
      <xdr:row>6</xdr:row>
      <xdr:rowOff>52667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1696" y="33618"/>
          <a:ext cx="1715874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24094</xdr:colOff>
      <xdr:row>0</xdr:row>
      <xdr:rowOff>33618</xdr:rowOff>
    </xdr:from>
    <xdr:to>
      <xdr:col>1</xdr:col>
      <xdr:colOff>1028701</xdr:colOff>
      <xdr:row>6</xdr:row>
      <xdr:rowOff>106376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4" y="33618"/>
          <a:ext cx="1357032" cy="144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400917</xdr:colOff>
      <xdr:row>0</xdr:row>
      <xdr:rowOff>28575</xdr:rowOff>
    </xdr:from>
    <xdr:to>
      <xdr:col>19</xdr:col>
      <xdr:colOff>723900</xdr:colOff>
      <xdr:row>6</xdr:row>
      <xdr:rowOff>33057</xdr:rowOff>
    </xdr:to>
    <xdr:pic>
      <xdr:nvPicPr>
        <xdr:cNvPr id="7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5392" y="28575"/>
          <a:ext cx="1789833" cy="139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11766</xdr:colOff>
      <xdr:row>6</xdr:row>
      <xdr:rowOff>213266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0</xdr:row>
      <xdr:rowOff>38100</xdr:rowOff>
    </xdr:from>
    <xdr:to>
      <xdr:col>6</xdr:col>
      <xdr:colOff>693337</xdr:colOff>
      <xdr:row>5</xdr:row>
      <xdr:rowOff>231961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0</xdr:row>
      <xdr:rowOff>16566</xdr:rowOff>
    </xdr:from>
    <xdr:to>
      <xdr:col>1</xdr:col>
      <xdr:colOff>898421</xdr:colOff>
      <xdr:row>6</xdr:row>
      <xdr:rowOff>174339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6566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0</xdr:row>
      <xdr:rowOff>19050</xdr:rowOff>
    </xdr:from>
    <xdr:to>
      <xdr:col>15</xdr:col>
      <xdr:colOff>693337</xdr:colOff>
      <xdr:row>5</xdr:row>
      <xdr:rowOff>212911</xdr:rowOff>
    </xdr:to>
    <xdr:pic>
      <xdr:nvPicPr>
        <xdr:cNvPr id="2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1905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1217714</xdr:colOff>
      <xdr:row>6</xdr:row>
      <xdr:rowOff>186348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28575</xdr:rowOff>
    </xdr:from>
    <xdr:to>
      <xdr:col>10</xdr:col>
      <xdr:colOff>455714</xdr:colOff>
      <xdr:row>7</xdr:row>
      <xdr:rowOff>5373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676275</xdr:colOff>
      <xdr:row>0</xdr:row>
      <xdr:rowOff>47625</xdr:rowOff>
    </xdr:from>
    <xdr:to>
      <xdr:col>16</xdr:col>
      <xdr:colOff>769537</xdr:colOff>
      <xdr:row>6</xdr:row>
      <xdr:rowOff>50986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47625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260539</xdr:colOff>
      <xdr:row>0</xdr:row>
      <xdr:rowOff>35299</xdr:rowOff>
    </xdr:from>
    <xdr:to>
      <xdr:col>17</xdr:col>
      <xdr:colOff>549904</xdr:colOff>
      <xdr:row>6</xdr:row>
      <xdr:rowOff>9525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839" y="35299"/>
          <a:ext cx="1803840" cy="13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28575</xdr:rowOff>
    </xdr:from>
    <xdr:to>
      <xdr:col>2</xdr:col>
      <xdr:colOff>202266</xdr:colOff>
      <xdr:row>6</xdr:row>
      <xdr:rowOff>184691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4465920</xdr:colOff>
      <xdr:row>0</xdr:row>
      <xdr:rowOff>67235</xdr:rowOff>
    </xdr:from>
    <xdr:to>
      <xdr:col>12</xdr:col>
      <xdr:colOff>381309</xdr:colOff>
      <xdr:row>5</xdr:row>
      <xdr:rowOff>107096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655" y="67235"/>
          <a:ext cx="1787272" cy="137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33618</xdr:rowOff>
    </xdr:from>
    <xdr:to>
      <xdr:col>0</xdr:col>
      <xdr:colOff>1636059</xdr:colOff>
      <xdr:row>5</xdr:row>
      <xdr:rowOff>265934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78189</xdr:colOff>
      <xdr:row>0</xdr:row>
      <xdr:rowOff>67235</xdr:rowOff>
    </xdr:from>
    <xdr:to>
      <xdr:col>28</xdr:col>
      <xdr:colOff>963707</xdr:colOff>
      <xdr:row>6</xdr:row>
      <xdr:rowOff>187137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042" y="67235"/>
          <a:ext cx="2924989" cy="146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56030</xdr:colOff>
      <xdr:row>0</xdr:row>
      <xdr:rowOff>56028</xdr:rowOff>
    </xdr:from>
    <xdr:to>
      <xdr:col>0</xdr:col>
      <xdr:colOff>1658471</xdr:colOff>
      <xdr:row>7</xdr:row>
      <xdr:rowOff>19403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5602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1118654</xdr:colOff>
      <xdr:row>0</xdr:row>
      <xdr:rowOff>47625</xdr:rowOff>
    </xdr:from>
    <xdr:to>
      <xdr:col>7</xdr:col>
      <xdr:colOff>3057525</xdr:colOff>
      <xdr:row>6</xdr:row>
      <xdr:rowOff>66675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1454" y="47625"/>
          <a:ext cx="193887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47625</xdr:rowOff>
    </xdr:from>
    <xdr:to>
      <xdr:col>0</xdr:col>
      <xdr:colOff>1457326</xdr:colOff>
      <xdr:row>5</xdr:row>
      <xdr:rowOff>143370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625"/>
          <a:ext cx="1390650" cy="123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158574</xdr:colOff>
      <xdr:row>0</xdr:row>
      <xdr:rowOff>50987</xdr:rowOff>
    </xdr:from>
    <xdr:to>
      <xdr:col>16</xdr:col>
      <xdr:colOff>1986507</xdr:colOff>
      <xdr:row>6</xdr:row>
      <xdr:rowOff>70037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2174" y="50987"/>
          <a:ext cx="1827933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192741</xdr:colOff>
      <xdr:row>6</xdr:row>
      <xdr:rowOff>184691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36" displayName="Tabla36" ref="B11:E15" totalsRowShown="0" headerRowDxfId="60" dataDxfId="58" headerRowBorderDxfId="59" tableBorderDxfId="57" dataCellStyle="Millares 24">
  <autoFilter ref="B11:E15"/>
  <tableColumns count="4">
    <tableColumn id="1" name="DETALLE" dataDxfId="56" dataCellStyle="Normal 19"/>
    <tableColumn id="2" name="PRIMERA ENTREGA" dataDxfId="55" dataCellStyle="Millares 24"/>
    <tableColumn id="3" name="SEGUNDA ENTREGA LAV" dataDxfId="54" dataCellStyle="Millares 24"/>
    <tableColumn id="4" name="SEGUNDA ENTREGA FDS" dataDxfId="53" dataCellStyle="Millares 24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7" name="FRE_FRECUENCIAS" displayName="FRE_FRECUENCIAS" ref="B13:E62" totalsRowCount="1" headerRowDxfId="52" dataDxfId="51" totalsRowDxfId="50">
  <tableColumns count="4">
    <tableColumn id="1" name="CODIGO MENU" dataDxfId="49" totalsRowDxfId="48"/>
    <tableColumn id="2" name="ESTIMADO DEL NUMERO DE DIAS  A ENTREGAR EL MENÚ" totalsRowFunction="sum" dataDxfId="47" totalsRowDxfId="46">
      <calculatedColumnFormula>COUNTIF(CAL_SEGUNDA_ENTREGA_FDS,B14)</calculatedColumnFormula>
    </tableColumn>
    <tableColumn id="3" name="VOLUMEN ESTIMADO DE SUMINISTROS DIARIOS" dataDxfId="45" totalsRowDxfId="44">
      <calculatedColumnFormula>VLOOKUP("S_FDS",FRE_CANTIDADES_DIARIAS_SUMINISTROS,9,FALSE)</calculatedColumnFormula>
    </tableColumn>
    <tableColumn id="4" name="VOLUMEN ESTIMADO DE SUMINISTROS VIGENCIA 2017" totalsRowFunction="sum" dataDxfId="43" totalsRowDxfId="42">
      <calculatedColumnFormula>D14*C14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1" name="VOL_VOLUMEN_SUMINISTROS" displayName="VOL_VOLUMEN_SUMINISTROS" ref="A13:T1917" totalsRowCount="1" headerRowDxfId="41" dataDxfId="40">
  <tableColumns count="20">
    <tableColumn id="1" name="Proveedor del Suministro" totalsRowLabel="TOTALES" dataDxfId="39" totalsRowDxfId="38"/>
    <tableColumn id="2" name="N° Contrato" dataDxfId="37" totalsRowDxfId="36"/>
    <tableColumn id="18" name="Columna1" dataDxfId="35" totalsRowDxfId="34">
      <calculatedColumnFormula>CONCATENATE(VOL_VOLUMEN_SUMINISTROS[[#This Row],[Proyecto]],VOL_VOLUMEN_SUMINISTROS[[#This Row],[J]],VOL_VOLUMEN_SUMINISTROS[[#This Row],[FIN DE SEMANA]])</calculatedColumnFormula>
    </tableColumn>
    <tableColumn id="20" name="Columna2" dataDxfId="33" totalsRowDxfId="32">
      <calculatedColumnFormula>CONCATENATE(VOL_VOLUMEN_SUMINISTROS[[#This Row],[Grupo]],VOL_VOLUMEN_SUMINISTROS[[#This Row],[Proyecto]],VOL_VOLUMEN_SUMINISTROS[[#This Row],[FIN DE SEMANA]])</calculatedColumnFormula>
    </tableColumn>
    <tableColumn id="3" name="Proyecto" dataDxfId="31" totalsRowDxfId="30"/>
    <tableColumn id="4" name="Modalidad" dataDxfId="29" totalsRowDxfId="28"/>
    <tableColumn id="19" name="Grupo" dataDxfId="27" totalsRowDxfId="26"/>
    <tableColumn id="5" name="Loc." dataDxfId="25" totalsRowDxfId="24"/>
    <tableColumn id="6" name="Localidad" dataDxfId="23" totalsRowDxfId="22"/>
    <tableColumn id="7" name="Nombre IDE" dataDxfId="21" totalsRowDxfId="20"/>
    <tableColumn id="8" name="Sede" dataDxfId="19" totalsRowDxfId="18"/>
    <tableColumn id="9" name="Nombre Sede" dataDxfId="17" totalsRowDxfId="16"/>
    <tableColumn id="10" name="FIN DE SEMANA" dataDxfId="15" totalsRowDxfId="14"/>
    <tableColumn id="11" name="J" dataDxfId="13" totalsRowDxfId="12"/>
    <tableColumn id="12" name="TIPO A" totalsRowFunction="sum" dataDxfId="11" totalsRowDxfId="10"/>
    <tableColumn id="13" name="TIPO B" totalsRowFunction="sum" dataDxfId="9" totalsRowDxfId="8"/>
    <tableColumn id="14" name="TIPO C" totalsRowFunction="sum" dataDxfId="7" totalsRowDxfId="6"/>
    <tableColumn id="15" name="TIPO M" totalsRowFunction="sum" dataDxfId="5" totalsRowDxfId="4"/>
    <tableColumn id="16" name="TIPO H" totalsRowFunction="sum" dataDxfId="3" totalsRowDxfId="2"/>
    <tableColumn id="17" name="TOTAL" totalsRowFunction="sum" dataDxfId="1" totalsRow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274"/>
  <sheetViews>
    <sheetView tabSelected="1" zoomScale="85" zoomScaleNormal="85" workbookViewId="0">
      <pane ySplit="8" topLeftCell="A9" activePane="bottomLeft" state="frozen"/>
      <selection pane="bottomLeft" activeCell="C109" sqref="C109:D109"/>
    </sheetView>
  </sheetViews>
  <sheetFormatPr baseColWidth="10" defaultColWidth="0" defaultRowHeight="17.25" zeroHeight="1" outlineLevelRow="2"/>
  <cols>
    <col min="1" max="1" width="4.140625" style="91" customWidth="1"/>
    <col min="2" max="2" width="4.42578125" style="91" customWidth="1"/>
    <col min="3" max="3" width="6.42578125" style="91" customWidth="1"/>
    <col min="4" max="4" width="42.42578125" style="91" customWidth="1"/>
    <col min="5" max="5" width="59.5703125" style="91" customWidth="1"/>
    <col min="6" max="6" width="135.7109375" style="91" customWidth="1"/>
    <col min="7" max="7" width="2" style="91" customWidth="1"/>
    <col min="8" max="16384" width="11" style="91" hidden="1"/>
  </cols>
  <sheetData>
    <row r="1" spans="1:7" s="35" customFormat="1" ht="16.5">
      <c r="A1" s="69"/>
      <c r="B1" s="70"/>
      <c r="C1" s="70"/>
      <c r="D1" s="70"/>
      <c r="E1" s="70"/>
      <c r="F1" s="70"/>
      <c r="G1" s="8"/>
    </row>
    <row r="2" spans="1:7" s="35" customFormat="1" ht="22.5">
      <c r="A2" s="469" t="s">
        <v>1937</v>
      </c>
      <c r="B2" s="470"/>
      <c r="C2" s="470"/>
      <c r="D2" s="470"/>
      <c r="E2" s="470"/>
      <c r="F2" s="470"/>
      <c r="G2" s="471"/>
    </row>
    <row r="3" spans="1:7" s="35" customFormat="1" ht="22.5">
      <c r="A3" s="469" t="s">
        <v>1938</v>
      </c>
      <c r="B3" s="470"/>
      <c r="C3" s="470"/>
      <c r="D3" s="470"/>
      <c r="E3" s="470"/>
      <c r="F3" s="470"/>
      <c r="G3" s="471"/>
    </row>
    <row r="4" spans="1:7" s="35" customFormat="1" ht="22.5">
      <c r="A4" s="469" t="s">
        <v>1939</v>
      </c>
      <c r="B4" s="470"/>
      <c r="C4" s="470"/>
      <c r="D4" s="470"/>
      <c r="E4" s="470"/>
      <c r="F4" s="470"/>
      <c r="G4" s="471"/>
    </row>
    <row r="5" spans="1:7" s="35" customFormat="1" ht="22.5">
      <c r="A5" s="321"/>
      <c r="B5" s="322"/>
      <c r="C5" s="322"/>
      <c r="D5" s="322"/>
      <c r="E5" s="322"/>
      <c r="F5" s="322"/>
      <c r="G5" s="323"/>
    </row>
    <row r="6" spans="1:7" s="35" customFormat="1" ht="22.5">
      <c r="A6" s="469" t="str">
        <f>CONCATENATE("ÍNDICE MODELO DE COSTOS"," : ",RES_RESUMEN_PRESUPUESTO_2!A1)</f>
        <v>ÍNDICE MODELO DE COSTOS : FRUTA</v>
      </c>
      <c r="B6" s="470"/>
      <c r="C6" s="470"/>
      <c r="D6" s="470"/>
      <c r="E6" s="470"/>
      <c r="F6" s="470"/>
      <c r="G6" s="471"/>
    </row>
    <row r="7" spans="1:7">
      <c r="A7" s="92"/>
      <c r="B7" s="93"/>
      <c r="C7" s="93"/>
      <c r="D7" s="93"/>
      <c r="E7" s="93"/>
      <c r="F7" s="93"/>
      <c r="G7" s="94"/>
    </row>
    <row r="8" spans="1:7" ht="20.25">
      <c r="A8" s="92"/>
      <c r="B8" s="93"/>
      <c r="C8" s="93"/>
      <c r="D8" s="472" t="s">
        <v>1685</v>
      </c>
      <c r="E8" s="473"/>
      <c r="F8" s="474"/>
      <c r="G8" s="94"/>
    </row>
    <row r="9" spans="1:7" ht="42.75" customHeight="1">
      <c r="A9" s="92"/>
      <c r="B9" s="98">
        <v>1</v>
      </c>
      <c r="C9" s="475" t="s">
        <v>1656</v>
      </c>
      <c r="D9" s="476"/>
      <c r="E9" s="477" t="s">
        <v>1595</v>
      </c>
      <c r="F9" s="478"/>
      <c r="G9" s="94"/>
    </row>
    <row r="10" spans="1:7" ht="42.75" customHeight="1">
      <c r="A10" s="92"/>
      <c r="B10" s="98">
        <v>2</v>
      </c>
      <c r="C10" s="475" t="s">
        <v>1530</v>
      </c>
      <c r="D10" s="476"/>
      <c r="E10" s="477" t="s">
        <v>1654</v>
      </c>
      <c r="F10" s="478"/>
      <c r="G10" s="94"/>
    </row>
    <row r="11" spans="1:7" ht="42.75" hidden="1" customHeight="1" outlineLevel="1">
      <c r="A11" s="92"/>
      <c r="B11" s="98"/>
      <c r="C11" s="244"/>
      <c r="D11" s="245" t="s">
        <v>1577</v>
      </c>
      <c r="E11" s="245" t="s">
        <v>1578</v>
      </c>
      <c r="F11" s="246" t="s">
        <v>1686</v>
      </c>
      <c r="G11" s="94"/>
    </row>
    <row r="12" spans="1:7" ht="42.75" hidden="1" customHeight="1" outlineLevel="1">
      <c r="A12" s="92"/>
      <c r="B12" s="98"/>
      <c r="C12" s="247">
        <v>1</v>
      </c>
      <c r="D12" s="248" t="s">
        <v>1548</v>
      </c>
      <c r="E12" s="249" t="s">
        <v>2319</v>
      </c>
      <c r="F12" s="250"/>
      <c r="G12" s="94"/>
    </row>
    <row r="13" spans="1:7" ht="42.75" hidden="1" customHeight="1" outlineLevel="1">
      <c r="A13" s="92"/>
      <c r="B13" s="98"/>
      <c r="C13" s="247">
        <v>2</v>
      </c>
      <c r="D13" s="248" t="s">
        <v>1549</v>
      </c>
      <c r="E13" s="249" t="s">
        <v>2320</v>
      </c>
      <c r="F13" s="250"/>
      <c r="G13" s="94"/>
    </row>
    <row r="14" spans="1:7" ht="42.75" hidden="1" customHeight="1" outlineLevel="1">
      <c r="A14" s="92"/>
      <c r="B14" s="98"/>
      <c r="C14" s="247">
        <v>3</v>
      </c>
      <c r="D14" s="248" t="s">
        <v>1550</v>
      </c>
      <c r="E14" s="249" t="s">
        <v>2321</v>
      </c>
      <c r="F14" s="250"/>
      <c r="G14" s="94"/>
    </row>
    <row r="15" spans="1:7" ht="42.75" hidden="1" customHeight="1" outlineLevel="1">
      <c r="A15" s="92"/>
      <c r="B15" s="98"/>
      <c r="C15" s="247">
        <v>4</v>
      </c>
      <c r="D15" s="248" t="s">
        <v>1551</v>
      </c>
      <c r="E15" s="249" t="s">
        <v>2322</v>
      </c>
      <c r="F15" s="250"/>
      <c r="G15" s="94"/>
    </row>
    <row r="16" spans="1:7" ht="42.75" hidden="1" customHeight="1" outlineLevel="1">
      <c r="A16" s="92"/>
      <c r="B16" s="98"/>
      <c r="C16" s="247">
        <v>5</v>
      </c>
      <c r="D16" s="248" t="s">
        <v>1552</v>
      </c>
      <c r="E16" s="249" t="s">
        <v>2323</v>
      </c>
      <c r="F16" s="250"/>
      <c r="G16" s="94"/>
    </row>
    <row r="17" spans="1:7" ht="42.75" hidden="1" customHeight="1" outlineLevel="1">
      <c r="A17" s="92"/>
      <c r="B17" s="98"/>
      <c r="C17" s="247">
        <v>6</v>
      </c>
      <c r="D17" s="248" t="s">
        <v>1553</v>
      </c>
      <c r="E17" s="249" t="s">
        <v>2324</v>
      </c>
      <c r="F17" s="250"/>
      <c r="G17" s="94"/>
    </row>
    <row r="18" spans="1:7" ht="42.75" hidden="1" customHeight="1" outlineLevel="1">
      <c r="A18" s="92"/>
      <c r="B18" s="98"/>
      <c r="C18" s="247">
        <v>7</v>
      </c>
      <c r="D18" s="248" t="s">
        <v>1554</v>
      </c>
      <c r="E18" s="249" t="s">
        <v>2325</v>
      </c>
      <c r="F18" s="250"/>
      <c r="G18" s="94"/>
    </row>
    <row r="19" spans="1:7" ht="42.75" hidden="1" customHeight="1" outlineLevel="1">
      <c r="A19" s="92"/>
      <c r="B19" s="98"/>
      <c r="C19" s="247">
        <v>8</v>
      </c>
      <c r="D19" s="248" t="s">
        <v>1555</v>
      </c>
      <c r="E19" s="249" t="s">
        <v>2326</v>
      </c>
      <c r="F19" s="250"/>
      <c r="G19" s="94"/>
    </row>
    <row r="20" spans="1:7" ht="42.75" hidden="1" customHeight="1" outlineLevel="1">
      <c r="A20" s="92"/>
      <c r="B20" s="98"/>
      <c r="C20" s="247">
        <v>9</v>
      </c>
      <c r="D20" s="248" t="s">
        <v>1675</v>
      </c>
      <c r="E20" s="249" t="s">
        <v>2327</v>
      </c>
      <c r="F20" s="250"/>
      <c r="G20" s="94"/>
    </row>
    <row r="21" spans="1:7" ht="42.75" hidden="1" customHeight="1" outlineLevel="1">
      <c r="A21" s="92"/>
      <c r="B21" s="98"/>
      <c r="C21" s="247">
        <v>10</v>
      </c>
      <c r="D21" s="248" t="s">
        <v>1676</v>
      </c>
      <c r="E21" s="249" t="s">
        <v>2328</v>
      </c>
      <c r="F21" s="250"/>
      <c r="G21" s="94"/>
    </row>
    <row r="22" spans="1:7" ht="42.75" hidden="1" customHeight="1" outlineLevel="1">
      <c r="A22" s="92"/>
      <c r="B22" s="98"/>
      <c r="C22" s="247">
        <v>11</v>
      </c>
      <c r="D22" s="248" t="s">
        <v>2239</v>
      </c>
      <c r="E22" s="249" t="s">
        <v>2329</v>
      </c>
      <c r="F22" s="250"/>
      <c r="G22" s="94"/>
    </row>
    <row r="23" spans="1:7" ht="42.75" hidden="1" customHeight="1" outlineLevel="1">
      <c r="A23" s="92"/>
      <c r="B23" s="98"/>
      <c r="C23" s="247">
        <v>12</v>
      </c>
      <c r="D23" s="248" t="s">
        <v>2240</v>
      </c>
      <c r="E23" s="249" t="s">
        <v>2330</v>
      </c>
      <c r="F23" s="250"/>
      <c r="G23" s="94"/>
    </row>
    <row r="24" spans="1:7" ht="42.75" hidden="1" customHeight="1" outlineLevel="1">
      <c r="A24" s="92"/>
      <c r="B24" s="98"/>
      <c r="C24" s="247">
        <v>13</v>
      </c>
      <c r="D24" s="248" t="s">
        <v>2241</v>
      </c>
      <c r="E24" s="249" t="s">
        <v>2331</v>
      </c>
      <c r="F24" s="250"/>
      <c r="G24" s="94"/>
    </row>
    <row r="25" spans="1:7" ht="42.75" hidden="1" customHeight="1" outlineLevel="1">
      <c r="A25" s="92"/>
      <c r="B25" s="98"/>
      <c r="C25" s="247">
        <v>14</v>
      </c>
      <c r="D25" s="248" t="s">
        <v>2242</v>
      </c>
      <c r="E25" s="249" t="s">
        <v>2332</v>
      </c>
      <c r="F25" s="250"/>
      <c r="G25" s="94"/>
    </row>
    <row r="26" spans="1:7" ht="42.75" hidden="1" customHeight="1" outlineLevel="1">
      <c r="A26" s="92"/>
      <c r="B26" s="98"/>
      <c r="C26" s="247">
        <v>15</v>
      </c>
      <c r="D26" s="248" t="s">
        <v>2243</v>
      </c>
      <c r="E26" s="249" t="s">
        <v>2333</v>
      </c>
      <c r="F26" s="250"/>
      <c r="G26" s="94"/>
    </row>
    <row r="27" spans="1:7" ht="42.75" hidden="1" customHeight="1" outlineLevel="1">
      <c r="A27" s="92"/>
      <c r="B27" s="98"/>
      <c r="C27" s="247">
        <v>16</v>
      </c>
      <c r="D27" s="248" t="s">
        <v>2244</v>
      </c>
      <c r="E27" s="249" t="s">
        <v>2334</v>
      </c>
      <c r="F27" s="250"/>
      <c r="G27" s="94"/>
    </row>
    <row r="28" spans="1:7" ht="42.75" hidden="1" customHeight="1" outlineLevel="1">
      <c r="A28" s="92"/>
      <c r="B28" s="98"/>
      <c r="C28" s="247">
        <v>17</v>
      </c>
      <c r="D28" s="248" t="s">
        <v>2245</v>
      </c>
      <c r="E28" s="249" t="s">
        <v>2335</v>
      </c>
      <c r="F28" s="250"/>
      <c r="G28" s="94"/>
    </row>
    <row r="29" spans="1:7" ht="42.75" hidden="1" customHeight="1" outlineLevel="1">
      <c r="A29" s="92"/>
      <c r="B29" s="98"/>
      <c r="C29" s="247">
        <v>18</v>
      </c>
      <c r="D29" s="248" t="s">
        <v>2246</v>
      </c>
      <c r="E29" s="249" t="s">
        <v>2336</v>
      </c>
      <c r="F29" s="250"/>
      <c r="G29" s="94"/>
    </row>
    <row r="30" spans="1:7" ht="42.75" hidden="1" customHeight="1" outlineLevel="1">
      <c r="A30" s="92"/>
      <c r="B30" s="98"/>
      <c r="C30" s="247">
        <v>19</v>
      </c>
      <c r="D30" s="248" t="s">
        <v>2247</v>
      </c>
      <c r="E30" s="249" t="s">
        <v>2337</v>
      </c>
      <c r="F30" s="250"/>
      <c r="G30" s="94"/>
    </row>
    <row r="31" spans="1:7" ht="42.75" hidden="1" customHeight="1" outlineLevel="1">
      <c r="A31" s="92"/>
      <c r="B31" s="98"/>
      <c r="C31" s="247">
        <v>20</v>
      </c>
      <c r="D31" s="248" t="s">
        <v>2248</v>
      </c>
      <c r="E31" s="249" t="s">
        <v>2338</v>
      </c>
      <c r="F31" s="250"/>
      <c r="G31" s="94"/>
    </row>
    <row r="32" spans="1:7" ht="42.75" hidden="1" customHeight="1" outlineLevel="1">
      <c r="A32" s="92"/>
      <c r="B32" s="98"/>
      <c r="C32" s="247">
        <v>21</v>
      </c>
      <c r="D32" s="248" t="s">
        <v>2249</v>
      </c>
      <c r="E32" s="249" t="s">
        <v>2339</v>
      </c>
      <c r="F32" s="250"/>
      <c r="G32" s="94"/>
    </row>
    <row r="33" spans="1:7" ht="42.75" hidden="1" customHeight="1" outlineLevel="1">
      <c r="A33" s="92"/>
      <c r="B33" s="98"/>
      <c r="C33" s="247">
        <v>22</v>
      </c>
      <c r="D33" s="248" t="s">
        <v>2250</v>
      </c>
      <c r="E33" s="249" t="s">
        <v>2340</v>
      </c>
      <c r="F33" s="250"/>
      <c r="G33" s="94"/>
    </row>
    <row r="34" spans="1:7" ht="42.75" hidden="1" customHeight="1" outlineLevel="1">
      <c r="A34" s="92"/>
      <c r="B34" s="98"/>
      <c r="C34" s="247">
        <v>23</v>
      </c>
      <c r="D34" s="248" t="s">
        <v>2251</v>
      </c>
      <c r="E34" s="249" t="s">
        <v>2341</v>
      </c>
      <c r="F34" s="250"/>
      <c r="G34" s="94"/>
    </row>
    <row r="35" spans="1:7" ht="42.75" hidden="1" customHeight="1" outlineLevel="1">
      <c r="A35" s="92"/>
      <c r="B35" s="98"/>
      <c r="C35" s="247">
        <v>24</v>
      </c>
      <c r="D35" s="248" t="s">
        <v>2252</v>
      </c>
      <c r="E35" s="249" t="s">
        <v>2342</v>
      </c>
      <c r="F35" s="250"/>
      <c r="G35" s="94"/>
    </row>
    <row r="36" spans="1:7" ht="42.75" hidden="1" customHeight="1" outlineLevel="1">
      <c r="A36" s="92"/>
      <c r="B36" s="98"/>
      <c r="C36" s="247">
        <v>25</v>
      </c>
      <c r="D36" s="248" t="s">
        <v>2253</v>
      </c>
      <c r="E36" s="249" t="s">
        <v>2343</v>
      </c>
      <c r="F36" s="250"/>
      <c r="G36" s="94"/>
    </row>
    <row r="37" spans="1:7" ht="42.75" hidden="1" customHeight="1" outlineLevel="1">
      <c r="A37" s="92"/>
      <c r="B37" s="98"/>
      <c r="C37" s="247">
        <v>26</v>
      </c>
      <c r="D37" s="248" t="s">
        <v>2254</v>
      </c>
      <c r="E37" s="249" t="s">
        <v>2344</v>
      </c>
      <c r="F37" s="250"/>
      <c r="G37" s="94"/>
    </row>
    <row r="38" spans="1:7" ht="42.75" hidden="1" customHeight="1" outlineLevel="1">
      <c r="A38" s="92"/>
      <c r="B38" s="98"/>
      <c r="C38" s="247">
        <v>27</v>
      </c>
      <c r="D38" s="248" t="s">
        <v>2255</v>
      </c>
      <c r="E38" s="249" t="s">
        <v>2345</v>
      </c>
      <c r="F38" s="250"/>
      <c r="G38" s="94"/>
    </row>
    <row r="39" spans="1:7" ht="42.75" hidden="1" customHeight="1" outlineLevel="1">
      <c r="A39" s="92"/>
      <c r="B39" s="98"/>
      <c r="C39" s="247">
        <v>28</v>
      </c>
      <c r="D39" s="248" t="s">
        <v>2256</v>
      </c>
      <c r="E39" s="249" t="s">
        <v>2346</v>
      </c>
      <c r="F39" s="250"/>
      <c r="G39" s="94"/>
    </row>
    <row r="40" spans="1:7" ht="42.75" hidden="1" customHeight="1" outlineLevel="1">
      <c r="A40" s="92"/>
      <c r="B40" s="98"/>
      <c r="C40" s="247">
        <v>29</v>
      </c>
      <c r="D40" s="248" t="s">
        <v>2257</v>
      </c>
      <c r="E40" s="249" t="s">
        <v>2347</v>
      </c>
      <c r="F40" s="250"/>
      <c r="G40" s="94"/>
    </row>
    <row r="41" spans="1:7" ht="42.75" hidden="1" customHeight="1" outlineLevel="1">
      <c r="A41" s="92"/>
      <c r="B41" s="98"/>
      <c r="C41" s="247">
        <v>30</v>
      </c>
      <c r="D41" s="248" t="s">
        <v>2258</v>
      </c>
      <c r="E41" s="249" t="s">
        <v>2348</v>
      </c>
      <c r="F41" s="250"/>
      <c r="G41" s="94"/>
    </row>
    <row r="42" spans="1:7" ht="42.75" hidden="1" customHeight="1" outlineLevel="1">
      <c r="A42" s="92"/>
      <c r="B42" s="98"/>
      <c r="C42" s="247">
        <v>31</v>
      </c>
      <c r="D42" s="248" t="s">
        <v>2259</v>
      </c>
      <c r="E42" s="249" t="s">
        <v>2349</v>
      </c>
      <c r="F42" s="250"/>
      <c r="G42" s="94"/>
    </row>
    <row r="43" spans="1:7" ht="42.75" hidden="1" customHeight="1" outlineLevel="1">
      <c r="A43" s="92"/>
      <c r="B43" s="98"/>
      <c r="C43" s="247">
        <v>32</v>
      </c>
      <c r="D43" s="248" t="s">
        <v>2260</v>
      </c>
      <c r="E43" s="249" t="s">
        <v>2350</v>
      </c>
      <c r="F43" s="250"/>
      <c r="G43" s="94"/>
    </row>
    <row r="44" spans="1:7" ht="42.75" hidden="1" customHeight="1" outlineLevel="1">
      <c r="A44" s="92"/>
      <c r="B44" s="98"/>
      <c r="C44" s="247">
        <v>33</v>
      </c>
      <c r="D44" s="248" t="s">
        <v>2261</v>
      </c>
      <c r="E44" s="249" t="s">
        <v>2351</v>
      </c>
      <c r="F44" s="250"/>
      <c r="G44" s="94"/>
    </row>
    <row r="45" spans="1:7" ht="42.75" hidden="1" customHeight="1" outlineLevel="1">
      <c r="A45" s="92"/>
      <c r="B45" s="98"/>
      <c r="C45" s="247">
        <v>34</v>
      </c>
      <c r="D45" s="248" t="s">
        <v>2262</v>
      </c>
      <c r="E45" s="249" t="s">
        <v>2352</v>
      </c>
      <c r="F45" s="250"/>
      <c r="G45" s="94"/>
    </row>
    <row r="46" spans="1:7" ht="42.75" hidden="1" customHeight="1" outlineLevel="1">
      <c r="A46" s="92"/>
      <c r="B46" s="98"/>
      <c r="C46" s="247">
        <v>35</v>
      </c>
      <c r="D46" s="248" t="s">
        <v>2263</v>
      </c>
      <c r="E46" s="249" t="s">
        <v>2353</v>
      </c>
      <c r="F46" s="250"/>
      <c r="G46" s="94"/>
    </row>
    <row r="47" spans="1:7" ht="42.75" hidden="1" customHeight="1" outlineLevel="1">
      <c r="A47" s="92"/>
      <c r="B47" s="98"/>
      <c r="C47" s="247">
        <v>36</v>
      </c>
      <c r="D47" s="248" t="s">
        <v>2264</v>
      </c>
      <c r="E47" s="249" t="s">
        <v>2354</v>
      </c>
      <c r="F47" s="250"/>
      <c r="G47" s="94"/>
    </row>
    <row r="48" spans="1:7" ht="42.75" hidden="1" customHeight="1" outlineLevel="1">
      <c r="A48" s="92"/>
      <c r="B48" s="98"/>
      <c r="C48" s="247">
        <v>37</v>
      </c>
      <c r="D48" s="248" t="s">
        <v>2265</v>
      </c>
      <c r="E48" s="249" t="s">
        <v>2355</v>
      </c>
      <c r="F48" s="250"/>
      <c r="G48" s="94"/>
    </row>
    <row r="49" spans="1:7" ht="42.75" hidden="1" customHeight="1" outlineLevel="1">
      <c r="A49" s="92"/>
      <c r="B49" s="98"/>
      <c r="C49" s="247">
        <v>38</v>
      </c>
      <c r="D49" s="248" t="s">
        <v>2266</v>
      </c>
      <c r="E49" s="249" t="s">
        <v>2356</v>
      </c>
      <c r="F49" s="250"/>
      <c r="G49" s="94"/>
    </row>
    <row r="50" spans="1:7" ht="42.75" hidden="1" customHeight="1" outlineLevel="1">
      <c r="A50" s="92"/>
      <c r="B50" s="98"/>
      <c r="C50" s="247">
        <v>39</v>
      </c>
      <c r="D50" s="248" t="s">
        <v>2267</v>
      </c>
      <c r="E50" s="249" t="s">
        <v>2357</v>
      </c>
      <c r="F50" s="250"/>
      <c r="G50" s="94"/>
    </row>
    <row r="51" spans="1:7" ht="42.75" hidden="1" customHeight="1" outlineLevel="1">
      <c r="A51" s="92"/>
      <c r="B51" s="98"/>
      <c r="C51" s="247">
        <v>40</v>
      </c>
      <c r="D51" s="248" t="s">
        <v>2268</v>
      </c>
      <c r="E51" s="249" t="s">
        <v>2358</v>
      </c>
      <c r="F51" s="250"/>
      <c r="G51" s="94"/>
    </row>
    <row r="52" spans="1:7" ht="42.75" hidden="1" customHeight="1" outlineLevel="1">
      <c r="A52" s="92"/>
      <c r="B52" s="98"/>
      <c r="C52" s="247">
        <v>41</v>
      </c>
      <c r="D52" s="248" t="s">
        <v>2269</v>
      </c>
      <c r="E52" s="249" t="s">
        <v>2359</v>
      </c>
      <c r="F52" s="250"/>
      <c r="G52" s="94"/>
    </row>
    <row r="53" spans="1:7" ht="42.75" hidden="1" customHeight="1" outlineLevel="1">
      <c r="A53" s="92"/>
      <c r="B53" s="98"/>
      <c r="C53" s="247">
        <v>42</v>
      </c>
      <c r="D53" s="248" t="s">
        <v>2270</v>
      </c>
      <c r="E53" s="249" t="s">
        <v>2360</v>
      </c>
      <c r="F53" s="250"/>
      <c r="G53" s="94"/>
    </row>
    <row r="54" spans="1:7" ht="42.75" hidden="1" customHeight="1" outlineLevel="2">
      <c r="A54" s="92"/>
      <c r="B54" s="98"/>
      <c r="C54" s="247">
        <v>43</v>
      </c>
      <c r="D54" s="248" t="s">
        <v>2271</v>
      </c>
      <c r="E54" s="251" t="s">
        <v>2361</v>
      </c>
      <c r="F54" s="250"/>
      <c r="G54" s="94"/>
    </row>
    <row r="55" spans="1:7" ht="42.75" hidden="1" customHeight="1" outlineLevel="2">
      <c r="A55" s="92"/>
      <c r="B55" s="98"/>
      <c r="C55" s="247">
        <v>44</v>
      </c>
      <c r="D55" s="248" t="s">
        <v>2272</v>
      </c>
      <c r="E55" s="251" t="s">
        <v>2362</v>
      </c>
      <c r="F55" s="250"/>
      <c r="G55" s="94"/>
    </row>
    <row r="56" spans="1:7" ht="42.75" hidden="1" customHeight="1" outlineLevel="2">
      <c r="A56" s="92"/>
      <c r="B56" s="98"/>
      <c r="C56" s="247">
        <v>45</v>
      </c>
      <c r="D56" s="248" t="s">
        <v>2273</v>
      </c>
      <c r="E56" s="251" t="s">
        <v>2363</v>
      </c>
      <c r="F56" s="250"/>
      <c r="G56" s="94"/>
    </row>
    <row r="57" spans="1:7" ht="42.75" hidden="1" customHeight="1" outlineLevel="2">
      <c r="A57" s="92"/>
      <c r="B57" s="98"/>
      <c r="C57" s="247">
        <v>46</v>
      </c>
      <c r="D57" s="248" t="s">
        <v>2274</v>
      </c>
      <c r="E57" s="251" t="s">
        <v>2364</v>
      </c>
      <c r="F57" s="250"/>
      <c r="G57" s="94"/>
    </row>
    <row r="58" spans="1:7" ht="42.75" hidden="1" customHeight="1" outlineLevel="2">
      <c r="A58" s="92"/>
      <c r="B58" s="98"/>
      <c r="C58" s="247">
        <v>47</v>
      </c>
      <c r="D58" s="248" t="s">
        <v>2275</v>
      </c>
      <c r="E58" s="251" t="s">
        <v>2365</v>
      </c>
      <c r="F58" s="250"/>
      <c r="G58" s="94"/>
    </row>
    <row r="59" spans="1:7" ht="42.75" hidden="1" customHeight="1" outlineLevel="2">
      <c r="A59" s="92"/>
      <c r="B59" s="98"/>
      <c r="C59" s="247">
        <v>48</v>
      </c>
      <c r="D59" s="248" t="s">
        <v>2276</v>
      </c>
      <c r="E59" s="251" t="s">
        <v>2366</v>
      </c>
      <c r="F59" s="250"/>
      <c r="G59" s="94"/>
    </row>
    <row r="60" spans="1:7" ht="42.75" hidden="1" customHeight="1" outlineLevel="2">
      <c r="A60" s="92"/>
      <c r="B60" s="98"/>
      <c r="C60" s="247">
        <v>49</v>
      </c>
      <c r="D60" s="248" t="s">
        <v>2277</v>
      </c>
      <c r="E60" s="251" t="s">
        <v>2367</v>
      </c>
      <c r="F60" s="250"/>
      <c r="G60" s="94"/>
    </row>
    <row r="61" spans="1:7" ht="42.75" hidden="1" customHeight="1" outlineLevel="2">
      <c r="A61" s="92"/>
      <c r="B61" s="98"/>
      <c r="C61" s="247">
        <v>50</v>
      </c>
      <c r="D61" s="248" t="s">
        <v>2278</v>
      </c>
      <c r="E61" s="251" t="s">
        <v>2368</v>
      </c>
      <c r="F61" s="250"/>
      <c r="G61" s="94"/>
    </row>
    <row r="62" spans="1:7" ht="42.75" hidden="1" customHeight="1" outlineLevel="2">
      <c r="A62" s="92"/>
      <c r="B62" s="98"/>
      <c r="C62" s="247">
        <v>51</v>
      </c>
      <c r="D62" s="248" t="s">
        <v>2279</v>
      </c>
      <c r="E62" s="251" t="s">
        <v>2369</v>
      </c>
      <c r="F62" s="250"/>
      <c r="G62" s="94"/>
    </row>
    <row r="63" spans="1:7" ht="42.75" hidden="1" customHeight="1" outlineLevel="2">
      <c r="A63" s="92"/>
      <c r="B63" s="98"/>
      <c r="C63" s="247">
        <v>52</v>
      </c>
      <c r="D63" s="248" t="s">
        <v>2280</v>
      </c>
      <c r="E63" s="251" t="s">
        <v>2370</v>
      </c>
      <c r="F63" s="250"/>
      <c r="G63" s="94"/>
    </row>
    <row r="64" spans="1:7" ht="42.75" hidden="1" customHeight="1" outlineLevel="2">
      <c r="A64" s="92"/>
      <c r="B64" s="98"/>
      <c r="C64" s="247">
        <v>53</v>
      </c>
      <c r="D64" s="248" t="s">
        <v>1556</v>
      </c>
      <c r="E64" s="251" t="s">
        <v>2371</v>
      </c>
      <c r="F64" s="250"/>
      <c r="G64" s="94"/>
    </row>
    <row r="65" spans="1:7" ht="42.75" hidden="1" customHeight="1" outlineLevel="2">
      <c r="A65" s="92"/>
      <c r="B65" s="98"/>
      <c r="C65" s="247">
        <v>54</v>
      </c>
      <c r="D65" s="248" t="s">
        <v>1557</v>
      </c>
      <c r="E65" s="251" t="s">
        <v>2372</v>
      </c>
      <c r="F65" s="250"/>
      <c r="G65" s="94"/>
    </row>
    <row r="66" spans="1:7" ht="42.75" hidden="1" customHeight="1" outlineLevel="2">
      <c r="A66" s="92"/>
      <c r="B66" s="98"/>
      <c r="C66" s="247">
        <v>55</v>
      </c>
      <c r="D66" s="248" t="s">
        <v>1558</v>
      </c>
      <c r="E66" s="251" t="s">
        <v>2373</v>
      </c>
      <c r="F66" s="250"/>
      <c r="G66" s="94"/>
    </row>
    <row r="67" spans="1:7" ht="42.75" hidden="1" customHeight="1" outlineLevel="2">
      <c r="A67" s="92"/>
      <c r="B67" s="98"/>
      <c r="C67" s="247">
        <v>56</v>
      </c>
      <c r="D67" s="248" t="s">
        <v>1559</v>
      </c>
      <c r="E67" s="251" t="s">
        <v>2374</v>
      </c>
      <c r="F67" s="250"/>
      <c r="G67" s="94"/>
    </row>
    <row r="68" spans="1:7" ht="42.75" hidden="1" customHeight="1" outlineLevel="2">
      <c r="A68" s="92"/>
      <c r="B68" s="98"/>
      <c r="C68" s="247">
        <v>57</v>
      </c>
      <c r="D68" s="248" t="s">
        <v>1677</v>
      </c>
      <c r="E68" s="251" t="s">
        <v>2375</v>
      </c>
      <c r="F68" s="250"/>
      <c r="G68" s="94"/>
    </row>
    <row r="69" spans="1:7" ht="42.75" hidden="1" customHeight="1" outlineLevel="2">
      <c r="A69" s="92"/>
      <c r="B69" s="98"/>
      <c r="C69" s="247">
        <v>58</v>
      </c>
      <c r="D69" s="248" t="s">
        <v>1678</v>
      </c>
      <c r="E69" s="251" t="s">
        <v>2376</v>
      </c>
      <c r="F69" s="250"/>
      <c r="G69" s="94"/>
    </row>
    <row r="70" spans="1:7" ht="42.75" hidden="1" customHeight="1" outlineLevel="2">
      <c r="A70" s="92"/>
      <c r="B70" s="98"/>
      <c r="C70" s="247">
        <v>59</v>
      </c>
      <c r="D70" s="248" t="s">
        <v>2281</v>
      </c>
      <c r="E70" s="251" t="s">
        <v>2377</v>
      </c>
      <c r="F70" s="250"/>
      <c r="G70" s="94"/>
    </row>
    <row r="71" spans="1:7" ht="42.75" hidden="1" customHeight="1" outlineLevel="2">
      <c r="A71" s="92"/>
      <c r="B71" s="98"/>
      <c r="C71" s="247">
        <v>60</v>
      </c>
      <c r="D71" s="248" t="s">
        <v>2282</v>
      </c>
      <c r="E71" s="251" t="s">
        <v>2378</v>
      </c>
      <c r="F71" s="250"/>
      <c r="G71" s="94"/>
    </row>
    <row r="72" spans="1:7" ht="42.75" hidden="1" customHeight="1" outlineLevel="2">
      <c r="A72" s="92"/>
      <c r="B72" s="98"/>
      <c r="C72" s="247">
        <v>61</v>
      </c>
      <c r="D72" s="248" t="s">
        <v>2283</v>
      </c>
      <c r="E72" s="251" t="s">
        <v>2379</v>
      </c>
      <c r="F72" s="250"/>
      <c r="G72" s="94"/>
    </row>
    <row r="73" spans="1:7" ht="42.75" hidden="1" customHeight="1" outlineLevel="2">
      <c r="A73" s="92"/>
      <c r="B73" s="98"/>
      <c r="C73" s="247">
        <v>62</v>
      </c>
      <c r="D73" s="248" t="s">
        <v>2284</v>
      </c>
      <c r="E73" s="251" t="s">
        <v>2380</v>
      </c>
      <c r="F73" s="250"/>
      <c r="G73" s="94"/>
    </row>
    <row r="74" spans="1:7" ht="42.75" hidden="1" customHeight="1" outlineLevel="2">
      <c r="A74" s="92"/>
      <c r="B74" s="98"/>
      <c r="C74" s="247">
        <v>63</v>
      </c>
      <c r="D74" s="248" t="s">
        <v>2285</v>
      </c>
      <c r="E74" s="251" t="s">
        <v>2381</v>
      </c>
      <c r="F74" s="250"/>
      <c r="G74" s="94"/>
    </row>
    <row r="75" spans="1:7" ht="42.75" hidden="1" customHeight="1" outlineLevel="2">
      <c r="A75" s="92"/>
      <c r="B75" s="98"/>
      <c r="C75" s="247">
        <v>64</v>
      </c>
      <c r="D75" s="248" t="s">
        <v>1560</v>
      </c>
      <c r="E75" s="251" t="s">
        <v>2382</v>
      </c>
      <c r="F75" s="250"/>
      <c r="G75" s="94"/>
    </row>
    <row r="76" spans="1:7" ht="42.75" hidden="1" customHeight="1" outlineLevel="2">
      <c r="A76" s="92"/>
      <c r="B76" s="98"/>
      <c r="C76" s="247">
        <v>65</v>
      </c>
      <c r="D76" s="248" t="s">
        <v>1561</v>
      </c>
      <c r="E76" s="251" t="s">
        <v>2383</v>
      </c>
      <c r="F76" s="250"/>
      <c r="G76" s="94"/>
    </row>
    <row r="77" spans="1:7" ht="42.75" hidden="1" customHeight="1" outlineLevel="2">
      <c r="A77" s="92"/>
      <c r="B77" s="98"/>
      <c r="C77" s="247">
        <v>66</v>
      </c>
      <c r="D77" s="248" t="s">
        <v>1562</v>
      </c>
      <c r="E77" s="251" t="s">
        <v>2384</v>
      </c>
      <c r="F77" s="250"/>
      <c r="G77" s="94"/>
    </row>
    <row r="78" spans="1:7" ht="42.75" hidden="1" customHeight="1" outlineLevel="2">
      <c r="A78" s="92"/>
      <c r="B78" s="98"/>
      <c r="C78" s="247">
        <v>67</v>
      </c>
      <c r="D78" s="248" t="s">
        <v>1679</v>
      </c>
      <c r="E78" s="251" t="s">
        <v>2385</v>
      </c>
      <c r="F78" s="250"/>
      <c r="G78" s="94"/>
    </row>
    <row r="79" spans="1:7" ht="42.75" hidden="1" customHeight="1" outlineLevel="2">
      <c r="A79" s="92"/>
      <c r="B79" s="98"/>
      <c r="C79" s="247">
        <v>68</v>
      </c>
      <c r="D79" s="248" t="s">
        <v>1563</v>
      </c>
      <c r="E79" s="251" t="s">
        <v>2386</v>
      </c>
      <c r="F79" s="250"/>
      <c r="G79" s="94"/>
    </row>
    <row r="80" spans="1:7" ht="42.75" hidden="1" customHeight="1" outlineLevel="2">
      <c r="A80" s="92"/>
      <c r="B80" s="98"/>
      <c r="C80" s="247">
        <v>69</v>
      </c>
      <c r="D80" s="248" t="s">
        <v>1564</v>
      </c>
      <c r="E80" s="251" t="s">
        <v>2387</v>
      </c>
      <c r="F80" s="250"/>
      <c r="G80" s="94"/>
    </row>
    <row r="81" spans="1:7" ht="42.75" hidden="1" customHeight="1" outlineLevel="2">
      <c r="A81" s="92"/>
      <c r="B81" s="98"/>
      <c r="C81" s="247">
        <v>70</v>
      </c>
      <c r="D81" s="248" t="s">
        <v>1680</v>
      </c>
      <c r="E81" s="251" t="s">
        <v>2388</v>
      </c>
      <c r="F81" s="250"/>
      <c r="G81" s="94"/>
    </row>
    <row r="82" spans="1:7" ht="42.75" hidden="1" customHeight="1" outlineLevel="2">
      <c r="A82" s="92"/>
      <c r="B82" s="98"/>
      <c r="C82" s="247">
        <v>71</v>
      </c>
      <c r="D82" s="248" t="s">
        <v>1681</v>
      </c>
      <c r="E82" s="251" t="s">
        <v>2389</v>
      </c>
      <c r="F82" s="250"/>
      <c r="G82" s="94"/>
    </row>
    <row r="83" spans="1:7" ht="42.75" hidden="1" customHeight="1" outlineLevel="2">
      <c r="A83" s="92"/>
      <c r="B83" s="98"/>
      <c r="C83" s="247">
        <v>72</v>
      </c>
      <c r="D83" s="248" t="s">
        <v>1682</v>
      </c>
      <c r="E83" s="251" t="s">
        <v>2390</v>
      </c>
      <c r="F83" s="250"/>
      <c r="G83" s="94"/>
    </row>
    <row r="84" spans="1:7" ht="42.75" hidden="1" customHeight="1" outlineLevel="2">
      <c r="A84" s="92"/>
      <c r="B84" s="98"/>
      <c r="C84" s="247">
        <v>73</v>
      </c>
      <c r="D84" s="248" t="s">
        <v>1683</v>
      </c>
      <c r="E84" s="251" t="s">
        <v>2391</v>
      </c>
      <c r="F84" s="250"/>
      <c r="G84" s="94"/>
    </row>
    <row r="85" spans="1:7" ht="42.75" hidden="1" customHeight="1" outlineLevel="2">
      <c r="A85" s="92"/>
      <c r="B85" s="98"/>
      <c r="C85" s="247">
        <v>74</v>
      </c>
      <c r="D85" s="248" t="s">
        <v>1684</v>
      </c>
      <c r="E85" s="251" t="s">
        <v>2392</v>
      </c>
      <c r="F85" s="250"/>
      <c r="G85" s="94"/>
    </row>
    <row r="86" spans="1:7" ht="42.75" customHeight="1" collapsed="1">
      <c r="A86" s="92"/>
      <c r="B86" s="98">
        <v>3</v>
      </c>
      <c r="C86" s="475" t="s">
        <v>1531</v>
      </c>
      <c r="D86" s="476"/>
      <c r="E86" s="477" t="s">
        <v>1976</v>
      </c>
      <c r="F86" s="478"/>
      <c r="G86" s="94"/>
    </row>
    <row r="87" spans="1:7" ht="42.75" hidden="1" customHeight="1" outlineLevel="1">
      <c r="A87" s="92"/>
      <c r="B87" s="98"/>
      <c r="C87" s="244"/>
      <c r="D87" s="245" t="s">
        <v>1577</v>
      </c>
      <c r="E87" s="245" t="s">
        <v>1578</v>
      </c>
      <c r="F87" s="246" t="s">
        <v>1686</v>
      </c>
      <c r="G87" s="94"/>
    </row>
    <row r="88" spans="1:7" ht="42.75" hidden="1" customHeight="1" outlineLevel="1">
      <c r="A88" s="92"/>
      <c r="B88" s="98"/>
      <c r="C88" s="247">
        <v>1</v>
      </c>
      <c r="D88" s="248" t="s">
        <v>1540</v>
      </c>
      <c r="E88" s="251" t="s">
        <v>2305</v>
      </c>
      <c r="F88" s="250"/>
      <c r="G88" s="94"/>
    </row>
    <row r="89" spans="1:7" ht="42.75" hidden="1" customHeight="1" outlineLevel="1">
      <c r="A89" s="92"/>
      <c r="B89" s="98"/>
      <c r="C89" s="247">
        <v>2</v>
      </c>
      <c r="D89" s="248" t="s">
        <v>1541</v>
      </c>
      <c r="E89" s="251" t="s">
        <v>2306</v>
      </c>
      <c r="F89" s="250"/>
      <c r="G89" s="94"/>
    </row>
    <row r="90" spans="1:7" ht="42.75" hidden="1" customHeight="1" outlineLevel="1">
      <c r="A90" s="92"/>
      <c r="B90" s="98"/>
      <c r="C90" s="247">
        <v>3</v>
      </c>
      <c r="D90" s="248" t="s">
        <v>1542</v>
      </c>
      <c r="E90" s="251" t="s">
        <v>2307</v>
      </c>
      <c r="F90" s="250"/>
      <c r="G90" s="94"/>
    </row>
    <row r="91" spans="1:7" ht="42.75" hidden="1" customHeight="1" outlineLevel="1">
      <c r="A91" s="92"/>
      <c r="B91" s="98"/>
      <c r="C91" s="247">
        <v>4</v>
      </c>
      <c r="D91" s="248" t="s">
        <v>1543</v>
      </c>
      <c r="E91" s="251" t="s">
        <v>2308</v>
      </c>
      <c r="F91" s="250"/>
      <c r="G91" s="94"/>
    </row>
    <row r="92" spans="1:7" ht="42.75" hidden="1" customHeight="1" outlineLevel="2">
      <c r="A92" s="92"/>
      <c r="B92" s="98"/>
      <c r="C92" s="247">
        <v>5</v>
      </c>
      <c r="D92" s="248" t="s">
        <v>2235</v>
      </c>
      <c r="E92" s="251" t="s">
        <v>2312</v>
      </c>
      <c r="F92" s="250"/>
      <c r="G92" s="94"/>
    </row>
    <row r="93" spans="1:7" ht="42.75" hidden="1" customHeight="1" outlineLevel="2">
      <c r="A93" s="92"/>
      <c r="B93" s="98"/>
      <c r="C93" s="247">
        <v>6</v>
      </c>
      <c r="D93" s="248" t="s">
        <v>2236</v>
      </c>
      <c r="E93" s="251" t="s">
        <v>2313</v>
      </c>
      <c r="F93" s="250"/>
      <c r="G93" s="94"/>
    </row>
    <row r="94" spans="1:7" ht="42.75" hidden="1" customHeight="1" outlineLevel="2">
      <c r="A94" s="92"/>
      <c r="B94" s="98"/>
      <c r="C94" s="247">
        <v>7</v>
      </c>
      <c r="D94" s="248" t="s">
        <v>2237</v>
      </c>
      <c r="E94" s="251" t="s">
        <v>2314</v>
      </c>
      <c r="F94" s="250"/>
      <c r="G94" s="94"/>
    </row>
    <row r="95" spans="1:7" ht="42.75" hidden="1" customHeight="1" outlineLevel="2">
      <c r="A95" s="92"/>
      <c r="B95" s="98"/>
      <c r="C95" s="247">
        <v>8</v>
      </c>
      <c r="D95" s="248" t="s">
        <v>2238</v>
      </c>
      <c r="E95" s="249" t="s">
        <v>2315</v>
      </c>
      <c r="F95" s="250"/>
      <c r="G95" s="94"/>
    </row>
    <row r="96" spans="1:7" ht="42.75" customHeight="1" collapsed="1">
      <c r="A96" s="92"/>
      <c r="B96" s="98">
        <v>4</v>
      </c>
      <c r="C96" s="475" t="s">
        <v>1532</v>
      </c>
      <c r="D96" s="476"/>
      <c r="E96" s="477" t="s">
        <v>1975</v>
      </c>
      <c r="F96" s="478"/>
      <c r="G96" s="94"/>
    </row>
    <row r="97" spans="1:7" ht="42.75" hidden="1" customHeight="1" outlineLevel="1">
      <c r="A97" s="92"/>
      <c r="B97" s="98"/>
      <c r="C97" s="244"/>
      <c r="D97" s="245" t="s">
        <v>1577</v>
      </c>
      <c r="E97" s="245" t="s">
        <v>1578</v>
      </c>
      <c r="F97" s="246" t="s">
        <v>1686</v>
      </c>
      <c r="G97" s="94"/>
    </row>
    <row r="98" spans="1:7" ht="42.75" hidden="1" customHeight="1" outlineLevel="1">
      <c r="A98" s="92"/>
      <c r="B98" s="98"/>
      <c r="C98" s="247">
        <v>1</v>
      </c>
      <c r="D98" s="248" t="s">
        <v>1544</v>
      </c>
      <c r="E98" s="249" t="s">
        <v>2309</v>
      </c>
      <c r="F98" s="250"/>
      <c r="G98" s="94"/>
    </row>
    <row r="99" spans="1:7" ht="42.75" hidden="1" customHeight="1" outlineLevel="1">
      <c r="A99" s="92"/>
      <c r="B99" s="98"/>
      <c r="C99" s="247">
        <v>2</v>
      </c>
      <c r="D99" s="248" t="s">
        <v>1545</v>
      </c>
      <c r="E99" s="251" t="s">
        <v>2310</v>
      </c>
      <c r="F99" s="250"/>
      <c r="G99" s="94"/>
    </row>
    <row r="100" spans="1:7" ht="42.75" hidden="1" customHeight="1" outlineLevel="1">
      <c r="A100" s="92"/>
      <c r="B100" s="98"/>
      <c r="C100" s="247">
        <v>3</v>
      </c>
      <c r="D100" s="248" t="s">
        <v>1546</v>
      </c>
      <c r="E100" s="251" t="s">
        <v>2311</v>
      </c>
      <c r="F100" s="250"/>
      <c r="G100" s="94"/>
    </row>
    <row r="101" spans="1:7" ht="42.75" customHeight="1" collapsed="1">
      <c r="A101" s="92"/>
      <c r="B101" s="98">
        <v>5</v>
      </c>
      <c r="C101" s="475" t="s">
        <v>1658</v>
      </c>
      <c r="D101" s="476"/>
      <c r="E101" s="477" t="s">
        <v>2394</v>
      </c>
      <c r="F101" s="478"/>
      <c r="G101" s="94"/>
    </row>
    <row r="102" spans="1:7" ht="42.75" hidden="1" customHeight="1" outlineLevel="1">
      <c r="A102" s="92"/>
      <c r="B102" s="98"/>
      <c r="C102" s="244"/>
      <c r="D102" s="245" t="s">
        <v>1577</v>
      </c>
      <c r="E102" s="245" t="s">
        <v>1578</v>
      </c>
      <c r="F102" s="246" t="s">
        <v>1686</v>
      </c>
      <c r="G102" s="94"/>
    </row>
    <row r="103" spans="1:7" ht="42.75" hidden="1" customHeight="1" outlineLevel="1">
      <c r="A103" s="92"/>
      <c r="B103" s="98"/>
      <c r="C103" s="247">
        <v>1</v>
      </c>
      <c r="D103" s="248" t="s">
        <v>1663</v>
      </c>
      <c r="E103" s="251" t="s">
        <v>2295</v>
      </c>
      <c r="F103" s="250"/>
      <c r="G103" s="94"/>
    </row>
    <row r="104" spans="1:7" ht="42.75" hidden="1" customHeight="1" outlineLevel="1">
      <c r="A104" s="92"/>
      <c r="B104" s="98"/>
      <c r="C104" s="247">
        <v>2</v>
      </c>
      <c r="D104" s="248" t="s">
        <v>1664</v>
      </c>
      <c r="E104" s="251" t="s">
        <v>2296</v>
      </c>
      <c r="F104" s="250"/>
      <c r="G104" s="94"/>
    </row>
    <row r="105" spans="1:7" ht="42.75" hidden="1" customHeight="1" outlineLevel="1">
      <c r="A105" s="92"/>
      <c r="B105" s="98"/>
      <c r="C105" s="247">
        <v>3</v>
      </c>
      <c r="D105" s="248" t="s">
        <v>1665</v>
      </c>
      <c r="E105" s="251" t="s">
        <v>2297</v>
      </c>
      <c r="F105" s="250"/>
      <c r="G105" s="94"/>
    </row>
    <row r="106" spans="1:7" ht="42.75" hidden="1" customHeight="1" outlineLevel="1">
      <c r="A106" s="92"/>
      <c r="B106" s="98"/>
      <c r="C106" s="247">
        <v>4</v>
      </c>
      <c r="D106" s="248" t="s">
        <v>1666</v>
      </c>
      <c r="E106" s="251" t="s">
        <v>2298</v>
      </c>
      <c r="F106" s="250"/>
      <c r="G106" s="94"/>
    </row>
    <row r="107" spans="1:7" ht="42.75" hidden="1" customHeight="1" outlineLevel="1">
      <c r="A107" s="92"/>
      <c r="B107" s="98"/>
      <c r="C107" s="247">
        <v>5</v>
      </c>
      <c r="D107" s="248" t="s">
        <v>1667</v>
      </c>
      <c r="E107" s="251" t="s">
        <v>2299</v>
      </c>
      <c r="F107" s="250"/>
      <c r="G107" s="94"/>
    </row>
    <row r="108" spans="1:7" ht="42.75" hidden="1" customHeight="1" outlineLevel="1">
      <c r="A108" s="92"/>
      <c r="B108" s="98"/>
      <c r="C108" s="247">
        <v>6</v>
      </c>
      <c r="D108" s="248" t="s">
        <v>1668</v>
      </c>
      <c r="E108" s="251" t="s">
        <v>2300</v>
      </c>
      <c r="F108" s="250"/>
      <c r="G108" s="94"/>
    </row>
    <row r="109" spans="1:7" ht="42.75" customHeight="1" collapsed="1">
      <c r="A109" s="92"/>
      <c r="B109" s="98">
        <v>6</v>
      </c>
      <c r="C109" s="475" t="s">
        <v>1659</v>
      </c>
      <c r="D109" s="476"/>
      <c r="E109" s="477" t="s">
        <v>2395</v>
      </c>
      <c r="F109" s="478"/>
      <c r="G109" s="94"/>
    </row>
    <row r="110" spans="1:7" ht="42.75" hidden="1" customHeight="1" outlineLevel="1">
      <c r="A110" s="92"/>
      <c r="B110" s="98"/>
      <c r="C110" s="244"/>
      <c r="D110" s="245" t="s">
        <v>1577</v>
      </c>
      <c r="E110" s="245" t="s">
        <v>1578</v>
      </c>
      <c r="F110" s="246" t="s">
        <v>1686</v>
      </c>
      <c r="G110" s="94"/>
    </row>
    <row r="111" spans="1:7" ht="42.75" hidden="1" customHeight="1" outlineLevel="1">
      <c r="A111" s="92"/>
      <c r="B111" s="98"/>
      <c r="C111" s="247">
        <v>1</v>
      </c>
      <c r="D111" s="248" t="s">
        <v>1669</v>
      </c>
      <c r="E111" s="251" t="s">
        <v>2301</v>
      </c>
      <c r="F111" s="250"/>
      <c r="G111" s="94"/>
    </row>
    <row r="112" spans="1:7" ht="42.75" hidden="1" customHeight="1" outlineLevel="1">
      <c r="A112" s="92"/>
      <c r="B112" s="98"/>
      <c r="C112" s="247">
        <v>2</v>
      </c>
      <c r="D112" s="248" t="s">
        <v>1670</v>
      </c>
      <c r="E112" s="251" t="s">
        <v>2302</v>
      </c>
      <c r="F112" s="250"/>
      <c r="G112" s="94"/>
    </row>
    <row r="113" spans="1:7" ht="42.75" hidden="1" customHeight="1" outlineLevel="1">
      <c r="A113" s="92"/>
      <c r="B113" s="98"/>
      <c r="C113" s="247">
        <v>3</v>
      </c>
      <c r="D113" s="248" t="s">
        <v>1671</v>
      </c>
      <c r="E113" s="251" t="s">
        <v>2303</v>
      </c>
      <c r="F113" s="250"/>
      <c r="G113" s="94"/>
    </row>
    <row r="114" spans="1:7" ht="42.75" hidden="1" customHeight="1" outlineLevel="1">
      <c r="A114" s="92"/>
      <c r="B114" s="98"/>
      <c r="C114" s="247">
        <v>4</v>
      </c>
      <c r="D114" s="248" t="s">
        <v>1672</v>
      </c>
      <c r="E114" s="251" t="s">
        <v>2304</v>
      </c>
      <c r="F114" s="250"/>
      <c r="G114" s="94"/>
    </row>
    <row r="115" spans="1:7" ht="42.75" customHeight="1" collapsed="1">
      <c r="A115" s="92"/>
      <c r="B115" s="98">
        <v>7</v>
      </c>
      <c r="C115" s="475" t="s">
        <v>1529</v>
      </c>
      <c r="D115" s="476"/>
      <c r="E115" s="477" t="s">
        <v>2396</v>
      </c>
      <c r="F115" s="478"/>
      <c r="G115" s="94"/>
    </row>
    <row r="116" spans="1:7" ht="42.75" customHeight="1">
      <c r="A116" s="92"/>
      <c r="B116" s="98">
        <v>8</v>
      </c>
      <c r="C116" s="475" t="s">
        <v>1526</v>
      </c>
      <c r="D116" s="476"/>
      <c r="E116" s="477" t="s">
        <v>1974</v>
      </c>
      <c r="F116" s="478"/>
      <c r="G116" s="94"/>
    </row>
    <row r="117" spans="1:7" ht="42.75" hidden="1" customHeight="1" outlineLevel="1">
      <c r="A117" s="92"/>
      <c r="B117" s="98"/>
      <c r="C117" s="244"/>
      <c r="D117" s="245" t="s">
        <v>1577</v>
      </c>
      <c r="E117" s="245" t="s">
        <v>1578</v>
      </c>
      <c r="F117" s="246" t="s">
        <v>1686</v>
      </c>
      <c r="G117" s="94"/>
    </row>
    <row r="118" spans="1:7" ht="42.75" hidden="1" customHeight="1" outlineLevel="1">
      <c r="A118" s="92"/>
      <c r="B118" s="98"/>
      <c r="C118" s="247">
        <v>1</v>
      </c>
      <c r="D118" s="114" t="s">
        <v>1534</v>
      </c>
      <c r="E118" s="252" t="s">
        <v>2286</v>
      </c>
      <c r="F118" s="250"/>
      <c r="G118" s="94"/>
    </row>
    <row r="119" spans="1:7" ht="42.75" hidden="1" customHeight="1" outlineLevel="1">
      <c r="A119" s="92"/>
      <c r="B119" s="98"/>
      <c r="C119" s="247">
        <v>2</v>
      </c>
      <c r="D119" s="114" t="s">
        <v>1535</v>
      </c>
      <c r="E119" s="252" t="s">
        <v>2287</v>
      </c>
      <c r="F119" s="250"/>
      <c r="G119" s="94"/>
    </row>
    <row r="120" spans="1:7" ht="42.75" hidden="1" customHeight="1" outlineLevel="1">
      <c r="A120" s="92"/>
      <c r="B120" s="98"/>
      <c r="C120" s="247">
        <v>3</v>
      </c>
      <c r="D120" s="114" t="s">
        <v>1536</v>
      </c>
      <c r="E120" s="252" t="s">
        <v>2288</v>
      </c>
      <c r="F120" s="250"/>
      <c r="G120" s="94"/>
    </row>
    <row r="121" spans="1:7" ht="42.75" hidden="1" customHeight="1" outlineLevel="1">
      <c r="A121" s="92"/>
      <c r="B121" s="98"/>
      <c r="C121" s="247">
        <v>4</v>
      </c>
      <c r="D121" s="114" t="s">
        <v>1537</v>
      </c>
      <c r="E121" s="252" t="s">
        <v>2289</v>
      </c>
      <c r="F121" s="250"/>
      <c r="G121" s="94"/>
    </row>
    <row r="122" spans="1:7" ht="42.75" hidden="1" customHeight="1" outlineLevel="1">
      <c r="A122" s="92"/>
      <c r="B122" s="98"/>
      <c r="C122" s="247">
        <v>5</v>
      </c>
      <c r="D122" s="114" t="s">
        <v>1660</v>
      </c>
      <c r="E122" s="252" t="s">
        <v>2290</v>
      </c>
      <c r="F122" s="250"/>
      <c r="G122" s="94"/>
    </row>
    <row r="123" spans="1:7" ht="42.75" hidden="1" customHeight="1" outlineLevel="1">
      <c r="A123" s="92"/>
      <c r="B123" s="98"/>
      <c r="C123" s="247">
        <v>6</v>
      </c>
      <c r="D123" s="114" t="s">
        <v>1538</v>
      </c>
      <c r="E123" s="252" t="s">
        <v>2291</v>
      </c>
      <c r="F123" s="250"/>
      <c r="G123" s="94"/>
    </row>
    <row r="124" spans="1:7" ht="42.75" hidden="1" customHeight="1" outlineLevel="1">
      <c r="A124" s="92"/>
      <c r="B124" s="98"/>
      <c r="C124" s="247">
        <v>7</v>
      </c>
      <c r="D124" s="114" t="s">
        <v>1661</v>
      </c>
      <c r="E124" s="252" t="s">
        <v>2292</v>
      </c>
      <c r="F124" s="250"/>
      <c r="G124" s="94"/>
    </row>
    <row r="125" spans="1:7" ht="42.75" hidden="1" customHeight="1" outlineLevel="1">
      <c r="A125" s="92"/>
      <c r="B125" s="98"/>
      <c r="C125" s="247">
        <v>8</v>
      </c>
      <c r="D125" s="114" t="s">
        <v>1539</v>
      </c>
      <c r="E125" s="252" t="s">
        <v>2293</v>
      </c>
      <c r="F125" s="250"/>
      <c r="G125" s="94"/>
    </row>
    <row r="126" spans="1:7" ht="42.75" hidden="1" customHeight="1" outlineLevel="1">
      <c r="A126" s="92"/>
      <c r="B126" s="98"/>
      <c r="C126" s="247">
        <v>9</v>
      </c>
      <c r="D126" s="114" t="s">
        <v>1662</v>
      </c>
      <c r="E126" s="252" t="s">
        <v>2294</v>
      </c>
      <c r="F126" s="250"/>
      <c r="G126" s="94"/>
    </row>
    <row r="127" spans="1:7" ht="42.75" customHeight="1" collapsed="1">
      <c r="A127" s="92"/>
      <c r="B127" s="98">
        <v>9</v>
      </c>
      <c r="C127" s="475" t="s">
        <v>1527</v>
      </c>
      <c r="D127" s="476"/>
      <c r="E127" s="477" t="s">
        <v>2234</v>
      </c>
      <c r="F127" s="478"/>
      <c r="G127" s="94"/>
    </row>
    <row r="128" spans="1:7" ht="42.75" hidden="1" customHeight="1" outlineLevel="1">
      <c r="A128" s="92"/>
      <c r="B128" s="98"/>
      <c r="C128" s="244"/>
      <c r="D128" s="245" t="s">
        <v>1577</v>
      </c>
      <c r="E128" s="245" t="s">
        <v>1578</v>
      </c>
      <c r="F128" s="246" t="s">
        <v>1686</v>
      </c>
      <c r="G128" s="94"/>
    </row>
    <row r="129" spans="1:7" ht="42.75" hidden="1" customHeight="1" outlineLevel="1">
      <c r="A129" s="92"/>
      <c r="B129" s="98"/>
      <c r="C129" s="247">
        <v>1</v>
      </c>
      <c r="D129" s="248" t="s">
        <v>1547</v>
      </c>
      <c r="E129" s="248" t="s">
        <v>2316</v>
      </c>
      <c r="F129" s="250"/>
      <c r="G129" s="94"/>
    </row>
    <row r="130" spans="1:7" ht="42.75" hidden="1" customHeight="1" outlineLevel="1">
      <c r="A130" s="92"/>
      <c r="B130" s="98"/>
      <c r="C130" s="247">
        <v>2</v>
      </c>
      <c r="D130" s="248" t="s">
        <v>1673</v>
      </c>
      <c r="E130" s="248" t="s">
        <v>2317</v>
      </c>
      <c r="F130" s="250"/>
      <c r="G130" s="94"/>
    </row>
    <row r="131" spans="1:7" ht="42.75" hidden="1" customHeight="1" outlineLevel="1">
      <c r="A131" s="92"/>
      <c r="B131" s="98"/>
      <c r="C131" s="247">
        <v>3</v>
      </c>
      <c r="D131" s="248" t="s">
        <v>1674</v>
      </c>
      <c r="E131" s="248" t="s">
        <v>2318</v>
      </c>
      <c r="F131" s="250"/>
      <c r="G131" s="94"/>
    </row>
    <row r="132" spans="1:7" ht="42.75" customHeight="1" collapsed="1">
      <c r="A132" s="92"/>
      <c r="B132" s="98">
        <v>10</v>
      </c>
      <c r="C132" s="475" t="s">
        <v>1528</v>
      </c>
      <c r="D132" s="476"/>
      <c r="E132" s="477" t="s">
        <v>2233</v>
      </c>
      <c r="F132" s="478"/>
      <c r="G132" s="94"/>
    </row>
    <row r="133" spans="1:7" ht="42.75" hidden="1" customHeight="1" outlineLevel="1">
      <c r="A133" s="92"/>
      <c r="B133" s="98"/>
      <c r="C133" s="244"/>
      <c r="D133" s="245" t="s">
        <v>1577</v>
      </c>
      <c r="E133" s="245" t="s">
        <v>1578</v>
      </c>
      <c r="F133" s="246" t="s">
        <v>1686</v>
      </c>
      <c r="G133" s="94"/>
    </row>
    <row r="134" spans="1:7" ht="42.75" hidden="1" customHeight="1" outlineLevel="1">
      <c r="A134" s="92"/>
      <c r="B134" s="98"/>
      <c r="C134" s="247">
        <v>1</v>
      </c>
      <c r="D134" s="114" t="s">
        <v>1565</v>
      </c>
      <c r="E134" s="252" t="s">
        <v>1571</v>
      </c>
      <c r="F134" s="250"/>
      <c r="G134" s="94"/>
    </row>
    <row r="135" spans="1:7" ht="42.75" hidden="1" customHeight="1" outlineLevel="1">
      <c r="A135" s="92"/>
      <c r="B135" s="98"/>
      <c r="C135" s="247">
        <v>2</v>
      </c>
      <c r="D135" s="114" t="s">
        <v>1566</v>
      </c>
      <c r="E135" s="252" t="s">
        <v>1572</v>
      </c>
      <c r="F135" s="250"/>
      <c r="G135" s="94"/>
    </row>
    <row r="136" spans="1:7" ht="42.75" hidden="1" customHeight="1" outlineLevel="1">
      <c r="A136" s="92"/>
      <c r="B136" s="98"/>
      <c r="C136" s="247">
        <v>3</v>
      </c>
      <c r="D136" s="114" t="s">
        <v>1567</v>
      </c>
      <c r="E136" s="252" t="s">
        <v>1573</v>
      </c>
      <c r="F136" s="250"/>
      <c r="G136" s="94"/>
    </row>
    <row r="137" spans="1:7" ht="42.75" hidden="1" customHeight="1" outlineLevel="1">
      <c r="A137" s="92"/>
      <c r="B137" s="98"/>
      <c r="C137" s="247">
        <v>4</v>
      </c>
      <c r="D137" s="114" t="s">
        <v>1568</v>
      </c>
      <c r="E137" s="252" t="s">
        <v>1574</v>
      </c>
      <c r="F137" s="250"/>
      <c r="G137" s="94"/>
    </row>
    <row r="138" spans="1:7" ht="42.75" hidden="1" customHeight="1" outlineLevel="1">
      <c r="A138" s="92"/>
      <c r="B138" s="98"/>
      <c r="C138" s="247">
        <v>5</v>
      </c>
      <c r="D138" s="114" t="s">
        <v>1569</v>
      </c>
      <c r="E138" s="252" t="s">
        <v>1575</v>
      </c>
      <c r="F138" s="250"/>
      <c r="G138" s="94"/>
    </row>
    <row r="139" spans="1:7" ht="42.75" hidden="1" customHeight="1" outlineLevel="1">
      <c r="A139" s="92"/>
      <c r="B139" s="98"/>
      <c r="C139" s="247">
        <v>6</v>
      </c>
      <c r="D139" s="114" t="s">
        <v>1570</v>
      </c>
      <c r="E139" s="252" t="s">
        <v>1576</v>
      </c>
      <c r="F139" s="250"/>
      <c r="G139" s="94"/>
    </row>
    <row r="140" spans="1:7" ht="24.75" customHeight="1" collapsed="1">
      <c r="A140" s="92"/>
      <c r="B140" s="93"/>
      <c r="C140" s="93"/>
      <c r="D140" s="93"/>
      <c r="E140" s="93"/>
      <c r="F140" s="93"/>
      <c r="G140" s="94"/>
    </row>
    <row r="141" spans="1:7">
      <c r="A141" s="95"/>
      <c r="B141" s="96"/>
      <c r="C141" s="96"/>
      <c r="D141" s="96"/>
      <c r="E141" s="96"/>
      <c r="F141" s="96"/>
      <c r="G141" s="97"/>
    </row>
    <row r="142" spans="1:7" hidden="1"/>
    <row r="143" spans="1:7" hidden="1"/>
    <row r="144" spans="1:7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</sheetData>
  <mergeCells count="25">
    <mergeCell ref="C116:D116"/>
    <mergeCell ref="C127:D127"/>
    <mergeCell ref="C132:D132"/>
    <mergeCell ref="C115:D115"/>
    <mergeCell ref="E86:F86"/>
    <mergeCell ref="E96:F96"/>
    <mergeCell ref="C96:D96"/>
    <mergeCell ref="C86:D86"/>
    <mergeCell ref="E109:F109"/>
    <mergeCell ref="E132:F132"/>
    <mergeCell ref="E115:F115"/>
    <mergeCell ref="E116:F116"/>
    <mergeCell ref="E127:F127"/>
    <mergeCell ref="C101:D101"/>
    <mergeCell ref="C109:D109"/>
    <mergeCell ref="E101:F101"/>
    <mergeCell ref="A2:G2"/>
    <mergeCell ref="A3:G3"/>
    <mergeCell ref="A6:G6"/>
    <mergeCell ref="D8:F8"/>
    <mergeCell ref="C10:D10"/>
    <mergeCell ref="C9:D9"/>
    <mergeCell ref="E9:F9"/>
    <mergeCell ref="E10:F10"/>
    <mergeCell ref="A4:G4"/>
  </mergeCells>
  <hyperlinks>
    <hyperlink ref="C10" location="MNU_BD_MENUS!A1" display="MNU_BD_MENUS"/>
    <hyperlink ref="C86" location="COT_BASE_COTIZACIONES!A1" display="COT_BASE_COTIZACIONES"/>
    <hyperlink ref="C96" location="COT_PRECALCULOS!A1" display="COT_PRECALCULOS"/>
    <hyperlink ref="C115" location="PRO_BASE_PROVEEDORES!A1" display="PRO_BASE_PROVEEDORES"/>
    <hyperlink ref="C116" location="CAL_CALENDARIO_CICLOS!A1" display="CAL_CALENDARIO_CICLOS"/>
    <hyperlink ref="C127" location="FRE_FRECUENCIAS!A1" display="FRE_FRECUENCIAS"/>
    <hyperlink ref="C132" location="VOL_VOLUMEN_SUMINISTROS!A1" display="VOL_VOLUMEN_SUMINISTROS"/>
    <hyperlink ref="C9" location="CON_CONSOLIDADO_PE!A1" display="CON_CONSOLIDADO_PE"/>
    <hyperlink ref="C9:D9" location="RES_RESUMEN_PRESUPUESTO_2!A1" display="RES_RESUMEN_PRESUPUESTO_2"/>
    <hyperlink ref="C101:D101" location="COSTPE_G_ALIMENTOS_GRUPOS!A1" display="COSTPE_A_ALIMENTOS"/>
    <hyperlink ref="C109:D109" location="COSTSE_G_ALIMENTOS_GRUPOS!A1" display="COSTSE_A_ALIMENT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H599"/>
  <sheetViews>
    <sheetView zoomScaleNormal="100" workbookViewId="0"/>
  </sheetViews>
  <sheetFormatPr baseColWidth="10" defaultColWidth="0" defaultRowHeight="15" zeroHeight="1"/>
  <cols>
    <col min="1" max="1" width="36.7109375" customWidth="1"/>
    <col min="2" max="2" width="26.28515625" customWidth="1"/>
    <col min="3" max="3" width="22.85546875" customWidth="1"/>
    <col min="4" max="4" width="19.85546875" customWidth="1"/>
    <col min="5" max="5" width="35.42578125" bestFit="1" customWidth="1"/>
    <col min="6" max="6" width="41.28515625" customWidth="1"/>
    <col min="7" max="7" width="24" customWidth="1"/>
    <col min="8" max="8" width="46.28515625" customWidth="1"/>
    <col min="9" max="16384" width="11.42578125" hidden="1"/>
  </cols>
  <sheetData>
    <row r="1" spans="1:8" ht="15.75">
      <c r="A1" s="6"/>
      <c r="B1" s="7"/>
      <c r="C1" s="7"/>
      <c r="D1" s="7"/>
      <c r="E1" s="7"/>
      <c r="F1" s="7"/>
      <c r="G1" s="7"/>
      <c r="H1" s="7"/>
    </row>
    <row r="2" spans="1:8" ht="20.25">
      <c r="A2" s="3"/>
      <c r="B2" s="480" t="s">
        <v>1940</v>
      </c>
      <c r="C2" s="480"/>
      <c r="F2" s="4"/>
      <c r="G2" s="4"/>
      <c r="H2" s="4"/>
    </row>
    <row r="3" spans="1:8" ht="18">
      <c r="A3" s="481" t="s">
        <v>1937</v>
      </c>
      <c r="B3" s="482"/>
      <c r="C3" s="482"/>
      <c r="D3" s="482"/>
      <c r="E3" s="482"/>
      <c r="F3" s="482"/>
      <c r="G3" s="482"/>
      <c r="H3" s="482"/>
    </row>
    <row r="4" spans="1:8" ht="18">
      <c r="A4" s="481" t="s">
        <v>1938</v>
      </c>
      <c r="B4" s="482"/>
      <c r="C4" s="482"/>
      <c r="D4" s="482"/>
      <c r="E4" s="482"/>
      <c r="F4" s="482"/>
      <c r="G4" s="482"/>
      <c r="H4" s="482"/>
    </row>
    <row r="5" spans="1:8" ht="18">
      <c r="A5" s="481" t="s">
        <v>1939</v>
      </c>
      <c r="B5" s="482"/>
      <c r="C5" s="482"/>
      <c r="D5" s="482"/>
      <c r="E5" s="482"/>
      <c r="F5" s="482"/>
      <c r="G5" s="482"/>
      <c r="H5" s="482"/>
    </row>
    <row r="6" spans="1:8" ht="18">
      <c r="A6" s="99"/>
      <c r="B6" s="100"/>
      <c r="C6" s="100"/>
      <c r="D6" s="100"/>
      <c r="E6" s="100"/>
      <c r="F6" s="100"/>
      <c r="G6" s="100"/>
      <c r="H6" s="100"/>
    </row>
    <row r="7" spans="1:8" ht="18">
      <c r="A7" s="481" t="s">
        <v>1372</v>
      </c>
      <c r="B7" s="482"/>
      <c r="C7" s="482"/>
      <c r="D7" s="482"/>
      <c r="E7" s="482"/>
      <c r="F7" s="482"/>
      <c r="G7" s="482"/>
      <c r="H7" s="482"/>
    </row>
    <row r="8" spans="1:8" ht="15.75">
      <c r="A8" s="3"/>
      <c r="B8" s="4"/>
      <c r="C8" s="4"/>
      <c r="D8" s="4"/>
      <c r="E8" s="4"/>
      <c r="F8" s="4"/>
      <c r="G8" s="4"/>
      <c r="H8" s="4"/>
    </row>
    <row r="9" spans="1:8" ht="27.75" customHeight="1">
      <c r="A9" s="46" t="s">
        <v>1956</v>
      </c>
      <c r="B9" s="45" t="s">
        <v>1944</v>
      </c>
      <c r="C9" s="47" t="s">
        <v>1374</v>
      </c>
      <c r="D9" s="45" t="s">
        <v>1957</v>
      </c>
      <c r="E9" s="47" t="s">
        <v>1375</v>
      </c>
      <c r="F9" s="47" t="s">
        <v>1376</v>
      </c>
      <c r="G9" s="47" t="s">
        <v>1377</v>
      </c>
      <c r="H9" s="47" t="s">
        <v>1378</v>
      </c>
    </row>
    <row r="10" spans="1:8">
      <c r="A10" s="330" t="s">
        <v>1993</v>
      </c>
      <c r="B10" s="330" t="s">
        <v>1</v>
      </c>
      <c r="C10" s="330" t="s">
        <v>1994</v>
      </c>
      <c r="D10" s="333"/>
      <c r="E10" s="330" t="s">
        <v>1995</v>
      </c>
      <c r="F10" s="330" t="s">
        <v>1991</v>
      </c>
      <c r="G10" s="334" t="s">
        <v>1996</v>
      </c>
      <c r="H10" s="325" t="s">
        <v>1997</v>
      </c>
    </row>
    <row r="11" spans="1:8" ht="45">
      <c r="A11" s="330" t="s">
        <v>1998</v>
      </c>
      <c r="B11" s="330" t="s">
        <v>1</v>
      </c>
      <c r="C11" s="330" t="s">
        <v>1999</v>
      </c>
      <c r="D11" s="333"/>
      <c r="E11" s="324" t="s">
        <v>2000</v>
      </c>
      <c r="F11" s="330" t="s">
        <v>1989</v>
      </c>
      <c r="G11" s="335" t="s">
        <v>2001</v>
      </c>
      <c r="H11" s="325" t="s">
        <v>2002</v>
      </c>
    </row>
    <row r="12" spans="1:8">
      <c r="A12" s="325" t="s">
        <v>1980</v>
      </c>
      <c r="B12" s="330" t="s">
        <v>1</v>
      </c>
      <c r="C12" s="330" t="s">
        <v>1981</v>
      </c>
      <c r="D12" s="333">
        <v>42661</v>
      </c>
      <c r="E12" s="325" t="s">
        <v>1982</v>
      </c>
      <c r="F12" s="325" t="s">
        <v>1983</v>
      </c>
      <c r="G12" s="330" t="s">
        <v>1984</v>
      </c>
      <c r="H12" s="334" t="s">
        <v>1985</v>
      </c>
    </row>
    <row r="13" spans="1:8" ht="30">
      <c r="A13" s="330" t="s">
        <v>2003</v>
      </c>
      <c r="B13" s="330" t="s">
        <v>1</v>
      </c>
      <c r="C13" s="330" t="s">
        <v>2004</v>
      </c>
      <c r="D13" s="333"/>
      <c r="E13" s="330" t="s">
        <v>2005</v>
      </c>
      <c r="F13" s="330" t="s">
        <v>2005</v>
      </c>
      <c r="G13" s="330" t="s">
        <v>2006</v>
      </c>
      <c r="H13" s="325" t="s">
        <v>2007</v>
      </c>
    </row>
    <row r="14" spans="1:8" ht="45">
      <c r="A14" s="330" t="s">
        <v>1396</v>
      </c>
      <c r="B14" s="330" t="s">
        <v>1</v>
      </c>
      <c r="C14" s="330" t="s">
        <v>2008</v>
      </c>
      <c r="D14" s="333">
        <v>42684</v>
      </c>
      <c r="E14" s="330" t="s">
        <v>2009</v>
      </c>
      <c r="F14" s="330" t="s">
        <v>1990</v>
      </c>
      <c r="G14" s="330" t="s">
        <v>2010</v>
      </c>
      <c r="H14" s="329" t="s">
        <v>2011</v>
      </c>
    </row>
    <row r="15" spans="1:8">
      <c r="A15" s="330" t="s">
        <v>2012</v>
      </c>
      <c r="B15" s="330" t="s">
        <v>1</v>
      </c>
      <c r="C15" s="330"/>
      <c r="D15" s="333"/>
      <c r="E15" s="330" t="s">
        <v>2013</v>
      </c>
      <c r="F15" s="330" t="s">
        <v>1991</v>
      </c>
      <c r="G15" s="330" t="s">
        <v>2014</v>
      </c>
      <c r="H15" s="325" t="s">
        <v>2015</v>
      </c>
    </row>
    <row r="16" spans="1:8">
      <c r="A16" s="330" t="s">
        <v>2016</v>
      </c>
      <c r="B16" s="330" t="s">
        <v>1</v>
      </c>
      <c r="C16" s="334" t="s">
        <v>2017</v>
      </c>
      <c r="D16" s="333"/>
      <c r="E16" s="330" t="s">
        <v>2018</v>
      </c>
      <c r="F16" s="330" t="s">
        <v>1991</v>
      </c>
      <c r="G16" s="330" t="s">
        <v>2019</v>
      </c>
      <c r="H16" s="329" t="s">
        <v>2020</v>
      </c>
    </row>
    <row r="17" spans="1:8" ht="30">
      <c r="A17" s="330" t="s">
        <v>2021</v>
      </c>
      <c r="B17" s="330" t="s">
        <v>1</v>
      </c>
      <c r="C17" s="330" t="s">
        <v>2022</v>
      </c>
      <c r="D17" s="333"/>
      <c r="E17" s="330" t="s">
        <v>2023</v>
      </c>
      <c r="F17" s="330" t="s">
        <v>1991</v>
      </c>
      <c r="G17" s="330" t="s">
        <v>2024</v>
      </c>
      <c r="H17" s="325" t="s">
        <v>2025</v>
      </c>
    </row>
    <row r="18" spans="1:8" ht="30">
      <c r="A18" s="330" t="s">
        <v>2026</v>
      </c>
      <c r="B18" s="330" t="s">
        <v>1</v>
      </c>
      <c r="C18" s="330" t="s">
        <v>2027</v>
      </c>
      <c r="D18" s="333"/>
      <c r="E18" s="330" t="s">
        <v>2028</v>
      </c>
      <c r="F18" s="330" t="s">
        <v>1991</v>
      </c>
      <c r="G18" s="330" t="s">
        <v>2029</v>
      </c>
      <c r="H18" s="329" t="s">
        <v>2030</v>
      </c>
    </row>
    <row r="19" spans="1:8">
      <c r="A19" s="330" t="s">
        <v>2031</v>
      </c>
      <c r="B19" s="330" t="s">
        <v>1</v>
      </c>
      <c r="C19" s="330"/>
      <c r="D19" s="333"/>
      <c r="E19" s="330" t="s">
        <v>2032</v>
      </c>
      <c r="F19" s="330" t="s">
        <v>1991</v>
      </c>
      <c r="G19" s="330" t="s">
        <v>2033</v>
      </c>
      <c r="H19" s="325" t="s">
        <v>2034</v>
      </c>
    </row>
    <row r="20" spans="1:8">
      <c r="A20" s="330" t="s">
        <v>2035</v>
      </c>
      <c r="B20" s="330" t="s">
        <v>1</v>
      </c>
      <c r="C20" s="330"/>
      <c r="D20" s="333"/>
      <c r="E20" s="330" t="s">
        <v>2036</v>
      </c>
      <c r="F20" s="330" t="s">
        <v>2037</v>
      </c>
      <c r="G20" s="330" t="s">
        <v>2038</v>
      </c>
      <c r="H20" s="325" t="s">
        <v>2039</v>
      </c>
    </row>
    <row r="21" spans="1:8" ht="30">
      <c r="A21" s="330" t="s">
        <v>2040</v>
      </c>
      <c r="B21" s="330" t="s">
        <v>1</v>
      </c>
      <c r="C21" s="324"/>
      <c r="D21" s="333"/>
      <c r="E21" s="330" t="s">
        <v>2041</v>
      </c>
      <c r="F21" s="330" t="s">
        <v>1991</v>
      </c>
      <c r="G21" s="324" t="s">
        <v>2042</v>
      </c>
      <c r="H21" s="325" t="s">
        <v>2043</v>
      </c>
    </row>
    <row r="22" spans="1:8" ht="45">
      <c r="A22" s="330" t="s">
        <v>1525</v>
      </c>
      <c r="B22" s="330" t="s">
        <v>1</v>
      </c>
      <c r="C22" s="330" t="s">
        <v>2044</v>
      </c>
      <c r="D22" s="333">
        <v>42677</v>
      </c>
      <c r="E22" s="330" t="s">
        <v>2045</v>
      </c>
      <c r="F22" s="330" t="s">
        <v>2046</v>
      </c>
      <c r="G22" s="330" t="s">
        <v>2047</v>
      </c>
      <c r="H22" s="325" t="s">
        <v>2048</v>
      </c>
    </row>
    <row r="23" spans="1:8">
      <c r="A23" s="330" t="s">
        <v>2049</v>
      </c>
      <c r="B23" s="330" t="s">
        <v>1</v>
      </c>
      <c r="C23" s="330" t="s">
        <v>2050</v>
      </c>
      <c r="D23" s="333"/>
      <c r="E23" s="330" t="s">
        <v>1992</v>
      </c>
      <c r="F23" s="330" t="s">
        <v>2005</v>
      </c>
      <c r="G23" s="330" t="s">
        <v>2051</v>
      </c>
      <c r="H23" s="330"/>
    </row>
    <row r="24" spans="1:8" ht="45">
      <c r="A24" s="330" t="s">
        <v>1591</v>
      </c>
      <c r="B24" s="330" t="s">
        <v>1</v>
      </c>
      <c r="C24" s="330" t="s">
        <v>2052</v>
      </c>
      <c r="D24" s="333">
        <v>42689</v>
      </c>
      <c r="E24" s="330" t="s">
        <v>2053</v>
      </c>
      <c r="F24" s="330" t="s">
        <v>2054</v>
      </c>
      <c r="G24" s="330" t="s">
        <v>2055</v>
      </c>
      <c r="H24" s="325" t="s">
        <v>2056</v>
      </c>
    </row>
    <row r="25" spans="1:8" ht="30">
      <c r="A25" s="334" t="s">
        <v>2057</v>
      </c>
      <c r="B25" s="330" t="s">
        <v>1</v>
      </c>
      <c r="C25" s="330" t="s">
        <v>2058</v>
      </c>
      <c r="D25" s="333"/>
      <c r="E25" s="330" t="s">
        <v>2059</v>
      </c>
      <c r="F25" s="330" t="s">
        <v>1991</v>
      </c>
      <c r="G25" s="330" t="s">
        <v>2060</v>
      </c>
      <c r="H25" s="325" t="s">
        <v>2061</v>
      </c>
    </row>
    <row r="26" spans="1:8" ht="30">
      <c r="A26" s="330" t="s">
        <v>2062</v>
      </c>
      <c r="B26" s="330" t="s">
        <v>1</v>
      </c>
      <c r="C26" s="330"/>
      <c r="D26" s="333"/>
      <c r="E26" s="330" t="s">
        <v>2063</v>
      </c>
      <c r="F26" s="330" t="s">
        <v>1991</v>
      </c>
      <c r="G26" s="330" t="s">
        <v>2064</v>
      </c>
      <c r="H26" s="325" t="s">
        <v>2065</v>
      </c>
    </row>
    <row r="27" spans="1:8" ht="30">
      <c r="A27" s="330" t="s">
        <v>2066</v>
      </c>
      <c r="B27" s="330" t="s">
        <v>1</v>
      </c>
      <c r="C27" s="330"/>
      <c r="D27" s="333"/>
      <c r="E27" s="330" t="s">
        <v>1992</v>
      </c>
      <c r="F27" s="330" t="s">
        <v>2005</v>
      </c>
      <c r="G27" s="330" t="s">
        <v>2067</v>
      </c>
      <c r="H27" s="325" t="s">
        <v>2068</v>
      </c>
    </row>
    <row r="28" spans="1:8" ht="45">
      <c r="A28" s="330" t="s">
        <v>1524</v>
      </c>
      <c r="B28" s="330" t="s">
        <v>1</v>
      </c>
      <c r="C28" s="330">
        <v>6019158</v>
      </c>
      <c r="D28" s="333">
        <v>42692</v>
      </c>
      <c r="E28" s="330" t="s">
        <v>2069</v>
      </c>
      <c r="F28" s="330" t="s">
        <v>2070</v>
      </c>
      <c r="G28" s="330" t="s">
        <v>2071</v>
      </c>
      <c r="H28" s="325" t="s">
        <v>2072</v>
      </c>
    </row>
    <row r="29" spans="1:8" ht="30">
      <c r="A29" s="330" t="s">
        <v>2073</v>
      </c>
      <c r="B29" s="330" t="s">
        <v>1</v>
      </c>
      <c r="C29" s="330" t="s">
        <v>2074</v>
      </c>
      <c r="D29" s="333"/>
      <c r="E29" s="330" t="s">
        <v>2075</v>
      </c>
      <c r="F29" s="330" t="s">
        <v>2037</v>
      </c>
      <c r="G29" s="330" t="s">
        <v>2076</v>
      </c>
      <c r="H29" s="325" t="s">
        <v>2077</v>
      </c>
    </row>
    <row r="30" spans="1:8" ht="30">
      <c r="A30" s="330" t="s">
        <v>2078</v>
      </c>
      <c r="B30" s="330" t="s">
        <v>1</v>
      </c>
      <c r="C30" s="330" t="s">
        <v>2079</v>
      </c>
      <c r="D30" s="333"/>
      <c r="E30" s="330" t="s">
        <v>1992</v>
      </c>
      <c r="F30" s="330" t="s">
        <v>1992</v>
      </c>
      <c r="G30" s="330" t="s">
        <v>2080</v>
      </c>
      <c r="H30" s="325" t="s">
        <v>2081</v>
      </c>
    </row>
    <row r="31" spans="1:8" ht="45">
      <c r="A31" s="330" t="s">
        <v>2082</v>
      </c>
      <c r="B31" s="330" t="s">
        <v>1</v>
      </c>
      <c r="C31" s="330" t="s">
        <v>2083</v>
      </c>
      <c r="D31" s="333"/>
      <c r="E31" s="330" t="s">
        <v>2084</v>
      </c>
      <c r="F31" s="330" t="s">
        <v>1991</v>
      </c>
      <c r="G31" s="330" t="s">
        <v>2085</v>
      </c>
      <c r="H31" s="325" t="s">
        <v>2086</v>
      </c>
    </row>
    <row r="32" spans="1:8">
      <c r="A32" s="330" t="s">
        <v>2087</v>
      </c>
      <c r="B32" s="330" t="s">
        <v>1</v>
      </c>
      <c r="C32" s="330"/>
      <c r="D32" s="333"/>
      <c r="E32" s="330" t="s">
        <v>2088</v>
      </c>
      <c r="F32" s="330" t="s">
        <v>1989</v>
      </c>
      <c r="G32" s="330" t="s">
        <v>2089</v>
      </c>
      <c r="H32" s="329" t="s">
        <v>2090</v>
      </c>
    </row>
    <row r="33" spans="1:8" ht="30">
      <c r="A33" s="330" t="s">
        <v>1689</v>
      </c>
      <c r="B33" s="330" t="s">
        <v>1</v>
      </c>
      <c r="C33" s="330" t="s">
        <v>2091</v>
      </c>
      <c r="D33" s="333">
        <v>42685</v>
      </c>
      <c r="E33" s="330" t="s">
        <v>2092</v>
      </c>
      <c r="F33" s="330" t="s">
        <v>1991</v>
      </c>
      <c r="G33" s="330" t="s">
        <v>2093</v>
      </c>
      <c r="H33" s="329" t="s">
        <v>2094</v>
      </c>
    </row>
    <row r="34" spans="1:8">
      <c r="A34" s="330" t="s">
        <v>1513</v>
      </c>
      <c r="B34" s="330" t="s">
        <v>1</v>
      </c>
      <c r="C34" s="330" t="s">
        <v>2095</v>
      </c>
      <c r="D34" s="333">
        <v>42660</v>
      </c>
      <c r="E34" s="330" t="s">
        <v>1992</v>
      </c>
      <c r="F34" s="330" t="s">
        <v>2005</v>
      </c>
      <c r="G34" s="330">
        <v>7469000</v>
      </c>
      <c r="H34" s="325" t="s">
        <v>2096</v>
      </c>
    </row>
    <row r="35" spans="1:8" ht="30">
      <c r="A35" s="330" t="s">
        <v>2097</v>
      </c>
      <c r="B35" s="330" t="s">
        <v>1</v>
      </c>
      <c r="C35" s="330" t="s">
        <v>2098</v>
      </c>
      <c r="D35" s="333"/>
      <c r="E35" s="330" t="s">
        <v>2099</v>
      </c>
      <c r="F35" s="330" t="s">
        <v>1991</v>
      </c>
      <c r="G35" s="330" t="s">
        <v>2100</v>
      </c>
      <c r="H35" s="325" t="s">
        <v>2101</v>
      </c>
    </row>
    <row r="36" spans="1:8">
      <c r="A36" s="330" t="s">
        <v>2102</v>
      </c>
      <c r="B36" s="330" t="s">
        <v>1</v>
      </c>
      <c r="C36" s="330"/>
      <c r="D36" s="333"/>
      <c r="E36" s="330" t="s">
        <v>2103</v>
      </c>
      <c r="F36" s="330" t="s">
        <v>1991</v>
      </c>
      <c r="G36" s="330" t="s">
        <v>2104</v>
      </c>
      <c r="H36" s="325" t="s">
        <v>2105</v>
      </c>
    </row>
    <row r="37" spans="1:8" ht="30">
      <c r="A37" s="330" t="s">
        <v>2106</v>
      </c>
      <c r="B37" s="330" t="s">
        <v>1</v>
      </c>
      <c r="C37" s="330"/>
      <c r="D37" s="333"/>
      <c r="E37" s="330" t="s">
        <v>2107</v>
      </c>
      <c r="F37" s="330" t="s">
        <v>1991</v>
      </c>
      <c r="G37" s="330" t="s">
        <v>2108</v>
      </c>
      <c r="H37" s="325" t="s">
        <v>2109</v>
      </c>
    </row>
    <row r="38" spans="1:8">
      <c r="A38" s="330" t="s">
        <v>2110</v>
      </c>
      <c r="B38" s="330" t="s">
        <v>1</v>
      </c>
      <c r="C38" s="330"/>
      <c r="D38" s="333"/>
      <c r="E38" s="330" t="s">
        <v>1992</v>
      </c>
      <c r="F38" s="330" t="s">
        <v>1992</v>
      </c>
      <c r="G38" s="330" t="s">
        <v>2111</v>
      </c>
      <c r="H38" s="325" t="s">
        <v>2112</v>
      </c>
    </row>
    <row r="39" spans="1:8" ht="45">
      <c r="A39" s="330" t="s">
        <v>2113</v>
      </c>
      <c r="B39" s="330" t="s">
        <v>1</v>
      </c>
      <c r="C39" s="330" t="s">
        <v>2114</v>
      </c>
      <c r="D39" s="333"/>
      <c r="E39" s="330" t="s">
        <v>2115</v>
      </c>
      <c r="F39" s="330" t="s">
        <v>2037</v>
      </c>
      <c r="G39" s="330" t="s">
        <v>2116</v>
      </c>
      <c r="H39" s="325" t="s">
        <v>2117</v>
      </c>
    </row>
    <row r="40" spans="1:8" ht="30">
      <c r="A40" s="330" t="s">
        <v>2118</v>
      </c>
      <c r="B40" s="330" t="s">
        <v>1</v>
      </c>
      <c r="C40" s="330" t="s">
        <v>2119</v>
      </c>
      <c r="D40" s="333"/>
      <c r="E40" s="330" t="s">
        <v>2120</v>
      </c>
      <c r="F40" s="330" t="s">
        <v>1989</v>
      </c>
      <c r="G40" s="330">
        <v>3124571040</v>
      </c>
      <c r="H40" s="329" t="s">
        <v>2121</v>
      </c>
    </row>
    <row r="41" spans="1:8" ht="30">
      <c r="A41" s="330" t="s">
        <v>2122</v>
      </c>
      <c r="B41" s="330" t="s">
        <v>1</v>
      </c>
      <c r="C41" s="330" t="s">
        <v>2123</v>
      </c>
      <c r="D41" s="333"/>
      <c r="E41" s="330" t="s">
        <v>2124</v>
      </c>
      <c r="F41" s="330" t="s">
        <v>2037</v>
      </c>
      <c r="G41" s="330" t="s">
        <v>2125</v>
      </c>
      <c r="H41" s="325" t="s">
        <v>2126</v>
      </c>
    </row>
    <row r="42" spans="1:8" ht="30">
      <c r="A42" s="330" t="s">
        <v>2127</v>
      </c>
      <c r="B42" s="330" t="s">
        <v>1</v>
      </c>
      <c r="C42" s="330" t="s">
        <v>2128</v>
      </c>
      <c r="D42" s="333"/>
      <c r="E42" s="330" t="s">
        <v>2129</v>
      </c>
      <c r="F42" s="330" t="s">
        <v>1991</v>
      </c>
      <c r="G42" s="330" t="s">
        <v>2130</v>
      </c>
      <c r="H42" s="325" t="s">
        <v>2131</v>
      </c>
    </row>
    <row r="43" spans="1:8">
      <c r="A43" s="330" t="s">
        <v>2132</v>
      </c>
      <c r="B43" s="330" t="s">
        <v>1</v>
      </c>
      <c r="C43" s="330" t="s">
        <v>2133</v>
      </c>
      <c r="D43" s="333"/>
      <c r="E43" s="330" t="s">
        <v>2134</v>
      </c>
      <c r="F43" s="330" t="s">
        <v>2037</v>
      </c>
      <c r="G43" s="330" t="s">
        <v>2135</v>
      </c>
      <c r="H43" s="325" t="s">
        <v>2136</v>
      </c>
    </row>
    <row r="44" spans="1:8" ht="30">
      <c r="A44" s="330" t="s">
        <v>2137</v>
      </c>
      <c r="B44" s="330" t="s">
        <v>1</v>
      </c>
      <c r="C44" s="330" t="s">
        <v>2138</v>
      </c>
      <c r="D44" s="333"/>
      <c r="E44" s="330" t="s">
        <v>2139</v>
      </c>
      <c r="F44" s="330" t="s">
        <v>1991</v>
      </c>
      <c r="G44" s="330" t="s">
        <v>2140</v>
      </c>
      <c r="H44" s="325" t="s">
        <v>2141</v>
      </c>
    </row>
    <row r="45" spans="1:8" ht="30">
      <c r="A45" s="330" t="s">
        <v>2142</v>
      </c>
      <c r="B45" s="330" t="s">
        <v>1</v>
      </c>
      <c r="C45" s="330" t="s">
        <v>2143</v>
      </c>
      <c r="D45" s="333"/>
      <c r="E45" s="330" t="s">
        <v>2144</v>
      </c>
      <c r="F45" s="330" t="s">
        <v>1991</v>
      </c>
      <c r="G45" s="330" t="s">
        <v>2145</v>
      </c>
      <c r="H45" s="325" t="s">
        <v>2146</v>
      </c>
    </row>
    <row r="46" spans="1:8" ht="30">
      <c r="A46" s="330" t="s">
        <v>2147</v>
      </c>
      <c r="B46" s="330" t="s">
        <v>1</v>
      </c>
      <c r="C46" s="330"/>
      <c r="D46" s="333"/>
      <c r="E46" s="330" t="s">
        <v>2147</v>
      </c>
      <c r="F46" s="330" t="s">
        <v>1991</v>
      </c>
      <c r="G46" s="330" t="s">
        <v>2148</v>
      </c>
      <c r="H46" s="329" t="s">
        <v>2149</v>
      </c>
    </row>
    <row r="47" spans="1:8">
      <c r="A47" s="330" t="s">
        <v>2150</v>
      </c>
      <c r="B47" s="330" t="s">
        <v>1</v>
      </c>
      <c r="C47" s="330"/>
      <c r="D47" s="333"/>
      <c r="E47" s="330" t="s">
        <v>2151</v>
      </c>
      <c r="F47" s="330" t="s">
        <v>1991</v>
      </c>
      <c r="G47" s="330">
        <v>6219253</v>
      </c>
      <c r="H47" s="329" t="s">
        <v>2152</v>
      </c>
    </row>
    <row r="48" spans="1:8" ht="30">
      <c r="A48" s="330" t="s">
        <v>1397</v>
      </c>
      <c r="B48" s="330" t="s">
        <v>1</v>
      </c>
      <c r="C48" s="330" t="s">
        <v>2153</v>
      </c>
      <c r="D48" s="333"/>
      <c r="E48" s="330" t="s">
        <v>2154</v>
      </c>
      <c r="F48" s="330" t="s">
        <v>1979</v>
      </c>
      <c r="G48" s="330" t="s">
        <v>2155</v>
      </c>
      <c r="H48" s="325" t="s">
        <v>2156</v>
      </c>
    </row>
    <row r="49" spans="1:8" ht="30">
      <c r="A49" s="330" t="s">
        <v>2157</v>
      </c>
      <c r="B49" s="330" t="s">
        <v>1</v>
      </c>
      <c r="C49" s="330"/>
      <c r="D49" s="333"/>
      <c r="E49" s="330" t="s">
        <v>1992</v>
      </c>
      <c r="F49" s="330" t="s">
        <v>2005</v>
      </c>
      <c r="G49" s="330" t="s">
        <v>2158</v>
      </c>
      <c r="H49" s="325" t="s">
        <v>2159</v>
      </c>
    </row>
    <row r="50" spans="1:8" ht="30">
      <c r="A50" s="330" t="s">
        <v>2160</v>
      </c>
      <c r="B50" s="330" t="s">
        <v>1</v>
      </c>
      <c r="C50" s="330" t="s">
        <v>2161</v>
      </c>
      <c r="D50" s="333"/>
      <c r="E50" s="330" t="s">
        <v>2162</v>
      </c>
      <c r="F50" s="330" t="s">
        <v>1991</v>
      </c>
      <c r="G50" s="330" t="s">
        <v>2163</v>
      </c>
      <c r="H50" s="325" t="s">
        <v>2164</v>
      </c>
    </row>
    <row r="51" spans="1:8" ht="30">
      <c r="A51" s="330" t="s">
        <v>2165</v>
      </c>
      <c r="B51" s="330" t="s">
        <v>1</v>
      </c>
      <c r="C51" s="330" t="s">
        <v>2166</v>
      </c>
      <c r="D51" s="333"/>
      <c r="E51" s="330" t="s">
        <v>1992</v>
      </c>
      <c r="F51" s="330" t="s">
        <v>2005</v>
      </c>
      <c r="G51" s="330" t="s">
        <v>2167</v>
      </c>
      <c r="H51" s="325" t="s">
        <v>2168</v>
      </c>
    </row>
    <row r="52" spans="1:8" ht="30">
      <c r="A52" s="330" t="s">
        <v>1688</v>
      </c>
      <c r="B52" s="330" t="s">
        <v>1</v>
      </c>
      <c r="C52" s="330" t="s">
        <v>2169</v>
      </c>
      <c r="D52" s="333">
        <v>42678</v>
      </c>
      <c r="E52" s="330" t="s">
        <v>2170</v>
      </c>
      <c r="F52" s="330" t="s">
        <v>2171</v>
      </c>
      <c r="G52" s="330" t="s">
        <v>2172</v>
      </c>
      <c r="H52" s="330" t="s">
        <v>2173</v>
      </c>
    </row>
    <row r="53" spans="1:8" ht="30">
      <c r="A53" s="330" t="s">
        <v>2174</v>
      </c>
      <c r="B53" s="330" t="s">
        <v>1</v>
      </c>
      <c r="C53" s="330" t="s">
        <v>2175</v>
      </c>
      <c r="D53" s="333"/>
      <c r="E53" s="330" t="s">
        <v>2176</v>
      </c>
      <c r="F53" s="330" t="s">
        <v>1991</v>
      </c>
      <c r="G53" s="330" t="s">
        <v>2177</v>
      </c>
      <c r="H53" s="325" t="s">
        <v>2178</v>
      </c>
    </row>
    <row r="54" spans="1:8" ht="30">
      <c r="A54" s="330" t="s">
        <v>2179</v>
      </c>
      <c r="B54" s="330" t="s">
        <v>1</v>
      </c>
      <c r="C54" s="330"/>
      <c r="D54" s="333"/>
      <c r="E54" s="330" t="s">
        <v>2179</v>
      </c>
      <c r="F54" s="330" t="s">
        <v>1991</v>
      </c>
      <c r="G54" s="330">
        <v>3204787858</v>
      </c>
      <c r="H54" s="329" t="s">
        <v>2180</v>
      </c>
    </row>
    <row r="55" spans="1:8">
      <c r="A55" s="330" t="s">
        <v>2181</v>
      </c>
      <c r="B55" s="330" t="s">
        <v>1</v>
      </c>
      <c r="C55" s="330"/>
      <c r="D55" s="333"/>
      <c r="E55" s="330" t="s">
        <v>2181</v>
      </c>
      <c r="F55" s="330" t="s">
        <v>1991</v>
      </c>
      <c r="G55" s="330">
        <v>3103491348</v>
      </c>
      <c r="H55" s="327" t="s">
        <v>2182</v>
      </c>
    </row>
    <row r="56" spans="1:8">
      <c r="A56" s="330" t="s">
        <v>1443</v>
      </c>
      <c r="B56" s="325" t="s">
        <v>1</v>
      </c>
      <c r="C56" s="330"/>
      <c r="D56" s="333"/>
      <c r="E56" s="325" t="s">
        <v>1986</v>
      </c>
      <c r="F56" s="325" t="s">
        <v>1987</v>
      </c>
      <c r="G56" s="330">
        <v>7561414</v>
      </c>
      <c r="H56" s="325" t="s">
        <v>1988</v>
      </c>
    </row>
    <row r="57" spans="1:8">
      <c r="A57" s="330" t="s">
        <v>2183</v>
      </c>
      <c r="B57" s="330" t="s">
        <v>1</v>
      </c>
      <c r="C57" s="330" t="s">
        <v>2184</v>
      </c>
      <c r="D57" s="333"/>
      <c r="E57" s="330" t="s">
        <v>2185</v>
      </c>
      <c r="F57" s="330" t="s">
        <v>1991</v>
      </c>
      <c r="G57" s="330">
        <v>6781616</v>
      </c>
      <c r="H57" s="325" t="s">
        <v>2186</v>
      </c>
    </row>
    <row r="58" spans="1:8" ht="30">
      <c r="A58" s="330" t="s">
        <v>2187</v>
      </c>
      <c r="B58" s="330" t="s">
        <v>1</v>
      </c>
      <c r="C58" s="330"/>
      <c r="D58" s="333"/>
      <c r="E58" s="330" t="s">
        <v>2187</v>
      </c>
      <c r="F58" s="330" t="s">
        <v>1991</v>
      </c>
      <c r="G58" s="330" t="s">
        <v>2188</v>
      </c>
      <c r="H58" s="329" t="s">
        <v>2189</v>
      </c>
    </row>
    <row r="59" spans="1:8">
      <c r="A59" s="330" t="s">
        <v>2190</v>
      </c>
      <c r="B59" s="330" t="s">
        <v>1</v>
      </c>
      <c r="C59" s="330"/>
      <c r="D59" s="333"/>
      <c r="E59" s="330" t="s">
        <v>2190</v>
      </c>
      <c r="F59" s="330" t="s">
        <v>1991</v>
      </c>
      <c r="G59" s="330">
        <v>6434884</v>
      </c>
      <c r="H59" s="329" t="s">
        <v>2191</v>
      </c>
    </row>
    <row r="60" spans="1:8" ht="30">
      <c r="A60" s="330" t="s">
        <v>2192</v>
      </c>
      <c r="B60" s="330" t="s">
        <v>1</v>
      </c>
      <c r="C60" s="330" t="s">
        <v>2193</v>
      </c>
      <c r="D60" s="333"/>
      <c r="E60" s="330" t="s">
        <v>2194</v>
      </c>
      <c r="F60" s="330" t="s">
        <v>1991</v>
      </c>
      <c r="G60" s="330" t="s">
        <v>2195</v>
      </c>
      <c r="H60" s="325" t="s">
        <v>2196</v>
      </c>
    </row>
    <row r="61" spans="1:8" ht="45">
      <c r="A61" s="330" t="s">
        <v>2197</v>
      </c>
      <c r="B61" s="330" t="s">
        <v>1</v>
      </c>
      <c r="C61" s="330" t="s">
        <v>2198</v>
      </c>
      <c r="D61" s="333"/>
      <c r="E61" s="330" t="s">
        <v>2199</v>
      </c>
      <c r="F61" s="330" t="s">
        <v>2200</v>
      </c>
      <c r="G61" s="330" t="s">
        <v>2201</v>
      </c>
      <c r="H61" s="325" t="s">
        <v>2202</v>
      </c>
    </row>
    <row r="62" spans="1:8" ht="30">
      <c r="A62" s="330" t="s">
        <v>2203</v>
      </c>
      <c r="B62" s="330" t="s">
        <v>1</v>
      </c>
      <c r="C62" s="330"/>
      <c r="D62" s="333"/>
      <c r="E62" s="330" t="s">
        <v>2203</v>
      </c>
      <c r="F62" s="330" t="s">
        <v>1991</v>
      </c>
      <c r="G62" s="330">
        <v>3156172437</v>
      </c>
      <c r="H62" s="325" t="s">
        <v>2204</v>
      </c>
    </row>
    <row r="63" spans="1:8">
      <c r="A63" s="330" t="s">
        <v>2205</v>
      </c>
      <c r="B63" s="330" t="s">
        <v>1</v>
      </c>
      <c r="C63" s="330"/>
      <c r="D63" s="333"/>
      <c r="E63" s="330" t="s">
        <v>2205</v>
      </c>
      <c r="F63" s="330" t="s">
        <v>1991</v>
      </c>
      <c r="G63" s="330" t="s">
        <v>2206</v>
      </c>
      <c r="H63" s="325" t="s">
        <v>2207</v>
      </c>
    </row>
    <row r="64" spans="1:8">
      <c r="A64" s="330" t="s">
        <v>2208</v>
      </c>
      <c r="B64" s="330" t="s">
        <v>1</v>
      </c>
      <c r="C64" s="330" t="s">
        <v>2209</v>
      </c>
      <c r="D64" s="333"/>
      <c r="E64" s="330" t="s">
        <v>1992</v>
      </c>
      <c r="F64" s="330" t="s">
        <v>2005</v>
      </c>
      <c r="G64" s="330" t="s">
        <v>2210</v>
      </c>
      <c r="H64" s="325" t="s">
        <v>2211</v>
      </c>
    </row>
    <row r="65" spans="1:8" ht="30">
      <c r="A65" s="330" t="s">
        <v>1515</v>
      </c>
      <c r="B65" s="330" t="s">
        <v>1</v>
      </c>
      <c r="C65" s="330" t="s">
        <v>2212</v>
      </c>
      <c r="D65" s="333">
        <v>42677</v>
      </c>
      <c r="E65" s="330" t="s">
        <v>2213</v>
      </c>
      <c r="F65" s="330" t="s">
        <v>2214</v>
      </c>
      <c r="G65" s="326" t="s">
        <v>2215</v>
      </c>
      <c r="H65" s="325" t="s">
        <v>2216</v>
      </c>
    </row>
    <row r="66" spans="1:8" ht="30">
      <c r="A66" s="330" t="s">
        <v>2217</v>
      </c>
      <c r="B66" s="330" t="s">
        <v>1</v>
      </c>
      <c r="C66" s="330"/>
      <c r="D66" s="333"/>
      <c r="E66" s="330" t="s">
        <v>1992</v>
      </c>
      <c r="F66" s="330" t="s">
        <v>2037</v>
      </c>
      <c r="G66" s="330" t="s">
        <v>2218</v>
      </c>
      <c r="H66" s="325" t="s">
        <v>2219</v>
      </c>
    </row>
    <row r="67" spans="1:8" ht="30">
      <c r="A67" s="330" t="s">
        <v>2220</v>
      </c>
      <c r="B67" s="330" t="s">
        <v>1</v>
      </c>
      <c r="C67" s="330">
        <v>900462419</v>
      </c>
      <c r="D67" s="333">
        <v>42657</v>
      </c>
      <c r="E67" s="330" t="s">
        <v>2221</v>
      </c>
      <c r="F67" s="330" t="s">
        <v>2222</v>
      </c>
      <c r="G67" s="330" t="s">
        <v>2223</v>
      </c>
      <c r="H67" s="325" t="s">
        <v>2224</v>
      </c>
    </row>
    <row r="68" spans="1:8">
      <c r="A68" s="330" t="s">
        <v>2225</v>
      </c>
      <c r="B68" s="330" t="s">
        <v>1</v>
      </c>
      <c r="C68" s="330"/>
      <c r="D68" s="333"/>
      <c r="E68" s="330" t="s">
        <v>2226</v>
      </c>
      <c r="F68" s="330" t="s">
        <v>1991</v>
      </c>
      <c r="G68" s="330" t="s">
        <v>2227</v>
      </c>
      <c r="H68" s="325" t="s">
        <v>2228</v>
      </c>
    </row>
    <row r="69" spans="1:8" ht="30">
      <c r="A69" s="330" t="s">
        <v>1646</v>
      </c>
      <c r="B69" s="330" t="s">
        <v>1</v>
      </c>
      <c r="C69" s="330" t="s">
        <v>2229</v>
      </c>
      <c r="D69" s="333">
        <v>42675</v>
      </c>
      <c r="E69" s="330" t="s">
        <v>2230</v>
      </c>
      <c r="F69" s="330" t="s">
        <v>1991</v>
      </c>
      <c r="G69" s="330" t="s">
        <v>2231</v>
      </c>
      <c r="H69" s="325" t="s">
        <v>2232</v>
      </c>
    </row>
    <row r="70" spans="1:8"/>
    <row r="71" spans="1:8"/>
    <row r="72" spans="1:8"/>
    <row r="73" spans="1:8"/>
    <row r="74" spans="1:8"/>
    <row r="75" spans="1:8"/>
    <row r="76" spans="1:8"/>
    <row r="77" spans="1:8"/>
    <row r="78" spans="1:8"/>
    <row r="79" spans="1:8"/>
    <row r="80" spans="1:8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</sheetData>
  <sortState ref="A10:H438">
    <sortCondition ref="B10:B438"/>
  </sortState>
  <mergeCells count="5">
    <mergeCell ref="A3:H3"/>
    <mergeCell ref="A4:H4"/>
    <mergeCell ref="A7:H7"/>
    <mergeCell ref="B2:C2"/>
    <mergeCell ref="A5:H5"/>
  </mergeCells>
  <hyperlinks>
    <hyperlink ref="B2:C2" location="'INDICE_ MODELO'!C132" display="Ir a Índice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110"/>
  <sheetViews>
    <sheetView zoomScaleNormal="100" workbookViewId="0"/>
  </sheetViews>
  <sheetFormatPr baseColWidth="10" defaultColWidth="0" defaultRowHeight="15" zeroHeight="1"/>
  <cols>
    <col min="1" max="1" width="21.5703125" customWidth="1"/>
    <col min="2" max="2" width="8.140625" customWidth="1"/>
    <col min="3" max="3" width="21.85546875" customWidth="1"/>
    <col min="4" max="4" width="20.85546875" customWidth="1"/>
    <col min="5" max="5" width="21.140625" customWidth="1"/>
    <col min="6" max="6" width="1.28515625" customWidth="1"/>
    <col min="7" max="7" width="5.85546875" customWidth="1"/>
    <col min="8" max="8" width="17.140625" customWidth="1"/>
    <col min="9" max="9" width="18.140625" customWidth="1"/>
    <col min="10" max="15" width="9.42578125" customWidth="1"/>
    <col min="16" max="16" width="10.85546875" customWidth="1"/>
    <col min="17" max="17" width="30" customWidth="1"/>
    <col min="18" max="16384" width="11" hidden="1"/>
  </cols>
  <sheetData>
    <row r="1" spans="1:17" ht="15.75">
      <c r="A1" s="13"/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6"/>
    </row>
    <row r="2" spans="1:17" ht="20.25">
      <c r="A2" s="17"/>
      <c r="B2" s="480" t="s">
        <v>1533</v>
      </c>
      <c r="C2" s="480"/>
      <c r="D2" s="4"/>
      <c r="E2" s="4"/>
      <c r="F2" s="4"/>
      <c r="G2" s="4"/>
      <c r="H2" s="4"/>
      <c r="I2" s="12"/>
      <c r="J2" s="12"/>
      <c r="K2" s="12"/>
      <c r="L2" s="12"/>
      <c r="M2" s="12"/>
      <c r="N2" s="12"/>
      <c r="O2" s="12"/>
      <c r="P2" s="12"/>
      <c r="Q2" s="18"/>
    </row>
    <row r="3" spans="1:17" ht="18.75" customHeight="1">
      <c r="A3" s="548" t="s">
        <v>1937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549"/>
    </row>
    <row r="4" spans="1:17" ht="18.75" customHeight="1">
      <c r="A4" s="548" t="s">
        <v>1938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549"/>
    </row>
    <row r="5" spans="1:17" s="227" customFormat="1" ht="18.75" customHeight="1">
      <c r="A5" s="548" t="s">
        <v>1939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549"/>
    </row>
    <row r="6" spans="1:17" ht="18.75">
      <c r="A6" s="102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9"/>
    </row>
    <row r="7" spans="1:17" ht="18.75" customHeight="1">
      <c r="A7" s="548" t="s">
        <v>1966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549"/>
    </row>
    <row r="8" spans="1:17" ht="15.75">
      <c r="A8" s="17"/>
      <c r="B8" s="4"/>
      <c r="C8" s="4"/>
      <c r="D8" s="4"/>
      <c r="E8" s="4"/>
      <c r="F8" s="4"/>
      <c r="G8" s="4"/>
      <c r="H8" s="4"/>
      <c r="I8" s="12"/>
      <c r="J8" s="12"/>
      <c r="K8" s="12"/>
      <c r="L8" s="12"/>
      <c r="M8" s="12"/>
      <c r="N8" s="12"/>
      <c r="O8" s="12"/>
      <c r="P8" s="12"/>
      <c r="Q8" s="18"/>
    </row>
    <row r="9" spans="1:17" ht="16.5" thickBot="1">
      <c r="A9" s="19"/>
      <c r="B9" s="20"/>
      <c r="C9" s="20"/>
      <c r="D9" s="20"/>
      <c r="E9" s="20"/>
      <c r="F9" s="20"/>
      <c r="G9" s="20"/>
      <c r="H9" s="20"/>
      <c r="I9" s="20"/>
      <c r="J9" s="20"/>
      <c r="K9" s="22"/>
      <c r="L9" s="22"/>
      <c r="M9" s="22"/>
      <c r="N9" s="22"/>
      <c r="O9" s="22"/>
      <c r="P9" s="22"/>
      <c r="Q9" s="21"/>
    </row>
    <row r="10" spans="1:17" ht="5.25" customHeight="1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15.75" thickBot="1">
      <c r="A11" s="541" t="s">
        <v>1967</v>
      </c>
      <c r="B11" s="542"/>
      <c r="C11" s="542"/>
      <c r="D11" s="542"/>
      <c r="E11" s="543"/>
      <c r="F11" s="33"/>
      <c r="G11" s="544" t="s">
        <v>1955</v>
      </c>
      <c r="H11" s="545"/>
      <c r="I11" s="545"/>
      <c r="J11" s="545"/>
      <c r="K11" s="545"/>
      <c r="L11" s="545"/>
      <c r="M11" s="545"/>
      <c r="N11" s="545"/>
      <c r="O11" s="545"/>
      <c r="P11" s="545"/>
      <c r="Q11" s="546"/>
    </row>
    <row r="12" spans="1:17" ht="6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42" customHeight="1">
      <c r="A13" s="179" t="s">
        <v>100</v>
      </c>
      <c r="B13" s="180" t="s">
        <v>127</v>
      </c>
      <c r="C13" s="180" t="s">
        <v>1968</v>
      </c>
      <c r="D13" s="180" t="s">
        <v>1336</v>
      </c>
      <c r="E13" s="180" t="s">
        <v>1337</v>
      </c>
      <c r="F13" s="34"/>
      <c r="G13" s="170" t="s">
        <v>105</v>
      </c>
      <c r="H13" s="170" t="s">
        <v>100</v>
      </c>
      <c r="I13" s="170" t="s">
        <v>110</v>
      </c>
      <c r="J13" s="170" t="s">
        <v>114</v>
      </c>
      <c r="K13" s="170" t="s">
        <v>115</v>
      </c>
      <c r="L13" s="170" t="s">
        <v>116</v>
      </c>
      <c r="M13" s="170" t="s">
        <v>107</v>
      </c>
      <c r="N13" s="170" t="s">
        <v>108</v>
      </c>
      <c r="O13" s="170" t="s">
        <v>113</v>
      </c>
      <c r="P13" s="170" t="s">
        <v>1334</v>
      </c>
      <c r="Q13" s="170" t="s">
        <v>109</v>
      </c>
    </row>
    <row r="14" spans="1:17" ht="13.5" customHeight="1">
      <c r="A14" s="540" t="s">
        <v>1969</v>
      </c>
      <c r="B14" s="418" t="s">
        <v>14</v>
      </c>
      <c r="C14" s="419">
        <f t="shared" ref="C14:C31" si="0">COUNTIF(CAL_PRIMERA_ENTREGA,B14)</f>
        <v>17</v>
      </c>
      <c r="D14" s="420">
        <f>$O$17</f>
        <v>629438</v>
      </c>
      <c r="E14" s="420">
        <f>D14*C14</f>
        <v>10700446</v>
      </c>
      <c r="F14" s="34"/>
      <c r="G14" s="171"/>
      <c r="H14" s="547" t="s">
        <v>117</v>
      </c>
      <c r="I14" s="172" t="s">
        <v>111</v>
      </c>
      <c r="J14" s="173">
        <f>SUMIF(VOL_JORNADA,"1052-1MNO",VOL_TIPOA)</f>
        <v>93582</v>
      </c>
      <c r="K14" s="173">
        <f>SUMIF(VOL_JORNADA,"1052-1MNO",VOL_TIPOB)</f>
        <v>123906</v>
      </c>
      <c r="L14" s="173">
        <f>SUMIF(VOL_JORNADA,"1052-1MNO",VOL_TIPOC)</f>
        <v>142985</v>
      </c>
      <c r="M14" s="173">
        <f>SUMIF(VOL_JORNADA,"1052-1MNO",VOL_TIPOM)</f>
        <v>0</v>
      </c>
      <c r="N14" s="173">
        <f>SUMIF(VOL_JORNADA,"1052-1MNO",VOL_TIPOH)</f>
        <v>0</v>
      </c>
      <c r="O14" s="173">
        <f>SUM(J14:N14)</f>
        <v>360473</v>
      </c>
      <c r="P14" s="173">
        <f>COUNTIF(VOL_JORNADA,"1052-1MNO")</f>
        <v>713</v>
      </c>
      <c r="Q14" s="174"/>
    </row>
    <row r="15" spans="1:17" ht="12.75" customHeight="1">
      <c r="A15" s="540"/>
      <c r="B15" s="418" t="s">
        <v>15</v>
      </c>
      <c r="C15" s="419">
        <f t="shared" si="0"/>
        <v>16</v>
      </c>
      <c r="D15" s="420">
        <f>$O$17</f>
        <v>629438</v>
      </c>
      <c r="E15" s="420">
        <f t="shared" ref="E15:E61" si="1">D15*C15</f>
        <v>10071008</v>
      </c>
      <c r="F15" s="34"/>
      <c r="G15" s="171"/>
      <c r="H15" s="547"/>
      <c r="I15" s="172" t="s">
        <v>112</v>
      </c>
      <c r="J15" s="173">
        <f>SUMIF(VOL_JORNADA,"1052-1TNO",VOL_TIPOA)</f>
        <v>69746</v>
      </c>
      <c r="K15" s="173">
        <f>SUMIF(VOL_JORNADA,"1052-1TNO",VOL_TIPOB)</f>
        <v>94011</v>
      </c>
      <c r="L15" s="173">
        <f>SUMIF(VOL_JORNADA,"1052-1TNO",VOL_TIPOC)</f>
        <v>90096</v>
      </c>
      <c r="M15" s="173">
        <f>SUMIF(VOL_JORNADA,"1052-1TNO",VOL_TIPOM)</f>
        <v>0</v>
      </c>
      <c r="N15" s="173">
        <f>SUMIF(VOL_JORNADA,"1052-1TNO",VOL_TIPOH)</f>
        <v>0</v>
      </c>
      <c r="O15" s="173">
        <f>SUM(J15:N15)</f>
        <v>253853</v>
      </c>
      <c r="P15" s="173">
        <f>COUNTIF(VOL_JORNADA,"1052-1TNO")</f>
        <v>541</v>
      </c>
      <c r="Q15" s="174"/>
    </row>
    <row r="16" spans="1:17" ht="12.75" customHeight="1">
      <c r="A16" s="540"/>
      <c r="B16" s="418" t="s">
        <v>16</v>
      </c>
      <c r="C16" s="419">
        <f t="shared" si="0"/>
        <v>17</v>
      </c>
      <c r="D16" s="420">
        <f t="shared" ref="D16:D31" si="2">$O$17</f>
        <v>629438</v>
      </c>
      <c r="E16" s="420">
        <f t="shared" si="1"/>
        <v>10700446</v>
      </c>
      <c r="F16" s="34"/>
      <c r="G16" s="171"/>
      <c r="H16" s="547"/>
      <c r="I16" s="172" t="s">
        <v>1333</v>
      </c>
      <c r="J16" s="173">
        <f>SUMIF(VOL_JORNADA,"1052-1NNO",VOL_TIPOA)</f>
        <v>0</v>
      </c>
      <c r="K16" s="173">
        <f>SUMIF(VOL_JORNADA,"1052-1NNO",VOL_TIPOB)</f>
        <v>0</v>
      </c>
      <c r="L16" s="173">
        <f>SUMIF(VOL_JORNADA,"1052-1NNO",VOL_TIPOC)</f>
        <v>0</v>
      </c>
      <c r="M16" s="173">
        <f>SUMIF(VOL_JORNADA,"1052-1NNO",VOL_TIPOM)</f>
        <v>7582</v>
      </c>
      <c r="N16" s="173">
        <f>SUMIF(VOL_JORNADA,"1052-1NNO",VOL_TIPOH)</f>
        <v>7530</v>
      </c>
      <c r="O16" s="173">
        <f>SUM(J16:N16)</f>
        <v>15112</v>
      </c>
      <c r="P16" s="173">
        <f>COUNTIF(VOL_JORNADA,"1052-1NNO")</f>
        <v>57</v>
      </c>
      <c r="Q16" s="174"/>
    </row>
    <row r="17" spans="1:17" ht="12.75" customHeight="1">
      <c r="A17" s="540"/>
      <c r="B17" s="418" t="s">
        <v>17</v>
      </c>
      <c r="C17" s="419">
        <f t="shared" si="0"/>
        <v>17</v>
      </c>
      <c r="D17" s="420">
        <f t="shared" si="2"/>
        <v>629438</v>
      </c>
      <c r="E17" s="420">
        <f t="shared" si="1"/>
        <v>10700446</v>
      </c>
      <c r="F17" s="34"/>
      <c r="G17" s="171" t="s">
        <v>101</v>
      </c>
      <c r="H17" s="547"/>
      <c r="I17" s="175" t="s">
        <v>103</v>
      </c>
      <c r="J17" s="176">
        <f t="shared" ref="J17:O17" si="3">SUM(J14:J16)</f>
        <v>163328</v>
      </c>
      <c r="K17" s="176">
        <f t="shared" si="3"/>
        <v>217917</v>
      </c>
      <c r="L17" s="176">
        <f t="shared" si="3"/>
        <v>233081</v>
      </c>
      <c r="M17" s="176">
        <f t="shared" si="3"/>
        <v>7582</v>
      </c>
      <c r="N17" s="176">
        <f t="shared" si="3"/>
        <v>7530</v>
      </c>
      <c r="O17" s="176">
        <f t="shared" si="3"/>
        <v>629438</v>
      </c>
      <c r="P17" s="176"/>
      <c r="Q17" s="175"/>
    </row>
    <row r="18" spans="1:17" ht="12.75" customHeight="1">
      <c r="A18" s="540"/>
      <c r="B18" s="418" t="s">
        <v>18</v>
      </c>
      <c r="C18" s="419">
        <f t="shared" si="0"/>
        <v>16</v>
      </c>
      <c r="D18" s="420">
        <f t="shared" si="2"/>
        <v>629438</v>
      </c>
      <c r="E18" s="420">
        <f t="shared" ref="E18:E31" si="4">D18*C18</f>
        <v>10071008</v>
      </c>
      <c r="F18" s="34"/>
      <c r="G18" s="171"/>
      <c r="H18" s="547" t="s">
        <v>118</v>
      </c>
      <c r="I18" s="172" t="s">
        <v>111</v>
      </c>
      <c r="J18" s="173">
        <f>SUMIF(VOL_JORNADA,"1052-2MNO",VOL_TIPOA)</f>
        <v>11847</v>
      </c>
      <c r="K18" s="173">
        <f>SUMIF(VOL_JORNADA,"1052-2MNO",VOL_TIPOB)</f>
        <v>8595</v>
      </c>
      <c r="L18" s="173">
        <f>SUMIF(VOL_JORNADA,"1052-2MNO",VOL_TIPOC)</f>
        <v>16626</v>
      </c>
      <c r="M18" s="173">
        <f>SUMIF(VOL_JORNADA,"1052-2MNO",VOL_TIPOM)</f>
        <v>0</v>
      </c>
      <c r="N18" s="173">
        <f>SUMIF(VOL_JORNADA,"1052-2MNO",VOL_TIPOH)</f>
        <v>0</v>
      </c>
      <c r="O18" s="173">
        <f>SUM(J18:N18)</f>
        <v>37068</v>
      </c>
      <c r="P18" s="173">
        <f>COUNTIF(VOL_JORNADA,"1052-2MNO")</f>
        <v>231</v>
      </c>
      <c r="Q18" s="174"/>
    </row>
    <row r="19" spans="1:17" ht="12.75" customHeight="1">
      <c r="A19" s="540"/>
      <c r="B19" s="418" t="s">
        <v>19</v>
      </c>
      <c r="C19" s="419">
        <f t="shared" si="0"/>
        <v>17</v>
      </c>
      <c r="D19" s="420">
        <f t="shared" si="2"/>
        <v>629438</v>
      </c>
      <c r="E19" s="420">
        <f t="shared" si="4"/>
        <v>10700446</v>
      </c>
      <c r="F19" s="34"/>
      <c r="G19" s="171"/>
      <c r="H19" s="547"/>
      <c r="I19" s="172" t="s">
        <v>1332</v>
      </c>
      <c r="J19" s="173">
        <f>SUMIF(VOL_JORNADA,"1052-2M1NO",VOL_TIPOA)</f>
        <v>6798</v>
      </c>
      <c r="K19" s="173">
        <f>SUMIF(VOL_JORNADA,"1052-2M1NO",VOL_TIPOB)</f>
        <v>15642</v>
      </c>
      <c r="L19" s="173">
        <f>SUMIF(VOL_JORNADA,"1052-2M1NO",VOL_TIPOC)</f>
        <v>12861</v>
      </c>
      <c r="M19" s="173">
        <f>SUMIF(VOL_JORNADA,"1052-2M1NO",VOL_TIPOM)</f>
        <v>0</v>
      </c>
      <c r="N19" s="173">
        <f>SUMIF(VOL_JORNADA,"1052-2M1NO",VOL_TIPOH)</f>
        <v>0</v>
      </c>
      <c r="O19" s="173">
        <f>SUM(J19:N19)</f>
        <v>35301</v>
      </c>
      <c r="P19" s="173">
        <f>COUNTIF(VOL_JORNADA,"1052-2M1NO")</f>
        <v>119</v>
      </c>
      <c r="Q19" s="174"/>
    </row>
    <row r="20" spans="1:17" ht="12.75" customHeight="1">
      <c r="A20" s="540"/>
      <c r="B20" s="418" t="s">
        <v>20</v>
      </c>
      <c r="C20" s="419">
        <f t="shared" si="0"/>
        <v>15</v>
      </c>
      <c r="D20" s="420">
        <f t="shared" si="2"/>
        <v>629438</v>
      </c>
      <c r="E20" s="420">
        <f t="shared" si="4"/>
        <v>9441570</v>
      </c>
      <c r="F20" s="34"/>
      <c r="G20" s="171"/>
      <c r="H20" s="547"/>
      <c r="I20" s="172" t="s">
        <v>112</v>
      </c>
      <c r="J20" s="173">
        <f>SUMIF(VOL_JORNADA,"1052-2TNO",VOL_TIPOA)</f>
        <v>9408</v>
      </c>
      <c r="K20" s="173">
        <f>SUMIF(VOL_JORNADA,"1052-2TNO",VOL_TIPOB)</f>
        <v>7040</v>
      </c>
      <c r="L20" s="173">
        <f>SUMIF(VOL_JORNADA,"1052-2TNO",VOL_TIPOC)</f>
        <v>16982</v>
      </c>
      <c r="M20" s="173">
        <f>SUMIF(VOL_JORNADA,"1052-2TNO",VOL_TIPOM)</f>
        <v>0</v>
      </c>
      <c r="N20" s="173">
        <f>SUMIF(VOL_JORNADA,"1052-2TNO",VOL_TIPOH)</f>
        <v>0</v>
      </c>
      <c r="O20" s="173">
        <f>SUM(J20:N20)</f>
        <v>33430</v>
      </c>
      <c r="P20" s="173">
        <f>COUNTIF(VOL_JORNADA,"1052-2TNO")</f>
        <v>239</v>
      </c>
      <c r="Q20" s="174"/>
    </row>
    <row r="21" spans="1:17" ht="12.75" customHeight="1">
      <c r="A21" s="540"/>
      <c r="B21" s="418" t="s">
        <v>21</v>
      </c>
      <c r="C21" s="419">
        <f t="shared" si="0"/>
        <v>15</v>
      </c>
      <c r="D21" s="420">
        <f t="shared" si="2"/>
        <v>629438</v>
      </c>
      <c r="E21" s="420">
        <f t="shared" si="4"/>
        <v>9441570</v>
      </c>
      <c r="F21" s="34"/>
      <c r="G21" s="171" t="s">
        <v>102</v>
      </c>
      <c r="H21" s="547"/>
      <c r="I21" s="175" t="s">
        <v>103</v>
      </c>
      <c r="J21" s="176">
        <f t="shared" ref="J21:O21" si="5">SUM(J18:J20)</f>
        <v>28053</v>
      </c>
      <c r="K21" s="176">
        <f t="shared" si="5"/>
        <v>31277</v>
      </c>
      <c r="L21" s="176">
        <f t="shared" si="5"/>
        <v>46469</v>
      </c>
      <c r="M21" s="176">
        <f t="shared" si="5"/>
        <v>0</v>
      </c>
      <c r="N21" s="176">
        <f t="shared" si="5"/>
        <v>0</v>
      </c>
      <c r="O21" s="176">
        <f t="shared" si="5"/>
        <v>105799</v>
      </c>
      <c r="P21" s="176"/>
      <c r="Q21" s="175"/>
    </row>
    <row r="22" spans="1:17" ht="12.75" customHeight="1">
      <c r="A22" s="540"/>
      <c r="B22" s="418" t="s">
        <v>22</v>
      </c>
      <c r="C22" s="419">
        <f t="shared" si="0"/>
        <v>17</v>
      </c>
      <c r="D22" s="420">
        <f t="shared" si="2"/>
        <v>629438</v>
      </c>
      <c r="E22" s="420">
        <f t="shared" si="4"/>
        <v>10700446</v>
      </c>
      <c r="F22" s="34"/>
      <c r="G22" s="171" t="s">
        <v>126</v>
      </c>
      <c r="H22" s="547"/>
      <c r="I22" s="177" t="s">
        <v>138</v>
      </c>
      <c r="J22" s="178">
        <f>SUMIF(VOL_JORNADA,"1052-2MSI",VOL_TIPOA)</f>
        <v>74</v>
      </c>
      <c r="K22" s="178">
        <f>SUMIF(VOL_JORNADA,"1052-2MSI",VOL_TIPOB)</f>
        <v>433</v>
      </c>
      <c r="L22" s="178">
        <f>SUMIF(VOL_JORNADA,"1052-2MSI",VOL_TIPOC)</f>
        <v>683</v>
      </c>
      <c r="M22" s="178">
        <f>SUMIF(VOL_JORNADA,"1052-2MSI",VOL_TIPOM)</f>
        <v>0</v>
      </c>
      <c r="N22" s="178">
        <f>SUMIF(VOL_JORNADA,"1052-2MSI",VOL_TIPOH)</f>
        <v>0</v>
      </c>
      <c r="O22" s="178">
        <f>SUM(J22:N22)</f>
        <v>1190</v>
      </c>
      <c r="P22" s="178">
        <f>COUNTIF(VOL_JORNADA,"1052-2MSI")</f>
        <v>3</v>
      </c>
      <c r="Q22" s="177"/>
    </row>
    <row r="23" spans="1:17" ht="12.75" customHeight="1">
      <c r="A23" s="540"/>
      <c r="B23" s="418" t="s">
        <v>23</v>
      </c>
      <c r="C23" s="419">
        <f t="shared" si="0"/>
        <v>16</v>
      </c>
      <c r="D23" s="420">
        <f t="shared" si="2"/>
        <v>629438</v>
      </c>
      <c r="E23" s="420">
        <f t="shared" si="4"/>
        <v>10071008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2.75" customHeight="1">
      <c r="A24" s="540"/>
      <c r="B24" s="418" t="s">
        <v>24</v>
      </c>
      <c r="C24" s="419">
        <f t="shared" si="0"/>
        <v>15</v>
      </c>
      <c r="D24" s="420">
        <f t="shared" si="2"/>
        <v>629438</v>
      </c>
      <c r="E24" s="420">
        <f t="shared" si="4"/>
        <v>9441570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2.75" customHeight="1">
      <c r="A25" s="540"/>
      <c r="B25" s="418" t="s">
        <v>25</v>
      </c>
      <c r="C25" s="419">
        <f t="shared" si="0"/>
        <v>17</v>
      </c>
      <c r="D25" s="420">
        <f t="shared" si="2"/>
        <v>629438</v>
      </c>
      <c r="E25" s="420">
        <f t="shared" si="4"/>
        <v>10700446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2.75" customHeight="1">
      <c r="A26" s="540"/>
      <c r="B26" s="418" t="s">
        <v>26</v>
      </c>
      <c r="C26" s="419">
        <f t="shared" si="0"/>
        <v>17</v>
      </c>
      <c r="D26" s="420">
        <f t="shared" si="2"/>
        <v>629438</v>
      </c>
      <c r="E26" s="420">
        <f t="shared" si="4"/>
        <v>10700446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2.75" customHeight="1">
      <c r="A27" s="540"/>
      <c r="B27" s="418" t="s">
        <v>27</v>
      </c>
      <c r="C27" s="419">
        <f t="shared" si="0"/>
        <v>15</v>
      </c>
      <c r="D27" s="420">
        <f t="shared" si="2"/>
        <v>629438</v>
      </c>
      <c r="E27" s="420">
        <f t="shared" si="4"/>
        <v>9441570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2.75" customHeight="1">
      <c r="A28" s="540"/>
      <c r="B28" s="418" t="s">
        <v>28</v>
      </c>
      <c r="C28" s="419">
        <f t="shared" si="0"/>
        <v>15</v>
      </c>
      <c r="D28" s="420">
        <f t="shared" si="2"/>
        <v>629438</v>
      </c>
      <c r="E28" s="420">
        <f t="shared" si="4"/>
        <v>9441570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2.75" customHeight="1">
      <c r="A29" s="540"/>
      <c r="B29" s="418" t="s">
        <v>10</v>
      </c>
      <c r="C29" s="419">
        <f t="shared" si="0"/>
        <v>6</v>
      </c>
      <c r="D29" s="420">
        <f t="shared" si="2"/>
        <v>629438</v>
      </c>
      <c r="E29" s="420">
        <f t="shared" si="4"/>
        <v>3776628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2.75" customHeight="1">
      <c r="A30" s="540"/>
      <c r="B30" s="418" t="s">
        <v>11</v>
      </c>
      <c r="C30" s="419">
        <f t="shared" si="0"/>
        <v>6</v>
      </c>
      <c r="D30" s="420">
        <f t="shared" si="2"/>
        <v>629438</v>
      </c>
      <c r="E30" s="420">
        <f t="shared" si="4"/>
        <v>3776628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2.75" customHeight="1">
      <c r="A31" s="540"/>
      <c r="B31" s="418" t="s">
        <v>12</v>
      </c>
      <c r="C31" s="419">
        <f t="shared" si="0"/>
        <v>5</v>
      </c>
      <c r="D31" s="420">
        <f t="shared" si="2"/>
        <v>629438</v>
      </c>
      <c r="E31" s="420">
        <f t="shared" si="4"/>
        <v>3147190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2.75" customHeight="1">
      <c r="A32" s="540" t="s">
        <v>1970</v>
      </c>
      <c r="B32" s="418" t="s">
        <v>29</v>
      </c>
      <c r="C32" s="419">
        <f>COUNTIF(CAL_SEGUNDA_ENTREGA_LAV,B32)</f>
        <v>12</v>
      </c>
      <c r="D32" s="420">
        <f>$O$21</f>
        <v>105799</v>
      </c>
      <c r="E32" s="420">
        <f t="shared" ref="E32:E57" si="6">D32*C32</f>
        <v>1269588</v>
      </c>
      <c r="F32" s="34"/>
      <c r="G32" s="34"/>
      <c r="H32" s="367"/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2.75" customHeight="1">
      <c r="A33" s="540"/>
      <c r="B33" s="418" t="s">
        <v>31</v>
      </c>
      <c r="C33" s="419">
        <f t="shared" ref="C33:C45" si="7">COUNTIF(CAL_SEGUNDA_ENTREGA_LAV,B33)</f>
        <v>19</v>
      </c>
      <c r="D33" s="420">
        <f t="shared" ref="D33:D46" si="8">$O$21</f>
        <v>105799</v>
      </c>
      <c r="E33" s="420">
        <f t="shared" si="6"/>
        <v>2010181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2.75" customHeight="1">
      <c r="A34" s="540"/>
      <c r="B34" s="418" t="s">
        <v>32</v>
      </c>
      <c r="C34" s="419">
        <f t="shared" si="7"/>
        <v>22</v>
      </c>
      <c r="D34" s="420">
        <f t="shared" si="8"/>
        <v>105799</v>
      </c>
      <c r="E34" s="420">
        <f t="shared" si="6"/>
        <v>2327578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2.75" customHeight="1">
      <c r="A35" s="540"/>
      <c r="B35" s="418" t="s">
        <v>33</v>
      </c>
      <c r="C35" s="419">
        <f t="shared" si="7"/>
        <v>11</v>
      </c>
      <c r="D35" s="420">
        <f t="shared" si="8"/>
        <v>105799</v>
      </c>
      <c r="E35" s="420">
        <f t="shared" si="6"/>
        <v>1163789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2.75" customHeight="1">
      <c r="A36" s="540"/>
      <c r="B36" s="418" t="s">
        <v>34</v>
      </c>
      <c r="C36" s="419">
        <f t="shared" si="7"/>
        <v>20</v>
      </c>
      <c r="D36" s="420">
        <f t="shared" si="8"/>
        <v>105799</v>
      </c>
      <c r="E36" s="420">
        <f t="shared" si="6"/>
        <v>2115980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2.75" customHeight="1">
      <c r="A37" s="540"/>
      <c r="B37" s="418" t="s">
        <v>35</v>
      </c>
      <c r="C37" s="419">
        <f t="shared" si="7"/>
        <v>22</v>
      </c>
      <c r="D37" s="420">
        <f t="shared" si="8"/>
        <v>105799</v>
      </c>
      <c r="E37" s="420">
        <f t="shared" si="6"/>
        <v>2327578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2.75" customHeight="1">
      <c r="A38" s="540"/>
      <c r="B38" s="418" t="s">
        <v>36</v>
      </c>
      <c r="C38" s="419">
        <f t="shared" si="7"/>
        <v>11</v>
      </c>
      <c r="D38" s="420">
        <f t="shared" si="8"/>
        <v>105799</v>
      </c>
      <c r="E38" s="420">
        <f t="shared" si="6"/>
        <v>1163789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2.75" customHeight="1">
      <c r="A39" s="540"/>
      <c r="B39" s="418" t="s">
        <v>37</v>
      </c>
      <c r="C39" s="419">
        <f t="shared" si="7"/>
        <v>20</v>
      </c>
      <c r="D39" s="420">
        <f t="shared" si="8"/>
        <v>105799</v>
      </c>
      <c r="E39" s="420">
        <f t="shared" si="6"/>
        <v>2115980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2.75" customHeight="1">
      <c r="A40" s="540"/>
      <c r="B40" s="418" t="s">
        <v>38</v>
      </c>
      <c r="C40" s="419">
        <f t="shared" si="7"/>
        <v>22</v>
      </c>
      <c r="D40" s="420">
        <f t="shared" si="8"/>
        <v>105799</v>
      </c>
      <c r="E40" s="420">
        <f t="shared" si="6"/>
        <v>2327578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2.75" customHeight="1">
      <c r="A41" s="540"/>
      <c r="B41" s="418" t="s">
        <v>39</v>
      </c>
      <c r="C41" s="419">
        <f t="shared" si="7"/>
        <v>11</v>
      </c>
      <c r="D41" s="420">
        <f t="shared" si="8"/>
        <v>105799</v>
      </c>
      <c r="E41" s="420">
        <f t="shared" si="6"/>
        <v>1163789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2.75" customHeight="1">
      <c r="A42" s="540"/>
      <c r="B42" s="418" t="s">
        <v>40</v>
      </c>
      <c r="C42" s="419">
        <f t="shared" si="7"/>
        <v>18</v>
      </c>
      <c r="D42" s="420">
        <f t="shared" si="8"/>
        <v>105799</v>
      </c>
      <c r="E42" s="420">
        <f t="shared" si="6"/>
        <v>1904382</v>
      </c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2.75" customHeight="1">
      <c r="A43" s="540"/>
      <c r="B43" s="418" t="s">
        <v>41</v>
      </c>
      <c r="C43" s="419">
        <f t="shared" si="7"/>
        <v>21</v>
      </c>
      <c r="D43" s="420">
        <f t="shared" si="8"/>
        <v>105799</v>
      </c>
      <c r="E43" s="420">
        <f t="shared" si="6"/>
        <v>2221779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2.75" customHeight="1">
      <c r="A44" s="540"/>
      <c r="B44" s="418" t="s">
        <v>42</v>
      </c>
      <c r="C44" s="419">
        <f t="shared" si="7"/>
        <v>11</v>
      </c>
      <c r="D44" s="420">
        <f t="shared" si="8"/>
        <v>105799</v>
      </c>
      <c r="E44" s="420">
        <f t="shared" si="6"/>
        <v>1163789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2.75" customHeight="1">
      <c r="A45" s="540"/>
      <c r="B45" s="418" t="s">
        <v>43</v>
      </c>
      <c r="C45" s="419">
        <f t="shared" si="7"/>
        <v>19</v>
      </c>
      <c r="D45" s="420">
        <f t="shared" si="8"/>
        <v>105799</v>
      </c>
      <c r="E45" s="420">
        <f t="shared" si="6"/>
        <v>2010181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2.75" customHeight="1">
      <c r="A46" s="540"/>
      <c r="B46" s="418" t="s">
        <v>44</v>
      </c>
      <c r="C46" s="419">
        <f>COUNTIF(CAL_SEGUNDA_ENTREGA_LAV,B46)</f>
        <v>20</v>
      </c>
      <c r="D46" s="420">
        <f t="shared" si="8"/>
        <v>105799</v>
      </c>
      <c r="E46" s="420">
        <f t="shared" si="6"/>
        <v>2115980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2.75" customHeight="1">
      <c r="A47" s="540" t="s">
        <v>1971</v>
      </c>
      <c r="B47" s="418" t="s">
        <v>29</v>
      </c>
      <c r="C47" s="419">
        <f t="shared" ref="C47:C56" si="9">COUNTIF(CAL_SEGUNDA_ENTREGA_FDS,B47)</f>
        <v>10</v>
      </c>
      <c r="D47" s="420">
        <f>$O$22</f>
        <v>1190</v>
      </c>
      <c r="E47" s="420">
        <f t="shared" si="6"/>
        <v>11900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</row>
    <row r="48" spans="1:17" ht="12.75" customHeight="1">
      <c r="A48" s="540"/>
      <c r="B48" s="418" t="s">
        <v>31</v>
      </c>
      <c r="C48" s="419">
        <f t="shared" si="9"/>
        <v>0</v>
      </c>
      <c r="D48" s="420">
        <f t="shared" ref="D48:D61" si="10">$O$22</f>
        <v>1190</v>
      </c>
      <c r="E48" s="420">
        <f t="shared" si="6"/>
        <v>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2.75" customHeight="1">
      <c r="A49" s="540"/>
      <c r="B49" s="418" t="s">
        <v>32</v>
      </c>
      <c r="C49" s="419">
        <f t="shared" si="9"/>
        <v>0</v>
      </c>
      <c r="D49" s="420">
        <f t="shared" si="10"/>
        <v>1190</v>
      </c>
      <c r="E49" s="420">
        <f t="shared" si="6"/>
        <v>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2.75" customHeight="1">
      <c r="A50" s="540"/>
      <c r="B50" s="418" t="s">
        <v>33</v>
      </c>
      <c r="C50" s="419">
        <f t="shared" si="9"/>
        <v>11</v>
      </c>
      <c r="D50" s="420">
        <f t="shared" si="10"/>
        <v>1190</v>
      </c>
      <c r="E50" s="420">
        <f t="shared" si="6"/>
        <v>13090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2.75" customHeight="1">
      <c r="A51" s="540"/>
      <c r="B51" s="418" t="s">
        <v>34</v>
      </c>
      <c r="C51" s="419">
        <f t="shared" si="9"/>
        <v>0</v>
      </c>
      <c r="D51" s="420">
        <f t="shared" si="10"/>
        <v>1190</v>
      </c>
      <c r="E51" s="420">
        <f t="shared" si="6"/>
        <v>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2.75" customHeight="1">
      <c r="A52" s="540"/>
      <c r="B52" s="418" t="s">
        <v>35</v>
      </c>
      <c r="C52" s="419">
        <f t="shared" si="9"/>
        <v>0</v>
      </c>
      <c r="D52" s="420">
        <f t="shared" si="10"/>
        <v>1190</v>
      </c>
      <c r="E52" s="420">
        <f t="shared" si="6"/>
        <v>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2.75" customHeight="1">
      <c r="A53" s="540"/>
      <c r="B53" s="418" t="s">
        <v>36</v>
      </c>
      <c r="C53" s="419">
        <f t="shared" si="9"/>
        <v>11</v>
      </c>
      <c r="D53" s="420">
        <f t="shared" si="10"/>
        <v>1190</v>
      </c>
      <c r="E53" s="420">
        <f t="shared" si="6"/>
        <v>13090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2.75" customHeight="1">
      <c r="A54" s="540"/>
      <c r="B54" s="418" t="s">
        <v>37</v>
      </c>
      <c r="C54" s="419">
        <f t="shared" si="9"/>
        <v>0</v>
      </c>
      <c r="D54" s="420">
        <f t="shared" si="10"/>
        <v>1190</v>
      </c>
      <c r="E54" s="420">
        <f t="shared" si="6"/>
        <v>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2.75" customHeight="1">
      <c r="A55" s="540"/>
      <c r="B55" s="418" t="s">
        <v>38</v>
      </c>
      <c r="C55" s="419">
        <f t="shared" si="9"/>
        <v>0</v>
      </c>
      <c r="D55" s="420">
        <f t="shared" si="10"/>
        <v>1190</v>
      </c>
      <c r="E55" s="420">
        <f t="shared" si="6"/>
        <v>0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</row>
    <row r="56" spans="1:17" ht="12.75" customHeight="1">
      <c r="A56" s="540"/>
      <c r="B56" s="418" t="s">
        <v>39</v>
      </c>
      <c r="C56" s="419">
        <f t="shared" si="9"/>
        <v>11</v>
      </c>
      <c r="D56" s="420">
        <f t="shared" si="10"/>
        <v>1190</v>
      </c>
      <c r="E56" s="420">
        <f t="shared" si="6"/>
        <v>13090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</row>
    <row r="57" spans="1:17" ht="12.75" customHeight="1">
      <c r="A57" s="540"/>
      <c r="B57" s="418" t="s">
        <v>40</v>
      </c>
      <c r="C57" s="419">
        <f t="shared" ref="C57:C61" si="11">COUNTIF(CAL_SEGUNDA_ENTREGA_FDS,B57)</f>
        <v>0</v>
      </c>
      <c r="D57" s="420">
        <f t="shared" si="10"/>
        <v>1190</v>
      </c>
      <c r="E57" s="420">
        <f t="shared" si="6"/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</row>
    <row r="58" spans="1:17" ht="12.75" customHeight="1">
      <c r="A58" s="540"/>
      <c r="B58" s="418" t="s">
        <v>41</v>
      </c>
      <c r="C58" s="419">
        <f t="shared" si="11"/>
        <v>0</v>
      </c>
      <c r="D58" s="420">
        <f t="shared" si="10"/>
        <v>1190</v>
      </c>
      <c r="E58" s="420">
        <f t="shared" si="1"/>
        <v>0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</row>
    <row r="59" spans="1:17" ht="12.75" customHeight="1">
      <c r="A59" s="540"/>
      <c r="B59" s="418" t="s">
        <v>42</v>
      </c>
      <c r="C59" s="419">
        <f t="shared" si="11"/>
        <v>10</v>
      </c>
      <c r="D59" s="420">
        <f t="shared" si="10"/>
        <v>1190</v>
      </c>
      <c r="E59" s="420">
        <f t="shared" si="1"/>
        <v>11900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2.75" customHeight="1">
      <c r="A60" s="540"/>
      <c r="B60" s="418" t="s">
        <v>43</v>
      </c>
      <c r="C60" s="419">
        <f t="shared" si="11"/>
        <v>0</v>
      </c>
      <c r="D60" s="420">
        <f t="shared" si="10"/>
        <v>1190</v>
      </c>
      <c r="E60" s="420">
        <f t="shared" si="1"/>
        <v>0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2.75" customHeight="1">
      <c r="A61" s="540"/>
      <c r="B61" s="418" t="s">
        <v>44</v>
      </c>
      <c r="C61" s="419">
        <f t="shared" si="11"/>
        <v>0</v>
      </c>
      <c r="D61" s="420">
        <f t="shared" si="10"/>
        <v>1190</v>
      </c>
      <c r="E61" s="420">
        <f t="shared" si="1"/>
        <v>0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75">
      <c r="A62" s="181" t="s">
        <v>128</v>
      </c>
      <c r="B62" s="418"/>
      <c r="C62" s="421">
        <f>SUBTOTAL(109,FRE_FRECUENCIAS[ESTIMADO DEL NUMERO DE DIAS  A ENTREGAR EL MENÚ])</f>
        <v>571</v>
      </c>
      <c r="D62" s="420"/>
      <c r="E62" s="420">
        <f>SUBTOTAL(109,FRE_FRECUENCIAS[VOLUMEN ESTIMADO DE SUMINISTROS VIGENCIA 2017])</f>
        <v>190489453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</row>
    <row r="64" spans="1:1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t="12.75" hidden="1" customHeight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t="12.75" hidden="1" customHeight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12.75" hidden="1" customHeight="1"/>
    <row r="110"/>
  </sheetData>
  <mergeCells count="12">
    <mergeCell ref="B2:C2"/>
    <mergeCell ref="A3:Q3"/>
    <mergeCell ref="A4:Q4"/>
    <mergeCell ref="A7:Q7"/>
    <mergeCell ref="A14:A31"/>
    <mergeCell ref="A5:Q5"/>
    <mergeCell ref="A32:A46"/>
    <mergeCell ref="A47:A61"/>
    <mergeCell ref="A11:E11"/>
    <mergeCell ref="G11:Q11"/>
    <mergeCell ref="H14:H17"/>
    <mergeCell ref="H18:H22"/>
  </mergeCells>
  <hyperlinks>
    <hyperlink ref="B2:C2" location="'INDICE_ MODELO'!C144" display="Ir a Indice"/>
  </hyperlinks>
  <pageMargins left="0.7" right="0.7" top="0.75" bottom="0.75" header="0.3" footer="0.3"/>
  <pageSetup orientation="portrait" r:id="rId1"/>
  <ignoredErrors>
    <ignoredError sqref="C14:C17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503"/>
  <sheetViews>
    <sheetView zoomScaleNormal="100" workbookViewId="0"/>
  </sheetViews>
  <sheetFormatPr baseColWidth="10" defaultColWidth="0" defaultRowHeight="15" zeroHeight="1"/>
  <cols>
    <col min="1" max="1" width="5.28515625" customWidth="1"/>
    <col min="2" max="2" width="19.140625" customWidth="1"/>
    <col min="3" max="3" width="15.28515625" customWidth="1"/>
    <col min="4" max="4" width="3.140625" bestFit="1" customWidth="1"/>
    <col min="5" max="5" width="12.85546875" customWidth="1"/>
    <col min="6" max="6" width="10" customWidth="1"/>
    <col min="7" max="7" width="6.85546875" customWidth="1"/>
    <col min="8" max="8" width="20.42578125" customWidth="1"/>
    <col min="9" max="9" width="14.28515625" customWidth="1"/>
    <col min="10" max="10" width="10.7109375" customWidth="1"/>
    <col min="11" max="11" width="10" customWidth="1"/>
    <col min="12" max="12" width="8.85546875" customWidth="1"/>
    <col min="13" max="13" width="22.140625" customWidth="1"/>
    <col min="14" max="16" width="18.5703125" customWidth="1"/>
    <col min="17" max="16384" width="11" hidden="1"/>
  </cols>
  <sheetData>
    <row r="1" spans="1:16" ht="15.75">
      <c r="A1" s="205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206"/>
    </row>
    <row r="2" spans="1:16" ht="20.25">
      <c r="A2" s="199"/>
      <c r="B2" s="480" t="s">
        <v>1533</v>
      </c>
      <c r="C2" s="480"/>
      <c r="D2" s="480"/>
      <c r="E2" s="480"/>
      <c r="F2" s="480"/>
      <c r="G2" s="86"/>
      <c r="H2" s="86"/>
      <c r="I2" s="86"/>
      <c r="J2" s="86"/>
      <c r="K2" s="86"/>
      <c r="L2" s="86"/>
      <c r="M2" s="86"/>
      <c r="N2" s="86"/>
      <c r="O2" s="86"/>
      <c r="P2" s="194"/>
    </row>
    <row r="3" spans="1:16" ht="18">
      <c r="A3" s="556" t="s">
        <v>1937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557"/>
    </row>
    <row r="4" spans="1:16" ht="18">
      <c r="A4" s="556" t="s">
        <v>1938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557"/>
    </row>
    <row r="5" spans="1:16" ht="18">
      <c r="A5" s="556" t="s">
        <v>1939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557"/>
    </row>
    <row r="6" spans="1:16" ht="18">
      <c r="A6" s="202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207"/>
    </row>
    <row r="7" spans="1:16" ht="18">
      <c r="A7" s="556" t="s">
        <v>1958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557"/>
    </row>
    <row r="8" spans="1:16" ht="19.5">
      <c r="A8" s="203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204"/>
    </row>
    <row r="9" spans="1:16" ht="15.75">
      <c r="A9" s="199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194"/>
    </row>
    <row r="10" spans="1:16" ht="15.75">
      <c r="A10" s="199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194"/>
    </row>
    <row r="11" spans="1:16" ht="15.75">
      <c r="A11" s="199"/>
      <c r="B11" s="108" t="s">
        <v>2459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194"/>
    </row>
    <row r="12" spans="1:16" ht="15.75">
      <c r="A12" s="199"/>
      <c r="B12" s="108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194"/>
    </row>
    <row r="13" spans="1:16" ht="15.75">
      <c r="A13" s="199"/>
      <c r="B13" s="108" t="s">
        <v>2460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194"/>
    </row>
    <row r="14" spans="1:16" ht="15.75">
      <c r="A14" s="199"/>
      <c r="B14" s="108" t="s">
        <v>119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194"/>
    </row>
    <row r="15" spans="1:16" ht="15.75">
      <c r="A15" s="199"/>
      <c r="B15" s="82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194"/>
    </row>
    <row r="16" spans="1:16" ht="14.25" customHeight="1">
      <c r="A16" s="199"/>
      <c r="B16" s="82"/>
      <c r="C16" s="86"/>
      <c r="D16" s="86"/>
      <c r="E16" s="86"/>
      <c r="F16" s="550" t="s">
        <v>1959</v>
      </c>
      <c r="G16" s="551"/>
      <c r="H16" s="551"/>
      <c r="I16" s="552"/>
      <c r="J16" s="553" t="s">
        <v>1960</v>
      </c>
      <c r="K16" s="554"/>
      <c r="L16" s="554"/>
      <c r="M16" s="554"/>
      <c r="N16" s="554"/>
      <c r="O16" s="554"/>
      <c r="P16" s="555"/>
    </row>
    <row r="17" spans="1:16" ht="16.5" thickBot="1">
      <c r="A17" s="198"/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6"/>
    </row>
    <row r="18" spans="1:16" ht="51">
      <c r="A18" s="200" t="s">
        <v>74</v>
      </c>
      <c r="B18" s="200" t="s">
        <v>75</v>
      </c>
      <c r="C18" s="200" t="s">
        <v>76</v>
      </c>
      <c r="D18" s="200" t="s">
        <v>77</v>
      </c>
      <c r="E18" s="200" t="s">
        <v>78</v>
      </c>
      <c r="F18" s="200" t="s">
        <v>1356</v>
      </c>
      <c r="G18" s="200" t="s">
        <v>1355</v>
      </c>
      <c r="H18" s="200" t="s">
        <v>1961</v>
      </c>
      <c r="I18" s="200" t="s">
        <v>1962</v>
      </c>
      <c r="J18" s="195" t="s">
        <v>1358</v>
      </c>
      <c r="K18" s="195" t="s">
        <v>1359</v>
      </c>
      <c r="L18" s="195" t="s">
        <v>1355</v>
      </c>
      <c r="M18" s="195" t="s">
        <v>1963</v>
      </c>
      <c r="N18" s="195" t="s">
        <v>1964</v>
      </c>
      <c r="O18" s="195" t="s">
        <v>1357</v>
      </c>
      <c r="P18" s="195" t="s">
        <v>1965</v>
      </c>
    </row>
    <row r="19" spans="1:16" ht="15.75">
      <c r="A19" s="164">
        <v>1</v>
      </c>
      <c r="B19" s="345">
        <v>42767</v>
      </c>
      <c r="C19" s="165" t="s">
        <v>79</v>
      </c>
      <c r="D19" s="164">
        <f>WEEKDAY(B19,2)</f>
        <v>3</v>
      </c>
      <c r="E19" s="164" t="s">
        <v>80</v>
      </c>
      <c r="F19" s="208" t="s">
        <v>84</v>
      </c>
      <c r="G19" s="164"/>
      <c r="H19" s="164"/>
      <c r="I19" s="164"/>
      <c r="J19" s="208" t="s">
        <v>84</v>
      </c>
      <c r="K19" s="208" t="s">
        <v>84</v>
      </c>
      <c r="L19" s="164"/>
      <c r="M19" s="164"/>
      <c r="N19" s="208"/>
      <c r="O19" s="164"/>
      <c r="P19" s="208"/>
    </row>
    <row r="20" spans="1:16" ht="15.75">
      <c r="A20" s="164">
        <v>2</v>
      </c>
      <c r="B20" s="345">
        <v>42768</v>
      </c>
      <c r="C20" s="165" t="s">
        <v>79</v>
      </c>
      <c r="D20" s="164">
        <f t="shared" ref="D20:D83" si="0">WEEKDAY(B20,2)</f>
        <v>4</v>
      </c>
      <c r="E20" s="164" t="s">
        <v>81</v>
      </c>
      <c r="F20" s="208" t="s">
        <v>84</v>
      </c>
      <c r="G20" s="164"/>
      <c r="H20" s="164"/>
      <c r="I20" s="164"/>
      <c r="J20" s="208" t="s">
        <v>84</v>
      </c>
      <c r="K20" s="208" t="s">
        <v>84</v>
      </c>
      <c r="L20" s="164"/>
      <c r="M20" s="164"/>
      <c r="N20" s="208"/>
      <c r="O20" s="164"/>
      <c r="P20" s="208"/>
    </row>
    <row r="21" spans="1:16" ht="15.75">
      <c r="A21" s="164">
        <v>3</v>
      </c>
      <c r="B21" s="345">
        <v>42769</v>
      </c>
      <c r="C21" s="165" t="s">
        <v>79</v>
      </c>
      <c r="D21" s="164">
        <f t="shared" si="0"/>
        <v>5</v>
      </c>
      <c r="E21" s="164" t="s">
        <v>82</v>
      </c>
      <c r="F21" s="208" t="s">
        <v>84</v>
      </c>
      <c r="G21" s="164"/>
      <c r="H21" s="164"/>
      <c r="I21" s="164"/>
      <c r="J21" s="208" t="s">
        <v>84</v>
      </c>
      <c r="K21" s="208" t="s">
        <v>84</v>
      </c>
      <c r="L21" s="164"/>
      <c r="M21" s="164"/>
      <c r="N21" s="208"/>
      <c r="O21" s="164"/>
      <c r="P21" s="208"/>
    </row>
    <row r="22" spans="1:16" ht="15.75">
      <c r="A22" s="164">
        <v>4</v>
      </c>
      <c r="B22" s="345">
        <v>42770</v>
      </c>
      <c r="C22" s="165" t="s">
        <v>79</v>
      </c>
      <c r="D22" s="164">
        <f t="shared" si="0"/>
        <v>6</v>
      </c>
      <c r="E22" s="164" t="s">
        <v>83</v>
      </c>
      <c r="F22" s="208" t="s">
        <v>84</v>
      </c>
      <c r="G22" s="164"/>
      <c r="H22" s="164"/>
      <c r="I22" s="164"/>
      <c r="J22" s="208" t="s">
        <v>84</v>
      </c>
      <c r="K22" s="208" t="s">
        <v>84</v>
      </c>
      <c r="L22" s="164"/>
      <c r="M22" s="164"/>
      <c r="N22" s="208"/>
      <c r="O22" s="164"/>
      <c r="P22" s="208"/>
    </row>
    <row r="23" spans="1:16" ht="15.75">
      <c r="A23" s="164">
        <v>5</v>
      </c>
      <c r="B23" s="345">
        <v>42771</v>
      </c>
      <c r="C23" s="165" t="s">
        <v>79</v>
      </c>
      <c r="D23" s="164">
        <f t="shared" si="0"/>
        <v>7</v>
      </c>
      <c r="E23" s="164" t="s">
        <v>85</v>
      </c>
      <c r="F23" s="208" t="s">
        <v>84</v>
      </c>
      <c r="G23" s="164"/>
      <c r="H23" s="164"/>
      <c r="I23" s="164"/>
      <c r="J23" s="208" t="s">
        <v>84</v>
      </c>
      <c r="K23" s="208" t="s">
        <v>84</v>
      </c>
      <c r="L23" s="164"/>
      <c r="M23" s="164"/>
      <c r="N23" s="208"/>
      <c r="O23" s="164"/>
      <c r="P23" s="208"/>
    </row>
    <row r="24" spans="1:16" ht="15.75">
      <c r="A24" s="164">
        <v>6</v>
      </c>
      <c r="B24" s="345">
        <v>42772</v>
      </c>
      <c r="C24" s="165" t="s">
        <v>79</v>
      </c>
      <c r="D24" s="164">
        <f t="shared" si="0"/>
        <v>1</v>
      </c>
      <c r="E24" s="164" t="s">
        <v>86</v>
      </c>
      <c r="F24" s="208" t="s">
        <v>84</v>
      </c>
      <c r="G24" s="164"/>
      <c r="H24" s="164"/>
      <c r="I24" s="164"/>
      <c r="J24" s="208" t="s">
        <v>84</v>
      </c>
      <c r="K24" s="208" t="s">
        <v>84</v>
      </c>
      <c r="L24" s="164"/>
      <c r="M24" s="164"/>
      <c r="N24" s="208"/>
      <c r="O24" s="164"/>
      <c r="P24" s="208"/>
    </row>
    <row r="25" spans="1:16" ht="15.75">
      <c r="A25" s="164">
        <v>7</v>
      </c>
      <c r="B25" s="345">
        <v>42773</v>
      </c>
      <c r="C25" s="165" t="s">
        <v>79</v>
      </c>
      <c r="D25" s="164">
        <f t="shared" si="0"/>
        <v>2</v>
      </c>
      <c r="E25" s="164" t="s">
        <v>87</v>
      </c>
      <c r="F25" s="208" t="s">
        <v>84</v>
      </c>
      <c r="G25" s="164"/>
      <c r="H25" s="164"/>
      <c r="I25" s="164"/>
      <c r="J25" s="208" t="s">
        <v>84</v>
      </c>
      <c r="K25" s="208" t="s">
        <v>84</v>
      </c>
      <c r="L25" s="164"/>
      <c r="M25" s="164"/>
      <c r="N25" s="208"/>
      <c r="O25" s="164"/>
      <c r="P25" s="208"/>
    </row>
    <row r="26" spans="1:16" ht="15.75">
      <c r="A26" s="164">
        <v>8</v>
      </c>
      <c r="B26" s="345">
        <v>42774</v>
      </c>
      <c r="C26" s="165" t="s">
        <v>79</v>
      </c>
      <c r="D26" s="164">
        <f t="shared" si="0"/>
        <v>3</v>
      </c>
      <c r="E26" s="164" t="s">
        <v>80</v>
      </c>
      <c r="F26" s="208" t="s">
        <v>84</v>
      </c>
      <c r="G26" s="164"/>
      <c r="H26" s="164"/>
      <c r="I26" s="164"/>
      <c r="J26" s="208" t="s">
        <v>84</v>
      </c>
      <c r="K26" s="208" t="s">
        <v>84</v>
      </c>
      <c r="L26" s="164"/>
      <c r="M26" s="164"/>
      <c r="N26" s="208"/>
      <c r="O26" s="164"/>
      <c r="P26" s="208"/>
    </row>
    <row r="27" spans="1:16" ht="15.75">
      <c r="A27" s="164">
        <v>9</v>
      </c>
      <c r="B27" s="345">
        <v>42775</v>
      </c>
      <c r="C27" s="165" t="s">
        <v>79</v>
      </c>
      <c r="D27" s="164">
        <f t="shared" si="0"/>
        <v>4</v>
      </c>
      <c r="E27" s="164" t="s">
        <v>81</v>
      </c>
      <c r="F27" s="208" t="s">
        <v>84</v>
      </c>
      <c r="G27" s="164"/>
      <c r="H27" s="164"/>
      <c r="I27" s="164"/>
      <c r="J27" s="208" t="s">
        <v>84</v>
      </c>
      <c r="K27" s="208" t="s">
        <v>84</v>
      </c>
      <c r="L27" s="164"/>
      <c r="M27" s="164"/>
      <c r="N27" s="208"/>
      <c r="O27" s="164"/>
      <c r="P27" s="208"/>
    </row>
    <row r="28" spans="1:16" ht="15.75">
      <c r="A28" s="164">
        <v>10</v>
      </c>
      <c r="B28" s="345">
        <v>42776</v>
      </c>
      <c r="C28" s="165" t="s">
        <v>79</v>
      </c>
      <c r="D28" s="164">
        <f t="shared" si="0"/>
        <v>5</v>
      </c>
      <c r="E28" s="164" t="s">
        <v>82</v>
      </c>
      <c r="F28" s="208" t="s">
        <v>84</v>
      </c>
      <c r="G28" s="164"/>
      <c r="H28" s="164"/>
      <c r="I28" s="164"/>
      <c r="J28" s="208" t="s">
        <v>84</v>
      </c>
      <c r="K28" s="208" t="s">
        <v>84</v>
      </c>
      <c r="L28" s="164"/>
      <c r="M28" s="164"/>
      <c r="N28" s="208"/>
      <c r="O28" s="164"/>
      <c r="P28" s="208"/>
    </row>
    <row r="29" spans="1:16" ht="15.75">
      <c r="A29" s="164">
        <v>11</v>
      </c>
      <c r="B29" s="345">
        <v>42777</v>
      </c>
      <c r="C29" s="165" t="s">
        <v>79</v>
      </c>
      <c r="D29" s="164">
        <f t="shared" si="0"/>
        <v>6</v>
      </c>
      <c r="E29" s="164" t="s">
        <v>83</v>
      </c>
      <c r="F29" s="208" t="s">
        <v>84</v>
      </c>
      <c r="G29" s="164"/>
      <c r="H29" s="164"/>
      <c r="I29" s="164"/>
      <c r="J29" s="208" t="s">
        <v>84</v>
      </c>
      <c r="K29" s="208" t="s">
        <v>84</v>
      </c>
      <c r="L29" s="164"/>
      <c r="M29" s="164"/>
      <c r="N29" s="208"/>
      <c r="O29" s="208"/>
      <c r="P29" s="208"/>
    </row>
    <row r="30" spans="1:16" ht="15.75">
      <c r="A30" s="164">
        <v>12</v>
      </c>
      <c r="B30" s="345">
        <v>42778</v>
      </c>
      <c r="C30" s="165" t="s">
        <v>79</v>
      </c>
      <c r="D30" s="164">
        <f t="shared" si="0"/>
        <v>7</v>
      </c>
      <c r="E30" s="164" t="s">
        <v>85</v>
      </c>
      <c r="F30" s="208" t="s">
        <v>84</v>
      </c>
      <c r="G30" s="164"/>
      <c r="H30" s="164"/>
      <c r="I30" s="164"/>
      <c r="J30" s="208" t="s">
        <v>84</v>
      </c>
      <c r="K30" s="208" t="s">
        <v>84</v>
      </c>
      <c r="L30" s="164"/>
      <c r="M30" s="164"/>
      <c r="N30" s="208"/>
      <c r="O30" s="164"/>
      <c r="P30" s="208"/>
    </row>
    <row r="31" spans="1:16" ht="15.75">
      <c r="A31" s="164">
        <v>13</v>
      </c>
      <c r="B31" s="345">
        <v>42779</v>
      </c>
      <c r="C31" s="165" t="s">
        <v>79</v>
      </c>
      <c r="D31" s="164">
        <f t="shared" si="0"/>
        <v>1</v>
      </c>
      <c r="E31" s="164" t="s">
        <v>86</v>
      </c>
      <c r="F31" s="208" t="s">
        <v>84</v>
      </c>
      <c r="G31" s="164"/>
      <c r="H31" s="164"/>
      <c r="I31" s="164"/>
      <c r="J31" s="208" t="s">
        <v>84</v>
      </c>
      <c r="K31" s="208" t="s">
        <v>84</v>
      </c>
      <c r="L31" s="164"/>
      <c r="M31" s="164"/>
      <c r="N31" s="208"/>
      <c r="O31" s="164"/>
      <c r="P31" s="208"/>
    </row>
    <row r="32" spans="1:16" ht="15.75">
      <c r="A32" s="164">
        <v>14</v>
      </c>
      <c r="B32" s="345">
        <v>42780</v>
      </c>
      <c r="C32" s="165" t="s">
        <v>79</v>
      </c>
      <c r="D32" s="164">
        <f t="shared" si="0"/>
        <v>2</v>
      </c>
      <c r="E32" s="164" t="s">
        <v>87</v>
      </c>
      <c r="F32" s="208" t="s">
        <v>84</v>
      </c>
      <c r="G32" s="164"/>
      <c r="H32" s="164"/>
      <c r="I32" s="164"/>
      <c r="J32" s="208" t="s">
        <v>84</v>
      </c>
      <c r="K32" s="208" t="s">
        <v>84</v>
      </c>
      <c r="L32" s="164"/>
      <c r="M32" s="164"/>
      <c r="N32" s="208"/>
      <c r="O32" s="164"/>
      <c r="P32" s="208"/>
    </row>
    <row r="33" spans="1:16" ht="15.75">
      <c r="A33" s="164">
        <v>15</v>
      </c>
      <c r="B33" s="345">
        <v>42781</v>
      </c>
      <c r="C33" s="165" t="s">
        <v>79</v>
      </c>
      <c r="D33" s="164">
        <f t="shared" si="0"/>
        <v>3</v>
      </c>
      <c r="E33" s="164" t="s">
        <v>80</v>
      </c>
      <c r="F33" s="208" t="s">
        <v>84</v>
      </c>
      <c r="G33" s="164"/>
      <c r="H33" s="164"/>
      <c r="I33" s="164"/>
      <c r="J33" s="208" t="s">
        <v>84</v>
      </c>
      <c r="K33" s="208" t="s">
        <v>84</v>
      </c>
      <c r="L33" s="164"/>
      <c r="M33" s="164"/>
      <c r="N33" s="208"/>
      <c r="O33" s="164"/>
      <c r="P33" s="208"/>
    </row>
    <row r="34" spans="1:16" ht="15.75">
      <c r="A34" s="164">
        <v>16</v>
      </c>
      <c r="B34" s="345">
        <v>42782</v>
      </c>
      <c r="C34" s="165" t="s">
        <v>79</v>
      </c>
      <c r="D34" s="164">
        <f t="shared" si="0"/>
        <v>4</v>
      </c>
      <c r="E34" s="164" t="s">
        <v>81</v>
      </c>
      <c r="F34" s="208" t="s">
        <v>84</v>
      </c>
      <c r="G34" s="164"/>
      <c r="H34" s="164"/>
      <c r="I34" s="164"/>
      <c r="J34" s="208" t="s">
        <v>84</v>
      </c>
      <c r="K34" s="208" t="s">
        <v>84</v>
      </c>
      <c r="L34" s="164"/>
      <c r="M34" s="164"/>
      <c r="N34" s="208"/>
      <c r="O34" s="164"/>
      <c r="P34" s="208"/>
    </row>
    <row r="35" spans="1:16" ht="15.75">
      <c r="A35" s="164">
        <v>17</v>
      </c>
      <c r="B35" s="345">
        <v>42783</v>
      </c>
      <c r="C35" s="165" t="s">
        <v>79</v>
      </c>
      <c r="D35" s="164">
        <f t="shared" si="0"/>
        <v>5</v>
      </c>
      <c r="E35" s="164" t="s">
        <v>82</v>
      </c>
      <c r="F35" s="208" t="s">
        <v>84</v>
      </c>
      <c r="G35" s="164"/>
      <c r="H35" s="164"/>
      <c r="I35" s="164"/>
      <c r="J35" s="208" t="s">
        <v>84</v>
      </c>
      <c r="K35" s="208" t="s">
        <v>84</v>
      </c>
      <c r="L35" s="164"/>
      <c r="M35" s="164"/>
      <c r="N35" s="208"/>
      <c r="O35" s="164"/>
      <c r="P35" s="208"/>
    </row>
    <row r="36" spans="1:16" ht="15.75">
      <c r="A36" s="164">
        <v>18</v>
      </c>
      <c r="B36" s="345">
        <v>42784</v>
      </c>
      <c r="C36" s="165" t="s">
        <v>79</v>
      </c>
      <c r="D36" s="164">
        <f t="shared" si="0"/>
        <v>6</v>
      </c>
      <c r="E36" s="164" t="s">
        <v>83</v>
      </c>
      <c r="F36" s="208" t="s">
        <v>84</v>
      </c>
      <c r="G36" s="164"/>
      <c r="H36" s="164"/>
      <c r="I36" s="164"/>
      <c r="J36" s="208" t="s">
        <v>84</v>
      </c>
      <c r="K36" s="208" t="s">
        <v>84</v>
      </c>
      <c r="L36" s="164"/>
      <c r="M36" s="164"/>
      <c r="N36" s="208"/>
      <c r="O36" s="164"/>
      <c r="P36" s="208"/>
    </row>
    <row r="37" spans="1:16" ht="15.75">
      <c r="A37" s="164">
        <v>19</v>
      </c>
      <c r="B37" s="345">
        <v>42785</v>
      </c>
      <c r="C37" s="165" t="s">
        <v>79</v>
      </c>
      <c r="D37" s="164">
        <f t="shared" si="0"/>
        <v>7</v>
      </c>
      <c r="E37" s="164" t="s">
        <v>85</v>
      </c>
      <c r="F37" s="208" t="s">
        <v>84</v>
      </c>
      <c r="G37" s="164"/>
      <c r="H37" s="164"/>
      <c r="I37" s="164"/>
      <c r="J37" s="208" t="s">
        <v>84</v>
      </c>
      <c r="K37" s="208" t="s">
        <v>84</v>
      </c>
      <c r="L37" s="164"/>
      <c r="M37" s="164"/>
      <c r="N37" s="208"/>
      <c r="O37" s="164"/>
      <c r="P37" s="208"/>
    </row>
    <row r="38" spans="1:16" ht="15.75">
      <c r="A38" s="164">
        <v>20</v>
      </c>
      <c r="B38" s="345">
        <v>42786</v>
      </c>
      <c r="C38" s="165" t="s">
        <v>79</v>
      </c>
      <c r="D38" s="164">
        <f t="shared" si="0"/>
        <v>1</v>
      </c>
      <c r="E38" s="164" t="s">
        <v>86</v>
      </c>
      <c r="F38" s="208" t="s">
        <v>84</v>
      </c>
      <c r="G38" s="164"/>
      <c r="H38" s="164"/>
      <c r="I38" s="164"/>
      <c r="J38" s="208" t="s">
        <v>84</v>
      </c>
      <c r="K38" s="208" t="s">
        <v>84</v>
      </c>
      <c r="L38" s="164"/>
      <c r="M38" s="164"/>
      <c r="N38" s="208"/>
      <c r="O38" s="164"/>
      <c r="P38" s="208"/>
    </row>
    <row r="39" spans="1:16" ht="15.75">
      <c r="A39" s="164">
        <v>21</v>
      </c>
      <c r="B39" s="345">
        <v>42787</v>
      </c>
      <c r="C39" s="165" t="s">
        <v>79</v>
      </c>
      <c r="D39" s="164">
        <f t="shared" si="0"/>
        <v>2</v>
      </c>
      <c r="E39" s="164" t="s">
        <v>87</v>
      </c>
      <c r="F39" s="208" t="s">
        <v>84</v>
      </c>
      <c r="G39" s="164"/>
      <c r="H39" s="164"/>
      <c r="I39" s="164"/>
      <c r="J39" s="208" t="s">
        <v>84</v>
      </c>
      <c r="K39" s="208" t="s">
        <v>84</v>
      </c>
      <c r="L39" s="164"/>
      <c r="M39" s="164"/>
      <c r="N39" s="208"/>
      <c r="O39" s="164"/>
      <c r="P39" s="208"/>
    </row>
    <row r="40" spans="1:16" ht="15.75">
      <c r="A40" s="164">
        <v>22</v>
      </c>
      <c r="B40" s="345">
        <v>42788</v>
      </c>
      <c r="C40" s="165" t="s">
        <v>79</v>
      </c>
      <c r="D40" s="164">
        <f t="shared" si="0"/>
        <v>3</v>
      </c>
      <c r="E40" s="164" t="s">
        <v>80</v>
      </c>
      <c r="F40" s="208" t="s">
        <v>84</v>
      </c>
      <c r="G40" s="164"/>
      <c r="H40" s="164"/>
      <c r="I40" s="164"/>
      <c r="J40" s="208" t="s">
        <v>84</v>
      </c>
      <c r="K40" s="208" t="s">
        <v>84</v>
      </c>
      <c r="L40" s="164"/>
      <c r="M40" s="164"/>
      <c r="N40" s="208"/>
      <c r="O40" s="164"/>
      <c r="P40" s="208"/>
    </row>
    <row r="41" spans="1:16" ht="15.75">
      <c r="A41" s="164">
        <v>23</v>
      </c>
      <c r="B41" s="345">
        <v>42789</v>
      </c>
      <c r="C41" s="165" t="s">
        <v>79</v>
      </c>
      <c r="D41" s="164">
        <f t="shared" si="0"/>
        <v>4</v>
      </c>
      <c r="E41" s="164" t="s">
        <v>81</v>
      </c>
      <c r="F41" s="208" t="s">
        <v>84</v>
      </c>
      <c r="G41" s="164"/>
      <c r="H41" s="164"/>
      <c r="I41" s="164"/>
      <c r="J41" s="208" t="s">
        <v>84</v>
      </c>
      <c r="K41" s="208" t="s">
        <v>84</v>
      </c>
      <c r="L41" s="164"/>
      <c r="M41" s="164"/>
      <c r="N41" s="208"/>
      <c r="O41" s="164"/>
      <c r="P41" s="208"/>
    </row>
    <row r="42" spans="1:16" ht="15.75">
      <c r="A42" s="164">
        <v>24</v>
      </c>
      <c r="B42" s="345">
        <v>42790</v>
      </c>
      <c r="C42" s="165" t="s">
        <v>79</v>
      </c>
      <c r="D42" s="164">
        <f t="shared" si="0"/>
        <v>5</v>
      </c>
      <c r="E42" s="164" t="s">
        <v>82</v>
      </c>
      <c r="F42" s="208" t="s">
        <v>84</v>
      </c>
      <c r="G42" s="164"/>
      <c r="H42" s="164"/>
      <c r="I42" s="164"/>
      <c r="J42" s="208" t="s">
        <v>84</v>
      </c>
      <c r="K42" s="208" t="s">
        <v>84</v>
      </c>
      <c r="L42" s="164"/>
      <c r="M42" s="164"/>
      <c r="N42" s="208"/>
      <c r="O42" s="164"/>
      <c r="P42" s="208"/>
    </row>
    <row r="43" spans="1:16" ht="15.75">
      <c r="A43" s="164">
        <v>25</v>
      </c>
      <c r="B43" s="345">
        <v>42791</v>
      </c>
      <c r="C43" s="165" t="s">
        <v>79</v>
      </c>
      <c r="D43" s="164">
        <f t="shared" si="0"/>
        <v>6</v>
      </c>
      <c r="E43" s="164" t="s">
        <v>83</v>
      </c>
      <c r="F43" s="208" t="s">
        <v>84</v>
      </c>
      <c r="G43" s="164"/>
      <c r="H43" s="164"/>
      <c r="I43" s="164"/>
      <c r="J43" s="208" t="s">
        <v>84</v>
      </c>
      <c r="K43" s="208" t="s">
        <v>84</v>
      </c>
      <c r="L43" s="164"/>
      <c r="M43" s="164"/>
      <c r="N43" s="208"/>
      <c r="O43" s="164"/>
      <c r="P43" s="208"/>
    </row>
    <row r="44" spans="1:16" ht="15.75">
      <c r="A44" s="164">
        <v>26</v>
      </c>
      <c r="B44" s="345">
        <v>42792</v>
      </c>
      <c r="C44" s="165" t="s">
        <v>79</v>
      </c>
      <c r="D44" s="164">
        <f t="shared" si="0"/>
        <v>7</v>
      </c>
      <c r="E44" s="164" t="s">
        <v>85</v>
      </c>
      <c r="F44" s="208" t="s">
        <v>84</v>
      </c>
      <c r="G44" s="164"/>
      <c r="H44" s="164"/>
      <c r="I44" s="164"/>
      <c r="J44" s="208" t="s">
        <v>84</v>
      </c>
      <c r="K44" s="208" t="s">
        <v>84</v>
      </c>
      <c r="L44" s="164"/>
      <c r="M44" s="164"/>
      <c r="N44" s="208"/>
      <c r="O44" s="164"/>
      <c r="P44" s="208"/>
    </row>
    <row r="45" spans="1:16" ht="15.75">
      <c r="A45" s="164">
        <v>27</v>
      </c>
      <c r="B45" s="345">
        <v>42793</v>
      </c>
      <c r="C45" s="165" t="s">
        <v>79</v>
      </c>
      <c r="D45" s="164">
        <f t="shared" si="0"/>
        <v>1</v>
      </c>
      <c r="E45" s="164" t="s">
        <v>86</v>
      </c>
      <c r="F45" s="208" t="s">
        <v>84</v>
      </c>
      <c r="G45" s="164"/>
      <c r="H45" s="164"/>
      <c r="I45" s="164"/>
      <c r="J45" s="208" t="s">
        <v>84</v>
      </c>
      <c r="K45" s="208" t="s">
        <v>84</v>
      </c>
      <c r="L45" s="164"/>
      <c r="M45" s="164"/>
      <c r="N45" s="208"/>
      <c r="O45" s="164"/>
      <c r="P45" s="208"/>
    </row>
    <row r="46" spans="1:16" ht="15.75">
      <c r="A46" s="164">
        <v>28</v>
      </c>
      <c r="B46" s="345">
        <v>42794</v>
      </c>
      <c r="C46" s="165" t="s">
        <v>79</v>
      </c>
      <c r="D46" s="164">
        <f t="shared" si="0"/>
        <v>2</v>
      </c>
      <c r="E46" s="164" t="s">
        <v>87</v>
      </c>
      <c r="F46" s="208" t="s">
        <v>84</v>
      </c>
      <c r="G46" s="164"/>
      <c r="H46" s="164"/>
      <c r="I46" s="208"/>
      <c r="J46" s="208" t="s">
        <v>84</v>
      </c>
      <c r="K46" s="208" t="s">
        <v>84</v>
      </c>
      <c r="L46" s="164"/>
      <c r="M46" s="164"/>
      <c r="N46" s="208"/>
      <c r="O46" s="164"/>
      <c r="P46" s="208"/>
    </row>
    <row r="47" spans="1:16" ht="15.75">
      <c r="A47" s="164">
        <v>29</v>
      </c>
      <c r="B47" s="345">
        <v>42795</v>
      </c>
      <c r="C47" s="165" t="s">
        <v>88</v>
      </c>
      <c r="D47" s="164">
        <f t="shared" si="0"/>
        <v>3</v>
      </c>
      <c r="E47" s="164" t="s">
        <v>80</v>
      </c>
      <c r="F47" s="164" t="s">
        <v>106</v>
      </c>
      <c r="G47" s="164">
        <v>1</v>
      </c>
      <c r="H47" s="164" t="s">
        <v>14</v>
      </c>
      <c r="I47" s="208" t="s">
        <v>1821</v>
      </c>
      <c r="J47" s="164" t="s">
        <v>106</v>
      </c>
      <c r="K47" s="164" t="s">
        <v>84</v>
      </c>
      <c r="L47" s="164">
        <v>1</v>
      </c>
      <c r="M47" s="208" t="s">
        <v>29</v>
      </c>
      <c r="N47" s="208" t="s">
        <v>1848</v>
      </c>
      <c r="O47" s="164"/>
      <c r="P47" s="208"/>
    </row>
    <row r="48" spans="1:16" ht="15.75">
      <c r="A48" s="164">
        <v>30</v>
      </c>
      <c r="B48" s="345">
        <v>42796</v>
      </c>
      <c r="C48" s="165" t="s">
        <v>88</v>
      </c>
      <c r="D48" s="164">
        <f t="shared" si="0"/>
        <v>4</v>
      </c>
      <c r="E48" s="164" t="s">
        <v>81</v>
      </c>
      <c r="F48" s="164" t="s">
        <v>106</v>
      </c>
      <c r="G48" s="164">
        <v>1</v>
      </c>
      <c r="H48" s="164" t="s">
        <v>15</v>
      </c>
      <c r="I48" s="208" t="s">
        <v>1779</v>
      </c>
      <c r="J48" s="164" t="s">
        <v>106</v>
      </c>
      <c r="K48" s="164" t="s">
        <v>84</v>
      </c>
      <c r="L48" s="164">
        <v>1</v>
      </c>
      <c r="M48" s="164" t="s">
        <v>31</v>
      </c>
      <c r="N48" s="208" t="s">
        <v>1827</v>
      </c>
      <c r="O48" s="164"/>
      <c r="P48" s="208"/>
    </row>
    <row r="49" spans="1:16" ht="15.75">
      <c r="A49" s="164">
        <v>31</v>
      </c>
      <c r="B49" s="345">
        <v>42797</v>
      </c>
      <c r="C49" s="165" t="s">
        <v>88</v>
      </c>
      <c r="D49" s="164">
        <f t="shared" si="0"/>
        <v>5</v>
      </c>
      <c r="E49" s="164" t="s">
        <v>82</v>
      </c>
      <c r="F49" s="164" t="s">
        <v>106</v>
      </c>
      <c r="G49" s="164">
        <v>1</v>
      </c>
      <c r="H49" s="164" t="s">
        <v>16</v>
      </c>
      <c r="I49" s="208" t="s">
        <v>1805</v>
      </c>
      <c r="J49" s="164" t="s">
        <v>106</v>
      </c>
      <c r="K49" s="164" t="s">
        <v>84</v>
      </c>
      <c r="L49" s="164">
        <v>1</v>
      </c>
      <c r="M49" s="164" t="s">
        <v>32</v>
      </c>
      <c r="N49" s="208" t="s">
        <v>1849</v>
      </c>
      <c r="O49" s="164"/>
      <c r="P49" s="208"/>
    </row>
    <row r="50" spans="1:16" ht="15.75">
      <c r="A50" s="164">
        <v>32</v>
      </c>
      <c r="B50" s="345">
        <v>42798</v>
      </c>
      <c r="C50" s="165" t="s">
        <v>88</v>
      </c>
      <c r="D50" s="164">
        <f t="shared" si="0"/>
        <v>6</v>
      </c>
      <c r="E50" s="164" t="s">
        <v>83</v>
      </c>
      <c r="F50" s="164" t="s">
        <v>84</v>
      </c>
      <c r="G50" s="164"/>
      <c r="H50" s="164"/>
      <c r="I50" s="164"/>
      <c r="J50" s="164" t="s">
        <v>84</v>
      </c>
      <c r="K50" s="164" t="s">
        <v>106</v>
      </c>
      <c r="L50" s="164">
        <v>1</v>
      </c>
      <c r="M50" s="164"/>
      <c r="N50" s="208"/>
      <c r="O50" s="164" t="s">
        <v>33</v>
      </c>
      <c r="P50" s="208" t="s">
        <v>1850</v>
      </c>
    </row>
    <row r="51" spans="1:16" ht="15.75">
      <c r="A51" s="164">
        <v>33</v>
      </c>
      <c r="B51" s="345">
        <v>42799</v>
      </c>
      <c r="C51" s="165" t="s">
        <v>88</v>
      </c>
      <c r="D51" s="164">
        <f t="shared" si="0"/>
        <v>7</v>
      </c>
      <c r="E51" s="164" t="s">
        <v>85</v>
      </c>
      <c r="F51" s="164" t="s">
        <v>84</v>
      </c>
      <c r="G51" s="164"/>
      <c r="H51" s="164"/>
      <c r="I51" s="164"/>
      <c r="J51" s="164" t="s">
        <v>84</v>
      </c>
      <c r="K51" s="164" t="s">
        <v>84</v>
      </c>
      <c r="L51" s="164"/>
      <c r="M51" s="164"/>
      <c r="N51" s="208"/>
      <c r="O51" s="164"/>
      <c r="P51" s="208"/>
    </row>
    <row r="52" spans="1:16" ht="15.75">
      <c r="A52" s="164">
        <v>34</v>
      </c>
      <c r="B52" s="345">
        <v>42800</v>
      </c>
      <c r="C52" s="165" t="s">
        <v>88</v>
      </c>
      <c r="D52" s="164">
        <f t="shared" si="0"/>
        <v>1</v>
      </c>
      <c r="E52" s="164" t="s">
        <v>86</v>
      </c>
      <c r="F52" s="164" t="s">
        <v>106</v>
      </c>
      <c r="G52" s="164">
        <v>1</v>
      </c>
      <c r="H52" s="164" t="s">
        <v>17</v>
      </c>
      <c r="I52" s="208" t="s">
        <v>1623</v>
      </c>
      <c r="J52" s="164" t="s">
        <v>106</v>
      </c>
      <c r="K52" s="164" t="s">
        <v>84</v>
      </c>
      <c r="L52" s="164">
        <v>1</v>
      </c>
      <c r="M52" s="164" t="s">
        <v>34</v>
      </c>
      <c r="N52" s="208" t="s">
        <v>1851</v>
      </c>
      <c r="O52" s="164"/>
      <c r="P52" s="208"/>
    </row>
    <row r="53" spans="1:16" ht="15.75">
      <c r="A53" s="164">
        <v>35</v>
      </c>
      <c r="B53" s="345">
        <v>42801</v>
      </c>
      <c r="C53" s="165" t="s">
        <v>88</v>
      </c>
      <c r="D53" s="164">
        <f t="shared" si="0"/>
        <v>2</v>
      </c>
      <c r="E53" s="164" t="s">
        <v>87</v>
      </c>
      <c r="F53" s="164" t="s">
        <v>106</v>
      </c>
      <c r="G53" s="164">
        <v>1</v>
      </c>
      <c r="H53" s="164" t="s">
        <v>18</v>
      </c>
      <c r="I53" s="164" t="s">
        <v>98</v>
      </c>
      <c r="J53" s="164" t="s">
        <v>106</v>
      </c>
      <c r="K53" s="164" t="s">
        <v>84</v>
      </c>
      <c r="L53" s="164">
        <v>1</v>
      </c>
      <c r="M53" s="164" t="s">
        <v>35</v>
      </c>
      <c r="N53" s="208" t="s">
        <v>1838</v>
      </c>
      <c r="O53" s="164"/>
      <c r="P53" s="208"/>
    </row>
    <row r="54" spans="1:16" ht="15.75">
      <c r="A54" s="164">
        <v>36</v>
      </c>
      <c r="B54" s="345">
        <v>42802</v>
      </c>
      <c r="C54" s="165" t="s">
        <v>88</v>
      </c>
      <c r="D54" s="164">
        <f t="shared" si="0"/>
        <v>3</v>
      </c>
      <c r="E54" s="164" t="s">
        <v>80</v>
      </c>
      <c r="F54" s="164" t="s">
        <v>106</v>
      </c>
      <c r="G54" s="164">
        <v>1</v>
      </c>
      <c r="H54" s="164" t="s">
        <v>19</v>
      </c>
      <c r="I54" s="208" t="s">
        <v>1791</v>
      </c>
      <c r="J54" s="164" t="s">
        <v>106</v>
      </c>
      <c r="K54" s="164" t="s">
        <v>84</v>
      </c>
      <c r="L54" s="164">
        <v>1</v>
      </c>
      <c r="M54" s="164" t="s">
        <v>36</v>
      </c>
      <c r="N54" s="208" t="s">
        <v>98</v>
      </c>
      <c r="O54" s="164"/>
      <c r="P54" s="208"/>
    </row>
    <row r="55" spans="1:16" ht="15.75">
      <c r="A55" s="164">
        <v>37</v>
      </c>
      <c r="B55" s="345">
        <v>42803</v>
      </c>
      <c r="C55" s="165" t="s">
        <v>88</v>
      </c>
      <c r="D55" s="164">
        <f t="shared" si="0"/>
        <v>4</v>
      </c>
      <c r="E55" s="164" t="s">
        <v>81</v>
      </c>
      <c r="F55" s="164" t="s">
        <v>106</v>
      </c>
      <c r="G55" s="164">
        <v>1</v>
      </c>
      <c r="H55" s="164" t="s">
        <v>20</v>
      </c>
      <c r="I55" s="208" t="s">
        <v>1820</v>
      </c>
      <c r="J55" s="164" t="s">
        <v>106</v>
      </c>
      <c r="K55" s="164" t="s">
        <v>84</v>
      </c>
      <c r="L55" s="164">
        <v>1</v>
      </c>
      <c r="M55" s="164" t="s">
        <v>37</v>
      </c>
      <c r="N55" s="208" t="s">
        <v>1852</v>
      </c>
      <c r="O55" s="164"/>
      <c r="P55" s="208"/>
    </row>
    <row r="56" spans="1:16" ht="15.75">
      <c r="A56" s="164">
        <v>38</v>
      </c>
      <c r="B56" s="345">
        <v>42804</v>
      </c>
      <c r="C56" s="165" t="s">
        <v>88</v>
      </c>
      <c r="D56" s="164">
        <f t="shared" si="0"/>
        <v>5</v>
      </c>
      <c r="E56" s="164" t="s">
        <v>82</v>
      </c>
      <c r="F56" s="164" t="s">
        <v>106</v>
      </c>
      <c r="G56" s="164">
        <v>1</v>
      </c>
      <c r="H56" s="164" t="s">
        <v>21</v>
      </c>
      <c r="I56" s="164" t="s">
        <v>98</v>
      </c>
      <c r="J56" s="164" t="s">
        <v>106</v>
      </c>
      <c r="K56" s="164" t="s">
        <v>84</v>
      </c>
      <c r="L56" s="164">
        <v>1</v>
      </c>
      <c r="M56" s="164" t="s">
        <v>38</v>
      </c>
      <c r="N56" s="208" t="s">
        <v>1864</v>
      </c>
      <c r="O56" s="164"/>
      <c r="P56" s="208"/>
    </row>
    <row r="57" spans="1:16" ht="15.75">
      <c r="A57" s="164">
        <v>39</v>
      </c>
      <c r="B57" s="345">
        <v>42805</v>
      </c>
      <c r="C57" s="165" t="s">
        <v>88</v>
      </c>
      <c r="D57" s="164">
        <f t="shared" si="0"/>
        <v>6</v>
      </c>
      <c r="E57" s="164" t="s">
        <v>83</v>
      </c>
      <c r="F57" s="164" t="s">
        <v>84</v>
      </c>
      <c r="G57" s="164"/>
      <c r="H57" s="164"/>
      <c r="I57" s="164"/>
      <c r="J57" s="164" t="s">
        <v>84</v>
      </c>
      <c r="K57" s="164" t="s">
        <v>106</v>
      </c>
      <c r="L57" s="164">
        <v>1</v>
      </c>
      <c r="M57" s="164"/>
      <c r="N57" s="208"/>
      <c r="O57" s="164" t="s">
        <v>39</v>
      </c>
      <c r="P57" s="208" t="s">
        <v>98</v>
      </c>
    </row>
    <row r="58" spans="1:16" ht="15.75">
      <c r="A58" s="164">
        <v>40</v>
      </c>
      <c r="B58" s="345">
        <v>42806</v>
      </c>
      <c r="C58" s="165" t="s">
        <v>88</v>
      </c>
      <c r="D58" s="164">
        <f t="shared" si="0"/>
        <v>7</v>
      </c>
      <c r="E58" s="164" t="s">
        <v>85</v>
      </c>
      <c r="F58" s="164" t="s">
        <v>84</v>
      </c>
      <c r="G58" s="164"/>
      <c r="H58" s="164"/>
      <c r="I58" s="164"/>
      <c r="J58" s="164" t="s">
        <v>84</v>
      </c>
      <c r="K58" s="164" t="s">
        <v>84</v>
      </c>
      <c r="L58" s="164"/>
      <c r="M58" s="164"/>
      <c r="N58" s="208"/>
      <c r="O58" s="164"/>
      <c r="P58" s="208"/>
    </row>
    <row r="59" spans="1:16" ht="15.75">
      <c r="A59" s="164">
        <v>41</v>
      </c>
      <c r="B59" s="345">
        <v>42807</v>
      </c>
      <c r="C59" s="165" t="s">
        <v>88</v>
      </c>
      <c r="D59" s="164">
        <f t="shared" si="0"/>
        <v>1</v>
      </c>
      <c r="E59" s="164" t="s">
        <v>86</v>
      </c>
      <c r="F59" s="164" t="s">
        <v>106</v>
      </c>
      <c r="G59" s="164">
        <v>1</v>
      </c>
      <c r="H59" s="164" t="s">
        <v>22</v>
      </c>
      <c r="I59" s="208" t="s">
        <v>1782</v>
      </c>
      <c r="J59" s="164" t="s">
        <v>106</v>
      </c>
      <c r="K59" s="164" t="s">
        <v>84</v>
      </c>
      <c r="L59" s="164">
        <v>1</v>
      </c>
      <c r="M59" s="164" t="s">
        <v>40</v>
      </c>
      <c r="N59" s="208" t="s">
        <v>98</v>
      </c>
      <c r="O59" s="164"/>
      <c r="P59" s="208"/>
    </row>
    <row r="60" spans="1:16" ht="15.75">
      <c r="A60" s="164">
        <v>42</v>
      </c>
      <c r="B60" s="345">
        <v>42808</v>
      </c>
      <c r="C60" s="165" t="s">
        <v>88</v>
      </c>
      <c r="D60" s="164">
        <f t="shared" si="0"/>
        <v>2</v>
      </c>
      <c r="E60" s="164" t="s">
        <v>87</v>
      </c>
      <c r="F60" s="164" t="s">
        <v>106</v>
      </c>
      <c r="G60" s="164">
        <v>1</v>
      </c>
      <c r="H60" s="164" t="s">
        <v>23</v>
      </c>
      <c r="I60" s="208" t="s">
        <v>98</v>
      </c>
      <c r="J60" s="164" t="s">
        <v>106</v>
      </c>
      <c r="K60" s="164" t="s">
        <v>84</v>
      </c>
      <c r="L60" s="164">
        <v>1</v>
      </c>
      <c r="M60" s="164" t="s">
        <v>41</v>
      </c>
      <c r="N60" s="208" t="s">
        <v>1881</v>
      </c>
      <c r="O60" s="164"/>
      <c r="P60" s="208"/>
    </row>
    <row r="61" spans="1:16" ht="15.75">
      <c r="A61" s="164">
        <v>43</v>
      </c>
      <c r="B61" s="345">
        <v>42809</v>
      </c>
      <c r="C61" s="165" t="s">
        <v>88</v>
      </c>
      <c r="D61" s="164">
        <f t="shared" si="0"/>
        <v>3</v>
      </c>
      <c r="E61" s="164" t="s">
        <v>80</v>
      </c>
      <c r="F61" s="164" t="s">
        <v>106</v>
      </c>
      <c r="G61" s="164">
        <v>1</v>
      </c>
      <c r="H61" s="164" t="s">
        <v>24</v>
      </c>
      <c r="I61" s="208" t="s">
        <v>1783</v>
      </c>
      <c r="J61" s="164" t="s">
        <v>106</v>
      </c>
      <c r="K61" s="164" t="s">
        <v>84</v>
      </c>
      <c r="L61" s="164">
        <v>1</v>
      </c>
      <c r="M61" s="164" t="s">
        <v>42</v>
      </c>
      <c r="N61" s="208" t="s">
        <v>1887</v>
      </c>
      <c r="O61" s="164"/>
      <c r="P61" s="208"/>
    </row>
    <row r="62" spans="1:16" ht="15.75">
      <c r="A62" s="164">
        <v>44</v>
      </c>
      <c r="B62" s="345">
        <v>42810</v>
      </c>
      <c r="C62" s="165" t="s">
        <v>88</v>
      </c>
      <c r="D62" s="164">
        <f t="shared" si="0"/>
        <v>4</v>
      </c>
      <c r="E62" s="164" t="s">
        <v>81</v>
      </c>
      <c r="F62" s="164" t="s">
        <v>106</v>
      </c>
      <c r="G62" s="164">
        <v>1</v>
      </c>
      <c r="H62" s="208" t="s">
        <v>25</v>
      </c>
      <c r="I62" s="208" t="s">
        <v>1790</v>
      </c>
      <c r="J62" s="164" t="s">
        <v>106</v>
      </c>
      <c r="K62" s="164" t="s">
        <v>84</v>
      </c>
      <c r="L62" s="164">
        <v>1</v>
      </c>
      <c r="M62" s="164" t="s">
        <v>43</v>
      </c>
      <c r="N62" s="208" t="s">
        <v>1856</v>
      </c>
      <c r="O62" s="164"/>
      <c r="P62" s="208"/>
    </row>
    <row r="63" spans="1:16" ht="15.75">
      <c r="A63" s="164">
        <v>45</v>
      </c>
      <c r="B63" s="345">
        <v>42811</v>
      </c>
      <c r="C63" s="165" t="s">
        <v>88</v>
      </c>
      <c r="D63" s="164">
        <f t="shared" si="0"/>
        <v>5</v>
      </c>
      <c r="E63" s="164" t="s">
        <v>82</v>
      </c>
      <c r="F63" s="164" t="s">
        <v>106</v>
      </c>
      <c r="G63" s="164">
        <v>1</v>
      </c>
      <c r="H63" s="164" t="s">
        <v>26</v>
      </c>
      <c r="I63" s="164" t="s">
        <v>1774</v>
      </c>
      <c r="J63" s="164" t="s">
        <v>106</v>
      </c>
      <c r="K63" s="164" t="s">
        <v>84</v>
      </c>
      <c r="L63" s="164">
        <v>1</v>
      </c>
      <c r="M63" s="164" t="s">
        <v>44</v>
      </c>
      <c r="N63" s="208" t="s">
        <v>1858</v>
      </c>
      <c r="O63" s="164"/>
      <c r="P63" s="208"/>
    </row>
    <row r="64" spans="1:16" ht="15.75">
      <c r="A64" s="164">
        <v>46</v>
      </c>
      <c r="B64" s="345">
        <v>42812</v>
      </c>
      <c r="C64" s="165" t="s">
        <v>88</v>
      </c>
      <c r="D64" s="164">
        <f t="shared" si="0"/>
        <v>6</v>
      </c>
      <c r="E64" s="164" t="s">
        <v>83</v>
      </c>
      <c r="F64" s="164" t="s">
        <v>84</v>
      </c>
      <c r="G64" s="164"/>
      <c r="H64" s="164"/>
      <c r="I64" s="164"/>
      <c r="J64" s="164" t="s">
        <v>84</v>
      </c>
      <c r="K64" s="164" t="s">
        <v>106</v>
      </c>
      <c r="L64" s="164">
        <v>2</v>
      </c>
      <c r="M64" s="164"/>
      <c r="N64" s="208"/>
      <c r="O64" s="208" t="s">
        <v>29</v>
      </c>
      <c r="P64" s="208" t="s">
        <v>1884</v>
      </c>
    </row>
    <row r="65" spans="1:16" ht="15.75">
      <c r="A65" s="164">
        <v>47</v>
      </c>
      <c r="B65" s="345">
        <v>42813</v>
      </c>
      <c r="C65" s="165" t="s">
        <v>88</v>
      </c>
      <c r="D65" s="164">
        <f t="shared" si="0"/>
        <v>7</v>
      </c>
      <c r="E65" s="164" t="s">
        <v>85</v>
      </c>
      <c r="F65" s="164" t="s">
        <v>84</v>
      </c>
      <c r="G65" s="164"/>
      <c r="H65" s="164"/>
      <c r="I65" s="164"/>
      <c r="J65" s="164" t="s">
        <v>84</v>
      </c>
      <c r="K65" s="164" t="s">
        <v>84</v>
      </c>
      <c r="L65" s="164"/>
      <c r="M65" s="164"/>
      <c r="N65" s="208"/>
      <c r="O65" s="164"/>
      <c r="P65" s="208"/>
    </row>
    <row r="66" spans="1:16" ht="15.75">
      <c r="A66" s="166">
        <v>48</v>
      </c>
      <c r="B66" s="346">
        <v>42814</v>
      </c>
      <c r="C66" s="167" t="s">
        <v>88</v>
      </c>
      <c r="D66" s="166">
        <f t="shared" si="0"/>
        <v>1</v>
      </c>
      <c r="E66" s="166" t="s">
        <v>86</v>
      </c>
      <c r="F66" s="166" t="s">
        <v>84</v>
      </c>
      <c r="G66" s="166">
        <v>1</v>
      </c>
      <c r="H66" s="209" t="s">
        <v>123</v>
      </c>
      <c r="I66" s="166"/>
      <c r="J66" s="166" t="s">
        <v>84</v>
      </c>
      <c r="K66" s="166" t="s">
        <v>84</v>
      </c>
      <c r="L66" s="166">
        <v>2</v>
      </c>
      <c r="M66" s="166" t="s">
        <v>1767</v>
      </c>
      <c r="N66" s="209"/>
      <c r="O66" s="166"/>
      <c r="P66" s="209"/>
    </row>
    <row r="67" spans="1:16" ht="15.75">
      <c r="A67" s="164">
        <v>49</v>
      </c>
      <c r="B67" s="345">
        <v>42815</v>
      </c>
      <c r="C67" s="165" t="s">
        <v>88</v>
      </c>
      <c r="D67" s="164">
        <f t="shared" si="0"/>
        <v>2</v>
      </c>
      <c r="E67" s="164" t="s">
        <v>87</v>
      </c>
      <c r="F67" s="164" t="s">
        <v>106</v>
      </c>
      <c r="G67" s="164">
        <v>1</v>
      </c>
      <c r="H67" s="164" t="s">
        <v>28</v>
      </c>
      <c r="I67" s="208" t="s">
        <v>1617</v>
      </c>
      <c r="J67" s="164" t="s">
        <v>106</v>
      </c>
      <c r="K67" s="164" t="s">
        <v>84</v>
      </c>
      <c r="L67" s="164">
        <v>2</v>
      </c>
      <c r="M67" s="164" t="s">
        <v>32</v>
      </c>
      <c r="N67" s="208" t="s">
        <v>1829</v>
      </c>
      <c r="O67" s="164"/>
      <c r="P67" s="208"/>
    </row>
    <row r="68" spans="1:16" ht="15.75">
      <c r="A68" s="164">
        <v>50</v>
      </c>
      <c r="B68" s="345">
        <v>42816</v>
      </c>
      <c r="C68" s="165" t="s">
        <v>88</v>
      </c>
      <c r="D68" s="164">
        <f t="shared" si="0"/>
        <v>3</v>
      </c>
      <c r="E68" s="164" t="s">
        <v>80</v>
      </c>
      <c r="F68" s="164" t="s">
        <v>106</v>
      </c>
      <c r="G68" s="164">
        <v>1</v>
      </c>
      <c r="H68" s="208" t="s">
        <v>10</v>
      </c>
      <c r="I68" s="164" t="s">
        <v>1632</v>
      </c>
      <c r="J68" s="164" t="s">
        <v>106</v>
      </c>
      <c r="K68" s="164" t="s">
        <v>84</v>
      </c>
      <c r="L68" s="164">
        <v>2</v>
      </c>
      <c r="M68" s="164" t="s">
        <v>33</v>
      </c>
      <c r="N68" s="208" t="s">
        <v>1850</v>
      </c>
      <c r="O68" s="164"/>
      <c r="P68" s="208"/>
    </row>
    <row r="69" spans="1:16" ht="15.75">
      <c r="A69" s="164">
        <v>51</v>
      </c>
      <c r="B69" s="345">
        <v>42817</v>
      </c>
      <c r="C69" s="165" t="s">
        <v>88</v>
      </c>
      <c r="D69" s="164">
        <f t="shared" si="0"/>
        <v>4</v>
      </c>
      <c r="E69" s="164" t="s">
        <v>81</v>
      </c>
      <c r="F69" s="164" t="s">
        <v>106</v>
      </c>
      <c r="G69" s="164">
        <v>2</v>
      </c>
      <c r="H69" s="208" t="s">
        <v>14</v>
      </c>
      <c r="I69" s="208" t="s">
        <v>1598</v>
      </c>
      <c r="J69" s="164" t="s">
        <v>106</v>
      </c>
      <c r="K69" s="164" t="s">
        <v>84</v>
      </c>
      <c r="L69" s="164">
        <v>2</v>
      </c>
      <c r="M69" s="164" t="s">
        <v>34</v>
      </c>
      <c r="N69" s="208" t="s">
        <v>1862</v>
      </c>
      <c r="O69" s="164"/>
      <c r="P69" s="208"/>
    </row>
    <row r="70" spans="1:16" ht="15.75">
      <c r="A70" s="164">
        <v>52</v>
      </c>
      <c r="B70" s="345">
        <v>42818</v>
      </c>
      <c r="C70" s="165" t="s">
        <v>88</v>
      </c>
      <c r="D70" s="164">
        <f t="shared" si="0"/>
        <v>5</v>
      </c>
      <c r="E70" s="164" t="s">
        <v>82</v>
      </c>
      <c r="F70" s="164" t="s">
        <v>106</v>
      </c>
      <c r="G70" s="164">
        <v>2</v>
      </c>
      <c r="H70" s="164" t="s">
        <v>15</v>
      </c>
      <c r="I70" s="208" t="s">
        <v>1780</v>
      </c>
      <c r="J70" s="164" t="s">
        <v>106</v>
      </c>
      <c r="K70" s="164" t="s">
        <v>84</v>
      </c>
      <c r="L70" s="164">
        <v>2</v>
      </c>
      <c r="M70" s="164" t="s">
        <v>35</v>
      </c>
      <c r="N70" s="208" t="s">
        <v>1843</v>
      </c>
      <c r="O70" s="164"/>
      <c r="P70" s="208"/>
    </row>
    <row r="71" spans="1:16" ht="15.75">
      <c r="A71" s="164">
        <v>53</v>
      </c>
      <c r="B71" s="345">
        <v>42819</v>
      </c>
      <c r="C71" s="165" t="s">
        <v>88</v>
      </c>
      <c r="D71" s="164">
        <f t="shared" si="0"/>
        <v>6</v>
      </c>
      <c r="E71" s="164" t="s">
        <v>83</v>
      </c>
      <c r="F71" s="164" t="s">
        <v>84</v>
      </c>
      <c r="G71" s="164"/>
      <c r="H71" s="164"/>
      <c r="I71" s="164"/>
      <c r="J71" s="164" t="s">
        <v>84</v>
      </c>
      <c r="K71" s="164" t="s">
        <v>106</v>
      </c>
      <c r="L71" s="164">
        <v>2</v>
      </c>
      <c r="M71" s="164"/>
      <c r="N71" s="208"/>
      <c r="O71" s="164" t="s">
        <v>36</v>
      </c>
      <c r="P71" s="208" t="s">
        <v>98</v>
      </c>
    </row>
    <row r="72" spans="1:16" ht="15.75">
      <c r="A72" s="164">
        <v>54</v>
      </c>
      <c r="B72" s="345">
        <v>42820</v>
      </c>
      <c r="C72" s="165" t="s">
        <v>88</v>
      </c>
      <c r="D72" s="164">
        <f t="shared" si="0"/>
        <v>7</v>
      </c>
      <c r="E72" s="164" t="s">
        <v>85</v>
      </c>
      <c r="F72" s="164" t="s">
        <v>84</v>
      </c>
      <c r="G72" s="164"/>
      <c r="H72" s="164"/>
      <c r="I72" s="164"/>
      <c r="J72" s="164" t="s">
        <v>84</v>
      </c>
      <c r="K72" s="164" t="s">
        <v>84</v>
      </c>
      <c r="L72" s="164"/>
      <c r="M72" s="164"/>
      <c r="N72" s="208"/>
      <c r="O72" s="164"/>
      <c r="P72" s="208"/>
    </row>
    <row r="73" spans="1:16" ht="15.75">
      <c r="A73" s="164">
        <v>55</v>
      </c>
      <c r="B73" s="345">
        <v>42821</v>
      </c>
      <c r="C73" s="165" t="s">
        <v>88</v>
      </c>
      <c r="D73" s="164">
        <f t="shared" si="0"/>
        <v>1</v>
      </c>
      <c r="E73" s="164" t="s">
        <v>86</v>
      </c>
      <c r="F73" s="164" t="s">
        <v>106</v>
      </c>
      <c r="G73" s="164">
        <v>2</v>
      </c>
      <c r="H73" s="164" t="s">
        <v>16</v>
      </c>
      <c r="I73" s="208" t="s">
        <v>1789</v>
      </c>
      <c r="J73" s="164" t="s">
        <v>106</v>
      </c>
      <c r="K73" s="164" t="s">
        <v>84</v>
      </c>
      <c r="L73" s="164">
        <v>2</v>
      </c>
      <c r="M73" s="164" t="s">
        <v>37</v>
      </c>
      <c r="N73" s="208" t="s">
        <v>1863</v>
      </c>
      <c r="O73" s="164"/>
      <c r="P73" s="208"/>
    </row>
    <row r="74" spans="1:16" ht="15.75">
      <c r="A74" s="164">
        <v>56</v>
      </c>
      <c r="B74" s="345">
        <v>42822</v>
      </c>
      <c r="C74" s="165" t="s">
        <v>88</v>
      </c>
      <c r="D74" s="164">
        <f t="shared" si="0"/>
        <v>2</v>
      </c>
      <c r="E74" s="164" t="s">
        <v>87</v>
      </c>
      <c r="F74" s="164" t="s">
        <v>106</v>
      </c>
      <c r="G74" s="164">
        <v>2</v>
      </c>
      <c r="H74" s="164" t="s">
        <v>17</v>
      </c>
      <c r="I74" s="208" t="s">
        <v>1628</v>
      </c>
      <c r="J74" s="164" t="s">
        <v>106</v>
      </c>
      <c r="K74" s="164" t="s">
        <v>84</v>
      </c>
      <c r="L74" s="164">
        <v>2</v>
      </c>
      <c r="M74" s="164" t="s">
        <v>38</v>
      </c>
      <c r="N74" s="208" t="s">
        <v>1865</v>
      </c>
      <c r="O74" s="164"/>
      <c r="P74" s="208"/>
    </row>
    <row r="75" spans="1:16" ht="15.75">
      <c r="A75" s="164">
        <v>57</v>
      </c>
      <c r="B75" s="345">
        <v>42823</v>
      </c>
      <c r="C75" s="165" t="s">
        <v>88</v>
      </c>
      <c r="D75" s="164">
        <f t="shared" si="0"/>
        <v>3</v>
      </c>
      <c r="E75" s="164" t="s">
        <v>80</v>
      </c>
      <c r="F75" s="164" t="s">
        <v>106</v>
      </c>
      <c r="G75" s="164">
        <v>2</v>
      </c>
      <c r="H75" s="164" t="s">
        <v>18</v>
      </c>
      <c r="I75" s="208" t="s">
        <v>98</v>
      </c>
      <c r="J75" s="164" t="s">
        <v>106</v>
      </c>
      <c r="K75" s="164" t="s">
        <v>84</v>
      </c>
      <c r="L75" s="164">
        <v>2</v>
      </c>
      <c r="M75" s="164" t="s">
        <v>39</v>
      </c>
      <c r="N75" s="208" t="s">
        <v>98</v>
      </c>
      <c r="O75" s="164"/>
      <c r="P75" s="208"/>
    </row>
    <row r="76" spans="1:16" ht="15.75">
      <c r="A76" s="164">
        <v>58</v>
      </c>
      <c r="B76" s="345">
        <v>42824</v>
      </c>
      <c r="C76" s="165" t="s">
        <v>88</v>
      </c>
      <c r="D76" s="164">
        <f t="shared" si="0"/>
        <v>4</v>
      </c>
      <c r="E76" s="164" t="s">
        <v>81</v>
      </c>
      <c r="F76" s="164" t="s">
        <v>106</v>
      </c>
      <c r="G76" s="164">
        <v>2</v>
      </c>
      <c r="H76" s="164" t="s">
        <v>19</v>
      </c>
      <c r="I76" s="208" t="s">
        <v>1601</v>
      </c>
      <c r="J76" s="164" t="s">
        <v>106</v>
      </c>
      <c r="K76" s="164" t="s">
        <v>84</v>
      </c>
      <c r="L76" s="164">
        <v>2</v>
      </c>
      <c r="M76" s="164" t="s">
        <v>40</v>
      </c>
      <c r="N76" s="208" t="s">
        <v>98</v>
      </c>
      <c r="O76" s="164"/>
      <c r="P76" s="208"/>
    </row>
    <row r="77" spans="1:16" ht="15.75">
      <c r="A77" s="164">
        <v>59</v>
      </c>
      <c r="B77" s="345">
        <v>42825</v>
      </c>
      <c r="C77" s="165" t="s">
        <v>88</v>
      </c>
      <c r="D77" s="164">
        <f t="shared" si="0"/>
        <v>5</v>
      </c>
      <c r="E77" s="164" t="s">
        <v>82</v>
      </c>
      <c r="F77" s="164" t="s">
        <v>106</v>
      </c>
      <c r="G77" s="164">
        <v>2</v>
      </c>
      <c r="H77" s="164" t="s">
        <v>20</v>
      </c>
      <c r="I77" s="208" t="s">
        <v>1788</v>
      </c>
      <c r="J77" s="164" t="s">
        <v>106</v>
      </c>
      <c r="K77" s="164" t="s">
        <v>84</v>
      </c>
      <c r="L77" s="164">
        <v>2</v>
      </c>
      <c r="M77" s="164" t="s">
        <v>41</v>
      </c>
      <c r="N77" s="208" t="s">
        <v>1918</v>
      </c>
      <c r="O77" s="164"/>
      <c r="P77" s="208"/>
    </row>
    <row r="78" spans="1:16" ht="15.75">
      <c r="A78" s="164">
        <v>60</v>
      </c>
      <c r="B78" s="345">
        <v>42826</v>
      </c>
      <c r="C78" s="165" t="s">
        <v>89</v>
      </c>
      <c r="D78" s="164">
        <f t="shared" si="0"/>
        <v>6</v>
      </c>
      <c r="E78" s="164" t="s">
        <v>83</v>
      </c>
      <c r="F78" s="164" t="s">
        <v>84</v>
      </c>
      <c r="G78" s="164"/>
      <c r="H78" s="164"/>
      <c r="I78" s="164"/>
      <c r="J78" s="164" t="s">
        <v>84</v>
      </c>
      <c r="K78" s="164" t="s">
        <v>106</v>
      </c>
      <c r="L78" s="164">
        <v>2</v>
      </c>
      <c r="M78" s="164"/>
      <c r="N78" s="208"/>
      <c r="O78" s="164" t="s">
        <v>42</v>
      </c>
      <c r="P78" s="208" t="s">
        <v>1930</v>
      </c>
    </row>
    <row r="79" spans="1:16" ht="15.75">
      <c r="A79" s="164">
        <v>61</v>
      </c>
      <c r="B79" s="345">
        <v>42827</v>
      </c>
      <c r="C79" s="165" t="s">
        <v>89</v>
      </c>
      <c r="D79" s="164">
        <f t="shared" si="0"/>
        <v>7</v>
      </c>
      <c r="E79" s="164" t="s">
        <v>85</v>
      </c>
      <c r="F79" s="164" t="s">
        <v>84</v>
      </c>
      <c r="G79" s="164"/>
      <c r="H79" s="164"/>
      <c r="I79" s="164"/>
      <c r="J79" s="164" t="s">
        <v>84</v>
      </c>
      <c r="K79" s="164" t="s">
        <v>84</v>
      </c>
      <c r="L79" s="164"/>
      <c r="M79" s="164"/>
      <c r="N79" s="208"/>
      <c r="O79" s="164"/>
      <c r="P79" s="208"/>
    </row>
    <row r="80" spans="1:16" ht="15.75">
      <c r="A80" s="164">
        <v>62</v>
      </c>
      <c r="B80" s="345">
        <v>42828</v>
      </c>
      <c r="C80" s="165" t="s">
        <v>89</v>
      </c>
      <c r="D80" s="164">
        <f t="shared" si="0"/>
        <v>1</v>
      </c>
      <c r="E80" s="164" t="s">
        <v>86</v>
      </c>
      <c r="F80" s="164" t="s">
        <v>106</v>
      </c>
      <c r="G80" s="164">
        <v>2</v>
      </c>
      <c r="H80" s="164" t="s">
        <v>21</v>
      </c>
      <c r="I80" s="208" t="s">
        <v>98</v>
      </c>
      <c r="J80" s="164" t="s">
        <v>106</v>
      </c>
      <c r="K80" s="164" t="s">
        <v>84</v>
      </c>
      <c r="L80" s="164">
        <v>2</v>
      </c>
      <c r="M80" s="164" t="s">
        <v>43</v>
      </c>
      <c r="N80" s="208" t="s">
        <v>1856</v>
      </c>
      <c r="O80" s="164"/>
      <c r="P80" s="208"/>
    </row>
    <row r="81" spans="1:16" ht="15.75">
      <c r="A81" s="164">
        <v>63</v>
      </c>
      <c r="B81" s="345">
        <v>42829</v>
      </c>
      <c r="C81" s="165" t="s">
        <v>89</v>
      </c>
      <c r="D81" s="164">
        <f t="shared" si="0"/>
        <v>2</v>
      </c>
      <c r="E81" s="164" t="s">
        <v>87</v>
      </c>
      <c r="F81" s="164" t="s">
        <v>106</v>
      </c>
      <c r="G81" s="164">
        <v>2</v>
      </c>
      <c r="H81" s="164" t="s">
        <v>22</v>
      </c>
      <c r="I81" s="208" t="s">
        <v>1611</v>
      </c>
      <c r="J81" s="164" t="s">
        <v>106</v>
      </c>
      <c r="K81" s="164" t="s">
        <v>84</v>
      </c>
      <c r="L81" s="164">
        <v>2</v>
      </c>
      <c r="M81" s="164" t="s">
        <v>44</v>
      </c>
      <c r="N81" s="208" t="s">
        <v>1858</v>
      </c>
      <c r="O81" s="164"/>
      <c r="P81" s="208"/>
    </row>
    <row r="82" spans="1:16" ht="15.75">
      <c r="A82" s="164">
        <v>64</v>
      </c>
      <c r="B82" s="345">
        <v>42830</v>
      </c>
      <c r="C82" s="165" t="s">
        <v>89</v>
      </c>
      <c r="D82" s="164">
        <f t="shared" si="0"/>
        <v>3</v>
      </c>
      <c r="E82" s="164" t="s">
        <v>80</v>
      </c>
      <c r="F82" s="164" t="s">
        <v>106</v>
      </c>
      <c r="G82" s="164">
        <v>2</v>
      </c>
      <c r="H82" s="164" t="s">
        <v>23</v>
      </c>
      <c r="I82" s="208" t="s">
        <v>98</v>
      </c>
      <c r="J82" s="164" t="s">
        <v>106</v>
      </c>
      <c r="K82" s="164" t="s">
        <v>84</v>
      </c>
      <c r="L82" s="164">
        <v>3</v>
      </c>
      <c r="M82" s="208" t="s">
        <v>29</v>
      </c>
      <c r="N82" s="208" t="s">
        <v>1890</v>
      </c>
      <c r="O82" s="164"/>
      <c r="P82" s="208"/>
    </row>
    <row r="83" spans="1:16" ht="15.75">
      <c r="A83" s="164">
        <v>65</v>
      </c>
      <c r="B83" s="345">
        <v>42831</v>
      </c>
      <c r="C83" s="165" t="s">
        <v>89</v>
      </c>
      <c r="D83" s="164">
        <f t="shared" si="0"/>
        <v>4</v>
      </c>
      <c r="E83" s="164" t="s">
        <v>81</v>
      </c>
      <c r="F83" s="164" t="s">
        <v>106</v>
      </c>
      <c r="G83" s="164">
        <v>2</v>
      </c>
      <c r="H83" s="164" t="s">
        <v>24</v>
      </c>
      <c r="I83" s="208" t="s">
        <v>1784</v>
      </c>
      <c r="J83" s="164" t="s">
        <v>106</v>
      </c>
      <c r="K83" s="164" t="s">
        <v>84</v>
      </c>
      <c r="L83" s="164">
        <v>3</v>
      </c>
      <c r="M83" s="164" t="s">
        <v>31</v>
      </c>
      <c r="N83" s="208" t="s">
        <v>1885</v>
      </c>
      <c r="O83" s="164"/>
      <c r="P83" s="208"/>
    </row>
    <row r="84" spans="1:16" ht="15.75">
      <c r="A84" s="164">
        <v>66</v>
      </c>
      <c r="B84" s="345">
        <v>42832</v>
      </c>
      <c r="C84" s="165" t="s">
        <v>89</v>
      </c>
      <c r="D84" s="164">
        <f t="shared" ref="D84:D147" si="1">WEEKDAY(B84,2)</f>
        <v>5</v>
      </c>
      <c r="E84" s="164" t="s">
        <v>82</v>
      </c>
      <c r="F84" s="164" t="s">
        <v>106</v>
      </c>
      <c r="G84" s="164">
        <v>2</v>
      </c>
      <c r="H84" s="208" t="s">
        <v>25</v>
      </c>
      <c r="I84" s="208" t="s">
        <v>1606</v>
      </c>
      <c r="J84" s="164" t="s">
        <v>106</v>
      </c>
      <c r="K84" s="164" t="s">
        <v>84</v>
      </c>
      <c r="L84" s="164">
        <v>3</v>
      </c>
      <c r="M84" s="164" t="s">
        <v>32</v>
      </c>
      <c r="N84" s="208" t="s">
        <v>1891</v>
      </c>
      <c r="O84" s="164"/>
      <c r="P84" s="208"/>
    </row>
    <row r="85" spans="1:16" ht="15.75">
      <c r="A85" s="164">
        <v>67</v>
      </c>
      <c r="B85" s="345">
        <v>42833</v>
      </c>
      <c r="C85" s="165" t="s">
        <v>89</v>
      </c>
      <c r="D85" s="164">
        <f t="shared" si="1"/>
        <v>6</v>
      </c>
      <c r="E85" s="164" t="s">
        <v>83</v>
      </c>
      <c r="F85" s="164" t="s">
        <v>84</v>
      </c>
      <c r="G85" s="164"/>
      <c r="H85" s="164"/>
      <c r="I85" s="164"/>
      <c r="J85" s="164" t="s">
        <v>84</v>
      </c>
      <c r="K85" s="164" t="s">
        <v>106</v>
      </c>
      <c r="L85" s="164">
        <v>3</v>
      </c>
      <c r="M85" s="164"/>
      <c r="N85" s="208"/>
      <c r="O85" s="164" t="s">
        <v>33</v>
      </c>
      <c r="P85" s="208" t="s">
        <v>1886</v>
      </c>
    </row>
    <row r="86" spans="1:16" ht="15.75">
      <c r="A86" s="164">
        <v>68</v>
      </c>
      <c r="B86" s="345">
        <v>42834</v>
      </c>
      <c r="C86" s="165" t="s">
        <v>89</v>
      </c>
      <c r="D86" s="164">
        <f t="shared" si="1"/>
        <v>7</v>
      </c>
      <c r="E86" s="164" t="s">
        <v>85</v>
      </c>
      <c r="F86" s="164" t="s">
        <v>84</v>
      </c>
      <c r="G86" s="164"/>
      <c r="H86" s="164"/>
      <c r="I86" s="164"/>
      <c r="J86" s="164" t="s">
        <v>84</v>
      </c>
      <c r="K86" s="164" t="s">
        <v>84</v>
      </c>
      <c r="L86" s="164"/>
      <c r="M86" s="164"/>
      <c r="N86" s="208"/>
      <c r="O86" s="164"/>
      <c r="P86" s="208"/>
    </row>
    <row r="87" spans="1:16" ht="15.75">
      <c r="A87" s="168">
        <v>69</v>
      </c>
      <c r="B87" s="347">
        <v>42835</v>
      </c>
      <c r="C87" s="169" t="s">
        <v>89</v>
      </c>
      <c r="D87" s="168">
        <f t="shared" si="1"/>
        <v>1</v>
      </c>
      <c r="E87" s="168" t="s">
        <v>86</v>
      </c>
      <c r="F87" s="168" t="s">
        <v>84</v>
      </c>
      <c r="G87" s="168"/>
      <c r="H87" s="168" t="s">
        <v>90</v>
      </c>
      <c r="I87" s="168"/>
      <c r="J87" s="168" t="s">
        <v>84</v>
      </c>
      <c r="K87" s="168" t="s">
        <v>84</v>
      </c>
      <c r="L87" s="168"/>
      <c r="M87" s="168" t="s">
        <v>90</v>
      </c>
      <c r="N87" s="210"/>
      <c r="O87" s="168"/>
      <c r="P87" s="210"/>
    </row>
    <row r="88" spans="1:16" ht="15.75">
      <c r="A88" s="168">
        <v>70</v>
      </c>
      <c r="B88" s="347">
        <v>42836</v>
      </c>
      <c r="C88" s="169" t="s">
        <v>89</v>
      </c>
      <c r="D88" s="168">
        <f t="shared" si="1"/>
        <v>2</v>
      </c>
      <c r="E88" s="168" t="s">
        <v>87</v>
      </c>
      <c r="F88" s="168" t="s">
        <v>84</v>
      </c>
      <c r="G88" s="168"/>
      <c r="H88" s="168" t="s">
        <v>90</v>
      </c>
      <c r="I88" s="168"/>
      <c r="J88" s="168" t="s">
        <v>84</v>
      </c>
      <c r="K88" s="168" t="s">
        <v>84</v>
      </c>
      <c r="L88" s="168"/>
      <c r="M88" s="168" t="s">
        <v>90</v>
      </c>
      <c r="N88" s="210"/>
      <c r="O88" s="168"/>
      <c r="P88" s="210"/>
    </row>
    <row r="89" spans="1:16" ht="15.75">
      <c r="A89" s="168">
        <v>71</v>
      </c>
      <c r="B89" s="347">
        <v>42837</v>
      </c>
      <c r="C89" s="169" t="s">
        <v>89</v>
      </c>
      <c r="D89" s="168">
        <f t="shared" si="1"/>
        <v>3</v>
      </c>
      <c r="E89" s="168" t="s">
        <v>80</v>
      </c>
      <c r="F89" s="168" t="s">
        <v>84</v>
      </c>
      <c r="G89" s="168"/>
      <c r="H89" s="168" t="s">
        <v>90</v>
      </c>
      <c r="I89" s="168"/>
      <c r="J89" s="168" t="s">
        <v>84</v>
      </c>
      <c r="K89" s="168" t="s">
        <v>84</v>
      </c>
      <c r="L89" s="168"/>
      <c r="M89" s="168" t="s">
        <v>90</v>
      </c>
      <c r="N89" s="210"/>
      <c r="O89" s="168"/>
      <c r="P89" s="210"/>
    </row>
    <row r="90" spans="1:16" ht="15.75">
      <c r="A90" s="168">
        <v>72</v>
      </c>
      <c r="B90" s="347">
        <v>42838</v>
      </c>
      <c r="C90" s="169" t="s">
        <v>89</v>
      </c>
      <c r="D90" s="168">
        <f t="shared" si="1"/>
        <v>4</v>
      </c>
      <c r="E90" s="168" t="s">
        <v>81</v>
      </c>
      <c r="F90" s="168" t="s">
        <v>84</v>
      </c>
      <c r="G90" s="168"/>
      <c r="H90" s="168" t="s">
        <v>90</v>
      </c>
      <c r="I90" s="168"/>
      <c r="J90" s="168" t="s">
        <v>84</v>
      </c>
      <c r="K90" s="168" t="s">
        <v>84</v>
      </c>
      <c r="L90" s="168"/>
      <c r="M90" s="168" t="s">
        <v>90</v>
      </c>
      <c r="N90" s="210"/>
      <c r="O90" s="168"/>
      <c r="P90" s="210"/>
    </row>
    <row r="91" spans="1:16" ht="15.75">
      <c r="A91" s="168">
        <v>73</v>
      </c>
      <c r="B91" s="347">
        <v>42839</v>
      </c>
      <c r="C91" s="169" t="s">
        <v>89</v>
      </c>
      <c r="D91" s="168">
        <f t="shared" si="1"/>
        <v>5</v>
      </c>
      <c r="E91" s="168" t="s">
        <v>82</v>
      </c>
      <c r="F91" s="168" t="s">
        <v>84</v>
      </c>
      <c r="G91" s="168"/>
      <c r="H91" s="168" t="s">
        <v>90</v>
      </c>
      <c r="I91" s="168"/>
      <c r="J91" s="168" t="s">
        <v>84</v>
      </c>
      <c r="K91" s="168" t="s">
        <v>84</v>
      </c>
      <c r="L91" s="168"/>
      <c r="M91" s="168" t="s">
        <v>90</v>
      </c>
      <c r="N91" s="210"/>
      <c r="O91" s="168"/>
      <c r="P91" s="210"/>
    </row>
    <row r="92" spans="1:16" ht="15.75">
      <c r="A92" s="168">
        <v>74</v>
      </c>
      <c r="B92" s="347">
        <v>42840</v>
      </c>
      <c r="C92" s="169" t="s">
        <v>89</v>
      </c>
      <c r="D92" s="168">
        <f t="shared" si="1"/>
        <v>6</v>
      </c>
      <c r="E92" s="168" t="s">
        <v>83</v>
      </c>
      <c r="F92" s="168" t="s">
        <v>84</v>
      </c>
      <c r="G92" s="168"/>
      <c r="H92" s="168"/>
      <c r="I92" s="168"/>
      <c r="J92" s="168" t="s">
        <v>84</v>
      </c>
      <c r="K92" s="168" t="s">
        <v>84</v>
      </c>
      <c r="L92" s="168"/>
      <c r="M92" s="168"/>
      <c r="N92" s="210"/>
      <c r="O92" s="168"/>
      <c r="P92" s="210"/>
    </row>
    <row r="93" spans="1:16" ht="15.75">
      <c r="A93" s="168">
        <v>75</v>
      </c>
      <c r="B93" s="347">
        <v>42841</v>
      </c>
      <c r="C93" s="169" t="s">
        <v>89</v>
      </c>
      <c r="D93" s="168">
        <f t="shared" si="1"/>
        <v>7</v>
      </c>
      <c r="E93" s="168" t="s">
        <v>85</v>
      </c>
      <c r="F93" s="168" t="s">
        <v>84</v>
      </c>
      <c r="G93" s="168"/>
      <c r="H93" s="168"/>
      <c r="I93" s="168"/>
      <c r="J93" s="168" t="s">
        <v>84</v>
      </c>
      <c r="K93" s="168" t="s">
        <v>84</v>
      </c>
      <c r="L93" s="168"/>
      <c r="M93" s="168"/>
      <c r="N93" s="210"/>
      <c r="O93" s="168"/>
      <c r="P93" s="210"/>
    </row>
    <row r="94" spans="1:16" ht="15.75">
      <c r="A94" s="164">
        <v>76</v>
      </c>
      <c r="B94" s="345">
        <v>42842</v>
      </c>
      <c r="C94" s="165" t="s">
        <v>89</v>
      </c>
      <c r="D94" s="164">
        <f t="shared" si="1"/>
        <v>1</v>
      </c>
      <c r="E94" s="164" t="s">
        <v>86</v>
      </c>
      <c r="F94" s="164" t="s">
        <v>106</v>
      </c>
      <c r="G94" s="164">
        <v>2</v>
      </c>
      <c r="H94" s="164" t="s">
        <v>26</v>
      </c>
      <c r="I94" s="208" t="s">
        <v>1787</v>
      </c>
      <c r="J94" s="164" t="s">
        <v>106</v>
      </c>
      <c r="K94" s="164" t="s">
        <v>84</v>
      </c>
      <c r="L94" s="164">
        <v>3</v>
      </c>
      <c r="M94" s="164" t="s">
        <v>34</v>
      </c>
      <c r="N94" s="208" t="s">
        <v>1830</v>
      </c>
      <c r="O94" s="164"/>
      <c r="P94" s="208"/>
    </row>
    <row r="95" spans="1:16" ht="15.75">
      <c r="A95" s="164">
        <v>77</v>
      </c>
      <c r="B95" s="345">
        <v>42843</v>
      </c>
      <c r="C95" s="165" t="s">
        <v>89</v>
      </c>
      <c r="D95" s="164">
        <f t="shared" si="1"/>
        <v>2</v>
      </c>
      <c r="E95" s="164" t="s">
        <v>87</v>
      </c>
      <c r="F95" s="164" t="s">
        <v>106</v>
      </c>
      <c r="G95" s="164">
        <v>2</v>
      </c>
      <c r="H95" s="164" t="s">
        <v>27</v>
      </c>
      <c r="I95" s="208" t="s">
        <v>1794</v>
      </c>
      <c r="J95" s="164" t="s">
        <v>106</v>
      </c>
      <c r="K95" s="164" t="s">
        <v>84</v>
      </c>
      <c r="L95" s="164">
        <v>3</v>
      </c>
      <c r="M95" s="164" t="s">
        <v>35</v>
      </c>
      <c r="N95" s="208" t="s">
        <v>1892</v>
      </c>
      <c r="O95" s="164"/>
      <c r="P95" s="208"/>
    </row>
    <row r="96" spans="1:16" ht="15.75">
      <c r="A96" s="164">
        <v>78</v>
      </c>
      <c r="B96" s="345">
        <v>42844</v>
      </c>
      <c r="C96" s="165" t="s">
        <v>89</v>
      </c>
      <c r="D96" s="164">
        <f t="shared" si="1"/>
        <v>3</v>
      </c>
      <c r="E96" s="164" t="s">
        <v>80</v>
      </c>
      <c r="F96" s="164" t="s">
        <v>106</v>
      </c>
      <c r="G96" s="164">
        <v>2</v>
      </c>
      <c r="H96" s="164" t="s">
        <v>28</v>
      </c>
      <c r="I96" s="208" t="s">
        <v>1603</v>
      </c>
      <c r="J96" s="164" t="s">
        <v>106</v>
      </c>
      <c r="K96" s="164" t="s">
        <v>84</v>
      </c>
      <c r="L96" s="164">
        <v>3</v>
      </c>
      <c r="M96" s="164" t="s">
        <v>36</v>
      </c>
      <c r="N96" s="208" t="s">
        <v>98</v>
      </c>
      <c r="O96" s="164"/>
      <c r="P96" s="208"/>
    </row>
    <row r="97" spans="1:16" ht="15.75">
      <c r="A97" s="164">
        <v>79</v>
      </c>
      <c r="B97" s="345">
        <v>42845</v>
      </c>
      <c r="C97" s="165" t="s">
        <v>89</v>
      </c>
      <c r="D97" s="164">
        <f t="shared" si="1"/>
        <v>4</v>
      </c>
      <c r="E97" s="164" t="s">
        <v>81</v>
      </c>
      <c r="F97" s="164" t="s">
        <v>106</v>
      </c>
      <c r="G97" s="164">
        <v>2</v>
      </c>
      <c r="H97" s="208" t="s">
        <v>11</v>
      </c>
      <c r="I97" s="208" t="s">
        <v>1815</v>
      </c>
      <c r="J97" s="164" t="s">
        <v>106</v>
      </c>
      <c r="K97" s="164" t="s">
        <v>84</v>
      </c>
      <c r="L97" s="164">
        <v>3</v>
      </c>
      <c r="M97" s="164" t="s">
        <v>37</v>
      </c>
      <c r="N97" s="208" t="s">
        <v>1893</v>
      </c>
      <c r="O97" s="164"/>
      <c r="P97" s="208"/>
    </row>
    <row r="98" spans="1:16" ht="15.75">
      <c r="A98" s="164">
        <v>80</v>
      </c>
      <c r="B98" s="345">
        <v>42846</v>
      </c>
      <c r="C98" s="165" t="s">
        <v>89</v>
      </c>
      <c r="D98" s="164">
        <f t="shared" si="1"/>
        <v>5</v>
      </c>
      <c r="E98" s="164" t="s">
        <v>82</v>
      </c>
      <c r="F98" s="164" t="s">
        <v>106</v>
      </c>
      <c r="G98" s="164">
        <v>3</v>
      </c>
      <c r="H98" s="208" t="s">
        <v>14</v>
      </c>
      <c r="I98" s="208" t="s">
        <v>1614</v>
      </c>
      <c r="J98" s="164" t="s">
        <v>106</v>
      </c>
      <c r="K98" s="164" t="s">
        <v>84</v>
      </c>
      <c r="L98" s="164">
        <v>3</v>
      </c>
      <c r="M98" s="164" t="s">
        <v>38</v>
      </c>
      <c r="N98" s="208" t="s">
        <v>1867</v>
      </c>
      <c r="O98" s="164"/>
      <c r="P98" s="208"/>
    </row>
    <row r="99" spans="1:16" ht="15.75">
      <c r="A99" s="164">
        <v>81</v>
      </c>
      <c r="B99" s="345">
        <v>42847</v>
      </c>
      <c r="C99" s="165" t="s">
        <v>89</v>
      </c>
      <c r="D99" s="164">
        <f t="shared" si="1"/>
        <v>6</v>
      </c>
      <c r="E99" s="164" t="s">
        <v>83</v>
      </c>
      <c r="F99" s="164" t="s">
        <v>84</v>
      </c>
      <c r="G99" s="164"/>
      <c r="H99" s="164"/>
      <c r="I99" s="164"/>
      <c r="J99" s="164" t="s">
        <v>84</v>
      </c>
      <c r="K99" s="164" t="s">
        <v>106</v>
      </c>
      <c r="L99" s="164">
        <v>3</v>
      </c>
      <c r="M99" s="164"/>
      <c r="N99" s="208"/>
      <c r="O99" s="164" t="s">
        <v>39</v>
      </c>
      <c r="P99" s="208" t="s">
        <v>98</v>
      </c>
    </row>
    <row r="100" spans="1:16" ht="15.75">
      <c r="A100" s="164">
        <v>82</v>
      </c>
      <c r="B100" s="345">
        <v>42848</v>
      </c>
      <c r="C100" s="165" t="s">
        <v>89</v>
      </c>
      <c r="D100" s="164">
        <f t="shared" si="1"/>
        <v>7</v>
      </c>
      <c r="E100" s="164" t="s">
        <v>85</v>
      </c>
      <c r="F100" s="164" t="s">
        <v>84</v>
      </c>
      <c r="G100" s="164"/>
      <c r="H100" s="164"/>
      <c r="I100" s="164"/>
      <c r="J100" s="164" t="s">
        <v>84</v>
      </c>
      <c r="K100" s="164" t="s">
        <v>84</v>
      </c>
      <c r="L100" s="164"/>
      <c r="M100" s="164"/>
      <c r="N100" s="208"/>
      <c r="O100" s="164"/>
      <c r="P100" s="208"/>
    </row>
    <row r="101" spans="1:16" ht="15.75">
      <c r="A101" s="164">
        <v>83</v>
      </c>
      <c r="B101" s="345">
        <v>42849</v>
      </c>
      <c r="C101" s="165" t="s">
        <v>89</v>
      </c>
      <c r="D101" s="164">
        <f t="shared" si="1"/>
        <v>1</v>
      </c>
      <c r="E101" s="164" t="s">
        <v>86</v>
      </c>
      <c r="F101" s="164" t="s">
        <v>106</v>
      </c>
      <c r="G101" s="164">
        <v>3</v>
      </c>
      <c r="H101" s="208" t="s">
        <v>15</v>
      </c>
      <c r="I101" s="208" t="s">
        <v>1635</v>
      </c>
      <c r="J101" s="164" t="s">
        <v>106</v>
      </c>
      <c r="K101" s="164" t="s">
        <v>84</v>
      </c>
      <c r="L101" s="164">
        <v>3</v>
      </c>
      <c r="M101" s="164" t="s">
        <v>40</v>
      </c>
      <c r="N101" s="208" t="s">
        <v>98</v>
      </c>
      <c r="O101" s="164"/>
      <c r="P101" s="208"/>
    </row>
    <row r="102" spans="1:16" ht="15.75">
      <c r="A102" s="164">
        <v>84</v>
      </c>
      <c r="B102" s="345">
        <v>42850</v>
      </c>
      <c r="C102" s="165" t="s">
        <v>89</v>
      </c>
      <c r="D102" s="164">
        <f t="shared" si="1"/>
        <v>2</v>
      </c>
      <c r="E102" s="164" t="s">
        <v>87</v>
      </c>
      <c r="F102" s="164" t="s">
        <v>106</v>
      </c>
      <c r="G102" s="164">
        <v>3</v>
      </c>
      <c r="H102" s="208" t="s">
        <v>16</v>
      </c>
      <c r="I102" s="208" t="s">
        <v>1619</v>
      </c>
      <c r="J102" s="164" t="s">
        <v>106</v>
      </c>
      <c r="K102" s="164" t="s">
        <v>84</v>
      </c>
      <c r="L102" s="164">
        <v>3</v>
      </c>
      <c r="M102" s="164" t="s">
        <v>41</v>
      </c>
      <c r="N102" s="208" t="s">
        <v>1878</v>
      </c>
      <c r="O102" s="164"/>
      <c r="P102" s="208"/>
    </row>
    <row r="103" spans="1:16" ht="15.75">
      <c r="A103" s="164">
        <v>85</v>
      </c>
      <c r="B103" s="345">
        <v>42851</v>
      </c>
      <c r="C103" s="165" t="s">
        <v>89</v>
      </c>
      <c r="D103" s="164">
        <f t="shared" si="1"/>
        <v>3</v>
      </c>
      <c r="E103" s="164" t="s">
        <v>80</v>
      </c>
      <c r="F103" s="164" t="s">
        <v>106</v>
      </c>
      <c r="G103" s="164">
        <v>3</v>
      </c>
      <c r="H103" s="208" t="s">
        <v>17</v>
      </c>
      <c r="I103" s="208" t="s">
        <v>1609</v>
      </c>
      <c r="J103" s="164" t="s">
        <v>106</v>
      </c>
      <c r="K103" s="164" t="s">
        <v>84</v>
      </c>
      <c r="L103" s="164">
        <v>3</v>
      </c>
      <c r="M103" s="164" t="s">
        <v>42</v>
      </c>
      <c r="N103" s="208" t="s">
        <v>1889</v>
      </c>
      <c r="O103" s="164"/>
      <c r="P103" s="208"/>
    </row>
    <row r="104" spans="1:16" ht="15.75">
      <c r="A104" s="164">
        <v>86</v>
      </c>
      <c r="B104" s="345">
        <v>42852</v>
      </c>
      <c r="C104" s="165" t="s">
        <v>89</v>
      </c>
      <c r="D104" s="164">
        <f t="shared" si="1"/>
        <v>4</v>
      </c>
      <c r="E104" s="164" t="s">
        <v>81</v>
      </c>
      <c r="F104" s="164" t="s">
        <v>106</v>
      </c>
      <c r="G104" s="164">
        <v>3</v>
      </c>
      <c r="H104" s="208" t="s">
        <v>18</v>
      </c>
      <c r="I104" s="208" t="s">
        <v>98</v>
      </c>
      <c r="J104" s="164" t="s">
        <v>106</v>
      </c>
      <c r="K104" s="164" t="s">
        <v>84</v>
      </c>
      <c r="L104" s="164">
        <v>3</v>
      </c>
      <c r="M104" s="164" t="s">
        <v>43</v>
      </c>
      <c r="N104" s="208" t="s">
        <v>1894</v>
      </c>
      <c r="O104" s="164"/>
      <c r="P104" s="208"/>
    </row>
    <row r="105" spans="1:16" ht="15.75">
      <c r="A105" s="164">
        <v>87</v>
      </c>
      <c r="B105" s="345">
        <v>42853</v>
      </c>
      <c r="C105" s="165" t="s">
        <v>89</v>
      </c>
      <c r="D105" s="164">
        <f t="shared" si="1"/>
        <v>5</v>
      </c>
      <c r="E105" s="164" t="s">
        <v>82</v>
      </c>
      <c r="F105" s="164" t="s">
        <v>106</v>
      </c>
      <c r="G105" s="164">
        <v>3</v>
      </c>
      <c r="H105" s="164" t="s">
        <v>19</v>
      </c>
      <c r="I105" s="208" t="s">
        <v>1624</v>
      </c>
      <c r="J105" s="164" t="s">
        <v>106</v>
      </c>
      <c r="K105" s="164" t="s">
        <v>84</v>
      </c>
      <c r="L105" s="164">
        <v>3</v>
      </c>
      <c r="M105" s="164" t="s">
        <v>44</v>
      </c>
      <c r="N105" s="208" t="s">
        <v>1880</v>
      </c>
      <c r="O105" s="164"/>
      <c r="P105" s="208"/>
    </row>
    <row r="106" spans="1:16" ht="15.75">
      <c r="A106" s="164">
        <v>88</v>
      </c>
      <c r="B106" s="345">
        <v>42854</v>
      </c>
      <c r="C106" s="165" t="s">
        <v>89</v>
      </c>
      <c r="D106" s="164">
        <f t="shared" si="1"/>
        <v>6</v>
      </c>
      <c r="E106" s="164" t="s">
        <v>83</v>
      </c>
      <c r="F106" s="164" t="s">
        <v>84</v>
      </c>
      <c r="G106" s="164"/>
      <c r="H106" s="164"/>
      <c r="I106" s="164"/>
      <c r="J106" s="164" t="s">
        <v>84</v>
      </c>
      <c r="K106" s="164" t="s">
        <v>106</v>
      </c>
      <c r="L106" s="164">
        <v>4</v>
      </c>
      <c r="M106" s="164"/>
      <c r="N106" s="208"/>
      <c r="O106" s="208" t="s">
        <v>29</v>
      </c>
      <c r="P106" s="208" t="s">
        <v>1895</v>
      </c>
    </row>
    <row r="107" spans="1:16" ht="15.75">
      <c r="A107" s="164">
        <v>89</v>
      </c>
      <c r="B107" s="345">
        <v>42855</v>
      </c>
      <c r="C107" s="165" t="s">
        <v>89</v>
      </c>
      <c r="D107" s="164">
        <f t="shared" si="1"/>
        <v>7</v>
      </c>
      <c r="E107" s="164" t="s">
        <v>85</v>
      </c>
      <c r="F107" s="164" t="s">
        <v>84</v>
      </c>
      <c r="G107" s="164"/>
      <c r="H107" s="164"/>
      <c r="I107" s="164"/>
      <c r="J107" s="164" t="s">
        <v>84</v>
      </c>
      <c r="K107" s="164" t="s">
        <v>84</v>
      </c>
      <c r="L107" s="164"/>
      <c r="M107" s="164"/>
      <c r="N107" s="208"/>
      <c r="O107" s="164"/>
      <c r="P107" s="208"/>
    </row>
    <row r="108" spans="1:16" ht="15.75">
      <c r="A108" s="166">
        <v>90</v>
      </c>
      <c r="B108" s="346">
        <v>42856</v>
      </c>
      <c r="C108" s="167" t="s">
        <v>91</v>
      </c>
      <c r="D108" s="166">
        <f t="shared" si="1"/>
        <v>1</v>
      </c>
      <c r="E108" s="166" t="s">
        <v>86</v>
      </c>
      <c r="F108" s="166" t="s">
        <v>84</v>
      </c>
      <c r="G108" s="166">
        <v>3</v>
      </c>
      <c r="H108" s="166" t="s">
        <v>1762</v>
      </c>
      <c r="I108" s="166"/>
      <c r="J108" s="166" t="s">
        <v>84</v>
      </c>
      <c r="K108" s="166" t="s">
        <v>84</v>
      </c>
      <c r="L108" s="166">
        <v>4</v>
      </c>
      <c r="M108" s="166" t="s">
        <v>1768</v>
      </c>
      <c r="N108" s="209"/>
      <c r="O108" s="166"/>
      <c r="P108" s="209"/>
    </row>
    <row r="109" spans="1:16" ht="15.75">
      <c r="A109" s="164">
        <v>91</v>
      </c>
      <c r="B109" s="345">
        <v>42857</v>
      </c>
      <c r="C109" s="165" t="s">
        <v>91</v>
      </c>
      <c r="D109" s="164">
        <f t="shared" si="1"/>
        <v>2</v>
      </c>
      <c r="E109" s="164" t="s">
        <v>87</v>
      </c>
      <c r="F109" s="164" t="s">
        <v>106</v>
      </c>
      <c r="G109" s="164">
        <v>3</v>
      </c>
      <c r="H109" s="208" t="s">
        <v>21</v>
      </c>
      <c r="I109" s="208" t="s">
        <v>98</v>
      </c>
      <c r="J109" s="164" t="s">
        <v>106</v>
      </c>
      <c r="K109" s="164" t="s">
        <v>84</v>
      </c>
      <c r="L109" s="164">
        <v>4</v>
      </c>
      <c r="M109" s="164" t="s">
        <v>32</v>
      </c>
      <c r="N109" s="208" t="s">
        <v>1896</v>
      </c>
      <c r="O109" s="164"/>
      <c r="P109" s="208"/>
    </row>
    <row r="110" spans="1:16" ht="15.75">
      <c r="A110" s="164">
        <v>92</v>
      </c>
      <c r="B110" s="345">
        <v>42858</v>
      </c>
      <c r="C110" s="165" t="s">
        <v>91</v>
      </c>
      <c r="D110" s="164">
        <f t="shared" si="1"/>
        <v>3</v>
      </c>
      <c r="E110" s="164" t="s">
        <v>80</v>
      </c>
      <c r="F110" s="164" t="s">
        <v>106</v>
      </c>
      <c r="G110" s="164">
        <v>3</v>
      </c>
      <c r="H110" s="208" t="s">
        <v>22</v>
      </c>
      <c r="I110" s="208" t="s">
        <v>1611</v>
      </c>
      <c r="J110" s="164" t="s">
        <v>106</v>
      </c>
      <c r="K110" s="164" t="s">
        <v>84</v>
      </c>
      <c r="L110" s="164">
        <v>4</v>
      </c>
      <c r="M110" s="164" t="s">
        <v>33</v>
      </c>
      <c r="N110" s="208" t="s">
        <v>1897</v>
      </c>
      <c r="O110" s="164"/>
      <c r="P110" s="208"/>
    </row>
    <row r="111" spans="1:16" ht="15.75">
      <c r="A111" s="164">
        <v>93</v>
      </c>
      <c r="B111" s="345">
        <v>42859</v>
      </c>
      <c r="C111" s="165" t="s">
        <v>91</v>
      </c>
      <c r="D111" s="164">
        <f t="shared" si="1"/>
        <v>4</v>
      </c>
      <c r="E111" s="164" t="s">
        <v>81</v>
      </c>
      <c r="F111" s="164" t="s">
        <v>106</v>
      </c>
      <c r="G111" s="164">
        <v>3</v>
      </c>
      <c r="H111" s="208" t="s">
        <v>23</v>
      </c>
      <c r="I111" s="208" t="s">
        <v>98</v>
      </c>
      <c r="J111" s="164" t="s">
        <v>106</v>
      </c>
      <c r="K111" s="164" t="s">
        <v>84</v>
      </c>
      <c r="L111" s="164">
        <v>4</v>
      </c>
      <c r="M111" s="164" t="s">
        <v>34</v>
      </c>
      <c r="N111" s="208" t="s">
        <v>1899</v>
      </c>
      <c r="O111" s="164"/>
      <c r="P111" s="208"/>
    </row>
    <row r="112" spans="1:16" ht="15.75">
      <c r="A112" s="164">
        <v>94</v>
      </c>
      <c r="B112" s="345">
        <v>42860</v>
      </c>
      <c r="C112" s="165" t="s">
        <v>91</v>
      </c>
      <c r="D112" s="164">
        <f t="shared" si="1"/>
        <v>5</v>
      </c>
      <c r="E112" s="164" t="s">
        <v>82</v>
      </c>
      <c r="F112" s="164" t="s">
        <v>106</v>
      </c>
      <c r="G112" s="164">
        <v>3</v>
      </c>
      <c r="H112" s="164" t="s">
        <v>24</v>
      </c>
      <c r="I112" s="208" t="s">
        <v>1786</v>
      </c>
      <c r="J112" s="164" t="s">
        <v>106</v>
      </c>
      <c r="K112" s="164" t="s">
        <v>84</v>
      </c>
      <c r="L112" s="164">
        <v>4</v>
      </c>
      <c r="M112" s="164" t="s">
        <v>35</v>
      </c>
      <c r="N112" s="208" t="s">
        <v>1831</v>
      </c>
      <c r="O112" s="164"/>
      <c r="P112" s="208"/>
    </row>
    <row r="113" spans="1:16" ht="15.75">
      <c r="A113" s="164">
        <v>95</v>
      </c>
      <c r="B113" s="345">
        <v>42861</v>
      </c>
      <c r="C113" s="165" t="s">
        <v>91</v>
      </c>
      <c r="D113" s="164">
        <f t="shared" si="1"/>
        <v>6</v>
      </c>
      <c r="E113" s="164" t="s">
        <v>83</v>
      </c>
      <c r="F113" s="164" t="s">
        <v>84</v>
      </c>
      <c r="G113" s="164"/>
      <c r="H113" s="164"/>
      <c r="I113" s="164"/>
      <c r="J113" s="164" t="s">
        <v>84</v>
      </c>
      <c r="K113" s="164" t="s">
        <v>106</v>
      </c>
      <c r="L113" s="164">
        <v>4</v>
      </c>
      <c r="M113" s="164"/>
      <c r="N113" s="208"/>
      <c r="O113" s="164" t="s">
        <v>36</v>
      </c>
      <c r="P113" s="208" t="s">
        <v>98</v>
      </c>
    </row>
    <row r="114" spans="1:16" ht="15.75">
      <c r="A114" s="164">
        <v>96</v>
      </c>
      <c r="B114" s="345">
        <v>42862</v>
      </c>
      <c r="C114" s="165" t="s">
        <v>91</v>
      </c>
      <c r="D114" s="164">
        <f t="shared" si="1"/>
        <v>7</v>
      </c>
      <c r="E114" s="164" t="s">
        <v>85</v>
      </c>
      <c r="F114" s="164" t="s">
        <v>84</v>
      </c>
      <c r="G114" s="164"/>
      <c r="H114" s="164"/>
      <c r="I114" s="164"/>
      <c r="J114" s="164" t="s">
        <v>84</v>
      </c>
      <c r="K114" s="164" t="s">
        <v>84</v>
      </c>
      <c r="L114" s="164"/>
      <c r="M114" s="164"/>
      <c r="N114" s="208"/>
      <c r="O114" s="164"/>
      <c r="P114" s="208"/>
    </row>
    <row r="115" spans="1:16" ht="15.75">
      <c r="A115" s="164">
        <v>97</v>
      </c>
      <c r="B115" s="345">
        <v>42863</v>
      </c>
      <c r="C115" s="165" t="s">
        <v>91</v>
      </c>
      <c r="D115" s="164">
        <f t="shared" si="1"/>
        <v>1</v>
      </c>
      <c r="E115" s="164" t="s">
        <v>86</v>
      </c>
      <c r="F115" s="164" t="s">
        <v>106</v>
      </c>
      <c r="G115" s="164">
        <v>3</v>
      </c>
      <c r="H115" s="208" t="s">
        <v>25</v>
      </c>
      <c r="I115" s="208" t="s">
        <v>1634</v>
      </c>
      <c r="J115" s="164" t="s">
        <v>106</v>
      </c>
      <c r="K115" s="164" t="s">
        <v>84</v>
      </c>
      <c r="L115" s="164">
        <v>4</v>
      </c>
      <c r="M115" s="164" t="s">
        <v>37</v>
      </c>
      <c r="N115" s="208" t="s">
        <v>1875</v>
      </c>
      <c r="O115" s="164"/>
      <c r="P115" s="208"/>
    </row>
    <row r="116" spans="1:16" ht="15.75">
      <c r="A116" s="164">
        <v>98</v>
      </c>
      <c r="B116" s="345">
        <v>42864</v>
      </c>
      <c r="C116" s="165" t="s">
        <v>91</v>
      </c>
      <c r="D116" s="164">
        <f t="shared" si="1"/>
        <v>2</v>
      </c>
      <c r="E116" s="164" t="s">
        <v>87</v>
      </c>
      <c r="F116" s="164" t="s">
        <v>106</v>
      </c>
      <c r="G116" s="164">
        <v>3</v>
      </c>
      <c r="H116" s="208" t="s">
        <v>26</v>
      </c>
      <c r="I116" s="208" t="s">
        <v>1787</v>
      </c>
      <c r="J116" s="164" t="s">
        <v>106</v>
      </c>
      <c r="K116" s="164" t="s">
        <v>84</v>
      </c>
      <c r="L116" s="164">
        <v>4</v>
      </c>
      <c r="M116" s="164" t="s">
        <v>38</v>
      </c>
      <c r="N116" s="208" t="s">
        <v>1900</v>
      </c>
      <c r="O116" s="164"/>
      <c r="P116" s="208"/>
    </row>
    <row r="117" spans="1:16" ht="15.75">
      <c r="A117" s="164">
        <v>99</v>
      </c>
      <c r="B117" s="345">
        <v>42865</v>
      </c>
      <c r="C117" s="165" t="s">
        <v>91</v>
      </c>
      <c r="D117" s="164">
        <f t="shared" si="1"/>
        <v>3</v>
      </c>
      <c r="E117" s="164" t="s">
        <v>80</v>
      </c>
      <c r="F117" s="164" t="s">
        <v>106</v>
      </c>
      <c r="G117" s="164">
        <v>3</v>
      </c>
      <c r="H117" s="208" t="s">
        <v>27</v>
      </c>
      <c r="I117" s="208" t="s">
        <v>1794</v>
      </c>
      <c r="J117" s="164" t="s">
        <v>106</v>
      </c>
      <c r="K117" s="164" t="s">
        <v>84</v>
      </c>
      <c r="L117" s="164">
        <v>4</v>
      </c>
      <c r="M117" s="164" t="s">
        <v>39</v>
      </c>
      <c r="N117" s="208" t="s">
        <v>98</v>
      </c>
      <c r="O117" s="164"/>
      <c r="P117" s="208"/>
    </row>
    <row r="118" spans="1:16" ht="15.75">
      <c r="A118" s="164">
        <v>100</v>
      </c>
      <c r="B118" s="345">
        <v>42866</v>
      </c>
      <c r="C118" s="165" t="s">
        <v>91</v>
      </c>
      <c r="D118" s="164">
        <f t="shared" si="1"/>
        <v>4</v>
      </c>
      <c r="E118" s="164" t="s">
        <v>81</v>
      </c>
      <c r="F118" s="164" t="s">
        <v>106</v>
      </c>
      <c r="G118" s="164">
        <v>3</v>
      </c>
      <c r="H118" s="208" t="s">
        <v>28</v>
      </c>
      <c r="I118" s="208" t="s">
        <v>1775</v>
      </c>
      <c r="J118" s="164" t="s">
        <v>106</v>
      </c>
      <c r="K118" s="164" t="s">
        <v>84</v>
      </c>
      <c r="L118" s="164">
        <v>4</v>
      </c>
      <c r="M118" s="164" t="s">
        <v>40</v>
      </c>
      <c r="N118" s="208" t="s">
        <v>98</v>
      </c>
      <c r="O118" s="164"/>
      <c r="P118" s="208"/>
    </row>
    <row r="119" spans="1:16" ht="15.75">
      <c r="A119" s="164">
        <v>101</v>
      </c>
      <c r="B119" s="345">
        <v>42867</v>
      </c>
      <c r="C119" s="165" t="s">
        <v>91</v>
      </c>
      <c r="D119" s="164">
        <f t="shared" si="1"/>
        <v>5</v>
      </c>
      <c r="E119" s="164" t="s">
        <v>82</v>
      </c>
      <c r="F119" s="164" t="s">
        <v>106</v>
      </c>
      <c r="G119" s="164">
        <v>3</v>
      </c>
      <c r="H119" s="164" t="s">
        <v>12</v>
      </c>
      <c r="I119" s="208" t="s">
        <v>1613</v>
      </c>
      <c r="J119" s="164" t="s">
        <v>106</v>
      </c>
      <c r="K119" s="164" t="s">
        <v>84</v>
      </c>
      <c r="L119" s="164">
        <v>4</v>
      </c>
      <c r="M119" s="164" t="s">
        <v>41</v>
      </c>
      <c r="N119" s="208" t="s">
        <v>1901</v>
      </c>
      <c r="O119" s="164"/>
      <c r="P119" s="208"/>
    </row>
    <row r="120" spans="1:16" ht="15.75">
      <c r="A120" s="164">
        <v>102</v>
      </c>
      <c r="B120" s="345">
        <v>42868</v>
      </c>
      <c r="C120" s="165" t="s">
        <v>91</v>
      </c>
      <c r="D120" s="164">
        <f t="shared" si="1"/>
        <v>6</v>
      </c>
      <c r="E120" s="164" t="s">
        <v>83</v>
      </c>
      <c r="F120" s="164" t="s">
        <v>84</v>
      </c>
      <c r="G120" s="164"/>
      <c r="H120" s="164"/>
      <c r="I120" s="164"/>
      <c r="J120" s="164" t="s">
        <v>84</v>
      </c>
      <c r="K120" s="164" t="s">
        <v>106</v>
      </c>
      <c r="L120" s="164">
        <v>4</v>
      </c>
      <c r="M120" s="164"/>
      <c r="N120" s="208"/>
      <c r="O120" s="164" t="s">
        <v>42</v>
      </c>
      <c r="P120" s="208" t="s">
        <v>1902</v>
      </c>
    </row>
    <row r="121" spans="1:16" ht="15.75">
      <c r="A121" s="164">
        <v>103</v>
      </c>
      <c r="B121" s="345">
        <v>42869</v>
      </c>
      <c r="C121" s="165" t="s">
        <v>91</v>
      </c>
      <c r="D121" s="164">
        <f t="shared" si="1"/>
        <v>7</v>
      </c>
      <c r="E121" s="164" t="s">
        <v>85</v>
      </c>
      <c r="F121" s="164" t="s">
        <v>84</v>
      </c>
      <c r="G121" s="164"/>
      <c r="H121" s="164"/>
      <c r="I121" s="208"/>
      <c r="J121" s="164" t="s">
        <v>84</v>
      </c>
      <c r="K121" s="164" t="s">
        <v>84</v>
      </c>
      <c r="L121" s="164"/>
      <c r="M121" s="164"/>
      <c r="N121" s="208"/>
      <c r="O121" s="164"/>
      <c r="P121" s="208"/>
    </row>
    <row r="122" spans="1:16" ht="15.75">
      <c r="A122" s="164">
        <v>104</v>
      </c>
      <c r="B122" s="345">
        <v>42870</v>
      </c>
      <c r="C122" s="165" t="s">
        <v>91</v>
      </c>
      <c r="D122" s="164">
        <f t="shared" si="1"/>
        <v>1</v>
      </c>
      <c r="E122" s="164" t="s">
        <v>86</v>
      </c>
      <c r="F122" s="164" t="s">
        <v>106</v>
      </c>
      <c r="G122" s="164">
        <v>4</v>
      </c>
      <c r="H122" s="208" t="s">
        <v>14</v>
      </c>
      <c r="I122" s="208" t="s">
        <v>1819</v>
      </c>
      <c r="J122" s="164" t="s">
        <v>106</v>
      </c>
      <c r="K122" s="164" t="s">
        <v>84</v>
      </c>
      <c r="L122" s="164">
        <v>4</v>
      </c>
      <c r="M122" s="164" t="s">
        <v>43</v>
      </c>
      <c r="N122" s="208" t="s">
        <v>1879</v>
      </c>
      <c r="O122" s="164"/>
      <c r="P122" s="208"/>
    </row>
    <row r="123" spans="1:16" ht="15.75">
      <c r="A123" s="164">
        <v>105</v>
      </c>
      <c r="B123" s="345">
        <v>42871</v>
      </c>
      <c r="C123" s="165" t="s">
        <v>91</v>
      </c>
      <c r="D123" s="164">
        <f t="shared" si="1"/>
        <v>2</v>
      </c>
      <c r="E123" s="164" t="s">
        <v>87</v>
      </c>
      <c r="F123" s="164" t="s">
        <v>106</v>
      </c>
      <c r="G123" s="164">
        <v>4</v>
      </c>
      <c r="H123" s="208" t="s">
        <v>15</v>
      </c>
      <c r="I123" s="208" t="s">
        <v>1818</v>
      </c>
      <c r="J123" s="164" t="s">
        <v>106</v>
      </c>
      <c r="K123" s="164" t="s">
        <v>84</v>
      </c>
      <c r="L123" s="164">
        <v>4</v>
      </c>
      <c r="M123" s="164" t="s">
        <v>44</v>
      </c>
      <c r="N123" s="208" t="s">
        <v>1903</v>
      </c>
      <c r="O123" s="164"/>
      <c r="P123" s="208"/>
    </row>
    <row r="124" spans="1:16" ht="15.75">
      <c r="A124" s="164">
        <v>106</v>
      </c>
      <c r="B124" s="345">
        <v>42872</v>
      </c>
      <c r="C124" s="165" t="s">
        <v>91</v>
      </c>
      <c r="D124" s="164">
        <f t="shared" si="1"/>
        <v>3</v>
      </c>
      <c r="E124" s="164" t="s">
        <v>80</v>
      </c>
      <c r="F124" s="164" t="s">
        <v>106</v>
      </c>
      <c r="G124" s="164">
        <v>4</v>
      </c>
      <c r="H124" s="208" t="s">
        <v>16</v>
      </c>
      <c r="I124" s="208" t="s">
        <v>1796</v>
      </c>
      <c r="J124" s="164" t="s">
        <v>106</v>
      </c>
      <c r="K124" s="164" t="s">
        <v>84</v>
      </c>
      <c r="L124" s="164">
        <v>5</v>
      </c>
      <c r="M124" s="208" t="s">
        <v>29</v>
      </c>
      <c r="N124" s="208" t="s">
        <v>1848</v>
      </c>
      <c r="O124" s="164"/>
      <c r="P124" s="208"/>
    </row>
    <row r="125" spans="1:16" ht="15.75">
      <c r="A125" s="164">
        <v>107</v>
      </c>
      <c r="B125" s="345">
        <v>42873</v>
      </c>
      <c r="C125" s="165" t="s">
        <v>91</v>
      </c>
      <c r="D125" s="164">
        <f t="shared" si="1"/>
        <v>4</v>
      </c>
      <c r="E125" s="164" t="s">
        <v>81</v>
      </c>
      <c r="F125" s="164" t="s">
        <v>106</v>
      </c>
      <c r="G125" s="164">
        <v>4</v>
      </c>
      <c r="H125" s="208" t="s">
        <v>17</v>
      </c>
      <c r="I125" s="208" t="s">
        <v>1600</v>
      </c>
      <c r="J125" s="164" t="s">
        <v>106</v>
      </c>
      <c r="K125" s="164" t="s">
        <v>84</v>
      </c>
      <c r="L125" s="164">
        <v>5</v>
      </c>
      <c r="M125" s="164" t="s">
        <v>31</v>
      </c>
      <c r="N125" s="208" t="s">
        <v>1905</v>
      </c>
      <c r="O125" s="164"/>
      <c r="P125" s="208"/>
    </row>
    <row r="126" spans="1:16" ht="15.75">
      <c r="A126" s="164">
        <v>108</v>
      </c>
      <c r="B126" s="345">
        <v>42874</v>
      </c>
      <c r="C126" s="165" t="s">
        <v>91</v>
      </c>
      <c r="D126" s="164">
        <f t="shared" si="1"/>
        <v>5</v>
      </c>
      <c r="E126" s="164" t="s">
        <v>82</v>
      </c>
      <c r="F126" s="164" t="s">
        <v>106</v>
      </c>
      <c r="G126" s="164">
        <v>4</v>
      </c>
      <c r="H126" s="164" t="s">
        <v>18</v>
      </c>
      <c r="I126" s="208" t="s">
        <v>98</v>
      </c>
      <c r="J126" s="164" t="s">
        <v>106</v>
      </c>
      <c r="K126" s="164" t="s">
        <v>84</v>
      </c>
      <c r="L126" s="164">
        <v>5</v>
      </c>
      <c r="M126" s="164" t="s">
        <v>32</v>
      </c>
      <c r="N126" s="208" t="s">
        <v>1906</v>
      </c>
      <c r="O126" s="164"/>
      <c r="P126" s="208"/>
    </row>
    <row r="127" spans="1:16" ht="15.75">
      <c r="A127" s="164">
        <v>109</v>
      </c>
      <c r="B127" s="345">
        <v>42875</v>
      </c>
      <c r="C127" s="165" t="s">
        <v>91</v>
      </c>
      <c r="D127" s="164">
        <f t="shared" si="1"/>
        <v>6</v>
      </c>
      <c r="E127" s="164" t="s">
        <v>83</v>
      </c>
      <c r="F127" s="164" t="s">
        <v>84</v>
      </c>
      <c r="G127" s="164"/>
      <c r="H127" s="164"/>
      <c r="I127" s="164"/>
      <c r="J127" s="164" t="s">
        <v>84</v>
      </c>
      <c r="K127" s="164" t="s">
        <v>106</v>
      </c>
      <c r="L127" s="164">
        <v>5</v>
      </c>
      <c r="M127" s="164"/>
      <c r="N127" s="208"/>
      <c r="O127" s="164" t="s">
        <v>33</v>
      </c>
      <c r="P127" s="208" t="s">
        <v>1861</v>
      </c>
    </row>
    <row r="128" spans="1:16" ht="15.75">
      <c r="A128" s="164">
        <v>110</v>
      </c>
      <c r="B128" s="345">
        <v>42876</v>
      </c>
      <c r="C128" s="165" t="s">
        <v>91</v>
      </c>
      <c r="D128" s="164">
        <f t="shared" si="1"/>
        <v>7</v>
      </c>
      <c r="E128" s="164" t="s">
        <v>85</v>
      </c>
      <c r="F128" s="164" t="s">
        <v>84</v>
      </c>
      <c r="G128" s="164"/>
      <c r="H128" s="164"/>
      <c r="I128" s="164"/>
      <c r="J128" s="164" t="s">
        <v>84</v>
      </c>
      <c r="K128" s="164" t="s">
        <v>84</v>
      </c>
      <c r="L128" s="164"/>
      <c r="M128" s="164"/>
      <c r="N128" s="208"/>
      <c r="O128" s="164"/>
      <c r="P128" s="208"/>
    </row>
    <row r="129" spans="1:16" ht="15.75">
      <c r="A129" s="164">
        <v>111</v>
      </c>
      <c r="B129" s="345">
        <v>42877</v>
      </c>
      <c r="C129" s="165" t="s">
        <v>91</v>
      </c>
      <c r="D129" s="164">
        <f t="shared" si="1"/>
        <v>1</v>
      </c>
      <c r="E129" s="164" t="s">
        <v>86</v>
      </c>
      <c r="F129" s="164" t="s">
        <v>106</v>
      </c>
      <c r="G129" s="164">
        <v>4</v>
      </c>
      <c r="H129" s="208" t="s">
        <v>19</v>
      </c>
      <c r="I129" s="208" t="s">
        <v>1605</v>
      </c>
      <c r="J129" s="164" t="s">
        <v>106</v>
      </c>
      <c r="K129" s="164" t="s">
        <v>84</v>
      </c>
      <c r="L129" s="164">
        <v>5</v>
      </c>
      <c r="M129" s="164" t="s">
        <v>34</v>
      </c>
      <c r="N129" s="208" t="s">
        <v>1862</v>
      </c>
      <c r="O129" s="164"/>
      <c r="P129" s="208"/>
    </row>
    <row r="130" spans="1:16" ht="15.75">
      <c r="A130" s="164">
        <v>112</v>
      </c>
      <c r="B130" s="345">
        <v>42878</v>
      </c>
      <c r="C130" s="165" t="s">
        <v>91</v>
      </c>
      <c r="D130" s="164">
        <f t="shared" si="1"/>
        <v>2</v>
      </c>
      <c r="E130" s="164" t="s">
        <v>87</v>
      </c>
      <c r="F130" s="164" t="s">
        <v>106</v>
      </c>
      <c r="G130" s="164">
        <v>4</v>
      </c>
      <c r="H130" s="208" t="s">
        <v>20</v>
      </c>
      <c r="I130" s="208" t="s">
        <v>1620</v>
      </c>
      <c r="J130" s="164" t="s">
        <v>106</v>
      </c>
      <c r="K130" s="164" t="s">
        <v>84</v>
      </c>
      <c r="L130" s="164">
        <v>5</v>
      </c>
      <c r="M130" s="164" t="s">
        <v>35</v>
      </c>
      <c r="N130" s="208" t="s">
        <v>1832</v>
      </c>
      <c r="O130" s="164"/>
      <c r="P130" s="208"/>
    </row>
    <row r="131" spans="1:16" ht="15.75">
      <c r="A131" s="164">
        <v>113</v>
      </c>
      <c r="B131" s="345">
        <v>42879</v>
      </c>
      <c r="C131" s="165" t="s">
        <v>91</v>
      </c>
      <c r="D131" s="164">
        <f t="shared" si="1"/>
        <v>3</v>
      </c>
      <c r="E131" s="164" t="s">
        <v>80</v>
      </c>
      <c r="F131" s="164" t="s">
        <v>106</v>
      </c>
      <c r="G131" s="164">
        <v>4</v>
      </c>
      <c r="H131" s="208" t="s">
        <v>21</v>
      </c>
      <c r="I131" s="208" t="s">
        <v>98</v>
      </c>
      <c r="J131" s="164" t="s">
        <v>106</v>
      </c>
      <c r="K131" s="164" t="s">
        <v>84</v>
      </c>
      <c r="L131" s="164">
        <v>5</v>
      </c>
      <c r="M131" s="164" t="s">
        <v>36</v>
      </c>
      <c r="N131" s="208" t="s">
        <v>98</v>
      </c>
      <c r="O131" s="164"/>
      <c r="P131" s="208"/>
    </row>
    <row r="132" spans="1:16" ht="15.75">
      <c r="A132" s="164">
        <v>114</v>
      </c>
      <c r="B132" s="345">
        <v>42880</v>
      </c>
      <c r="C132" s="165" t="s">
        <v>91</v>
      </c>
      <c r="D132" s="164">
        <f t="shared" si="1"/>
        <v>4</v>
      </c>
      <c r="E132" s="164" t="s">
        <v>81</v>
      </c>
      <c r="F132" s="164" t="s">
        <v>106</v>
      </c>
      <c r="G132" s="164">
        <v>4</v>
      </c>
      <c r="H132" s="208" t="s">
        <v>22</v>
      </c>
      <c r="I132" s="208" t="s">
        <v>1795</v>
      </c>
      <c r="J132" s="164" t="s">
        <v>106</v>
      </c>
      <c r="K132" s="164" t="s">
        <v>84</v>
      </c>
      <c r="L132" s="164">
        <v>5</v>
      </c>
      <c r="M132" s="164" t="s">
        <v>37</v>
      </c>
      <c r="N132" s="208" t="s">
        <v>1844</v>
      </c>
      <c r="O132" s="164"/>
      <c r="P132" s="208"/>
    </row>
    <row r="133" spans="1:16" ht="15.75">
      <c r="A133" s="164">
        <v>115</v>
      </c>
      <c r="B133" s="345">
        <v>42881</v>
      </c>
      <c r="C133" s="165" t="s">
        <v>91</v>
      </c>
      <c r="D133" s="164">
        <f t="shared" si="1"/>
        <v>5</v>
      </c>
      <c r="E133" s="164" t="s">
        <v>82</v>
      </c>
      <c r="F133" s="164" t="s">
        <v>106</v>
      </c>
      <c r="G133" s="164">
        <v>4</v>
      </c>
      <c r="H133" s="164" t="s">
        <v>23</v>
      </c>
      <c r="I133" s="208" t="s">
        <v>98</v>
      </c>
      <c r="J133" s="164" t="s">
        <v>106</v>
      </c>
      <c r="K133" s="164" t="s">
        <v>84</v>
      </c>
      <c r="L133" s="164">
        <v>5</v>
      </c>
      <c r="M133" s="164" t="s">
        <v>38</v>
      </c>
      <c r="N133" s="208" t="s">
        <v>1864</v>
      </c>
      <c r="O133" s="164"/>
      <c r="P133" s="208"/>
    </row>
    <row r="134" spans="1:16" ht="15.75">
      <c r="A134" s="164">
        <v>116</v>
      </c>
      <c r="B134" s="345">
        <v>42882</v>
      </c>
      <c r="C134" s="165" t="s">
        <v>91</v>
      </c>
      <c r="D134" s="164">
        <f t="shared" si="1"/>
        <v>6</v>
      </c>
      <c r="E134" s="164" t="s">
        <v>83</v>
      </c>
      <c r="F134" s="164" t="s">
        <v>84</v>
      </c>
      <c r="G134" s="164"/>
      <c r="H134" s="164"/>
      <c r="I134" s="164"/>
      <c r="J134" s="164" t="s">
        <v>84</v>
      </c>
      <c r="K134" s="164" t="s">
        <v>106</v>
      </c>
      <c r="L134" s="164">
        <v>5</v>
      </c>
      <c r="M134" s="164"/>
      <c r="N134" s="208"/>
      <c r="O134" s="164" t="s">
        <v>39</v>
      </c>
      <c r="P134" s="208" t="s">
        <v>98</v>
      </c>
    </row>
    <row r="135" spans="1:16" ht="15.75">
      <c r="A135" s="164">
        <v>117</v>
      </c>
      <c r="B135" s="345">
        <v>42883</v>
      </c>
      <c r="C135" s="165" t="s">
        <v>91</v>
      </c>
      <c r="D135" s="164">
        <f t="shared" si="1"/>
        <v>7</v>
      </c>
      <c r="E135" s="164" t="s">
        <v>85</v>
      </c>
      <c r="F135" s="164" t="s">
        <v>84</v>
      </c>
      <c r="G135" s="164"/>
      <c r="H135" s="164"/>
      <c r="I135" s="164"/>
      <c r="J135" s="164" t="s">
        <v>84</v>
      </c>
      <c r="K135" s="164" t="s">
        <v>84</v>
      </c>
      <c r="L135" s="164"/>
      <c r="M135" s="164"/>
      <c r="N135" s="208"/>
      <c r="O135" s="164"/>
      <c r="P135" s="208"/>
    </row>
    <row r="136" spans="1:16" ht="15.75">
      <c r="A136" s="166">
        <v>118</v>
      </c>
      <c r="B136" s="346">
        <v>42884</v>
      </c>
      <c r="C136" s="167" t="s">
        <v>91</v>
      </c>
      <c r="D136" s="166">
        <f t="shared" si="1"/>
        <v>1</v>
      </c>
      <c r="E136" s="166" t="s">
        <v>86</v>
      </c>
      <c r="F136" s="166" t="s">
        <v>84</v>
      </c>
      <c r="G136" s="166">
        <v>4</v>
      </c>
      <c r="H136" s="166" t="s">
        <v>1763</v>
      </c>
      <c r="I136" s="166"/>
      <c r="J136" s="166" t="s">
        <v>84</v>
      </c>
      <c r="K136" s="166" t="s">
        <v>84</v>
      </c>
      <c r="L136" s="166">
        <v>5</v>
      </c>
      <c r="M136" s="166" t="s">
        <v>122</v>
      </c>
      <c r="N136" s="209"/>
      <c r="O136" s="166"/>
      <c r="P136" s="209"/>
    </row>
    <row r="137" spans="1:16" ht="15.75">
      <c r="A137" s="164">
        <v>119</v>
      </c>
      <c r="B137" s="345">
        <v>42885</v>
      </c>
      <c r="C137" s="165" t="s">
        <v>91</v>
      </c>
      <c r="D137" s="164">
        <f t="shared" si="1"/>
        <v>2</v>
      </c>
      <c r="E137" s="164" t="s">
        <v>87</v>
      </c>
      <c r="F137" s="164" t="s">
        <v>106</v>
      </c>
      <c r="G137" s="164">
        <v>4</v>
      </c>
      <c r="H137" s="208" t="s">
        <v>25</v>
      </c>
      <c r="I137" s="208" t="s">
        <v>1602</v>
      </c>
      <c r="J137" s="164" t="s">
        <v>106</v>
      </c>
      <c r="K137" s="164" t="s">
        <v>84</v>
      </c>
      <c r="L137" s="164">
        <v>5</v>
      </c>
      <c r="M137" s="164" t="s">
        <v>41</v>
      </c>
      <c r="N137" s="208" t="s">
        <v>1839</v>
      </c>
      <c r="O137" s="164"/>
      <c r="P137" s="208"/>
    </row>
    <row r="138" spans="1:16" ht="15.75">
      <c r="A138" s="164">
        <v>120</v>
      </c>
      <c r="B138" s="345">
        <v>42886</v>
      </c>
      <c r="C138" s="165" t="s">
        <v>91</v>
      </c>
      <c r="D138" s="164">
        <f t="shared" si="1"/>
        <v>3</v>
      </c>
      <c r="E138" s="164" t="s">
        <v>80</v>
      </c>
      <c r="F138" s="164" t="s">
        <v>106</v>
      </c>
      <c r="G138" s="164">
        <v>4</v>
      </c>
      <c r="H138" s="208" t="s">
        <v>26</v>
      </c>
      <c r="I138" s="208" t="s">
        <v>1792</v>
      </c>
      <c r="J138" s="164" t="s">
        <v>106</v>
      </c>
      <c r="K138" s="164" t="s">
        <v>84</v>
      </c>
      <c r="L138" s="164">
        <v>5</v>
      </c>
      <c r="M138" s="164" t="s">
        <v>42</v>
      </c>
      <c r="N138" s="208" t="s">
        <v>1887</v>
      </c>
      <c r="O138" s="164"/>
      <c r="P138" s="208"/>
    </row>
    <row r="139" spans="1:16" ht="15.75">
      <c r="A139" s="164">
        <v>121</v>
      </c>
      <c r="B139" s="345">
        <v>42887</v>
      </c>
      <c r="C139" s="165" t="s">
        <v>92</v>
      </c>
      <c r="D139" s="164">
        <f t="shared" si="1"/>
        <v>4</v>
      </c>
      <c r="E139" s="164" t="s">
        <v>81</v>
      </c>
      <c r="F139" s="164" t="s">
        <v>106</v>
      </c>
      <c r="G139" s="164">
        <v>4</v>
      </c>
      <c r="H139" s="208" t="s">
        <v>27</v>
      </c>
      <c r="I139" s="208" t="s">
        <v>1612</v>
      </c>
      <c r="J139" s="164" t="s">
        <v>106</v>
      </c>
      <c r="K139" s="164" t="s">
        <v>84</v>
      </c>
      <c r="L139" s="164">
        <v>5</v>
      </c>
      <c r="M139" s="164" t="s">
        <v>43</v>
      </c>
      <c r="N139" s="208" t="s">
        <v>1879</v>
      </c>
      <c r="O139" s="164"/>
      <c r="P139" s="208"/>
    </row>
    <row r="140" spans="1:16" ht="15.75">
      <c r="A140" s="164">
        <v>122</v>
      </c>
      <c r="B140" s="345">
        <v>42888</v>
      </c>
      <c r="C140" s="165" t="s">
        <v>92</v>
      </c>
      <c r="D140" s="164">
        <f t="shared" si="1"/>
        <v>5</v>
      </c>
      <c r="E140" s="164" t="s">
        <v>82</v>
      </c>
      <c r="F140" s="164" t="s">
        <v>106</v>
      </c>
      <c r="G140" s="164">
        <v>4</v>
      </c>
      <c r="H140" s="164" t="s">
        <v>28</v>
      </c>
      <c r="I140" s="208" t="s">
        <v>1607</v>
      </c>
      <c r="J140" s="164" t="s">
        <v>106</v>
      </c>
      <c r="K140" s="164" t="s">
        <v>84</v>
      </c>
      <c r="L140" s="164">
        <v>5</v>
      </c>
      <c r="M140" s="164" t="s">
        <v>44</v>
      </c>
      <c r="N140" s="208" t="s">
        <v>1883</v>
      </c>
      <c r="O140" s="164"/>
      <c r="P140" s="208"/>
    </row>
    <row r="141" spans="1:16" ht="15.75">
      <c r="A141" s="164">
        <v>123</v>
      </c>
      <c r="B141" s="345">
        <v>42889</v>
      </c>
      <c r="C141" s="165" t="s">
        <v>92</v>
      </c>
      <c r="D141" s="164">
        <f t="shared" si="1"/>
        <v>6</v>
      </c>
      <c r="E141" s="164" t="s">
        <v>83</v>
      </c>
      <c r="F141" s="164" t="s">
        <v>84</v>
      </c>
      <c r="G141" s="164"/>
      <c r="H141" s="164"/>
      <c r="I141" s="164"/>
      <c r="J141" s="164" t="s">
        <v>84</v>
      </c>
      <c r="K141" s="164" t="s">
        <v>106</v>
      </c>
      <c r="L141" s="164">
        <v>6</v>
      </c>
      <c r="M141" s="164"/>
      <c r="N141" s="208"/>
      <c r="O141" s="208" t="s">
        <v>29</v>
      </c>
      <c r="P141" s="208" t="s">
        <v>1859</v>
      </c>
    </row>
    <row r="142" spans="1:16" ht="15.75">
      <c r="A142" s="164">
        <v>124</v>
      </c>
      <c r="B142" s="345">
        <v>42890</v>
      </c>
      <c r="C142" s="165" t="s">
        <v>92</v>
      </c>
      <c r="D142" s="164">
        <f t="shared" si="1"/>
        <v>7</v>
      </c>
      <c r="E142" s="164" t="s">
        <v>85</v>
      </c>
      <c r="F142" s="164" t="s">
        <v>84</v>
      </c>
      <c r="G142" s="164"/>
      <c r="H142" s="164"/>
      <c r="I142" s="164"/>
      <c r="J142" s="164" t="s">
        <v>84</v>
      </c>
      <c r="K142" s="164" t="s">
        <v>84</v>
      </c>
      <c r="L142" s="164"/>
      <c r="M142" s="164"/>
      <c r="N142" s="208"/>
      <c r="O142" s="164"/>
      <c r="P142" s="208"/>
    </row>
    <row r="143" spans="1:16" ht="15.75">
      <c r="A143" s="164">
        <v>125</v>
      </c>
      <c r="B143" s="345">
        <v>42891</v>
      </c>
      <c r="C143" s="165" t="s">
        <v>92</v>
      </c>
      <c r="D143" s="164">
        <f t="shared" si="1"/>
        <v>1</v>
      </c>
      <c r="E143" s="164" t="s">
        <v>86</v>
      </c>
      <c r="F143" s="164" t="s">
        <v>106</v>
      </c>
      <c r="G143" s="164">
        <v>4</v>
      </c>
      <c r="H143" s="208" t="s">
        <v>10</v>
      </c>
      <c r="I143" s="208" t="s">
        <v>1773</v>
      </c>
      <c r="J143" s="164" t="s">
        <v>106</v>
      </c>
      <c r="K143" s="164" t="s">
        <v>84</v>
      </c>
      <c r="L143" s="164">
        <v>6</v>
      </c>
      <c r="M143" s="164" t="s">
        <v>31</v>
      </c>
      <c r="N143" s="208" t="s">
        <v>1907</v>
      </c>
      <c r="O143" s="164"/>
      <c r="P143" s="208"/>
    </row>
    <row r="144" spans="1:16" ht="15.75">
      <c r="A144" s="164">
        <v>126</v>
      </c>
      <c r="B144" s="345">
        <v>42892</v>
      </c>
      <c r="C144" s="165" t="s">
        <v>92</v>
      </c>
      <c r="D144" s="164">
        <f t="shared" si="1"/>
        <v>2</v>
      </c>
      <c r="E144" s="164" t="s">
        <v>87</v>
      </c>
      <c r="F144" s="164" t="s">
        <v>106</v>
      </c>
      <c r="G144" s="164">
        <v>5</v>
      </c>
      <c r="H144" s="208" t="s">
        <v>14</v>
      </c>
      <c r="I144" s="208" t="s">
        <v>1822</v>
      </c>
      <c r="J144" s="164" t="s">
        <v>106</v>
      </c>
      <c r="K144" s="164" t="s">
        <v>84</v>
      </c>
      <c r="L144" s="164">
        <v>6</v>
      </c>
      <c r="M144" s="164" t="s">
        <v>32</v>
      </c>
      <c r="N144" s="208" t="s">
        <v>1908</v>
      </c>
      <c r="O144" s="164"/>
      <c r="P144" s="208"/>
    </row>
    <row r="145" spans="1:16" ht="15.75">
      <c r="A145" s="164">
        <v>127</v>
      </c>
      <c r="B145" s="345">
        <v>42893</v>
      </c>
      <c r="C145" s="165" t="s">
        <v>92</v>
      </c>
      <c r="D145" s="164">
        <f t="shared" si="1"/>
        <v>3</v>
      </c>
      <c r="E145" s="164" t="s">
        <v>80</v>
      </c>
      <c r="F145" s="164" t="s">
        <v>106</v>
      </c>
      <c r="G145" s="164">
        <v>5</v>
      </c>
      <c r="H145" s="208" t="s">
        <v>15</v>
      </c>
      <c r="I145" s="208" t="s">
        <v>1797</v>
      </c>
      <c r="J145" s="164" t="s">
        <v>106</v>
      </c>
      <c r="K145" s="164" t="s">
        <v>84</v>
      </c>
      <c r="L145" s="164">
        <v>6</v>
      </c>
      <c r="M145" s="164" t="s">
        <v>33</v>
      </c>
      <c r="N145" s="208" t="s">
        <v>1909</v>
      </c>
      <c r="O145" s="164"/>
      <c r="P145" s="208"/>
    </row>
    <row r="146" spans="1:16" ht="15.75">
      <c r="A146" s="164">
        <v>128</v>
      </c>
      <c r="B146" s="345">
        <v>42894</v>
      </c>
      <c r="C146" s="165" t="s">
        <v>92</v>
      </c>
      <c r="D146" s="164">
        <f t="shared" si="1"/>
        <v>4</v>
      </c>
      <c r="E146" s="164" t="s">
        <v>81</v>
      </c>
      <c r="F146" s="164" t="s">
        <v>106</v>
      </c>
      <c r="G146" s="164">
        <v>5</v>
      </c>
      <c r="H146" s="208" t="s">
        <v>16</v>
      </c>
      <c r="I146" s="208" t="s">
        <v>1823</v>
      </c>
      <c r="J146" s="164" t="s">
        <v>106</v>
      </c>
      <c r="K146" s="164" t="s">
        <v>84</v>
      </c>
      <c r="L146" s="164">
        <v>6</v>
      </c>
      <c r="M146" s="164" t="s">
        <v>34</v>
      </c>
      <c r="N146" s="208" t="s">
        <v>1910</v>
      </c>
      <c r="O146" s="164"/>
      <c r="P146" s="208"/>
    </row>
    <row r="147" spans="1:16" ht="15.75">
      <c r="A147" s="164">
        <v>129</v>
      </c>
      <c r="B147" s="345">
        <v>42895</v>
      </c>
      <c r="C147" s="165" t="s">
        <v>92</v>
      </c>
      <c r="D147" s="164">
        <f t="shared" si="1"/>
        <v>5</v>
      </c>
      <c r="E147" s="164" t="s">
        <v>82</v>
      </c>
      <c r="F147" s="164" t="s">
        <v>106</v>
      </c>
      <c r="G147" s="164">
        <v>5</v>
      </c>
      <c r="H147" s="164" t="s">
        <v>17</v>
      </c>
      <c r="I147" s="208" t="s">
        <v>1609</v>
      </c>
      <c r="J147" s="164" t="s">
        <v>106</v>
      </c>
      <c r="K147" s="164" t="s">
        <v>84</v>
      </c>
      <c r="L147" s="164">
        <v>6</v>
      </c>
      <c r="M147" s="164" t="s">
        <v>35</v>
      </c>
      <c r="N147" s="208" t="s">
        <v>1911</v>
      </c>
      <c r="O147" s="164"/>
      <c r="P147" s="208"/>
    </row>
    <row r="148" spans="1:16" ht="15.75">
      <c r="A148" s="164">
        <v>130</v>
      </c>
      <c r="B148" s="345">
        <v>42896</v>
      </c>
      <c r="C148" s="165" t="s">
        <v>92</v>
      </c>
      <c r="D148" s="164">
        <f t="shared" ref="D148:D211" si="2">WEEKDAY(B148,2)</f>
        <v>6</v>
      </c>
      <c r="E148" s="164" t="s">
        <v>83</v>
      </c>
      <c r="F148" s="164" t="s">
        <v>84</v>
      </c>
      <c r="G148" s="164"/>
      <c r="H148" s="164"/>
      <c r="I148" s="208"/>
      <c r="J148" s="164" t="s">
        <v>84</v>
      </c>
      <c r="K148" s="164" t="s">
        <v>106</v>
      </c>
      <c r="L148" s="164">
        <v>6</v>
      </c>
      <c r="M148" s="164"/>
      <c r="N148" s="208"/>
      <c r="O148" s="164" t="s">
        <v>36</v>
      </c>
      <c r="P148" s="208" t="s">
        <v>98</v>
      </c>
    </row>
    <row r="149" spans="1:16" ht="15.75">
      <c r="A149" s="164">
        <v>131</v>
      </c>
      <c r="B149" s="345">
        <v>42897</v>
      </c>
      <c r="C149" s="165" t="s">
        <v>92</v>
      </c>
      <c r="D149" s="164">
        <f t="shared" si="2"/>
        <v>7</v>
      </c>
      <c r="E149" s="164" t="s">
        <v>85</v>
      </c>
      <c r="F149" s="164" t="s">
        <v>84</v>
      </c>
      <c r="G149" s="164"/>
      <c r="H149" s="164"/>
      <c r="I149" s="164"/>
      <c r="J149" s="164" t="s">
        <v>84</v>
      </c>
      <c r="K149" s="164" t="s">
        <v>84</v>
      </c>
      <c r="L149" s="164"/>
      <c r="M149" s="164"/>
      <c r="N149" s="208"/>
      <c r="O149" s="164"/>
      <c r="P149" s="208"/>
    </row>
    <row r="150" spans="1:16" ht="15.75">
      <c r="A150" s="164">
        <v>132</v>
      </c>
      <c r="B150" s="345">
        <v>42898</v>
      </c>
      <c r="C150" s="165" t="s">
        <v>92</v>
      </c>
      <c r="D150" s="164">
        <f t="shared" si="2"/>
        <v>1</v>
      </c>
      <c r="E150" s="164" t="s">
        <v>86</v>
      </c>
      <c r="F150" s="164" t="s">
        <v>106</v>
      </c>
      <c r="G150" s="164">
        <v>5</v>
      </c>
      <c r="H150" s="208" t="s">
        <v>18</v>
      </c>
      <c r="I150" s="208" t="s">
        <v>98</v>
      </c>
      <c r="J150" s="164" t="s">
        <v>106</v>
      </c>
      <c r="K150" s="164" t="s">
        <v>84</v>
      </c>
      <c r="L150" s="164">
        <v>6</v>
      </c>
      <c r="M150" s="164" t="s">
        <v>37</v>
      </c>
      <c r="N150" s="208" t="s">
        <v>1833</v>
      </c>
      <c r="O150" s="164"/>
      <c r="P150" s="208"/>
    </row>
    <row r="151" spans="1:16" ht="15.75">
      <c r="A151" s="164">
        <v>133</v>
      </c>
      <c r="B151" s="345">
        <v>42899</v>
      </c>
      <c r="C151" s="165" t="s">
        <v>92</v>
      </c>
      <c r="D151" s="164">
        <f t="shared" si="2"/>
        <v>2</v>
      </c>
      <c r="E151" s="164" t="s">
        <v>87</v>
      </c>
      <c r="F151" s="164" t="s">
        <v>106</v>
      </c>
      <c r="G151" s="164">
        <v>5</v>
      </c>
      <c r="H151" s="208" t="s">
        <v>19</v>
      </c>
      <c r="I151" s="208" t="s">
        <v>1624</v>
      </c>
      <c r="J151" s="164" t="s">
        <v>106</v>
      </c>
      <c r="K151" s="164" t="s">
        <v>84</v>
      </c>
      <c r="L151" s="164">
        <v>6</v>
      </c>
      <c r="M151" s="164" t="s">
        <v>38</v>
      </c>
      <c r="N151" s="208" t="s">
        <v>1912</v>
      </c>
      <c r="O151" s="164"/>
      <c r="P151" s="208"/>
    </row>
    <row r="152" spans="1:16" ht="15.75">
      <c r="A152" s="164">
        <v>134</v>
      </c>
      <c r="B152" s="345">
        <v>42900</v>
      </c>
      <c r="C152" s="165" t="s">
        <v>92</v>
      </c>
      <c r="D152" s="164">
        <f t="shared" si="2"/>
        <v>3</v>
      </c>
      <c r="E152" s="164" t="s">
        <v>80</v>
      </c>
      <c r="F152" s="164" t="s">
        <v>106</v>
      </c>
      <c r="G152" s="164">
        <v>5</v>
      </c>
      <c r="H152" s="208" t="s">
        <v>20</v>
      </c>
      <c r="I152" s="208" t="s">
        <v>1800</v>
      </c>
      <c r="J152" s="164" t="s">
        <v>106</v>
      </c>
      <c r="K152" s="164" t="s">
        <v>84</v>
      </c>
      <c r="L152" s="164">
        <v>6</v>
      </c>
      <c r="M152" s="164" t="s">
        <v>39</v>
      </c>
      <c r="N152" s="208" t="s">
        <v>98</v>
      </c>
      <c r="O152" s="164"/>
      <c r="P152" s="208"/>
    </row>
    <row r="153" spans="1:16" ht="15.75">
      <c r="A153" s="164">
        <v>135</v>
      </c>
      <c r="B153" s="345">
        <v>42901</v>
      </c>
      <c r="C153" s="165" t="s">
        <v>92</v>
      </c>
      <c r="D153" s="164">
        <f t="shared" si="2"/>
        <v>4</v>
      </c>
      <c r="E153" s="164" t="s">
        <v>81</v>
      </c>
      <c r="F153" s="164" t="s">
        <v>106</v>
      </c>
      <c r="G153" s="164">
        <v>5</v>
      </c>
      <c r="H153" s="208" t="s">
        <v>21</v>
      </c>
      <c r="I153" s="208" t="s">
        <v>98</v>
      </c>
      <c r="J153" s="164" t="s">
        <v>106</v>
      </c>
      <c r="K153" s="164" t="s">
        <v>84</v>
      </c>
      <c r="L153" s="164">
        <v>6</v>
      </c>
      <c r="M153" s="164" t="s">
        <v>40</v>
      </c>
      <c r="N153" s="208" t="s">
        <v>98</v>
      </c>
      <c r="O153" s="164"/>
      <c r="P153" s="208"/>
    </row>
    <row r="154" spans="1:16" ht="15.75">
      <c r="A154" s="164">
        <v>136</v>
      </c>
      <c r="B154" s="345">
        <v>42902</v>
      </c>
      <c r="C154" s="165" t="s">
        <v>92</v>
      </c>
      <c r="D154" s="164">
        <f t="shared" si="2"/>
        <v>5</v>
      </c>
      <c r="E154" s="164" t="s">
        <v>82</v>
      </c>
      <c r="F154" s="164" t="s">
        <v>106</v>
      </c>
      <c r="G154" s="164">
        <v>5</v>
      </c>
      <c r="H154" s="164" t="s">
        <v>22</v>
      </c>
      <c r="I154" s="208" t="s">
        <v>1798</v>
      </c>
      <c r="J154" s="164" t="s">
        <v>106</v>
      </c>
      <c r="K154" s="164" t="s">
        <v>84</v>
      </c>
      <c r="L154" s="164">
        <v>6</v>
      </c>
      <c r="M154" s="164" t="s">
        <v>41</v>
      </c>
      <c r="N154" s="208" t="s">
        <v>1868</v>
      </c>
      <c r="O154" s="164"/>
      <c r="P154" s="208"/>
    </row>
    <row r="155" spans="1:16" ht="15.75">
      <c r="A155" s="164">
        <v>137</v>
      </c>
      <c r="B155" s="345">
        <v>42903</v>
      </c>
      <c r="C155" s="165" t="s">
        <v>92</v>
      </c>
      <c r="D155" s="164">
        <f t="shared" si="2"/>
        <v>6</v>
      </c>
      <c r="E155" s="164" t="s">
        <v>83</v>
      </c>
      <c r="F155" s="164" t="s">
        <v>84</v>
      </c>
      <c r="G155" s="164"/>
      <c r="H155" s="164"/>
      <c r="I155" s="164"/>
      <c r="J155" s="164" t="s">
        <v>84</v>
      </c>
      <c r="K155" s="164" t="s">
        <v>106</v>
      </c>
      <c r="L155" s="164">
        <v>6</v>
      </c>
      <c r="M155" s="164"/>
      <c r="N155" s="208"/>
      <c r="O155" s="164" t="s">
        <v>42</v>
      </c>
      <c r="P155" s="208" t="s">
        <v>1889</v>
      </c>
    </row>
    <row r="156" spans="1:16" ht="15.75">
      <c r="A156" s="164">
        <v>138</v>
      </c>
      <c r="B156" s="345">
        <v>42904</v>
      </c>
      <c r="C156" s="165" t="s">
        <v>92</v>
      </c>
      <c r="D156" s="164">
        <f t="shared" si="2"/>
        <v>7</v>
      </c>
      <c r="E156" s="164" t="s">
        <v>85</v>
      </c>
      <c r="F156" s="164" t="s">
        <v>84</v>
      </c>
      <c r="G156" s="164"/>
      <c r="H156" s="164"/>
      <c r="I156" s="164"/>
      <c r="J156" s="164" t="s">
        <v>84</v>
      </c>
      <c r="K156" s="164" t="s">
        <v>84</v>
      </c>
      <c r="L156" s="164"/>
      <c r="M156" s="164"/>
      <c r="N156" s="208"/>
      <c r="O156" s="164"/>
      <c r="P156" s="208"/>
    </row>
    <row r="157" spans="1:16" ht="15.75">
      <c r="A157" s="168">
        <v>139</v>
      </c>
      <c r="B157" s="347">
        <v>42905</v>
      </c>
      <c r="C157" s="169" t="s">
        <v>92</v>
      </c>
      <c r="D157" s="168">
        <f t="shared" si="2"/>
        <v>1</v>
      </c>
      <c r="E157" s="168" t="s">
        <v>86</v>
      </c>
      <c r="F157" s="168" t="s">
        <v>84</v>
      </c>
      <c r="G157" s="168"/>
      <c r="H157" s="168" t="s">
        <v>93</v>
      </c>
      <c r="I157" s="168"/>
      <c r="J157" s="168" t="s">
        <v>84</v>
      </c>
      <c r="K157" s="168" t="s">
        <v>84</v>
      </c>
      <c r="L157" s="168"/>
      <c r="M157" s="168" t="s">
        <v>93</v>
      </c>
      <c r="N157" s="210"/>
      <c r="O157" s="168"/>
      <c r="P157" s="210"/>
    </row>
    <row r="158" spans="1:16" ht="15.75">
      <c r="A158" s="168">
        <v>140</v>
      </c>
      <c r="B158" s="347">
        <v>42906</v>
      </c>
      <c r="C158" s="169" t="s">
        <v>92</v>
      </c>
      <c r="D158" s="168">
        <f t="shared" si="2"/>
        <v>2</v>
      </c>
      <c r="E158" s="168" t="s">
        <v>87</v>
      </c>
      <c r="F158" s="168" t="s">
        <v>84</v>
      </c>
      <c r="G158" s="168"/>
      <c r="H158" s="168" t="s">
        <v>93</v>
      </c>
      <c r="I158" s="168"/>
      <c r="J158" s="168" t="s">
        <v>84</v>
      </c>
      <c r="K158" s="168" t="s">
        <v>84</v>
      </c>
      <c r="L158" s="168"/>
      <c r="M158" s="168" t="s">
        <v>93</v>
      </c>
      <c r="N158" s="210"/>
      <c r="O158" s="168"/>
      <c r="P158" s="210"/>
    </row>
    <row r="159" spans="1:16" ht="15.75">
      <c r="A159" s="168">
        <v>141</v>
      </c>
      <c r="B159" s="347">
        <v>42907</v>
      </c>
      <c r="C159" s="169" t="s">
        <v>92</v>
      </c>
      <c r="D159" s="168">
        <f t="shared" si="2"/>
        <v>3</v>
      </c>
      <c r="E159" s="168" t="s">
        <v>80</v>
      </c>
      <c r="F159" s="168" t="s">
        <v>84</v>
      </c>
      <c r="G159" s="168"/>
      <c r="H159" s="168" t="s">
        <v>93</v>
      </c>
      <c r="I159" s="168"/>
      <c r="J159" s="168" t="s">
        <v>84</v>
      </c>
      <c r="K159" s="168" t="s">
        <v>84</v>
      </c>
      <c r="L159" s="168"/>
      <c r="M159" s="168" t="s">
        <v>93</v>
      </c>
      <c r="N159" s="210"/>
      <c r="O159" s="168"/>
      <c r="P159" s="210"/>
    </row>
    <row r="160" spans="1:16" ht="15.75">
      <c r="A160" s="168">
        <v>142</v>
      </c>
      <c r="B160" s="347">
        <v>42908</v>
      </c>
      <c r="C160" s="169" t="s">
        <v>92</v>
      </c>
      <c r="D160" s="168">
        <f t="shared" si="2"/>
        <v>4</v>
      </c>
      <c r="E160" s="168" t="s">
        <v>81</v>
      </c>
      <c r="F160" s="168" t="s">
        <v>84</v>
      </c>
      <c r="G160" s="168"/>
      <c r="H160" s="168" t="s">
        <v>93</v>
      </c>
      <c r="I160" s="168"/>
      <c r="J160" s="168" t="s">
        <v>84</v>
      </c>
      <c r="K160" s="168" t="s">
        <v>84</v>
      </c>
      <c r="L160" s="168"/>
      <c r="M160" s="168" t="s">
        <v>93</v>
      </c>
      <c r="N160" s="210"/>
      <c r="O160" s="168"/>
      <c r="P160" s="210"/>
    </row>
    <row r="161" spans="1:16" ht="15.75">
      <c r="A161" s="168">
        <v>143</v>
      </c>
      <c r="B161" s="347">
        <v>42909</v>
      </c>
      <c r="C161" s="169" t="s">
        <v>92</v>
      </c>
      <c r="D161" s="168">
        <f t="shared" si="2"/>
        <v>5</v>
      </c>
      <c r="E161" s="168" t="s">
        <v>82</v>
      </c>
      <c r="F161" s="168" t="s">
        <v>84</v>
      </c>
      <c r="G161" s="168"/>
      <c r="H161" s="168" t="s">
        <v>93</v>
      </c>
      <c r="I161" s="168"/>
      <c r="J161" s="168" t="s">
        <v>84</v>
      </c>
      <c r="K161" s="168" t="s">
        <v>84</v>
      </c>
      <c r="L161" s="168"/>
      <c r="M161" s="168" t="s">
        <v>93</v>
      </c>
      <c r="N161" s="210"/>
      <c r="O161" s="168"/>
      <c r="P161" s="210"/>
    </row>
    <row r="162" spans="1:16" ht="15.75">
      <c r="A162" s="168">
        <v>144</v>
      </c>
      <c r="B162" s="347">
        <v>42910</v>
      </c>
      <c r="C162" s="169" t="s">
        <v>92</v>
      </c>
      <c r="D162" s="168">
        <f t="shared" si="2"/>
        <v>6</v>
      </c>
      <c r="E162" s="168" t="s">
        <v>83</v>
      </c>
      <c r="F162" s="168" t="s">
        <v>84</v>
      </c>
      <c r="G162" s="168"/>
      <c r="H162" s="168"/>
      <c r="I162" s="168"/>
      <c r="J162" s="168" t="s">
        <v>84</v>
      </c>
      <c r="K162" s="168" t="s">
        <v>84</v>
      </c>
      <c r="L162" s="168"/>
      <c r="M162" s="168"/>
      <c r="N162" s="210"/>
      <c r="O162" s="168"/>
      <c r="P162" s="210"/>
    </row>
    <row r="163" spans="1:16" ht="15.75">
      <c r="A163" s="168">
        <v>145</v>
      </c>
      <c r="B163" s="347">
        <v>42911</v>
      </c>
      <c r="C163" s="169" t="s">
        <v>92</v>
      </c>
      <c r="D163" s="168">
        <f t="shared" si="2"/>
        <v>7</v>
      </c>
      <c r="E163" s="168" t="s">
        <v>85</v>
      </c>
      <c r="F163" s="168" t="s">
        <v>84</v>
      </c>
      <c r="G163" s="168"/>
      <c r="H163" s="168"/>
      <c r="I163" s="168"/>
      <c r="J163" s="168" t="s">
        <v>84</v>
      </c>
      <c r="K163" s="168" t="s">
        <v>84</v>
      </c>
      <c r="L163" s="168"/>
      <c r="M163" s="168"/>
      <c r="N163" s="210"/>
      <c r="O163" s="168"/>
      <c r="P163" s="210"/>
    </row>
    <row r="164" spans="1:16" ht="15.75">
      <c r="A164" s="168">
        <v>146</v>
      </c>
      <c r="B164" s="347">
        <v>42912</v>
      </c>
      <c r="C164" s="169" t="s">
        <v>92</v>
      </c>
      <c r="D164" s="168">
        <f t="shared" si="2"/>
        <v>1</v>
      </c>
      <c r="E164" s="168" t="s">
        <v>86</v>
      </c>
      <c r="F164" s="168" t="s">
        <v>84</v>
      </c>
      <c r="G164" s="168"/>
      <c r="H164" s="168" t="s">
        <v>93</v>
      </c>
      <c r="I164" s="168"/>
      <c r="J164" s="168" t="s">
        <v>84</v>
      </c>
      <c r="K164" s="168" t="s">
        <v>84</v>
      </c>
      <c r="L164" s="168"/>
      <c r="M164" s="168" t="s">
        <v>93</v>
      </c>
      <c r="N164" s="210"/>
      <c r="O164" s="168"/>
      <c r="P164" s="210"/>
    </row>
    <row r="165" spans="1:16" ht="15.75">
      <c r="A165" s="168">
        <v>147</v>
      </c>
      <c r="B165" s="347">
        <v>42913</v>
      </c>
      <c r="C165" s="169" t="s">
        <v>92</v>
      </c>
      <c r="D165" s="168">
        <f t="shared" si="2"/>
        <v>2</v>
      </c>
      <c r="E165" s="168" t="s">
        <v>87</v>
      </c>
      <c r="F165" s="168" t="s">
        <v>84</v>
      </c>
      <c r="G165" s="168"/>
      <c r="H165" s="168" t="s">
        <v>93</v>
      </c>
      <c r="I165" s="168"/>
      <c r="J165" s="168" t="s">
        <v>84</v>
      </c>
      <c r="K165" s="168" t="s">
        <v>84</v>
      </c>
      <c r="L165" s="168"/>
      <c r="M165" s="168" t="s">
        <v>93</v>
      </c>
      <c r="N165" s="210"/>
      <c r="O165" s="168"/>
      <c r="P165" s="210"/>
    </row>
    <row r="166" spans="1:16" ht="15.75">
      <c r="A166" s="168">
        <v>148</v>
      </c>
      <c r="B166" s="347">
        <v>42914</v>
      </c>
      <c r="C166" s="169" t="s">
        <v>92</v>
      </c>
      <c r="D166" s="168">
        <f t="shared" si="2"/>
        <v>3</v>
      </c>
      <c r="E166" s="168" t="s">
        <v>80</v>
      </c>
      <c r="F166" s="168" t="s">
        <v>84</v>
      </c>
      <c r="G166" s="168"/>
      <c r="H166" s="168" t="s">
        <v>93</v>
      </c>
      <c r="I166" s="168"/>
      <c r="J166" s="168" t="s">
        <v>84</v>
      </c>
      <c r="K166" s="168" t="s">
        <v>84</v>
      </c>
      <c r="L166" s="168"/>
      <c r="M166" s="168" t="s">
        <v>93</v>
      </c>
      <c r="N166" s="210"/>
      <c r="O166" s="168"/>
      <c r="P166" s="210"/>
    </row>
    <row r="167" spans="1:16" ht="15.75">
      <c r="A167" s="168">
        <v>149</v>
      </c>
      <c r="B167" s="347">
        <v>42915</v>
      </c>
      <c r="C167" s="169" t="s">
        <v>92</v>
      </c>
      <c r="D167" s="168">
        <f t="shared" si="2"/>
        <v>4</v>
      </c>
      <c r="E167" s="168" t="s">
        <v>81</v>
      </c>
      <c r="F167" s="168" t="s">
        <v>84</v>
      </c>
      <c r="G167" s="168"/>
      <c r="H167" s="168" t="s">
        <v>93</v>
      </c>
      <c r="I167" s="168"/>
      <c r="J167" s="168" t="s">
        <v>84</v>
      </c>
      <c r="K167" s="168" t="s">
        <v>84</v>
      </c>
      <c r="L167" s="168"/>
      <c r="M167" s="168" t="s">
        <v>93</v>
      </c>
      <c r="N167" s="210"/>
      <c r="O167" s="168"/>
      <c r="P167" s="210"/>
    </row>
    <row r="168" spans="1:16" ht="15.75">
      <c r="A168" s="168">
        <v>150</v>
      </c>
      <c r="B168" s="347">
        <v>42916</v>
      </c>
      <c r="C168" s="169" t="s">
        <v>92</v>
      </c>
      <c r="D168" s="168">
        <f t="shared" si="2"/>
        <v>5</v>
      </c>
      <c r="E168" s="168" t="s">
        <v>82</v>
      </c>
      <c r="F168" s="168" t="s">
        <v>84</v>
      </c>
      <c r="G168" s="168"/>
      <c r="H168" s="168" t="s">
        <v>93</v>
      </c>
      <c r="I168" s="168"/>
      <c r="J168" s="168" t="s">
        <v>84</v>
      </c>
      <c r="K168" s="168" t="s">
        <v>84</v>
      </c>
      <c r="L168" s="168"/>
      <c r="M168" s="168" t="s">
        <v>93</v>
      </c>
      <c r="N168" s="210"/>
      <c r="O168" s="168"/>
      <c r="P168" s="210"/>
    </row>
    <row r="169" spans="1:16" ht="15.75">
      <c r="A169" s="168">
        <v>151</v>
      </c>
      <c r="B169" s="347">
        <v>42917</v>
      </c>
      <c r="C169" s="169" t="s">
        <v>92</v>
      </c>
      <c r="D169" s="168">
        <f t="shared" si="2"/>
        <v>6</v>
      </c>
      <c r="E169" s="168" t="s">
        <v>83</v>
      </c>
      <c r="F169" s="168" t="s">
        <v>84</v>
      </c>
      <c r="G169" s="168"/>
      <c r="H169" s="168"/>
      <c r="I169" s="168"/>
      <c r="J169" s="168" t="s">
        <v>84</v>
      </c>
      <c r="K169" s="168" t="s">
        <v>84</v>
      </c>
      <c r="L169" s="168"/>
      <c r="M169" s="168"/>
      <c r="N169" s="210"/>
      <c r="O169" s="168"/>
      <c r="P169" s="210"/>
    </row>
    <row r="170" spans="1:16" ht="15.75">
      <c r="A170" s="168">
        <v>152</v>
      </c>
      <c r="B170" s="347">
        <v>42918</v>
      </c>
      <c r="C170" s="169" t="s">
        <v>92</v>
      </c>
      <c r="D170" s="168">
        <f t="shared" si="2"/>
        <v>7</v>
      </c>
      <c r="E170" s="168" t="s">
        <v>85</v>
      </c>
      <c r="F170" s="168" t="s">
        <v>84</v>
      </c>
      <c r="G170" s="168"/>
      <c r="H170" s="168"/>
      <c r="I170" s="168"/>
      <c r="J170" s="168" t="s">
        <v>84</v>
      </c>
      <c r="K170" s="168" t="s">
        <v>84</v>
      </c>
      <c r="L170" s="168"/>
      <c r="M170" s="168"/>
      <c r="N170" s="210"/>
      <c r="O170" s="168"/>
      <c r="P170" s="210"/>
    </row>
    <row r="171" spans="1:16" ht="15.75">
      <c r="A171" s="168">
        <v>153</v>
      </c>
      <c r="B171" s="347">
        <v>42919</v>
      </c>
      <c r="C171" s="169" t="s">
        <v>92</v>
      </c>
      <c r="D171" s="168">
        <f t="shared" si="2"/>
        <v>1</v>
      </c>
      <c r="E171" s="168" t="s">
        <v>86</v>
      </c>
      <c r="F171" s="168" t="s">
        <v>84</v>
      </c>
      <c r="G171" s="168"/>
      <c r="H171" s="168" t="s">
        <v>93</v>
      </c>
      <c r="I171" s="168"/>
      <c r="J171" s="168" t="s">
        <v>84</v>
      </c>
      <c r="K171" s="168" t="s">
        <v>84</v>
      </c>
      <c r="L171" s="168"/>
      <c r="M171" s="168" t="s">
        <v>93</v>
      </c>
      <c r="N171" s="210"/>
      <c r="O171" s="168"/>
      <c r="P171" s="210"/>
    </row>
    <row r="172" spans="1:16" ht="15.75">
      <c r="A172" s="168">
        <v>154</v>
      </c>
      <c r="B172" s="347">
        <v>42920</v>
      </c>
      <c r="C172" s="169" t="s">
        <v>92</v>
      </c>
      <c r="D172" s="168">
        <f t="shared" si="2"/>
        <v>2</v>
      </c>
      <c r="E172" s="168" t="s">
        <v>87</v>
      </c>
      <c r="F172" s="168" t="s">
        <v>84</v>
      </c>
      <c r="G172" s="168"/>
      <c r="H172" s="168" t="s">
        <v>93</v>
      </c>
      <c r="I172" s="168"/>
      <c r="J172" s="168" t="s">
        <v>84</v>
      </c>
      <c r="K172" s="168" t="s">
        <v>84</v>
      </c>
      <c r="L172" s="168"/>
      <c r="M172" s="168" t="s">
        <v>93</v>
      </c>
      <c r="N172" s="210"/>
      <c r="O172" s="168"/>
      <c r="P172" s="210"/>
    </row>
    <row r="173" spans="1:16" ht="15.75">
      <c r="A173" s="168">
        <v>155</v>
      </c>
      <c r="B173" s="347">
        <v>42921</v>
      </c>
      <c r="C173" s="169" t="s">
        <v>92</v>
      </c>
      <c r="D173" s="168">
        <f t="shared" si="2"/>
        <v>3</v>
      </c>
      <c r="E173" s="168" t="s">
        <v>80</v>
      </c>
      <c r="F173" s="168" t="s">
        <v>84</v>
      </c>
      <c r="G173" s="168"/>
      <c r="H173" s="168" t="s">
        <v>93</v>
      </c>
      <c r="I173" s="168"/>
      <c r="J173" s="168" t="s">
        <v>84</v>
      </c>
      <c r="K173" s="168" t="s">
        <v>84</v>
      </c>
      <c r="L173" s="168"/>
      <c r="M173" s="168" t="s">
        <v>93</v>
      </c>
      <c r="N173" s="210"/>
      <c r="O173" s="168"/>
      <c r="P173" s="210"/>
    </row>
    <row r="174" spans="1:16" ht="15.75">
      <c r="A174" s="168">
        <v>156</v>
      </c>
      <c r="B174" s="347">
        <v>42922</v>
      </c>
      <c r="C174" s="169" t="s">
        <v>92</v>
      </c>
      <c r="D174" s="168">
        <f t="shared" si="2"/>
        <v>4</v>
      </c>
      <c r="E174" s="168" t="s">
        <v>81</v>
      </c>
      <c r="F174" s="168" t="s">
        <v>84</v>
      </c>
      <c r="G174" s="168"/>
      <c r="H174" s="168" t="s">
        <v>93</v>
      </c>
      <c r="I174" s="168"/>
      <c r="J174" s="168" t="s">
        <v>84</v>
      </c>
      <c r="K174" s="168" t="s">
        <v>84</v>
      </c>
      <c r="L174" s="168"/>
      <c r="M174" s="168" t="s">
        <v>93</v>
      </c>
      <c r="N174" s="210"/>
      <c r="O174" s="168"/>
      <c r="P174" s="210"/>
    </row>
    <row r="175" spans="1:16" ht="15.75">
      <c r="A175" s="168">
        <v>157</v>
      </c>
      <c r="B175" s="347">
        <v>42923</v>
      </c>
      <c r="C175" s="169" t="s">
        <v>92</v>
      </c>
      <c r="D175" s="168">
        <f t="shared" si="2"/>
        <v>5</v>
      </c>
      <c r="E175" s="168" t="s">
        <v>82</v>
      </c>
      <c r="F175" s="168" t="s">
        <v>84</v>
      </c>
      <c r="G175" s="168"/>
      <c r="H175" s="168" t="s">
        <v>93</v>
      </c>
      <c r="I175" s="168"/>
      <c r="J175" s="168" t="s">
        <v>84</v>
      </c>
      <c r="K175" s="168" t="s">
        <v>84</v>
      </c>
      <c r="L175" s="168"/>
      <c r="M175" s="168" t="s">
        <v>93</v>
      </c>
      <c r="N175" s="210"/>
      <c r="O175" s="168"/>
      <c r="P175" s="210"/>
    </row>
    <row r="176" spans="1:16" ht="15.75">
      <c r="A176" s="168">
        <v>158</v>
      </c>
      <c r="B176" s="347">
        <v>42924</v>
      </c>
      <c r="C176" s="169" t="s">
        <v>92</v>
      </c>
      <c r="D176" s="168">
        <f t="shared" si="2"/>
        <v>6</v>
      </c>
      <c r="E176" s="168" t="s">
        <v>83</v>
      </c>
      <c r="F176" s="168" t="s">
        <v>84</v>
      </c>
      <c r="G176" s="168"/>
      <c r="H176" s="168"/>
      <c r="I176" s="168"/>
      <c r="J176" s="168" t="s">
        <v>84</v>
      </c>
      <c r="K176" s="168" t="s">
        <v>84</v>
      </c>
      <c r="L176" s="168"/>
      <c r="M176" s="168"/>
      <c r="N176" s="210"/>
      <c r="O176" s="168"/>
      <c r="P176" s="210"/>
    </row>
    <row r="177" spans="1:16" ht="15.75">
      <c r="A177" s="168">
        <v>159</v>
      </c>
      <c r="B177" s="347">
        <v>42925</v>
      </c>
      <c r="C177" s="169" t="s">
        <v>92</v>
      </c>
      <c r="D177" s="168">
        <f t="shared" si="2"/>
        <v>7</v>
      </c>
      <c r="E177" s="168" t="s">
        <v>85</v>
      </c>
      <c r="F177" s="168" t="s">
        <v>84</v>
      </c>
      <c r="G177" s="168"/>
      <c r="H177" s="168"/>
      <c r="I177" s="168"/>
      <c r="J177" s="168" t="s">
        <v>84</v>
      </c>
      <c r="K177" s="168" t="s">
        <v>84</v>
      </c>
      <c r="L177" s="168"/>
      <c r="M177" s="168"/>
      <c r="N177" s="210"/>
      <c r="O177" s="168"/>
      <c r="P177" s="210"/>
    </row>
    <row r="178" spans="1:16" ht="15.75">
      <c r="A178" s="164">
        <v>160</v>
      </c>
      <c r="B178" s="345">
        <v>42926</v>
      </c>
      <c r="C178" s="165" t="s">
        <v>92</v>
      </c>
      <c r="D178" s="164">
        <f t="shared" si="2"/>
        <v>1</v>
      </c>
      <c r="E178" s="164" t="s">
        <v>86</v>
      </c>
      <c r="F178" s="164" t="s">
        <v>106</v>
      </c>
      <c r="G178" s="164">
        <v>5</v>
      </c>
      <c r="H178" s="208" t="s">
        <v>23</v>
      </c>
      <c r="I178" s="208" t="s">
        <v>98</v>
      </c>
      <c r="J178" s="164" t="s">
        <v>106</v>
      </c>
      <c r="K178" s="164" t="s">
        <v>84</v>
      </c>
      <c r="L178" s="164">
        <v>6</v>
      </c>
      <c r="M178" s="164" t="s">
        <v>43</v>
      </c>
      <c r="N178" s="208" t="s">
        <v>1857</v>
      </c>
      <c r="O178" s="164"/>
      <c r="P178" s="208"/>
    </row>
    <row r="179" spans="1:16" ht="15.75">
      <c r="A179" s="164">
        <v>161</v>
      </c>
      <c r="B179" s="345">
        <v>42927</v>
      </c>
      <c r="C179" s="165" t="s">
        <v>92</v>
      </c>
      <c r="D179" s="164">
        <f t="shared" si="2"/>
        <v>2</v>
      </c>
      <c r="E179" s="164" t="s">
        <v>87</v>
      </c>
      <c r="F179" s="164" t="s">
        <v>106</v>
      </c>
      <c r="G179" s="164">
        <v>5</v>
      </c>
      <c r="H179" s="208" t="s">
        <v>24</v>
      </c>
      <c r="I179" s="208" t="s">
        <v>1785</v>
      </c>
      <c r="J179" s="164" t="s">
        <v>106</v>
      </c>
      <c r="K179" s="164" t="s">
        <v>84</v>
      </c>
      <c r="L179" s="164">
        <v>6</v>
      </c>
      <c r="M179" s="164" t="s">
        <v>44</v>
      </c>
      <c r="N179" s="208" t="s">
        <v>1860</v>
      </c>
      <c r="O179" s="164"/>
      <c r="P179" s="208"/>
    </row>
    <row r="180" spans="1:16" ht="15.75">
      <c r="A180" s="164">
        <v>162</v>
      </c>
      <c r="B180" s="345">
        <v>42928</v>
      </c>
      <c r="C180" s="165" t="s">
        <v>92</v>
      </c>
      <c r="D180" s="164">
        <f t="shared" si="2"/>
        <v>3</v>
      </c>
      <c r="E180" s="164" t="s">
        <v>80</v>
      </c>
      <c r="F180" s="164" t="s">
        <v>106</v>
      </c>
      <c r="G180" s="164">
        <v>5</v>
      </c>
      <c r="H180" s="208" t="s">
        <v>25</v>
      </c>
      <c r="I180" s="208" t="s">
        <v>1801</v>
      </c>
      <c r="J180" s="164" t="s">
        <v>106</v>
      </c>
      <c r="K180" s="164" t="s">
        <v>84</v>
      </c>
      <c r="L180" s="164">
        <v>7</v>
      </c>
      <c r="M180" s="208" t="s">
        <v>29</v>
      </c>
      <c r="N180" s="208" t="s">
        <v>1870</v>
      </c>
      <c r="O180" s="164"/>
      <c r="P180" s="208"/>
    </row>
    <row r="181" spans="1:16" ht="15.75">
      <c r="A181" s="164">
        <v>163</v>
      </c>
      <c r="B181" s="345">
        <v>42929</v>
      </c>
      <c r="C181" s="165" t="s">
        <v>92</v>
      </c>
      <c r="D181" s="164">
        <f t="shared" si="2"/>
        <v>4</v>
      </c>
      <c r="E181" s="164" t="s">
        <v>81</v>
      </c>
      <c r="F181" s="164" t="s">
        <v>106</v>
      </c>
      <c r="G181" s="164">
        <v>5</v>
      </c>
      <c r="H181" s="208" t="s">
        <v>26</v>
      </c>
      <c r="I181" s="208" t="s">
        <v>1777</v>
      </c>
      <c r="J181" s="164" t="s">
        <v>106</v>
      </c>
      <c r="K181" s="164" t="s">
        <v>84</v>
      </c>
      <c r="L181" s="164">
        <v>7</v>
      </c>
      <c r="M181" s="164" t="s">
        <v>31</v>
      </c>
      <c r="N181" s="208" t="s">
        <v>1871</v>
      </c>
      <c r="O181" s="164"/>
      <c r="P181" s="208"/>
    </row>
    <row r="182" spans="1:16" ht="15.75">
      <c r="A182" s="164">
        <v>164</v>
      </c>
      <c r="B182" s="345">
        <v>42930</v>
      </c>
      <c r="C182" s="165" t="s">
        <v>92</v>
      </c>
      <c r="D182" s="164">
        <f t="shared" si="2"/>
        <v>5</v>
      </c>
      <c r="E182" s="164" t="s">
        <v>82</v>
      </c>
      <c r="F182" s="164" t="s">
        <v>106</v>
      </c>
      <c r="G182" s="164">
        <v>5</v>
      </c>
      <c r="H182" s="164" t="s">
        <v>27</v>
      </c>
      <c r="I182" s="208" t="s">
        <v>1802</v>
      </c>
      <c r="J182" s="164" t="s">
        <v>106</v>
      </c>
      <c r="K182" s="164" t="s">
        <v>84</v>
      </c>
      <c r="L182" s="164">
        <v>7</v>
      </c>
      <c r="M182" s="164" t="s">
        <v>32</v>
      </c>
      <c r="N182" s="208" t="s">
        <v>1896</v>
      </c>
      <c r="O182" s="164"/>
      <c r="P182" s="208"/>
    </row>
    <row r="183" spans="1:16" ht="15.75">
      <c r="A183" s="164">
        <v>165</v>
      </c>
      <c r="B183" s="345">
        <v>42931</v>
      </c>
      <c r="C183" s="165" t="s">
        <v>92</v>
      </c>
      <c r="D183" s="164">
        <f t="shared" si="2"/>
        <v>6</v>
      </c>
      <c r="E183" s="164" t="s">
        <v>83</v>
      </c>
      <c r="F183" s="164" t="s">
        <v>84</v>
      </c>
      <c r="G183" s="164"/>
      <c r="H183" s="164"/>
      <c r="I183" s="164"/>
      <c r="J183" s="164" t="s">
        <v>84</v>
      </c>
      <c r="K183" s="164" t="s">
        <v>106</v>
      </c>
      <c r="L183" s="164">
        <v>7</v>
      </c>
      <c r="M183" s="164"/>
      <c r="N183" s="208"/>
      <c r="O183" s="164" t="s">
        <v>33</v>
      </c>
      <c r="P183" s="208" t="s">
        <v>1913</v>
      </c>
    </row>
    <row r="184" spans="1:16" ht="15.75">
      <c r="A184" s="164">
        <v>166</v>
      </c>
      <c r="B184" s="345">
        <v>42932</v>
      </c>
      <c r="C184" s="165" t="s">
        <v>92</v>
      </c>
      <c r="D184" s="164">
        <f t="shared" si="2"/>
        <v>7</v>
      </c>
      <c r="E184" s="164" t="s">
        <v>85</v>
      </c>
      <c r="F184" s="164" t="s">
        <v>84</v>
      </c>
      <c r="G184" s="164"/>
      <c r="H184" s="164"/>
      <c r="I184" s="164"/>
      <c r="J184" s="164" t="s">
        <v>84</v>
      </c>
      <c r="K184" s="164" t="s">
        <v>84</v>
      </c>
      <c r="L184" s="164"/>
      <c r="M184" s="164"/>
      <c r="N184" s="208"/>
      <c r="O184" s="164"/>
      <c r="P184" s="208"/>
    </row>
    <row r="185" spans="1:16" ht="15.75">
      <c r="A185" s="164">
        <v>167</v>
      </c>
      <c r="B185" s="345">
        <v>42933</v>
      </c>
      <c r="C185" s="165" t="s">
        <v>92</v>
      </c>
      <c r="D185" s="164">
        <f t="shared" si="2"/>
        <v>1</v>
      </c>
      <c r="E185" s="164" t="s">
        <v>86</v>
      </c>
      <c r="F185" s="164" t="s">
        <v>106</v>
      </c>
      <c r="G185" s="164">
        <v>5</v>
      </c>
      <c r="H185" s="208" t="s">
        <v>28</v>
      </c>
      <c r="I185" s="208" t="s">
        <v>1617</v>
      </c>
      <c r="J185" s="164" t="s">
        <v>106</v>
      </c>
      <c r="K185" s="164" t="s">
        <v>84</v>
      </c>
      <c r="L185" s="164">
        <v>7</v>
      </c>
      <c r="M185" s="164" t="s">
        <v>34</v>
      </c>
      <c r="N185" s="208" t="s">
        <v>1898</v>
      </c>
      <c r="O185" s="164"/>
      <c r="P185" s="208"/>
    </row>
    <row r="186" spans="1:16" ht="15.75">
      <c r="A186" s="164">
        <v>168</v>
      </c>
      <c r="B186" s="345">
        <v>42934</v>
      </c>
      <c r="C186" s="165" t="s">
        <v>92</v>
      </c>
      <c r="D186" s="164">
        <f t="shared" si="2"/>
        <v>2</v>
      </c>
      <c r="E186" s="164" t="s">
        <v>87</v>
      </c>
      <c r="F186" s="164" t="s">
        <v>106</v>
      </c>
      <c r="G186" s="164">
        <v>5</v>
      </c>
      <c r="H186" s="208" t="s">
        <v>11</v>
      </c>
      <c r="I186" s="208" t="s">
        <v>1608</v>
      </c>
      <c r="J186" s="164" t="s">
        <v>106</v>
      </c>
      <c r="K186" s="164" t="s">
        <v>84</v>
      </c>
      <c r="L186" s="164">
        <v>7</v>
      </c>
      <c r="M186" s="164" t="s">
        <v>35</v>
      </c>
      <c r="N186" s="208" t="s">
        <v>1874</v>
      </c>
      <c r="O186" s="164"/>
      <c r="P186" s="208"/>
    </row>
    <row r="187" spans="1:16" ht="15.75">
      <c r="A187" s="164">
        <v>169</v>
      </c>
      <c r="B187" s="345">
        <v>42935</v>
      </c>
      <c r="C187" s="165" t="s">
        <v>92</v>
      </c>
      <c r="D187" s="164">
        <f t="shared" si="2"/>
        <v>3</v>
      </c>
      <c r="E187" s="164" t="s">
        <v>80</v>
      </c>
      <c r="F187" s="164" t="s">
        <v>106</v>
      </c>
      <c r="G187" s="164">
        <v>6</v>
      </c>
      <c r="H187" s="208" t="s">
        <v>14</v>
      </c>
      <c r="I187" s="208" t="s">
        <v>1825</v>
      </c>
      <c r="J187" s="164" t="s">
        <v>106</v>
      </c>
      <c r="K187" s="164" t="s">
        <v>84</v>
      </c>
      <c r="L187" s="164">
        <v>7</v>
      </c>
      <c r="M187" s="164" t="s">
        <v>36</v>
      </c>
      <c r="N187" s="208" t="s">
        <v>98</v>
      </c>
      <c r="O187" s="164"/>
      <c r="P187" s="208"/>
    </row>
    <row r="188" spans="1:16" ht="15.75">
      <c r="A188" s="166">
        <v>170</v>
      </c>
      <c r="B188" s="346">
        <v>42936</v>
      </c>
      <c r="C188" s="167" t="s">
        <v>92</v>
      </c>
      <c r="D188" s="166">
        <f t="shared" si="2"/>
        <v>4</v>
      </c>
      <c r="E188" s="166" t="s">
        <v>81</v>
      </c>
      <c r="F188" s="166" t="s">
        <v>84</v>
      </c>
      <c r="G188" s="166">
        <v>6</v>
      </c>
      <c r="H188" s="166" t="s">
        <v>1764</v>
      </c>
      <c r="I188" s="166"/>
      <c r="J188" s="166" t="s">
        <v>84</v>
      </c>
      <c r="K188" s="166" t="s">
        <v>84</v>
      </c>
      <c r="L188" s="166">
        <v>7</v>
      </c>
      <c r="M188" s="166" t="s">
        <v>1769</v>
      </c>
      <c r="N188" s="209"/>
      <c r="O188" s="166"/>
      <c r="P188" s="209"/>
    </row>
    <row r="189" spans="1:16" ht="15.75">
      <c r="A189" s="164">
        <v>171</v>
      </c>
      <c r="B189" s="345">
        <v>42937</v>
      </c>
      <c r="C189" s="165" t="s">
        <v>92</v>
      </c>
      <c r="D189" s="164">
        <f t="shared" si="2"/>
        <v>5</v>
      </c>
      <c r="E189" s="164" t="s">
        <v>82</v>
      </c>
      <c r="F189" s="164" t="s">
        <v>106</v>
      </c>
      <c r="G189" s="164">
        <v>6</v>
      </c>
      <c r="H189" s="164" t="s">
        <v>16</v>
      </c>
      <c r="I189" s="208" t="s">
        <v>1619</v>
      </c>
      <c r="J189" s="164" t="s">
        <v>106</v>
      </c>
      <c r="K189" s="164" t="s">
        <v>84</v>
      </c>
      <c r="L189" s="164">
        <v>7</v>
      </c>
      <c r="M189" s="164" t="s">
        <v>38</v>
      </c>
      <c r="N189" s="208" t="s">
        <v>1834</v>
      </c>
      <c r="O189" s="164"/>
      <c r="P189" s="208"/>
    </row>
    <row r="190" spans="1:16" ht="15.75">
      <c r="A190" s="164">
        <v>172</v>
      </c>
      <c r="B190" s="345">
        <v>42938</v>
      </c>
      <c r="C190" s="165" t="s">
        <v>92</v>
      </c>
      <c r="D190" s="164">
        <f t="shared" si="2"/>
        <v>6</v>
      </c>
      <c r="E190" s="164" t="s">
        <v>83</v>
      </c>
      <c r="F190" s="164" t="s">
        <v>84</v>
      </c>
      <c r="G190" s="164"/>
      <c r="H190" s="164"/>
      <c r="I190" s="208"/>
      <c r="J190" s="164" t="s">
        <v>84</v>
      </c>
      <c r="K190" s="164" t="s">
        <v>106</v>
      </c>
      <c r="L190" s="164">
        <v>7</v>
      </c>
      <c r="M190" s="164"/>
      <c r="N190" s="208"/>
      <c r="O190" s="164" t="s">
        <v>39</v>
      </c>
      <c r="P190" s="208" t="s">
        <v>98</v>
      </c>
    </row>
    <row r="191" spans="1:16" ht="15.75">
      <c r="A191" s="164">
        <v>173</v>
      </c>
      <c r="B191" s="345">
        <v>42939</v>
      </c>
      <c r="C191" s="165" t="s">
        <v>92</v>
      </c>
      <c r="D191" s="164">
        <f t="shared" si="2"/>
        <v>7</v>
      </c>
      <c r="E191" s="164" t="s">
        <v>85</v>
      </c>
      <c r="F191" s="164" t="s">
        <v>84</v>
      </c>
      <c r="G191" s="164"/>
      <c r="H191" s="164"/>
      <c r="I191" s="164"/>
      <c r="J191" s="164" t="s">
        <v>84</v>
      </c>
      <c r="K191" s="164" t="s">
        <v>84</v>
      </c>
      <c r="L191" s="164"/>
      <c r="M191" s="164"/>
      <c r="N191" s="208"/>
      <c r="O191" s="164"/>
      <c r="P191" s="208"/>
    </row>
    <row r="192" spans="1:16" ht="15.75">
      <c r="A192" s="164">
        <v>174</v>
      </c>
      <c r="B192" s="345">
        <v>42940</v>
      </c>
      <c r="C192" s="165" t="s">
        <v>92</v>
      </c>
      <c r="D192" s="164">
        <f t="shared" si="2"/>
        <v>1</v>
      </c>
      <c r="E192" s="164" t="s">
        <v>86</v>
      </c>
      <c r="F192" s="164" t="s">
        <v>106</v>
      </c>
      <c r="G192" s="164">
        <v>6</v>
      </c>
      <c r="H192" s="208" t="s">
        <v>17</v>
      </c>
      <c r="I192" s="208" t="s">
        <v>1604</v>
      </c>
      <c r="J192" s="164" t="s">
        <v>106</v>
      </c>
      <c r="K192" s="164" t="s">
        <v>84</v>
      </c>
      <c r="L192" s="164">
        <v>7</v>
      </c>
      <c r="M192" s="164" t="s">
        <v>40</v>
      </c>
      <c r="N192" s="208" t="s">
        <v>98</v>
      </c>
      <c r="O192" s="164"/>
      <c r="P192" s="208"/>
    </row>
    <row r="193" spans="1:16" ht="15.75">
      <c r="A193" s="164">
        <v>175</v>
      </c>
      <c r="B193" s="345">
        <v>42941</v>
      </c>
      <c r="C193" s="165" t="s">
        <v>92</v>
      </c>
      <c r="D193" s="164">
        <f t="shared" si="2"/>
        <v>2</v>
      </c>
      <c r="E193" s="164" t="s">
        <v>87</v>
      </c>
      <c r="F193" s="164" t="s">
        <v>106</v>
      </c>
      <c r="G193" s="164">
        <v>6</v>
      </c>
      <c r="H193" s="208" t="s">
        <v>18</v>
      </c>
      <c r="I193" s="208" t="s">
        <v>98</v>
      </c>
      <c r="J193" s="164" t="s">
        <v>106</v>
      </c>
      <c r="K193" s="164" t="s">
        <v>84</v>
      </c>
      <c r="L193" s="164">
        <v>7</v>
      </c>
      <c r="M193" s="164" t="s">
        <v>41</v>
      </c>
      <c r="N193" s="208" t="s">
        <v>1878</v>
      </c>
      <c r="O193" s="164"/>
      <c r="P193" s="208"/>
    </row>
    <row r="194" spans="1:16" ht="15.75">
      <c r="A194" s="164">
        <v>176</v>
      </c>
      <c r="B194" s="345">
        <v>42942</v>
      </c>
      <c r="C194" s="165" t="s">
        <v>92</v>
      </c>
      <c r="D194" s="164">
        <f t="shared" si="2"/>
        <v>3</v>
      </c>
      <c r="E194" s="164" t="s">
        <v>80</v>
      </c>
      <c r="F194" s="164" t="s">
        <v>106</v>
      </c>
      <c r="G194" s="164">
        <v>6</v>
      </c>
      <c r="H194" s="208" t="s">
        <v>19</v>
      </c>
      <c r="I194" s="208" t="s">
        <v>1824</v>
      </c>
      <c r="J194" s="164" t="s">
        <v>106</v>
      </c>
      <c r="K194" s="164" t="s">
        <v>84</v>
      </c>
      <c r="L194" s="164">
        <v>7</v>
      </c>
      <c r="M194" s="164" t="s">
        <v>42</v>
      </c>
      <c r="N194" s="208" t="s">
        <v>1889</v>
      </c>
      <c r="O194" s="164"/>
      <c r="P194" s="208"/>
    </row>
    <row r="195" spans="1:16" ht="15.75">
      <c r="A195" s="164">
        <v>177</v>
      </c>
      <c r="B195" s="345">
        <v>42943</v>
      </c>
      <c r="C195" s="165" t="s">
        <v>92</v>
      </c>
      <c r="D195" s="164">
        <f t="shared" si="2"/>
        <v>4</v>
      </c>
      <c r="E195" s="164" t="s">
        <v>81</v>
      </c>
      <c r="F195" s="164" t="s">
        <v>106</v>
      </c>
      <c r="G195" s="164">
        <v>6</v>
      </c>
      <c r="H195" s="208" t="s">
        <v>20</v>
      </c>
      <c r="I195" s="208" t="s">
        <v>1803</v>
      </c>
      <c r="J195" s="164" t="s">
        <v>106</v>
      </c>
      <c r="K195" s="164" t="s">
        <v>84</v>
      </c>
      <c r="L195" s="164">
        <v>7</v>
      </c>
      <c r="M195" s="164" t="s">
        <v>43</v>
      </c>
      <c r="N195" s="208" t="s">
        <v>1894</v>
      </c>
      <c r="O195" s="164"/>
      <c r="P195" s="208"/>
    </row>
    <row r="196" spans="1:16" ht="15.75">
      <c r="A196" s="164">
        <v>178</v>
      </c>
      <c r="B196" s="345">
        <v>42944</v>
      </c>
      <c r="C196" s="165" t="s">
        <v>92</v>
      </c>
      <c r="D196" s="164">
        <f t="shared" si="2"/>
        <v>5</v>
      </c>
      <c r="E196" s="164" t="s">
        <v>82</v>
      </c>
      <c r="F196" s="164" t="s">
        <v>106</v>
      </c>
      <c r="G196" s="164">
        <v>6</v>
      </c>
      <c r="H196" s="164" t="s">
        <v>21</v>
      </c>
      <c r="I196" s="208" t="s">
        <v>98</v>
      </c>
      <c r="J196" s="164" t="s">
        <v>106</v>
      </c>
      <c r="K196" s="164" t="s">
        <v>84</v>
      </c>
      <c r="L196" s="164">
        <v>7</v>
      </c>
      <c r="M196" s="164" t="s">
        <v>44</v>
      </c>
      <c r="N196" s="208" t="s">
        <v>1840</v>
      </c>
      <c r="O196" s="164"/>
      <c r="P196" s="208"/>
    </row>
    <row r="197" spans="1:16" ht="15.75">
      <c r="A197" s="164">
        <v>179</v>
      </c>
      <c r="B197" s="345">
        <v>42945</v>
      </c>
      <c r="C197" s="165" t="s">
        <v>92</v>
      </c>
      <c r="D197" s="164">
        <f t="shared" si="2"/>
        <v>6</v>
      </c>
      <c r="E197" s="164" t="s">
        <v>83</v>
      </c>
      <c r="F197" s="164" t="s">
        <v>84</v>
      </c>
      <c r="G197" s="164"/>
      <c r="H197" s="164"/>
      <c r="I197" s="164"/>
      <c r="J197" s="164" t="s">
        <v>84</v>
      </c>
      <c r="K197" s="164" t="s">
        <v>106</v>
      </c>
      <c r="L197" s="164">
        <v>8</v>
      </c>
      <c r="M197" s="164"/>
      <c r="N197" s="208"/>
      <c r="O197" s="208" t="s">
        <v>29</v>
      </c>
      <c r="P197" s="208" t="s">
        <v>1914</v>
      </c>
    </row>
    <row r="198" spans="1:16" ht="15.75">
      <c r="A198" s="164">
        <v>180</v>
      </c>
      <c r="B198" s="345">
        <v>42946</v>
      </c>
      <c r="C198" s="165" t="s">
        <v>92</v>
      </c>
      <c r="D198" s="164">
        <f t="shared" si="2"/>
        <v>7</v>
      </c>
      <c r="E198" s="164" t="s">
        <v>85</v>
      </c>
      <c r="F198" s="164" t="s">
        <v>84</v>
      </c>
      <c r="G198" s="164"/>
      <c r="H198" s="164"/>
      <c r="I198" s="164"/>
      <c r="J198" s="164" t="s">
        <v>84</v>
      </c>
      <c r="K198" s="164" t="s">
        <v>84</v>
      </c>
      <c r="L198" s="164"/>
      <c r="M198" s="164"/>
      <c r="N198" s="208"/>
      <c r="O198" s="164"/>
      <c r="P198" s="208"/>
    </row>
    <row r="199" spans="1:16" ht="15.75">
      <c r="A199" s="164">
        <v>181</v>
      </c>
      <c r="B199" s="345">
        <v>42947</v>
      </c>
      <c r="C199" s="165" t="s">
        <v>92</v>
      </c>
      <c r="D199" s="164">
        <f t="shared" si="2"/>
        <v>1</v>
      </c>
      <c r="E199" s="164" t="s">
        <v>86</v>
      </c>
      <c r="F199" s="164" t="s">
        <v>106</v>
      </c>
      <c r="G199" s="164">
        <v>6</v>
      </c>
      <c r="H199" s="208" t="s">
        <v>22</v>
      </c>
      <c r="I199" s="208" t="s">
        <v>1776</v>
      </c>
      <c r="J199" s="164" t="s">
        <v>106</v>
      </c>
      <c r="K199" s="164" t="s">
        <v>84</v>
      </c>
      <c r="L199" s="164">
        <v>8</v>
      </c>
      <c r="M199" s="164" t="s">
        <v>31</v>
      </c>
      <c r="N199" s="208" t="s">
        <v>1872</v>
      </c>
      <c r="O199" s="164"/>
      <c r="P199" s="208"/>
    </row>
    <row r="200" spans="1:16" ht="15.75">
      <c r="A200" s="164">
        <v>182</v>
      </c>
      <c r="B200" s="345">
        <v>42948</v>
      </c>
      <c r="C200" s="165" t="s">
        <v>94</v>
      </c>
      <c r="D200" s="164">
        <f t="shared" si="2"/>
        <v>2</v>
      </c>
      <c r="E200" s="164" t="s">
        <v>87</v>
      </c>
      <c r="F200" s="164" t="s">
        <v>106</v>
      </c>
      <c r="G200" s="164">
        <v>6</v>
      </c>
      <c r="H200" s="208" t="s">
        <v>23</v>
      </c>
      <c r="I200" s="208" t="s">
        <v>98</v>
      </c>
      <c r="J200" s="164" t="s">
        <v>106</v>
      </c>
      <c r="K200" s="164" t="s">
        <v>84</v>
      </c>
      <c r="L200" s="164">
        <v>8</v>
      </c>
      <c r="M200" s="164" t="s">
        <v>32</v>
      </c>
      <c r="N200" s="208" t="s">
        <v>1915</v>
      </c>
      <c r="O200" s="164"/>
      <c r="P200" s="208"/>
    </row>
    <row r="201" spans="1:16" ht="15.75">
      <c r="A201" s="164">
        <v>183</v>
      </c>
      <c r="B201" s="345">
        <v>42949</v>
      </c>
      <c r="C201" s="165" t="s">
        <v>94</v>
      </c>
      <c r="D201" s="164">
        <f t="shared" si="2"/>
        <v>3</v>
      </c>
      <c r="E201" s="164" t="s">
        <v>80</v>
      </c>
      <c r="F201" s="164" t="s">
        <v>106</v>
      </c>
      <c r="G201" s="164">
        <v>6</v>
      </c>
      <c r="H201" s="208" t="s">
        <v>24</v>
      </c>
      <c r="I201" s="208" t="s">
        <v>1786</v>
      </c>
      <c r="J201" s="164" t="s">
        <v>106</v>
      </c>
      <c r="K201" s="164" t="s">
        <v>84</v>
      </c>
      <c r="L201" s="164">
        <v>8</v>
      </c>
      <c r="M201" s="164" t="s">
        <v>33</v>
      </c>
      <c r="N201" s="208" t="s">
        <v>1845</v>
      </c>
      <c r="O201" s="164"/>
      <c r="P201" s="208"/>
    </row>
    <row r="202" spans="1:16" ht="15.75">
      <c r="A202" s="164">
        <v>184</v>
      </c>
      <c r="B202" s="345">
        <v>42950</v>
      </c>
      <c r="C202" s="165" t="s">
        <v>94</v>
      </c>
      <c r="D202" s="164">
        <f t="shared" si="2"/>
        <v>4</v>
      </c>
      <c r="E202" s="164" t="s">
        <v>81</v>
      </c>
      <c r="F202" s="164" t="s">
        <v>106</v>
      </c>
      <c r="G202" s="164">
        <v>6</v>
      </c>
      <c r="H202" s="208" t="s">
        <v>25</v>
      </c>
      <c r="I202" s="208" t="s">
        <v>1621</v>
      </c>
      <c r="J202" s="164" t="s">
        <v>106</v>
      </c>
      <c r="K202" s="164" t="s">
        <v>84</v>
      </c>
      <c r="L202" s="164">
        <v>8</v>
      </c>
      <c r="M202" s="164" t="s">
        <v>34</v>
      </c>
      <c r="N202" s="208" t="s">
        <v>1898</v>
      </c>
      <c r="O202" s="164"/>
      <c r="P202" s="208"/>
    </row>
    <row r="203" spans="1:16" ht="15.75">
      <c r="A203" s="164">
        <v>185</v>
      </c>
      <c r="B203" s="345">
        <v>42951</v>
      </c>
      <c r="C203" s="165" t="s">
        <v>94</v>
      </c>
      <c r="D203" s="164">
        <f t="shared" si="2"/>
        <v>5</v>
      </c>
      <c r="E203" s="164" t="s">
        <v>82</v>
      </c>
      <c r="F203" s="164" t="s">
        <v>106</v>
      </c>
      <c r="G203" s="164">
        <v>6</v>
      </c>
      <c r="H203" s="208" t="s">
        <v>26</v>
      </c>
      <c r="I203" s="208" t="s">
        <v>1804</v>
      </c>
      <c r="J203" s="164" t="s">
        <v>106</v>
      </c>
      <c r="K203" s="164" t="s">
        <v>84</v>
      </c>
      <c r="L203" s="164">
        <v>8</v>
      </c>
      <c r="M203" s="164" t="s">
        <v>35</v>
      </c>
      <c r="N203" s="208" t="s">
        <v>1874</v>
      </c>
      <c r="O203" s="164"/>
      <c r="P203" s="208"/>
    </row>
    <row r="204" spans="1:16" ht="15.75">
      <c r="A204" s="164">
        <v>186</v>
      </c>
      <c r="B204" s="345">
        <v>42952</v>
      </c>
      <c r="C204" s="165" t="s">
        <v>94</v>
      </c>
      <c r="D204" s="164">
        <f t="shared" si="2"/>
        <v>6</v>
      </c>
      <c r="E204" s="164" t="s">
        <v>83</v>
      </c>
      <c r="F204" s="164" t="s">
        <v>84</v>
      </c>
      <c r="G204" s="164"/>
      <c r="H204" s="164"/>
      <c r="I204" s="164"/>
      <c r="J204" s="164" t="s">
        <v>84</v>
      </c>
      <c r="K204" s="164" t="s">
        <v>106</v>
      </c>
      <c r="L204" s="164">
        <v>8</v>
      </c>
      <c r="M204" s="164"/>
      <c r="N204" s="208"/>
      <c r="O204" s="164" t="s">
        <v>36</v>
      </c>
      <c r="P204" s="208" t="s">
        <v>98</v>
      </c>
    </row>
    <row r="205" spans="1:16" ht="15.75">
      <c r="A205" s="164">
        <v>187</v>
      </c>
      <c r="B205" s="345">
        <v>42953</v>
      </c>
      <c r="C205" s="165" t="s">
        <v>94</v>
      </c>
      <c r="D205" s="164">
        <f t="shared" si="2"/>
        <v>7</v>
      </c>
      <c r="E205" s="164" t="s">
        <v>85</v>
      </c>
      <c r="F205" s="164" t="s">
        <v>84</v>
      </c>
      <c r="G205" s="164"/>
      <c r="H205" s="164"/>
      <c r="I205" s="164"/>
      <c r="J205" s="164" t="s">
        <v>84</v>
      </c>
      <c r="K205" s="164" t="s">
        <v>84</v>
      </c>
      <c r="L205" s="164"/>
      <c r="M205" s="164"/>
      <c r="N205" s="208"/>
      <c r="O205" s="164"/>
      <c r="P205" s="208"/>
    </row>
    <row r="206" spans="1:16" ht="15.75">
      <c r="A206" s="166">
        <v>188</v>
      </c>
      <c r="B206" s="346">
        <v>42954</v>
      </c>
      <c r="C206" s="167" t="s">
        <v>94</v>
      </c>
      <c r="D206" s="166">
        <f t="shared" si="2"/>
        <v>1</v>
      </c>
      <c r="E206" s="166" t="s">
        <v>86</v>
      </c>
      <c r="F206" s="166" t="s">
        <v>84</v>
      </c>
      <c r="G206" s="166">
        <v>6</v>
      </c>
      <c r="H206" s="166" t="s">
        <v>1765</v>
      </c>
      <c r="I206" s="166"/>
      <c r="J206" s="166" t="s">
        <v>84</v>
      </c>
      <c r="K206" s="166" t="s">
        <v>84</v>
      </c>
      <c r="L206" s="166">
        <v>8</v>
      </c>
      <c r="M206" s="166" t="s">
        <v>1770</v>
      </c>
      <c r="N206" s="209"/>
      <c r="O206" s="166"/>
      <c r="P206" s="209"/>
    </row>
    <row r="207" spans="1:16" ht="15.75">
      <c r="A207" s="164">
        <v>189</v>
      </c>
      <c r="B207" s="345">
        <v>42955</v>
      </c>
      <c r="C207" s="165" t="s">
        <v>94</v>
      </c>
      <c r="D207" s="164">
        <f t="shared" si="2"/>
        <v>2</v>
      </c>
      <c r="E207" s="164" t="s">
        <v>87</v>
      </c>
      <c r="F207" s="164" t="s">
        <v>106</v>
      </c>
      <c r="G207" s="164">
        <v>6</v>
      </c>
      <c r="H207" s="208" t="s">
        <v>28</v>
      </c>
      <c r="I207" s="208" t="s">
        <v>1617</v>
      </c>
      <c r="J207" s="164" t="s">
        <v>106</v>
      </c>
      <c r="K207" s="164" t="s">
        <v>84</v>
      </c>
      <c r="L207" s="164">
        <v>8</v>
      </c>
      <c r="M207" s="164" t="s">
        <v>38</v>
      </c>
      <c r="N207" s="208" t="s">
        <v>1929</v>
      </c>
      <c r="O207" s="164"/>
      <c r="P207" s="208"/>
    </row>
    <row r="208" spans="1:16" ht="15.75">
      <c r="A208" s="164">
        <v>190</v>
      </c>
      <c r="B208" s="345">
        <v>42956</v>
      </c>
      <c r="C208" s="165" t="s">
        <v>94</v>
      </c>
      <c r="D208" s="164">
        <f t="shared" si="2"/>
        <v>3</v>
      </c>
      <c r="E208" s="164" t="s">
        <v>80</v>
      </c>
      <c r="F208" s="164" t="s">
        <v>106</v>
      </c>
      <c r="G208" s="164">
        <v>6</v>
      </c>
      <c r="H208" s="208" t="s">
        <v>12</v>
      </c>
      <c r="I208" s="208" t="s">
        <v>1814</v>
      </c>
      <c r="J208" s="164" t="s">
        <v>106</v>
      </c>
      <c r="K208" s="164" t="s">
        <v>84</v>
      </c>
      <c r="L208" s="164">
        <v>8</v>
      </c>
      <c r="M208" s="164" t="s">
        <v>39</v>
      </c>
      <c r="N208" s="208" t="s">
        <v>98</v>
      </c>
      <c r="O208" s="164"/>
      <c r="P208" s="208"/>
    </row>
    <row r="209" spans="1:16" ht="15.75">
      <c r="A209" s="164">
        <v>191</v>
      </c>
      <c r="B209" s="345">
        <v>42957</v>
      </c>
      <c r="C209" s="165" t="s">
        <v>94</v>
      </c>
      <c r="D209" s="164">
        <f t="shared" si="2"/>
        <v>4</v>
      </c>
      <c r="E209" s="164" t="s">
        <v>81</v>
      </c>
      <c r="F209" s="164" t="s">
        <v>106</v>
      </c>
      <c r="G209" s="164">
        <v>7</v>
      </c>
      <c r="H209" s="208" t="s">
        <v>14</v>
      </c>
      <c r="I209" s="208" t="s">
        <v>1614</v>
      </c>
      <c r="J209" s="164" t="s">
        <v>106</v>
      </c>
      <c r="K209" s="164" t="s">
        <v>84</v>
      </c>
      <c r="L209" s="164">
        <v>8</v>
      </c>
      <c r="M209" s="164" t="s">
        <v>40</v>
      </c>
      <c r="N209" s="208" t="s">
        <v>98</v>
      </c>
      <c r="O209" s="164"/>
      <c r="P209" s="208"/>
    </row>
    <row r="210" spans="1:16" ht="15.75">
      <c r="A210" s="164">
        <v>192</v>
      </c>
      <c r="B210" s="345">
        <v>42958</v>
      </c>
      <c r="C210" s="165" t="s">
        <v>94</v>
      </c>
      <c r="D210" s="164">
        <f t="shared" si="2"/>
        <v>5</v>
      </c>
      <c r="E210" s="164" t="s">
        <v>82</v>
      </c>
      <c r="F210" s="164" t="s">
        <v>106</v>
      </c>
      <c r="G210" s="164">
        <v>7</v>
      </c>
      <c r="H210" s="208" t="s">
        <v>15</v>
      </c>
      <c r="I210" s="208" t="s">
        <v>1779</v>
      </c>
      <c r="J210" s="164" t="s">
        <v>106</v>
      </c>
      <c r="K210" s="164" t="s">
        <v>84</v>
      </c>
      <c r="L210" s="164">
        <v>8</v>
      </c>
      <c r="M210" s="164" t="s">
        <v>41</v>
      </c>
      <c r="N210" s="208" t="s">
        <v>1878</v>
      </c>
      <c r="O210" s="164"/>
      <c r="P210" s="208"/>
    </row>
    <row r="211" spans="1:16" ht="15.75">
      <c r="A211" s="164">
        <v>193</v>
      </c>
      <c r="B211" s="345">
        <v>42959</v>
      </c>
      <c r="C211" s="165" t="s">
        <v>94</v>
      </c>
      <c r="D211" s="164">
        <f t="shared" si="2"/>
        <v>6</v>
      </c>
      <c r="E211" s="164" t="s">
        <v>83</v>
      </c>
      <c r="F211" s="164" t="s">
        <v>84</v>
      </c>
      <c r="G211" s="164"/>
      <c r="H211" s="164"/>
      <c r="I211" s="164"/>
      <c r="J211" s="164" t="s">
        <v>84</v>
      </c>
      <c r="K211" s="164" t="s">
        <v>106</v>
      </c>
      <c r="L211" s="164">
        <v>8</v>
      </c>
      <c r="M211" s="164"/>
      <c r="N211" s="208"/>
      <c r="O211" s="164" t="s">
        <v>42</v>
      </c>
      <c r="P211" s="208" t="s">
        <v>1889</v>
      </c>
    </row>
    <row r="212" spans="1:16" ht="15.75">
      <c r="A212" s="164">
        <v>194</v>
      </c>
      <c r="B212" s="345">
        <v>42960</v>
      </c>
      <c r="C212" s="165" t="s">
        <v>94</v>
      </c>
      <c r="D212" s="164">
        <f t="shared" ref="D212:D275" si="3">WEEKDAY(B212,2)</f>
        <v>7</v>
      </c>
      <c r="E212" s="164" t="s">
        <v>85</v>
      </c>
      <c r="F212" s="164" t="s">
        <v>84</v>
      </c>
      <c r="G212" s="164"/>
      <c r="H212" s="164"/>
      <c r="I212" s="164"/>
      <c r="J212" s="164" t="s">
        <v>84</v>
      </c>
      <c r="K212" s="164" t="s">
        <v>84</v>
      </c>
      <c r="L212" s="164"/>
      <c r="M212" s="164"/>
      <c r="N212" s="208"/>
      <c r="O212" s="164"/>
      <c r="P212" s="208"/>
    </row>
    <row r="213" spans="1:16" ht="15.75">
      <c r="A213" s="164">
        <v>195</v>
      </c>
      <c r="B213" s="345">
        <v>42961</v>
      </c>
      <c r="C213" s="165" t="s">
        <v>94</v>
      </c>
      <c r="D213" s="164">
        <f t="shared" si="3"/>
        <v>1</v>
      </c>
      <c r="E213" s="164" t="s">
        <v>86</v>
      </c>
      <c r="F213" s="164" t="s">
        <v>106</v>
      </c>
      <c r="G213" s="164">
        <v>7</v>
      </c>
      <c r="H213" s="208" t="s">
        <v>16</v>
      </c>
      <c r="I213" s="208" t="s">
        <v>1805</v>
      </c>
      <c r="J213" s="164" t="s">
        <v>106</v>
      </c>
      <c r="K213" s="164" t="s">
        <v>84</v>
      </c>
      <c r="L213" s="164">
        <v>8</v>
      </c>
      <c r="M213" s="164" t="s">
        <v>43</v>
      </c>
      <c r="N213" s="208" t="s">
        <v>1919</v>
      </c>
      <c r="O213" s="164"/>
      <c r="P213" s="208"/>
    </row>
    <row r="214" spans="1:16" ht="15.75">
      <c r="A214" s="164">
        <v>196</v>
      </c>
      <c r="B214" s="345">
        <v>42962</v>
      </c>
      <c r="C214" s="165" t="s">
        <v>94</v>
      </c>
      <c r="D214" s="164">
        <f t="shared" si="3"/>
        <v>2</v>
      </c>
      <c r="E214" s="164" t="s">
        <v>87</v>
      </c>
      <c r="F214" s="164" t="s">
        <v>106</v>
      </c>
      <c r="G214" s="164">
        <v>7</v>
      </c>
      <c r="H214" s="208" t="s">
        <v>17</v>
      </c>
      <c r="I214" s="208" t="s">
        <v>1628</v>
      </c>
      <c r="J214" s="164" t="s">
        <v>106</v>
      </c>
      <c r="K214" s="164" t="s">
        <v>84</v>
      </c>
      <c r="L214" s="164">
        <v>8</v>
      </c>
      <c r="M214" s="164" t="s">
        <v>44</v>
      </c>
      <c r="N214" s="208" t="s">
        <v>1928</v>
      </c>
      <c r="O214" s="164"/>
      <c r="P214" s="208"/>
    </row>
    <row r="215" spans="1:16" ht="15.75">
      <c r="A215" s="164">
        <v>197</v>
      </c>
      <c r="B215" s="345">
        <v>42963</v>
      </c>
      <c r="C215" s="165" t="s">
        <v>94</v>
      </c>
      <c r="D215" s="164">
        <f t="shared" si="3"/>
        <v>3</v>
      </c>
      <c r="E215" s="164" t="s">
        <v>80</v>
      </c>
      <c r="F215" s="164" t="s">
        <v>106</v>
      </c>
      <c r="G215" s="164">
        <v>7</v>
      </c>
      <c r="H215" s="208" t="s">
        <v>18</v>
      </c>
      <c r="I215" s="208" t="s">
        <v>98</v>
      </c>
      <c r="J215" s="164" t="s">
        <v>106</v>
      </c>
      <c r="K215" s="164" t="s">
        <v>84</v>
      </c>
      <c r="L215" s="164">
        <v>9</v>
      </c>
      <c r="M215" s="208" t="s">
        <v>29</v>
      </c>
      <c r="N215" s="208" t="s">
        <v>1835</v>
      </c>
      <c r="O215" s="164"/>
      <c r="P215" s="208"/>
    </row>
    <row r="216" spans="1:16" ht="15.75">
      <c r="A216" s="164">
        <v>198</v>
      </c>
      <c r="B216" s="345">
        <v>42964</v>
      </c>
      <c r="C216" s="165" t="s">
        <v>94</v>
      </c>
      <c r="D216" s="164">
        <f t="shared" si="3"/>
        <v>4</v>
      </c>
      <c r="E216" s="164" t="s">
        <v>81</v>
      </c>
      <c r="F216" s="164" t="s">
        <v>106</v>
      </c>
      <c r="G216" s="164">
        <v>7</v>
      </c>
      <c r="H216" s="208" t="s">
        <v>19</v>
      </c>
      <c r="I216" s="208" t="s">
        <v>1601</v>
      </c>
      <c r="J216" s="164" t="s">
        <v>106</v>
      </c>
      <c r="K216" s="164" t="s">
        <v>84</v>
      </c>
      <c r="L216" s="164">
        <v>9</v>
      </c>
      <c r="M216" s="164" t="s">
        <v>31</v>
      </c>
      <c r="N216" s="208" t="s">
        <v>1841</v>
      </c>
      <c r="O216" s="164"/>
      <c r="P216" s="208"/>
    </row>
    <row r="217" spans="1:16" ht="15.75">
      <c r="A217" s="164">
        <v>199</v>
      </c>
      <c r="B217" s="345">
        <v>42965</v>
      </c>
      <c r="C217" s="165" t="s">
        <v>94</v>
      </c>
      <c r="D217" s="164">
        <f t="shared" si="3"/>
        <v>5</v>
      </c>
      <c r="E217" s="164" t="s">
        <v>82</v>
      </c>
      <c r="F217" s="164" t="s">
        <v>106</v>
      </c>
      <c r="G217" s="208">
        <v>7</v>
      </c>
      <c r="H217" s="208" t="s">
        <v>20</v>
      </c>
      <c r="I217" s="208" t="s">
        <v>1807</v>
      </c>
      <c r="J217" s="164" t="s">
        <v>106</v>
      </c>
      <c r="K217" s="164" t="s">
        <v>84</v>
      </c>
      <c r="L217" s="164">
        <v>9</v>
      </c>
      <c r="M217" s="164" t="s">
        <v>32</v>
      </c>
      <c r="N217" s="208" t="s">
        <v>1896</v>
      </c>
      <c r="O217" s="164"/>
      <c r="P217" s="208"/>
    </row>
    <row r="218" spans="1:16" ht="15.75">
      <c r="A218" s="164">
        <v>200</v>
      </c>
      <c r="B218" s="345">
        <v>42966</v>
      </c>
      <c r="C218" s="165" t="s">
        <v>94</v>
      </c>
      <c r="D218" s="164">
        <f t="shared" si="3"/>
        <v>6</v>
      </c>
      <c r="E218" s="164" t="s">
        <v>83</v>
      </c>
      <c r="F218" s="164" t="s">
        <v>84</v>
      </c>
      <c r="G218" s="164"/>
      <c r="H218" s="164"/>
      <c r="I218" s="164"/>
      <c r="J218" s="164" t="s">
        <v>84</v>
      </c>
      <c r="K218" s="164" t="s">
        <v>106</v>
      </c>
      <c r="L218" s="164">
        <v>9</v>
      </c>
      <c r="M218" s="164"/>
      <c r="N218" s="208"/>
      <c r="O218" s="164" t="s">
        <v>33</v>
      </c>
      <c r="P218" s="208" t="s">
        <v>1897</v>
      </c>
    </row>
    <row r="219" spans="1:16" ht="15.75">
      <c r="A219" s="164">
        <v>201</v>
      </c>
      <c r="B219" s="345">
        <v>42967</v>
      </c>
      <c r="C219" s="165" t="s">
        <v>94</v>
      </c>
      <c r="D219" s="164">
        <f t="shared" si="3"/>
        <v>7</v>
      </c>
      <c r="E219" s="164" t="s">
        <v>85</v>
      </c>
      <c r="F219" s="164" t="s">
        <v>84</v>
      </c>
      <c r="G219" s="164"/>
      <c r="H219" s="164"/>
      <c r="I219" s="164"/>
      <c r="J219" s="164" t="s">
        <v>84</v>
      </c>
      <c r="K219" s="164" t="s">
        <v>84</v>
      </c>
      <c r="L219" s="164"/>
      <c r="M219" s="164"/>
      <c r="N219" s="208"/>
      <c r="O219" s="164"/>
      <c r="P219" s="208"/>
    </row>
    <row r="220" spans="1:16" ht="15.75">
      <c r="A220" s="166">
        <v>202</v>
      </c>
      <c r="B220" s="346">
        <v>42968</v>
      </c>
      <c r="C220" s="167" t="s">
        <v>94</v>
      </c>
      <c r="D220" s="166">
        <f t="shared" si="3"/>
        <v>1</v>
      </c>
      <c r="E220" s="166" t="s">
        <v>86</v>
      </c>
      <c r="F220" s="166" t="s">
        <v>84</v>
      </c>
      <c r="G220" s="166">
        <v>7</v>
      </c>
      <c r="H220" s="166" t="s">
        <v>1766</v>
      </c>
      <c r="I220" s="166"/>
      <c r="J220" s="166" t="s">
        <v>84</v>
      </c>
      <c r="K220" s="166" t="s">
        <v>84</v>
      </c>
      <c r="L220" s="166">
        <v>9</v>
      </c>
      <c r="M220" s="166" t="s">
        <v>121</v>
      </c>
      <c r="N220" s="209"/>
      <c r="O220" s="166"/>
      <c r="P220" s="209"/>
    </row>
    <row r="221" spans="1:16" ht="15.75">
      <c r="A221" s="164">
        <v>203</v>
      </c>
      <c r="B221" s="345">
        <v>42969</v>
      </c>
      <c r="C221" s="165" t="s">
        <v>94</v>
      </c>
      <c r="D221" s="164">
        <f t="shared" si="3"/>
        <v>2</v>
      </c>
      <c r="E221" s="164" t="s">
        <v>87</v>
      </c>
      <c r="F221" s="164" t="s">
        <v>106</v>
      </c>
      <c r="G221" s="164">
        <v>7</v>
      </c>
      <c r="H221" s="208" t="s">
        <v>22</v>
      </c>
      <c r="I221" s="208" t="s">
        <v>1633</v>
      </c>
      <c r="J221" s="164" t="s">
        <v>106</v>
      </c>
      <c r="K221" s="164" t="s">
        <v>84</v>
      </c>
      <c r="L221" s="164">
        <v>9</v>
      </c>
      <c r="M221" s="164" t="s">
        <v>35</v>
      </c>
      <c r="N221" s="208" t="s">
        <v>1916</v>
      </c>
      <c r="O221" s="164"/>
      <c r="P221" s="208"/>
    </row>
    <row r="222" spans="1:16" ht="15.75">
      <c r="A222" s="164">
        <v>204</v>
      </c>
      <c r="B222" s="345">
        <v>42970</v>
      </c>
      <c r="C222" s="165" t="s">
        <v>94</v>
      </c>
      <c r="D222" s="164">
        <f t="shared" si="3"/>
        <v>3</v>
      </c>
      <c r="E222" s="164" t="s">
        <v>80</v>
      </c>
      <c r="F222" s="164" t="s">
        <v>106</v>
      </c>
      <c r="G222" s="164">
        <v>7</v>
      </c>
      <c r="H222" s="208" t="s">
        <v>23</v>
      </c>
      <c r="I222" s="208" t="s">
        <v>98</v>
      </c>
      <c r="J222" s="164" t="s">
        <v>106</v>
      </c>
      <c r="K222" s="164" t="s">
        <v>84</v>
      </c>
      <c r="L222" s="164">
        <v>9</v>
      </c>
      <c r="M222" s="164" t="s">
        <v>36</v>
      </c>
      <c r="N222" s="208" t="s">
        <v>98</v>
      </c>
      <c r="O222" s="164"/>
      <c r="P222" s="208"/>
    </row>
    <row r="223" spans="1:16" ht="15.75">
      <c r="A223" s="164">
        <v>205</v>
      </c>
      <c r="B223" s="345">
        <v>42971</v>
      </c>
      <c r="C223" s="165" t="s">
        <v>94</v>
      </c>
      <c r="D223" s="164">
        <f t="shared" si="3"/>
        <v>4</v>
      </c>
      <c r="E223" s="164" t="s">
        <v>81</v>
      </c>
      <c r="F223" s="164" t="s">
        <v>106</v>
      </c>
      <c r="G223" s="164">
        <v>7</v>
      </c>
      <c r="H223" s="208" t="s">
        <v>24</v>
      </c>
      <c r="I223" s="208" t="s">
        <v>1783</v>
      </c>
      <c r="J223" s="164" t="s">
        <v>106</v>
      </c>
      <c r="K223" s="164" t="s">
        <v>84</v>
      </c>
      <c r="L223" s="164">
        <v>9</v>
      </c>
      <c r="M223" s="164" t="s">
        <v>37</v>
      </c>
      <c r="N223" s="208" t="s">
        <v>1917</v>
      </c>
      <c r="O223" s="164"/>
      <c r="P223" s="208"/>
    </row>
    <row r="224" spans="1:16" ht="15.75">
      <c r="A224" s="164">
        <v>206</v>
      </c>
      <c r="B224" s="345">
        <v>42972</v>
      </c>
      <c r="C224" s="165" t="s">
        <v>94</v>
      </c>
      <c r="D224" s="164">
        <f t="shared" si="3"/>
        <v>5</v>
      </c>
      <c r="E224" s="164" t="s">
        <v>82</v>
      </c>
      <c r="F224" s="164" t="s">
        <v>106</v>
      </c>
      <c r="G224" s="164">
        <v>7</v>
      </c>
      <c r="H224" s="208" t="s">
        <v>25</v>
      </c>
      <c r="I224" s="208" t="s">
        <v>1790</v>
      </c>
      <c r="J224" s="164" t="s">
        <v>106</v>
      </c>
      <c r="K224" s="164" t="s">
        <v>84</v>
      </c>
      <c r="L224" s="164">
        <v>9</v>
      </c>
      <c r="M224" s="164" t="s">
        <v>38</v>
      </c>
      <c r="N224" s="208" t="s">
        <v>1867</v>
      </c>
      <c r="O224" s="164"/>
      <c r="P224" s="208"/>
    </row>
    <row r="225" spans="1:16" ht="15.75">
      <c r="A225" s="164">
        <v>207</v>
      </c>
      <c r="B225" s="345">
        <v>42973</v>
      </c>
      <c r="C225" s="165" t="s">
        <v>94</v>
      </c>
      <c r="D225" s="164">
        <f t="shared" si="3"/>
        <v>6</v>
      </c>
      <c r="E225" s="164" t="s">
        <v>83</v>
      </c>
      <c r="F225" s="164" t="s">
        <v>84</v>
      </c>
      <c r="G225" s="164"/>
      <c r="H225" s="164"/>
      <c r="I225" s="164"/>
      <c r="J225" s="164" t="s">
        <v>84</v>
      </c>
      <c r="K225" s="164" t="s">
        <v>106</v>
      </c>
      <c r="L225" s="164">
        <v>9</v>
      </c>
      <c r="M225" s="164"/>
      <c r="N225" s="208"/>
      <c r="O225" s="164" t="s">
        <v>39</v>
      </c>
      <c r="P225" s="208" t="s">
        <v>98</v>
      </c>
    </row>
    <row r="226" spans="1:16" ht="15.75">
      <c r="A226" s="164">
        <v>208</v>
      </c>
      <c r="B226" s="345">
        <v>42974</v>
      </c>
      <c r="C226" s="165" t="s">
        <v>94</v>
      </c>
      <c r="D226" s="164">
        <f t="shared" si="3"/>
        <v>7</v>
      </c>
      <c r="E226" s="164" t="s">
        <v>85</v>
      </c>
      <c r="F226" s="164" t="s">
        <v>84</v>
      </c>
      <c r="G226" s="164"/>
      <c r="H226" s="164"/>
      <c r="I226" s="164"/>
      <c r="J226" s="164" t="s">
        <v>84</v>
      </c>
      <c r="K226" s="164" t="s">
        <v>84</v>
      </c>
      <c r="L226" s="164"/>
      <c r="M226" s="164"/>
      <c r="N226" s="208"/>
      <c r="O226" s="164"/>
      <c r="P226" s="208"/>
    </row>
    <row r="227" spans="1:16" ht="15.75">
      <c r="A227" s="164">
        <v>209</v>
      </c>
      <c r="B227" s="345">
        <v>42975</v>
      </c>
      <c r="C227" s="165" t="s">
        <v>94</v>
      </c>
      <c r="D227" s="164">
        <f t="shared" si="3"/>
        <v>1</v>
      </c>
      <c r="E227" s="164" t="s">
        <v>86</v>
      </c>
      <c r="F227" s="164" t="s">
        <v>106</v>
      </c>
      <c r="G227" s="164">
        <v>7</v>
      </c>
      <c r="H227" s="208" t="s">
        <v>26</v>
      </c>
      <c r="I227" s="208" t="s">
        <v>1808</v>
      </c>
      <c r="J227" s="164" t="s">
        <v>106</v>
      </c>
      <c r="K227" s="164" t="s">
        <v>84</v>
      </c>
      <c r="L227" s="164">
        <v>9</v>
      </c>
      <c r="M227" s="164" t="s">
        <v>40</v>
      </c>
      <c r="N227" s="208" t="s">
        <v>98</v>
      </c>
      <c r="O227" s="164"/>
      <c r="P227" s="208"/>
    </row>
    <row r="228" spans="1:16" ht="15.75">
      <c r="A228" s="164">
        <v>210</v>
      </c>
      <c r="B228" s="345">
        <v>42976</v>
      </c>
      <c r="C228" s="165" t="s">
        <v>94</v>
      </c>
      <c r="D228" s="164">
        <f t="shared" si="3"/>
        <v>2</v>
      </c>
      <c r="E228" s="164" t="s">
        <v>87</v>
      </c>
      <c r="F228" s="164" t="s">
        <v>106</v>
      </c>
      <c r="G228" s="164">
        <v>7</v>
      </c>
      <c r="H228" s="208" t="s">
        <v>27</v>
      </c>
      <c r="I228" s="208" t="s">
        <v>1809</v>
      </c>
      <c r="J228" s="164" t="s">
        <v>106</v>
      </c>
      <c r="K228" s="164" t="s">
        <v>84</v>
      </c>
      <c r="L228" s="164">
        <v>9</v>
      </c>
      <c r="M228" s="164" t="s">
        <v>41</v>
      </c>
      <c r="N228" s="208" t="s">
        <v>1918</v>
      </c>
      <c r="O228" s="164"/>
      <c r="P228" s="208"/>
    </row>
    <row r="229" spans="1:16" ht="15.75">
      <c r="A229" s="164">
        <v>211</v>
      </c>
      <c r="B229" s="345">
        <v>42977</v>
      </c>
      <c r="C229" s="165" t="s">
        <v>94</v>
      </c>
      <c r="D229" s="164">
        <f t="shared" si="3"/>
        <v>3</v>
      </c>
      <c r="E229" s="164" t="s">
        <v>80</v>
      </c>
      <c r="F229" s="164" t="s">
        <v>106</v>
      </c>
      <c r="G229" s="164">
        <v>7</v>
      </c>
      <c r="H229" s="208" t="s">
        <v>28</v>
      </c>
      <c r="I229" s="208" t="s">
        <v>1816</v>
      </c>
      <c r="J229" s="164" t="s">
        <v>106</v>
      </c>
      <c r="K229" s="164" t="s">
        <v>84</v>
      </c>
      <c r="L229" s="164">
        <v>9</v>
      </c>
      <c r="M229" s="164" t="s">
        <v>42</v>
      </c>
      <c r="N229" s="208" t="s">
        <v>1902</v>
      </c>
      <c r="O229" s="164"/>
      <c r="P229" s="208"/>
    </row>
    <row r="230" spans="1:16" ht="15.75">
      <c r="A230" s="164">
        <v>212</v>
      </c>
      <c r="B230" s="345">
        <v>42978</v>
      </c>
      <c r="C230" s="165" t="s">
        <v>94</v>
      </c>
      <c r="D230" s="164">
        <f t="shared" si="3"/>
        <v>4</v>
      </c>
      <c r="E230" s="164" t="s">
        <v>81</v>
      </c>
      <c r="F230" s="164" t="s">
        <v>106</v>
      </c>
      <c r="G230" s="164">
        <v>7</v>
      </c>
      <c r="H230" s="208" t="s">
        <v>10</v>
      </c>
      <c r="I230" s="208" t="s">
        <v>1626</v>
      </c>
      <c r="J230" s="164" t="s">
        <v>106</v>
      </c>
      <c r="K230" s="164" t="s">
        <v>84</v>
      </c>
      <c r="L230" s="164">
        <v>9</v>
      </c>
      <c r="M230" s="164" t="s">
        <v>43</v>
      </c>
      <c r="N230" s="208" t="s">
        <v>1894</v>
      </c>
      <c r="O230" s="164"/>
      <c r="P230" s="208"/>
    </row>
    <row r="231" spans="1:16" ht="15.75">
      <c r="A231" s="164">
        <v>213</v>
      </c>
      <c r="B231" s="345">
        <v>42979</v>
      </c>
      <c r="C231" s="165" t="s">
        <v>95</v>
      </c>
      <c r="D231" s="164">
        <f t="shared" si="3"/>
        <v>5</v>
      </c>
      <c r="E231" s="164" t="s">
        <v>82</v>
      </c>
      <c r="F231" s="164" t="s">
        <v>106</v>
      </c>
      <c r="G231" s="164">
        <v>8</v>
      </c>
      <c r="H231" s="208" t="s">
        <v>14</v>
      </c>
      <c r="I231" s="208" t="s">
        <v>1598</v>
      </c>
      <c r="J231" s="164" t="s">
        <v>106</v>
      </c>
      <c r="K231" s="164" t="s">
        <v>84</v>
      </c>
      <c r="L231" s="164">
        <v>9</v>
      </c>
      <c r="M231" s="164" t="s">
        <v>44</v>
      </c>
      <c r="N231" s="208" t="s">
        <v>1920</v>
      </c>
      <c r="O231" s="164"/>
      <c r="P231" s="208"/>
    </row>
    <row r="232" spans="1:16" ht="15.75">
      <c r="A232" s="164">
        <v>214</v>
      </c>
      <c r="B232" s="345">
        <v>42980</v>
      </c>
      <c r="C232" s="165" t="s">
        <v>95</v>
      </c>
      <c r="D232" s="164">
        <f t="shared" si="3"/>
        <v>6</v>
      </c>
      <c r="E232" s="164" t="s">
        <v>83</v>
      </c>
      <c r="F232" s="164" t="s">
        <v>84</v>
      </c>
      <c r="G232" s="164"/>
      <c r="H232" s="164"/>
      <c r="I232" s="164"/>
      <c r="J232" s="164" t="s">
        <v>84</v>
      </c>
      <c r="K232" s="164" t="s">
        <v>106</v>
      </c>
      <c r="L232" s="164">
        <v>10</v>
      </c>
      <c r="M232" s="164"/>
      <c r="N232" s="208"/>
      <c r="O232" s="208" t="s">
        <v>29</v>
      </c>
      <c r="P232" s="208" t="s">
        <v>1904</v>
      </c>
    </row>
    <row r="233" spans="1:16" ht="15.75">
      <c r="A233" s="164">
        <v>215</v>
      </c>
      <c r="B233" s="345">
        <v>42981</v>
      </c>
      <c r="C233" s="165" t="s">
        <v>95</v>
      </c>
      <c r="D233" s="164">
        <f t="shared" si="3"/>
        <v>7</v>
      </c>
      <c r="E233" s="164" t="s">
        <v>85</v>
      </c>
      <c r="F233" s="164" t="s">
        <v>84</v>
      </c>
      <c r="G233" s="164"/>
      <c r="H233" s="164"/>
      <c r="I233" s="164"/>
      <c r="J233" s="164" t="s">
        <v>84</v>
      </c>
      <c r="K233" s="164" t="s">
        <v>84</v>
      </c>
      <c r="L233" s="164"/>
      <c r="M233" s="164"/>
      <c r="N233" s="208"/>
      <c r="O233" s="164"/>
      <c r="P233" s="208"/>
    </row>
    <row r="234" spans="1:16" ht="15.75">
      <c r="A234" s="164">
        <v>216</v>
      </c>
      <c r="B234" s="345">
        <v>42982</v>
      </c>
      <c r="C234" s="165" t="s">
        <v>95</v>
      </c>
      <c r="D234" s="164">
        <f t="shared" si="3"/>
        <v>1</v>
      </c>
      <c r="E234" s="164" t="s">
        <v>86</v>
      </c>
      <c r="F234" s="164" t="s">
        <v>106</v>
      </c>
      <c r="G234" s="164">
        <v>8</v>
      </c>
      <c r="H234" s="208" t="s">
        <v>15</v>
      </c>
      <c r="I234" s="208" t="s">
        <v>1599</v>
      </c>
      <c r="J234" s="164" t="s">
        <v>106</v>
      </c>
      <c r="K234" s="164" t="s">
        <v>84</v>
      </c>
      <c r="L234" s="208">
        <v>10</v>
      </c>
      <c r="M234" s="164" t="s">
        <v>31</v>
      </c>
      <c r="N234" s="208" t="s">
        <v>1836</v>
      </c>
      <c r="O234" s="164"/>
      <c r="P234" s="208"/>
    </row>
    <row r="235" spans="1:16" ht="15.75">
      <c r="A235" s="164">
        <v>217</v>
      </c>
      <c r="B235" s="345">
        <v>42983</v>
      </c>
      <c r="C235" s="165" t="s">
        <v>95</v>
      </c>
      <c r="D235" s="164">
        <f t="shared" si="3"/>
        <v>2</v>
      </c>
      <c r="E235" s="164" t="s">
        <v>87</v>
      </c>
      <c r="F235" s="164" t="s">
        <v>106</v>
      </c>
      <c r="G235" s="164">
        <v>8</v>
      </c>
      <c r="H235" s="208" t="s">
        <v>16</v>
      </c>
      <c r="I235" s="208" t="s">
        <v>1796</v>
      </c>
      <c r="J235" s="164" t="s">
        <v>106</v>
      </c>
      <c r="K235" s="164" t="s">
        <v>84</v>
      </c>
      <c r="L235" s="208">
        <v>10</v>
      </c>
      <c r="M235" s="164" t="s">
        <v>32</v>
      </c>
      <c r="N235" s="208" t="s">
        <v>1873</v>
      </c>
      <c r="O235" s="164"/>
      <c r="P235" s="208"/>
    </row>
    <row r="236" spans="1:16" ht="15.75">
      <c r="A236" s="164">
        <v>218</v>
      </c>
      <c r="B236" s="345">
        <v>42984</v>
      </c>
      <c r="C236" s="165" t="s">
        <v>95</v>
      </c>
      <c r="D236" s="164">
        <f t="shared" si="3"/>
        <v>3</v>
      </c>
      <c r="E236" s="164" t="s">
        <v>80</v>
      </c>
      <c r="F236" s="164" t="s">
        <v>106</v>
      </c>
      <c r="G236" s="164">
        <v>8</v>
      </c>
      <c r="H236" s="208" t="s">
        <v>17</v>
      </c>
      <c r="I236" s="208" t="s">
        <v>1600</v>
      </c>
      <c r="J236" s="164" t="s">
        <v>106</v>
      </c>
      <c r="K236" s="164" t="s">
        <v>84</v>
      </c>
      <c r="L236" s="208">
        <v>10</v>
      </c>
      <c r="M236" s="164" t="s">
        <v>33</v>
      </c>
      <c r="N236" s="208" t="s">
        <v>1921</v>
      </c>
      <c r="O236" s="164"/>
      <c r="P236" s="208"/>
    </row>
    <row r="237" spans="1:16" ht="15.75">
      <c r="A237" s="164">
        <v>219</v>
      </c>
      <c r="B237" s="345">
        <v>42985</v>
      </c>
      <c r="C237" s="165" t="s">
        <v>95</v>
      </c>
      <c r="D237" s="164">
        <f t="shared" si="3"/>
        <v>4</v>
      </c>
      <c r="E237" s="164" t="s">
        <v>81</v>
      </c>
      <c r="F237" s="164" t="s">
        <v>106</v>
      </c>
      <c r="G237" s="164">
        <v>8</v>
      </c>
      <c r="H237" s="208" t="s">
        <v>18</v>
      </c>
      <c r="I237" s="208" t="s">
        <v>98</v>
      </c>
      <c r="J237" s="164" t="s">
        <v>106</v>
      </c>
      <c r="K237" s="164" t="s">
        <v>84</v>
      </c>
      <c r="L237" s="208">
        <v>10</v>
      </c>
      <c r="M237" s="164" t="s">
        <v>34</v>
      </c>
      <c r="N237" s="208" t="s">
        <v>1922</v>
      </c>
      <c r="O237" s="164"/>
      <c r="P237" s="208"/>
    </row>
    <row r="238" spans="1:16" ht="15.75">
      <c r="A238" s="164">
        <v>220</v>
      </c>
      <c r="B238" s="345">
        <v>42986</v>
      </c>
      <c r="C238" s="165" t="s">
        <v>95</v>
      </c>
      <c r="D238" s="164">
        <f t="shared" si="3"/>
        <v>5</v>
      </c>
      <c r="E238" s="164" t="s">
        <v>82</v>
      </c>
      <c r="F238" s="164" t="s">
        <v>106</v>
      </c>
      <c r="G238" s="164">
        <v>8</v>
      </c>
      <c r="H238" s="164" t="s">
        <v>19</v>
      </c>
      <c r="I238" s="208" t="s">
        <v>1615</v>
      </c>
      <c r="J238" s="164" t="s">
        <v>106</v>
      </c>
      <c r="K238" s="164" t="s">
        <v>84</v>
      </c>
      <c r="L238" s="208">
        <v>10</v>
      </c>
      <c r="M238" s="164" t="s">
        <v>35</v>
      </c>
      <c r="N238" s="208" t="s">
        <v>1838</v>
      </c>
      <c r="O238" s="164"/>
      <c r="P238" s="208"/>
    </row>
    <row r="239" spans="1:16" ht="15.75">
      <c r="A239" s="164">
        <v>221</v>
      </c>
      <c r="B239" s="345">
        <v>42987</v>
      </c>
      <c r="C239" s="165" t="s">
        <v>95</v>
      </c>
      <c r="D239" s="164">
        <f t="shared" si="3"/>
        <v>6</v>
      </c>
      <c r="E239" s="164" t="s">
        <v>83</v>
      </c>
      <c r="F239" s="164" t="s">
        <v>84</v>
      </c>
      <c r="G239" s="164"/>
      <c r="H239" s="164"/>
      <c r="I239" s="164"/>
      <c r="J239" s="164" t="s">
        <v>84</v>
      </c>
      <c r="K239" s="164" t="s">
        <v>106</v>
      </c>
      <c r="L239" s="208">
        <v>10</v>
      </c>
      <c r="M239" s="164"/>
      <c r="N239" s="208"/>
      <c r="O239" s="164" t="s">
        <v>36</v>
      </c>
      <c r="P239" s="208" t="s">
        <v>98</v>
      </c>
    </row>
    <row r="240" spans="1:16" ht="15.75">
      <c r="A240" s="164">
        <v>222</v>
      </c>
      <c r="B240" s="345">
        <v>42988</v>
      </c>
      <c r="C240" s="165" t="s">
        <v>95</v>
      </c>
      <c r="D240" s="164">
        <f t="shared" si="3"/>
        <v>7</v>
      </c>
      <c r="E240" s="164" t="s">
        <v>85</v>
      </c>
      <c r="F240" s="164" t="s">
        <v>84</v>
      </c>
      <c r="G240" s="164"/>
      <c r="H240" s="164"/>
      <c r="I240" s="164"/>
      <c r="J240" s="164" t="s">
        <v>84</v>
      </c>
      <c r="K240" s="164" t="s">
        <v>84</v>
      </c>
      <c r="L240" s="164"/>
      <c r="M240" s="164"/>
      <c r="N240" s="208"/>
      <c r="O240" s="164"/>
      <c r="P240" s="208"/>
    </row>
    <row r="241" spans="1:16" ht="15.75">
      <c r="A241" s="164">
        <v>223</v>
      </c>
      <c r="B241" s="345">
        <v>42989</v>
      </c>
      <c r="C241" s="165" t="s">
        <v>95</v>
      </c>
      <c r="D241" s="164">
        <f t="shared" si="3"/>
        <v>1</v>
      </c>
      <c r="E241" s="164" t="s">
        <v>86</v>
      </c>
      <c r="F241" s="164" t="s">
        <v>106</v>
      </c>
      <c r="G241" s="164">
        <v>8</v>
      </c>
      <c r="H241" s="208" t="s">
        <v>20</v>
      </c>
      <c r="I241" s="208" t="s">
        <v>1788</v>
      </c>
      <c r="J241" s="164" t="s">
        <v>106</v>
      </c>
      <c r="K241" s="164" t="s">
        <v>84</v>
      </c>
      <c r="L241" s="164">
        <v>10</v>
      </c>
      <c r="M241" s="164" t="s">
        <v>37</v>
      </c>
      <c r="N241" s="208" t="s">
        <v>1876</v>
      </c>
      <c r="O241" s="164"/>
      <c r="P241" s="208"/>
    </row>
    <row r="242" spans="1:16" ht="15.75">
      <c r="A242" s="164">
        <v>224</v>
      </c>
      <c r="B242" s="345">
        <v>42990</v>
      </c>
      <c r="C242" s="165" t="s">
        <v>95</v>
      </c>
      <c r="D242" s="164">
        <f t="shared" si="3"/>
        <v>2</v>
      </c>
      <c r="E242" s="164" t="s">
        <v>87</v>
      </c>
      <c r="F242" s="164" t="s">
        <v>106</v>
      </c>
      <c r="G242" s="164">
        <v>8</v>
      </c>
      <c r="H242" s="208" t="s">
        <v>21</v>
      </c>
      <c r="I242" s="208" t="s">
        <v>98</v>
      </c>
      <c r="J242" s="164" t="s">
        <v>106</v>
      </c>
      <c r="K242" s="164" t="s">
        <v>84</v>
      </c>
      <c r="L242" s="208">
        <v>10</v>
      </c>
      <c r="M242" s="164" t="s">
        <v>38</v>
      </c>
      <c r="N242" s="208" t="s">
        <v>1853</v>
      </c>
      <c r="O242" s="164"/>
      <c r="P242" s="208"/>
    </row>
    <row r="243" spans="1:16" ht="15.75">
      <c r="A243" s="164">
        <v>225</v>
      </c>
      <c r="B243" s="345">
        <v>42991</v>
      </c>
      <c r="C243" s="165" t="s">
        <v>95</v>
      </c>
      <c r="D243" s="164">
        <f t="shared" si="3"/>
        <v>3</v>
      </c>
      <c r="E243" s="164" t="s">
        <v>80</v>
      </c>
      <c r="F243" s="164" t="s">
        <v>106</v>
      </c>
      <c r="G243" s="164">
        <v>8</v>
      </c>
      <c r="H243" s="208" t="s">
        <v>22</v>
      </c>
      <c r="I243" s="208" t="s">
        <v>1629</v>
      </c>
      <c r="J243" s="164" t="s">
        <v>106</v>
      </c>
      <c r="K243" s="164" t="s">
        <v>84</v>
      </c>
      <c r="L243" s="208">
        <v>10</v>
      </c>
      <c r="M243" s="164" t="s">
        <v>39</v>
      </c>
      <c r="N243" s="208" t="s">
        <v>98</v>
      </c>
      <c r="O243" s="164"/>
      <c r="P243" s="208"/>
    </row>
    <row r="244" spans="1:16" ht="15.75">
      <c r="A244" s="164">
        <v>226</v>
      </c>
      <c r="B244" s="345">
        <v>42992</v>
      </c>
      <c r="C244" s="165" t="s">
        <v>95</v>
      </c>
      <c r="D244" s="164">
        <f t="shared" si="3"/>
        <v>4</v>
      </c>
      <c r="E244" s="164" t="s">
        <v>81</v>
      </c>
      <c r="F244" s="164" t="s">
        <v>106</v>
      </c>
      <c r="G244" s="164">
        <v>8</v>
      </c>
      <c r="H244" s="208" t="s">
        <v>23</v>
      </c>
      <c r="I244" s="208" t="s">
        <v>98</v>
      </c>
      <c r="J244" s="164" t="s">
        <v>106</v>
      </c>
      <c r="K244" s="164" t="s">
        <v>84</v>
      </c>
      <c r="L244" s="208">
        <v>10</v>
      </c>
      <c r="M244" s="164" t="s">
        <v>40</v>
      </c>
      <c r="N244" s="208" t="s">
        <v>98</v>
      </c>
      <c r="O244" s="164"/>
      <c r="P244" s="208"/>
    </row>
    <row r="245" spans="1:16" ht="15.75">
      <c r="A245" s="164">
        <v>227</v>
      </c>
      <c r="B245" s="345">
        <v>42993</v>
      </c>
      <c r="C245" s="165" t="s">
        <v>95</v>
      </c>
      <c r="D245" s="164">
        <f t="shared" si="3"/>
        <v>5</v>
      </c>
      <c r="E245" s="164" t="s">
        <v>82</v>
      </c>
      <c r="F245" s="164" t="s">
        <v>106</v>
      </c>
      <c r="G245" s="164">
        <v>8</v>
      </c>
      <c r="H245" s="164" t="s">
        <v>24</v>
      </c>
      <c r="I245" s="208" t="s">
        <v>1785</v>
      </c>
      <c r="J245" s="164" t="s">
        <v>106</v>
      </c>
      <c r="K245" s="164" t="s">
        <v>84</v>
      </c>
      <c r="L245" s="208">
        <v>10</v>
      </c>
      <c r="M245" s="164" t="s">
        <v>41</v>
      </c>
      <c r="N245" s="208" t="s">
        <v>1854</v>
      </c>
      <c r="O245" s="164"/>
      <c r="P245" s="208"/>
    </row>
    <row r="246" spans="1:16" ht="15.75">
      <c r="A246" s="164">
        <v>228</v>
      </c>
      <c r="B246" s="345">
        <v>42994</v>
      </c>
      <c r="C246" s="165" t="s">
        <v>95</v>
      </c>
      <c r="D246" s="164">
        <f t="shared" si="3"/>
        <v>6</v>
      </c>
      <c r="E246" s="164" t="s">
        <v>83</v>
      </c>
      <c r="F246" s="164" t="s">
        <v>84</v>
      </c>
      <c r="G246" s="164"/>
      <c r="H246" s="164"/>
      <c r="I246" s="164"/>
      <c r="J246" s="164" t="s">
        <v>84</v>
      </c>
      <c r="K246" s="164" t="s">
        <v>106</v>
      </c>
      <c r="L246" s="208">
        <v>10</v>
      </c>
      <c r="M246" s="164"/>
      <c r="N246" s="208"/>
      <c r="O246" s="164" t="s">
        <v>42</v>
      </c>
      <c r="P246" s="208" t="s">
        <v>1855</v>
      </c>
    </row>
    <row r="247" spans="1:16" ht="15.75">
      <c r="A247" s="164">
        <v>229</v>
      </c>
      <c r="B247" s="345">
        <v>42995</v>
      </c>
      <c r="C247" s="165" t="s">
        <v>95</v>
      </c>
      <c r="D247" s="164">
        <f t="shared" si="3"/>
        <v>7</v>
      </c>
      <c r="E247" s="164" t="s">
        <v>85</v>
      </c>
      <c r="F247" s="164" t="s">
        <v>84</v>
      </c>
      <c r="G247" s="164"/>
      <c r="H247" s="164"/>
      <c r="I247" s="164"/>
      <c r="J247" s="164" t="s">
        <v>84</v>
      </c>
      <c r="K247" s="164" t="s">
        <v>84</v>
      </c>
      <c r="L247" s="164"/>
      <c r="M247" s="164"/>
      <c r="N247" s="208"/>
      <c r="O247" s="164"/>
      <c r="P247" s="208"/>
    </row>
    <row r="248" spans="1:16" ht="15.75">
      <c r="A248" s="164">
        <v>230</v>
      </c>
      <c r="B248" s="345">
        <v>42996</v>
      </c>
      <c r="C248" s="165" t="s">
        <v>95</v>
      </c>
      <c r="D248" s="164">
        <f t="shared" si="3"/>
        <v>1</v>
      </c>
      <c r="E248" s="164" t="s">
        <v>86</v>
      </c>
      <c r="F248" s="164" t="s">
        <v>106</v>
      </c>
      <c r="G248" s="164">
        <v>8</v>
      </c>
      <c r="H248" s="208" t="s">
        <v>25</v>
      </c>
      <c r="I248" s="208" t="s">
        <v>1637</v>
      </c>
      <c r="J248" s="164" t="s">
        <v>106</v>
      </c>
      <c r="K248" s="164" t="s">
        <v>84</v>
      </c>
      <c r="L248" s="164">
        <v>10</v>
      </c>
      <c r="M248" s="164" t="s">
        <v>43</v>
      </c>
      <c r="N248" s="208" t="s">
        <v>1923</v>
      </c>
      <c r="O248" s="164"/>
      <c r="P248" s="208"/>
    </row>
    <row r="249" spans="1:16" ht="15.75">
      <c r="A249" s="164">
        <v>231</v>
      </c>
      <c r="B249" s="345">
        <v>42997</v>
      </c>
      <c r="C249" s="165" t="s">
        <v>95</v>
      </c>
      <c r="D249" s="164">
        <f t="shared" si="3"/>
        <v>2</v>
      </c>
      <c r="E249" s="164" t="s">
        <v>87</v>
      </c>
      <c r="F249" s="164" t="s">
        <v>106</v>
      </c>
      <c r="G249" s="164">
        <v>8</v>
      </c>
      <c r="H249" s="208" t="s">
        <v>26</v>
      </c>
      <c r="I249" s="208" t="s">
        <v>1793</v>
      </c>
      <c r="J249" s="164" t="s">
        <v>106</v>
      </c>
      <c r="K249" s="164" t="s">
        <v>84</v>
      </c>
      <c r="L249" s="208">
        <v>10</v>
      </c>
      <c r="M249" s="164" t="s">
        <v>44</v>
      </c>
      <c r="N249" s="208" t="s">
        <v>1860</v>
      </c>
      <c r="O249" s="208"/>
      <c r="P249" s="208"/>
    </row>
    <row r="250" spans="1:16" ht="15.75">
      <c r="A250" s="164">
        <v>232</v>
      </c>
      <c r="B250" s="345">
        <v>42998</v>
      </c>
      <c r="C250" s="165" t="s">
        <v>95</v>
      </c>
      <c r="D250" s="164">
        <f t="shared" si="3"/>
        <v>3</v>
      </c>
      <c r="E250" s="164" t="s">
        <v>80</v>
      </c>
      <c r="F250" s="164" t="s">
        <v>106</v>
      </c>
      <c r="G250" s="164">
        <v>8</v>
      </c>
      <c r="H250" s="208" t="s">
        <v>27</v>
      </c>
      <c r="I250" s="208" t="s">
        <v>1802</v>
      </c>
      <c r="J250" s="164" t="s">
        <v>106</v>
      </c>
      <c r="K250" s="164" t="s">
        <v>84</v>
      </c>
      <c r="L250" s="164">
        <v>11</v>
      </c>
      <c r="M250" s="208" t="s">
        <v>29</v>
      </c>
      <c r="N250" s="208" t="s">
        <v>1859</v>
      </c>
      <c r="O250" s="164"/>
      <c r="P250" s="208"/>
    </row>
    <row r="251" spans="1:16" ht="15.75">
      <c r="A251" s="164">
        <v>233</v>
      </c>
      <c r="B251" s="345">
        <v>42999</v>
      </c>
      <c r="C251" s="165" t="s">
        <v>95</v>
      </c>
      <c r="D251" s="164">
        <f t="shared" si="3"/>
        <v>4</v>
      </c>
      <c r="E251" s="164" t="s">
        <v>81</v>
      </c>
      <c r="F251" s="164" t="s">
        <v>106</v>
      </c>
      <c r="G251" s="164">
        <v>8</v>
      </c>
      <c r="H251" s="208" t="s">
        <v>28</v>
      </c>
      <c r="I251" s="208" t="s">
        <v>1811</v>
      </c>
      <c r="J251" s="164" t="s">
        <v>106</v>
      </c>
      <c r="K251" s="164" t="s">
        <v>84</v>
      </c>
      <c r="L251" s="164">
        <v>11</v>
      </c>
      <c r="M251" s="164" t="s">
        <v>31</v>
      </c>
      <c r="N251" s="208" t="s">
        <v>1931</v>
      </c>
      <c r="O251" s="164"/>
      <c r="P251" s="208"/>
    </row>
    <row r="252" spans="1:16" ht="15.75">
      <c r="A252" s="164">
        <v>234</v>
      </c>
      <c r="B252" s="345">
        <v>43000</v>
      </c>
      <c r="C252" s="165" t="s">
        <v>95</v>
      </c>
      <c r="D252" s="164">
        <f t="shared" si="3"/>
        <v>5</v>
      </c>
      <c r="E252" s="164" t="s">
        <v>82</v>
      </c>
      <c r="F252" s="164" t="s">
        <v>106</v>
      </c>
      <c r="G252" s="164">
        <v>8</v>
      </c>
      <c r="H252" s="208" t="s">
        <v>11</v>
      </c>
      <c r="I252" s="208" t="s">
        <v>1618</v>
      </c>
      <c r="J252" s="164" t="s">
        <v>106</v>
      </c>
      <c r="K252" s="164" t="s">
        <v>84</v>
      </c>
      <c r="L252" s="164">
        <v>11</v>
      </c>
      <c r="M252" s="164" t="s">
        <v>32</v>
      </c>
      <c r="N252" s="208" t="s">
        <v>1828</v>
      </c>
      <c r="O252" s="164"/>
      <c r="P252" s="208"/>
    </row>
    <row r="253" spans="1:16" ht="15.75">
      <c r="A253" s="164">
        <v>235</v>
      </c>
      <c r="B253" s="345">
        <v>43001</v>
      </c>
      <c r="C253" s="165" t="s">
        <v>95</v>
      </c>
      <c r="D253" s="164">
        <f t="shared" si="3"/>
        <v>6</v>
      </c>
      <c r="E253" s="164" t="s">
        <v>83</v>
      </c>
      <c r="F253" s="164" t="s">
        <v>84</v>
      </c>
      <c r="G253" s="164"/>
      <c r="H253" s="164"/>
      <c r="I253" s="164"/>
      <c r="J253" s="164" t="s">
        <v>84</v>
      </c>
      <c r="K253" s="164" t="s">
        <v>106</v>
      </c>
      <c r="L253" s="164">
        <v>11</v>
      </c>
      <c r="M253" s="164"/>
      <c r="N253" s="208"/>
      <c r="O253" s="164" t="s">
        <v>33</v>
      </c>
      <c r="P253" s="208" t="s">
        <v>1861</v>
      </c>
    </row>
    <row r="254" spans="1:16" ht="15.75">
      <c r="A254" s="164">
        <v>236</v>
      </c>
      <c r="B254" s="345">
        <v>43002</v>
      </c>
      <c r="C254" s="165" t="s">
        <v>95</v>
      </c>
      <c r="D254" s="164">
        <f t="shared" si="3"/>
        <v>7</v>
      </c>
      <c r="E254" s="164" t="s">
        <v>85</v>
      </c>
      <c r="F254" s="164" t="s">
        <v>84</v>
      </c>
      <c r="G254" s="164"/>
      <c r="H254" s="164"/>
      <c r="I254" s="164"/>
      <c r="J254" s="164" t="s">
        <v>84</v>
      </c>
      <c r="K254" s="164" t="s">
        <v>84</v>
      </c>
      <c r="L254" s="164"/>
      <c r="M254" s="164"/>
      <c r="N254" s="208"/>
      <c r="O254" s="164"/>
      <c r="P254" s="208"/>
    </row>
    <row r="255" spans="1:16" ht="15.75">
      <c r="A255" s="164">
        <v>237</v>
      </c>
      <c r="B255" s="345">
        <v>43003</v>
      </c>
      <c r="C255" s="165" t="s">
        <v>95</v>
      </c>
      <c r="D255" s="164">
        <f t="shared" si="3"/>
        <v>1</v>
      </c>
      <c r="E255" s="164" t="s">
        <v>86</v>
      </c>
      <c r="F255" s="164" t="s">
        <v>106</v>
      </c>
      <c r="G255" s="164">
        <v>9</v>
      </c>
      <c r="H255" s="208" t="s">
        <v>14</v>
      </c>
      <c r="I255" s="208" t="s">
        <v>1826</v>
      </c>
      <c r="J255" s="164" t="s">
        <v>106</v>
      </c>
      <c r="K255" s="164" t="s">
        <v>84</v>
      </c>
      <c r="L255" s="208">
        <v>11</v>
      </c>
      <c r="M255" s="164" t="s">
        <v>34</v>
      </c>
      <c r="N255" s="208" t="s">
        <v>1862</v>
      </c>
      <c r="O255" s="164"/>
      <c r="P255" s="208"/>
    </row>
    <row r="256" spans="1:16" ht="15.75">
      <c r="A256" s="164">
        <v>238</v>
      </c>
      <c r="B256" s="345">
        <v>43004</v>
      </c>
      <c r="C256" s="165" t="s">
        <v>95</v>
      </c>
      <c r="D256" s="164">
        <f t="shared" si="3"/>
        <v>2</v>
      </c>
      <c r="E256" s="164" t="s">
        <v>87</v>
      </c>
      <c r="F256" s="164" t="s">
        <v>106</v>
      </c>
      <c r="G256" s="164">
        <v>9</v>
      </c>
      <c r="H256" s="208" t="s">
        <v>15</v>
      </c>
      <c r="I256" s="208" t="s">
        <v>1636</v>
      </c>
      <c r="J256" s="164" t="s">
        <v>106</v>
      </c>
      <c r="K256" s="164" t="s">
        <v>84</v>
      </c>
      <c r="L256" s="208">
        <v>11</v>
      </c>
      <c r="M256" s="164" t="s">
        <v>35</v>
      </c>
      <c r="N256" s="208" t="s">
        <v>1892</v>
      </c>
      <c r="O256" s="164"/>
      <c r="P256" s="208"/>
    </row>
    <row r="257" spans="1:16" ht="15.75">
      <c r="A257" s="164">
        <v>239</v>
      </c>
      <c r="B257" s="345">
        <v>43005</v>
      </c>
      <c r="C257" s="165" t="s">
        <v>95</v>
      </c>
      <c r="D257" s="164">
        <f t="shared" si="3"/>
        <v>3</v>
      </c>
      <c r="E257" s="164" t="s">
        <v>80</v>
      </c>
      <c r="F257" s="164" t="s">
        <v>106</v>
      </c>
      <c r="G257" s="164">
        <v>9</v>
      </c>
      <c r="H257" s="208" t="s">
        <v>16</v>
      </c>
      <c r="I257" s="208" t="s">
        <v>1799</v>
      </c>
      <c r="J257" s="164" t="s">
        <v>106</v>
      </c>
      <c r="K257" s="164" t="s">
        <v>84</v>
      </c>
      <c r="L257" s="208">
        <v>11</v>
      </c>
      <c r="M257" s="164" t="s">
        <v>36</v>
      </c>
      <c r="N257" s="208" t="s">
        <v>98</v>
      </c>
      <c r="O257" s="164"/>
      <c r="P257" s="208"/>
    </row>
    <row r="258" spans="1:16" ht="15.75">
      <c r="A258" s="164">
        <v>240</v>
      </c>
      <c r="B258" s="345">
        <v>43006</v>
      </c>
      <c r="C258" s="165" t="s">
        <v>95</v>
      </c>
      <c r="D258" s="164">
        <f t="shared" si="3"/>
        <v>4</v>
      </c>
      <c r="E258" s="164" t="s">
        <v>81</v>
      </c>
      <c r="F258" s="164" t="s">
        <v>106</v>
      </c>
      <c r="G258" s="164">
        <v>9</v>
      </c>
      <c r="H258" s="208" t="s">
        <v>17</v>
      </c>
      <c r="I258" s="208" t="s">
        <v>1627</v>
      </c>
      <c r="J258" s="164" t="s">
        <v>106</v>
      </c>
      <c r="K258" s="164" t="s">
        <v>84</v>
      </c>
      <c r="L258" s="208">
        <v>11</v>
      </c>
      <c r="M258" s="164" t="s">
        <v>37</v>
      </c>
      <c r="N258" s="208" t="s">
        <v>1877</v>
      </c>
      <c r="O258" s="164"/>
      <c r="P258" s="208"/>
    </row>
    <row r="259" spans="1:16" ht="15.75">
      <c r="A259" s="164">
        <v>241</v>
      </c>
      <c r="B259" s="345">
        <v>43007</v>
      </c>
      <c r="C259" s="165" t="s">
        <v>95</v>
      </c>
      <c r="D259" s="164">
        <f t="shared" si="3"/>
        <v>5</v>
      </c>
      <c r="E259" s="164" t="s">
        <v>82</v>
      </c>
      <c r="F259" s="164" t="s">
        <v>106</v>
      </c>
      <c r="G259" s="164">
        <v>9</v>
      </c>
      <c r="H259" s="164" t="s">
        <v>18</v>
      </c>
      <c r="I259" s="208" t="s">
        <v>98</v>
      </c>
      <c r="J259" s="164" t="s">
        <v>106</v>
      </c>
      <c r="K259" s="164" t="s">
        <v>84</v>
      </c>
      <c r="L259" s="208">
        <v>11</v>
      </c>
      <c r="M259" s="164" t="s">
        <v>38</v>
      </c>
      <c r="N259" s="208" t="s">
        <v>1846</v>
      </c>
      <c r="O259" s="164"/>
      <c r="P259" s="208"/>
    </row>
    <row r="260" spans="1:16" ht="15.75">
      <c r="A260" s="164">
        <v>242</v>
      </c>
      <c r="B260" s="345">
        <v>43008</v>
      </c>
      <c r="C260" s="165" t="s">
        <v>95</v>
      </c>
      <c r="D260" s="164">
        <f t="shared" si="3"/>
        <v>6</v>
      </c>
      <c r="E260" s="164" t="s">
        <v>83</v>
      </c>
      <c r="F260" s="164" t="s">
        <v>84</v>
      </c>
      <c r="G260" s="164"/>
      <c r="H260" s="164"/>
      <c r="I260" s="208"/>
      <c r="J260" s="164" t="s">
        <v>84</v>
      </c>
      <c r="K260" s="164" t="s">
        <v>106</v>
      </c>
      <c r="L260" s="208">
        <v>11</v>
      </c>
      <c r="M260" s="164"/>
      <c r="N260" s="208"/>
      <c r="O260" s="164" t="s">
        <v>39</v>
      </c>
      <c r="P260" s="208" t="s">
        <v>98</v>
      </c>
    </row>
    <row r="261" spans="1:16" ht="15.75">
      <c r="A261" s="164">
        <v>243</v>
      </c>
      <c r="B261" s="345">
        <v>43009</v>
      </c>
      <c r="C261" s="165" t="s">
        <v>96</v>
      </c>
      <c r="D261" s="164">
        <f t="shared" si="3"/>
        <v>7</v>
      </c>
      <c r="E261" s="164" t="s">
        <v>85</v>
      </c>
      <c r="F261" s="164" t="s">
        <v>84</v>
      </c>
      <c r="G261" s="164"/>
      <c r="H261" s="164"/>
      <c r="I261" s="164"/>
      <c r="J261" s="164" t="s">
        <v>84</v>
      </c>
      <c r="K261" s="164" t="s">
        <v>84</v>
      </c>
      <c r="L261" s="164"/>
      <c r="M261" s="164"/>
      <c r="N261" s="208"/>
      <c r="O261" s="164"/>
      <c r="P261" s="208"/>
    </row>
    <row r="262" spans="1:16" ht="15.75">
      <c r="A262" s="164">
        <v>244</v>
      </c>
      <c r="B262" s="345">
        <v>43010</v>
      </c>
      <c r="C262" s="165" t="s">
        <v>96</v>
      </c>
      <c r="D262" s="164">
        <f t="shared" si="3"/>
        <v>1</v>
      </c>
      <c r="E262" s="164" t="s">
        <v>86</v>
      </c>
      <c r="F262" s="164" t="s">
        <v>106</v>
      </c>
      <c r="G262" s="164">
        <v>9</v>
      </c>
      <c r="H262" s="208" t="s">
        <v>19</v>
      </c>
      <c r="I262" s="208" t="s">
        <v>1615</v>
      </c>
      <c r="J262" s="164" t="s">
        <v>106</v>
      </c>
      <c r="K262" s="164" t="s">
        <v>84</v>
      </c>
      <c r="L262" s="208">
        <v>11</v>
      </c>
      <c r="M262" s="164" t="s">
        <v>40</v>
      </c>
      <c r="N262" s="208" t="s">
        <v>98</v>
      </c>
      <c r="O262" s="164"/>
      <c r="P262" s="208"/>
    </row>
    <row r="263" spans="1:16" ht="15.75">
      <c r="A263" s="164">
        <v>245</v>
      </c>
      <c r="B263" s="345">
        <v>43011</v>
      </c>
      <c r="C263" s="165" t="s">
        <v>96</v>
      </c>
      <c r="D263" s="164">
        <f t="shared" si="3"/>
        <v>2</v>
      </c>
      <c r="E263" s="164" t="s">
        <v>87</v>
      </c>
      <c r="F263" s="164" t="s">
        <v>106</v>
      </c>
      <c r="G263" s="164">
        <v>9</v>
      </c>
      <c r="H263" s="208" t="s">
        <v>20</v>
      </c>
      <c r="I263" s="208" t="s">
        <v>1820</v>
      </c>
      <c r="J263" s="164" t="s">
        <v>106</v>
      </c>
      <c r="K263" s="164" t="s">
        <v>84</v>
      </c>
      <c r="L263" s="208">
        <v>11</v>
      </c>
      <c r="M263" s="164" t="s">
        <v>41</v>
      </c>
      <c r="N263" s="208" t="s">
        <v>1888</v>
      </c>
      <c r="O263" s="164"/>
      <c r="P263" s="208"/>
    </row>
    <row r="264" spans="1:16" ht="15.75">
      <c r="A264" s="164">
        <v>246</v>
      </c>
      <c r="B264" s="345">
        <v>43012</v>
      </c>
      <c r="C264" s="165" t="s">
        <v>96</v>
      </c>
      <c r="D264" s="164">
        <f t="shared" si="3"/>
        <v>3</v>
      </c>
      <c r="E264" s="164" t="s">
        <v>80</v>
      </c>
      <c r="F264" s="164" t="s">
        <v>106</v>
      </c>
      <c r="G264" s="164">
        <v>9</v>
      </c>
      <c r="H264" s="208" t="s">
        <v>21</v>
      </c>
      <c r="I264" s="208" t="s">
        <v>98</v>
      </c>
      <c r="J264" s="164" t="s">
        <v>106</v>
      </c>
      <c r="K264" s="164" t="s">
        <v>84</v>
      </c>
      <c r="L264" s="208">
        <v>11</v>
      </c>
      <c r="M264" s="164" t="s">
        <v>42</v>
      </c>
      <c r="N264" s="208" t="s">
        <v>1924</v>
      </c>
      <c r="O264" s="164"/>
      <c r="P264" s="208"/>
    </row>
    <row r="265" spans="1:16" ht="15.75">
      <c r="A265" s="164">
        <v>247</v>
      </c>
      <c r="B265" s="345">
        <v>43013</v>
      </c>
      <c r="C265" s="165" t="s">
        <v>96</v>
      </c>
      <c r="D265" s="164">
        <f t="shared" si="3"/>
        <v>4</v>
      </c>
      <c r="E265" s="164" t="s">
        <v>81</v>
      </c>
      <c r="F265" s="164" t="s">
        <v>106</v>
      </c>
      <c r="G265" s="164">
        <v>9</v>
      </c>
      <c r="H265" s="208" t="s">
        <v>22</v>
      </c>
      <c r="I265" s="208" t="s">
        <v>1798</v>
      </c>
      <c r="J265" s="164" t="s">
        <v>106</v>
      </c>
      <c r="K265" s="164" t="s">
        <v>84</v>
      </c>
      <c r="L265" s="208">
        <v>11</v>
      </c>
      <c r="M265" s="164" t="s">
        <v>43</v>
      </c>
      <c r="N265" s="208" t="s">
        <v>1857</v>
      </c>
      <c r="O265" s="164"/>
      <c r="P265" s="208"/>
    </row>
    <row r="266" spans="1:16" ht="15.75">
      <c r="A266" s="164">
        <v>248</v>
      </c>
      <c r="B266" s="345">
        <v>43014</v>
      </c>
      <c r="C266" s="165" t="s">
        <v>96</v>
      </c>
      <c r="D266" s="164">
        <f t="shared" si="3"/>
        <v>5</v>
      </c>
      <c r="E266" s="164" t="s">
        <v>82</v>
      </c>
      <c r="F266" s="164" t="s">
        <v>106</v>
      </c>
      <c r="G266" s="164">
        <v>9</v>
      </c>
      <c r="H266" s="164" t="s">
        <v>23</v>
      </c>
      <c r="I266" s="208" t="s">
        <v>98</v>
      </c>
      <c r="J266" s="164" t="s">
        <v>106</v>
      </c>
      <c r="K266" s="164" t="s">
        <v>84</v>
      </c>
      <c r="L266" s="208">
        <v>11</v>
      </c>
      <c r="M266" s="164" t="s">
        <v>44</v>
      </c>
      <c r="N266" s="208" t="s">
        <v>1860</v>
      </c>
      <c r="O266" s="164"/>
      <c r="P266" s="208"/>
    </row>
    <row r="267" spans="1:16" ht="15.75">
      <c r="A267" s="164">
        <v>249</v>
      </c>
      <c r="B267" s="345">
        <v>43015</v>
      </c>
      <c r="C267" s="165" t="s">
        <v>96</v>
      </c>
      <c r="D267" s="164">
        <f t="shared" si="3"/>
        <v>6</v>
      </c>
      <c r="E267" s="164" t="s">
        <v>83</v>
      </c>
      <c r="F267" s="164" t="s">
        <v>84</v>
      </c>
      <c r="G267" s="164"/>
      <c r="H267" s="164"/>
      <c r="I267" s="164"/>
      <c r="J267" s="164" t="s">
        <v>84</v>
      </c>
      <c r="K267" s="164" t="s">
        <v>106</v>
      </c>
      <c r="L267" s="164">
        <v>12</v>
      </c>
      <c r="M267" s="164"/>
      <c r="N267" s="208"/>
      <c r="O267" s="208" t="s">
        <v>29</v>
      </c>
      <c r="P267" s="208" t="s">
        <v>1870</v>
      </c>
    </row>
    <row r="268" spans="1:16" ht="15.75">
      <c r="A268" s="164">
        <v>250</v>
      </c>
      <c r="B268" s="345">
        <v>43016</v>
      </c>
      <c r="C268" s="165" t="s">
        <v>96</v>
      </c>
      <c r="D268" s="164">
        <f t="shared" si="3"/>
        <v>7</v>
      </c>
      <c r="E268" s="164" t="s">
        <v>85</v>
      </c>
      <c r="F268" s="164" t="s">
        <v>84</v>
      </c>
      <c r="G268" s="164"/>
      <c r="H268" s="164"/>
      <c r="I268" s="164"/>
      <c r="J268" s="164" t="s">
        <v>84</v>
      </c>
      <c r="K268" s="164" t="s">
        <v>84</v>
      </c>
      <c r="L268" s="164"/>
      <c r="M268" s="164"/>
      <c r="N268" s="208"/>
      <c r="O268" s="164"/>
      <c r="P268" s="208"/>
    </row>
    <row r="269" spans="1:16" ht="15.75">
      <c r="A269" s="168">
        <v>251</v>
      </c>
      <c r="B269" s="347">
        <v>43017</v>
      </c>
      <c r="C269" s="169" t="s">
        <v>96</v>
      </c>
      <c r="D269" s="168">
        <f t="shared" si="3"/>
        <v>1</v>
      </c>
      <c r="E269" s="168" t="s">
        <v>86</v>
      </c>
      <c r="F269" s="168" t="s">
        <v>84</v>
      </c>
      <c r="G269" s="168"/>
      <c r="H269" s="168" t="s">
        <v>1339</v>
      </c>
      <c r="I269" s="168"/>
      <c r="J269" s="168" t="s">
        <v>84</v>
      </c>
      <c r="K269" s="168" t="s">
        <v>84</v>
      </c>
      <c r="L269" s="168"/>
      <c r="M269" s="168" t="s">
        <v>1339</v>
      </c>
      <c r="N269" s="210"/>
      <c r="O269" s="168"/>
      <c r="P269" s="210"/>
    </row>
    <row r="270" spans="1:16" ht="15.75">
      <c r="A270" s="168">
        <v>252</v>
      </c>
      <c r="B270" s="347">
        <v>43018</v>
      </c>
      <c r="C270" s="169" t="s">
        <v>96</v>
      </c>
      <c r="D270" s="168">
        <f t="shared" si="3"/>
        <v>2</v>
      </c>
      <c r="E270" s="168" t="s">
        <v>87</v>
      </c>
      <c r="F270" s="168" t="s">
        <v>84</v>
      </c>
      <c r="G270" s="168"/>
      <c r="H270" s="168" t="s">
        <v>1339</v>
      </c>
      <c r="I270" s="168"/>
      <c r="J270" s="168" t="s">
        <v>84</v>
      </c>
      <c r="K270" s="168" t="s">
        <v>84</v>
      </c>
      <c r="L270" s="168"/>
      <c r="M270" s="168" t="s">
        <v>1339</v>
      </c>
      <c r="N270" s="210"/>
      <c r="O270" s="168"/>
      <c r="P270" s="210"/>
    </row>
    <row r="271" spans="1:16" ht="15.75">
      <c r="A271" s="168">
        <v>253</v>
      </c>
      <c r="B271" s="347">
        <v>43019</v>
      </c>
      <c r="C271" s="169" t="s">
        <v>96</v>
      </c>
      <c r="D271" s="168">
        <f t="shared" si="3"/>
        <v>3</v>
      </c>
      <c r="E271" s="168" t="s">
        <v>80</v>
      </c>
      <c r="F271" s="168" t="s">
        <v>84</v>
      </c>
      <c r="G271" s="168"/>
      <c r="H271" s="168" t="s">
        <v>1339</v>
      </c>
      <c r="I271" s="168"/>
      <c r="J271" s="168" t="s">
        <v>84</v>
      </c>
      <c r="K271" s="168" t="s">
        <v>84</v>
      </c>
      <c r="L271" s="168"/>
      <c r="M271" s="168" t="s">
        <v>1339</v>
      </c>
      <c r="N271" s="210"/>
      <c r="O271" s="168"/>
      <c r="P271" s="210"/>
    </row>
    <row r="272" spans="1:16" ht="15.75">
      <c r="A272" s="168">
        <v>254</v>
      </c>
      <c r="B272" s="347">
        <v>43020</v>
      </c>
      <c r="C272" s="169" t="s">
        <v>96</v>
      </c>
      <c r="D272" s="168">
        <f t="shared" si="3"/>
        <v>4</v>
      </c>
      <c r="E272" s="168" t="s">
        <v>81</v>
      </c>
      <c r="F272" s="168" t="s">
        <v>84</v>
      </c>
      <c r="G272" s="168"/>
      <c r="H272" s="168" t="s">
        <v>1339</v>
      </c>
      <c r="I272" s="168"/>
      <c r="J272" s="168" t="s">
        <v>84</v>
      </c>
      <c r="K272" s="168" t="s">
        <v>84</v>
      </c>
      <c r="L272" s="168"/>
      <c r="M272" s="168" t="s">
        <v>1339</v>
      </c>
      <c r="N272" s="210"/>
      <c r="O272" s="168"/>
      <c r="P272" s="210"/>
    </row>
    <row r="273" spans="1:16" ht="15.75">
      <c r="A273" s="168">
        <v>255</v>
      </c>
      <c r="B273" s="347">
        <v>43021</v>
      </c>
      <c r="C273" s="169" t="s">
        <v>96</v>
      </c>
      <c r="D273" s="168">
        <f t="shared" si="3"/>
        <v>5</v>
      </c>
      <c r="E273" s="168" t="s">
        <v>82</v>
      </c>
      <c r="F273" s="168" t="s">
        <v>84</v>
      </c>
      <c r="G273" s="168"/>
      <c r="H273" s="168" t="s">
        <v>1339</v>
      </c>
      <c r="I273" s="168"/>
      <c r="J273" s="168" t="s">
        <v>84</v>
      </c>
      <c r="K273" s="168" t="s">
        <v>84</v>
      </c>
      <c r="L273" s="168"/>
      <c r="M273" s="168" t="s">
        <v>1339</v>
      </c>
      <c r="N273" s="210"/>
      <c r="O273" s="168"/>
      <c r="P273" s="210"/>
    </row>
    <row r="274" spans="1:16" ht="15.75">
      <c r="A274" s="168">
        <v>256</v>
      </c>
      <c r="B274" s="347">
        <v>43022</v>
      </c>
      <c r="C274" s="169" t="s">
        <v>96</v>
      </c>
      <c r="D274" s="168">
        <f t="shared" si="3"/>
        <v>6</v>
      </c>
      <c r="E274" s="168" t="s">
        <v>83</v>
      </c>
      <c r="F274" s="168" t="s">
        <v>84</v>
      </c>
      <c r="G274" s="168"/>
      <c r="H274" s="168"/>
      <c r="I274" s="168"/>
      <c r="J274" s="168" t="s">
        <v>84</v>
      </c>
      <c r="K274" s="168" t="s">
        <v>84</v>
      </c>
      <c r="L274" s="168"/>
      <c r="M274" s="168"/>
      <c r="N274" s="210"/>
      <c r="O274" s="168"/>
      <c r="P274" s="210"/>
    </row>
    <row r="275" spans="1:16" ht="15.75">
      <c r="A275" s="168">
        <v>257</v>
      </c>
      <c r="B275" s="347">
        <v>43023</v>
      </c>
      <c r="C275" s="169" t="s">
        <v>96</v>
      </c>
      <c r="D275" s="168">
        <f t="shared" si="3"/>
        <v>7</v>
      </c>
      <c r="E275" s="168" t="s">
        <v>85</v>
      </c>
      <c r="F275" s="168" t="s">
        <v>84</v>
      </c>
      <c r="G275" s="168"/>
      <c r="H275" s="168"/>
      <c r="I275" s="168"/>
      <c r="J275" s="168" t="s">
        <v>84</v>
      </c>
      <c r="K275" s="168" t="s">
        <v>84</v>
      </c>
      <c r="L275" s="168"/>
      <c r="M275" s="168"/>
      <c r="N275" s="210"/>
      <c r="O275" s="168"/>
      <c r="P275" s="210"/>
    </row>
    <row r="276" spans="1:16" ht="15.75">
      <c r="A276" s="166">
        <v>258</v>
      </c>
      <c r="B276" s="346">
        <v>43024</v>
      </c>
      <c r="C276" s="167" t="s">
        <v>96</v>
      </c>
      <c r="D276" s="166">
        <f t="shared" ref="D276:D320" si="4">WEEKDAY(B276,2)</f>
        <v>1</v>
      </c>
      <c r="E276" s="166" t="s">
        <v>86</v>
      </c>
      <c r="F276" s="166" t="s">
        <v>84</v>
      </c>
      <c r="G276" s="166">
        <v>9</v>
      </c>
      <c r="H276" s="209" t="s">
        <v>1763</v>
      </c>
      <c r="I276" s="166"/>
      <c r="J276" s="166" t="s">
        <v>84</v>
      </c>
      <c r="K276" s="166" t="s">
        <v>84</v>
      </c>
      <c r="L276" s="166">
        <v>12</v>
      </c>
      <c r="M276" s="166" t="s">
        <v>1771</v>
      </c>
      <c r="N276" s="209"/>
      <c r="O276" s="166"/>
      <c r="P276" s="209"/>
    </row>
    <row r="277" spans="1:16" ht="15.75">
      <c r="A277" s="164">
        <v>259</v>
      </c>
      <c r="B277" s="345">
        <v>43025</v>
      </c>
      <c r="C277" s="165" t="s">
        <v>96</v>
      </c>
      <c r="D277" s="164">
        <f t="shared" si="4"/>
        <v>2</v>
      </c>
      <c r="E277" s="164" t="s">
        <v>87</v>
      </c>
      <c r="F277" s="164" t="s">
        <v>106</v>
      </c>
      <c r="G277" s="164">
        <v>9</v>
      </c>
      <c r="H277" s="208" t="s">
        <v>25</v>
      </c>
      <c r="I277" s="208" t="s">
        <v>1625</v>
      </c>
      <c r="J277" s="164" t="s">
        <v>106</v>
      </c>
      <c r="K277" s="164" t="s">
        <v>84</v>
      </c>
      <c r="L277" s="164">
        <v>12</v>
      </c>
      <c r="M277" s="164" t="s">
        <v>32</v>
      </c>
      <c r="N277" s="208" t="s">
        <v>1908</v>
      </c>
      <c r="O277" s="164"/>
      <c r="P277" s="208"/>
    </row>
    <row r="278" spans="1:16" ht="15.75">
      <c r="A278" s="164">
        <v>260</v>
      </c>
      <c r="B278" s="345">
        <v>43026</v>
      </c>
      <c r="C278" s="165" t="s">
        <v>96</v>
      </c>
      <c r="D278" s="164">
        <f t="shared" si="4"/>
        <v>3</v>
      </c>
      <c r="E278" s="164" t="s">
        <v>80</v>
      </c>
      <c r="F278" s="164" t="s">
        <v>106</v>
      </c>
      <c r="G278" s="164">
        <v>9</v>
      </c>
      <c r="H278" s="208" t="s">
        <v>26</v>
      </c>
      <c r="I278" s="208" t="s">
        <v>1793</v>
      </c>
      <c r="J278" s="164" t="s">
        <v>106</v>
      </c>
      <c r="K278" s="164" t="s">
        <v>84</v>
      </c>
      <c r="L278" s="208">
        <v>12</v>
      </c>
      <c r="M278" s="164" t="s">
        <v>33</v>
      </c>
      <c r="N278" s="208" t="s">
        <v>1837</v>
      </c>
      <c r="O278" s="164"/>
      <c r="P278" s="208"/>
    </row>
    <row r="279" spans="1:16" ht="15.75">
      <c r="A279" s="164">
        <v>261</v>
      </c>
      <c r="B279" s="345">
        <v>43027</v>
      </c>
      <c r="C279" s="165" t="s">
        <v>96</v>
      </c>
      <c r="D279" s="164">
        <f t="shared" si="4"/>
        <v>4</v>
      </c>
      <c r="E279" s="164" t="s">
        <v>81</v>
      </c>
      <c r="F279" s="164" t="s">
        <v>106</v>
      </c>
      <c r="G279" s="164">
        <v>9</v>
      </c>
      <c r="H279" s="208" t="s">
        <v>27</v>
      </c>
      <c r="I279" s="208" t="s">
        <v>1802</v>
      </c>
      <c r="J279" s="164" t="s">
        <v>106</v>
      </c>
      <c r="K279" s="164" t="s">
        <v>84</v>
      </c>
      <c r="L279" s="208">
        <v>12</v>
      </c>
      <c r="M279" s="164" t="s">
        <v>34</v>
      </c>
      <c r="N279" s="208" t="s">
        <v>1910</v>
      </c>
      <c r="O279" s="164"/>
      <c r="P279" s="208"/>
    </row>
    <row r="280" spans="1:16" ht="15.75">
      <c r="A280" s="164">
        <v>262</v>
      </c>
      <c r="B280" s="345">
        <v>43028</v>
      </c>
      <c r="C280" s="165" t="s">
        <v>96</v>
      </c>
      <c r="D280" s="164">
        <f t="shared" si="4"/>
        <v>5</v>
      </c>
      <c r="E280" s="164" t="s">
        <v>82</v>
      </c>
      <c r="F280" s="164" t="s">
        <v>106</v>
      </c>
      <c r="G280" s="164">
        <v>9</v>
      </c>
      <c r="H280" s="208" t="s">
        <v>28</v>
      </c>
      <c r="I280" s="208" t="s">
        <v>1812</v>
      </c>
      <c r="J280" s="164" t="s">
        <v>106</v>
      </c>
      <c r="K280" s="164" t="s">
        <v>84</v>
      </c>
      <c r="L280" s="208">
        <v>12</v>
      </c>
      <c r="M280" s="164" t="s">
        <v>35</v>
      </c>
      <c r="N280" s="208" t="s">
        <v>1911</v>
      </c>
      <c r="O280" s="164"/>
      <c r="P280" s="208"/>
    </row>
    <row r="281" spans="1:16" ht="15.75">
      <c r="A281" s="164">
        <v>263</v>
      </c>
      <c r="B281" s="345">
        <v>43029</v>
      </c>
      <c r="C281" s="165" t="s">
        <v>96</v>
      </c>
      <c r="D281" s="164">
        <f t="shared" si="4"/>
        <v>6</v>
      </c>
      <c r="E281" s="164" t="s">
        <v>83</v>
      </c>
      <c r="F281" s="164" t="s">
        <v>84</v>
      </c>
      <c r="G281" s="164"/>
      <c r="H281" s="164"/>
      <c r="I281" s="164"/>
      <c r="J281" s="164" t="s">
        <v>84</v>
      </c>
      <c r="K281" s="164" t="s">
        <v>106</v>
      </c>
      <c r="L281" s="208">
        <v>12</v>
      </c>
      <c r="M281" s="164"/>
      <c r="N281" s="208"/>
      <c r="O281" s="164" t="s">
        <v>36</v>
      </c>
      <c r="P281" s="208" t="s">
        <v>98</v>
      </c>
    </row>
    <row r="282" spans="1:16" ht="15.75">
      <c r="A282" s="164">
        <v>264</v>
      </c>
      <c r="B282" s="345">
        <v>43030</v>
      </c>
      <c r="C282" s="165" t="s">
        <v>96</v>
      </c>
      <c r="D282" s="164">
        <f t="shared" si="4"/>
        <v>7</v>
      </c>
      <c r="E282" s="164" t="s">
        <v>85</v>
      </c>
      <c r="F282" s="164" t="s">
        <v>84</v>
      </c>
      <c r="G282" s="164"/>
      <c r="H282" s="164"/>
      <c r="I282" s="164"/>
      <c r="J282" s="164" t="s">
        <v>84</v>
      </c>
      <c r="K282" s="164" t="s">
        <v>84</v>
      </c>
      <c r="L282" s="164"/>
      <c r="M282" s="164"/>
      <c r="N282" s="208"/>
      <c r="O282" s="164"/>
      <c r="P282" s="208"/>
    </row>
    <row r="283" spans="1:16" ht="15.75">
      <c r="A283" s="164">
        <v>265</v>
      </c>
      <c r="B283" s="345">
        <v>43031</v>
      </c>
      <c r="C283" s="165" t="s">
        <v>96</v>
      </c>
      <c r="D283" s="164">
        <f t="shared" si="4"/>
        <v>1</v>
      </c>
      <c r="E283" s="164" t="s">
        <v>86</v>
      </c>
      <c r="F283" s="164" t="s">
        <v>106</v>
      </c>
      <c r="G283" s="164">
        <v>9</v>
      </c>
      <c r="H283" s="208" t="s">
        <v>12</v>
      </c>
      <c r="I283" s="208" t="s">
        <v>1622</v>
      </c>
      <c r="J283" s="164" t="s">
        <v>106</v>
      </c>
      <c r="K283" s="164" t="s">
        <v>84</v>
      </c>
      <c r="L283" s="208">
        <v>12</v>
      </c>
      <c r="M283" s="164" t="s">
        <v>37</v>
      </c>
      <c r="N283" s="208" t="s">
        <v>1925</v>
      </c>
      <c r="O283" s="164"/>
      <c r="P283" s="208"/>
    </row>
    <row r="284" spans="1:16" ht="15.75">
      <c r="A284" s="164">
        <v>266</v>
      </c>
      <c r="B284" s="345">
        <v>43032</v>
      </c>
      <c r="C284" s="165" t="s">
        <v>96</v>
      </c>
      <c r="D284" s="164">
        <f t="shared" si="4"/>
        <v>2</v>
      </c>
      <c r="E284" s="164" t="s">
        <v>87</v>
      </c>
      <c r="F284" s="164" t="s">
        <v>106</v>
      </c>
      <c r="G284" s="164">
        <v>10</v>
      </c>
      <c r="H284" s="208" t="s">
        <v>14</v>
      </c>
      <c r="I284" s="208" t="s">
        <v>1598</v>
      </c>
      <c r="J284" s="164" t="s">
        <v>106</v>
      </c>
      <c r="K284" s="164" t="s">
        <v>84</v>
      </c>
      <c r="L284" s="208">
        <v>12</v>
      </c>
      <c r="M284" s="164" t="s">
        <v>38</v>
      </c>
      <c r="N284" s="208" t="s">
        <v>1866</v>
      </c>
      <c r="O284" s="164"/>
      <c r="P284" s="208"/>
    </row>
    <row r="285" spans="1:16" ht="15.75">
      <c r="A285" s="164">
        <v>267</v>
      </c>
      <c r="B285" s="345">
        <v>43033</v>
      </c>
      <c r="C285" s="165" t="s">
        <v>96</v>
      </c>
      <c r="D285" s="164">
        <f t="shared" si="4"/>
        <v>3</v>
      </c>
      <c r="E285" s="164" t="s">
        <v>80</v>
      </c>
      <c r="F285" s="164" t="s">
        <v>106</v>
      </c>
      <c r="G285" s="208">
        <v>10</v>
      </c>
      <c r="H285" s="208" t="s">
        <v>15</v>
      </c>
      <c r="I285" s="208" t="s">
        <v>1797</v>
      </c>
      <c r="J285" s="164" t="s">
        <v>106</v>
      </c>
      <c r="K285" s="164" t="s">
        <v>84</v>
      </c>
      <c r="L285" s="208">
        <v>12</v>
      </c>
      <c r="M285" s="164" t="s">
        <v>39</v>
      </c>
      <c r="N285" s="208" t="s">
        <v>98</v>
      </c>
      <c r="O285" s="164"/>
      <c r="P285" s="208"/>
    </row>
    <row r="286" spans="1:16" ht="15.75">
      <c r="A286" s="164">
        <v>268</v>
      </c>
      <c r="B286" s="345">
        <v>43034</v>
      </c>
      <c r="C286" s="165" t="s">
        <v>96</v>
      </c>
      <c r="D286" s="164">
        <f t="shared" si="4"/>
        <v>4</v>
      </c>
      <c r="E286" s="164" t="s">
        <v>81</v>
      </c>
      <c r="F286" s="164" t="s">
        <v>106</v>
      </c>
      <c r="G286" s="164">
        <v>10</v>
      </c>
      <c r="H286" s="208" t="s">
        <v>16</v>
      </c>
      <c r="I286" s="208" t="s">
        <v>1810</v>
      </c>
      <c r="J286" s="164" t="s">
        <v>106</v>
      </c>
      <c r="K286" s="164" t="s">
        <v>84</v>
      </c>
      <c r="L286" s="208">
        <v>12</v>
      </c>
      <c r="M286" s="164" t="s">
        <v>40</v>
      </c>
      <c r="N286" s="208" t="s">
        <v>98</v>
      </c>
      <c r="O286" s="164"/>
      <c r="P286" s="208"/>
    </row>
    <row r="287" spans="1:16" ht="15.75">
      <c r="A287" s="164">
        <v>269</v>
      </c>
      <c r="B287" s="345">
        <v>43035</v>
      </c>
      <c r="C287" s="165" t="s">
        <v>96</v>
      </c>
      <c r="D287" s="164">
        <f t="shared" si="4"/>
        <v>5</v>
      </c>
      <c r="E287" s="164" t="s">
        <v>82</v>
      </c>
      <c r="F287" s="164" t="s">
        <v>106</v>
      </c>
      <c r="G287" s="164">
        <v>10</v>
      </c>
      <c r="H287" s="164" t="s">
        <v>17</v>
      </c>
      <c r="I287" s="208" t="s">
        <v>1627</v>
      </c>
      <c r="J287" s="164" t="s">
        <v>106</v>
      </c>
      <c r="K287" s="164" t="s">
        <v>84</v>
      </c>
      <c r="L287" s="208">
        <v>12</v>
      </c>
      <c r="M287" s="164" t="s">
        <v>41</v>
      </c>
      <c r="N287" s="208" t="s">
        <v>1878</v>
      </c>
      <c r="O287" s="164"/>
      <c r="P287" s="208"/>
    </row>
    <row r="288" spans="1:16" ht="15.75">
      <c r="A288" s="164">
        <v>270</v>
      </c>
      <c r="B288" s="345">
        <v>43036</v>
      </c>
      <c r="C288" s="165" t="s">
        <v>96</v>
      </c>
      <c r="D288" s="164">
        <f t="shared" si="4"/>
        <v>6</v>
      </c>
      <c r="E288" s="164" t="s">
        <v>83</v>
      </c>
      <c r="F288" s="164" t="s">
        <v>84</v>
      </c>
      <c r="G288" s="164"/>
      <c r="H288" s="164"/>
      <c r="I288" s="164"/>
      <c r="J288" s="164" t="s">
        <v>84</v>
      </c>
      <c r="K288" s="164" t="s">
        <v>106</v>
      </c>
      <c r="L288" s="208">
        <v>12</v>
      </c>
      <c r="M288" s="164"/>
      <c r="N288" s="208"/>
      <c r="O288" s="164" t="s">
        <v>42</v>
      </c>
      <c r="P288" s="208" t="s">
        <v>1882</v>
      </c>
    </row>
    <row r="289" spans="1:16" ht="15.75">
      <c r="A289" s="164">
        <v>271</v>
      </c>
      <c r="B289" s="345">
        <v>43037</v>
      </c>
      <c r="C289" s="165" t="s">
        <v>96</v>
      </c>
      <c r="D289" s="164">
        <f t="shared" si="4"/>
        <v>7</v>
      </c>
      <c r="E289" s="164" t="s">
        <v>85</v>
      </c>
      <c r="F289" s="164" t="s">
        <v>84</v>
      </c>
      <c r="G289" s="164"/>
      <c r="H289" s="164"/>
      <c r="I289" s="164"/>
      <c r="J289" s="164" t="s">
        <v>84</v>
      </c>
      <c r="K289" s="164" t="s">
        <v>84</v>
      </c>
      <c r="L289" s="164"/>
      <c r="M289" s="164"/>
      <c r="N289" s="208"/>
      <c r="O289" s="164"/>
      <c r="P289" s="208"/>
    </row>
    <row r="290" spans="1:16" ht="15.75">
      <c r="A290" s="164">
        <v>272</v>
      </c>
      <c r="B290" s="345">
        <v>43038</v>
      </c>
      <c r="C290" s="165" t="s">
        <v>96</v>
      </c>
      <c r="D290" s="164">
        <f t="shared" si="4"/>
        <v>1</v>
      </c>
      <c r="E290" s="164" t="s">
        <v>86</v>
      </c>
      <c r="F290" s="164" t="s">
        <v>106</v>
      </c>
      <c r="G290" s="164">
        <v>10</v>
      </c>
      <c r="H290" s="208" t="s">
        <v>18</v>
      </c>
      <c r="I290" s="208" t="s">
        <v>98</v>
      </c>
      <c r="J290" s="164" t="s">
        <v>106</v>
      </c>
      <c r="K290" s="164" t="s">
        <v>84</v>
      </c>
      <c r="L290" s="208">
        <v>12</v>
      </c>
      <c r="M290" s="164" t="s">
        <v>43</v>
      </c>
      <c r="N290" s="208" t="s">
        <v>1842</v>
      </c>
      <c r="O290" s="164"/>
      <c r="P290" s="208"/>
    </row>
    <row r="291" spans="1:16" ht="15.75">
      <c r="A291" s="164">
        <v>273</v>
      </c>
      <c r="B291" s="345">
        <v>43039</v>
      </c>
      <c r="C291" s="165" t="s">
        <v>96</v>
      </c>
      <c r="D291" s="164">
        <f t="shared" si="4"/>
        <v>2</v>
      </c>
      <c r="E291" s="164" t="s">
        <v>87</v>
      </c>
      <c r="F291" s="164" t="s">
        <v>106</v>
      </c>
      <c r="G291" s="164">
        <v>10</v>
      </c>
      <c r="H291" s="208" t="s">
        <v>19</v>
      </c>
      <c r="I291" s="208" t="s">
        <v>1610</v>
      </c>
      <c r="J291" s="164" t="s">
        <v>106</v>
      </c>
      <c r="K291" s="164" t="s">
        <v>84</v>
      </c>
      <c r="L291" s="208">
        <v>12</v>
      </c>
      <c r="M291" s="164" t="s">
        <v>44</v>
      </c>
      <c r="N291" s="208" t="s">
        <v>1869</v>
      </c>
      <c r="O291" s="164"/>
      <c r="P291" s="208"/>
    </row>
    <row r="292" spans="1:16" ht="15.75">
      <c r="A292" s="164">
        <v>274</v>
      </c>
      <c r="B292" s="345">
        <v>43040</v>
      </c>
      <c r="C292" s="165" t="s">
        <v>97</v>
      </c>
      <c r="D292" s="164">
        <f t="shared" si="4"/>
        <v>3</v>
      </c>
      <c r="E292" s="164" t="s">
        <v>80</v>
      </c>
      <c r="F292" s="164" t="s">
        <v>106</v>
      </c>
      <c r="G292" s="208">
        <v>10</v>
      </c>
      <c r="H292" s="208" t="s">
        <v>20</v>
      </c>
      <c r="I292" s="208" t="s">
        <v>1803</v>
      </c>
      <c r="J292" s="164" t="s">
        <v>106</v>
      </c>
      <c r="K292" s="164" t="s">
        <v>84</v>
      </c>
      <c r="L292" s="164">
        <v>13</v>
      </c>
      <c r="M292" s="208" t="s">
        <v>29</v>
      </c>
      <c r="N292" s="208" t="s">
        <v>1870</v>
      </c>
      <c r="O292" s="164"/>
      <c r="P292" s="208"/>
    </row>
    <row r="293" spans="1:16" ht="15.75">
      <c r="A293" s="164">
        <v>275</v>
      </c>
      <c r="B293" s="345">
        <v>43041</v>
      </c>
      <c r="C293" s="165" t="s">
        <v>97</v>
      </c>
      <c r="D293" s="164">
        <f t="shared" si="4"/>
        <v>4</v>
      </c>
      <c r="E293" s="164" t="s">
        <v>81</v>
      </c>
      <c r="F293" s="164" t="s">
        <v>106</v>
      </c>
      <c r="G293" s="208">
        <v>10</v>
      </c>
      <c r="H293" s="208" t="s">
        <v>21</v>
      </c>
      <c r="I293" s="208" t="s">
        <v>98</v>
      </c>
      <c r="J293" s="164" t="s">
        <v>106</v>
      </c>
      <c r="K293" s="164" t="s">
        <v>84</v>
      </c>
      <c r="L293" s="208">
        <v>13</v>
      </c>
      <c r="M293" s="164" t="s">
        <v>31</v>
      </c>
      <c r="N293" s="208" t="s">
        <v>1871</v>
      </c>
      <c r="O293" s="164"/>
      <c r="P293" s="208"/>
    </row>
    <row r="294" spans="1:16" ht="15.75">
      <c r="A294" s="164">
        <v>276</v>
      </c>
      <c r="B294" s="345">
        <v>43042</v>
      </c>
      <c r="C294" s="165" t="s">
        <v>97</v>
      </c>
      <c r="D294" s="164">
        <f t="shared" si="4"/>
        <v>5</v>
      </c>
      <c r="E294" s="164" t="s">
        <v>82</v>
      </c>
      <c r="F294" s="164" t="s">
        <v>106</v>
      </c>
      <c r="G294" s="164">
        <v>10</v>
      </c>
      <c r="H294" s="164" t="s">
        <v>22</v>
      </c>
      <c r="I294" s="208" t="s">
        <v>1616</v>
      </c>
      <c r="J294" s="164" t="s">
        <v>106</v>
      </c>
      <c r="K294" s="164" t="s">
        <v>84</v>
      </c>
      <c r="L294" s="208">
        <v>13</v>
      </c>
      <c r="M294" s="164" t="s">
        <v>32</v>
      </c>
      <c r="N294" s="208" t="s">
        <v>1896</v>
      </c>
      <c r="O294" s="164"/>
      <c r="P294" s="208"/>
    </row>
    <row r="295" spans="1:16" ht="15.75">
      <c r="A295" s="164">
        <v>277</v>
      </c>
      <c r="B295" s="345">
        <v>43043</v>
      </c>
      <c r="C295" s="165" t="s">
        <v>97</v>
      </c>
      <c r="D295" s="164">
        <f t="shared" si="4"/>
        <v>6</v>
      </c>
      <c r="E295" s="164" t="s">
        <v>83</v>
      </c>
      <c r="F295" s="164" t="s">
        <v>84</v>
      </c>
      <c r="G295" s="164"/>
      <c r="H295" s="164"/>
      <c r="I295" s="164"/>
      <c r="J295" s="164" t="s">
        <v>84</v>
      </c>
      <c r="K295" s="164" t="s">
        <v>106</v>
      </c>
      <c r="L295" s="208">
        <v>13</v>
      </c>
      <c r="M295" s="164"/>
      <c r="N295" s="208"/>
      <c r="O295" s="164" t="s">
        <v>33</v>
      </c>
      <c r="P295" s="208" t="s">
        <v>1926</v>
      </c>
    </row>
    <row r="296" spans="1:16" ht="15.75">
      <c r="A296" s="164">
        <v>278</v>
      </c>
      <c r="B296" s="345">
        <v>43044</v>
      </c>
      <c r="C296" s="165" t="s">
        <v>97</v>
      </c>
      <c r="D296" s="164">
        <f t="shared" si="4"/>
        <v>7</v>
      </c>
      <c r="E296" s="164" t="s">
        <v>85</v>
      </c>
      <c r="F296" s="164" t="s">
        <v>84</v>
      </c>
      <c r="G296" s="164"/>
      <c r="H296" s="164"/>
      <c r="I296" s="164"/>
      <c r="J296" s="164" t="s">
        <v>84</v>
      </c>
      <c r="K296" s="164" t="s">
        <v>84</v>
      </c>
      <c r="L296" s="164"/>
      <c r="M296" s="164"/>
      <c r="N296" s="208"/>
      <c r="O296" s="164"/>
      <c r="P296" s="208"/>
    </row>
    <row r="297" spans="1:16" ht="15.75">
      <c r="A297" s="166">
        <v>279</v>
      </c>
      <c r="B297" s="346">
        <v>43045</v>
      </c>
      <c r="C297" s="167" t="s">
        <v>97</v>
      </c>
      <c r="D297" s="166">
        <f t="shared" si="4"/>
        <v>1</v>
      </c>
      <c r="E297" s="166" t="s">
        <v>86</v>
      </c>
      <c r="F297" s="166" t="s">
        <v>84</v>
      </c>
      <c r="G297" s="166">
        <v>10</v>
      </c>
      <c r="H297" s="166" t="s">
        <v>1761</v>
      </c>
      <c r="I297" s="166"/>
      <c r="J297" s="166" t="s">
        <v>84</v>
      </c>
      <c r="K297" s="166" t="s">
        <v>84</v>
      </c>
      <c r="L297" s="166">
        <v>13</v>
      </c>
      <c r="M297" s="166" t="s">
        <v>121</v>
      </c>
      <c r="N297" s="209"/>
      <c r="O297" s="166"/>
      <c r="P297" s="209"/>
    </row>
    <row r="298" spans="1:16" ht="15.75">
      <c r="A298" s="164">
        <v>280</v>
      </c>
      <c r="B298" s="345">
        <v>43046</v>
      </c>
      <c r="C298" s="165" t="s">
        <v>97</v>
      </c>
      <c r="D298" s="164">
        <f t="shared" si="4"/>
        <v>2</v>
      </c>
      <c r="E298" s="164" t="s">
        <v>87</v>
      </c>
      <c r="F298" s="164" t="s">
        <v>106</v>
      </c>
      <c r="G298" s="164">
        <v>10</v>
      </c>
      <c r="H298" s="208" t="s">
        <v>24</v>
      </c>
      <c r="I298" s="208" t="s">
        <v>1786</v>
      </c>
      <c r="J298" s="164" t="s">
        <v>106</v>
      </c>
      <c r="K298" s="164" t="s">
        <v>84</v>
      </c>
      <c r="L298" s="164">
        <v>13</v>
      </c>
      <c r="M298" s="164" t="s">
        <v>35</v>
      </c>
      <c r="N298" s="208" t="s">
        <v>1832</v>
      </c>
      <c r="O298" s="164"/>
      <c r="P298" s="208"/>
    </row>
    <row r="299" spans="1:16" ht="15.75">
      <c r="A299" s="164">
        <v>281</v>
      </c>
      <c r="B299" s="345">
        <v>43047</v>
      </c>
      <c r="C299" s="165" t="s">
        <v>97</v>
      </c>
      <c r="D299" s="164">
        <f t="shared" si="4"/>
        <v>3</v>
      </c>
      <c r="E299" s="164" t="s">
        <v>80</v>
      </c>
      <c r="F299" s="164" t="s">
        <v>106</v>
      </c>
      <c r="G299" s="164">
        <v>10</v>
      </c>
      <c r="H299" s="208" t="s">
        <v>25</v>
      </c>
      <c r="I299" s="208" t="s">
        <v>1602</v>
      </c>
      <c r="J299" s="164" t="s">
        <v>106</v>
      </c>
      <c r="K299" s="164" t="s">
        <v>84</v>
      </c>
      <c r="L299" s="208">
        <v>13</v>
      </c>
      <c r="M299" s="164" t="s">
        <v>36</v>
      </c>
      <c r="N299" s="208" t="s">
        <v>98</v>
      </c>
      <c r="O299" s="164"/>
      <c r="P299" s="208"/>
    </row>
    <row r="300" spans="1:16" ht="15.75">
      <c r="A300" s="164">
        <v>282</v>
      </c>
      <c r="B300" s="345">
        <v>43048</v>
      </c>
      <c r="C300" s="165" t="s">
        <v>97</v>
      </c>
      <c r="D300" s="164">
        <f t="shared" si="4"/>
        <v>4</v>
      </c>
      <c r="E300" s="164" t="s">
        <v>81</v>
      </c>
      <c r="F300" s="164" t="s">
        <v>106</v>
      </c>
      <c r="G300" s="164">
        <v>10</v>
      </c>
      <c r="H300" s="208" t="s">
        <v>26</v>
      </c>
      <c r="I300" s="208" t="s">
        <v>1804</v>
      </c>
      <c r="J300" s="164" t="s">
        <v>106</v>
      </c>
      <c r="K300" s="164" t="s">
        <v>84</v>
      </c>
      <c r="L300" s="208">
        <v>13</v>
      </c>
      <c r="M300" s="164" t="s">
        <v>37</v>
      </c>
      <c r="N300" s="208" t="s">
        <v>1893</v>
      </c>
      <c r="O300" s="208"/>
      <c r="P300" s="208"/>
    </row>
    <row r="301" spans="1:16" ht="15.75">
      <c r="A301" s="164">
        <v>283</v>
      </c>
      <c r="B301" s="345">
        <v>43049</v>
      </c>
      <c r="C301" s="165" t="s">
        <v>97</v>
      </c>
      <c r="D301" s="164">
        <f t="shared" si="4"/>
        <v>5</v>
      </c>
      <c r="E301" s="164" t="s">
        <v>82</v>
      </c>
      <c r="F301" s="164" t="s">
        <v>106</v>
      </c>
      <c r="G301" s="164">
        <v>10</v>
      </c>
      <c r="H301" s="164" t="s">
        <v>27</v>
      </c>
      <c r="I301" s="208" t="s">
        <v>1813</v>
      </c>
      <c r="J301" s="164" t="s">
        <v>106</v>
      </c>
      <c r="K301" s="164" t="s">
        <v>84</v>
      </c>
      <c r="L301" s="208">
        <v>13</v>
      </c>
      <c r="M301" s="164" t="s">
        <v>38</v>
      </c>
      <c r="N301" s="208" t="s">
        <v>1900</v>
      </c>
      <c r="O301" s="164"/>
      <c r="P301" s="208"/>
    </row>
    <row r="302" spans="1:16" ht="15.75">
      <c r="A302" s="164">
        <v>284</v>
      </c>
      <c r="B302" s="345">
        <v>43050</v>
      </c>
      <c r="C302" s="165" t="s">
        <v>97</v>
      </c>
      <c r="D302" s="164">
        <f t="shared" si="4"/>
        <v>6</v>
      </c>
      <c r="E302" s="164" t="s">
        <v>83</v>
      </c>
      <c r="F302" s="164" t="s">
        <v>84</v>
      </c>
      <c r="G302" s="164"/>
      <c r="H302" s="164"/>
      <c r="I302" s="164"/>
      <c r="J302" s="164" t="s">
        <v>84</v>
      </c>
      <c r="K302" s="164" t="s">
        <v>106</v>
      </c>
      <c r="L302" s="208">
        <v>13</v>
      </c>
      <c r="M302" s="164"/>
      <c r="N302" s="208"/>
      <c r="O302" s="164" t="s">
        <v>39</v>
      </c>
      <c r="P302" s="208" t="s">
        <v>98</v>
      </c>
    </row>
    <row r="303" spans="1:16" ht="15.75">
      <c r="A303" s="164">
        <v>285</v>
      </c>
      <c r="B303" s="345">
        <v>43051</v>
      </c>
      <c r="C303" s="165" t="s">
        <v>97</v>
      </c>
      <c r="D303" s="164">
        <f t="shared" si="4"/>
        <v>7</v>
      </c>
      <c r="E303" s="164" t="s">
        <v>85</v>
      </c>
      <c r="F303" s="164" t="s">
        <v>84</v>
      </c>
      <c r="G303" s="164"/>
      <c r="H303" s="164"/>
      <c r="I303" s="164"/>
      <c r="J303" s="164" t="s">
        <v>84</v>
      </c>
      <c r="K303" s="164" t="s">
        <v>84</v>
      </c>
      <c r="L303" s="164"/>
      <c r="M303" s="164"/>
      <c r="N303" s="208"/>
      <c r="O303" s="164"/>
      <c r="P303" s="208"/>
    </row>
    <row r="304" spans="1:16" ht="15.75">
      <c r="A304" s="166">
        <v>286</v>
      </c>
      <c r="B304" s="346">
        <v>43052</v>
      </c>
      <c r="C304" s="167" t="s">
        <v>97</v>
      </c>
      <c r="D304" s="166">
        <f t="shared" si="4"/>
        <v>1</v>
      </c>
      <c r="E304" s="166" t="s">
        <v>86</v>
      </c>
      <c r="F304" s="166" t="s">
        <v>84</v>
      </c>
      <c r="G304" s="166">
        <v>10</v>
      </c>
      <c r="H304" s="209" t="s">
        <v>120</v>
      </c>
      <c r="I304" s="166"/>
      <c r="J304" s="166" t="s">
        <v>84</v>
      </c>
      <c r="K304" s="166" t="s">
        <v>84</v>
      </c>
      <c r="L304" s="166">
        <v>13</v>
      </c>
      <c r="M304" s="166" t="s">
        <v>122</v>
      </c>
      <c r="N304" s="209"/>
      <c r="O304" s="166"/>
      <c r="P304" s="209"/>
    </row>
    <row r="305" spans="1:16" ht="15.75">
      <c r="A305" s="164">
        <v>287</v>
      </c>
      <c r="B305" s="345">
        <v>43053</v>
      </c>
      <c r="C305" s="165" t="s">
        <v>97</v>
      </c>
      <c r="D305" s="164">
        <f t="shared" si="4"/>
        <v>2</v>
      </c>
      <c r="E305" s="164" t="s">
        <v>87</v>
      </c>
      <c r="F305" s="164" t="s">
        <v>106</v>
      </c>
      <c r="G305" s="164">
        <v>10</v>
      </c>
      <c r="H305" s="208" t="s">
        <v>10</v>
      </c>
      <c r="I305" s="208" t="s">
        <v>1772</v>
      </c>
      <c r="J305" s="164" t="s">
        <v>106</v>
      </c>
      <c r="K305" s="164" t="s">
        <v>84</v>
      </c>
      <c r="L305" s="164">
        <v>13</v>
      </c>
      <c r="M305" s="164" t="s">
        <v>41</v>
      </c>
      <c r="N305" s="208" t="s">
        <v>1839</v>
      </c>
      <c r="O305" s="164"/>
      <c r="P305" s="208"/>
    </row>
    <row r="306" spans="1:16" ht="15.75">
      <c r="A306" s="164">
        <v>288</v>
      </c>
      <c r="B306" s="345">
        <v>43054</v>
      </c>
      <c r="C306" s="165" t="s">
        <v>97</v>
      </c>
      <c r="D306" s="164">
        <f t="shared" si="4"/>
        <v>3</v>
      </c>
      <c r="E306" s="164" t="s">
        <v>80</v>
      </c>
      <c r="F306" s="164" t="s">
        <v>106</v>
      </c>
      <c r="G306" s="164">
        <v>11</v>
      </c>
      <c r="H306" s="208" t="s">
        <v>14</v>
      </c>
      <c r="I306" s="208" t="s">
        <v>1614</v>
      </c>
      <c r="J306" s="164" t="s">
        <v>106</v>
      </c>
      <c r="K306" s="164" t="s">
        <v>84</v>
      </c>
      <c r="L306" s="164">
        <v>13</v>
      </c>
      <c r="M306" s="164" t="s">
        <v>42</v>
      </c>
      <c r="N306" s="208" t="s">
        <v>1882</v>
      </c>
      <c r="O306" s="208"/>
      <c r="P306" s="208"/>
    </row>
    <row r="307" spans="1:16" ht="15.75">
      <c r="A307" s="164">
        <v>289</v>
      </c>
      <c r="B307" s="345">
        <v>43055</v>
      </c>
      <c r="C307" s="165" t="s">
        <v>97</v>
      </c>
      <c r="D307" s="164">
        <f t="shared" si="4"/>
        <v>4</v>
      </c>
      <c r="E307" s="164" t="s">
        <v>81</v>
      </c>
      <c r="F307" s="164" t="s">
        <v>106</v>
      </c>
      <c r="G307" s="164">
        <v>11</v>
      </c>
      <c r="H307" s="208" t="s">
        <v>15</v>
      </c>
      <c r="I307" s="208" t="s">
        <v>1599</v>
      </c>
      <c r="J307" s="164" t="s">
        <v>106</v>
      </c>
      <c r="K307" s="164" t="s">
        <v>84</v>
      </c>
      <c r="L307" s="164">
        <v>13</v>
      </c>
      <c r="M307" s="164" t="s">
        <v>43</v>
      </c>
      <c r="N307" s="208" t="s">
        <v>1919</v>
      </c>
      <c r="O307" s="164"/>
      <c r="P307" s="208"/>
    </row>
    <row r="308" spans="1:16" ht="15.75">
      <c r="A308" s="164">
        <v>290</v>
      </c>
      <c r="B308" s="345">
        <v>43056</v>
      </c>
      <c r="C308" s="165" t="s">
        <v>97</v>
      </c>
      <c r="D308" s="164">
        <f t="shared" si="4"/>
        <v>5</v>
      </c>
      <c r="E308" s="164" t="s">
        <v>82</v>
      </c>
      <c r="F308" s="164" t="s">
        <v>106</v>
      </c>
      <c r="G308" s="164">
        <v>11</v>
      </c>
      <c r="H308" s="164" t="s">
        <v>16</v>
      </c>
      <c r="I308" s="208" t="s">
        <v>1805</v>
      </c>
      <c r="J308" s="164" t="s">
        <v>106</v>
      </c>
      <c r="K308" s="164" t="s">
        <v>84</v>
      </c>
      <c r="L308" s="164">
        <v>13</v>
      </c>
      <c r="M308" s="164" t="s">
        <v>44</v>
      </c>
      <c r="N308" s="208" t="s">
        <v>1920</v>
      </c>
      <c r="O308" s="164"/>
      <c r="P308" s="208"/>
    </row>
    <row r="309" spans="1:16" ht="15.75">
      <c r="A309" s="164">
        <v>291</v>
      </c>
      <c r="B309" s="345">
        <v>43057</v>
      </c>
      <c r="C309" s="165" t="s">
        <v>97</v>
      </c>
      <c r="D309" s="164">
        <f t="shared" si="4"/>
        <v>6</v>
      </c>
      <c r="E309" s="164" t="s">
        <v>83</v>
      </c>
      <c r="F309" s="164" t="s">
        <v>84</v>
      </c>
      <c r="G309" s="164"/>
      <c r="H309" s="164"/>
      <c r="I309" s="164"/>
      <c r="J309" s="164" t="s">
        <v>84</v>
      </c>
      <c r="K309" s="164" t="s">
        <v>106</v>
      </c>
      <c r="L309" s="164">
        <v>14</v>
      </c>
      <c r="M309" s="164"/>
      <c r="N309" s="208"/>
      <c r="O309" s="208" t="s">
        <v>29</v>
      </c>
      <c r="P309" s="208" t="s">
        <v>1848</v>
      </c>
    </row>
    <row r="310" spans="1:16" ht="15.75">
      <c r="A310" s="164">
        <v>292</v>
      </c>
      <c r="B310" s="345">
        <v>43058</v>
      </c>
      <c r="C310" s="165" t="s">
        <v>97</v>
      </c>
      <c r="D310" s="164">
        <f t="shared" si="4"/>
        <v>7</v>
      </c>
      <c r="E310" s="164" t="s">
        <v>85</v>
      </c>
      <c r="F310" s="164" t="s">
        <v>84</v>
      </c>
      <c r="G310" s="164"/>
      <c r="H310" s="164"/>
      <c r="I310" s="164"/>
      <c r="J310" s="164" t="s">
        <v>84</v>
      </c>
      <c r="K310" s="164" t="s">
        <v>84</v>
      </c>
      <c r="L310" s="164"/>
      <c r="M310" s="164"/>
      <c r="N310" s="208"/>
      <c r="O310" s="164"/>
      <c r="P310" s="208"/>
    </row>
    <row r="311" spans="1:16" ht="15.75">
      <c r="A311" s="164">
        <v>293</v>
      </c>
      <c r="B311" s="345">
        <v>43059</v>
      </c>
      <c r="C311" s="165" t="s">
        <v>97</v>
      </c>
      <c r="D311" s="164">
        <f t="shared" si="4"/>
        <v>1</v>
      </c>
      <c r="E311" s="164" t="s">
        <v>86</v>
      </c>
      <c r="F311" s="164" t="s">
        <v>106</v>
      </c>
      <c r="G311" s="164">
        <v>11</v>
      </c>
      <c r="H311" s="208" t="s">
        <v>17</v>
      </c>
      <c r="I311" s="208" t="s">
        <v>1781</v>
      </c>
      <c r="J311" s="164" t="s">
        <v>106</v>
      </c>
      <c r="K311" s="164" t="s">
        <v>84</v>
      </c>
      <c r="L311" s="208">
        <v>14</v>
      </c>
      <c r="M311" s="164" t="s">
        <v>31</v>
      </c>
      <c r="N311" s="208" t="s">
        <v>1907</v>
      </c>
      <c r="O311" s="164"/>
      <c r="P311" s="208"/>
    </row>
    <row r="312" spans="1:16" ht="15.75">
      <c r="A312" s="164">
        <v>294</v>
      </c>
      <c r="B312" s="345">
        <v>43060</v>
      </c>
      <c r="C312" s="165" t="s">
        <v>97</v>
      </c>
      <c r="D312" s="164">
        <f t="shared" si="4"/>
        <v>2</v>
      </c>
      <c r="E312" s="164" t="s">
        <v>87</v>
      </c>
      <c r="F312" s="164" t="s">
        <v>106</v>
      </c>
      <c r="G312" s="164">
        <v>11</v>
      </c>
      <c r="H312" s="208" t="s">
        <v>18</v>
      </c>
      <c r="I312" s="208" t="s">
        <v>98</v>
      </c>
      <c r="J312" s="164" t="s">
        <v>106</v>
      </c>
      <c r="K312" s="164" t="s">
        <v>84</v>
      </c>
      <c r="L312" s="208">
        <v>14</v>
      </c>
      <c r="M312" s="164" t="s">
        <v>32</v>
      </c>
      <c r="N312" s="208" t="s">
        <v>1891</v>
      </c>
      <c r="O312" s="164"/>
      <c r="P312" s="208"/>
    </row>
    <row r="313" spans="1:16" ht="15.75">
      <c r="A313" s="164">
        <v>295</v>
      </c>
      <c r="B313" s="345">
        <v>43061</v>
      </c>
      <c r="C313" s="165" t="s">
        <v>97</v>
      </c>
      <c r="D313" s="164">
        <f t="shared" si="4"/>
        <v>3</v>
      </c>
      <c r="E313" s="164" t="s">
        <v>80</v>
      </c>
      <c r="F313" s="164" t="s">
        <v>106</v>
      </c>
      <c r="G313" s="164">
        <v>11</v>
      </c>
      <c r="H313" s="208" t="s">
        <v>19</v>
      </c>
      <c r="I313" s="208" t="s">
        <v>1806</v>
      </c>
      <c r="J313" s="164" t="s">
        <v>106</v>
      </c>
      <c r="K313" s="164" t="s">
        <v>84</v>
      </c>
      <c r="L313" s="208">
        <v>14</v>
      </c>
      <c r="M313" s="164" t="s">
        <v>33</v>
      </c>
      <c r="N313" s="208" t="s">
        <v>1921</v>
      </c>
      <c r="O313" s="164"/>
      <c r="P313" s="208"/>
    </row>
    <row r="314" spans="1:16" ht="15.75">
      <c r="A314" s="164">
        <v>296</v>
      </c>
      <c r="B314" s="345">
        <v>43062</v>
      </c>
      <c r="C314" s="165" t="s">
        <v>97</v>
      </c>
      <c r="D314" s="164">
        <f t="shared" si="4"/>
        <v>4</v>
      </c>
      <c r="E314" s="164" t="s">
        <v>81</v>
      </c>
      <c r="F314" s="164" t="s">
        <v>106</v>
      </c>
      <c r="G314" s="208">
        <v>11</v>
      </c>
      <c r="H314" s="208" t="s">
        <v>20</v>
      </c>
      <c r="I314" s="208" t="s">
        <v>1778</v>
      </c>
      <c r="J314" s="164" t="s">
        <v>106</v>
      </c>
      <c r="K314" s="164" t="s">
        <v>84</v>
      </c>
      <c r="L314" s="208">
        <v>14</v>
      </c>
      <c r="M314" s="164" t="s">
        <v>34</v>
      </c>
      <c r="N314" s="208" t="s">
        <v>1847</v>
      </c>
      <c r="O314" s="164"/>
      <c r="P314" s="208"/>
    </row>
    <row r="315" spans="1:16" ht="15.75">
      <c r="A315" s="164">
        <v>297</v>
      </c>
      <c r="B315" s="345">
        <v>43063</v>
      </c>
      <c r="C315" s="165" t="s">
        <v>97</v>
      </c>
      <c r="D315" s="164">
        <f t="shared" si="4"/>
        <v>5</v>
      </c>
      <c r="E315" s="164" t="s">
        <v>82</v>
      </c>
      <c r="F315" s="164" t="s">
        <v>106</v>
      </c>
      <c r="G315" s="208">
        <v>11</v>
      </c>
      <c r="H315" s="164" t="s">
        <v>21</v>
      </c>
      <c r="I315" s="208" t="s">
        <v>98</v>
      </c>
      <c r="J315" s="164" t="s">
        <v>106</v>
      </c>
      <c r="K315" s="164" t="s">
        <v>84</v>
      </c>
      <c r="L315" s="208">
        <v>14</v>
      </c>
      <c r="M315" s="164" t="s">
        <v>35</v>
      </c>
      <c r="N315" s="208" t="s">
        <v>1927</v>
      </c>
      <c r="O315" s="164"/>
      <c r="P315" s="208"/>
    </row>
    <row r="316" spans="1:16" ht="15.75">
      <c r="A316" s="164">
        <v>298</v>
      </c>
      <c r="B316" s="345">
        <v>43064</v>
      </c>
      <c r="C316" s="165" t="s">
        <v>97</v>
      </c>
      <c r="D316" s="164">
        <f t="shared" si="4"/>
        <v>6</v>
      </c>
      <c r="E316" s="164" t="s">
        <v>83</v>
      </c>
      <c r="F316" s="164" t="s">
        <v>84</v>
      </c>
      <c r="G316" s="164"/>
      <c r="H316" s="164"/>
      <c r="I316" s="164"/>
      <c r="J316" s="164" t="s">
        <v>84</v>
      </c>
      <c r="K316" s="164" t="s">
        <v>106</v>
      </c>
      <c r="L316" s="208">
        <v>14</v>
      </c>
      <c r="M316" s="164"/>
      <c r="N316" s="208"/>
      <c r="O316" s="164" t="s">
        <v>36</v>
      </c>
      <c r="P316" s="208" t="s">
        <v>98</v>
      </c>
    </row>
    <row r="317" spans="1:16" ht="15.75">
      <c r="A317" s="164">
        <v>299</v>
      </c>
      <c r="B317" s="345">
        <v>43065</v>
      </c>
      <c r="C317" s="165" t="s">
        <v>97</v>
      </c>
      <c r="D317" s="164">
        <f t="shared" si="4"/>
        <v>7</v>
      </c>
      <c r="E317" s="164" t="s">
        <v>85</v>
      </c>
      <c r="F317" s="164" t="s">
        <v>84</v>
      </c>
      <c r="G317" s="164"/>
      <c r="H317" s="164"/>
      <c r="I317" s="164"/>
      <c r="J317" s="164" t="s">
        <v>84</v>
      </c>
      <c r="K317" s="164" t="s">
        <v>84</v>
      </c>
      <c r="L317" s="164"/>
      <c r="M317" s="164"/>
      <c r="N317" s="208"/>
      <c r="O317" s="164"/>
      <c r="P317" s="208"/>
    </row>
    <row r="318" spans="1:16" ht="15.75">
      <c r="A318" s="164">
        <v>300</v>
      </c>
      <c r="B318" s="345">
        <v>43066</v>
      </c>
      <c r="C318" s="165" t="s">
        <v>97</v>
      </c>
      <c r="D318" s="164">
        <f t="shared" si="4"/>
        <v>1</v>
      </c>
      <c r="E318" s="164" t="s">
        <v>86</v>
      </c>
      <c r="F318" s="164" t="s">
        <v>106</v>
      </c>
      <c r="G318" s="164">
        <v>11</v>
      </c>
      <c r="H318" s="208" t="s">
        <v>22</v>
      </c>
      <c r="I318" s="208" t="s">
        <v>1629</v>
      </c>
      <c r="J318" s="164" t="s">
        <v>106</v>
      </c>
      <c r="K318" s="164" t="s">
        <v>84</v>
      </c>
      <c r="L318" s="208">
        <v>14</v>
      </c>
      <c r="M318" s="164" t="s">
        <v>37</v>
      </c>
      <c r="N318" s="208" t="s">
        <v>1833</v>
      </c>
      <c r="O318" s="164"/>
      <c r="P318" s="208"/>
    </row>
    <row r="319" spans="1:16" ht="15.75">
      <c r="A319" s="164">
        <v>301</v>
      </c>
      <c r="B319" s="345">
        <v>43067</v>
      </c>
      <c r="C319" s="165" t="s">
        <v>97</v>
      </c>
      <c r="D319" s="164">
        <f t="shared" si="4"/>
        <v>2</v>
      </c>
      <c r="E319" s="164" t="s">
        <v>87</v>
      </c>
      <c r="F319" s="164" t="s">
        <v>106</v>
      </c>
      <c r="G319" s="164">
        <v>11</v>
      </c>
      <c r="H319" s="208" t="s">
        <v>23</v>
      </c>
      <c r="I319" s="208" t="s">
        <v>98</v>
      </c>
      <c r="J319" s="164" t="s">
        <v>106</v>
      </c>
      <c r="K319" s="164" t="s">
        <v>84</v>
      </c>
      <c r="L319" s="208">
        <v>14</v>
      </c>
      <c r="M319" s="164" t="s">
        <v>38</v>
      </c>
      <c r="N319" s="208" t="s">
        <v>1864</v>
      </c>
      <c r="O319" s="164"/>
      <c r="P319" s="208"/>
    </row>
    <row r="320" spans="1:16" ht="15.75">
      <c r="A320" s="164">
        <v>302</v>
      </c>
      <c r="B320" s="345">
        <v>43068</v>
      </c>
      <c r="C320" s="165" t="s">
        <v>97</v>
      </c>
      <c r="D320" s="164">
        <f t="shared" si="4"/>
        <v>3</v>
      </c>
      <c r="E320" s="164" t="s">
        <v>80</v>
      </c>
      <c r="F320" s="164" t="s">
        <v>106</v>
      </c>
      <c r="G320" s="164">
        <v>11</v>
      </c>
      <c r="H320" s="208" t="s">
        <v>24</v>
      </c>
      <c r="I320" s="208" t="s">
        <v>1783</v>
      </c>
      <c r="J320" s="164" t="s">
        <v>106</v>
      </c>
      <c r="K320" s="164" t="s">
        <v>84</v>
      </c>
      <c r="L320" s="208">
        <v>14</v>
      </c>
      <c r="M320" s="164" t="s">
        <v>39</v>
      </c>
      <c r="N320" s="208" t="s">
        <v>98</v>
      </c>
      <c r="O320" s="164"/>
      <c r="P320" s="208"/>
    </row>
    <row r="321" spans="1:16" ht="15.75">
      <c r="A321" s="208">
        <v>303</v>
      </c>
      <c r="B321" s="345">
        <v>43069</v>
      </c>
      <c r="C321" s="165" t="s">
        <v>97</v>
      </c>
      <c r="D321" s="208">
        <f t="shared" ref="D321:D384" si="5">WEEKDAY(B321,2)</f>
        <v>4</v>
      </c>
      <c r="E321" s="208" t="s">
        <v>81</v>
      </c>
      <c r="F321" s="208" t="s">
        <v>106</v>
      </c>
      <c r="G321" s="208">
        <v>11</v>
      </c>
      <c r="H321" s="208" t="s">
        <v>25</v>
      </c>
      <c r="I321" s="208" t="s">
        <v>1606</v>
      </c>
      <c r="J321" s="208" t="s">
        <v>106</v>
      </c>
      <c r="K321" s="208" t="s">
        <v>84</v>
      </c>
      <c r="L321" s="208">
        <v>14</v>
      </c>
      <c r="M321" s="208" t="s">
        <v>40</v>
      </c>
      <c r="N321" s="208" t="s">
        <v>98</v>
      </c>
      <c r="O321" s="208"/>
      <c r="P321" s="208"/>
    </row>
    <row r="322" spans="1:16" ht="15.75">
      <c r="A322" s="210">
        <v>304</v>
      </c>
      <c r="B322" s="347">
        <v>43101</v>
      </c>
      <c r="C322" s="169" t="s">
        <v>2397</v>
      </c>
      <c r="D322" s="210">
        <f t="shared" si="5"/>
        <v>1</v>
      </c>
      <c r="E322" s="210" t="s">
        <v>86</v>
      </c>
      <c r="F322" s="210" t="s">
        <v>84</v>
      </c>
      <c r="G322" s="210"/>
      <c r="H322" s="210" t="s">
        <v>93</v>
      </c>
      <c r="I322" s="210"/>
      <c r="J322" s="210" t="s">
        <v>84</v>
      </c>
      <c r="K322" s="210" t="s">
        <v>84</v>
      </c>
      <c r="L322" s="210"/>
      <c r="M322" s="210" t="s">
        <v>93</v>
      </c>
      <c r="N322" s="210"/>
      <c r="O322" s="210"/>
      <c r="P322" s="210"/>
    </row>
    <row r="323" spans="1:16" ht="15.75">
      <c r="A323" s="210">
        <v>305</v>
      </c>
      <c r="B323" s="347">
        <v>43102</v>
      </c>
      <c r="C323" s="169" t="s">
        <v>2397</v>
      </c>
      <c r="D323" s="210">
        <f t="shared" si="5"/>
        <v>2</v>
      </c>
      <c r="E323" s="210" t="s">
        <v>87</v>
      </c>
      <c r="F323" s="210" t="s">
        <v>84</v>
      </c>
      <c r="G323" s="210"/>
      <c r="H323" s="210" t="s">
        <v>93</v>
      </c>
      <c r="I323" s="210"/>
      <c r="J323" s="210" t="s">
        <v>84</v>
      </c>
      <c r="K323" s="210" t="s">
        <v>84</v>
      </c>
      <c r="L323" s="210"/>
      <c r="M323" s="210" t="s">
        <v>93</v>
      </c>
      <c r="N323" s="210"/>
      <c r="O323" s="210"/>
      <c r="P323" s="210"/>
    </row>
    <row r="324" spans="1:16" ht="15.75">
      <c r="A324" s="210">
        <v>306</v>
      </c>
      <c r="B324" s="347">
        <v>43103</v>
      </c>
      <c r="C324" s="169" t="s">
        <v>2397</v>
      </c>
      <c r="D324" s="210">
        <f t="shared" si="5"/>
        <v>3</v>
      </c>
      <c r="E324" s="210" t="s">
        <v>80</v>
      </c>
      <c r="F324" s="210" t="s">
        <v>84</v>
      </c>
      <c r="G324" s="210"/>
      <c r="H324" s="210" t="s">
        <v>93</v>
      </c>
      <c r="I324" s="210"/>
      <c r="J324" s="210" t="s">
        <v>84</v>
      </c>
      <c r="K324" s="210" t="s">
        <v>84</v>
      </c>
      <c r="L324" s="210"/>
      <c r="M324" s="210" t="s">
        <v>93</v>
      </c>
      <c r="N324" s="210"/>
      <c r="O324" s="210"/>
      <c r="P324" s="210"/>
    </row>
    <row r="325" spans="1:16" ht="15.75">
      <c r="A325" s="210">
        <v>307</v>
      </c>
      <c r="B325" s="347">
        <v>43104</v>
      </c>
      <c r="C325" s="169" t="s">
        <v>2397</v>
      </c>
      <c r="D325" s="210">
        <f t="shared" si="5"/>
        <v>4</v>
      </c>
      <c r="E325" s="210" t="s">
        <v>81</v>
      </c>
      <c r="F325" s="210" t="s">
        <v>84</v>
      </c>
      <c r="G325" s="210"/>
      <c r="H325" s="210" t="s">
        <v>93</v>
      </c>
      <c r="I325" s="210"/>
      <c r="J325" s="210" t="s">
        <v>84</v>
      </c>
      <c r="K325" s="210" t="s">
        <v>84</v>
      </c>
      <c r="L325" s="210"/>
      <c r="M325" s="210" t="s">
        <v>93</v>
      </c>
      <c r="N325" s="210"/>
      <c r="O325" s="210"/>
      <c r="P325" s="210"/>
    </row>
    <row r="326" spans="1:16" ht="15.75">
      <c r="A326" s="210">
        <v>308</v>
      </c>
      <c r="B326" s="347">
        <v>43105</v>
      </c>
      <c r="C326" s="169" t="s">
        <v>2397</v>
      </c>
      <c r="D326" s="210">
        <f t="shared" si="5"/>
        <v>5</v>
      </c>
      <c r="E326" s="210" t="s">
        <v>82</v>
      </c>
      <c r="F326" s="210" t="s">
        <v>84</v>
      </c>
      <c r="G326" s="210"/>
      <c r="H326" s="210" t="s">
        <v>93</v>
      </c>
      <c r="I326" s="210"/>
      <c r="J326" s="210" t="s">
        <v>84</v>
      </c>
      <c r="K326" s="210" t="s">
        <v>84</v>
      </c>
      <c r="L326" s="210"/>
      <c r="M326" s="210" t="s">
        <v>93</v>
      </c>
      <c r="N326" s="210"/>
      <c r="O326" s="210"/>
      <c r="P326" s="210"/>
    </row>
    <row r="327" spans="1:16" ht="15.75">
      <c r="A327" s="210">
        <v>309</v>
      </c>
      <c r="B327" s="347">
        <v>43106</v>
      </c>
      <c r="C327" s="169" t="s">
        <v>2397</v>
      </c>
      <c r="D327" s="210">
        <f t="shared" si="5"/>
        <v>6</v>
      </c>
      <c r="E327" s="210" t="s">
        <v>83</v>
      </c>
      <c r="F327" s="210" t="s">
        <v>84</v>
      </c>
      <c r="G327" s="210"/>
      <c r="H327" s="210" t="s">
        <v>93</v>
      </c>
      <c r="I327" s="210"/>
      <c r="J327" s="210" t="s">
        <v>84</v>
      </c>
      <c r="K327" s="210" t="s">
        <v>84</v>
      </c>
      <c r="L327" s="210"/>
      <c r="M327" s="210" t="s">
        <v>93</v>
      </c>
      <c r="N327" s="210"/>
      <c r="O327" s="210"/>
      <c r="P327" s="210"/>
    </row>
    <row r="328" spans="1:16" ht="15.75">
      <c r="A328" s="210">
        <v>310</v>
      </c>
      <c r="B328" s="347">
        <v>43107</v>
      </c>
      <c r="C328" s="169" t="s">
        <v>2397</v>
      </c>
      <c r="D328" s="210">
        <f t="shared" si="5"/>
        <v>7</v>
      </c>
      <c r="E328" s="210" t="s">
        <v>85</v>
      </c>
      <c r="F328" s="210" t="s">
        <v>84</v>
      </c>
      <c r="G328" s="210"/>
      <c r="H328" s="210" t="s">
        <v>93</v>
      </c>
      <c r="I328" s="210"/>
      <c r="J328" s="210" t="s">
        <v>84</v>
      </c>
      <c r="K328" s="210" t="s">
        <v>84</v>
      </c>
      <c r="L328" s="210"/>
      <c r="M328" s="210" t="s">
        <v>93</v>
      </c>
      <c r="N328" s="210"/>
      <c r="O328" s="210"/>
      <c r="P328" s="210"/>
    </row>
    <row r="329" spans="1:16" ht="15.75">
      <c r="A329" s="210">
        <v>311</v>
      </c>
      <c r="B329" s="347">
        <v>43108</v>
      </c>
      <c r="C329" s="169" t="s">
        <v>2397</v>
      </c>
      <c r="D329" s="210">
        <f t="shared" si="5"/>
        <v>1</v>
      </c>
      <c r="E329" s="210" t="s">
        <v>86</v>
      </c>
      <c r="F329" s="210" t="s">
        <v>84</v>
      </c>
      <c r="G329" s="210"/>
      <c r="H329" s="210" t="s">
        <v>93</v>
      </c>
      <c r="I329" s="210"/>
      <c r="J329" s="210" t="s">
        <v>84</v>
      </c>
      <c r="K329" s="210" t="s">
        <v>84</v>
      </c>
      <c r="L329" s="210"/>
      <c r="M329" s="210" t="s">
        <v>93</v>
      </c>
      <c r="N329" s="210"/>
      <c r="O329" s="210"/>
      <c r="P329" s="210"/>
    </row>
    <row r="330" spans="1:16" ht="15.75">
      <c r="A330" s="210">
        <v>312</v>
      </c>
      <c r="B330" s="347">
        <v>43109</v>
      </c>
      <c r="C330" s="169" t="s">
        <v>2397</v>
      </c>
      <c r="D330" s="210">
        <f t="shared" si="5"/>
        <v>2</v>
      </c>
      <c r="E330" s="210" t="s">
        <v>87</v>
      </c>
      <c r="F330" s="210" t="s">
        <v>84</v>
      </c>
      <c r="G330" s="210"/>
      <c r="H330" s="210" t="s">
        <v>93</v>
      </c>
      <c r="I330" s="210"/>
      <c r="J330" s="210" t="s">
        <v>84</v>
      </c>
      <c r="K330" s="210" t="s">
        <v>84</v>
      </c>
      <c r="L330" s="210"/>
      <c r="M330" s="210" t="s">
        <v>93</v>
      </c>
      <c r="N330" s="210"/>
      <c r="O330" s="210"/>
      <c r="P330" s="210"/>
    </row>
    <row r="331" spans="1:16" ht="15.75">
      <c r="A331" s="210">
        <v>313</v>
      </c>
      <c r="B331" s="347">
        <v>43110</v>
      </c>
      <c r="C331" s="169" t="s">
        <v>2397</v>
      </c>
      <c r="D331" s="210">
        <f t="shared" si="5"/>
        <v>3</v>
      </c>
      <c r="E331" s="210" t="s">
        <v>80</v>
      </c>
      <c r="F331" s="210" t="s">
        <v>84</v>
      </c>
      <c r="G331" s="210"/>
      <c r="H331" s="210" t="s">
        <v>93</v>
      </c>
      <c r="I331" s="210"/>
      <c r="J331" s="210" t="s">
        <v>84</v>
      </c>
      <c r="K331" s="210" t="s">
        <v>84</v>
      </c>
      <c r="L331" s="210"/>
      <c r="M331" s="210" t="s">
        <v>93</v>
      </c>
      <c r="N331" s="210"/>
      <c r="O331" s="210"/>
      <c r="P331" s="210"/>
    </row>
    <row r="332" spans="1:16" ht="15.75">
      <c r="A332" s="210">
        <v>314</v>
      </c>
      <c r="B332" s="347">
        <v>43111</v>
      </c>
      <c r="C332" s="169" t="s">
        <v>2397</v>
      </c>
      <c r="D332" s="210">
        <f t="shared" si="5"/>
        <v>4</v>
      </c>
      <c r="E332" s="210" t="s">
        <v>81</v>
      </c>
      <c r="F332" s="210" t="s">
        <v>84</v>
      </c>
      <c r="G332" s="210"/>
      <c r="H332" s="210" t="s">
        <v>93</v>
      </c>
      <c r="I332" s="210"/>
      <c r="J332" s="210" t="s">
        <v>84</v>
      </c>
      <c r="K332" s="210" t="s">
        <v>84</v>
      </c>
      <c r="L332" s="210"/>
      <c r="M332" s="210" t="s">
        <v>93</v>
      </c>
      <c r="N332" s="210"/>
      <c r="O332" s="210"/>
      <c r="P332" s="210"/>
    </row>
    <row r="333" spans="1:16" ht="15.75">
      <c r="A333" s="210">
        <v>315</v>
      </c>
      <c r="B333" s="347">
        <v>43112</v>
      </c>
      <c r="C333" s="169" t="s">
        <v>2397</v>
      </c>
      <c r="D333" s="210">
        <f t="shared" si="5"/>
        <v>5</v>
      </c>
      <c r="E333" s="210" t="s">
        <v>82</v>
      </c>
      <c r="F333" s="210" t="s">
        <v>84</v>
      </c>
      <c r="G333" s="210"/>
      <c r="H333" s="210" t="s">
        <v>93</v>
      </c>
      <c r="I333" s="210"/>
      <c r="J333" s="210" t="s">
        <v>84</v>
      </c>
      <c r="K333" s="210" t="s">
        <v>84</v>
      </c>
      <c r="L333" s="210"/>
      <c r="M333" s="210" t="s">
        <v>93</v>
      </c>
      <c r="N333" s="210"/>
      <c r="O333" s="210"/>
      <c r="P333" s="210"/>
    </row>
    <row r="334" spans="1:16" ht="15.75">
      <c r="A334" s="210">
        <v>316</v>
      </c>
      <c r="B334" s="347">
        <v>43113</v>
      </c>
      <c r="C334" s="169" t="s">
        <v>2397</v>
      </c>
      <c r="D334" s="210">
        <f t="shared" si="5"/>
        <v>6</v>
      </c>
      <c r="E334" s="210" t="s">
        <v>83</v>
      </c>
      <c r="F334" s="210" t="s">
        <v>84</v>
      </c>
      <c r="G334" s="210"/>
      <c r="H334" s="210" t="s">
        <v>93</v>
      </c>
      <c r="I334" s="210"/>
      <c r="J334" s="210" t="s">
        <v>84</v>
      </c>
      <c r="K334" s="210" t="s">
        <v>84</v>
      </c>
      <c r="L334" s="210"/>
      <c r="M334" s="210" t="s">
        <v>93</v>
      </c>
      <c r="N334" s="210"/>
      <c r="O334" s="210"/>
      <c r="P334" s="210"/>
    </row>
    <row r="335" spans="1:16" ht="15.75">
      <c r="A335" s="210">
        <v>317</v>
      </c>
      <c r="B335" s="347">
        <v>43114</v>
      </c>
      <c r="C335" s="169" t="s">
        <v>2397</v>
      </c>
      <c r="D335" s="210">
        <f t="shared" si="5"/>
        <v>7</v>
      </c>
      <c r="E335" s="210" t="s">
        <v>85</v>
      </c>
      <c r="F335" s="210" t="s">
        <v>84</v>
      </c>
      <c r="G335" s="210"/>
      <c r="H335" s="210" t="s">
        <v>93</v>
      </c>
      <c r="I335" s="210"/>
      <c r="J335" s="210" t="s">
        <v>84</v>
      </c>
      <c r="K335" s="210" t="s">
        <v>84</v>
      </c>
      <c r="L335" s="210"/>
      <c r="M335" s="210" t="s">
        <v>93</v>
      </c>
      <c r="N335" s="210"/>
      <c r="O335" s="210"/>
      <c r="P335" s="210"/>
    </row>
    <row r="336" spans="1:16" ht="15.75">
      <c r="A336" s="210">
        <v>318</v>
      </c>
      <c r="B336" s="347">
        <v>43115</v>
      </c>
      <c r="C336" s="169" t="s">
        <v>2397</v>
      </c>
      <c r="D336" s="210">
        <f t="shared" si="5"/>
        <v>1</v>
      </c>
      <c r="E336" s="210" t="s">
        <v>86</v>
      </c>
      <c r="F336" s="210" t="s">
        <v>84</v>
      </c>
      <c r="G336" s="210"/>
      <c r="H336" s="210" t="s">
        <v>93</v>
      </c>
      <c r="I336" s="210"/>
      <c r="J336" s="210" t="s">
        <v>84</v>
      </c>
      <c r="K336" s="210" t="s">
        <v>84</v>
      </c>
      <c r="L336" s="210"/>
      <c r="M336" s="210" t="s">
        <v>93</v>
      </c>
      <c r="N336" s="210"/>
      <c r="O336" s="210"/>
      <c r="P336" s="210"/>
    </row>
    <row r="337" spans="1:16" ht="15.75">
      <c r="A337" s="210">
        <v>319</v>
      </c>
      <c r="B337" s="347">
        <v>43116</v>
      </c>
      <c r="C337" s="169" t="s">
        <v>2397</v>
      </c>
      <c r="D337" s="210">
        <f t="shared" si="5"/>
        <v>2</v>
      </c>
      <c r="E337" s="210" t="s">
        <v>87</v>
      </c>
      <c r="F337" s="210" t="s">
        <v>84</v>
      </c>
      <c r="G337" s="210"/>
      <c r="H337" s="210" t="s">
        <v>93</v>
      </c>
      <c r="I337" s="210"/>
      <c r="J337" s="210" t="s">
        <v>84</v>
      </c>
      <c r="K337" s="210" t="s">
        <v>84</v>
      </c>
      <c r="L337" s="210"/>
      <c r="M337" s="210" t="s">
        <v>93</v>
      </c>
      <c r="N337" s="210"/>
      <c r="O337" s="210"/>
      <c r="P337" s="210"/>
    </row>
    <row r="338" spans="1:16" ht="15.75">
      <c r="A338" s="210">
        <v>320</v>
      </c>
      <c r="B338" s="347">
        <v>43117</v>
      </c>
      <c r="C338" s="169" t="s">
        <v>2397</v>
      </c>
      <c r="D338" s="210">
        <f t="shared" si="5"/>
        <v>3</v>
      </c>
      <c r="E338" s="210" t="s">
        <v>80</v>
      </c>
      <c r="F338" s="210" t="s">
        <v>84</v>
      </c>
      <c r="G338" s="210"/>
      <c r="H338" s="210" t="s">
        <v>93</v>
      </c>
      <c r="I338" s="210"/>
      <c r="J338" s="210" t="s">
        <v>84</v>
      </c>
      <c r="K338" s="210" t="s">
        <v>84</v>
      </c>
      <c r="L338" s="210"/>
      <c r="M338" s="210" t="s">
        <v>93</v>
      </c>
      <c r="N338" s="210"/>
      <c r="O338" s="210"/>
      <c r="P338" s="210"/>
    </row>
    <row r="339" spans="1:16" ht="15.75">
      <c r="A339" s="210">
        <v>321</v>
      </c>
      <c r="B339" s="347">
        <v>43118</v>
      </c>
      <c r="C339" s="169" t="s">
        <v>2397</v>
      </c>
      <c r="D339" s="210">
        <f t="shared" si="5"/>
        <v>4</v>
      </c>
      <c r="E339" s="210" t="s">
        <v>81</v>
      </c>
      <c r="F339" s="210" t="s">
        <v>84</v>
      </c>
      <c r="G339" s="210"/>
      <c r="H339" s="210" t="s">
        <v>93</v>
      </c>
      <c r="I339" s="210"/>
      <c r="J339" s="210" t="s">
        <v>84</v>
      </c>
      <c r="K339" s="210" t="s">
        <v>84</v>
      </c>
      <c r="L339" s="210"/>
      <c r="M339" s="210" t="s">
        <v>93</v>
      </c>
      <c r="N339" s="210"/>
      <c r="O339" s="210"/>
      <c r="P339" s="210"/>
    </row>
    <row r="340" spans="1:16" ht="15.75">
      <c r="A340" s="210">
        <v>322</v>
      </c>
      <c r="B340" s="347">
        <v>43119</v>
      </c>
      <c r="C340" s="169" t="s">
        <v>2397</v>
      </c>
      <c r="D340" s="210">
        <f t="shared" si="5"/>
        <v>5</v>
      </c>
      <c r="E340" s="210" t="s">
        <v>82</v>
      </c>
      <c r="F340" s="210" t="s">
        <v>84</v>
      </c>
      <c r="G340" s="210"/>
      <c r="H340" s="210" t="s">
        <v>93</v>
      </c>
      <c r="I340" s="210"/>
      <c r="J340" s="210" t="s">
        <v>84</v>
      </c>
      <c r="K340" s="210" t="s">
        <v>84</v>
      </c>
      <c r="L340" s="210"/>
      <c r="M340" s="210" t="s">
        <v>93</v>
      </c>
      <c r="N340" s="210"/>
      <c r="O340" s="210"/>
      <c r="P340" s="210"/>
    </row>
    <row r="341" spans="1:16" ht="15.75">
      <c r="A341" s="210">
        <v>323</v>
      </c>
      <c r="B341" s="347">
        <v>43120</v>
      </c>
      <c r="C341" s="169" t="s">
        <v>2397</v>
      </c>
      <c r="D341" s="210">
        <f t="shared" si="5"/>
        <v>6</v>
      </c>
      <c r="E341" s="210" t="s">
        <v>83</v>
      </c>
      <c r="F341" s="210" t="s">
        <v>84</v>
      </c>
      <c r="G341" s="210"/>
      <c r="H341" s="210" t="s">
        <v>93</v>
      </c>
      <c r="I341" s="210"/>
      <c r="J341" s="210" t="s">
        <v>84</v>
      </c>
      <c r="K341" s="210" t="s">
        <v>84</v>
      </c>
      <c r="L341" s="210"/>
      <c r="M341" s="210" t="s">
        <v>93</v>
      </c>
      <c r="N341" s="210"/>
      <c r="O341" s="210"/>
      <c r="P341" s="210"/>
    </row>
    <row r="342" spans="1:16" ht="15.75">
      <c r="A342" s="210">
        <v>324</v>
      </c>
      <c r="B342" s="347">
        <v>43121</v>
      </c>
      <c r="C342" s="169" t="s">
        <v>2397</v>
      </c>
      <c r="D342" s="210">
        <f t="shared" si="5"/>
        <v>7</v>
      </c>
      <c r="E342" s="210" t="s">
        <v>85</v>
      </c>
      <c r="F342" s="210" t="s">
        <v>84</v>
      </c>
      <c r="G342" s="210"/>
      <c r="H342" s="210" t="s">
        <v>93</v>
      </c>
      <c r="I342" s="210"/>
      <c r="J342" s="210" t="s">
        <v>84</v>
      </c>
      <c r="K342" s="210" t="s">
        <v>84</v>
      </c>
      <c r="L342" s="210"/>
      <c r="M342" s="210" t="s">
        <v>93</v>
      </c>
      <c r="N342" s="210"/>
      <c r="O342" s="210"/>
      <c r="P342" s="210"/>
    </row>
    <row r="343" spans="1:16" ht="15.75">
      <c r="A343" s="208">
        <v>325</v>
      </c>
      <c r="B343" s="345">
        <v>43122</v>
      </c>
      <c r="C343" s="165" t="s">
        <v>2397</v>
      </c>
      <c r="D343" s="208">
        <f t="shared" si="5"/>
        <v>1</v>
      </c>
      <c r="E343" s="208" t="s">
        <v>86</v>
      </c>
      <c r="F343" s="208" t="s">
        <v>106</v>
      </c>
      <c r="G343" s="208">
        <v>11</v>
      </c>
      <c r="H343" s="208" t="s">
        <v>26</v>
      </c>
      <c r="I343" s="384" t="s">
        <v>1793</v>
      </c>
      <c r="J343" s="208" t="str">
        <f>F343</f>
        <v>SI</v>
      </c>
      <c r="K343" s="208" t="s">
        <v>84</v>
      </c>
      <c r="L343" s="208">
        <v>14</v>
      </c>
      <c r="M343" s="208" t="s">
        <v>41</v>
      </c>
      <c r="N343" s="384" t="s">
        <v>1888</v>
      </c>
      <c r="O343" s="208"/>
      <c r="P343" s="208"/>
    </row>
    <row r="344" spans="1:16" ht="15.75">
      <c r="A344" s="208">
        <v>326</v>
      </c>
      <c r="B344" s="345">
        <v>43123</v>
      </c>
      <c r="C344" s="165" t="s">
        <v>2397</v>
      </c>
      <c r="D344" s="208">
        <f t="shared" si="5"/>
        <v>2</v>
      </c>
      <c r="E344" s="208" t="s">
        <v>87</v>
      </c>
      <c r="F344" s="208" t="s">
        <v>106</v>
      </c>
      <c r="G344" s="208">
        <v>11</v>
      </c>
      <c r="H344" s="208" t="s">
        <v>27</v>
      </c>
      <c r="I344" s="384" t="s">
        <v>1813</v>
      </c>
      <c r="J344" s="208" t="s">
        <v>106</v>
      </c>
      <c r="K344" s="208" t="s">
        <v>84</v>
      </c>
      <c r="L344" s="208">
        <v>14</v>
      </c>
      <c r="M344" s="208" t="s">
        <v>42</v>
      </c>
      <c r="N344" s="384" t="s">
        <v>1855</v>
      </c>
      <c r="O344" s="208"/>
      <c r="P344" s="208"/>
    </row>
    <row r="345" spans="1:16" ht="15.75">
      <c r="A345" s="208">
        <v>327</v>
      </c>
      <c r="B345" s="345">
        <v>43124</v>
      </c>
      <c r="C345" s="165" t="s">
        <v>2397</v>
      </c>
      <c r="D345" s="208">
        <f t="shared" si="5"/>
        <v>3</v>
      </c>
      <c r="E345" s="208" t="s">
        <v>80</v>
      </c>
      <c r="F345" s="208" t="s">
        <v>106</v>
      </c>
      <c r="G345" s="208">
        <v>11</v>
      </c>
      <c r="H345" s="208" t="s">
        <v>28</v>
      </c>
      <c r="I345" s="384" t="s">
        <v>1812</v>
      </c>
      <c r="J345" s="208" t="s">
        <v>106</v>
      </c>
      <c r="K345" s="208" t="s">
        <v>84</v>
      </c>
      <c r="L345" s="208">
        <v>14</v>
      </c>
      <c r="M345" s="208" t="s">
        <v>43</v>
      </c>
      <c r="N345" s="384" t="s">
        <v>1919</v>
      </c>
      <c r="O345" s="208"/>
      <c r="P345" s="208"/>
    </row>
    <row r="346" spans="1:16" ht="15.75">
      <c r="A346" s="208">
        <v>328</v>
      </c>
      <c r="B346" s="345">
        <v>43125</v>
      </c>
      <c r="C346" s="165" t="s">
        <v>2397</v>
      </c>
      <c r="D346" s="208">
        <f t="shared" si="5"/>
        <v>4</v>
      </c>
      <c r="E346" s="208" t="s">
        <v>81</v>
      </c>
      <c r="F346" s="208" t="s">
        <v>106</v>
      </c>
      <c r="G346" s="208">
        <v>11</v>
      </c>
      <c r="H346" s="208" t="s">
        <v>11</v>
      </c>
      <c r="I346" s="384" t="s">
        <v>2423</v>
      </c>
      <c r="J346" s="208" t="s">
        <v>106</v>
      </c>
      <c r="K346" s="208" t="s">
        <v>84</v>
      </c>
      <c r="L346" s="208">
        <v>14</v>
      </c>
      <c r="M346" s="208" t="s">
        <v>44</v>
      </c>
      <c r="N346" s="384" t="s">
        <v>1928</v>
      </c>
      <c r="O346" s="208"/>
      <c r="P346" s="208"/>
    </row>
    <row r="347" spans="1:16" ht="15.75">
      <c r="A347" s="208">
        <v>329</v>
      </c>
      <c r="B347" s="345">
        <v>43126</v>
      </c>
      <c r="C347" s="165" t="s">
        <v>2397</v>
      </c>
      <c r="D347" s="208">
        <f t="shared" si="5"/>
        <v>5</v>
      </c>
      <c r="E347" s="208" t="s">
        <v>82</v>
      </c>
      <c r="F347" s="208" t="s">
        <v>106</v>
      </c>
      <c r="G347" s="208">
        <v>12</v>
      </c>
      <c r="H347" s="208" t="s">
        <v>14</v>
      </c>
      <c r="I347" s="384" t="s">
        <v>1821</v>
      </c>
      <c r="J347" s="208" t="s">
        <v>106</v>
      </c>
      <c r="K347" s="208" t="s">
        <v>84</v>
      </c>
      <c r="L347" s="208">
        <v>15</v>
      </c>
      <c r="M347" s="384" t="s">
        <v>29</v>
      </c>
      <c r="N347" s="384" t="s">
        <v>1890</v>
      </c>
      <c r="O347" s="208"/>
      <c r="P347" s="208"/>
    </row>
    <row r="348" spans="1:16" ht="15.75">
      <c r="A348" s="208">
        <v>330</v>
      </c>
      <c r="B348" s="345">
        <v>43127</v>
      </c>
      <c r="C348" s="165" t="s">
        <v>2397</v>
      </c>
      <c r="D348" s="208">
        <f t="shared" si="5"/>
        <v>6</v>
      </c>
      <c r="E348" s="208" t="s">
        <v>83</v>
      </c>
      <c r="F348" s="208" t="s">
        <v>84</v>
      </c>
      <c r="G348" s="208"/>
      <c r="H348" s="208"/>
      <c r="I348" s="208"/>
      <c r="J348" s="208" t="s">
        <v>84</v>
      </c>
      <c r="K348" s="208" t="s">
        <v>84</v>
      </c>
      <c r="L348" s="208"/>
      <c r="M348" s="208"/>
      <c r="N348" s="208"/>
      <c r="O348" s="208"/>
      <c r="P348" s="208"/>
    </row>
    <row r="349" spans="1:16" ht="15.75">
      <c r="A349" s="208">
        <v>331</v>
      </c>
      <c r="B349" s="345">
        <v>43128</v>
      </c>
      <c r="C349" s="165" t="s">
        <v>2397</v>
      </c>
      <c r="D349" s="208">
        <f t="shared" si="5"/>
        <v>7</v>
      </c>
      <c r="E349" s="208" t="s">
        <v>85</v>
      </c>
      <c r="F349" s="208" t="s">
        <v>84</v>
      </c>
      <c r="G349" s="208"/>
      <c r="H349" s="208"/>
      <c r="I349" s="208"/>
      <c r="J349" s="208" t="s">
        <v>84</v>
      </c>
      <c r="K349" s="208" t="s">
        <v>84</v>
      </c>
      <c r="L349" s="208"/>
      <c r="M349" s="208"/>
      <c r="N349" s="208"/>
      <c r="O349" s="208"/>
      <c r="P349" s="208"/>
    </row>
    <row r="350" spans="1:16" ht="15.75">
      <c r="A350" s="208">
        <v>332</v>
      </c>
      <c r="B350" s="345">
        <v>43129</v>
      </c>
      <c r="C350" s="165" t="s">
        <v>2397</v>
      </c>
      <c r="D350" s="208">
        <f t="shared" si="5"/>
        <v>1</v>
      </c>
      <c r="E350" s="208" t="s">
        <v>86</v>
      </c>
      <c r="F350" s="208" t="s">
        <v>106</v>
      </c>
      <c r="G350" s="208">
        <v>12</v>
      </c>
      <c r="H350" s="208" t="s">
        <v>15</v>
      </c>
      <c r="I350" s="384" t="s">
        <v>2427</v>
      </c>
      <c r="J350" s="208" t="s">
        <v>106</v>
      </c>
      <c r="K350" s="208" t="s">
        <v>84</v>
      </c>
      <c r="L350" s="208">
        <v>15</v>
      </c>
      <c r="M350" s="384" t="s">
        <v>31</v>
      </c>
      <c r="N350" s="384" t="s">
        <v>1841</v>
      </c>
      <c r="O350" s="208"/>
      <c r="P350" s="208"/>
    </row>
    <row r="351" spans="1:16" ht="15.75">
      <c r="A351" s="208">
        <v>333</v>
      </c>
      <c r="B351" s="345">
        <v>43130</v>
      </c>
      <c r="C351" s="165" t="s">
        <v>2397</v>
      </c>
      <c r="D351" s="208">
        <f t="shared" si="5"/>
        <v>2</v>
      </c>
      <c r="E351" s="208" t="s">
        <v>87</v>
      </c>
      <c r="F351" s="208" t="s">
        <v>106</v>
      </c>
      <c r="G351" s="208">
        <v>12</v>
      </c>
      <c r="H351" s="208" t="s">
        <v>16</v>
      </c>
      <c r="I351" s="384" t="s">
        <v>1805</v>
      </c>
      <c r="J351" s="208" t="s">
        <v>106</v>
      </c>
      <c r="K351" s="208" t="s">
        <v>84</v>
      </c>
      <c r="L351" s="208">
        <v>15</v>
      </c>
      <c r="M351" s="384" t="s">
        <v>32</v>
      </c>
      <c r="N351" s="384" t="s">
        <v>1908</v>
      </c>
      <c r="O351" s="208"/>
      <c r="P351" s="208"/>
    </row>
    <row r="352" spans="1:16" ht="15.75">
      <c r="A352" s="208">
        <v>334</v>
      </c>
      <c r="B352" s="345">
        <v>43131</v>
      </c>
      <c r="C352" s="165" t="s">
        <v>2397</v>
      </c>
      <c r="D352" s="208">
        <f t="shared" si="5"/>
        <v>3</v>
      </c>
      <c r="E352" s="208" t="s">
        <v>80</v>
      </c>
      <c r="F352" s="208" t="s">
        <v>106</v>
      </c>
      <c r="G352" s="208">
        <v>12</v>
      </c>
      <c r="H352" s="208" t="s">
        <v>17</v>
      </c>
      <c r="I352" s="384" t="s">
        <v>2418</v>
      </c>
      <c r="J352" s="208" t="s">
        <v>106</v>
      </c>
      <c r="K352" s="208" t="s">
        <v>84</v>
      </c>
      <c r="L352" s="208">
        <v>15</v>
      </c>
      <c r="M352" s="384" t="s">
        <v>33</v>
      </c>
      <c r="N352" s="384" t="s">
        <v>1921</v>
      </c>
      <c r="O352" s="208"/>
      <c r="P352" s="208"/>
    </row>
    <row r="353" spans="1:16" ht="15.75">
      <c r="A353" s="208">
        <v>335</v>
      </c>
      <c r="B353" s="345">
        <v>43132</v>
      </c>
      <c r="C353" s="165" t="s">
        <v>79</v>
      </c>
      <c r="D353" s="208">
        <f t="shared" si="5"/>
        <v>4</v>
      </c>
      <c r="E353" s="208" t="s">
        <v>81</v>
      </c>
      <c r="F353" s="208" t="s">
        <v>106</v>
      </c>
      <c r="G353" s="208">
        <v>12</v>
      </c>
      <c r="H353" s="208" t="s">
        <v>18</v>
      </c>
      <c r="I353" s="384" t="s">
        <v>98</v>
      </c>
      <c r="J353" s="208" t="s">
        <v>106</v>
      </c>
      <c r="K353" s="208" t="s">
        <v>84</v>
      </c>
      <c r="L353" s="208">
        <v>15</v>
      </c>
      <c r="M353" s="384" t="s">
        <v>34</v>
      </c>
      <c r="N353" s="384" t="s">
        <v>1898</v>
      </c>
      <c r="O353" s="208"/>
      <c r="P353" s="208"/>
    </row>
    <row r="354" spans="1:16" ht="15.75">
      <c r="A354" s="208">
        <v>336</v>
      </c>
      <c r="B354" s="345">
        <v>43133</v>
      </c>
      <c r="C354" s="165" t="s">
        <v>79</v>
      </c>
      <c r="D354" s="208">
        <f t="shared" si="5"/>
        <v>5</v>
      </c>
      <c r="E354" s="208" t="s">
        <v>82</v>
      </c>
      <c r="F354" s="208" t="s">
        <v>106</v>
      </c>
      <c r="G354" s="208">
        <v>12</v>
      </c>
      <c r="H354" s="208" t="s">
        <v>19</v>
      </c>
      <c r="I354" s="384" t="s">
        <v>2425</v>
      </c>
      <c r="J354" s="208" t="s">
        <v>106</v>
      </c>
      <c r="K354" s="208" t="s">
        <v>84</v>
      </c>
      <c r="L354" s="208">
        <v>15</v>
      </c>
      <c r="M354" s="208" t="s">
        <v>35</v>
      </c>
      <c r="N354" s="384" t="s">
        <v>1916</v>
      </c>
      <c r="O354" s="208"/>
      <c r="P354" s="208"/>
    </row>
    <row r="355" spans="1:16" ht="15.75">
      <c r="A355" s="208">
        <v>337</v>
      </c>
      <c r="B355" s="345">
        <v>43134</v>
      </c>
      <c r="C355" s="165" t="s">
        <v>79</v>
      </c>
      <c r="D355" s="208">
        <f t="shared" si="5"/>
        <v>6</v>
      </c>
      <c r="E355" s="208" t="s">
        <v>83</v>
      </c>
      <c r="F355" s="208" t="s">
        <v>84</v>
      </c>
      <c r="G355" s="208"/>
      <c r="H355" s="208"/>
      <c r="I355" s="208"/>
      <c r="J355" s="208" t="s">
        <v>84</v>
      </c>
      <c r="K355" s="208" t="s">
        <v>106</v>
      </c>
      <c r="L355" s="208">
        <v>15</v>
      </c>
      <c r="M355" s="208"/>
      <c r="N355" s="208"/>
      <c r="O355" s="208" t="s">
        <v>36</v>
      </c>
      <c r="P355" s="384" t="s">
        <v>98</v>
      </c>
    </row>
    <row r="356" spans="1:16" ht="15.75">
      <c r="A356" s="208">
        <v>338</v>
      </c>
      <c r="B356" s="345">
        <v>43135</v>
      </c>
      <c r="C356" s="165" t="s">
        <v>79</v>
      </c>
      <c r="D356" s="208">
        <f t="shared" si="5"/>
        <v>7</v>
      </c>
      <c r="E356" s="208" t="s">
        <v>85</v>
      </c>
      <c r="F356" s="208" t="s">
        <v>84</v>
      </c>
      <c r="G356" s="208"/>
      <c r="H356" s="208"/>
      <c r="I356" s="208"/>
      <c r="J356" s="208" t="s">
        <v>84</v>
      </c>
      <c r="K356" s="208" t="s">
        <v>84</v>
      </c>
      <c r="L356" s="208"/>
      <c r="M356" s="208"/>
      <c r="N356" s="208"/>
      <c r="O356" s="208"/>
      <c r="P356" s="208"/>
    </row>
    <row r="357" spans="1:16" ht="15.75">
      <c r="A357" s="208">
        <v>339</v>
      </c>
      <c r="B357" s="345">
        <v>43136</v>
      </c>
      <c r="C357" s="165" t="s">
        <v>79</v>
      </c>
      <c r="D357" s="208">
        <f t="shared" si="5"/>
        <v>1</v>
      </c>
      <c r="E357" s="208" t="s">
        <v>86</v>
      </c>
      <c r="F357" s="208" t="s">
        <v>106</v>
      </c>
      <c r="G357" s="208">
        <v>12</v>
      </c>
      <c r="H357" s="208" t="s">
        <v>20</v>
      </c>
      <c r="I357" s="384" t="s">
        <v>1620</v>
      </c>
      <c r="J357" s="208" t="s">
        <v>106</v>
      </c>
      <c r="K357" s="208" t="s">
        <v>84</v>
      </c>
      <c r="L357" s="208">
        <v>15</v>
      </c>
      <c r="M357" s="384" t="s">
        <v>37</v>
      </c>
      <c r="N357" s="384" t="s">
        <v>1844</v>
      </c>
      <c r="O357" s="208"/>
      <c r="P357" s="208"/>
    </row>
    <row r="358" spans="1:16" ht="15.75">
      <c r="A358" s="208">
        <v>340</v>
      </c>
      <c r="B358" s="345">
        <v>43137</v>
      </c>
      <c r="C358" s="165" t="s">
        <v>79</v>
      </c>
      <c r="D358" s="208">
        <f t="shared" si="5"/>
        <v>2</v>
      </c>
      <c r="E358" s="208" t="s">
        <v>87</v>
      </c>
      <c r="F358" s="208" t="s">
        <v>106</v>
      </c>
      <c r="G358" s="208">
        <v>12</v>
      </c>
      <c r="H358" s="208" t="s">
        <v>21</v>
      </c>
      <c r="I358" s="208" t="s">
        <v>98</v>
      </c>
      <c r="J358" s="208" t="s">
        <v>106</v>
      </c>
      <c r="K358" s="208" t="s">
        <v>84</v>
      </c>
      <c r="L358" s="208">
        <v>15</v>
      </c>
      <c r="M358" s="384" t="s">
        <v>38</v>
      </c>
      <c r="N358" s="384" t="s">
        <v>1834</v>
      </c>
      <c r="O358" s="208"/>
      <c r="P358" s="208"/>
    </row>
    <row r="359" spans="1:16" ht="15.75">
      <c r="A359" s="208">
        <v>341</v>
      </c>
      <c r="B359" s="345">
        <v>43138</v>
      </c>
      <c r="C359" s="165" t="s">
        <v>79</v>
      </c>
      <c r="D359" s="208">
        <f t="shared" si="5"/>
        <v>3</v>
      </c>
      <c r="E359" s="208" t="s">
        <v>80</v>
      </c>
      <c r="F359" s="208" t="s">
        <v>106</v>
      </c>
      <c r="G359" s="208">
        <v>12</v>
      </c>
      <c r="H359" s="208" t="s">
        <v>22</v>
      </c>
      <c r="I359" s="384" t="s">
        <v>1629</v>
      </c>
      <c r="J359" s="208" t="s">
        <v>106</v>
      </c>
      <c r="K359" s="208" t="s">
        <v>84</v>
      </c>
      <c r="L359" s="208">
        <v>15</v>
      </c>
      <c r="M359" s="384" t="s">
        <v>39</v>
      </c>
      <c r="N359" s="208" t="s">
        <v>98</v>
      </c>
      <c r="O359" s="208"/>
      <c r="P359" s="208"/>
    </row>
    <row r="360" spans="1:16" ht="15.75">
      <c r="A360" s="208">
        <v>342</v>
      </c>
      <c r="B360" s="345">
        <v>43139</v>
      </c>
      <c r="C360" s="165" t="s">
        <v>79</v>
      </c>
      <c r="D360" s="208">
        <f t="shared" si="5"/>
        <v>4</v>
      </c>
      <c r="E360" s="208" t="s">
        <v>81</v>
      </c>
      <c r="F360" s="208" t="s">
        <v>106</v>
      </c>
      <c r="G360" s="208">
        <v>12</v>
      </c>
      <c r="H360" s="208" t="s">
        <v>23</v>
      </c>
      <c r="I360" s="208" t="s">
        <v>98</v>
      </c>
      <c r="J360" s="208" t="s">
        <v>106</v>
      </c>
      <c r="K360" s="208" t="s">
        <v>84</v>
      </c>
      <c r="L360" s="208">
        <v>15</v>
      </c>
      <c r="M360" s="384" t="s">
        <v>40</v>
      </c>
      <c r="N360" s="208" t="s">
        <v>98</v>
      </c>
      <c r="O360" s="208"/>
      <c r="P360" s="208"/>
    </row>
    <row r="361" spans="1:16" ht="15.75">
      <c r="A361" s="208">
        <v>343</v>
      </c>
      <c r="B361" s="345">
        <v>43140</v>
      </c>
      <c r="C361" s="165" t="s">
        <v>79</v>
      </c>
      <c r="D361" s="208">
        <f t="shared" si="5"/>
        <v>5</v>
      </c>
      <c r="E361" s="208" t="s">
        <v>82</v>
      </c>
      <c r="F361" s="208" t="s">
        <v>106</v>
      </c>
      <c r="G361" s="208">
        <v>12</v>
      </c>
      <c r="H361" s="208" t="s">
        <v>24</v>
      </c>
      <c r="I361" s="384" t="s">
        <v>2430</v>
      </c>
      <c r="J361" s="208" t="s">
        <v>106</v>
      </c>
      <c r="K361" s="208" t="s">
        <v>84</v>
      </c>
      <c r="L361" s="208">
        <v>15</v>
      </c>
      <c r="M361" s="208" t="s">
        <v>41</v>
      </c>
      <c r="N361" s="384" t="s">
        <v>1881</v>
      </c>
      <c r="O361" s="208"/>
      <c r="P361" s="208"/>
    </row>
    <row r="362" spans="1:16" ht="15.75">
      <c r="A362" s="208">
        <v>344</v>
      </c>
      <c r="B362" s="345">
        <v>43141</v>
      </c>
      <c r="C362" s="165" t="s">
        <v>79</v>
      </c>
      <c r="D362" s="208">
        <f t="shared" si="5"/>
        <v>6</v>
      </c>
      <c r="E362" s="208" t="s">
        <v>83</v>
      </c>
      <c r="F362" s="208" t="s">
        <v>84</v>
      </c>
      <c r="G362" s="208"/>
      <c r="H362" s="208"/>
      <c r="I362" s="208"/>
      <c r="J362" s="208" t="s">
        <v>84</v>
      </c>
      <c r="K362" s="208" t="s">
        <v>106</v>
      </c>
      <c r="L362" s="208">
        <v>15</v>
      </c>
      <c r="M362" s="208"/>
      <c r="N362" s="208"/>
      <c r="O362" s="208" t="s">
        <v>42</v>
      </c>
      <c r="P362" s="384" t="s">
        <v>1902</v>
      </c>
    </row>
    <row r="363" spans="1:16" ht="15.75">
      <c r="A363" s="208">
        <v>345</v>
      </c>
      <c r="B363" s="345">
        <v>43142</v>
      </c>
      <c r="C363" s="165" t="s">
        <v>79</v>
      </c>
      <c r="D363" s="208">
        <f t="shared" si="5"/>
        <v>7</v>
      </c>
      <c r="E363" s="208" t="s">
        <v>85</v>
      </c>
      <c r="F363" s="208" t="s">
        <v>84</v>
      </c>
      <c r="G363" s="208"/>
      <c r="H363" s="208"/>
      <c r="I363" s="208"/>
      <c r="J363" s="208" t="s">
        <v>84</v>
      </c>
      <c r="K363" s="208" t="s">
        <v>84</v>
      </c>
      <c r="L363" s="208"/>
      <c r="M363" s="208"/>
      <c r="N363" s="208"/>
      <c r="O363" s="208"/>
      <c r="P363" s="208"/>
    </row>
    <row r="364" spans="1:16" ht="15.75">
      <c r="A364" s="208">
        <v>346</v>
      </c>
      <c r="B364" s="345">
        <v>43143</v>
      </c>
      <c r="C364" s="165" t="s">
        <v>79</v>
      </c>
      <c r="D364" s="208">
        <f t="shared" si="5"/>
        <v>1</v>
      </c>
      <c r="E364" s="208" t="s">
        <v>86</v>
      </c>
      <c r="F364" s="208" t="s">
        <v>106</v>
      </c>
      <c r="G364" s="208">
        <v>12</v>
      </c>
      <c r="H364" s="208" t="s">
        <v>25</v>
      </c>
      <c r="I364" s="384" t="s">
        <v>1801</v>
      </c>
      <c r="J364" s="208" t="s">
        <v>106</v>
      </c>
      <c r="K364" s="208" t="s">
        <v>84</v>
      </c>
      <c r="L364" s="208">
        <v>15</v>
      </c>
      <c r="M364" s="384" t="s">
        <v>43</v>
      </c>
      <c r="N364" s="384" t="s">
        <v>1894</v>
      </c>
      <c r="O364" s="208"/>
      <c r="P364" s="208"/>
    </row>
    <row r="365" spans="1:16" ht="15.75">
      <c r="A365" s="208">
        <v>347</v>
      </c>
      <c r="B365" s="345">
        <v>43144</v>
      </c>
      <c r="C365" s="165" t="s">
        <v>79</v>
      </c>
      <c r="D365" s="208">
        <f t="shared" si="5"/>
        <v>2</v>
      </c>
      <c r="E365" s="208" t="s">
        <v>87</v>
      </c>
      <c r="F365" s="208" t="s">
        <v>106</v>
      </c>
      <c r="G365" s="208">
        <v>12</v>
      </c>
      <c r="H365" s="208" t="s">
        <v>26</v>
      </c>
      <c r="I365" s="384" t="s">
        <v>2431</v>
      </c>
      <c r="J365" s="208" t="s">
        <v>106</v>
      </c>
      <c r="K365" s="208" t="s">
        <v>84</v>
      </c>
      <c r="L365" s="208">
        <v>15</v>
      </c>
      <c r="M365" s="384" t="s">
        <v>44</v>
      </c>
      <c r="N365" s="384" t="s">
        <v>1869</v>
      </c>
      <c r="O365" s="208"/>
      <c r="P365" s="208"/>
    </row>
    <row r="366" spans="1:16" ht="15.75">
      <c r="A366" s="208">
        <v>348</v>
      </c>
      <c r="B366" s="345">
        <v>43145</v>
      </c>
      <c r="C366" s="165" t="s">
        <v>79</v>
      </c>
      <c r="D366" s="208">
        <f t="shared" si="5"/>
        <v>3</v>
      </c>
      <c r="E366" s="208" t="s">
        <v>80</v>
      </c>
      <c r="F366" s="208" t="s">
        <v>106</v>
      </c>
      <c r="G366" s="208">
        <v>12</v>
      </c>
      <c r="H366" s="208" t="s">
        <v>27</v>
      </c>
      <c r="I366" s="384" t="s">
        <v>1813</v>
      </c>
      <c r="J366" s="208" t="s">
        <v>106</v>
      </c>
      <c r="K366" s="208" t="s">
        <v>84</v>
      </c>
      <c r="L366" s="384">
        <v>16</v>
      </c>
      <c r="M366" s="384" t="s">
        <v>29</v>
      </c>
      <c r="N366" s="384" t="s">
        <v>1890</v>
      </c>
      <c r="O366" s="208"/>
      <c r="P366" s="208"/>
    </row>
    <row r="367" spans="1:16" ht="15.75">
      <c r="A367" s="208">
        <v>349</v>
      </c>
      <c r="B367" s="345">
        <v>43146</v>
      </c>
      <c r="C367" s="165" t="s">
        <v>79</v>
      </c>
      <c r="D367" s="208">
        <f t="shared" si="5"/>
        <v>4</v>
      </c>
      <c r="E367" s="208" t="s">
        <v>81</v>
      </c>
      <c r="F367" s="208" t="s">
        <v>106</v>
      </c>
      <c r="G367" s="208">
        <v>12</v>
      </c>
      <c r="H367" s="208" t="s">
        <v>28</v>
      </c>
      <c r="I367" s="384" t="s">
        <v>1812</v>
      </c>
      <c r="J367" s="208" t="s">
        <v>106</v>
      </c>
      <c r="K367" s="208" t="s">
        <v>84</v>
      </c>
      <c r="L367" s="208">
        <v>16</v>
      </c>
      <c r="M367" s="384" t="s">
        <v>31</v>
      </c>
      <c r="N367" s="384" t="s">
        <v>1931</v>
      </c>
      <c r="O367" s="208"/>
      <c r="P367" s="208"/>
    </row>
    <row r="368" spans="1:16" ht="15.75">
      <c r="A368" s="208">
        <v>350</v>
      </c>
      <c r="B368" s="345">
        <v>43147</v>
      </c>
      <c r="C368" s="165" t="s">
        <v>79</v>
      </c>
      <c r="D368" s="208">
        <f t="shared" si="5"/>
        <v>5</v>
      </c>
      <c r="E368" s="208" t="s">
        <v>82</v>
      </c>
      <c r="F368" s="208" t="s">
        <v>106</v>
      </c>
      <c r="G368" s="208">
        <v>12</v>
      </c>
      <c r="H368" s="208" t="s">
        <v>12</v>
      </c>
      <c r="I368" s="384" t="s">
        <v>2424</v>
      </c>
      <c r="J368" s="208" t="s">
        <v>106</v>
      </c>
      <c r="K368" s="208" t="s">
        <v>84</v>
      </c>
      <c r="L368" s="208">
        <v>16</v>
      </c>
      <c r="M368" s="208" t="s">
        <v>32</v>
      </c>
      <c r="N368" s="384" t="s">
        <v>1829</v>
      </c>
      <c r="O368" s="208"/>
      <c r="P368" s="208"/>
    </row>
    <row r="369" spans="1:16" ht="15.75">
      <c r="A369" s="208">
        <v>351</v>
      </c>
      <c r="B369" s="345">
        <v>43148</v>
      </c>
      <c r="C369" s="165" t="s">
        <v>79</v>
      </c>
      <c r="D369" s="208">
        <f t="shared" si="5"/>
        <v>6</v>
      </c>
      <c r="E369" s="208" t="s">
        <v>83</v>
      </c>
      <c r="F369" s="208" t="s">
        <v>84</v>
      </c>
      <c r="G369" s="208"/>
      <c r="H369" s="208"/>
      <c r="I369" s="208"/>
      <c r="J369" s="208" t="s">
        <v>84</v>
      </c>
      <c r="K369" s="208" t="s">
        <v>106</v>
      </c>
      <c r="L369" s="208">
        <v>16</v>
      </c>
      <c r="M369" s="208"/>
      <c r="N369" s="208"/>
      <c r="O369" s="208" t="s">
        <v>33</v>
      </c>
      <c r="P369" s="384" t="s">
        <v>1921</v>
      </c>
    </row>
    <row r="370" spans="1:16" ht="15.75">
      <c r="A370" s="208">
        <v>352</v>
      </c>
      <c r="B370" s="345">
        <v>43149</v>
      </c>
      <c r="C370" s="165" t="s">
        <v>79</v>
      </c>
      <c r="D370" s="208">
        <f t="shared" si="5"/>
        <v>7</v>
      </c>
      <c r="E370" s="208" t="s">
        <v>85</v>
      </c>
      <c r="F370" s="208" t="s">
        <v>84</v>
      </c>
      <c r="G370" s="208"/>
      <c r="H370" s="208"/>
      <c r="I370" s="208"/>
      <c r="J370" s="208" t="s">
        <v>84</v>
      </c>
      <c r="K370" s="208" t="s">
        <v>84</v>
      </c>
      <c r="L370" s="208"/>
      <c r="M370" s="208"/>
      <c r="N370" s="208"/>
      <c r="O370" s="208"/>
      <c r="P370" s="208"/>
    </row>
    <row r="371" spans="1:16" ht="15.75">
      <c r="A371" s="208">
        <v>353</v>
      </c>
      <c r="B371" s="345">
        <v>43150</v>
      </c>
      <c r="C371" s="165" t="s">
        <v>79</v>
      </c>
      <c r="D371" s="208">
        <f t="shared" si="5"/>
        <v>1</v>
      </c>
      <c r="E371" s="208" t="s">
        <v>86</v>
      </c>
      <c r="F371" s="208" t="s">
        <v>106</v>
      </c>
      <c r="G371" s="208">
        <v>13</v>
      </c>
      <c r="H371" s="208" t="s">
        <v>14</v>
      </c>
      <c r="I371" s="384" t="s">
        <v>1821</v>
      </c>
      <c r="J371" s="208" t="s">
        <v>106</v>
      </c>
      <c r="K371" s="208" t="s">
        <v>84</v>
      </c>
      <c r="L371" s="208">
        <v>16</v>
      </c>
      <c r="M371" s="384" t="s">
        <v>34</v>
      </c>
      <c r="N371" s="384" t="s">
        <v>2448</v>
      </c>
      <c r="O371" s="208"/>
      <c r="P371" s="208"/>
    </row>
    <row r="372" spans="1:16" ht="15.75">
      <c r="A372" s="208">
        <v>354</v>
      </c>
      <c r="B372" s="345">
        <v>43151</v>
      </c>
      <c r="C372" s="165" t="s">
        <v>79</v>
      </c>
      <c r="D372" s="208">
        <f t="shared" si="5"/>
        <v>2</v>
      </c>
      <c r="E372" s="208" t="s">
        <v>87</v>
      </c>
      <c r="F372" s="208" t="s">
        <v>106</v>
      </c>
      <c r="G372" s="208">
        <v>13</v>
      </c>
      <c r="H372" s="208" t="s">
        <v>15</v>
      </c>
      <c r="I372" s="384" t="s">
        <v>1780</v>
      </c>
      <c r="J372" s="208" t="s">
        <v>106</v>
      </c>
      <c r="K372" s="208" t="s">
        <v>84</v>
      </c>
      <c r="L372" s="208">
        <v>16</v>
      </c>
      <c r="M372" s="384" t="s">
        <v>35</v>
      </c>
      <c r="N372" s="384" t="s">
        <v>1911</v>
      </c>
      <c r="O372" s="208"/>
      <c r="P372" s="208"/>
    </row>
    <row r="373" spans="1:16" ht="15.75">
      <c r="A373" s="208">
        <v>355</v>
      </c>
      <c r="B373" s="345">
        <v>43152</v>
      </c>
      <c r="C373" s="165" t="s">
        <v>79</v>
      </c>
      <c r="D373" s="208">
        <f t="shared" si="5"/>
        <v>3</v>
      </c>
      <c r="E373" s="208" t="s">
        <v>80</v>
      </c>
      <c r="F373" s="208" t="s">
        <v>106</v>
      </c>
      <c r="G373" s="208">
        <v>13</v>
      </c>
      <c r="H373" s="208" t="s">
        <v>16</v>
      </c>
      <c r="I373" s="384" t="s">
        <v>1810</v>
      </c>
      <c r="J373" s="208" t="s">
        <v>106</v>
      </c>
      <c r="K373" s="208" t="s">
        <v>84</v>
      </c>
      <c r="L373" s="208">
        <v>16</v>
      </c>
      <c r="M373" s="384" t="s">
        <v>36</v>
      </c>
      <c r="N373" s="208" t="s">
        <v>98</v>
      </c>
      <c r="O373" s="208"/>
      <c r="P373" s="208"/>
    </row>
    <row r="374" spans="1:16" ht="15.75">
      <c r="A374" s="208">
        <v>356</v>
      </c>
      <c r="B374" s="345">
        <v>43153</v>
      </c>
      <c r="C374" s="165" t="s">
        <v>79</v>
      </c>
      <c r="D374" s="208">
        <f t="shared" si="5"/>
        <v>4</v>
      </c>
      <c r="E374" s="208" t="s">
        <v>81</v>
      </c>
      <c r="F374" s="208" t="s">
        <v>106</v>
      </c>
      <c r="G374" s="208">
        <v>13</v>
      </c>
      <c r="H374" s="208" t="s">
        <v>17</v>
      </c>
      <c r="I374" s="384" t="s">
        <v>1604</v>
      </c>
      <c r="J374" s="208" t="s">
        <v>106</v>
      </c>
      <c r="K374" s="208" t="s">
        <v>84</v>
      </c>
      <c r="L374" s="208">
        <v>16</v>
      </c>
      <c r="M374" s="384" t="s">
        <v>37</v>
      </c>
      <c r="N374" s="384" t="s">
        <v>1863</v>
      </c>
      <c r="O374" s="208"/>
      <c r="P374" s="208"/>
    </row>
    <row r="375" spans="1:16" ht="15.75">
      <c r="A375" s="208">
        <v>357</v>
      </c>
      <c r="B375" s="345">
        <v>43154</v>
      </c>
      <c r="C375" s="165" t="s">
        <v>79</v>
      </c>
      <c r="D375" s="208">
        <f t="shared" si="5"/>
        <v>5</v>
      </c>
      <c r="E375" s="208" t="s">
        <v>82</v>
      </c>
      <c r="F375" s="208" t="s">
        <v>106</v>
      </c>
      <c r="G375" s="208">
        <v>13</v>
      </c>
      <c r="H375" s="208" t="s">
        <v>18</v>
      </c>
      <c r="I375" s="384" t="s">
        <v>98</v>
      </c>
      <c r="J375" s="208" t="s">
        <v>106</v>
      </c>
      <c r="K375" s="208" t="s">
        <v>84</v>
      </c>
      <c r="L375" s="208">
        <v>16</v>
      </c>
      <c r="M375" s="208" t="s">
        <v>38</v>
      </c>
      <c r="N375" s="384" t="s">
        <v>1853</v>
      </c>
      <c r="O375" s="208"/>
      <c r="P375" s="208"/>
    </row>
    <row r="376" spans="1:16" ht="15.75">
      <c r="A376" s="208">
        <v>358</v>
      </c>
      <c r="B376" s="345">
        <v>43155</v>
      </c>
      <c r="C376" s="165" t="s">
        <v>79</v>
      </c>
      <c r="D376" s="208">
        <f t="shared" si="5"/>
        <v>6</v>
      </c>
      <c r="E376" s="208" t="s">
        <v>83</v>
      </c>
      <c r="F376" s="208" t="s">
        <v>84</v>
      </c>
      <c r="G376" s="208"/>
      <c r="H376" s="208"/>
      <c r="I376" s="208"/>
      <c r="J376" s="208" t="s">
        <v>84</v>
      </c>
      <c r="K376" s="208" t="s">
        <v>106</v>
      </c>
      <c r="L376" s="208">
        <v>16</v>
      </c>
      <c r="M376" s="208"/>
      <c r="N376" s="208"/>
      <c r="O376" s="208" t="s">
        <v>39</v>
      </c>
      <c r="P376" s="208" t="s">
        <v>98</v>
      </c>
    </row>
    <row r="377" spans="1:16" ht="15.75">
      <c r="A377" s="208">
        <v>359</v>
      </c>
      <c r="B377" s="345">
        <v>43156</v>
      </c>
      <c r="C377" s="165" t="s">
        <v>79</v>
      </c>
      <c r="D377" s="208">
        <f t="shared" si="5"/>
        <v>7</v>
      </c>
      <c r="E377" s="208" t="s">
        <v>85</v>
      </c>
      <c r="F377" s="208" t="s">
        <v>84</v>
      </c>
      <c r="G377" s="208"/>
      <c r="H377" s="208"/>
      <c r="I377" s="208"/>
      <c r="J377" s="208" t="s">
        <v>84</v>
      </c>
      <c r="K377" s="208" t="s">
        <v>84</v>
      </c>
      <c r="L377" s="208"/>
      <c r="M377" s="208"/>
      <c r="N377" s="208"/>
      <c r="O377" s="208"/>
      <c r="P377" s="208"/>
    </row>
    <row r="378" spans="1:16" ht="15.75">
      <c r="A378" s="208">
        <v>360</v>
      </c>
      <c r="B378" s="345">
        <v>43157</v>
      </c>
      <c r="C378" s="165" t="s">
        <v>79</v>
      </c>
      <c r="D378" s="208">
        <f t="shared" si="5"/>
        <v>1</v>
      </c>
      <c r="E378" s="208" t="s">
        <v>86</v>
      </c>
      <c r="F378" s="208" t="s">
        <v>106</v>
      </c>
      <c r="G378" s="208">
        <v>13</v>
      </c>
      <c r="H378" s="208" t="s">
        <v>19</v>
      </c>
      <c r="I378" s="384" t="s">
        <v>1605</v>
      </c>
      <c r="J378" s="208" t="s">
        <v>106</v>
      </c>
      <c r="K378" s="208" t="s">
        <v>84</v>
      </c>
      <c r="L378" s="208">
        <v>16</v>
      </c>
      <c r="M378" s="384" t="s">
        <v>40</v>
      </c>
      <c r="N378" s="208" t="s">
        <v>98</v>
      </c>
      <c r="O378" s="208"/>
      <c r="P378" s="208"/>
    </row>
    <row r="379" spans="1:16" ht="15.75">
      <c r="A379" s="208">
        <v>361</v>
      </c>
      <c r="B379" s="345">
        <v>43158</v>
      </c>
      <c r="C379" s="165" t="s">
        <v>79</v>
      </c>
      <c r="D379" s="208">
        <f t="shared" si="5"/>
        <v>2</v>
      </c>
      <c r="E379" s="208" t="s">
        <v>87</v>
      </c>
      <c r="F379" s="208" t="s">
        <v>106</v>
      </c>
      <c r="G379" s="208">
        <v>13</v>
      </c>
      <c r="H379" s="208" t="s">
        <v>20</v>
      </c>
      <c r="I379" s="384" t="s">
        <v>1820</v>
      </c>
      <c r="J379" s="208" t="s">
        <v>106</v>
      </c>
      <c r="K379" s="208" t="s">
        <v>84</v>
      </c>
      <c r="L379" s="208">
        <v>16</v>
      </c>
      <c r="M379" s="384" t="s">
        <v>41</v>
      </c>
      <c r="N379" s="384" t="s">
        <v>1918</v>
      </c>
      <c r="O379" s="208"/>
      <c r="P379" s="208"/>
    </row>
    <row r="380" spans="1:16" ht="15.75">
      <c r="A380" s="208">
        <v>362</v>
      </c>
      <c r="B380" s="345">
        <v>43159</v>
      </c>
      <c r="C380" s="165" t="s">
        <v>79</v>
      </c>
      <c r="D380" s="208">
        <f t="shared" si="5"/>
        <v>3</v>
      </c>
      <c r="E380" s="208" t="s">
        <v>80</v>
      </c>
      <c r="F380" s="208" t="s">
        <v>106</v>
      </c>
      <c r="G380" s="208">
        <v>13</v>
      </c>
      <c r="H380" s="208" t="s">
        <v>21</v>
      </c>
      <c r="I380" s="208" t="s">
        <v>98</v>
      </c>
      <c r="J380" s="208" t="s">
        <v>106</v>
      </c>
      <c r="K380" s="208" t="s">
        <v>84</v>
      </c>
      <c r="L380" s="208">
        <v>16</v>
      </c>
      <c r="M380" s="384" t="s">
        <v>42</v>
      </c>
      <c r="N380" s="384" t="s">
        <v>2449</v>
      </c>
      <c r="O380" s="208"/>
      <c r="P380" s="208"/>
    </row>
    <row r="381" spans="1:16" ht="15.75">
      <c r="A381" s="208">
        <v>363</v>
      </c>
      <c r="B381" s="345">
        <v>43160</v>
      </c>
      <c r="C381" s="165" t="s">
        <v>88</v>
      </c>
      <c r="D381" s="208">
        <f t="shared" si="5"/>
        <v>4</v>
      </c>
      <c r="E381" s="208" t="s">
        <v>81</v>
      </c>
      <c r="F381" s="208" t="s">
        <v>106</v>
      </c>
      <c r="G381" s="208">
        <v>13</v>
      </c>
      <c r="H381" s="208" t="s">
        <v>22</v>
      </c>
      <c r="I381" s="384" t="s">
        <v>2432</v>
      </c>
      <c r="J381" s="208" t="s">
        <v>106</v>
      </c>
      <c r="K381" s="208" t="s">
        <v>84</v>
      </c>
      <c r="L381" s="208">
        <v>16</v>
      </c>
      <c r="M381" s="384" t="s">
        <v>43</v>
      </c>
      <c r="N381" s="384" t="s">
        <v>1842</v>
      </c>
      <c r="O381" s="208"/>
      <c r="P381" s="208"/>
    </row>
    <row r="382" spans="1:16" ht="15.75">
      <c r="A382" s="208">
        <v>364</v>
      </c>
      <c r="B382" s="345">
        <v>43161</v>
      </c>
      <c r="C382" s="165" t="s">
        <v>88</v>
      </c>
      <c r="D382" s="208">
        <f t="shared" si="5"/>
        <v>5</v>
      </c>
      <c r="E382" s="208" t="s">
        <v>82</v>
      </c>
      <c r="F382" s="208" t="s">
        <v>106</v>
      </c>
      <c r="G382" s="208">
        <v>13</v>
      </c>
      <c r="H382" s="208" t="s">
        <v>23</v>
      </c>
      <c r="I382" s="384" t="s">
        <v>98</v>
      </c>
      <c r="J382" s="208" t="s">
        <v>106</v>
      </c>
      <c r="K382" s="208" t="s">
        <v>84</v>
      </c>
      <c r="L382" s="208">
        <v>16</v>
      </c>
      <c r="M382" s="208" t="s">
        <v>44</v>
      </c>
      <c r="N382" s="384" t="s">
        <v>1858</v>
      </c>
      <c r="O382" s="208"/>
      <c r="P382" s="208"/>
    </row>
    <row r="383" spans="1:16" ht="15.75">
      <c r="A383" s="208">
        <v>365</v>
      </c>
      <c r="B383" s="345">
        <v>43162</v>
      </c>
      <c r="C383" s="165" t="s">
        <v>88</v>
      </c>
      <c r="D383" s="208">
        <f t="shared" si="5"/>
        <v>6</v>
      </c>
      <c r="E383" s="208" t="s">
        <v>83</v>
      </c>
      <c r="F383" s="208" t="s">
        <v>84</v>
      </c>
      <c r="G383" s="208"/>
      <c r="H383" s="208"/>
      <c r="I383" s="208"/>
      <c r="J383" s="208" t="s">
        <v>84</v>
      </c>
      <c r="K383" s="208" t="s">
        <v>106</v>
      </c>
      <c r="L383" s="208">
        <v>17</v>
      </c>
      <c r="M383" s="208"/>
      <c r="N383" s="208"/>
      <c r="O383" s="208" t="s">
        <v>29</v>
      </c>
      <c r="P383" s="384" t="s">
        <v>1848</v>
      </c>
    </row>
    <row r="384" spans="1:16" ht="15.75">
      <c r="A384" s="208">
        <v>366</v>
      </c>
      <c r="B384" s="345">
        <v>43163</v>
      </c>
      <c r="C384" s="165" t="s">
        <v>88</v>
      </c>
      <c r="D384" s="208">
        <f t="shared" si="5"/>
        <v>7</v>
      </c>
      <c r="E384" s="208" t="s">
        <v>85</v>
      </c>
      <c r="F384" s="208" t="s">
        <v>84</v>
      </c>
      <c r="G384" s="208"/>
      <c r="H384" s="208"/>
      <c r="I384" s="208"/>
      <c r="J384" s="208" t="s">
        <v>84</v>
      </c>
      <c r="K384" s="208" t="s">
        <v>84</v>
      </c>
      <c r="L384" s="208"/>
      <c r="M384" s="208"/>
      <c r="N384" s="208"/>
      <c r="O384" s="208"/>
      <c r="P384" s="208"/>
    </row>
    <row r="385" spans="1:16" ht="15.75">
      <c r="A385" s="208">
        <v>367</v>
      </c>
      <c r="B385" s="345">
        <v>43164</v>
      </c>
      <c r="C385" s="165" t="s">
        <v>88</v>
      </c>
      <c r="D385" s="208">
        <f t="shared" ref="D385:D448" si="6">WEEKDAY(B385,2)</f>
        <v>1</v>
      </c>
      <c r="E385" s="208" t="s">
        <v>86</v>
      </c>
      <c r="F385" s="208" t="s">
        <v>106</v>
      </c>
      <c r="G385" s="208">
        <v>13</v>
      </c>
      <c r="H385" s="208" t="s">
        <v>24</v>
      </c>
      <c r="I385" s="384" t="s">
        <v>2428</v>
      </c>
      <c r="J385" s="208" t="s">
        <v>106</v>
      </c>
      <c r="K385" s="208" t="s">
        <v>84</v>
      </c>
      <c r="L385" s="208">
        <v>17</v>
      </c>
      <c r="M385" s="384" t="s">
        <v>31</v>
      </c>
      <c r="N385" s="384" t="s">
        <v>2450</v>
      </c>
      <c r="O385" s="208"/>
      <c r="P385" s="208"/>
    </row>
    <row r="386" spans="1:16" ht="15.75">
      <c r="A386" s="208">
        <v>368</v>
      </c>
      <c r="B386" s="345">
        <v>43165</v>
      </c>
      <c r="C386" s="165" t="s">
        <v>88</v>
      </c>
      <c r="D386" s="208">
        <f t="shared" si="6"/>
        <v>2</v>
      </c>
      <c r="E386" s="208" t="s">
        <v>87</v>
      </c>
      <c r="F386" s="208" t="s">
        <v>106</v>
      </c>
      <c r="G386" s="208">
        <v>13</v>
      </c>
      <c r="H386" s="208" t="s">
        <v>25</v>
      </c>
      <c r="I386" s="384" t="s">
        <v>1606</v>
      </c>
      <c r="J386" s="208" t="s">
        <v>106</v>
      </c>
      <c r="K386" s="208" t="s">
        <v>84</v>
      </c>
      <c r="L386" s="208">
        <v>17</v>
      </c>
      <c r="M386" s="384" t="s">
        <v>32</v>
      </c>
      <c r="N386" s="384" t="s">
        <v>1896</v>
      </c>
      <c r="O386" s="208"/>
      <c r="P386" s="208"/>
    </row>
    <row r="387" spans="1:16" ht="15.75">
      <c r="A387" s="208">
        <v>369</v>
      </c>
      <c r="B387" s="345">
        <v>43166</v>
      </c>
      <c r="C387" s="165" t="s">
        <v>88</v>
      </c>
      <c r="D387" s="208">
        <f t="shared" si="6"/>
        <v>3</v>
      </c>
      <c r="E387" s="208" t="s">
        <v>80</v>
      </c>
      <c r="F387" s="208" t="s">
        <v>106</v>
      </c>
      <c r="G387" s="208">
        <v>13</v>
      </c>
      <c r="H387" s="208" t="s">
        <v>26</v>
      </c>
      <c r="I387" s="384" t="s">
        <v>2433</v>
      </c>
      <c r="J387" s="208" t="s">
        <v>106</v>
      </c>
      <c r="K387" s="208" t="s">
        <v>84</v>
      </c>
      <c r="L387" s="208">
        <v>17</v>
      </c>
      <c r="M387" s="384" t="s">
        <v>33</v>
      </c>
      <c r="N387" s="384" t="s">
        <v>2451</v>
      </c>
      <c r="O387" s="208"/>
      <c r="P387" s="208"/>
    </row>
    <row r="388" spans="1:16" ht="15.75">
      <c r="A388" s="208">
        <v>370</v>
      </c>
      <c r="B388" s="345">
        <v>43167</v>
      </c>
      <c r="C388" s="165" t="s">
        <v>88</v>
      </c>
      <c r="D388" s="208">
        <f t="shared" si="6"/>
        <v>4</v>
      </c>
      <c r="E388" s="208" t="s">
        <v>81</v>
      </c>
      <c r="F388" s="208" t="s">
        <v>106</v>
      </c>
      <c r="G388" s="208">
        <v>13</v>
      </c>
      <c r="H388" s="208" t="s">
        <v>27</v>
      </c>
      <c r="I388" s="384" t="s">
        <v>1802</v>
      </c>
      <c r="J388" s="208" t="s">
        <v>106</v>
      </c>
      <c r="K388" s="208" t="s">
        <v>84</v>
      </c>
      <c r="L388" s="208">
        <v>17</v>
      </c>
      <c r="M388" s="384" t="s">
        <v>34</v>
      </c>
      <c r="N388" s="384" t="s">
        <v>1862</v>
      </c>
      <c r="O388" s="208"/>
      <c r="P388" s="208"/>
    </row>
    <row r="389" spans="1:16" ht="15.75">
      <c r="A389" s="208">
        <v>371</v>
      </c>
      <c r="B389" s="345">
        <v>43168</v>
      </c>
      <c r="C389" s="165" t="s">
        <v>88</v>
      </c>
      <c r="D389" s="208">
        <f t="shared" si="6"/>
        <v>5</v>
      </c>
      <c r="E389" s="208" t="s">
        <v>82</v>
      </c>
      <c r="F389" s="208" t="s">
        <v>106</v>
      </c>
      <c r="G389" s="208">
        <v>13</v>
      </c>
      <c r="H389" s="208" t="s">
        <v>28</v>
      </c>
      <c r="I389" s="384" t="s">
        <v>1816</v>
      </c>
      <c r="J389" s="208" t="s">
        <v>106</v>
      </c>
      <c r="K389" s="208" t="s">
        <v>84</v>
      </c>
      <c r="L389" s="208">
        <v>17</v>
      </c>
      <c r="M389" s="208" t="s">
        <v>35</v>
      </c>
      <c r="N389" s="384" t="s">
        <v>1927</v>
      </c>
      <c r="O389" s="208"/>
      <c r="P389" s="208"/>
    </row>
    <row r="390" spans="1:16" ht="15.75">
      <c r="A390" s="208">
        <v>372</v>
      </c>
      <c r="B390" s="345">
        <v>43169</v>
      </c>
      <c r="C390" s="165" t="s">
        <v>88</v>
      </c>
      <c r="D390" s="208">
        <f t="shared" si="6"/>
        <v>6</v>
      </c>
      <c r="E390" s="208" t="s">
        <v>83</v>
      </c>
      <c r="F390" s="208" t="s">
        <v>84</v>
      </c>
      <c r="G390" s="208"/>
      <c r="H390" s="208"/>
      <c r="I390" s="208"/>
      <c r="J390" s="208" t="s">
        <v>84</v>
      </c>
      <c r="K390" s="208" t="s">
        <v>106</v>
      </c>
      <c r="L390" s="208">
        <v>17</v>
      </c>
      <c r="M390" s="208"/>
      <c r="N390" s="208"/>
      <c r="O390" s="208" t="s">
        <v>36</v>
      </c>
      <c r="P390" s="384" t="s">
        <v>98</v>
      </c>
    </row>
    <row r="391" spans="1:16" ht="15.75">
      <c r="A391" s="208">
        <v>373</v>
      </c>
      <c r="B391" s="345">
        <v>43170</v>
      </c>
      <c r="C391" s="165" t="s">
        <v>88</v>
      </c>
      <c r="D391" s="208">
        <f t="shared" si="6"/>
        <v>7</v>
      </c>
      <c r="E391" s="208" t="s">
        <v>85</v>
      </c>
      <c r="F391" s="208" t="s">
        <v>84</v>
      </c>
      <c r="G391" s="208"/>
      <c r="H391" s="208"/>
      <c r="I391" s="208"/>
      <c r="J391" s="208" t="s">
        <v>84</v>
      </c>
      <c r="K391" s="208" t="s">
        <v>84</v>
      </c>
      <c r="L391" s="208"/>
      <c r="M391" s="208"/>
      <c r="N391" s="208"/>
      <c r="O391" s="208"/>
      <c r="P391" s="208"/>
    </row>
    <row r="392" spans="1:16" ht="15.75">
      <c r="A392" s="208">
        <v>374</v>
      </c>
      <c r="B392" s="345">
        <v>43171</v>
      </c>
      <c r="C392" s="165" t="s">
        <v>88</v>
      </c>
      <c r="D392" s="208">
        <f t="shared" si="6"/>
        <v>1</v>
      </c>
      <c r="E392" s="208" t="s">
        <v>86</v>
      </c>
      <c r="F392" s="208" t="s">
        <v>106</v>
      </c>
      <c r="G392" s="208">
        <v>13</v>
      </c>
      <c r="H392" s="208" t="s">
        <v>10</v>
      </c>
      <c r="I392" s="384" t="s">
        <v>1626</v>
      </c>
      <c r="J392" s="208" t="s">
        <v>106</v>
      </c>
      <c r="K392" s="208" t="s">
        <v>84</v>
      </c>
      <c r="L392" s="208">
        <v>17</v>
      </c>
      <c r="M392" s="384" t="s">
        <v>37</v>
      </c>
      <c r="N392" s="384" t="s">
        <v>1875</v>
      </c>
      <c r="O392" s="208"/>
      <c r="P392" s="208"/>
    </row>
    <row r="393" spans="1:16" ht="15.75">
      <c r="A393" s="208">
        <v>375</v>
      </c>
      <c r="B393" s="345">
        <v>43172</v>
      </c>
      <c r="C393" s="165" t="s">
        <v>88</v>
      </c>
      <c r="D393" s="208">
        <f t="shared" si="6"/>
        <v>2</v>
      </c>
      <c r="E393" s="208" t="s">
        <v>87</v>
      </c>
      <c r="F393" s="208" t="s">
        <v>106</v>
      </c>
      <c r="G393" s="208">
        <v>14</v>
      </c>
      <c r="H393" s="208" t="s">
        <v>14</v>
      </c>
      <c r="I393" s="384" t="s">
        <v>2434</v>
      </c>
      <c r="J393" s="208" t="s">
        <v>106</v>
      </c>
      <c r="K393" s="208" t="s">
        <v>84</v>
      </c>
      <c r="L393" s="208">
        <v>17</v>
      </c>
      <c r="M393" s="384" t="s">
        <v>38</v>
      </c>
      <c r="N393" s="384" t="s">
        <v>1866</v>
      </c>
      <c r="O393" s="208"/>
      <c r="P393" s="208"/>
    </row>
    <row r="394" spans="1:16" ht="15.75">
      <c r="A394" s="208">
        <v>376</v>
      </c>
      <c r="B394" s="345">
        <v>43173</v>
      </c>
      <c r="C394" s="165" t="s">
        <v>88</v>
      </c>
      <c r="D394" s="208">
        <f t="shared" si="6"/>
        <v>3</v>
      </c>
      <c r="E394" s="208" t="s">
        <v>80</v>
      </c>
      <c r="F394" s="208" t="s">
        <v>106</v>
      </c>
      <c r="G394" s="208">
        <v>14</v>
      </c>
      <c r="H394" s="208" t="s">
        <v>15</v>
      </c>
      <c r="I394" s="384" t="s">
        <v>1779</v>
      </c>
      <c r="J394" s="208" t="s">
        <v>106</v>
      </c>
      <c r="K394" s="208" t="s">
        <v>84</v>
      </c>
      <c r="L394" s="208">
        <v>17</v>
      </c>
      <c r="M394" s="384" t="s">
        <v>39</v>
      </c>
      <c r="N394" s="208" t="s">
        <v>98</v>
      </c>
      <c r="O394" s="208"/>
      <c r="P394" s="208"/>
    </row>
    <row r="395" spans="1:16" ht="15.75">
      <c r="A395" s="208">
        <v>377</v>
      </c>
      <c r="B395" s="345">
        <v>43174</v>
      </c>
      <c r="C395" s="165" t="s">
        <v>88</v>
      </c>
      <c r="D395" s="208">
        <f t="shared" si="6"/>
        <v>4</v>
      </c>
      <c r="E395" s="208" t="s">
        <v>81</v>
      </c>
      <c r="F395" s="208" t="s">
        <v>106</v>
      </c>
      <c r="G395" s="208">
        <v>14</v>
      </c>
      <c r="H395" s="208" t="s">
        <v>16</v>
      </c>
      <c r="I395" s="384" t="s">
        <v>2435</v>
      </c>
      <c r="J395" s="208" t="s">
        <v>106</v>
      </c>
      <c r="K395" s="208" t="s">
        <v>84</v>
      </c>
      <c r="L395" s="208">
        <v>17</v>
      </c>
      <c r="M395" s="384" t="s">
        <v>40</v>
      </c>
      <c r="N395" s="208" t="s">
        <v>98</v>
      </c>
      <c r="O395" s="208"/>
      <c r="P395" s="208"/>
    </row>
    <row r="396" spans="1:16" ht="15.75">
      <c r="A396" s="208">
        <v>378</v>
      </c>
      <c r="B396" s="345">
        <v>43175</v>
      </c>
      <c r="C396" s="165" t="s">
        <v>88</v>
      </c>
      <c r="D396" s="208">
        <f t="shared" si="6"/>
        <v>5</v>
      </c>
      <c r="E396" s="208" t="s">
        <v>82</v>
      </c>
      <c r="F396" s="208" t="s">
        <v>106</v>
      </c>
      <c r="G396" s="208">
        <v>14</v>
      </c>
      <c r="H396" s="208" t="s">
        <v>17</v>
      </c>
      <c r="I396" s="384" t="s">
        <v>1627</v>
      </c>
      <c r="J396" s="208" t="s">
        <v>106</v>
      </c>
      <c r="K396" s="208" t="s">
        <v>84</v>
      </c>
      <c r="L396" s="208">
        <v>17</v>
      </c>
      <c r="M396" s="208" t="s">
        <v>41</v>
      </c>
      <c r="N396" s="384" t="s">
        <v>2445</v>
      </c>
      <c r="O396" s="208"/>
      <c r="P396" s="208"/>
    </row>
    <row r="397" spans="1:16" ht="15.75">
      <c r="A397" s="208">
        <v>379</v>
      </c>
      <c r="B397" s="345">
        <v>43176</v>
      </c>
      <c r="C397" s="165" t="s">
        <v>88</v>
      </c>
      <c r="D397" s="208">
        <f t="shared" si="6"/>
        <v>6</v>
      </c>
      <c r="E397" s="208" t="s">
        <v>83</v>
      </c>
      <c r="F397" s="208" t="s">
        <v>84</v>
      </c>
      <c r="G397" s="208"/>
      <c r="H397" s="208"/>
      <c r="I397" s="208"/>
      <c r="J397" s="208" t="s">
        <v>84</v>
      </c>
      <c r="K397" s="208" t="s">
        <v>106</v>
      </c>
      <c r="L397" s="208">
        <v>17</v>
      </c>
      <c r="M397" s="208"/>
      <c r="N397" s="208"/>
      <c r="O397" s="208" t="s">
        <v>42</v>
      </c>
      <c r="P397" s="384" t="s">
        <v>1882</v>
      </c>
    </row>
    <row r="398" spans="1:16" ht="15.75">
      <c r="A398" s="208">
        <v>380</v>
      </c>
      <c r="B398" s="345">
        <v>43177</v>
      </c>
      <c r="C398" s="165" t="s">
        <v>88</v>
      </c>
      <c r="D398" s="208">
        <f t="shared" si="6"/>
        <v>7</v>
      </c>
      <c r="E398" s="208" t="s">
        <v>85</v>
      </c>
      <c r="F398" s="208" t="s">
        <v>84</v>
      </c>
      <c r="G398" s="208"/>
      <c r="H398" s="208"/>
      <c r="I398" s="208"/>
      <c r="J398" s="208" t="s">
        <v>84</v>
      </c>
      <c r="K398" s="208" t="s">
        <v>84</v>
      </c>
      <c r="L398" s="208"/>
      <c r="M398" s="208"/>
      <c r="N398" s="208"/>
      <c r="O398" s="208"/>
      <c r="P398" s="208"/>
    </row>
    <row r="399" spans="1:16" ht="15.75">
      <c r="A399" s="209">
        <v>381</v>
      </c>
      <c r="B399" s="346">
        <v>43178</v>
      </c>
      <c r="C399" s="167" t="s">
        <v>88</v>
      </c>
      <c r="D399" s="209">
        <f t="shared" si="6"/>
        <v>1</v>
      </c>
      <c r="E399" s="209" t="s">
        <v>86</v>
      </c>
      <c r="F399" s="209" t="s">
        <v>84</v>
      </c>
      <c r="G399" s="209">
        <v>14</v>
      </c>
      <c r="H399" s="209" t="s">
        <v>2398</v>
      </c>
      <c r="I399" s="209"/>
      <c r="J399" s="209" t="s">
        <v>84</v>
      </c>
      <c r="K399" s="209" t="s">
        <v>84</v>
      </c>
      <c r="L399" s="209">
        <v>17</v>
      </c>
      <c r="M399" s="209" t="s">
        <v>2410</v>
      </c>
      <c r="N399" s="209"/>
      <c r="O399" s="209"/>
      <c r="P399" s="209"/>
    </row>
    <row r="400" spans="1:16" ht="15.75">
      <c r="A400" s="208">
        <v>382</v>
      </c>
      <c r="B400" s="345">
        <v>43179</v>
      </c>
      <c r="C400" s="165" t="s">
        <v>88</v>
      </c>
      <c r="D400" s="208">
        <f t="shared" si="6"/>
        <v>2</v>
      </c>
      <c r="E400" s="208" t="s">
        <v>87</v>
      </c>
      <c r="F400" s="208" t="s">
        <v>106</v>
      </c>
      <c r="G400" s="208">
        <v>14</v>
      </c>
      <c r="H400" s="208" t="s">
        <v>19</v>
      </c>
      <c r="I400" s="384" t="s">
        <v>2436</v>
      </c>
      <c r="J400" s="208" t="s">
        <v>106</v>
      </c>
      <c r="K400" s="208" t="s">
        <v>84</v>
      </c>
      <c r="L400" s="208">
        <v>17</v>
      </c>
      <c r="M400" s="384" t="s">
        <v>44</v>
      </c>
      <c r="N400" s="384" t="s">
        <v>1903</v>
      </c>
      <c r="O400" s="208"/>
      <c r="P400" s="208"/>
    </row>
    <row r="401" spans="1:16" ht="15.75">
      <c r="A401" s="208">
        <v>383</v>
      </c>
      <c r="B401" s="345">
        <v>43180</v>
      </c>
      <c r="C401" s="165" t="s">
        <v>88</v>
      </c>
      <c r="D401" s="208">
        <f t="shared" si="6"/>
        <v>3</v>
      </c>
      <c r="E401" s="208" t="s">
        <v>80</v>
      </c>
      <c r="F401" s="208" t="s">
        <v>106</v>
      </c>
      <c r="G401" s="208">
        <v>14</v>
      </c>
      <c r="H401" s="208" t="s">
        <v>20</v>
      </c>
      <c r="I401" s="384" t="s">
        <v>1788</v>
      </c>
      <c r="J401" s="208" t="s">
        <v>106</v>
      </c>
      <c r="K401" s="208" t="s">
        <v>84</v>
      </c>
      <c r="L401" s="208">
        <v>18</v>
      </c>
      <c r="M401" s="384" t="s">
        <v>29</v>
      </c>
      <c r="N401" s="384" t="s">
        <v>2452</v>
      </c>
      <c r="O401" s="208"/>
      <c r="P401" s="208"/>
    </row>
    <row r="402" spans="1:16" ht="15.75">
      <c r="A402" s="208">
        <v>384</v>
      </c>
      <c r="B402" s="345">
        <v>43181</v>
      </c>
      <c r="C402" s="165" t="s">
        <v>88</v>
      </c>
      <c r="D402" s="208">
        <f t="shared" si="6"/>
        <v>4</v>
      </c>
      <c r="E402" s="208" t="s">
        <v>81</v>
      </c>
      <c r="F402" s="208" t="s">
        <v>106</v>
      </c>
      <c r="G402" s="208">
        <v>14</v>
      </c>
      <c r="H402" s="208" t="s">
        <v>21</v>
      </c>
      <c r="I402" s="208" t="s">
        <v>98</v>
      </c>
      <c r="J402" s="208" t="s">
        <v>106</v>
      </c>
      <c r="K402" s="208" t="s">
        <v>84</v>
      </c>
      <c r="L402" s="208">
        <v>18</v>
      </c>
      <c r="M402" s="208" t="s">
        <v>31</v>
      </c>
      <c r="N402" s="384" t="s">
        <v>1871</v>
      </c>
      <c r="O402" s="208"/>
      <c r="P402" s="208"/>
    </row>
    <row r="403" spans="1:16" ht="15.75">
      <c r="A403" s="208">
        <v>385</v>
      </c>
      <c r="B403" s="345">
        <v>43182</v>
      </c>
      <c r="C403" s="165" t="s">
        <v>88</v>
      </c>
      <c r="D403" s="208">
        <f t="shared" si="6"/>
        <v>5</v>
      </c>
      <c r="E403" s="208" t="s">
        <v>82</v>
      </c>
      <c r="F403" s="208" t="s">
        <v>106</v>
      </c>
      <c r="G403" s="208">
        <v>14</v>
      </c>
      <c r="H403" s="208" t="s">
        <v>22</v>
      </c>
      <c r="I403" s="384" t="s">
        <v>2419</v>
      </c>
      <c r="J403" s="208" t="s">
        <v>106</v>
      </c>
      <c r="K403" s="208" t="s">
        <v>84</v>
      </c>
      <c r="L403" s="208">
        <v>18</v>
      </c>
      <c r="M403" s="208" t="s">
        <v>32</v>
      </c>
      <c r="N403" s="384" t="s">
        <v>1908</v>
      </c>
      <c r="O403" s="208"/>
      <c r="P403" s="208"/>
    </row>
    <row r="404" spans="1:16" ht="15.75">
      <c r="A404" s="208">
        <v>386</v>
      </c>
      <c r="B404" s="345">
        <v>43183</v>
      </c>
      <c r="C404" s="165" t="s">
        <v>88</v>
      </c>
      <c r="D404" s="208">
        <f t="shared" si="6"/>
        <v>6</v>
      </c>
      <c r="E404" s="208" t="s">
        <v>83</v>
      </c>
      <c r="F404" s="208" t="s">
        <v>84</v>
      </c>
      <c r="G404" s="208"/>
      <c r="H404" s="208"/>
      <c r="I404" s="208"/>
      <c r="J404" s="208" t="s">
        <v>84</v>
      </c>
      <c r="K404" s="208" t="s">
        <v>106</v>
      </c>
      <c r="L404" s="208">
        <v>18</v>
      </c>
      <c r="M404" s="208"/>
      <c r="N404" s="208"/>
      <c r="O404" s="208" t="s">
        <v>33</v>
      </c>
      <c r="P404" s="384" t="s">
        <v>1850</v>
      </c>
    </row>
    <row r="405" spans="1:16" ht="15.75">
      <c r="A405" s="208">
        <v>387</v>
      </c>
      <c r="B405" s="345">
        <v>43184</v>
      </c>
      <c r="C405" s="165" t="s">
        <v>88</v>
      </c>
      <c r="D405" s="208">
        <f t="shared" si="6"/>
        <v>7</v>
      </c>
      <c r="E405" s="208" t="s">
        <v>85</v>
      </c>
      <c r="F405" s="208" t="s">
        <v>84</v>
      </c>
      <c r="G405" s="208"/>
      <c r="H405" s="208"/>
      <c r="I405" s="208"/>
      <c r="J405" s="208" t="s">
        <v>84</v>
      </c>
      <c r="K405" s="208" t="s">
        <v>84</v>
      </c>
      <c r="L405" s="208"/>
      <c r="M405" s="208"/>
      <c r="N405" s="208"/>
      <c r="O405" s="208"/>
      <c r="P405" s="208"/>
    </row>
    <row r="406" spans="1:16" ht="15.75">
      <c r="A406" s="210">
        <v>388</v>
      </c>
      <c r="B406" s="347">
        <v>43185</v>
      </c>
      <c r="C406" s="169" t="s">
        <v>88</v>
      </c>
      <c r="D406" s="210">
        <f t="shared" si="6"/>
        <v>1</v>
      </c>
      <c r="E406" s="210" t="s">
        <v>86</v>
      </c>
      <c r="F406" s="210" t="s">
        <v>84</v>
      </c>
      <c r="G406" s="210"/>
      <c r="H406" s="210" t="s">
        <v>90</v>
      </c>
      <c r="I406" s="210"/>
      <c r="J406" s="210" t="s">
        <v>84</v>
      </c>
      <c r="K406" s="210" t="s">
        <v>84</v>
      </c>
      <c r="L406" s="210"/>
      <c r="M406" s="210" t="s">
        <v>90</v>
      </c>
      <c r="N406" s="210"/>
      <c r="O406" s="210"/>
      <c r="P406" s="210"/>
    </row>
    <row r="407" spans="1:16" ht="15.75">
      <c r="A407" s="210">
        <v>389</v>
      </c>
      <c r="B407" s="347">
        <v>43186</v>
      </c>
      <c r="C407" s="169" t="s">
        <v>88</v>
      </c>
      <c r="D407" s="210">
        <f t="shared" si="6"/>
        <v>2</v>
      </c>
      <c r="E407" s="210" t="s">
        <v>87</v>
      </c>
      <c r="F407" s="210" t="s">
        <v>84</v>
      </c>
      <c r="G407" s="210"/>
      <c r="H407" s="210" t="s">
        <v>90</v>
      </c>
      <c r="I407" s="210"/>
      <c r="J407" s="210" t="s">
        <v>84</v>
      </c>
      <c r="K407" s="210" t="s">
        <v>84</v>
      </c>
      <c r="L407" s="210"/>
      <c r="M407" s="210" t="s">
        <v>90</v>
      </c>
      <c r="N407" s="210"/>
      <c r="O407" s="210"/>
      <c r="P407" s="210"/>
    </row>
    <row r="408" spans="1:16" ht="15.75">
      <c r="A408" s="210">
        <v>390</v>
      </c>
      <c r="B408" s="347">
        <v>43187</v>
      </c>
      <c r="C408" s="169" t="s">
        <v>88</v>
      </c>
      <c r="D408" s="210">
        <f t="shared" si="6"/>
        <v>3</v>
      </c>
      <c r="E408" s="210" t="s">
        <v>80</v>
      </c>
      <c r="F408" s="210" t="s">
        <v>84</v>
      </c>
      <c r="G408" s="210"/>
      <c r="H408" s="210" t="s">
        <v>90</v>
      </c>
      <c r="I408" s="210"/>
      <c r="J408" s="210" t="s">
        <v>84</v>
      </c>
      <c r="K408" s="210" t="s">
        <v>84</v>
      </c>
      <c r="L408" s="210"/>
      <c r="M408" s="210" t="s">
        <v>90</v>
      </c>
      <c r="N408" s="210"/>
      <c r="O408" s="210"/>
      <c r="P408" s="210"/>
    </row>
    <row r="409" spans="1:16" ht="15.75">
      <c r="A409" s="210">
        <v>391</v>
      </c>
      <c r="B409" s="347">
        <v>43188</v>
      </c>
      <c r="C409" s="169" t="s">
        <v>88</v>
      </c>
      <c r="D409" s="210">
        <f t="shared" si="6"/>
        <v>4</v>
      </c>
      <c r="E409" s="210" t="s">
        <v>81</v>
      </c>
      <c r="F409" s="210" t="s">
        <v>84</v>
      </c>
      <c r="G409" s="210"/>
      <c r="H409" s="210" t="s">
        <v>90</v>
      </c>
      <c r="I409" s="210"/>
      <c r="J409" s="210" t="s">
        <v>84</v>
      </c>
      <c r="K409" s="210" t="s">
        <v>84</v>
      </c>
      <c r="L409" s="210"/>
      <c r="M409" s="210" t="s">
        <v>90</v>
      </c>
      <c r="N409" s="210"/>
      <c r="O409" s="210"/>
      <c r="P409" s="210"/>
    </row>
    <row r="410" spans="1:16" ht="15.75">
      <c r="A410" s="210">
        <v>392</v>
      </c>
      <c r="B410" s="347">
        <v>43189</v>
      </c>
      <c r="C410" s="169" t="s">
        <v>88</v>
      </c>
      <c r="D410" s="210">
        <f t="shared" si="6"/>
        <v>5</v>
      </c>
      <c r="E410" s="210" t="s">
        <v>82</v>
      </c>
      <c r="F410" s="210" t="s">
        <v>84</v>
      </c>
      <c r="G410" s="210"/>
      <c r="H410" s="210" t="s">
        <v>90</v>
      </c>
      <c r="I410" s="210"/>
      <c r="J410" s="210" t="s">
        <v>84</v>
      </c>
      <c r="K410" s="210" t="s">
        <v>84</v>
      </c>
      <c r="L410" s="210"/>
      <c r="M410" s="210" t="s">
        <v>90</v>
      </c>
      <c r="N410" s="210"/>
      <c r="O410" s="210"/>
      <c r="P410" s="210"/>
    </row>
    <row r="411" spans="1:16" ht="15.75">
      <c r="A411" s="210">
        <v>393</v>
      </c>
      <c r="B411" s="347">
        <v>43190</v>
      </c>
      <c r="C411" s="169" t="s">
        <v>88</v>
      </c>
      <c r="D411" s="210">
        <f t="shared" si="6"/>
        <v>6</v>
      </c>
      <c r="E411" s="210" t="s">
        <v>83</v>
      </c>
      <c r="F411" s="210" t="s">
        <v>84</v>
      </c>
      <c r="G411" s="210"/>
      <c r="H411" s="210"/>
      <c r="I411" s="210"/>
      <c r="J411" s="210" t="s">
        <v>84</v>
      </c>
      <c r="K411" s="210" t="s">
        <v>84</v>
      </c>
      <c r="L411" s="210"/>
      <c r="M411" s="210"/>
      <c r="N411" s="210"/>
      <c r="O411" s="210"/>
      <c r="P411" s="210"/>
    </row>
    <row r="412" spans="1:16" ht="15.75">
      <c r="A412" s="210">
        <v>394</v>
      </c>
      <c r="B412" s="347">
        <v>43191</v>
      </c>
      <c r="C412" s="169" t="s">
        <v>89</v>
      </c>
      <c r="D412" s="210">
        <f t="shared" si="6"/>
        <v>7</v>
      </c>
      <c r="E412" s="210" t="s">
        <v>85</v>
      </c>
      <c r="F412" s="210" t="s">
        <v>84</v>
      </c>
      <c r="G412" s="210"/>
      <c r="H412" s="210"/>
      <c r="I412" s="210"/>
      <c r="J412" s="210" t="s">
        <v>84</v>
      </c>
      <c r="K412" s="210" t="s">
        <v>84</v>
      </c>
      <c r="L412" s="210"/>
      <c r="M412" s="210"/>
      <c r="N412" s="210"/>
      <c r="O412" s="210"/>
      <c r="P412" s="210"/>
    </row>
    <row r="413" spans="1:16" ht="15.75">
      <c r="A413" s="208">
        <v>395</v>
      </c>
      <c r="B413" s="345">
        <v>43192</v>
      </c>
      <c r="C413" s="165" t="s">
        <v>89</v>
      </c>
      <c r="D413" s="208">
        <f t="shared" si="6"/>
        <v>1</v>
      </c>
      <c r="E413" s="208" t="s">
        <v>86</v>
      </c>
      <c r="F413" s="208" t="s">
        <v>106</v>
      </c>
      <c r="G413" s="208">
        <v>14</v>
      </c>
      <c r="H413" s="208" t="s">
        <v>23</v>
      </c>
      <c r="I413" s="384" t="s">
        <v>98</v>
      </c>
      <c r="J413" s="208" t="s">
        <v>106</v>
      </c>
      <c r="K413" s="208" t="s">
        <v>84</v>
      </c>
      <c r="L413" s="208">
        <v>18</v>
      </c>
      <c r="M413" s="384" t="s">
        <v>34</v>
      </c>
      <c r="N413" s="384" t="s">
        <v>1899</v>
      </c>
      <c r="O413" s="208"/>
      <c r="P413" s="208"/>
    </row>
    <row r="414" spans="1:16" ht="15.75">
      <c r="A414" s="208">
        <v>396</v>
      </c>
      <c r="B414" s="345">
        <v>43193</v>
      </c>
      <c r="C414" s="165" t="s">
        <v>89</v>
      </c>
      <c r="D414" s="208">
        <f t="shared" si="6"/>
        <v>2</v>
      </c>
      <c r="E414" s="208" t="s">
        <v>87</v>
      </c>
      <c r="F414" s="208" t="s">
        <v>106</v>
      </c>
      <c r="G414" s="208">
        <v>14</v>
      </c>
      <c r="H414" s="208" t="s">
        <v>24</v>
      </c>
      <c r="I414" s="384" t="s">
        <v>2437</v>
      </c>
      <c r="J414" s="208" t="s">
        <v>106</v>
      </c>
      <c r="K414" s="208" t="s">
        <v>84</v>
      </c>
      <c r="L414" s="208">
        <v>18</v>
      </c>
      <c r="M414" s="384" t="s">
        <v>35</v>
      </c>
      <c r="N414" s="384" t="s">
        <v>1832</v>
      </c>
      <c r="O414" s="208"/>
      <c r="P414" s="208"/>
    </row>
    <row r="415" spans="1:16" ht="15.75">
      <c r="A415" s="208">
        <v>397</v>
      </c>
      <c r="B415" s="345">
        <v>43194</v>
      </c>
      <c r="C415" s="165" t="s">
        <v>89</v>
      </c>
      <c r="D415" s="208">
        <f t="shared" si="6"/>
        <v>3</v>
      </c>
      <c r="E415" s="208" t="s">
        <v>80</v>
      </c>
      <c r="F415" s="208" t="s">
        <v>106</v>
      </c>
      <c r="G415" s="208">
        <v>14</v>
      </c>
      <c r="H415" s="208" t="s">
        <v>25</v>
      </c>
      <c r="I415" s="384" t="s">
        <v>1625</v>
      </c>
      <c r="J415" s="208" t="s">
        <v>106</v>
      </c>
      <c r="K415" s="208" t="s">
        <v>84</v>
      </c>
      <c r="L415" s="208">
        <v>18</v>
      </c>
      <c r="M415" s="384" t="s">
        <v>36</v>
      </c>
      <c r="N415" s="208" t="s">
        <v>98</v>
      </c>
      <c r="O415" s="208"/>
      <c r="P415" s="208"/>
    </row>
    <row r="416" spans="1:16" ht="15.75">
      <c r="A416" s="208">
        <v>398</v>
      </c>
      <c r="B416" s="345">
        <v>43195</v>
      </c>
      <c r="C416" s="165" t="s">
        <v>89</v>
      </c>
      <c r="D416" s="208">
        <f t="shared" si="6"/>
        <v>4</v>
      </c>
      <c r="E416" s="208" t="s">
        <v>81</v>
      </c>
      <c r="F416" s="208" t="s">
        <v>106</v>
      </c>
      <c r="G416" s="208">
        <v>14</v>
      </c>
      <c r="H416" s="208" t="s">
        <v>26</v>
      </c>
      <c r="I416" s="384" t="s">
        <v>1804</v>
      </c>
      <c r="J416" s="208" t="s">
        <v>106</v>
      </c>
      <c r="K416" s="208" t="s">
        <v>84</v>
      </c>
      <c r="L416" s="208">
        <v>18</v>
      </c>
      <c r="M416" s="384" t="s">
        <v>37</v>
      </c>
      <c r="N416" s="384" t="s">
        <v>1893</v>
      </c>
      <c r="O416" s="208"/>
      <c r="P416" s="208"/>
    </row>
    <row r="417" spans="1:16" ht="15.75">
      <c r="A417" s="208">
        <v>399</v>
      </c>
      <c r="B417" s="345">
        <v>43196</v>
      </c>
      <c r="C417" s="165" t="s">
        <v>89</v>
      </c>
      <c r="D417" s="208">
        <f t="shared" si="6"/>
        <v>5</v>
      </c>
      <c r="E417" s="208" t="s">
        <v>82</v>
      </c>
      <c r="F417" s="208" t="s">
        <v>106</v>
      </c>
      <c r="G417" s="208">
        <v>14</v>
      </c>
      <c r="H417" s="208" t="s">
        <v>27</v>
      </c>
      <c r="I417" s="384" t="s">
        <v>1809</v>
      </c>
      <c r="J417" s="208" t="s">
        <v>106</v>
      </c>
      <c r="K417" s="208" t="s">
        <v>84</v>
      </c>
      <c r="L417" s="208">
        <v>18</v>
      </c>
      <c r="M417" s="208" t="s">
        <v>38</v>
      </c>
      <c r="N417" s="384" t="s">
        <v>2453</v>
      </c>
      <c r="O417" s="208"/>
      <c r="P417" s="208"/>
    </row>
    <row r="418" spans="1:16" ht="15.75">
      <c r="A418" s="208">
        <v>400</v>
      </c>
      <c r="B418" s="345">
        <v>43197</v>
      </c>
      <c r="C418" s="165" t="s">
        <v>89</v>
      </c>
      <c r="D418" s="208">
        <f t="shared" si="6"/>
        <v>6</v>
      </c>
      <c r="E418" s="208" t="s">
        <v>83</v>
      </c>
      <c r="F418" s="208" t="s">
        <v>84</v>
      </c>
      <c r="G418" s="208"/>
      <c r="H418" s="208"/>
      <c r="I418" s="208"/>
      <c r="J418" s="208" t="s">
        <v>84</v>
      </c>
      <c r="K418" s="208" t="s">
        <v>106</v>
      </c>
      <c r="L418" s="208">
        <v>18</v>
      </c>
      <c r="M418" s="208"/>
      <c r="N418" s="208"/>
      <c r="O418" s="208" t="s">
        <v>39</v>
      </c>
      <c r="P418" s="384" t="s">
        <v>98</v>
      </c>
    </row>
    <row r="419" spans="1:16" ht="15.75">
      <c r="A419" s="208">
        <v>401</v>
      </c>
      <c r="B419" s="345">
        <v>43198</v>
      </c>
      <c r="C419" s="165" t="s">
        <v>89</v>
      </c>
      <c r="D419" s="208">
        <f t="shared" si="6"/>
        <v>7</v>
      </c>
      <c r="E419" s="208" t="s">
        <v>85</v>
      </c>
      <c r="F419" s="208" t="s">
        <v>84</v>
      </c>
      <c r="G419" s="208"/>
      <c r="H419" s="208"/>
      <c r="I419" s="208"/>
      <c r="J419" s="208" t="s">
        <v>84</v>
      </c>
      <c r="K419" s="208" t="s">
        <v>84</v>
      </c>
      <c r="L419" s="208"/>
      <c r="M419" s="208"/>
      <c r="N419" s="208"/>
      <c r="O419" s="208"/>
      <c r="P419" s="208"/>
    </row>
    <row r="420" spans="1:16" ht="15.75">
      <c r="A420" s="208">
        <v>402</v>
      </c>
      <c r="B420" s="345">
        <v>43199</v>
      </c>
      <c r="C420" s="165" t="s">
        <v>89</v>
      </c>
      <c r="D420" s="208">
        <f t="shared" si="6"/>
        <v>1</v>
      </c>
      <c r="E420" s="208" t="s">
        <v>86</v>
      </c>
      <c r="F420" s="208" t="s">
        <v>106</v>
      </c>
      <c r="G420" s="208">
        <v>14</v>
      </c>
      <c r="H420" s="208" t="s">
        <v>28</v>
      </c>
      <c r="I420" s="384" t="s">
        <v>1811</v>
      </c>
      <c r="J420" s="208" t="s">
        <v>106</v>
      </c>
      <c r="K420" s="208" t="s">
        <v>84</v>
      </c>
      <c r="L420" s="208">
        <v>18</v>
      </c>
      <c r="M420" s="384" t="s">
        <v>40</v>
      </c>
      <c r="N420" s="208" t="s">
        <v>98</v>
      </c>
      <c r="O420" s="208"/>
      <c r="P420" s="208"/>
    </row>
    <row r="421" spans="1:16" ht="15.75">
      <c r="A421" s="208">
        <v>403</v>
      </c>
      <c r="B421" s="345">
        <v>43200</v>
      </c>
      <c r="C421" s="165" t="s">
        <v>89</v>
      </c>
      <c r="D421" s="208">
        <f t="shared" si="6"/>
        <v>2</v>
      </c>
      <c r="E421" s="208" t="s">
        <v>87</v>
      </c>
      <c r="F421" s="208" t="s">
        <v>106</v>
      </c>
      <c r="G421" s="208">
        <v>14</v>
      </c>
      <c r="H421" s="208" t="s">
        <v>11</v>
      </c>
      <c r="I421" s="384" t="s">
        <v>1618</v>
      </c>
      <c r="J421" s="208" t="s">
        <v>106</v>
      </c>
      <c r="K421" s="208" t="s">
        <v>84</v>
      </c>
      <c r="L421" s="208">
        <v>18</v>
      </c>
      <c r="M421" s="384" t="s">
        <v>41</v>
      </c>
      <c r="N421" s="384" t="s">
        <v>1881</v>
      </c>
      <c r="O421" s="208"/>
      <c r="P421" s="208"/>
    </row>
    <row r="422" spans="1:16" ht="15.75">
      <c r="A422" s="208">
        <v>404</v>
      </c>
      <c r="B422" s="345">
        <v>43201</v>
      </c>
      <c r="C422" s="165" t="s">
        <v>89</v>
      </c>
      <c r="D422" s="208">
        <f t="shared" si="6"/>
        <v>3</v>
      </c>
      <c r="E422" s="208" t="s">
        <v>80</v>
      </c>
      <c r="F422" s="208" t="s">
        <v>106</v>
      </c>
      <c r="G422" s="208">
        <v>15</v>
      </c>
      <c r="H422" s="208" t="s">
        <v>14</v>
      </c>
      <c r="I422" s="384" t="s">
        <v>1819</v>
      </c>
      <c r="J422" s="208" t="s">
        <v>106</v>
      </c>
      <c r="K422" s="208" t="s">
        <v>84</v>
      </c>
      <c r="L422" s="208">
        <v>18</v>
      </c>
      <c r="M422" s="384" t="s">
        <v>42</v>
      </c>
      <c r="N422" s="384" t="s">
        <v>1902</v>
      </c>
      <c r="O422" s="208"/>
      <c r="P422" s="208"/>
    </row>
    <row r="423" spans="1:16" ht="15.75">
      <c r="A423" s="208">
        <v>405</v>
      </c>
      <c r="B423" s="345">
        <v>43202</v>
      </c>
      <c r="C423" s="165" t="s">
        <v>89</v>
      </c>
      <c r="D423" s="208">
        <f t="shared" si="6"/>
        <v>4</v>
      </c>
      <c r="E423" s="208" t="s">
        <v>81</v>
      </c>
      <c r="F423" s="208" t="s">
        <v>106</v>
      </c>
      <c r="G423" s="208">
        <v>15</v>
      </c>
      <c r="H423" s="208" t="s">
        <v>15</v>
      </c>
      <c r="I423" s="384" t="s">
        <v>1636</v>
      </c>
      <c r="J423" s="208" t="s">
        <v>106</v>
      </c>
      <c r="K423" s="208" t="s">
        <v>84</v>
      </c>
      <c r="L423" s="208">
        <v>18</v>
      </c>
      <c r="M423" s="384" t="s">
        <v>43</v>
      </c>
      <c r="N423" s="384" t="s">
        <v>1894</v>
      </c>
      <c r="O423" s="208"/>
      <c r="P423" s="208"/>
    </row>
    <row r="424" spans="1:16" ht="15.75">
      <c r="A424" s="208">
        <v>406</v>
      </c>
      <c r="B424" s="345">
        <v>43203</v>
      </c>
      <c r="C424" s="165" t="s">
        <v>89</v>
      </c>
      <c r="D424" s="208">
        <f t="shared" si="6"/>
        <v>5</v>
      </c>
      <c r="E424" s="208" t="s">
        <v>82</v>
      </c>
      <c r="F424" s="208" t="s">
        <v>106</v>
      </c>
      <c r="G424" s="208">
        <v>15</v>
      </c>
      <c r="H424" s="208" t="s">
        <v>16</v>
      </c>
      <c r="I424" s="384" t="s">
        <v>2438</v>
      </c>
      <c r="J424" s="208" t="s">
        <v>106</v>
      </c>
      <c r="K424" s="208" t="s">
        <v>84</v>
      </c>
      <c r="L424" s="208">
        <v>18</v>
      </c>
      <c r="M424" s="208" t="s">
        <v>44</v>
      </c>
      <c r="N424" s="384" t="s">
        <v>2447</v>
      </c>
      <c r="O424" s="208"/>
      <c r="P424" s="208"/>
    </row>
    <row r="425" spans="1:16" ht="15.75">
      <c r="A425" s="208">
        <v>407</v>
      </c>
      <c r="B425" s="345">
        <v>43204</v>
      </c>
      <c r="C425" s="165" t="s">
        <v>89</v>
      </c>
      <c r="D425" s="208">
        <f t="shared" si="6"/>
        <v>6</v>
      </c>
      <c r="E425" s="208" t="s">
        <v>83</v>
      </c>
      <c r="F425" s="208" t="s">
        <v>84</v>
      </c>
      <c r="G425" s="208"/>
      <c r="H425" s="208"/>
      <c r="I425" s="208"/>
      <c r="J425" s="208" t="s">
        <v>84</v>
      </c>
      <c r="K425" s="208" t="s">
        <v>106</v>
      </c>
      <c r="L425" s="208">
        <v>19</v>
      </c>
      <c r="M425" s="208"/>
      <c r="N425" s="208"/>
      <c r="O425" s="208" t="s">
        <v>29</v>
      </c>
      <c r="P425" s="384" t="s">
        <v>1884</v>
      </c>
    </row>
    <row r="426" spans="1:16" ht="15.75">
      <c r="A426" s="208">
        <v>408</v>
      </c>
      <c r="B426" s="345">
        <v>43205</v>
      </c>
      <c r="C426" s="165" t="s">
        <v>89</v>
      </c>
      <c r="D426" s="208">
        <f t="shared" si="6"/>
        <v>7</v>
      </c>
      <c r="E426" s="208" t="s">
        <v>85</v>
      </c>
      <c r="F426" s="208" t="s">
        <v>84</v>
      </c>
      <c r="G426" s="208"/>
      <c r="H426" s="208"/>
      <c r="I426" s="208"/>
      <c r="J426" s="208" t="s">
        <v>84</v>
      </c>
      <c r="K426" s="208" t="s">
        <v>84</v>
      </c>
      <c r="L426" s="208"/>
      <c r="M426" s="208"/>
      <c r="N426" s="208"/>
      <c r="O426" s="208"/>
      <c r="P426" s="208"/>
    </row>
    <row r="427" spans="1:16" ht="15.75">
      <c r="A427" s="208">
        <v>409</v>
      </c>
      <c r="B427" s="345">
        <v>43206</v>
      </c>
      <c r="C427" s="165" t="s">
        <v>89</v>
      </c>
      <c r="D427" s="208">
        <f t="shared" si="6"/>
        <v>1</v>
      </c>
      <c r="E427" s="208" t="s">
        <v>86</v>
      </c>
      <c r="F427" s="208" t="s">
        <v>106</v>
      </c>
      <c r="G427" s="208">
        <v>15</v>
      </c>
      <c r="H427" s="208" t="s">
        <v>17</v>
      </c>
      <c r="I427" s="384" t="s">
        <v>2420</v>
      </c>
      <c r="J427" s="208" t="s">
        <v>106</v>
      </c>
      <c r="K427" s="208" t="s">
        <v>84</v>
      </c>
      <c r="L427" s="208">
        <v>19</v>
      </c>
      <c r="M427" s="384" t="s">
        <v>31</v>
      </c>
      <c r="N427" s="384" t="s">
        <v>1907</v>
      </c>
      <c r="O427" s="208"/>
      <c r="P427" s="208"/>
    </row>
    <row r="428" spans="1:16" ht="15.75">
      <c r="A428" s="208">
        <v>410</v>
      </c>
      <c r="B428" s="345">
        <v>43207</v>
      </c>
      <c r="C428" s="165" t="s">
        <v>89</v>
      </c>
      <c r="D428" s="208">
        <f t="shared" si="6"/>
        <v>2</v>
      </c>
      <c r="E428" s="208" t="s">
        <v>87</v>
      </c>
      <c r="F428" s="208" t="s">
        <v>106</v>
      </c>
      <c r="G428" s="208">
        <v>15</v>
      </c>
      <c r="H428" s="208" t="s">
        <v>18</v>
      </c>
      <c r="I428" s="384" t="s">
        <v>98</v>
      </c>
      <c r="J428" s="208" t="s">
        <v>106</v>
      </c>
      <c r="K428" s="208" t="s">
        <v>84</v>
      </c>
      <c r="L428" s="208">
        <v>19</v>
      </c>
      <c r="M428" s="384" t="s">
        <v>32</v>
      </c>
      <c r="N428" s="384" t="s">
        <v>1829</v>
      </c>
      <c r="O428" s="208"/>
      <c r="P428" s="208"/>
    </row>
    <row r="429" spans="1:16" ht="15.75">
      <c r="A429" s="208">
        <v>411</v>
      </c>
      <c r="B429" s="345">
        <v>43208</v>
      </c>
      <c r="C429" s="165" t="s">
        <v>89</v>
      </c>
      <c r="D429" s="208">
        <f t="shared" si="6"/>
        <v>3</v>
      </c>
      <c r="E429" s="208" t="s">
        <v>80</v>
      </c>
      <c r="F429" s="208" t="s">
        <v>106</v>
      </c>
      <c r="G429" s="208">
        <v>15</v>
      </c>
      <c r="H429" s="208" t="s">
        <v>19</v>
      </c>
      <c r="I429" s="384" t="s">
        <v>2436</v>
      </c>
      <c r="J429" s="208" t="s">
        <v>106</v>
      </c>
      <c r="K429" s="208" t="s">
        <v>84</v>
      </c>
      <c r="L429" s="208">
        <v>19</v>
      </c>
      <c r="M429" s="384" t="s">
        <v>33</v>
      </c>
      <c r="N429" s="384" t="s">
        <v>1921</v>
      </c>
      <c r="O429" s="208"/>
      <c r="P429" s="208"/>
    </row>
    <row r="430" spans="1:16" ht="15.75">
      <c r="A430" s="208">
        <v>412</v>
      </c>
      <c r="B430" s="345">
        <v>43209</v>
      </c>
      <c r="C430" s="165" t="s">
        <v>89</v>
      </c>
      <c r="D430" s="208">
        <f t="shared" si="6"/>
        <v>4</v>
      </c>
      <c r="E430" s="208" t="s">
        <v>81</v>
      </c>
      <c r="F430" s="208" t="s">
        <v>106</v>
      </c>
      <c r="G430" s="208">
        <v>15</v>
      </c>
      <c r="H430" s="208" t="s">
        <v>20</v>
      </c>
      <c r="I430" s="384" t="s">
        <v>2439</v>
      </c>
      <c r="J430" s="208" t="s">
        <v>106</v>
      </c>
      <c r="K430" s="208" t="s">
        <v>84</v>
      </c>
      <c r="L430" s="208">
        <v>19</v>
      </c>
      <c r="M430" s="384" t="s">
        <v>34</v>
      </c>
      <c r="N430" s="384" t="s">
        <v>1898</v>
      </c>
      <c r="O430" s="208"/>
      <c r="P430" s="208"/>
    </row>
    <row r="431" spans="1:16" ht="15.75">
      <c r="A431" s="208">
        <v>413</v>
      </c>
      <c r="B431" s="345">
        <v>43210</v>
      </c>
      <c r="C431" s="165" t="s">
        <v>89</v>
      </c>
      <c r="D431" s="208">
        <f t="shared" si="6"/>
        <v>5</v>
      </c>
      <c r="E431" s="208" t="s">
        <v>82</v>
      </c>
      <c r="F431" s="208" t="s">
        <v>106</v>
      </c>
      <c r="G431" s="208">
        <v>15</v>
      </c>
      <c r="H431" s="208" t="s">
        <v>21</v>
      </c>
      <c r="I431" s="208" t="s">
        <v>98</v>
      </c>
      <c r="J431" s="208" t="s">
        <v>106</v>
      </c>
      <c r="K431" s="208" t="s">
        <v>84</v>
      </c>
      <c r="L431" s="208">
        <v>19</v>
      </c>
      <c r="M431" s="208" t="s">
        <v>35</v>
      </c>
      <c r="N431" s="384" t="s">
        <v>2454</v>
      </c>
      <c r="O431" s="208"/>
      <c r="P431" s="208"/>
    </row>
    <row r="432" spans="1:16" ht="15.75">
      <c r="A432" s="208">
        <v>414</v>
      </c>
      <c r="B432" s="345">
        <v>43211</v>
      </c>
      <c r="C432" s="165" t="s">
        <v>89</v>
      </c>
      <c r="D432" s="208">
        <f t="shared" si="6"/>
        <v>6</v>
      </c>
      <c r="E432" s="208" t="s">
        <v>83</v>
      </c>
      <c r="F432" s="208" t="s">
        <v>84</v>
      </c>
      <c r="G432" s="208"/>
      <c r="H432" s="208"/>
      <c r="I432" s="208"/>
      <c r="J432" s="208" t="s">
        <v>84</v>
      </c>
      <c r="K432" s="208" t="s">
        <v>106</v>
      </c>
      <c r="L432" s="208">
        <v>19</v>
      </c>
      <c r="M432" s="208"/>
      <c r="N432" s="208"/>
      <c r="O432" s="208" t="s">
        <v>36</v>
      </c>
      <c r="P432" s="384" t="s">
        <v>98</v>
      </c>
    </row>
    <row r="433" spans="1:16" ht="15.75">
      <c r="A433" s="208">
        <v>415</v>
      </c>
      <c r="B433" s="345">
        <v>43212</v>
      </c>
      <c r="C433" s="165" t="s">
        <v>89</v>
      </c>
      <c r="D433" s="208">
        <f t="shared" si="6"/>
        <v>7</v>
      </c>
      <c r="E433" s="208" t="s">
        <v>85</v>
      </c>
      <c r="F433" s="208" t="s">
        <v>84</v>
      </c>
      <c r="G433" s="208"/>
      <c r="H433" s="208"/>
      <c r="I433" s="208"/>
      <c r="J433" s="208" t="s">
        <v>84</v>
      </c>
      <c r="K433" s="208" t="s">
        <v>84</v>
      </c>
      <c r="L433" s="208"/>
      <c r="M433" s="208"/>
      <c r="N433" s="208"/>
      <c r="O433" s="208"/>
      <c r="P433" s="208"/>
    </row>
    <row r="434" spans="1:16" ht="15.75">
      <c r="A434" s="208">
        <v>416</v>
      </c>
      <c r="B434" s="345">
        <v>43213</v>
      </c>
      <c r="C434" s="165" t="s">
        <v>89</v>
      </c>
      <c r="D434" s="208">
        <f t="shared" si="6"/>
        <v>1</v>
      </c>
      <c r="E434" s="208" t="s">
        <v>86</v>
      </c>
      <c r="F434" s="208" t="s">
        <v>106</v>
      </c>
      <c r="G434" s="208">
        <v>15</v>
      </c>
      <c r="H434" s="208" t="s">
        <v>22</v>
      </c>
      <c r="I434" s="384" t="s">
        <v>1798</v>
      </c>
      <c r="J434" s="208" t="s">
        <v>106</v>
      </c>
      <c r="K434" s="208" t="s">
        <v>84</v>
      </c>
      <c r="L434" s="208">
        <v>19</v>
      </c>
      <c r="M434" s="384" t="s">
        <v>37</v>
      </c>
      <c r="N434" s="384" t="s">
        <v>1877</v>
      </c>
      <c r="O434" s="208"/>
      <c r="P434" s="208"/>
    </row>
    <row r="435" spans="1:16" ht="15.75">
      <c r="A435" s="208">
        <v>417</v>
      </c>
      <c r="B435" s="345">
        <v>43214</v>
      </c>
      <c r="C435" s="165" t="s">
        <v>89</v>
      </c>
      <c r="D435" s="208">
        <f t="shared" si="6"/>
        <v>2</v>
      </c>
      <c r="E435" s="208" t="s">
        <v>87</v>
      </c>
      <c r="F435" s="208" t="s">
        <v>106</v>
      </c>
      <c r="G435" s="208">
        <v>15</v>
      </c>
      <c r="H435" s="208" t="s">
        <v>23</v>
      </c>
      <c r="I435" s="384" t="s">
        <v>98</v>
      </c>
      <c r="J435" s="208" t="s">
        <v>106</v>
      </c>
      <c r="K435" s="208" t="s">
        <v>84</v>
      </c>
      <c r="L435" s="208">
        <v>19</v>
      </c>
      <c r="M435" s="384" t="s">
        <v>38</v>
      </c>
      <c r="N435" s="384" t="s">
        <v>1864</v>
      </c>
      <c r="O435" s="208"/>
      <c r="P435" s="208"/>
    </row>
    <row r="436" spans="1:16" ht="15.75">
      <c r="A436" s="208">
        <v>418</v>
      </c>
      <c r="B436" s="345">
        <v>43215</v>
      </c>
      <c r="C436" s="165" t="s">
        <v>89</v>
      </c>
      <c r="D436" s="208">
        <f t="shared" si="6"/>
        <v>3</v>
      </c>
      <c r="E436" s="208" t="s">
        <v>80</v>
      </c>
      <c r="F436" s="208" t="s">
        <v>106</v>
      </c>
      <c r="G436" s="208">
        <v>15</v>
      </c>
      <c r="H436" s="208" t="s">
        <v>24</v>
      </c>
      <c r="I436" s="384" t="s">
        <v>1785</v>
      </c>
      <c r="J436" s="208" t="s">
        <v>106</v>
      </c>
      <c r="K436" s="208" t="s">
        <v>84</v>
      </c>
      <c r="L436" s="208">
        <v>19</v>
      </c>
      <c r="M436" s="384" t="s">
        <v>39</v>
      </c>
      <c r="N436" s="208" t="s">
        <v>98</v>
      </c>
      <c r="O436" s="208"/>
      <c r="P436" s="208"/>
    </row>
    <row r="437" spans="1:16" ht="15.75">
      <c r="A437" s="208">
        <v>419</v>
      </c>
      <c r="B437" s="345">
        <v>43216</v>
      </c>
      <c r="C437" s="165" t="s">
        <v>89</v>
      </c>
      <c r="D437" s="208">
        <f t="shared" si="6"/>
        <v>4</v>
      </c>
      <c r="E437" s="208" t="s">
        <v>81</v>
      </c>
      <c r="F437" s="208" t="s">
        <v>106</v>
      </c>
      <c r="G437" s="208">
        <v>15</v>
      </c>
      <c r="H437" s="208" t="s">
        <v>25</v>
      </c>
      <c r="I437" s="384" t="s">
        <v>1637</v>
      </c>
      <c r="J437" s="208" t="s">
        <v>106</v>
      </c>
      <c r="K437" s="208" t="s">
        <v>84</v>
      </c>
      <c r="L437" s="208">
        <v>19</v>
      </c>
      <c r="M437" s="384" t="s">
        <v>40</v>
      </c>
      <c r="N437" s="208" t="s">
        <v>98</v>
      </c>
      <c r="O437" s="208"/>
      <c r="P437" s="208"/>
    </row>
    <row r="438" spans="1:16" ht="15.75">
      <c r="A438" s="208">
        <v>420</v>
      </c>
      <c r="B438" s="345">
        <v>43217</v>
      </c>
      <c r="C438" s="165" t="s">
        <v>89</v>
      </c>
      <c r="D438" s="208">
        <f t="shared" si="6"/>
        <v>5</v>
      </c>
      <c r="E438" s="208" t="s">
        <v>82</v>
      </c>
      <c r="F438" s="208" t="s">
        <v>106</v>
      </c>
      <c r="G438" s="208">
        <v>15</v>
      </c>
      <c r="H438" s="208" t="s">
        <v>26</v>
      </c>
      <c r="I438" s="384" t="s">
        <v>1804</v>
      </c>
      <c r="J438" s="208" t="s">
        <v>106</v>
      </c>
      <c r="K438" s="208" t="s">
        <v>84</v>
      </c>
      <c r="L438" s="208">
        <v>19</v>
      </c>
      <c r="M438" s="208" t="s">
        <v>41</v>
      </c>
      <c r="N438" s="384" t="s">
        <v>1901</v>
      </c>
      <c r="O438" s="208"/>
      <c r="P438" s="208"/>
    </row>
    <row r="439" spans="1:16" ht="15.75">
      <c r="A439" s="208">
        <v>421</v>
      </c>
      <c r="B439" s="345">
        <v>43218</v>
      </c>
      <c r="C439" s="165" t="s">
        <v>89</v>
      </c>
      <c r="D439" s="208">
        <f t="shared" si="6"/>
        <v>6</v>
      </c>
      <c r="E439" s="208" t="s">
        <v>83</v>
      </c>
      <c r="F439" s="208" t="s">
        <v>84</v>
      </c>
      <c r="G439" s="208"/>
      <c r="H439" s="208"/>
      <c r="I439" s="208"/>
      <c r="J439" s="208" t="s">
        <v>84</v>
      </c>
      <c r="K439" s="208" t="s">
        <v>106</v>
      </c>
      <c r="L439" s="208">
        <v>19</v>
      </c>
      <c r="M439" s="208"/>
      <c r="N439" s="208"/>
      <c r="O439" s="208" t="s">
        <v>42</v>
      </c>
      <c r="P439" s="384" t="s">
        <v>1889</v>
      </c>
    </row>
    <row r="440" spans="1:16" ht="15.75">
      <c r="A440" s="208">
        <v>422</v>
      </c>
      <c r="B440" s="345">
        <v>43219</v>
      </c>
      <c r="C440" s="165" t="s">
        <v>89</v>
      </c>
      <c r="D440" s="208">
        <f t="shared" si="6"/>
        <v>7</v>
      </c>
      <c r="E440" s="208" t="s">
        <v>85</v>
      </c>
      <c r="F440" s="208" t="s">
        <v>84</v>
      </c>
      <c r="G440" s="208"/>
      <c r="H440" s="208"/>
      <c r="I440" s="208"/>
      <c r="J440" s="208" t="s">
        <v>84</v>
      </c>
      <c r="K440" s="208" t="s">
        <v>84</v>
      </c>
      <c r="L440" s="208"/>
      <c r="M440" s="208"/>
      <c r="N440" s="208"/>
      <c r="O440" s="208"/>
      <c r="P440" s="208"/>
    </row>
    <row r="441" spans="1:16" ht="15.75">
      <c r="A441" s="208">
        <v>423</v>
      </c>
      <c r="B441" s="345">
        <v>43220</v>
      </c>
      <c r="C441" s="165" t="s">
        <v>89</v>
      </c>
      <c r="D441" s="208">
        <f t="shared" si="6"/>
        <v>1</v>
      </c>
      <c r="E441" s="208" t="s">
        <v>86</v>
      </c>
      <c r="F441" s="208" t="s">
        <v>106</v>
      </c>
      <c r="G441" s="208">
        <v>15</v>
      </c>
      <c r="H441" s="208" t="s">
        <v>27</v>
      </c>
      <c r="I441" s="384" t="s">
        <v>1612</v>
      </c>
      <c r="J441" s="208" t="s">
        <v>106</v>
      </c>
      <c r="K441" s="208" t="s">
        <v>84</v>
      </c>
      <c r="L441" s="352">
        <v>19</v>
      </c>
      <c r="M441" s="384" t="s">
        <v>43</v>
      </c>
      <c r="N441" s="384" t="s">
        <v>2455</v>
      </c>
      <c r="O441" s="208"/>
      <c r="P441" s="208"/>
    </row>
    <row r="442" spans="1:16" ht="15.75">
      <c r="A442" s="209">
        <v>424</v>
      </c>
      <c r="B442" s="346">
        <v>43221</v>
      </c>
      <c r="C442" s="167" t="s">
        <v>91</v>
      </c>
      <c r="D442" s="209">
        <f t="shared" si="6"/>
        <v>2</v>
      </c>
      <c r="E442" s="209" t="s">
        <v>87</v>
      </c>
      <c r="F442" s="209" t="s">
        <v>84</v>
      </c>
      <c r="G442" s="209">
        <v>15</v>
      </c>
      <c r="H442" s="209" t="s">
        <v>2399</v>
      </c>
      <c r="I442" s="209"/>
      <c r="J442" s="209" t="s">
        <v>84</v>
      </c>
      <c r="K442" s="209" t="s">
        <v>84</v>
      </c>
      <c r="L442" s="209">
        <v>19</v>
      </c>
      <c r="M442" s="209" t="s">
        <v>2399</v>
      </c>
      <c r="N442" s="209"/>
      <c r="O442" s="209"/>
      <c r="P442" s="209"/>
    </row>
    <row r="443" spans="1:16" ht="15.75">
      <c r="A443" s="208">
        <v>425</v>
      </c>
      <c r="B443" s="345">
        <v>43222</v>
      </c>
      <c r="C443" s="165" t="s">
        <v>91</v>
      </c>
      <c r="D443" s="208">
        <f t="shared" si="6"/>
        <v>3</v>
      </c>
      <c r="E443" s="208" t="s">
        <v>80</v>
      </c>
      <c r="F443" s="208" t="s">
        <v>106</v>
      </c>
      <c r="G443" s="208">
        <v>15</v>
      </c>
      <c r="H443" s="208" t="s">
        <v>12</v>
      </c>
      <c r="I443" s="384" t="s">
        <v>1622</v>
      </c>
      <c r="J443" s="208" t="s">
        <v>106</v>
      </c>
      <c r="K443" s="208" t="s">
        <v>84</v>
      </c>
      <c r="L443" s="208">
        <v>20</v>
      </c>
      <c r="M443" s="384" t="s">
        <v>29</v>
      </c>
      <c r="N443" s="384" t="s">
        <v>1859</v>
      </c>
      <c r="O443" s="208"/>
      <c r="P443" s="208"/>
    </row>
    <row r="444" spans="1:16" ht="15.75">
      <c r="A444" s="208">
        <v>426</v>
      </c>
      <c r="B444" s="345">
        <v>43223</v>
      </c>
      <c r="C444" s="165" t="s">
        <v>91</v>
      </c>
      <c r="D444" s="208">
        <f t="shared" si="6"/>
        <v>4</v>
      </c>
      <c r="E444" s="208" t="s">
        <v>81</v>
      </c>
      <c r="F444" s="208" t="s">
        <v>106</v>
      </c>
      <c r="G444" s="208">
        <v>16</v>
      </c>
      <c r="H444" s="208" t="s">
        <v>14</v>
      </c>
      <c r="I444" s="384" t="s">
        <v>2441</v>
      </c>
      <c r="J444" s="208" t="s">
        <v>106</v>
      </c>
      <c r="K444" s="208" t="s">
        <v>84</v>
      </c>
      <c r="L444" s="384">
        <v>20</v>
      </c>
      <c r="M444" s="384" t="s">
        <v>31</v>
      </c>
      <c r="N444" s="384" t="s">
        <v>1931</v>
      </c>
      <c r="O444" s="208"/>
      <c r="P444" s="208"/>
    </row>
    <row r="445" spans="1:16" ht="15.75">
      <c r="A445" s="208">
        <v>427</v>
      </c>
      <c r="B445" s="345">
        <v>43224</v>
      </c>
      <c r="C445" s="165" t="s">
        <v>91</v>
      </c>
      <c r="D445" s="208">
        <f t="shared" si="6"/>
        <v>5</v>
      </c>
      <c r="E445" s="208" t="s">
        <v>82</v>
      </c>
      <c r="F445" s="208" t="s">
        <v>106</v>
      </c>
      <c r="G445" s="208">
        <v>16</v>
      </c>
      <c r="H445" s="208" t="s">
        <v>15</v>
      </c>
      <c r="I445" s="384" t="s">
        <v>2442</v>
      </c>
      <c r="J445" s="208" t="s">
        <v>106</v>
      </c>
      <c r="K445" s="208" t="s">
        <v>84</v>
      </c>
      <c r="L445" s="208">
        <v>20</v>
      </c>
      <c r="M445" s="208" t="s">
        <v>32</v>
      </c>
      <c r="N445" s="384" t="s">
        <v>1891</v>
      </c>
      <c r="O445" s="208"/>
      <c r="P445" s="208"/>
    </row>
    <row r="446" spans="1:16" ht="15.75">
      <c r="A446" s="208">
        <v>428</v>
      </c>
      <c r="B446" s="345">
        <v>43225</v>
      </c>
      <c r="C446" s="165" t="s">
        <v>91</v>
      </c>
      <c r="D446" s="208">
        <f t="shared" si="6"/>
        <v>6</v>
      </c>
      <c r="E446" s="208" t="s">
        <v>83</v>
      </c>
      <c r="F446" s="208" t="s">
        <v>84</v>
      </c>
      <c r="G446" s="208"/>
      <c r="H446" s="208"/>
      <c r="I446" s="208"/>
      <c r="J446" s="208" t="s">
        <v>84</v>
      </c>
      <c r="K446" s="208" t="s">
        <v>106</v>
      </c>
      <c r="L446" s="208">
        <v>20</v>
      </c>
      <c r="M446" s="208"/>
      <c r="N446" s="208"/>
      <c r="O446" s="208" t="s">
        <v>33</v>
      </c>
      <c r="P446" s="384" t="s">
        <v>1886</v>
      </c>
    </row>
    <row r="447" spans="1:16" ht="15.75">
      <c r="A447" s="208">
        <v>429</v>
      </c>
      <c r="B447" s="345">
        <v>43226</v>
      </c>
      <c r="C447" s="165" t="s">
        <v>91</v>
      </c>
      <c r="D447" s="208">
        <f t="shared" si="6"/>
        <v>7</v>
      </c>
      <c r="E447" s="208" t="s">
        <v>85</v>
      </c>
      <c r="F447" s="208" t="s">
        <v>84</v>
      </c>
      <c r="G447" s="208"/>
      <c r="H447" s="208"/>
      <c r="I447" s="208"/>
      <c r="J447" s="208" t="s">
        <v>84</v>
      </c>
      <c r="K447" s="208" t="s">
        <v>84</v>
      </c>
      <c r="L447" s="208"/>
      <c r="M447" s="208"/>
      <c r="N447" s="208"/>
      <c r="O447" s="208"/>
      <c r="P447" s="208"/>
    </row>
    <row r="448" spans="1:16" ht="15.75">
      <c r="A448" s="208">
        <v>430</v>
      </c>
      <c r="B448" s="345">
        <v>43227</v>
      </c>
      <c r="C448" s="165" t="s">
        <v>91</v>
      </c>
      <c r="D448" s="208">
        <f t="shared" si="6"/>
        <v>1</v>
      </c>
      <c r="E448" s="208" t="s">
        <v>86</v>
      </c>
      <c r="F448" s="208" t="s">
        <v>106</v>
      </c>
      <c r="G448" s="208">
        <v>16</v>
      </c>
      <c r="H448" s="208" t="s">
        <v>16</v>
      </c>
      <c r="I448" s="384" t="s">
        <v>1619</v>
      </c>
      <c r="J448" s="208" t="s">
        <v>106</v>
      </c>
      <c r="K448" s="208" t="s">
        <v>84</v>
      </c>
      <c r="L448" s="208">
        <v>20</v>
      </c>
      <c r="M448" s="384" t="s">
        <v>34</v>
      </c>
      <c r="N448" s="384" t="s">
        <v>1910</v>
      </c>
      <c r="O448" s="208"/>
      <c r="P448" s="208"/>
    </row>
    <row r="449" spans="1:16" ht="15.75">
      <c r="A449" s="208">
        <v>431</v>
      </c>
      <c r="B449" s="345">
        <v>43228</v>
      </c>
      <c r="C449" s="165" t="s">
        <v>91</v>
      </c>
      <c r="D449" s="208">
        <f t="shared" ref="D449:D502" si="7">WEEKDAY(B449,2)</f>
        <v>2</v>
      </c>
      <c r="E449" s="208" t="s">
        <v>87</v>
      </c>
      <c r="F449" s="208" t="s">
        <v>106</v>
      </c>
      <c r="G449" s="208">
        <v>16</v>
      </c>
      <c r="H449" s="208" t="s">
        <v>17</v>
      </c>
      <c r="I449" s="384" t="s">
        <v>1781</v>
      </c>
      <c r="J449" s="208" t="s">
        <v>106</v>
      </c>
      <c r="K449" s="208" t="s">
        <v>84</v>
      </c>
      <c r="L449" s="208">
        <v>20</v>
      </c>
      <c r="M449" s="384" t="s">
        <v>35</v>
      </c>
      <c r="N449" s="384" t="s">
        <v>1832</v>
      </c>
      <c r="O449" s="208"/>
      <c r="P449" s="208"/>
    </row>
    <row r="450" spans="1:16" ht="15.75">
      <c r="A450" s="208">
        <v>432</v>
      </c>
      <c r="B450" s="345">
        <v>43229</v>
      </c>
      <c r="C450" s="165" t="s">
        <v>91</v>
      </c>
      <c r="D450" s="208">
        <f t="shared" si="7"/>
        <v>3</v>
      </c>
      <c r="E450" s="208" t="s">
        <v>80</v>
      </c>
      <c r="F450" s="208" t="s">
        <v>106</v>
      </c>
      <c r="G450" s="208">
        <v>16</v>
      </c>
      <c r="H450" s="208" t="s">
        <v>18</v>
      </c>
      <c r="I450" s="384" t="s">
        <v>98</v>
      </c>
      <c r="J450" s="208" t="s">
        <v>106</v>
      </c>
      <c r="K450" s="208" t="s">
        <v>84</v>
      </c>
      <c r="L450" s="208">
        <v>20</v>
      </c>
      <c r="M450" s="384" t="s">
        <v>36</v>
      </c>
      <c r="N450" s="208" t="s">
        <v>98</v>
      </c>
      <c r="O450" s="208"/>
      <c r="P450" s="208"/>
    </row>
    <row r="451" spans="1:16" ht="15.75">
      <c r="A451" s="208">
        <v>433</v>
      </c>
      <c r="B451" s="345">
        <v>43230</v>
      </c>
      <c r="C451" s="165" t="s">
        <v>91</v>
      </c>
      <c r="D451" s="208">
        <f t="shared" si="7"/>
        <v>4</v>
      </c>
      <c r="E451" s="208" t="s">
        <v>81</v>
      </c>
      <c r="F451" s="208" t="s">
        <v>106</v>
      </c>
      <c r="G451" s="208">
        <v>16</v>
      </c>
      <c r="H451" s="208" t="s">
        <v>19</v>
      </c>
      <c r="I451" s="384" t="s">
        <v>2440</v>
      </c>
      <c r="J451" s="208" t="s">
        <v>106</v>
      </c>
      <c r="K451" s="208" t="s">
        <v>84</v>
      </c>
      <c r="L451" s="208">
        <v>20</v>
      </c>
      <c r="M451" s="208" t="s">
        <v>37</v>
      </c>
      <c r="N451" s="384" t="s">
        <v>1852</v>
      </c>
      <c r="O451" s="208"/>
      <c r="P451" s="208"/>
    </row>
    <row r="452" spans="1:16" ht="15.75">
      <c r="A452" s="208">
        <v>434</v>
      </c>
      <c r="B452" s="345">
        <v>43231</v>
      </c>
      <c r="C452" s="165" t="s">
        <v>91</v>
      </c>
      <c r="D452" s="208">
        <f t="shared" si="7"/>
        <v>5</v>
      </c>
      <c r="E452" s="208" t="s">
        <v>82</v>
      </c>
      <c r="F452" s="208" t="s">
        <v>106</v>
      </c>
      <c r="G452" s="208">
        <v>16</v>
      </c>
      <c r="H452" s="208" t="s">
        <v>20</v>
      </c>
      <c r="I452" s="384" t="s">
        <v>2443</v>
      </c>
      <c r="J452" s="208" t="s">
        <v>106</v>
      </c>
      <c r="K452" s="208" t="s">
        <v>84</v>
      </c>
      <c r="L452" s="208">
        <v>20</v>
      </c>
      <c r="M452" s="208" t="s">
        <v>38</v>
      </c>
      <c r="N452" s="384" t="s">
        <v>2446</v>
      </c>
      <c r="O452" s="208"/>
      <c r="P452" s="208"/>
    </row>
    <row r="453" spans="1:16" ht="15.75">
      <c r="A453" s="208">
        <v>435</v>
      </c>
      <c r="B453" s="345">
        <v>43232</v>
      </c>
      <c r="C453" s="165" t="s">
        <v>91</v>
      </c>
      <c r="D453" s="208">
        <f t="shared" si="7"/>
        <v>6</v>
      </c>
      <c r="E453" s="208" t="s">
        <v>83</v>
      </c>
      <c r="F453" s="208" t="s">
        <v>84</v>
      </c>
      <c r="G453" s="208"/>
      <c r="H453" s="208"/>
      <c r="I453" s="208"/>
      <c r="J453" s="208" t="s">
        <v>84</v>
      </c>
      <c r="K453" s="208" t="s">
        <v>106</v>
      </c>
      <c r="L453" s="208">
        <v>20</v>
      </c>
      <c r="M453" s="208"/>
      <c r="N453" s="208"/>
      <c r="O453" s="208" t="s">
        <v>39</v>
      </c>
      <c r="P453" s="384" t="s">
        <v>98</v>
      </c>
    </row>
    <row r="454" spans="1:16" ht="15.75">
      <c r="A454" s="208">
        <v>436</v>
      </c>
      <c r="B454" s="345">
        <v>43233</v>
      </c>
      <c r="C454" s="165" t="s">
        <v>91</v>
      </c>
      <c r="D454" s="208">
        <f t="shared" si="7"/>
        <v>7</v>
      </c>
      <c r="E454" s="208" t="s">
        <v>85</v>
      </c>
      <c r="F454" s="208" t="s">
        <v>84</v>
      </c>
      <c r="G454" s="208"/>
      <c r="H454" s="208"/>
      <c r="I454" s="208"/>
      <c r="J454" s="208" t="s">
        <v>84</v>
      </c>
      <c r="K454" s="208" t="s">
        <v>84</v>
      </c>
      <c r="L454" s="208"/>
      <c r="M454" s="208"/>
      <c r="N454" s="208"/>
      <c r="O454" s="208"/>
      <c r="P454" s="208"/>
    </row>
    <row r="455" spans="1:16" ht="15.75">
      <c r="A455" s="209">
        <v>437</v>
      </c>
      <c r="B455" s="346">
        <v>43234</v>
      </c>
      <c r="C455" s="167" t="s">
        <v>91</v>
      </c>
      <c r="D455" s="209">
        <f t="shared" si="7"/>
        <v>1</v>
      </c>
      <c r="E455" s="209" t="s">
        <v>86</v>
      </c>
      <c r="F455" s="209" t="s">
        <v>84</v>
      </c>
      <c r="G455" s="209">
        <v>16</v>
      </c>
      <c r="H455" s="209" t="s">
        <v>1766</v>
      </c>
      <c r="I455" s="209"/>
      <c r="J455" s="209" t="s">
        <v>84</v>
      </c>
      <c r="K455" s="209" t="s">
        <v>84</v>
      </c>
      <c r="L455" s="209">
        <v>20</v>
      </c>
      <c r="M455" s="209" t="s">
        <v>122</v>
      </c>
      <c r="N455" s="209"/>
      <c r="O455" s="209"/>
      <c r="P455" s="209"/>
    </row>
    <row r="456" spans="1:16" ht="15.75">
      <c r="A456" s="208">
        <v>438</v>
      </c>
      <c r="B456" s="345">
        <v>43235</v>
      </c>
      <c r="C456" s="165" t="s">
        <v>91</v>
      </c>
      <c r="D456" s="208">
        <f t="shared" si="7"/>
        <v>2</v>
      </c>
      <c r="E456" s="208" t="s">
        <v>87</v>
      </c>
      <c r="F456" s="208" t="s">
        <v>106</v>
      </c>
      <c r="G456" s="208">
        <v>16</v>
      </c>
      <c r="H456" s="208" t="s">
        <v>22</v>
      </c>
      <c r="I456" s="384" t="s">
        <v>2444</v>
      </c>
      <c r="J456" s="208" t="s">
        <v>106</v>
      </c>
      <c r="K456" s="208" t="s">
        <v>84</v>
      </c>
      <c r="L456" s="208">
        <v>20</v>
      </c>
      <c r="M456" s="384" t="s">
        <v>41</v>
      </c>
      <c r="N456" s="384" t="s">
        <v>1918</v>
      </c>
      <c r="O456" s="208"/>
      <c r="P456" s="208"/>
    </row>
    <row r="457" spans="1:16" ht="15.75">
      <c r="A457" s="208">
        <v>439</v>
      </c>
      <c r="B457" s="345">
        <v>43236</v>
      </c>
      <c r="C457" s="165" t="s">
        <v>91</v>
      </c>
      <c r="D457" s="208">
        <f t="shared" si="7"/>
        <v>3</v>
      </c>
      <c r="E457" s="208" t="s">
        <v>80</v>
      </c>
      <c r="F457" s="208" t="s">
        <v>106</v>
      </c>
      <c r="G457" s="208">
        <v>16</v>
      </c>
      <c r="H457" s="208" t="s">
        <v>23</v>
      </c>
      <c r="I457" s="384" t="s">
        <v>98</v>
      </c>
      <c r="J457" s="208" t="s">
        <v>106</v>
      </c>
      <c r="K457" s="208" t="s">
        <v>84</v>
      </c>
      <c r="L457" s="208">
        <v>20</v>
      </c>
      <c r="M457" s="384" t="s">
        <v>42</v>
      </c>
      <c r="N457" s="384" t="s">
        <v>2449</v>
      </c>
      <c r="O457" s="208"/>
      <c r="P457" s="208"/>
    </row>
    <row r="458" spans="1:16" ht="15.75">
      <c r="A458" s="208">
        <v>440</v>
      </c>
      <c r="B458" s="345">
        <v>43237</v>
      </c>
      <c r="C458" s="165" t="s">
        <v>91</v>
      </c>
      <c r="D458" s="208">
        <f t="shared" si="7"/>
        <v>4</v>
      </c>
      <c r="E458" s="208" t="s">
        <v>81</v>
      </c>
      <c r="F458" s="208" t="s">
        <v>106</v>
      </c>
      <c r="G458" s="208">
        <v>16</v>
      </c>
      <c r="H458" s="208" t="s">
        <v>24</v>
      </c>
      <c r="I458" s="384" t="s">
        <v>2429</v>
      </c>
      <c r="J458" s="208" t="s">
        <v>106</v>
      </c>
      <c r="K458" s="208" t="s">
        <v>84</v>
      </c>
      <c r="L458" s="208">
        <v>20</v>
      </c>
      <c r="M458" s="208" t="s">
        <v>43</v>
      </c>
      <c r="N458" s="384" t="s">
        <v>1857</v>
      </c>
      <c r="O458" s="208"/>
      <c r="P458" s="208"/>
    </row>
    <row r="459" spans="1:16" ht="15.75">
      <c r="A459" s="208">
        <v>441</v>
      </c>
      <c r="B459" s="345">
        <v>43238</v>
      </c>
      <c r="C459" s="165" t="s">
        <v>91</v>
      </c>
      <c r="D459" s="208">
        <f t="shared" si="7"/>
        <v>5</v>
      </c>
      <c r="E459" s="208" t="s">
        <v>82</v>
      </c>
      <c r="F459" s="208" t="s">
        <v>106</v>
      </c>
      <c r="G459" s="208">
        <v>16</v>
      </c>
      <c r="H459" s="208" t="s">
        <v>25</v>
      </c>
      <c r="I459" s="384" t="s">
        <v>2421</v>
      </c>
      <c r="J459" s="208" t="s">
        <v>106</v>
      </c>
      <c r="K459" s="208" t="s">
        <v>84</v>
      </c>
      <c r="L459" s="208">
        <v>20</v>
      </c>
      <c r="M459" s="208" t="s">
        <v>44</v>
      </c>
      <c r="N459" s="384" t="s">
        <v>1883</v>
      </c>
      <c r="O459" s="208"/>
      <c r="P459" s="208"/>
    </row>
    <row r="460" spans="1:16" ht="15.75">
      <c r="A460" s="208">
        <v>442</v>
      </c>
      <c r="B460" s="345">
        <v>43239</v>
      </c>
      <c r="C460" s="165" t="s">
        <v>91</v>
      </c>
      <c r="D460" s="208">
        <f t="shared" si="7"/>
        <v>6</v>
      </c>
      <c r="E460" s="208" t="s">
        <v>83</v>
      </c>
      <c r="F460" s="208" t="s">
        <v>84</v>
      </c>
      <c r="G460" s="208"/>
      <c r="H460" s="208"/>
      <c r="I460" s="208"/>
      <c r="J460" s="208" t="s">
        <v>84</v>
      </c>
      <c r="K460" s="208" t="s">
        <v>106</v>
      </c>
      <c r="L460" s="208">
        <v>21</v>
      </c>
      <c r="M460" s="208"/>
      <c r="N460" s="208"/>
      <c r="O460" s="208" t="s">
        <v>29</v>
      </c>
      <c r="P460" s="384" t="s">
        <v>1904</v>
      </c>
    </row>
    <row r="461" spans="1:16" ht="15.75">
      <c r="A461" s="208">
        <v>443</v>
      </c>
      <c r="B461" s="345">
        <v>43240</v>
      </c>
      <c r="C461" s="165" t="s">
        <v>91</v>
      </c>
      <c r="D461" s="208">
        <f t="shared" si="7"/>
        <v>7</v>
      </c>
      <c r="E461" s="208" t="s">
        <v>85</v>
      </c>
      <c r="F461" s="208" t="s">
        <v>84</v>
      </c>
      <c r="G461" s="208"/>
      <c r="H461" s="208"/>
      <c r="I461" s="208"/>
      <c r="J461" s="208" t="s">
        <v>84</v>
      </c>
      <c r="K461" s="208" t="s">
        <v>84</v>
      </c>
      <c r="L461" s="208"/>
      <c r="M461" s="208"/>
      <c r="N461" s="208"/>
      <c r="O461" s="208"/>
      <c r="P461" s="208"/>
    </row>
    <row r="462" spans="1:16" ht="15.75">
      <c r="A462" s="208">
        <v>444</v>
      </c>
      <c r="B462" s="345">
        <v>43241</v>
      </c>
      <c r="C462" s="165" t="s">
        <v>91</v>
      </c>
      <c r="D462" s="208">
        <f t="shared" si="7"/>
        <v>1</v>
      </c>
      <c r="E462" s="208" t="s">
        <v>86</v>
      </c>
      <c r="F462" s="208" t="s">
        <v>106</v>
      </c>
      <c r="G462" s="208">
        <v>16</v>
      </c>
      <c r="H462" s="208" t="s">
        <v>26</v>
      </c>
      <c r="I462" s="384" t="s">
        <v>2431</v>
      </c>
      <c r="J462" s="208" t="s">
        <v>106</v>
      </c>
      <c r="K462" s="208" t="s">
        <v>84</v>
      </c>
      <c r="L462" s="208">
        <v>21</v>
      </c>
      <c r="M462" s="384" t="s">
        <v>31</v>
      </c>
      <c r="N462" s="384" t="s">
        <v>1836</v>
      </c>
      <c r="O462" s="208"/>
      <c r="P462" s="208"/>
    </row>
    <row r="463" spans="1:16" ht="15.75">
      <c r="A463" s="208">
        <v>445</v>
      </c>
      <c r="B463" s="345">
        <v>43242</v>
      </c>
      <c r="C463" s="165" t="s">
        <v>91</v>
      </c>
      <c r="D463" s="208">
        <f t="shared" si="7"/>
        <v>2</v>
      </c>
      <c r="E463" s="208" t="s">
        <v>87</v>
      </c>
      <c r="F463" s="208" t="s">
        <v>106</v>
      </c>
      <c r="G463" s="208">
        <v>16</v>
      </c>
      <c r="H463" s="208" t="s">
        <v>27</v>
      </c>
      <c r="I463" s="384" t="s">
        <v>1612</v>
      </c>
      <c r="J463" s="208" t="s">
        <v>106</v>
      </c>
      <c r="K463" s="208" t="s">
        <v>84</v>
      </c>
      <c r="L463" s="208">
        <v>21</v>
      </c>
      <c r="M463" s="384" t="s">
        <v>32</v>
      </c>
      <c r="N463" s="384" t="s">
        <v>1896</v>
      </c>
      <c r="O463" s="208"/>
      <c r="P463" s="208"/>
    </row>
    <row r="464" spans="1:16" ht="15.75">
      <c r="A464" s="208">
        <v>446</v>
      </c>
      <c r="B464" s="345">
        <v>43243</v>
      </c>
      <c r="C464" s="165" t="s">
        <v>91</v>
      </c>
      <c r="D464" s="208">
        <f t="shared" si="7"/>
        <v>3</v>
      </c>
      <c r="E464" s="208" t="s">
        <v>80</v>
      </c>
      <c r="F464" s="208" t="s">
        <v>106</v>
      </c>
      <c r="G464" s="208">
        <v>16</v>
      </c>
      <c r="H464" s="208" t="s">
        <v>28</v>
      </c>
      <c r="I464" s="384" t="s">
        <v>1617</v>
      </c>
      <c r="J464" s="208" t="s">
        <v>106</v>
      </c>
      <c r="K464" s="208" t="s">
        <v>84</v>
      </c>
      <c r="L464" s="208">
        <v>21</v>
      </c>
      <c r="M464" s="384" t="s">
        <v>33</v>
      </c>
      <c r="N464" s="384" t="s">
        <v>2451</v>
      </c>
      <c r="O464" s="208"/>
      <c r="P464" s="208"/>
    </row>
    <row r="465" spans="1:16" ht="15.75">
      <c r="A465" s="208">
        <v>447</v>
      </c>
      <c r="B465" s="345">
        <v>43244</v>
      </c>
      <c r="C465" s="165" t="s">
        <v>91</v>
      </c>
      <c r="D465" s="208">
        <f t="shared" si="7"/>
        <v>4</v>
      </c>
      <c r="E465" s="208" t="s">
        <v>81</v>
      </c>
      <c r="F465" s="208" t="s">
        <v>106</v>
      </c>
      <c r="G465" s="208">
        <v>16</v>
      </c>
      <c r="H465" s="208" t="s">
        <v>10</v>
      </c>
      <c r="I465" s="384" t="s">
        <v>1772</v>
      </c>
      <c r="J465" s="208" t="s">
        <v>106</v>
      </c>
      <c r="K465" s="208" t="s">
        <v>84</v>
      </c>
      <c r="L465" s="208">
        <v>21</v>
      </c>
      <c r="M465" s="208" t="s">
        <v>34</v>
      </c>
      <c r="N465" s="384" t="s">
        <v>1862</v>
      </c>
      <c r="O465" s="208"/>
      <c r="P465" s="208"/>
    </row>
    <row r="466" spans="1:16" ht="15.75">
      <c r="A466" s="208">
        <v>448</v>
      </c>
      <c r="B466" s="345">
        <v>43245</v>
      </c>
      <c r="C466" s="165" t="s">
        <v>91</v>
      </c>
      <c r="D466" s="208">
        <f t="shared" si="7"/>
        <v>5</v>
      </c>
      <c r="E466" s="208" t="s">
        <v>82</v>
      </c>
      <c r="F466" s="208" t="s">
        <v>106</v>
      </c>
      <c r="G466" s="208">
        <v>17</v>
      </c>
      <c r="H466" s="208" t="s">
        <v>14</v>
      </c>
      <c r="I466" s="384" t="s">
        <v>1821</v>
      </c>
      <c r="J466" s="208" t="s">
        <v>106</v>
      </c>
      <c r="K466" s="208" t="s">
        <v>84</v>
      </c>
      <c r="L466" s="208">
        <v>21</v>
      </c>
      <c r="M466" s="208" t="s">
        <v>35</v>
      </c>
      <c r="N466" s="384" t="s">
        <v>2456</v>
      </c>
      <c r="O466" s="208"/>
      <c r="P466" s="208"/>
    </row>
    <row r="467" spans="1:16" ht="15.75">
      <c r="A467" s="208">
        <v>449</v>
      </c>
      <c r="B467" s="345">
        <v>43246</v>
      </c>
      <c r="C467" s="165" t="s">
        <v>91</v>
      </c>
      <c r="D467" s="208">
        <f t="shared" si="7"/>
        <v>6</v>
      </c>
      <c r="E467" s="208" t="s">
        <v>83</v>
      </c>
      <c r="F467" s="208" t="s">
        <v>84</v>
      </c>
      <c r="G467" s="208"/>
      <c r="H467" s="208"/>
      <c r="I467" s="208"/>
      <c r="J467" s="208" t="s">
        <v>84</v>
      </c>
      <c r="K467" s="208" t="s">
        <v>106</v>
      </c>
      <c r="L467" s="208">
        <v>21</v>
      </c>
      <c r="M467" s="208"/>
      <c r="N467" s="208"/>
      <c r="O467" s="208" t="s">
        <v>36</v>
      </c>
      <c r="P467" s="384" t="s">
        <v>98</v>
      </c>
    </row>
    <row r="468" spans="1:16" ht="15.75">
      <c r="A468" s="208">
        <v>450</v>
      </c>
      <c r="B468" s="345">
        <v>43247</v>
      </c>
      <c r="C468" s="165" t="s">
        <v>91</v>
      </c>
      <c r="D468" s="208">
        <f t="shared" si="7"/>
        <v>7</v>
      </c>
      <c r="E468" s="208" t="s">
        <v>85</v>
      </c>
      <c r="F468" s="208" t="s">
        <v>84</v>
      </c>
      <c r="G468" s="208"/>
      <c r="H468" s="208"/>
      <c r="I468" s="208"/>
      <c r="J468" s="208" t="s">
        <v>84</v>
      </c>
      <c r="K468" s="208" t="s">
        <v>84</v>
      </c>
      <c r="L468" s="208"/>
      <c r="M468" s="208"/>
      <c r="N468" s="208"/>
      <c r="O468" s="208"/>
      <c r="P468" s="208"/>
    </row>
    <row r="469" spans="1:16" ht="15.75">
      <c r="A469" s="208">
        <v>451</v>
      </c>
      <c r="B469" s="345">
        <v>43248</v>
      </c>
      <c r="C469" s="165" t="s">
        <v>91</v>
      </c>
      <c r="D469" s="208">
        <f t="shared" si="7"/>
        <v>1</v>
      </c>
      <c r="E469" s="208" t="s">
        <v>86</v>
      </c>
      <c r="F469" s="208" t="s">
        <v>106</v>
      </c>
      <c r="G469" s="208">
        <v>17</v>
      </c>
      <c r="H469" s="208" t="s">
        <v>15</v>
      </c>
      <c r="I469" s="384" t="s">
        <v>1780</v>
      </c>
      <c r="J469" s="208" t="s">
        <v>106</v>
      </c>
      <c r="K469" s="208" t="s">
        <v>84</v>
      </c>
      <c r="L469" s="208">
        <v>21</v>
      </c>
      <c r="M469" s="384" t="s">
        <v>37</v>
      </c>
      <c r="N469" s="384" t="s">
        <v>1917</v>
      </c>
      <c r="O469" s="208"/>
      <c r="P469" s="208"/>
    </row>
    <row r="470" spans="1:16" ht="15.75">
      <c r="A470" s="208">
        <v>452</v>
      </c>
      <c r="B470" s="345">
        <v>43249</v>
      </c>
      <c r="C470" s="165" t="s">
        <v>91</v>
      </c>
      <c r="D470" s="208">
        <f t="shared" si="7"/>
        <v>2</v>
      </c>
      <c r="E470" s="208" t="s">
        <v>87</v>
      </c>
      <c r="F470" s="208" t="s">
        <v>106</v>
      </c>
      <c r="G470" s="208">
        <v>17</v>
      </c>
      <c r="H470" s="208" t="s">
        <v>16</v>
      </c>
      <c r="I470" s="384" t="s">
        <v>1810</v>
      </c>
      <c r="J470" s="208" t="s">
        <v>106</v>
      </c>
      <c r="K470" s="208" t="s">
        <v>84</v>
      </c>
      <c r="L470" s="208">
        <v>21</v>
      </c>
      <c r="M470" s="384" t="s">
        <v>38</v>
      </c>
      <c r="N470" s="384" t="s">
        <v>1900</v>
      </c>
      <c r="O470" s="208"/>
      <c r="P470" s="208"/>
    </row>
    <row r="471" spans="1:16" ht="15.75">
      <c r="A471" s="208">
        <v>453</v>
      </c>
      <c r="B471" s="345">
        <v>43250</v>
      </c>
      <c r="C471" s="165" t="s">
        <v>91</v>
      </c>
      <c r="D471" s="208">
        <f t="shared" si="7"/>
        <v>3</v>
      </c>
      <c r="E471" s="208" t="s">
        <v>80</v>
      </c>
      <c r="F471" s="208" t="s">
        <v>106</v>
      </c>
      <c r="G471" s="208">
        <v>17</v>
      </c>
      <c r="H471" s="208" t="s">
        <v>17</v>
      </c>
      <c r="I471" s="384" t="s">
        <v>1604</v>
      </c>
      <c r="J471" s="208" t="s">
        <v>106</v>
      </c>
      <c r="K471" s="208" t="s">
        <v>84</v>
      </c>
      <c r="L471" s="208">
        <v>21</v>
      </c>
      <c r="M471" s="384" t="s">
        <v>39</v>
      </c>
      <c r="N471" s="208" t="s">
        <v>98</v>
      </c>
      <c r="O471" s="208"/>
      <c r="P471" s="208"/>
    </row>
    <row r="472" spans="1:16" ht="15.75">
      <c r="A472" s="208">
        <v>454</v>
      </c>
      <c r="B472" s="345">
        <v>43251</v>
      </c>
      <c r="C472" s="165" t="s">
        <v>91</v>
      </c>
      <c r="D472" s="208">
        <f t="shared" si="7"/>
        <v>4</v>
      </c>
      <c r="E472" s="208" t="s">
        <v>81</v>
      </c>
      <c r="F472" s="208" t="s">
        <v>106</v>
      </c>
      <c r="G472" s="208">
        <v>17</v>
      </c>
      <c r="H472" s="208" t="s">
        <v>18</v>
      </c>
      <c r="I472" s="384" t="s">
        <v>98</v>
      </c>
      <c r="J472" s="208" t="s">
        <v>106</v>
      </c>
      <c r="K472" s="208" t="s">
        <v>84</v>
      </c>
      <c r="L472" s="208">
        <v>21</v>
      </c>
      <c r="M472" s="208" t="s">
        <v>40</v>
      </c>
      <c r="N472" s="208" t="s">
        <v>98</v>
      </c>
      <c r="O472" s="208"/>
      <c r="P472" s="208"/>
    </row>
    <row r="473" spans="1:16" ht="15.75">
      <c r="A473" s="208">
        <v>455</v>
      </c>
      <c r="B473" s="345">
        <v>43252</v>
      </c>
      <c r="C473" s="165" t="s">
        <v>92</v>
      </c>
      <c r="D473" s="208">
        <f t="shared" si="7"/>
        <v>5</v>
      </c>
      <c r="E473" s="208" t="s">
        <v>82</v>
      </c>
      <c r="F473" s="208" t="s">
        <v>106</v>
      </c>
      <c r="G473" s="208">
        <v>17</v>
      </c>
      <c r="H473" s="208" t="s">
        <v>19</v>
      </c>
      <c r="I473" s="384" t="s">
        <v>1806</v>
      </c>
      <c r="J473" s="208" t="s">
        <v>106</v>
      </c>
      <c r="K473" s="208" t="s">
        <v>84</v>
      </c>
      <c r="L473" s="208">
        <v>21</v>
      </c>
      <c r="M473" s="208" t="s">
        <v>41</v>
      </c>
      <c r="N473" s="384" t="s">
        <v>1839</v>
      </c>
      <c r="O473" s="208"/>
      <c r="P473" s="208"/>
    </row>
    <row r="474" spans="1:16" ht="15.75">
      <c r="A474" s="208">
        <v>456</v>
      </c>
      <c r="B474" s="345">
        <v>43253</v>
      </c>
      <c r="C474" s="165" t="s">
        <v>92</v>
      </c>
      <c r="D474" s="208">
        <f t="shared" si="7"/>
        <v>6</v>
      </c>
      <c r="E474" s="208" t="s">
        <v>83</v>
      </c>
      <c r="F474" s="208" t="s">
        <v>84</v>
      </c>
      <c r="G474" s="208"/>
      <c r="H474" s="208"/>
      <c r="I474" s="208"/>
      <c r="J474" s="208" t="s">
        <v>84</v>
      </c>
      <c r="K474" s="208" t="s">
        <v>106</v>
      </c>
      <c r="L474" s="208">
        <v>21</v>
      </c>
      <c r="M474" s="208"/>
      <c r="N474" s="208"/>
      <c r="O474" s="208" t="s">
        <v>42</v>
      </c>
      <c r="P474" s="384" t="s">
        <v>1924</v>
      </c>
    </row>
    <row r="475" spans="1:16" ht="15.75">
      <c r="A475" s="208">
        <v>457</v>
      </c>
      <c r="B475" s="345">
        <v>43254</v>
      </c>
      <c r="C475" s="165" t="s">
        <v>92</v>
      </c>
      <c r="D475" s="208">
        <f t="shared" si="7"/>
        <v>7</v>
      </c>
      <c r="E475" s="208" t="s">
        <v>85</v>
      </c>
      <c r="F475" s="208" t="s">
        <v>84</v>
      </c>
      <c r="G475" s="208"/>
      <c r="H475" s="208"/>
      <c r="I475" s="208"/>
      <c r="J475" s="208" t="s">
        <v>84</v>
      </c>
      <c r="K475" s="208" t="s">
        <v>84</v>
      </c>
      <c r="L475" s="208"/>
      <c r="M475" s="208"/>
      <c r="N475" s="208"/>
      <c r="O475" s="208"/>
      <c r="P475" s="208"/>
    </row>
    <row r="476" spans="1:16" ht="15.75">
      <c r="A476" s="209">
        <v>458</v>
      </c>
      <c r="B476" s="346">
        <v>43255</v>
      </c>
      <c r="C476" s="167" t="s">
        <v>92</v>
      </c>
      <c r="D476" s="209">
        <f t="shared" si="7"/>
        <v>1</v>
      </c>
      <c r="E476" s="209" t="s">
        <v>86</v>
      </c>
      <c r="F476" s="209" t="s">
        <v>84</v>
      </c>
      <c r="G476" s="209">
        <v>17</v>
      </c>
      <c r="H476" s="209" t="s">
        <v>2400</v>
      </c>
      <c r="I476" s="209"/>
      <c r="J476" s="209" t="s">
        <v>84</v>
      </c>
      <c r="K476" s="209" t="s">
        <v>84</v>
      </c>
      <c r="L476" s="209">
        <v>21</v>
      </c>
      <c r="M476" s="209" t="s">
        <v>2410</v>
      </c>
      <c r="N476" s="209"/>
      <c r="O476" s="209"/>
      <c r="P476" s="209"/>
    </row>
    <row r="477" spans="1:16" ht="15.75">
      <c r="A477" s="208">
        <v>459</v>
      </c>
      <c r="B477" s="345">
        <v>43256</v>
      </c>
      <c r="C477" s="165" t="s">
        <v>92</v>
      </c>
      <c r="D477" s="208">
        <f t="shared" si="7"/>
        <v>2</v>
      </c>
      <c r="E477" s="208" t="s">
        <v>87</v>
      </c>
      <c r="F477" s="208" t="s">
        <v>106</v>
      </c>
      <c r="G477" s="208">
        <v>17</v>
      </c>
      <c r="H477" s="208" t="s">
        <v>21</v>
      </c>
      <c r="I477" s="208" t="s">
        <v>98</v>
      </c>
      <c r="J477" s="208" t="s">
        <v>106</v>
      </c>
      <c r="K477" s="208" t="s">
        <v>84</v>
      </c>
      <c r="L477" s="208">
        <v>21</v>
      </c>
      <c r="M477" s="208" t="s">
        <v>44</v>
      </c>
      <c r="N477" s="384" t="s">
        <v>2457</v>
      </c>
      <c r="O477" s="208"/>
      <c r="P477" s="208"/>
    </row>
    <row r="478" spans="1:16" ht="15.75">
      <c r="A478" s="208">
        <v>460</v>
      </c>
      <c r="B478" s="345">
        <v>43257</v>
      </c>
      <c r="C478" s="165" t="s">
        <v>92</v>
      </c>
      <c r="D478" s="208">
        <f t="shared" si="7"/>
        <v>3</v>
      </c>
      <c r="E478" s="208" t="s">
        <v>80</v>
      </c>
      <c r="F478" s="208" t="s">
        <v>106</v>
      </c>
      <c r="G478" s="208">
        <v>17</v>
      </c>
      <c r="H478" s="208" t="s">
        <v>22</v>
      </c>
      <c r="I478" s="384" t="s">
        <v>1776</v>
      </c>
      <c r="J478" s="208" t="s">
        <v>106</v>
      </c>
      <c r="K478" s="208" t="s">
        <v>84</v>
      </c>
      <c r="L478" s="208">
        <v>22</v>
      </c>
      <c r="M478" s="208" t="s">
        <v>29</v>
      </c>
      <c r="N478" s="384" t="s">
        <v>2452</v>
      </c>
      <c r="O478" s="208"/>
      <c r="P478" s="208"/>
    </row>
    <row r="479" spans="1:16" ht="15.75">
      <c r="A479" s="208">
        <v>461</v>
      </c>
      <c r="B479" s="345">
        <v>43258</v>
      </c>
      <c r="C479" s="165" t="s">
        <v>92</v>
      </c>
      <c r="D479" s="208">
        <f t="shared" si="7"/>
        <v>4</v>
      </c>
      <c r="E479" s="208" t="s">
        <v>81</v>
      </c>
      <c r="F479" s="208" t="s">
        <v>106</v>
      </c>
      <c r="G479" s="208">
        <v>17</v>
      </c>
      <c r="H479" s="208" t="s">
        <v>23</v>
      </c>
      <c r="I479" s="384" t="s">
        <v>98</v>
      </c>
      <c r="J479" s="208" t="s">
        <v>106</v>
      </c>
      <c r="K479" s="208" t="s">
        <v>84</v>
      </c>
      <c r="L479" s="384">
        <v>22</v>
      </c>
      <c r="M479" s="208" t="s">
        <v>31</v>
      </c>
      <c r="N479" s="384" t="s">
        <v>1871</v>
      </c>
      <c r="O479" s="208"/>
      <c r="P479" s="208"/>
    </row>
    <row r="480" spans="1:16" ht="15.75">
      <c r="A480" s="208">
        <v>462</v>
      </c>
      <c r="B480" s="345">
        <v>43259</v>
      </c>
      <c r="C480" s="165" t="s">
        <v>92</v>
      </c>
      <c r="D480" s="208">
        <f t="shared" si="7"/>
        <v>5</v>
      </c>
      <c r="E480" s="208" t="s">
        <v>82</v>
      </c>
      <c r="F480" s="208" t="s">
        <v>106</v>
      </c>
      <c r="G480" s="208">
        <v>17</v>
      </c>
      <c r="H480" s="208" t="s">
        <v>24</v>
      </c>
      <c r="I480" s="384" t="s">
        <v>2426</v>
      </c>
      <c r="J480" s="208" t="s">
        <v>106</v>
      </c>
      <c r="K480" s="208" t="s">
        <v>84</v>
      </c>
      <c r="L480" s="384">
        <v>22</v>
      </c>
      <c r="M480" s="208" t="s">
        <v>32</v>
      </c>
      <c r="N480" s="384" t="s">
        <v>2458</v>
      </c>
      <c r="O480" s="208"/>
      <c r="P480" s="208"/>
    </row>
    <row r="481" spans="1:16" ht="15.75">
      <c r="A481" s="208">
        <v>463</v>
      </c>
      <c r="B481" s="345">
        <v>43260</v>
      </c>
      <c r="C481" s="165" t="s">
        <v>92</v>
      </c>
      <c r="D481" s="208">
        <f t="shared" si="7"/>
        <v>6</v>
      </c>
      <c r="E481" s="208" t="s">
        <v>83</v>
      </c>
      <c r="F481" s="208" t="s">
        <v>84</v>
      </c>
      <c r="G481" s="208"/>
      <c r="H481" s="208"/>
      <c r="I481" s="208"/>
      <c r="J481" s="208" t="s">
        <v>84</v>
      </c>
      <c r="K481" s="208" t="s">
        <v>106</v>
      </c>
      <c r="L481" s="384">
        <v>22</v>
      </c>
      <c r="M481" s="208"/>
      <c r="N481" s="208"/>
      <c r="O481" s="208" t="s">
        <v>33</v>
      </c>
      <c r="P481" s="384" t="s">
        <v>1861</v>
      </c>
    </row>
    <row r="482" spans="1:16" ht="15.75">
      <c r="A482" s="208">
        <v>464</v>
      </c>
      <c r="B482" s="345">
        <v>43261</v>
      </c>
      <c r="C482" s="165" t="s">
        <v>92</v>
      </c>
      <c r="D482" s="208">
        <f t="shared" si="7"/>
        <v>7</v>
      </c>
      <c r="E482" s="208" t="s">
        <v>85</v>
      </c>
      <c r="F482" s="208" t="s">
        <v>84</v>
      </c>
      <c r="G482" s="208"/>
      <c r="H482" s="208"/>
      <c r="I482" s="208"/>
      <c r="J482" s="208" t="s">
        <v>84</v>
      </c>
      <c r="K482" s="208" t="s">
        <v>84</v>
      </c>
      <c r="L482" s="208"/>
      <c r="M482" s="208"/>
      <c r="N482" s="208"/>
      <c r="O482" s="208"/>
      <c r="P482" s="208"/>
    </row>
    <row r="483" spans="1:16" ht="15.75">
      <c r="A483" s="208">
        <v>465</v>
      </c>
      <c r="B483" s="345">
        <v>43262</v>
      </c>
      <c r="C483" s="165" t="s">
        <v>92</v>
      </c>
      <c r="D483" s="208">
        <f t="shared" si="7"/>
        <v>1</v>
      </c>
      <c r="E483" s="208" t="s">
        <v>86</v>
      </c>
      <c r="F483" s="208" t="s">
        <v>106</v>
      </c>
      <c r="G483" s="208">
        <v>17</v>
      </c>
      <c r="H483" s="208" t="s">
        <v>25</v>
      </c>
      <c r="I483" s="384" t="s">
        <v>1801</v>
      </c>
      <c r="J483" s="208" t="s">
        <v>106</v>
      </c>
      <c r="K483" s="208" t="s">
        <v>84</v>
      </c>
      <c r="L483" s="208">
        <v>22</v>
      </c>
      <c r="M483" s="384" t="s">
        <v>34</v>
      </c>
      <c r="N483" s="384" t="s">
        <v>1847</v>
      </c>
      <c r="O483" s="208"/>
      <c r="P483" s="208"/>
    </row>
    <row r="484" spans="1:16" ht="15.75">
      <c r="A484" s="208">
        <v>466</v>
      </c>
      <c r="B484" s="345">
        <v>43263</v>
      </c>
      <c r="C484" s="165" t="s">
        <v>92</v>
      </c>
      <c r="D484" s="208">
        <f t="shared" si="7"/>
        <v>2</v>
      </c>
      <c r="E484" s="208" t="s">
        <v>87</v>
      </c>
      <c r="F484" s="208" t="s">
        <v>106</v>
      </c>
      <c r="G484" s="208">
        <v>17</v>
      </c>
      <c r="H484" s="208" t="s">
        <v>26</v>
      </c>
      <c r="I484" s="384" t="s">
        <v>2422</v>
      </c>
      <c r="J484" s="208" t="s">
        <v>106</v>
      </c>
      <c r="K484" s="208" t="s">
        <v>84</v>
      </c>
      <c r="L484" s="208">
        <v>22</v>
      </c>
      <c r="M484" s="384" t="s">
        <v>35</v>
      </c>
      <c r="N484" s="384" t="s">
        <v>2456</v>
      </c>
      <c r="O484" s="208"/>
      <c r="P484" s="208"/>
    </row>
    <row r="485" spans="1:16" ht="15.75">
      <c r="A485" s="208">
        <v>467</v>
      </c>
      <c r="B485" s="345">
        <v>43264</v>
      </c>
      <c r="C485" s="165" t="s">
        <v>92</v>
      </c>
      <c r="D485" s="208">
        <f t="shared" si="7"/>
        <v>3</v>
      </c>
      <c r="E485" s="208" t="s">
        <v>80</v>
      </c>
      <c r="F485" s="208" t="s">
        <v>106</v>
      </c>
      <c r="G485" s="208">
        <v>17</v>
      </c>
      <c r="H485" s="208" t="s">
        <v>27</v>
      </c>
      <c r="I485" s="384" t="s">
        <v>1813</v>
      </c>
      <c r="J485" s="208" t="s">
        <v>106</v>
      </c>
      <c r="K485" s="208" t="s">
        <v>84</v>
      </c>
      <c r="L485" s="208">
        <v>22</v>
      </c>
      <c r="M485" s="384" t="s">
        <v>36</v>
      </c>
      <c r="N485" s="208" t="s">
        <v>98</v>
      </c>
      <c r="O485" s="208"/>
      <c r="P485" s="208"/>
    </row>
    <row r="486" spans="1:16" ht="15.75">
      <c r="A486" s="208">
        <v>468</v>
      </c>
      <c r="B486" s="345">
        <v>43265</v>
      </c>
      <c r="C486" s="165" t="s">
        <v>92</v>
      </c>
      <c r="D486" s="208">
        <f t="shared" si="7"/>
        <v>4</v>
      </c>
      <c r="E486" s="208" t="s">
        <v>81</v>
      </c>
      <c r="F486" s="208" t="s">
        <v>106</v>
      </c>
      <c r="G486" s="208">
        <v>17</v>
      </c>
      <c r="H486" s="208" t="s">
        <v>28</v>
      </c>
      <c r="I486" s="384" t="s">
        <v>1812</v>
      </c>
      <c r="J486" s="208" t="s">
        <v>106</v>
      </c>
      <c r="K486" s="208" t="s">
        <v>84</v>
      </c>
      <c r="L486" s="208">
        <v>22</v>
      </c>
      <c r="M486" s="208" t="s">
        <v>37</v>
      </c>
      <c r="N486" s="384" t="s">
        <v>1893</v>
      </c>
      <c r="O486" s="208"/>
      <c r="P486" s="208"/>
    </row>
    <row r="487" spans="1:16" ht="15.75">
      <c r="A487" s="208">
        <v>469</v>
      </c>
      <c r="B487" s="345">
        <v>43266</v>
      </c>
      <c r="C487" s="165" t="s">
        <v>92</v>
      </c>
      <c r="D487" s="208">
        <f t="shared" si="7"/>
        <v>5</v>
      </c>
      <c r="E487" s="208" t="s">
        <v>82</v>
      </c>
      <c r="F487" s="208" t="s">
        <v>106</v>
      </c>
      <c r="G487" s="208">
        <v>17</v>
      </c>
      <c r="H487" s="208" t="s">
        <v>11</v>
      </c>
      <c r="I487" s="384" t="s">
        <v>2423</v>
      </c>
      <c r="J487" s="208" t="s">
        <v>106</v>
      </c>
      <c r="K487" s="208" t="s">
        <v>84</v>
      </c>
      <c r="L487" s="208">
        <v>22</v>
      </c>
      <c r="M487" s="208" t="s">
        <v>38</v>
      </c>
      <c r="N487" s="384" t="s">
        <v>1834</v>
      </c>
      <c r="O487" s="208"/>
      <c r="P487" s="208"/>
    </row>
    <row r="488" spans="1:16" ht="15.75">
      <c r="A488" s="208">
        <v>470</v>
      </c>
      <c r="B488" s="345">
        <v>43267</v>
      </c>
      <c r="C488" s="165" t="s">
        <v>92</v>
      </c>
      <c r="D488" s="208">
        <f t="shared" si="7"/>
        <v>6</v>
      </c>
      <c r="E488" s="208" t="s">
        <v>83</v>
      </c>
      <c r="F488" s="208" t="s">
        <v>84</v>
      </c>
      <c r="G488" s="208"/>
      <c r="H488" s="208"/>
      <c r="I488" s="208"/>
      <c r="J488" s="208" t="s">
        <v>84</v>
      </c>
      <c r="K488" s="208" t="s">
        <v>106</v>
      </c>
      <c r="L488" s="208">
        <v>22</v>
      </c>
      <c r="M488" s="208"/>
      <c r="N488" s="208"/>
      <c r="O488" s="208" t="s">
        <v>39</v>
      </c>
      <c r="P488" s="384" t="s">
        <v>98</v>
      </c>
    </row>
    <row r="489" spans="1:16" ht="15.75">
      <c r="A489" s="208">
        <v>471</v>
      </c>
      <c r="B489" s="345">
        <v>43268</v>
      </c>
      <c r="C489" s="165" t="s">
        <v>92</v>
      </c>
      <c r="D489" s="208">
        <f t="shared" si="7"/>
        <v>7</v>
      </c>
      <c r="E489" s="208" t="s">
        <v>85</v>
      </c>
      <c r="F489" s="208" t="s">
        <v>84</v>
      </c>
      <c r="G489" s="208"/>
      <c r="H489" s="208"/>
      <c r="I489" s="208"/>
      <c r="J489" s="208" t="s">
        <v>84</v>
      </c>
      <c r="K489" s="208" t="s">
        <v>84</v>
      </c>
      <c r="L489" s="208"/>
      <c r="M489" s="208"/>
      <c r="N489" s="208"/>
      <c r="O489" s="208"/>
      <c r="P489" s="208"/>
    </row>
    <row r="490" spans="1:16" ht="15.75">
      <c r="A490" s="208">
        <v>472</v>
      </c>
      <c r="B490" s="345">
        <v>43269</v>
      </c>
      <c r="C490" s="165" t="s">
        <v>92</v>
      </c>
      <c r="D490" s="208">
        <f t="shared" si="7"/>
        <v>1</v>
      </c>
      <c r="E490" s="208" t="s">
        <v>86</v>
      </c>
      <c r="F490" s="210" t="s">
        <v>84</v>
      </c>
      <c r="G490" s="210"/>
      <c r="H490" s="210" t="s">
        <v>93</v>
      </c>
      <c r="I490" s="210"/>
      <c r="J490" s="210" t="s">
        <v>84</v>
      </c>
      <c r="K490" s="210" t="s">
        <v>84</v>
      </c>
      <c r="L490" s="210"/>
      <c r="M490" s="210" t="s">
        <v>93</v>
      </c>
      <c r="N490" s="210"/>
      <c r="O490" s="210"/>
      <c r="P490" s="210"/>
    </row>
    <row r="491" spans="1:16" ht="15.75">
      <c r="A491" s="208">
        <v>473</v>
      </c>
      <c r="B491" s="345">
        <v>43270</v>
      </c>
      <c r="C491" s="165" t="s">
        <v>92</v>
      </c>
      <c r="D491" s="208">
        <f t="shared" si="7"/>
        <v>2</v>
      </c>
      <c r="E491" s="208" t="s">
        <v>87</v>
      </c>
      <c r="F491" s="210" t="s">
        <v>84</v>
      </c>
      <c r="G491" s="210"/>
      <c r="H491" s="210" t="s">
        <v>93</v>
      </c>
      <c r="I491" s="210"/>
      <c r="J491" s="210" t="s">
        <v>84</v>
      </c>
      <c r="K491" s="210" t="s">
        <v>84</v>
      </c>
      <c r="L491" s="210"/>
      <c r="M491" s="210" t="s">
        <v>93</v>
      </c>
      <c r="N491" s="210"/>
      <c r="O491" s="210"/>
      <c r="P491" s="210"/>
    </row>
    <row r="492" spans="1:16" ht="15.75">
      <c r="A492" s="208">
        <v>474</v>
      </c>
      <c r="B492" s="345">
        <v>43271</v>
      </c>
      <c r="C492" s="165" t="s">
        <v>92</v>
      </c>
      <c r="D492" s="208">
        <f t="shared" si="7"/>
        <v>3</v>
      </c>
      <c r="E492" s="208" t="s">
        <v>80</v>
      </c>
      <c r="F492" s="210" t="s">
        <v>84</v>
      </c>
      <c r="G492" s="210"/>
      <c r="H492" s="210" t="s">
        <v>93</v>
      </c>
      <c r="I492" s="210"/>
      <c r="J492" s="210" t="s">
        <v>84</v>
      </c>
      <c r="K492" s="210" t="s">
        <v>84</v>
      </c>
      <c r="L492" s="210"/>
      <c r="M492" s="210" t="s">
        <v>93</v>
      </c>
      <c r="N492" s="210"/>
      <c r="O492" s="210"/>
      <c r="P492" s="210"/>
    </row>
    <row r="493" spans="1:16" ht="15.75">
      <c r="A493" s="208">
        <v>475</v>
      </c>
      <c r="B493" s="345">
        <v>43272</v>
      </c>
      <c r="C493" s="165" t="s">
        <v>92</v>
      </c>
      <c r="D493" s="208">
        <f t="shared" si="7"/>
        <v>4</v>
      </c>
      <c r="E493" s="208" t="s">
        <v>81</v>
      </c>
      <c r="F493" s="210" t="s">
        <v>84</v>
      </c>
      <c r="G493" s="210"/>
      <c r="H493" s="210" t="s">
        <v>93</v>
      </c>
      <c r="I493" s="210"/>
      <c r="J493" s="210" t="s">
        <v>84</v>
      </c>
      <c r="K493" s="210" t="s">
        <v>84</v>
      </c>
      <c r="L493" s="210"/>
      <c r="M493" s="210" t="s">
        <v>93</v>
      </c>
      <c r="N493" s="210"/>
      <c r="O493" s="210"/>
      <c r="P493" s="210"/>
    </row>
    <row r="494" spans="1:16" ht="15.75">
      <c r="A494" s="208">
        <v>476</v>
      </c>
      <c r="B494" s="345">
        <v>43273</v>
      </c>
      <c r="C494" s="165" t="s">
        <v>92</v>
      </c>
      <c r="D494" s="208">
        <f t="shared" si="7"/>
        <v>5</v>
      </c>
      <c r="E494" s="208" t="s">
        <v>82</v>
      </c>
      <c r="F494" s="210" t="s">
        <v>84</v>
      </c>
      <c r="G494" s="210"/>
      <c r="H494" s="210" t="s">
        <v>93</v>
      </c>
      <c r="I494" s="210"/>
      <c r="J494" s="210" t="s">
        <v>84</v>
      </c>
      <c r="K494" s="210" t="s">
        <v>84</v>
      </c>
      <c r="L494" s="210"/>
      <c r="M494" s="210" t="s">
        <v>93</v>
      </c>
      <c r="N494" s="210"/>
      <c r="O494" s="210"/>
      <c r="P494" s="210"/>
    </row>
    <row r="495" spans="1:16" ht="15.75">
      <c r="A495" s="208">
        <v>477</v>
      </c>
      <c r="B495" s="345">
        <v>43274</v>
      </c>
      <c r="C495" s="165" t="s">
        <v>92</v>
      </c>
      <c r="D495" s="208">
        <f t="shared" si="7"/>
        <v>6</v>
      </c>
      <c r="E495" s="208" t="s">
        <v>83</v>
      </c>
      <c r="F495" s="210" t="s">
        <v>84</v>
      </c>
      <c r="G495" s="210"/>
      <c r="H495" s="210"/>
      <c r="I495" s="210"/>
      <c r="J495" s="210" t="s">
        <v>84</v>
      </c>
      <c r="K495" s="210" t="s">
        <v>84</v>
      </c>
      <c r="L495" s="210"/>
      <c r="M495" s="210"/>
      <c r="N495" s="210"/>
      <c r="O495" s="210"/>
      <c r="P495" s="210"/>
    </row>
    <row r="496" spans="1:16" ht="15.75">
      <c r="A496" s="208">
        <v>478</v>
      </c>
      <c r="B496" s="345">
        <v>43275</v>
      </c>
      <c r="C496" s="165" t="s">
        <v>92</v>
      </c>
      <c r="D496" s="208">
        <f t="shared" si="7"/>
        <v>7</v>
      </c>
      <c r="E496" s="208" t="s">
        <v>85</v>
      </c>
      <c r="F496" s="210" t="s">
        <v>84</v>
      </c>
      <c r="G496" s="210"/>
      <c r="H496" s="210"/>
      <c r="I496" s="210"/>
      <c r="J496" s="210" t="s">
        <v>84</v>
      </c>
      <c r="K496" s="210" t="s">
        <v>84</v>
      </c>
      <c r="L496" s="210"/>
      <c r="M496" s="210"/>
      <c r="N496" s="210"/>
      <c r="O496" s="210"/>
      <c r="P496" s="210"/>
    </row>
    <row r="497" spans="1:16" ht="15.75">
      <c r="A497" s="208">
        <v>479</v>
      </c>
      <c r="B497" s="345">
        <v>43276</v>
      </c>
      <c r="C497" s="165" t="s">
        <v>92</v>
      </c>
      <c r="D497" s="208">
        <f t="shared" si="7"/>
        <v>1</v>
      </c>
      <c r="E497" s="208" t="s">
        <v>86</v>
      </c>
      <c r="F497" s="210" t="s">
        <v>84</v>
      </c>
      <c r="G497" s="210"/>
      <c r="H497" s="210" t="s">
        <v>93</v>
      </c>
      <c r="I497" s="210"/>
      <c r="J497" s="210" t="s">
        <v>84</v>
      </c>
      <c r="K497" s="210" t="s">
        <v>84</v>
      </c>
      <c r="L497" s="210"/>
      <c r="M497" s="210" t="s">
        <v>93</v>
      </c>
      <c r="N497" s="210"/>
      <c r="O497" s="210"/>
      <c r="P497" s="210"/>
    </row>
    <row r="498" spans="1:16" ht="15.75">
      <c r="A498" s="208">
        <v>480</v>
      </c>
      <c r="B498" s="345">
        <v>43277</v>
      </c>
      <c r="C498" s="165" t="s">
        <v>92</v>
      </c>
      <c r="D498" s="208">
        <f t="shared" si="7"/>
        <v>2</v>
      </c>
      <c r="E498" s="208" t="s">
        <v>87</v>
      </c>
      <c r="F498" s="210" t="s">
        <v>84</v>
      </c>
      <c r="G498" s="210"/>
      <c r="H498" s="210" t="s">
        <v>93</v>
      </c>
      <c r="I498" s="210"/>
      <c r="J498" s="210" t="s">
        <v>84</v>
      </c>
      <c r="K498" s="210" t="s">
        <v>84</v>
      </c>
      <c r="L498" s="210"/>
      <c r="M498" s="210" t="s">
        <v>93</v>
      </c>
      <c r="N498" s="210"/>
      <c r="O498" s="210"/>
      <c r="P498" s="210"/>
    </row>
    <row r="499" spans="1:16" ht="15.75">
      <c r="A499" s="208">
        <v>481</v>
      </c>
      <c r="B499" s="345">
        <v>43278</v>
      </c>
      <c r="C499" s="165" t="s">
        <v>92</v>
      </c>
      <c r="D499" s="208">
        <f t="shared" si="7"/>
        <v>3</v>
      </c>
      <c r="E499" s="208" t="s">
        <v>80</v>
      </c>
      <c r="F499" s="210" t="s">
        <v>84</v>
      </c>
      <c r="G499" s="210"/>
      <c r="H499" s="210" t="s">
        <v>93</v>
      </c>
      <c r="I499" s="210"/>
      <c r="J499" s="210" t="s">
        <v>84</v>
      </c>
      <c r="K499" s="210" t="s">
        <v>84</v>
      </c>
      <c r="L499" s="210"/>
      <c r="M499" s="210" t="s">
        <v>93</v>
      </c>
      <c r="N499" s="210"/>
      <c r="O499" s="210"/>
      <c r="P499" s="210"/>
    </row>
    <row r="500" spans="1:16" ht="15.75">
      <c r="A500" s="208">
        <v>482</v>
      </c>
      <c r="B500" s="345">
        <v>43279</v>
      </c>
      <c r="C500" s="165" t="s">
        <v>92</v>
      </c>
      <c r="D500" s="208">
        <f t="shared" si="7"/>
        <v>4</v>
      </c>
      <c r="E500" s="208" t="s">
        <v>81</v>
      </c>
      <c r="F500" s="210" t="s">
        <v>84</v>
      </c>
      <c r="G500" s="210"/>
      <c r="H500" s="210" t="s">
        <v>93</v>
      </c>
      <c r="I500" s="210"/>
      <c r="J500" s="210" t="s">
        <v>84</v>
      </c>
      <c r="K500" s="210" t="s">
        <v>84</v>
      </c>
      <c r="L500" s="210"/>
      <c r="M500" s="210" t="s">
        <v>93</v>
      </c>
      <c r="N500" s="210"/>
      <c r="O500" s="210"/>
      <c r="P500" s="210"/>
    </row>
    <row r="501" spans="1:16" ht="15.75">
      <c r="A501" s="208">
        <v>483</v>
      </c>
      <c r="B501" s="345">
        <v>43280</v>
      </c>
      <c r="C501" s="165" t="s">
        <v>92</v>
      </c>
      <c r="D501" s="208">
        <f t="shared" si="7"/>
        <v>5</v>
      </c>
      <c r="E501" s="208" t="s">
        <v>82</v>
      </c>
      <c r="F501" s="210" t="s">
        <v>84</v>
      </c>
      <c r="G501" s="210"/>
      <c r="H501" s="210" t="s">
        <v>93</v>
      </c>
      <c r="I501" s="210"/>
      <c r="J501" s="210" t="s">
        <v>84</v>
      </c>
      <c r="K501" s="210" t="s">
        <v>84</v>
      </c>
      <c r="L501" s="210"/>
      <c r="M501" s="210" t="s">
        <v>93</v>
      </c>
      <c r="N501" s="210"/>
      <c r="O501" s="210"/>
      <c r="P501" s="210"/>
    </row>
    <row r="502" spans="1:16" ht="15.75">
      <c r="A502" s="208">
        <v>484</v>
      </c>
      <c r="B502" s="345">
        <v>43281</v>
      </c>
      <c r="C502" s="165" t="s">
        <v>92</v>
      </c>
      <c r="D502" s="208">
        <f t="shared" si="7"/>
        <v>6</v>
      </c>
      <c r="E502" s="208" t="s">
        <v>83</v>
      </c>
      <c r="F502" s="210" t="s">
        <v>84</v>
      </c>
      <c r="G502" s="210"/>
      <c r="H502" s="210"/>
      <c r="I502" s="210"/>
      <c r="J502" s="210" t="s">
        <v>84</v>
      </c>
      <c r="K502" s="210" t="s">
        <v>84</v>
      </c>
      <c r="L502" s="210"/>
      <c r="M502" s="210"/>
      <c r="N502" s="210"/>
      <c r="O502" s="210"/>
      <c r="P502" s="210"/>
    </row>
    <row r="503" spans="1:16"/>
  </sheetData>
  <mergeCells count="7">
    <mergeCell ref="B2:F2"/>
    <mergeCell ref="F16:I16"/>
    <mergeCell ref="J16:P16"/>
    <mergeCell ref="A3:P3"/>
    <mergeCell ref="A4:P4"/>
    <mergeCell ref="A7:P7"/>
    <mergeCell ref="A5:P5"/>
  </mergeCells>
  <hyperlinks>
    <hyperlink ref="B2:C2" location="'INDICE_ MODELO'!A1" display="Ir a Indice"/>
    <hyperlink ref="B2:F2" location="'INDICE_ MODELO'!C133" display="Ir a Indice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1917"/>
  <sheetViews>
    <sheetView zoomScaleNormal="100" workbookViewId="0"/>
  </sheetViews>
  <sheetFormatPr baseColWidth="10" defaultColWidth="0" defaultRowHeight="14.25"/>
  <cols>
    <col min="1" max="1" width="24.5703125" style="9" customWidth="1"/>
    <col min="2" max="2" width="9.5703125" style="9" customWidth="1"/>
    <col min="3" max="3" width="11.85546875" style="9" hidden="1" customWidth="1"/>
    <col min="4" max="4" width="12.28515625" style="360" hidden="1" customWidth="1"/>
    <col min="5" max="5" width="7.85546875" style="9" customWidth="1"/>
    <col min="6" max="7" width="12.42578125" style="9" customWidth="1"/>
    <col min="8" max="8" width="6.140625" style="9" customWidth="1"/>
    <col min="9" max="9" width="12" style="9" bestFit="1" customWidth="1"/>
    <col min="10" max="10" width="34.140625" style="9" customWidth="1"/>
    <col min="11" max="11" width="5.7109375" style="9" customWidth="1"/>
    <col min="12" max="12" width="36.5703125" style="9" customWidth="1"/>
    <col min="13" max="13" width="9" style="9" customWidth="1"/>
    <col min="14" max="14" width="4" style="9" customWidth="1"/>
    <col min="15" max="20" width="11" style="9" customWidth="1"/>
    <col min="21" max="16384" width="11" style="9" hidden="1"/>
  </cols>
  <sheetData>
    <row r="1" spans="1:20">
      <c r="A1" s="13"/>
      <c r="B1" s="14"/>
      <c r="C1" s="14"/>
      <c r="D1" s="36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25"/>
    </row>
    <row r="2" spans="1:20" ht="20.25">
      <c r="A2" s="17"/>
      <c r="B2" s="480" t="s">
        <v>1940</v>
      </c>
      <c r="C2" s="480"/>
      <c r="D2" s="480"/>
      <c r="E2" s="480"/>
      <c r="F2" s="84"/>
      <c r="G2" s="86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26"/>
    </row>
    <row r="3" spans="1:20" ht="18.75">
      <c r="A3" s="548" t="s">
        <v>1937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549"/>
    </row>
    <row r="4" spans="1:20" ht="18.75">
      <c r="A4" s="548" t="s">
        <v>1938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549"/>
    </row>
    <row r="5" spans="1:20" ht="18.75">
      <c r="A5" s="548" t="s">
        <v>1939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549"/>
    </row>
    <row r="6" spans="1:20" ht="18.75">
      <c r="A6" s="102"/>
      <c r="B6" s="100"/>
      <c r="C6" s="100"/>
      <c r="D6" s="375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6"/>
    </row>
    <row r="7" spans="1:20" ht="18.75">
      <c r="A7" s="548" t="s">
        <v>1335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549"/>
    </row>
    <row r="8" spans="1:20">
      <c r="A8" s="110"/>
      <c r="B8" s="111"/>
      <c r="C8" s="111"/>
      <c r="D8" s="378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2"/>
    </row>
    <row r="9" spans="1:20">
      <c r="A9" s="110"/>
      <c r="B9" s="113" t="s">
        <v>1330</v>
      </c>
      <c r="C9" s="108"/>
      <c r="D9" s="377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2"/>
    </row>
    <row r="10" spans="1:20">
      <c r="A10" s="110"/>
      <c r="B10" s="113" t="s">
        <v>1972</v>
      </c>
      <c r="C10" s="108"/>
      <c r="D10" s="377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2"/>
    </row>
    <row r="11" spans="1:20">
      <c r="A11" s="110"/>
      <c r="B11" s="113" t="s">
        <v>1973</v>
      </c>
      <c r="C11" s="108"/>
      <c r="D11" s="377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2"/>
    </row>
    <row r="12" spans="1:20" ht="15" thickBot="1">
      <c r="A12" s="27"/>
      <c r="B12" s="28"/>
      <c r="C12" s="28"/>
      <c r="D12" s="364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9"/>
    </row>
    <row r="13" spans="1:20" ht="28.5">
      <c r="A13" s="23" t="s">
        <v>129</v>
      </c>
      <c r="B13" s="23" t="s">
        <v>130</v>
      </c>
      <c r="C13" s="23" t="s">
        <v>1331</v>
      </c>
      <c r="D13" s="363" t="s">
        <v>2401</v>
      </c>
      <c r="E13" s="23" t="s">
        <v>131</v>
      </c>
      <c r="F13" s="23" t="s">
        <v>132</v>
      </c>
      <c r="G13" s="23" t="s">
        <v>2402</v>
      </c>
      <c r="H13" s="23" t="s">
        <v>133</v>
      </c>
      <c r="I13" s="32" t="s">
        <v>134</v>
      </c>
      <c r="J13" s="23" t="s">
        <v>135</v>
      </c>
      <c r="K13" s="23" t="s">
        <v>136</v>
      </c>
      <c r="L13" s="23" t="s">
        <v>137</v>
      </c>
      <c r="M13" s="23" t="s">
        <v>138</v>
      </c>
      <c r="N13" s="23" t="s">
        <v>139</v>
      </c>
      <c r="O13" s="23" t="s">
        <v>140</v>
      </c>
      <c r="P13" s="23" t="s">
        <v>141</v>
      </c>
      <c r="Q13" s="23" t="s">
        <v>142</v>
      </c>
      <c r="R13" s="23" t="s">
        <v>143</v>
      </c>
      <c r="S13" s="23" t="s">
        <v>144</v>
      </c>
      <c r="T13" s="23" t="s">
        <v>103</v>
      </c>
    </row>
    <row r="14" spans="1:20">
      <c r="A14" s="9" t="s">
        <v>145</v>
      </c>
      <c r="B14" s="30" t="s">
        <v>146</v>
      </c>
      <c r="C14" s="30" t="str">
        <f>CONCATENATE(VOL_VOLUMEN_SUMINISTROS[[#This Row],[Proyecto]],VOL_VOLUMEN_SUMINISTROS[[#This Row],[J]],VOL_VOLUMEN_SUMINISTROS[[#This Row],[FIN DE SEMANA]])</f>
        <v>1052-1MNO</v>
      </c>
      <c r="D14" s="365" t="str">
        <f>CONCATENATE(VOL_VOLUMEN_SUMINISTROS[[#This Row],[Grupo]],VOL_VOLUMEN_SUMINISTROS[[#This Row],[Proyecto]],VOL_VOLUMEN_SUMINISTROS[[#This Row],[FIN DE SEMANA]])</f>
        <v>121052-1NO</v>
      </c>
      <c r="E14" s="30" t="s">
        <v>147</v>
      </c>
      <c r="F14" s="30" t="s">
        <v>148</v>
      </c>
      <c r="G14" s="365">
        <v>12</v>
      </c>
      <c r="H14" s="30">
        <v>8</v>
      </c>
      <c r="I14" s="9" t="s">
        <v>149</v>
      </c>
      <c r="J14" s="9" t="s">
        <v>150</v>
      </c>
      <c r="K14" s="30">
        <v>1</v>
      </c>
      <c r="L14" s="9" t="s">
        <v>151</v>
      </c>
      <c r="M14" s="30" t="s">
        <v>84</v>
      </c>
      <c r="N14" s="30" t="s">
        <v>152</v>
      </c>
      <c r="O14" s="24">
        <v>0</v>
      </c>
      <c r="P14" s="24">
        <v>357</v>
      </c>
      <c r="Q14" s="24">
        <v>988</v>
      </c>
      <c r="R14" s="24">
        <v>0</v>
      </c>
      <c r="S14" s="24">
        <v>0</v>
      </c>
      <c r="T14" s="24">
        <v>1345</v>
      </c>
    </row>
    <row r="15" spans="1:20">
      <c r="A15" s="9" t="s">
        <v>145</v>
      </c>
      <c r="B15" s="30" t="s">
        <v>146</v>
      </c>
      <c r="C15" s="30" t="str">
        <f>CONCATENATE(VOL_VOLUMEN_SUMINISTROS[[#This Row],[Proyecto]],VOL_VOLUMEN_SUMINISTROS[[#This Row],[J]],VOL_VOLUMEN_SUMINISTROS[[#This Row],[FIN DE SEMANA]])</f>
        <v>1052-1NNO</v>
      </c>
      <c r="D15" s="365" t="str">
        <f>CONCATENATE(VOL_VOLUMEN_SUMINISTROS[[#This Row],[Grupo]],VOL_VOLUMEN_SUMINISTROS[[#This Row],[Proyecto]],VOL_VOLUMEN_SUMINISTROS[[#This Row],[FIN DE SEMANA]])</f>
        <v>121052-1NO</v>
      </c>
      <c r="E15" s="30" t="s">
        <v>147</v>
      </c>
      <c r="F15" s="30" t="s">
        <v>148</v>
      </c>
      <c r="G15" s="365">
        <v>12</v>
      </c>
      <c r="H15" s="30">
        <v>8</v>
      </c>
      <c r="I15" s="9" t="s">
        <v>149</v>
      </c>
      <c r="J15" s="9" t="s">
        <v>150</v>
      </c>
      <c r="K15" s="30">
        <v>1</v>
      </c>
      <c r="L15" s="9" t="s">
        <v>153</v>
      </c>
      <c r="M15" s="30" t="s">
        <v>84</v>
      </c>
      <c r="N15" s="30" t="s">
        <v>154</v>
      </c>
      <c r="O15" s="24">
        <v>0</v>
      </c>
      <c r="P15" s="24">
        <v>0</v>
      </c>
      <c r="Q15" s="24">
        <v>0</v>
      </c>
      <c r="R15" s="24">
        <v>100</v>
      </c>
      <c r="S15" s="24">
        <v>250</v>
      </c>
      <c r="T15" s="24">
        <v>350</v>
      </c>
    </row>
    <row r="16" spans="1:20">
      <c r="A16" s="9" t="s">
        <v>145</v>
      </c>
      <c r="B16" s="30" t="s">
        <v>146</v>
      </c>
      <c r="C16" s="30" t="str">
        <f>CONCATENATE(VOL_VOLUMEN_SUMINISTROS[[#This Row],[Proyecto]],VOL_VOLUMEN_SUMINISTROS[[#This Row],[J]],VOL_VOLUMEN_SUMINISTROS[[#This Row],[FIN DE SEMANA]])</f>
        <v>1052-1TNO</v>
      </c>
      <c r="D16" s="365" t="str">
        <f>CONCATENATE(VOL_VOLUMEN_SUMINISTROS[[#This Row],[Grupo]],VOL_VOLUMEN_SUMINISTROS[[#This Row],[Proyecto]],VOL_VOLUMEN_SUMINISTROS[[#This Row],[FIN DE SEMANA]])</f>
        <v>121052-1NO</v>
      </c>
      <c r="E16" s="30" t="s">
        <v>147</v>
      </c>
      <c r="F16" s="30" t="s">
        <v>148</v>
      </c>
      <c r="G16" s="365">
        <v>12</v>
      </c>
      <c r="H16" s="30">
        <v>8</v>
      </c>
      <c r="I16" s="9" t="s">
        <v>149</v>
      </c>
      <c r="J16" s="9" t="s">
        <v>150</v>
      </c>
      <c r="K16" s="30">
        <v>1</v>
      </c>
      <c r="L16" s="9" t="s">
        <v>153</v>
      </c>
      <c r="M16" s="30" t="s">
        <v>84</v>
      </c>
      <c r="N16" s="30" t="s">
        <v>155</v>
      </c>
      <c r="O16" s="24">
        <v>0</v>
      </c>
      <c r="P16" s="24">
        <v>90</v>
      </c>
      <c r="Q16" s="24">
        <v>600</v>
      </c>
      <c r="R16" s="24">
        <v>0</v>
      </c>
      <c r="S16" s="24">
        <v>0</v>
      </c>
      <c r="T16" s="24">
        <v>690</v>
      </c>
    </row>
    <row r="17" spans="1:20">
      <c r="A17" s="9" t="s">
        <v>145</v>
      </c>
      <c r="B17" s="30" t="s">
        <v>146</v>
      </c>
      <c r="C17" s="30" t="str">
        <f>CONCATENATE(VOL_VOLUMEN_SUMINISTROS[[#This Row],[Proyecto]],VOL_VOLUMEN_SUMINISTROS[[#This Row],[J]],VOL_VOLUMEN_SUMINISTROS[[#This Row],[FIN DE SEMANA]])</f>
        <v>1052-1MNO</v>
      </c>
      <c r="D17" s="365" t="str">
        <f>CONCATENATE(VOL_VOLUMEN_SUMINISTROS[[#This Row],[Grupo]],VOL_VOLUMEN_SUMINISTROS[[#This Row],[Proyecto]],VOL_VOLUMEN_SUMINISTROS[[#This Row],[FIN DE SEMANA]])</f>
        <v>121052-1NO</v>
      </c>
      <c r="E17" s="30" t="s">
        <v>147</v>
      </c>
      <c r="F17" s="30" t="s">
        <v>148</v>
      </c>
      <c r="G17" s="365">
        <v>12</v>
      </c>
      <c r="H17" s="30">
        <v>8</v>
      </c>
      <c r="I17" s="9" t="s">
        <v>149</v>
      </c>
      <c r="J17" s="9" t="s">
        <v>156</v>
      </c>
      <c r="K17" s="30">
        <v>1</v>
      </c>
      <c r="L17" s="9" t="s">
        <v>157</v>
      </c>
      <c r="M17" s="30" t="s">
        <v>84</v>
      </c>
      <c r="N17" s="30" t="s">
        <v>152</v>
      </c>
      <c r="O17" s="24">
        <v>228</v>
      </c>
      <c r="P17" s="24">
        <v>350</v>
      </c>
      <c r="Q17" s="24">
        <v>456</v>
      </c>
      <c r="R17" s="24">
        <v>0</v>
      </c>
      <c r="S17" s="24">
        <v>0</v>
      </c>
      <c r="T17" s="24">
        <v>1034</v>
      </c>
    </row>
    <row r="18" spans="1:20">
      <c r="A18" s="9" t="s">
        <v>145</v>
      </c>
      <c r="B18" s="30" t="s">
        <v>146</v>
      </c>
      <c r="C18" s="30" t="str">
        <f>CONCATENATE(VOL_VOLUMEN_SUMINISTROS[[#This Row],[Proyecto]],VOL_VOLUMEN_SUMINISTROS[[#This Row],[J]],VOL_VOLUMEN_SUMINISTROS[[#This Row],[FIN DE SEMANA]])</f>
        <v>1052-1TNO</v>
      </c>
      <c r="D18" s="365" t="str">
        <f>CONCATENATE(VOL_VOLUMEN_SUMINISTROS[[#This Row],[Grupo]],VOL_VOLUMEN_SUMINISTROS[[#This Row],[Proyecto]],VOL_VOLUMEN_SUMINISTROS[[#This Row],[FIN DE SEMANA]])</f>
        <v>121052-1NO</v>
      </c>
      <c r="E18" s="30" t="s">
        <v>147</v>
      </c>
      <c r="F18" s="30" t="s">
        <v>148</v>
      </c>
      <c r="G18" s="365">
        <v>12</v>
      </c>
      <c r="H18" s="30">
        <v>8</v>
      </c>
      <c r="I18" s="9" t="s">
        <v>149</v>
      </c>
      <c r="J18" s="9" t="s">
        <v>156</v>
      </c>
      <c r="K18" s="30">
        <v>1</v>
      </c>
      <c r="L18" s="9" t="s">
        <v>157</v>
      </c>
      <c r="M18" s="30" t="s">
        <v>84</v>
      </c>
      <c r="N18" s="30" t="s">
        <v>155</v>
      </c>
      <c r="O18" s="24">
        <v>208</v>
      </c>
      <c r="P18" s="24">
        <v>340</v>
      </c>
      <c r="Q18" s="24">
        <v>410</v>
      </c>
      <c r="R18" s="24">
        <v>0</v>
      </c>
      <c r="S18" s="24">
        <v>0</v>
      </c>
      <c r="T18" s="24">
        <v>958</v>
      </c>
    </row>
    <row r="19" spans="1:20">
      <c r="A19" s="9" t="s">
        <v>145</v>
      </c>
      <c r="B19" s="30" t="s">
        <v>146</v>
      </c>
      <c r="C19" s="30" t="str">
        <f>CONCATENATE(VOL_VOLUMEN_SUMINISTROS[[#This Row],[Proyecto]],VOL_VOLUMEN_SUMINISTROS[[#This Row],[J]],VOL_VOLUMEN_SUMINISTROS[[#This Row],[FIN DE SEMANA]])</f>
        <v>1052-1MNO</v>
      </c>
      <c r="D19" s="365" t="str">
        <f>CONCATENATE(VOL_VOLUMEN_SUMINISTROS[[#This Row],[Grupo]],VOL_VOLUMEN_SUMINISTROS[[#This Row],[Proyecto]],VOL_VOLUMEN_SUMINISTROS[[#This Row],[FIN DE SEMANA]])</f>
        <v>121052-1NO</v>
      </c>
      <c r="E19" s="30" t="s">
        <v>147</v>
      </c>
      <c r="F19" s="30" t="s">
        <v>148</v>
      </c>
      <c r="G19" s="365">
        <v>12</v>
      </c>
      <c r="H19" s="30">
        <v>8</v>
      </c>
      <c r="I19" s="9" t="s">
        <v>149</v>
      </c>
      <c r="J19" s="9" t="s">
        <v>156</v>
      </c>
      <c r="K19" s="30">
        <v>2</v>
      </c>
      <c r="L19" s="9" t="s">
        <v>158</v>
      </c>
      <c r="M19" s="30" t="s">
        <v>84</v>
      </c>
      <c r="N19" s="30" t="s">
        <v>152</v>
      </c>
      <c r="O19" s="24">
        <v>123</v>
      </c>
      <c r="P19" s="24">
        <v>165</v>
      </c>
      <c r="Q19" s="24">
        <v>39</v>
      </c>
      <c r="R19" s="24">
        <v>0</v>
      </c>
      <c r="S19" s="24">
        <v>0</v>
      </c>
      <c r="T19" s="24">
        <v>327</v>
      </c>
    </row>
    <row r="20" spans="1:20">
      <c r="A20" s="9" t="s">
        <v>145</v>
      </c>
      <c r="B20" s="30" t="s">
        <v>146</v>
      </c>
      <c r="C20" s="30" t="str">
        <f>CONCATENATE(VOL_VOLUMEN_SUMINISTROS[[#This Row],[Proyecto]],VOL_VOLUMEN_SUMINISTROS[[#This Row],[J]],VOL_VOLUMEN_SUMINISTROS[[#This Row],[FIN DE SEMANA]])</f>
        <v>1052-1TNO</v>
      </c>
      <c r="D20" s="365" t="str">
        <f>CONCATENATE(VOL_VOLUMEN_SUMINISTROS[[#This Row],[Grupo]],VOL_VOLUMEN_SUMINISTROS[[#This Row],[Proyecto]],VOL_VOLUMEN_SUMINISTROS[[#This Row],[FIN DE SEMANA]])</f>
        <v>121052-1NO</v>
      </c>
      <c r="E20" s="30" t="s">
        <v>147</v>
      </c>
      <c r="F20" s="30" t="s">
        <v>148</v>
      </c>
      <c r="G20" s="365">
        <v>12</v>
      </c>
      <c r="H20" s="30">
        <v>8</v>
      </c>
      <c r="I20" s="9" t="s">
        <v>149</v>
      </c>
      <c r="J20" s="9" t="s">
        <v>156</v>
      </c>
      <c r="K20" s="30">
        <v>2</v>
      </c>
      <c r="L20" s="9" t="s">
        <v>159</v>
      </c>
      <c r="M20" s="30" t="s">
        <v>84</v>
      </c>
      <c r="N20" s="30" t="s">
        <v>155</v>
      </c>
      <c r="O20" s="24">
        <v>127</v>
      </c>
      <c r="P20" s="24">
        <v>167</v>
      </c>
      <c r="Q20" s="24">
        <v>39</v>
      </c>
      <c r="R20" s="24">
        <v>0</v>
      </c>
      <c r="S20" s="24">
        <v>0</v>
      </c>
      <c r="T20" s="24">
        <v>333</v>
      </c>
    </row>
    <row r="21" spans="1:20">
      <c r="A21" s="9" t="s">
        <v>145</v>
      </c>
      <c r="B21" s="30" t="s">
        <v>146</v>
      </c>
      <c r="C21" s="30" t="str">
        <f>CONCATENATE(VOL_VOLUMEN_SUMINISTROS[[#This Row],[Proyecto]],VOL_VOLUMEN_SUMINISTROS[[#This Row],[J]],VOL_VOLUMEN_SUMINISTROS[[#This Row],[FIN DE SEMANA]])</f>
        <v>1052-1MNO</v>
      </c>
      <c r="D21" s="365" t="str">
        <f>CONCATENATE(VOL_VOLUMEN_SUMINISTROS[[#This Row],[Grupo]],VOL_VOLUMEN_SUMINISTROS[[#This Row],[Proyecto]],VOL_VOLUMEN_SUMINISTROS[[#This Row],[FIN DE SEMANA]])</f>
        <v>121052-1NO</v>
      </c>
      <c r="E21" s="30" t="s">
        <v>147</v>
      </c>
      <c r="F21" s="30" t="s">
        <v>148</v>
      </c>
      <c r="G21" s="365">
        <v>12</v>
      </c>
      <c r="H21" s="30">
        <v>8</v>
      </c>
      <c r="I21" s="9" t="s">
        <v>149</v>
      </c>
      <c r="J21" s="9" t="s">
        <v>160</v>
      </c>
      <c r="K21" s="30">
        <v>1</v>
      </c>
      <c r="L21" s="9" t="s">
        <v>161</v>
      </c>
      <c r="M21" s="30" t="s">
        <v>84</v>
      </c>
      <c r="N21" s="30" t="s">
        <v>152</v>
      </c>
      <c r="O21" s="24">
        <v>350</v>
      </c>
      <c r="P21" s="24">
        <v>566</v>
      </c>
      <c r="Q21" s="24">
        <v>527</v>
      </c>
      <c r="R21" s="24">
        <v>0</v>
      </c>
      <c r="S21" s="24">
        <v>0</v>
      </c>
      <c r="T21" s="24">
        <v>1443</v>
      </c>
    </row>
    <row r="22" spans="1:20">
      <c r="A22" s="9" t="s">
        <v>145</v>
      </c>
      <c r="B22" s="30" t="s">
        <v>146</v>
      </c>
      <c r="C22" s="30" t="str">
        <f>CONCATENATE(VOL_VOLUMEN_SUMINISTROS[[#This Row],[Proyecto]],VOL_VOLUMEN_SUMINISTROS[[#This Row],[J]],VOL_VOLUMEN_SUMINISTROS[[#This Row],[FIN DE SEMANA]])</f>
        <v>1052-1TNO</v>
      </c>
      <c r="D22" s="365" t="str">
        <f>CONCATENATE(VOL_VOLUMEN_SUMINISTROS[[#This Row],[Grupo]],VOL_VOLUMEN_SUMINISTROS[[#This Row],[Proyecto]],VOL_VOLUMEN_SUMINISTROS[[#This Row],[FIN DE SEMANA]])</f>
        <v>121052-1NO</v>
      </c>
      <c r="E22" s="30" t="s">
        <v>147</v>
      </c>
      <c r="F22" s="30" t="s">
        <v>148</v>
      </c>
      <c r="G22" s="365">
        <v>12</v>
      </c>
      <c r="H22" s="30">
        <v>8</v>
      </c>
      <c r="I22" s="9" t="s">
        <v>149</v>
      </c>
      <c r="J22" s="9" t="s">
        <v>160</v>
      </c>
      <c r="K22" s="30">
        <v>1</v>
      </c>
      <c r="L22" s="9" t="s">
        <v>161</v>
      </c>
      <c r="M22" s="30" t="s">
        <v>84</v>
      </c>
      <c r="N22" s="30" t="s">
        <v>155</v>
      </c>
      <c r="O22" s="24">
        <v>329</v>
      </c>
      <c r="P22" s="24">
        <v>512</v>
      </c>
      <c r="Q22" s="24">
        <v>415</v>
      </c>
      <c r="R22" s="24">
        <v>0</v>
      </c>
      <c r="S22" s="24">
        <v>0</v>
      </c>
      <c r="T22" s="24">
        <v>1256</v>
      </c>
    </row>
    <row r="23" spans="1:20">
      <c r="A23" s="9" t="s">
        <v>145</v>
      </c>
      <c r="B23" s="30" t="s">
        <v>146</v>
      </c>
      <c r="C23" s="30" t="str">
        <f>CONCATENATE(VOL_VOLUMEN_SUMINISTROS[[#This Row],[Proyecto]],VOL_VOLUMEN_SUMINISTROS[[#This Row],[J]],VOL_VOLUMEN_SUMINISTROS[[#This Row],[FIN DE SEMANA]])</f>
        <v>1052-1MNO</v>
      </c>
      <c r="D23" s="365" t="str">
        <f>CONCATENATE(VOL_VOLUMEN_SUMINISTROS[[#This Row],[Grupo]],VOL_VOLUMEN_SUMINISTROS[[#This Row],[Proyecto]],VOL_VOLUMEN_SUMINISTROS[[#This Row],[FIN DE SEMANA]])</f>
        <v>121052-1NO</v>
      </c>
      <c r="E23" s="30" t="s">
        <v>147</v>
      </c>
      <c r="F23" s="30" t="s">
        <v>148</v>
      </c>
      <c r="G23" s="365">
        <v>12</v>
      </c>
      <c r="H23" s="30">
        <v>8</v>
      </c>
      <c r="I23" s="9" t="s">
        <v>149</v>
      </c>
      <c r="J23" s="9" t="s">
        <v>160</v>
      </c>
      <c r="K23" s="30">
        <v>4</v>
      </c>
      <c r="L23" s="9" t="s">
        <v>162</v>
      </c>
      <c r="M23" s="30" t="s">
        <v>84</v>
      </c>
      <c r="N23" s="30" t="s">
        <v>152</v>
      </c>
      <c r="O23" s="24">
        <v>0</v>
      </c>
      <c r="P23" s="24">
        <v>198</v>
      </c>
      <c r="Q23" s="24">
        <v>66</v>
      </c>
      <c r="R23" s="24">
        <v>0</v>
      </c>
      <c r="S23" s="24">
        <v>0</v>
      </c>
      <c r="T23" s="24">
        <v>264</v>
      </c>
    </row>
    <row r="24" spans="1:20">
      <c r="A24" s="9" t="s">
        <v>145</v>
      </c>
      <c r="B24" s="30" t="s">
        <v>146</v>
      </c>
      <c r="C24" s="30" t="str">
        <f>CONCATENATE(VOL_VOLUMEN_SUMINISTROS[[#This Row],[Proyecto]],VOL_VOLUMEN_SUMINISTROS[[#This Row],[J]],VOL_VOLUMEN_SUMINISTROS[[#This Row],[FIN DE SEMANA]])</f>
        <v>1052-1MNO</v>
      </c>
      <c r="D24" s="365" t="str">
        <f>CONCATENATE(VOL_VOLUMEN_SUMINISTROS[[#This Row],[Grupo]],VOL_VOLUMEN_SUMINISTROS[[#This Row],[Proyecto]],VOL_VOLUMEN_SUMINISTROS[[#This Row],[FIN DE SEMANA]])</f>
        <v>121052-1NO</v>
      </c>
      <c r="E24" s="30" t="s">
        <v>147</v>
      </c>
      <c r="F24" s="30" t="s">
        <v>148</v>
      </c>
      <c r="G24" s="365">
        <v>12</v>
      </c>
      <c r="H24" s="30">
        <v>8</v>
      </c>
      <c r="I24" s="9" t="s">
        <v>149</v>
      </c>
      <c r="J24" s="9" t="s">
        <v>163</v>
      </c>
      <c r="K24" s="30">
        <v>1</v>
      </c>
      <c r="L24" s="9" t="s">
        <v>164</v>
      </c>
      <c r="M24" s="30" t="s">
        <v>84</v>
      </c>
      <c r="N24" s="30" t="s">
        <v>152</v>
      </c>
      <c r="O24" s="24">
        <v>189</v>
      </c>
      <c r="P24" s="24">
        <v>334</v>
      </c>
      <c r="Q24" s="24">
        <v>191</v>
      </c>
      <c r="R24" s="24">
        <v>0</v>
      </c>
      <c r="S24" s="24">
        <v>0</v>
      </c>
      <c r="T24" s="24">
        <v>714</v>
      </c>
    </row>
    <row r="25" spans="1:20">
      <c r="A25" s="9" t="s">
        <v>145</v>
      </c>
      <c r="B25" s="30" t="s">
        <v>146</v>
      </c>
      <c r="C25" s="30" t="str">
        <f>CONCATENATE(VOL_VOLUMEN_SUMINISTROS[[#This Row],[Proyecto]],VOL_VOLUMEN_SUMINISTROS[[#This Row],[J]],VOL_VOLUMEN_SUMINISTROS[[#This Row],[FIN DE SEMANA]])</f>
        <v>1052-1TNO</v>
      </c>
      <c r="D25" s="365" t="str">
        <f>CONCATENATE(VOL_VOLUMEN_SUMINISTROS[[#This Row],[Grupo]],VOL_VOLUMEN_SUMINISTROS[[#This Row],[Proyecto]],VOL_VOLUMEN_SUMINISTROS[[#This Row],[FIN DE SEMANA]])</f>
        <v>121052-1NO</v>
      </c>
      <c r="E25" s="30" t="s">
        <v>147</v>
      </c>
      <c r="F25" s="30" t="s">
        <v>148</v>
      </c>
      <c r="G25" s="365">
        <v>12</v>
      </c>
      <c r="H25" s="30">
        <v>8</v>
      </c>
      <c r="I25" s="9" t="s">
        <v>149</v>
      </c>
      <c r="J25" s="9" t="s">
        <v>163</v>
      </c>
      <c r="K25" s="30">
        <v>1</v>
      </c>
      <c r="L25" s="9" t="s">
        <v>164</v>
      </c>
      <c r="M25" s="30" t="s">
        <v>84</v>
      </c>
      <c r="N25" s="30" t="s">
        <v>155</v>
      </c>
      <c r="O25" s="24">
        <v>180</v>
      </c>
      <c r="P25" s="24">
        <v>299</v>
      </c>
      <c r="Q25" s="24">
        <v>152</v>
      </c>
      <c r="R25" s="24">
        <v>0</v>
      </c>
      <c r="S25" s="24">
        <v>0</v>
      </c>
      <c r="T25" s="24">
        <v>631</v>
      </c>
    </row>
    <row r="26" spans="1:20">
      <c r="A26" s="9" t="s">
        <v>145</v>
      </c>
      <c r="B26" s="30" t="s">
        <v>146</v>
      </c>
      <c r="C26" s="30" t="str">
        <f>CONCATENATE(VOL_VOLUMEN_SUMINISTROS[[#This Row],[Proyecto]],VOL_VOLUMEN_SUMINISTROS[[#This Row],[J]],VOL_VOLUMEN_SUMINISTROS[[#This Row],[FIN DE SEMANA]])</f>
        <v>1052-1MNO</v>
      </c>
      <c r="D26" s="365" t="str">
        <f>CONCATENATE(VOL_VOLUMEN_SUMINISTROS[[#This Row],[Grupo]],VOL_VOLUMEN_SUMINISTROS[[#This Row],[Proyecto]],VOL_VOLUMEN_SUMINISTROS[[#This Row],[FIN DE SEMANA]])</f>
        <v>121052-1NO</v>
      </c>
      <c r="E26" s="30" t="s">
        <v>147</v>
      </c>
      <c r="F26" s="30" t="s">
        <v>148</v>
      </c>
      <c r="G26" s="365">
        <v>12</v>
      </c>
      <c r="H26" s="30">
        <v>8</v>
      </c>
      <c r="I26" s="9" t="s">
        <v>149</v>
      </c>
      <c r="J26" s="9" t="s">
        <v>163</v>
      </c>
      <c r="K26" s="30">
        <v>2</v>
      </c>
      <c r="L26" s="9" t="s">
        <v>165</v>
      </c>
      <c r="M26" s="30" t="s">
        <v>84</v>
      </c>
      <c r="N26" s="30" t="s">
        <v>152</v>
      </c>
      <c r="O26" s="24">
        <v>92</v>
      </c>
      <c r="P26" s="24">
        <v>0</v>
      </c>
      <c r="Q26" s="24">
        <v>0</v>
      </c>
      <c r="R26" s="24">
        <v>0</v>
      </c>
      <c r="S26" s="24">
        <v>0</v>
      </c>
      <c r="T26" s="24">
        <v>92</v>
      </c>
    </row>
    <row r="27" spans="1:20">
      <c r="A27" s="9" t="s">
        <v>145</v>
      </c>
      <c r="B27" s="30" t="s">
        <v>146</v>
      </c>
      <c r="C27" s="30" t="str">
        <f>CONCATENATE(VOL_VOLUMEN_SUMINISTROS[[#This Row],[Proyecto]],VOL_VOLUMEN_SUMINISTROS[[#This Row],[J]],VOL_VOLUMEN_SUMINISTROS[[#This Row],[FIN DE SEMANA]])</f>
        <v>1052-1TNO</v>
      </c>
      <c r="D27" s="365" t="str">
        <f>CONCATENATE(VOL_VOLUMEN_SUMINISTROS[[#This Row],[Grupo]],VOL_VOLUMEN_SUMINISTROS[[#This Row],[Proyecto]],VOL_VOLUMEN_SUMINISTROS[[#This Row],[FIN DE SEMANA]])</f>
        <v>121052-1NO</v>
      </c>
      <c r="E27" s="30" t="s">
        <v>147</v>
      </c>
      <c r="F27" s="30" t="s">
        <v>148</v>
      </c>
      <c r="G27" s="365">
        <v>12</v>
      </c>
      <c r="H27" s="30">
        <v>8</v>
      </c>
      <c r="I27" s="9" t="s">
        <v>149</v>
      </c>
      <c r="J27" s="9" t="s">
        <v>163</v>
      </c>
      <c r="K27" s="30">
        <v>2</v>
      </c>
      <c r="L27" s="9" t="s">
        <v>165</v>
      </c>
      <c r="M27" s="30" t="s">
        <v>84</v>
      </c>
      <c r="N27" s="30" t="s">
        <v>155</v>
      </c>
      <c r="O27" s="24">
        <v>87</v>
      </c>
      <c r="P27" s="24">
        <v>0</v>
      </c>
      <c r="Q27" s="24">
        <v>0</v>
      </c>
      <c r="R27" s="24">
        <v>0</v>
      </c>
      <c r="S27" s="24">
        <v>0</v>
      </c>
      <c r="T27" s="24">
        <v>87</v>
      </c>
    </row>
    <row r="28" spans="1:20">
      <c r="A28" s="9" t="s">
        <v>145</v>
      </c>
      <c r="B28" s="30" t="s">
        <v>146</v>
      </c>
      <c r="C28" s="30" t="str">
        <f>CONCATENATE(VOL_VOLUMEN_SUMINISTROS[[#This Row],[Proyecto]],VOL_VOLUMEN_SUMINISTROS[[#This Row],[J]],VOL_VOLUMEN_SUMINISTROS[[#This Row],[FIN DE SEMANA]])</f>
        <v>1052-1MNO</v>
      </c>
      <c r="D28" s="365" t="str">
        <f>CONCATENATE(VOL_VOLUMEN_SUMINISTROS[[#This Row],[Grupo]],VOL_VOLUMEN_SUMINISTROS[[#This Row],[Proyecto]],VOL_VOLUMEN_SUMINISTROS[[#This Row],[FIN DE SEMANA]])</f>
        <v>121052-1NO</v>
      </c>
      <c r="E28" s="30" t="s">
        <v>147</v>
      </c>
      <c r="F28" s="30" t="s">
        <v>148</v>
      </c>
      <c r="G28" s="365">
        <v>12</v>
      </c>
      <c r="H28" s="30">
        <v>8</v>
      </c>
      <c r="I28" s="9" t="s">
        <v>149</v>
      </c>
      <c r="J28" s="9" t="s">
        <v>166</v>
      </c>
      <c r="K28" s="30">
        <v>1</v>
      </c>
      <c r="L28" s="9" t="s">
        <v>167</v>
      </c>
      <c r="M28" s="30" t="s">
        <v>84</v>
      </c>
      <c r="N28" s="30" t="s">
        <v>152</v>
      </c>
      <c r="O28" s="24">
        <v>223</v>
      </c>
      <c r="P28" s="24">
        <v>211</v>
      </c>
      <c r="Q28" s="24">
        <v>44</v>
      </c>
      <c r="R28" s="24">
        <v>0</v>
      </c>
      <c r="S28" s="24">
        <v>0</v>
      </c>
      <c r="T28" s="24">
        <v>478</v>
      </c>
    </row>
    <row r="29" spans="1:20">
      <c r="A29" s="9" t="s">
        <v>145</v>
      </c>
      <c r="B29" s="30" t="s">
        <v>146</v>
      </c>
      <c r="C29" s="30" t="str">
        <f>CONCATENATE(VOL_VOLUMEN_SUMINISTROS[[#This Row],[Proyecto]],VOL_VOLUMEN_SUMINISTROS[[#This Row],[J]],VOL_VOLUMEN_SUMINISTROS[[#This Row],[FIN DE SEMANA]])</f>
        <v>1052-1TNO</v>
      </c>
      <c r="D29" s="365" t="str">
        <f>CONCATENATE(VOL_VOLUMEN_SUMINISTROS[[#This Row],[Grupo]],VOL_VOLUMEN_SUMINISTROS[[#This Row],[Proyecto]],VOL_VOLUMEN_SUMINISTROS[[#This Row],[FIN DE SEMANA]])</f>
        <v>121052-1NO</v>
      </c>
      <c r="E29" s="30" t="s">
        <v>147</v>
      </c>
      <c r="F29" s="30" t="s">
        <v>148</v>
      </c>
      <c r="G29" s="365">
        <v>12</v>
      </c>
      <c r="H29" s="30">
        <v>8</v>
      </c>
      <c r="I29" s="9" t="s">
        <v>149</v>
      </c>
      <c r="J29" s="9" t="s">
        <v>166</v>
      </c>
      <c r="K29" s="30">
        <v>1</v>
      </c>
      <c r="L29" s="9" t="s">
        <v>167</v>
      </c>
      <c r="M29" s="30" t="s">
        <v>84</v>
      </c>
      <c r="N29" s="30" t="s">
        <v>155</v>
      </c>
      <c r="O29" s="24">
        <v>0</v>
      </c>
      <c r="P29" s="24">
        <v>162</v>
      </c>
      <c r="Q29" s="24">
        <v>200</v>
      </c>
      <c r="R29" s="24">
        <v>0</v>
      </c>
      <c r="S29" s="24">
        <v>0</v>
      </c>
      <c r="T29" s="24">
        <v>362</v>
      </c>
    </row>
    <row r="30" spans="1:20">
      <c r="A30" s="9" t="s">
        <v>145</v>
      </c>
      <c r="B30" s="30" t="s">
        <v>146</v>
      </c>
      <c r="C30" s="30" t="str">
        <f>CONCATENATE(VOL_VOLUMEN_SUMINISTROS[[#This Row],[Proyecto]],VOL_VOLUMEN_SUMINISTROS[[#This Row],[J]],VOL_VOLUMEN_SUMINISTROS[[#This Row],[FIN DE SEMANA]])</f>
        <v>1052-1MNO</v>
      </c>
      <c r="D30" s="365" t="str">
        <f>CONCATENATE(VOL_VOLUMEN_SUMINISTROS[[#This Row],[Grupo]],VOL_VOLUMEN_SUMINISTROS[[#This Row],[Proyecto]],VOL_VOLUMEN_SUMINISTROS[[#This Row],[FIN DE SEMANA]])</f>
        <v>121052-1NO</v>
      </c>
      <c r="E30" s="30" t="s">
        <v>147</v>
      </c>
      <c r="F30" s="30" t="s">
        <v>148</v>
      </c>
      <c r="G30" s="365">
        <v>12</v>
      </c>
      <c r="H30" s="30">
        <v>8</v>
      </c>
      <c r="I30" s="9" t="s">
        <v>149</v>
      </c>
      <c r="J30" s="9" t="s">
        <v>168</v>
      </c>
      <c r="K30" s="30">
        <v>1</v>
      </c>
      <c r="L30" s="9" t="s">
        <v>169</v>
      </c>
      <c r="M30" s="30" t="s">
        <v>84</v>
      </c>
      <c r="N30" s="30" t="s">
        <v>152</v>
      </c>
      <c r="O30" s="24">
        <v>377</v>
      </c>
      <c r="P30" s="24">
        <v>326</v>
      </c>
      <c r="Q30" s="24">
        <v>60</v>
      </c>
      <c r="R30" s="24">
        <v>0</v>
      </c>
      <c r="S30" s="24">
        <v>0</v>
      </c>
      <c r="T30" s="24">
        <v>763</v>
      </c>
    </row>
    <row r="31" spans="1:20">
      <c r="A31" s="9" t="s">
        <v>145</v>
      </c>
      <c r="B31" s="30" t="s">
        <v>146</v>
      </c>
      <c r="C31" s="30" t="str">
        <f>CONCATENATE(VOL_VOLUMEN_SUMINISTROS[[#This Row],[Proyecto]],VOL_VOLUMEN_SUMINISTROS[[#This Row],[J]],VOL_VOLUMEN_SUMINISTROS[[#This Row],[FIN DE SEMANA]])</f>
        <v>1052-1TNO</v>
      </c>
      <c r="D31" s="365" t="str">
        <f>CONCATENATE(VOL_VOLUMEN_SUMINISTROS[[#This Row],[Grupo]],VOL_VOLUMEN_SUMINISTROS[[#This Row],[Proyecto]],VOL_VOLUMEN_SUMINISTROS[[#This Row],[FIN DE SEMANA]])</f>
        <v>121052-1NO</v>
      </c>
      <c r="E31" s="30" t="s">
        <v>147</v>
      </c>
      <c r="F31" s="30" t="s">
        <v>148</v>
      </c>
      <c r="G31" s="365">
        <v>12</v>
      </c>
      <c r="H31" s="30">
        <v>8</v>
      </c>
      <c r="I31" s="9" t="s">
        <v>149</v>
      </c>
      <c r="J31" s="9" t="s">
        <v>168</v>
      </c>
      <c r="K31" s="30">
        <v>1</v>
      </c>
      <c r="L31" s="9" t="s">
        <v>169</v>
      </c>
      <c r="M31" s="30" t="s">
        <v>84</v>
      </c>
      <c r="N31" s="30" t="s">
        <v>155</v>
      </c>
      <c r="O31" s="24">
        <v>85</v>
      </c>
      <c r="P31" s="24">
        <v>210</v>
      </c>
      <c r="Q31" s="24">
        <v>521</v>
      </c>
      <c r="R31" s="24">
        <v>0</v>
      </c>
      <c r="S31" s="24">
        <v>0</v>
      </c>
      <c r="T31" s="24">
        <v>816</v>
      </c>
    </row>
    <row r="32" spans="1:20">
      <c r="A32" s="9" t="s">
        <v>145</v>
      </c>
      <c r="B32" s="30" t="s">
        <v>146</v>
      </c>
      <c r="C32" s="30" t="str">
        <f>CONCATENATE(VOL_VOLUMEN_SUMINISTROS[[#This Row],[Proyecto]],VOL_VOLUMEN_SUMINISTROS[[#This Row],[J]],VOL_VOLUMEN_SUMINISTROS[[#This Row],[FIN DE SEMANA]])</f>
        <v>1052-1MNO</v>
      </c>
      <c r="D32" s="365" t="str">
        <f>CONCATENATE(VOL_VOLUMEN_SUMINISTROS[[#This Row],[Grupo]],VOL_VOLUMEN_SUMINISTROS[[#This Row],[Proyecto]],VOL_VOLUMEN_SUMINISTROS[[#This Row],[FIN DE SEMANA]])</f>
        <v>121052-1NO</v>
      </c>
      <c r="E32" s="30" t="s">
        <v>147</v>
      </c>
      <c r="F32" s="30" t="s">
        <v>148</v>
      </c>
      <c r="G32" s="365">
        <v>12</v>
      </c>
      <c r="H32" s="30">
        <v>8</v>
      </c>
      <c r="I32" s="9" t="s">
        <v>149</v>
      </c>
      <c r="J32" s="9" t="s">
        <v>170</v>
      </c>
      <c r="K32" s="30">
        <v>1</v>
      </c>
      <c r="L32" s="9" t="s">
        <v>171</v>
      </c>
      <c r="M32" s="30" t="s">
        <v>84</v>
      </c>
      <c r="N32" s="30" t="s">
        <v>152</v>
      </c>
      <c r="O32" s="24">
        <v>344</v>
      </c>
      <c r="P32" s="24">
        <v>574</v>
      </c>
      <c r="Q32" s="24">
        <v>260</v>
      </c>
      <c r="R32" s="24">
        <v>0</v>
      </c>
      <c r="S32" s="24">
        <v>0</v>
      </c>
      <c r="T32" s="24">
        <v>1178</v>
      </c>
    </row>
    <row r="33" spans="1:20">
      <c r="A33" s="9" t="s">
        <v>145</v>
      </c>
      <c r="B33" s="30" t="s">
        <v>146</v>
      </c>
      <c r="C33" s="30" t="str">
        <f>CONCATENATE(VOL_VOLUMEN_SUMINISTROS[[#This Row],[Proyecto]],VOL_VOLUMEN_SUMINISTROS[[#This Row],[J]],VOL_VOLUMEN_SUMINISTROS[[#This Row],[FIN DE SEMANA]])</f>
        <v>1052-1TNO</v>
      </c>
      <c r="D33" s="365" t="str">
        <f>CONCATENATE(VOL_VOLUMEN_SUMINISTROS[[#This Row],[Grupo]],VOL_VOLUMEN_SUMINISTROS[[#This Row],[Proyecto]],VOL_VOLUMEN_SUMINISTROS[[#This Row],[FIN DE SEMANA]])</f>
        <v>121052-1NO</v>
      </c>
      <c r="E33" s="30" t="s">
        <v>147</v>
      </c>
      <c r="F33" s="30" t="s">
        <v>148</v>
      </c>
      <c r="G33" s="365">
        <v>12</v>
      </c>
      <c r="H33" s="30">
        <v>8</v>
      </c>
      <c r="I33" s="9" t="s">
        <v>149</v>
      </c>
      <c r="J33" s="9" t="s">
        <v>170</v>
      </c>
      <c r="K33" s="30">
        <v>1</v>
      </c>
      <c r="L33" s="9" t="s">
        <v>171</v>
      </c>
      <c r="M33" s="30" t="s">
        <v>84</v>
      </c>
      <c r="N33" s="30" t="s">
        <v>155</v>
      </c>
      <c r="O33" s="24">
        <v>65</v>
      </c>
      <c r="P33" s="24">
        <v>177</v>
      </c>
      <c r="Q33" s="24">
        <v>288</v>
      </c>
      <c r="R33" s="24">
        <v>0</v>
      </c>
      <c r="S33" s="24">
        <v>0</v>
      </c>
      <c r="T33" s="24">
        <v>530</v>
      </c>
    </row>
    <row r="34" spans="1:20">
      <c r="A34" s="9" t="s">
        <v>145</v>
      </c>
      <c r="B34" s="30" t="s">
        <v>146</v>
      </c>
      <c r="C34" s="30" t="str">
        <f>CONCATENATE(VOL_VOLUMEN_SUMINISTROS[[#This Row],[Proyecto]],VOL_VOLUMEN_SUMINISTROS[[#This Row],[J]],VOL_VOLUMEN_SUMINISTROS[[#This Row],[FIN DE SEMANA]])</f>
        <v>1052-1MNO</v>
      </c>
      <c r="D34" s="365" t="str">
        <f>CONCATENATE(VOL_VOLUMEN_SUMINISTROS[[#This Row],[Grupo]],VOL_VOLUMEN_SUMINISTROS[[#This Row],[Proyecto]],VOL_VOLUMEN_SUMINISTROS[[#This Row],[FIN DE SEMANA]])</f>
        <v>121052-1NO</v>
      </c>
      <c r="E34" s="30" t="s">
        <v>147</v>
      </c>
      <c r="F34" s="30" t="s">
        <v>148</v>
      </c>
      <c r="G34" s="365">
        <v>12</v>
      </c>
      <c r="H34" s="30">
        <v>8</v>
      </c>
      <c r="I34" s="9" t="s">
        <v>149</v>
      </c>
      <c r="J34" s="9" t="s">
        <v>172</v>
      </c>
      <c r="K34" s="30">
        <v>1</v>
      </c>
      <c r="L34" s="9" t="s">
        <v>173</v>
      </c>
      <c r="M34" s="30" t="s">
        <v>84</v>
      </c>
      <c r="N34" s="30" t="s">
        <v>152</v>
      </c>
      <c r="O34" s="24">
        <v>374</v>
      </c>
      <c r="P34" s="24">
        <v>598</v>
      </c>
      <c r="Q34" s="24">
        <v>785</v>
      </c>
      <c r="R34" s="24">
        <v>0</v>
      </c>
      <c r="S34" s="24">
        <v>0</v>
      </c>
      <c r="T34" s="24">
        <v>1757</v>
      </c>
    </row>
    <row r="35" spans="1:20">
      <c r="A35" s="9" t="s">
        <v>145</v>
      </c>
      <c r="B35" s="30" t="s">
        <v>146</v>
      </c>
      <c r="C35" s="30" t="str">
        <f>CONCATENATE(VOL_VOLUMEN_SUMINISTROS[[#This Row],[Proyecto]],VOL_VOLUMEN_SUMINISTROS[[#This Row],[J]],VOL_VOLUMEN_SUMINISTROS[[#This Row],[FIN DE SEMANA]])</f>
        <v>1052-1TNO</v>
      </c>
      <c r="D35" s="365" t="str">
        <f>CONCATENATE(VOL_VOLUMEN_SUMINISTROS[[#This Row],[Grupo]],VOL_VOLUMEN_SUMINISTROS[[#This Row],[Proyecto]],VOL_VOLUMEN_SUMINISTROS[[#This Row],[FIN DE SEMANA]])</f>
        <v>121052-1NO</v>
      </c>
      <c r="E35" s="30" t="s">
        <v>147</v>
      </c>
      <c r="F35" s="30" t="s">
        <v>148</v>
      </c>
      <c r="G35" s="365">
        <v>12</v>
      </c>
      <c r="H35" s="30">
        <v>8</v>
      </c>
      <c r="I35" s="9" t="s">
        <v>149</v>
      </c>
      <c r="J35" s="9" t="s">
        <v>172</v>
      </c>
      <c r="K35" s="30">
        <v>1</v>
      </c>
      <c r="L35" s="9" t="s">
        <v>173</v>
      </c>
      <c r="M35" s="30" t="s">
        <v>84</v>
      </c>
      <c r="N35" s="30" t="s">
        <v>155</v>
      </c>
      <c r="O35" s="24">
        <v>374</v>
      </c>
      <c r="P35" s="24">
        <v>581</v>
      </c>
      <c r="Q35" s="24">
        <v>744</v>
      </c>
      <c r="R35" s="24">
        <v>0</v>
      </c>
      <c r="S35" s="24">
        <v>0</v>
      </c>
      <c r="T35" s="24">
        <v>1699</v>
      </c>
    </row>
    <row r="36" spans="1:20">
      <c r="A36" s="9" t="s">
        <v>145</v>
      </c>
      <c r="B36" s="30" t="s">
        <v>146</v>
      </c>
      <c r="C36" s="30" t="str">
        <f>CONCATENATE(VOL_VOLUMEN_SUMINISTROS[[#This Row],[Proyecto]],VOL_VOLUMEN_SUMINISTROS[[#This Row],[J]],VOL_VOLUMEN_SUMINISTROS[[#This Row],[FIN DE SEMANA]])</f>
        <v>1052-1MNO</v>
      </c>
      <c r="D36" s="365" t="str">
        <f>CONCATENATE(VOL_VOLUMEN_SUMINISTROS[[#This Row],[Grupo]],VOL_VOLUMEN_SUMINISTROS[[#This Row],[Proyecto]],VOL_VOLUMEN_SUMINISTROS[[#This Row],[FIN DE SEMANA]])</f>
        <v>121052-1NO</v>
      </c>
      <c r="E36" s="30" t="s">
        <v>147</v>
      </c>
      <c r="F36" s="30" t="s">
        <v>148</v>
      </c>
      <c r="G36" s="365">
        <v>12</v>
      </c>
      <c r="H36" s="30">
        <v>8</v>
      </c>
      <c r="I36" s="9" t="s">
        <v>149</v>
      </c>
      <c r="J36" s="9" t="s">
        <v>174</v>
      </c>
      <c r="K36" s="30">
        <v>1</v>
      </c>
      <c r="L36" s="9" t="s">
        <v>175</v>
      </c>
      <c r="M36" s="30" t="s">
        <v>84</v>
      </c>
      <c r="N36" s="30" t="s">
        <v>152</v>
      </c>
      <c r="O36" s="24">
        <v>306</v>
      </c>
      <c r="P36" s="24">
        <v>448</v>
      </c>
      <c r="Q36" s="24">
        <v>607</v>
      </c>
      <c r="R36" s="24">
        <v>0</v>
      </c>
      <c r="S36" s="24">
        <v>0</v>
      </c>
      <c r="T36" s="24">
        <v>1361</v>
      </c>
    </row>
    <row r="37" spans="1:20">
      <c r="A37" s="9" t="s">
        <v>145</v>
      </c>
      <c r="B37" s="30" t="s">
        <v>146</v>
      </c>
      <c r="C37" s="30" t="str">
        <f>CONCATENATE(VOL_VOLUMEN_SUMINISTROS[[#This Row],[Proyecto]],VOL_VOLUMEN_SUMINISTROS[[#This Row],[J]],VOL_VOLUMEN_SUMINISTROS[[#This Row],[FIN DE SEMANA]])</f>
        <v>1052-1TNO</v>
      </c>
      <c r="D37" s="365" t="str">
        <f>CONCATENATE(VOL_VOLUMEN_SUMINISTROS[[#This Row],[Grupo]],VOL_VOLUMEN_SUMINISTROS[[#This Row],[Proyecto]],VOL_VOLUMEN_SUMINISTROS[[#This Row],[FIN DE SEMANA]])</f>
        <v>121052-1NO</v>
      </c>
      <c r="E37" s="30" t="s">
        <v>147</v>
      </c>
      <c r="F37" s="30" t="s">
        <v>148</v>
      </c>
      <c r="G37" s="365">
        <v>12</v>
      </c>
      <c r="H37" s="30">
        <v>8</v>
      </c>
      <c r="I37" s="9" t="s">
        <v>149</v>
      </c>
      <c r="J37" s="9" t="s">
        <v>174</v>
      </c>
      <c r="K37" s="30">
        <v>1</v>
      </c>
      <c r="L37" s="9" t="s">
        <v>175</v>
      </c>
      <c r="M37" s="30" t="s">
        <v>84</v>
      </c>
      <c r="N37" s="30" t="s">
        <v>155</v>
      </c>
      <c r="O37" s="24">
        <v>303</v>
      </c>
      <c r="P37" s="24">
        <v>476</v>
      </c>
      <c r="Q37" s="24">
        <v>551</v>
      </c>
      <c r="R37" s="24">
        <v>0</v>
      </c>
      <c r="S37" s="24">
        <v>0</v>
      </c>
      <c r="T37" s="24">
        <v>1330</v>
      </c>
    </row>
    <row r="38" spans="1:20">
      <c r="A38" s="9" t="s">
        <v>145</v>
      </c>
      <c r="B38" s="30" t="s">
        <v>146</v>
      </c>
      <c r="C38" s="30" t="str">
        <f>CONCATENATE(VOL_VOLUMEN_SUMINISTROS[[#This Row],[Proyecto]],VOL_VOLUMEN_SUMINISTROS[[#This Row],[J]],VOL_VOLUMEN_SUMINISTROS[[#This Row],[FIN DE SEMANA]])</f>
        <v>1052-1MNO</v>
      </c>
      <c r="D38" s="365" t="str">
        <f>CONCATENATE(VOL_VOLUMEN_SUMINISTROS[[#This Row],[Grupo]],VOL_VOLUMEN_SUMINISTROS[[#This Row],[Proyecto]],VOL_VOLUMEN_SUMINISTROS[[#This Row],[FIN DE SEMANA]])</f>
        <v>121052-1NO</v>
      </c>
      <c r="E38" s="30" t="s">
        <v>147</v>
      </c>
      <c r="F38" s="30" t="s">
        <v>148</v>
      </c>
      <c r="G38" s="365">
        <v>12</v>
      </c>
      <c r="H38" s="30">
        <v>8</v>
      </c>
      <c r="I38" s="9" t="s">
        <v>149</v>
      </c>
      <c r="J38" s="9" t="s">
        <v>176</v>
      </c>
      <c r="K38" s="30">
        <v>2</v>
      </c>
      <c r="L38" s="9" t="s">
        <v>177</v>
      </c>
      <c r="M38" s="30" t="s">
        <v>84</v>
      </c>
      <c r="N38" s="30" t="s">
        <v>152</v>
      </c>
      <c r="O38" s="24">
        <v>84</v>
      </c>
      <c r="P38" s="24">
        <v>55</v>
      </c>
      <c r="Q38" s="24">
        <v>8</v>
      </c>
      <c r="R38" s="24">
        <v>0</v>
      </c>
      <c r="S38" s="24">
        <v>0</v>
      </c>
      <c r="T38" s="24">
        <v>147</v>
      </c>
    </row>
    <row r="39" spans="1:20">
      <c r="A39" s="9" t="s">
        <v>145</v>
      </c>
      <c r="B39" s="30" t="s">
        <v>146</v>
      </c>
      <c r="C39" s="30" t="str">
        <f>CONCATENATE(VOL_VOLUMEN_SUMINISTROS[[#This Row],[Proyecto]],VOL_VOLUMEN_SUMINISTROS[[#This Row],[J]],VOL_VOLUMEN_SUMINISTROS[[#This Row],[FIN DE SEMANA]])</f>
        <v>1052-1TNO</v>
      </c>
      <c r="D39" s="365" t="str">
        <f>CONCATENATE(VOL_VOLUMEN_SUMINISTROS[[#This Row],[Grupo]],VOL_VOLUMEN_SUMINISTROS[[#This Row],[Proyecto]],VOL_VOLUMEN_SUMINISTROS[[#This Row],[FIN DE SEMANA]])</f>
        <v>121052-1NO</v>
      </c>
      <c r="E39" s="30" t="s">
        <v>147</v>
      </c>
      <c r="F39" s="30" t="s">
        <v>148</v>
      </c>
      <c r="G39" s="365">
        <v>12</v>
      </c>
      <c r="H39" s="30">
        <v>8</v>
      </c>
      <c r="I39" s="9" t="s">
        <v>149</v>
      </c>
      <c r="J39" s="9" t="s">
        <v>176</v>
      </c>
      <c r="K39" s="30">
        <v>2</v>
      </c>
      <c r="L39" s="9" t="s">
        <v>177</v>
      </c>
      <c r="M39" s="30" t="s">
        <v>84</v>
      </c>
      <c r="N39" s="30" t="s">
        <v>155</v>
      </c>
      <c r="O39" s="24">
        <v>88</v>
      </c>
      <c r="P39" s="24">
        <v>54</v>
      </c>
      <c r="Q39" s="24">
        <v>7</v>
      </c>
      <c r="R39" s="24">
        <v>0</v>
      </c>
      <c r="S39" s="24">
        <v>0</v>
      </c>
      <c r="T39" s="24">
        <v>149</v>
      </c>
    </row>
    <row r="40" spans="1:20">
      <c r="A40" s="9" t="s">
        <v>145</v>
      </c>
      <c r="B40" s="30" t="s">
        <v>146</v>
      </c>
      <c r="C40" s="30" t="str">
        <f>CONCATENATE(VOL_VOLUMEN_SUMINISTROS[[#This Row],[Proyecto]],VOL_VOLUMEN_SUMINISTROS[[#This Row],[J]],VOL_VOLUMEN_SUMINISTROS[[#This Row],[FIN DE SEMANA]])</f>
        <v>1052-1MNO</v>
      </c>
      <c r="D40" s="365" t="str">
        <f>CONCATENATE(VOL_VOLUMEN_SUMINISTROS[[#This Row],[Grupo]],VOL_VOLUMEN_SUMINISTROS[[#This Row],[Proyecto]],VOL_VOLUMEN_SUMINISTROS[[#This Row],[FIN DE SEMANA]])</f>
        <v>121052-1NO</v>
      </c>
      <c r="E40" s="30" t="s">
        <v>147</v>
      </c>
      <c r="F40" s="30" t="s">
        <v>148</v>
      </c>
      <c r="G40" s="365">
        <v>12</v>
      </c>
      <c r="H40" s="30">
        <v>8</v>
      </c>
      <c r="I40" s="9" t="s">
        <v>149</v>
      </c>
      <c r="J40" s="9" t="s">
        <v>178</v>
      </c>
      <c r="K40" s="30">
        <v>2</v>
      </c>
      <c r="L40" s="9" t="s">
        <v>179</v>
      </c>
      <c r="M40" s="30" t="s">
        <v>84</v>
      </c>
      <c r="N40" s="30" t="s">
        <v>152</v>
      </c>
      <c r="O40" s="24">
        <v>90</v>
      </c>
      <c r="P40" s="24">
        <v>0</v>
      </c>
      <c r="Q40" s="24">
        <v>0</v>
      </c>
      <c r="R40" s="24">
        <v>0</v>
      </c>
      <c r="S40" s="24">
        <v>0</v>
      </c>
      <c r="T40" s="24">
        <v>90</v>
      </c>
    </row>
    <row r="41" spans="1:20">
      <c r="A41" s="9" t="s">
        <v>145</v>
      </c>
      <c r="B41" s="30" t="s">
        <v>146</v>
      </c>
      <c r="C41" s="30" t="str">
        <f>CONCATENATE(VOL_VOLUMEN_SUMINISTROS[[#This Row],[Proyecto]],VOL_VOLUMEN_SUMINISTROS[[#This Row],[J]],VOL_VOLUMEN_SUMINISTROS[[#This Row],[FIN DE SEMANA]])</f>
        <v>1052-1MNO</v>
      </c>
      <c r="D41" s="365" t="str">
        <f>CONCATENATE(VOL_VOLUMEN_SUMINISTROS[[#This Row],[Grupo]],VOL_VOLUMEN_SUMINISTROS[[#This Row],[Proyecto]],VOL_VOLUMEN_SUMINISTROS[[#This Row],[FIN DE SEMANA]])</f>
        <v>121052-1NO</v>
      </c>
      <c r="E41" s="30" t="s">
        <v>147</v>
      </c>
      <c r="F41" s="30" t="s">
        <v>148</v>
      </c>
      <c r="G41" s="365">
        <v>12</v>
      </c>
      <c r="H41" s="30">
        <v>8</v>
      </c>
      <c r="I41" s="9" t="s">
        <v>149</v>
      </c>
      <c r="J41" s="9" t="s">
        <v>180</v>
      </c>
      <c r="K41" s="30">
        <v>1</v>
      </c>
      <c r="L41" s="9" t="s">
        <v>181</v>
      </c>
      <c r="M41" s="30" t="s">
        <v>84</v>
      </c>
      <c r="N41" s="30" t="s">
        <v>152</v>
      </c>
      <c r="O41" s="24">
        <v>314</v>
      </c>
      <c r="P41" s="24">
        <v>304</v>
      </c>
      <c r="Q41" s="24">
        <v>407</v>
      </c>
      <c r="R41" s="24">
        <v>0</v>
      </c>
      <c r="S41" s="24">
        <v>0</v>
      </c>
      <c r="T41" s="24">
        <v>1025</v>
      </c>
    </row>
    <row r="42" spans="1:20">
      <c r="A42" s="9" t="s">
        <v>145</v>
      </c>
      <c r="B42" s="30" t="s">
        <v>146</v>
      </c>
      <c r="C42" s="30" t="str">
        <f>CONCATENATE(VOL_VOLUMEN_SUMINISTROS[[#This Row],[Proyecto]],VOL_VOLUMEN_SUMINISTROS[[#This Row],[J]],VOL_VOLUMEN_SUMINISTROS[[#This Row],[FIN DE SEMANA]])</f>
        <v>1052-1TNO</v>
      </c>
      <c r="D42" s="365" t="str">
        <f>CONCATENATE(VOL_VOLUMEN_SUMINISTROS[[#This Row],[Grupo]],VOL_VOLUMEN_SUMINISTROS[[#This Row],[Proyecto]],VOL_VOLUMEN_SUMINISTROS[[#This Row],[FIN DE SEMANA]])</f>
        <v>121052-1NO</v>
      </c>
      <c r="E42" s="30" t="s">
        <v>147</v>
      </c>
      <c r="F42" s="30" t="s">
        <v>148</v>
      </c>
      <c r="G42" s="365">
        <v>12</v>
      </c>
      <c r="H42" s="30">
        <v>8</v>
      </c>
      <c r="I42" s="9" t="s">
        <v>149</v>
      </c>
      <c r="J42" s="9" t="s">
        <v>180</v>
      </c>
      <c r="K42" s="30">
        <v>1</v>
      </c>
      <c r="L42" s="9" t="s">
        <v>181</v>
      </c>
      <c r="M42" s="30" t="s">
        <v>84</v>
      </c>
      <c r="N42" s="30" t="s">
        <v>155</v>
      </c>
      <c r="O42" s="24">
        <v>323</v>
      </c>
      <c r="P42" s="24">
        <v>330</v>
      </c>
      <c r="Q42" s="24">
        <v>352</v>
      </c>
      <c r="R42" s="24">
        <v>0</v>
      </c>
      <c r="S42" s="24">
        <v>0</v>
      </c>
      <c r="T42" s="24">
        <v>1005</v>
      </c>
    </row>
    <row r="43" spans="1:20">
      <c r="A43" s="9" t="s">
        <v>145</v>
      </c>
      <c r="B43" s="30" t="s">
        <v>182</v>
      </c>
      <c r="C43" s="30" t="str">
        <f>CONCATENATE(VOL_VOLUMEN_SUMINISTROS[[#This Row],[Proyecto]],VOL_VOLUMEN_SUMINISTROS[[#This Row],[J]],VOL_VOLUMEN_SUMINISTROS[[#This Row],[FIN DE SEMANA]])</f>
        <v>1052-2MNO</v>
      </c>
      <c r="D43" s="365" t="str">
        <f>CONCATENATE(VOL_VOLUMEN_SUMINISTROS[[#This Row],[Grupo]],VOL_VOLUMEN_SUMINISTROS[[#This Row],[Proyecto]],VOL_VOLUMEN_SUMINISTROS[[#This Row],[FIN DE SEMANA]])</f>
        <v>121052-2NO</v>
      </c>
      <c r="E43" s="30" t="s">
        <v>183</v>
      </c>
      <c r="F43" s="30" t="s">
        <v>148</v>
      </c>
      <c r="G43" s="365">
        <v>12</v>
      </c>
      <c r="H43" s="30">
        <v>8</v>
      </c>
      <c r="I43" s="9" t="s">
        <v>149</v>
      </c>
      <c r="J43" s="9" t="s">
        <v>156</v>
      </c>
      <c r="K43" s="30">
        <v>1</v>
      </c>
      <c r="L43" s="9" t="s">
        <v>157</v>
      </c>
      <c r="M43" s="30" t="s">
        <v>84</v>
      </c>
      <c r="N43" s="30" t="s">
        <v>152</v>
      </c>
      <c r="O43" s="24">
        <v>0</v>
      </c>
      <c r="P43" s="24">
        <v>0</v>
      </c>
      <c r="Q43" s="24">
        <v>135</v>
      </c>
      <c r="R43" s="24">
        <v>0</v>
      </c>
      <c r="S43" s="24">
        <v>0</v>
      </c>
      <c r="T43" s="24">
        <v>135</v>
      </c>
    </row>
    <row r="44" spans="1:20">
      <c r="A44" s="9" t="s">
        <v>145</v>
      </c>
      <c r="B44" s="30" t="s">
        <v>182</v>
      </c>
      <c r="C44" s="30" t="str">
        <f>CONCATENATE(VOL_VOLUMEN_SUMINISTROS[[#This Row],[Proyecto]],VOL_VOLUMEN_SUMINISTROS[[#This Row],[J]],VOL_VOLUMEN_SUMINISTROS[[#This Row],[FIN DE SEMANA]])</f>
        <v>1052-2TNO</v>
      </c>
      <c r="D44" s="365" t="str">
        <f>CONCATENATE(VOL_VOLUMEN_SUMINISTROS[[#This Row],[Grupo]],VOL_VOLUMEN_SUMINISTROS[[#This Row],[Proyecto]],VOL_VOLUMEN_SUMINISTROS[[#This Row],[FIN DE SEMANA]])</f>
        <v>121052-2NO</v>
      </c>
      <c r="E44" s="30" t="s">
        <v>183</v>
      </c>
      <c r="F44" s="30" t="s">
        <v>148</v>
      </c>
      <c r="G44" s="365">
        <v>12</v>
      </c>
      <c r="H44" s="30">
        <v>8</v>
      </c>
      <c r="I44" s="9" t="s">
        <v>149</v>
      </c>
      <c r="J44" s="9" t="s">
        <v>156</v>
      </c>
      <c r="K44" s="30">
        <v>1</v>
      </c>
      <c r="L44" s="9" t="s">
        <v>157</v>
      </c>
      <c r="M44" s="30" t="s">
        <v>84</v>
      </c>
      <c r="N44" s="30" t="s">
        <v>155</v>
      </c>
      <c r="O44" s="24">
        <v>0</v>
      </c>
      <c r="P44" s="24">
        <v>0</v>
      </c>
      <c r="Q44" s="24">
        <v>140</v>
      </c>
      <c r="R44" s="24">
        <v>0</v>
      </c>
      <c r="S44" s="24">
        <v>0</v>
      </c>
      <c r="T44" s="24">
        <v>140</v>
      </c>
    </row>
    <row r="45" spans="1:20">
      <c r="A45" s="9" t="s">
        <v>145</v>
      </c>
      <c r="B45" s="30" t="s">
        <v>182</v>
      </c>
      <c r="C45" s="30" t="str">
        <f>CONCATENATE(VOL_VOLUMEN_SUMINISTROS[[#This Row],[Proyecto]],VOL_VOLUMEN_SUMINISTROS[[#This Row],[J]],VOL_VOLUMEN_SUMINISTROS[[#This Row],[FIN DE SEMANA]])</f>
        <v>1052-2MNO</v>
      </c>
      <c r="D45" s="365" t="str">
        <f>CONCATENATE(VOL_VOLUMEN_SUMINISTROS[[#This Row],[Grupo]],VOL_VOLUMEN_SUMINISTROS[[#This Row],[Proyecto]],VOL_VOLUMEN_SUMINISTROS[[#This Row],[FIN DE SEMANA]])</f>
        <v>121052-2NO</v>
      </c>
      <c r="E45" s="30" t="s">
        <v>183</v>
      </c>
      <c r="F45" s="30" t="s">
        <v>148</v>
      </c>
      <c r="G45" s="365">
        <v>12</v>
      </c>
      <c r="H45" s="30">
        <v>8</v>
      </c>
      <c r="I45" s="9" t="s">
        <v>149</v>
      </c>
      <c r="J45" s="9" t="s">
        <v>170</v>
      </c>
      <c r="K45" s="30">
        <v>1</v>
      </c>
      <c r="L45" s="9" t="s">
        <v>171</v>
      </c>
      <c r="M45" s="30" t="s">
        <v>84</v>
      </c>
      <c r="N45" s="30" t="s">
        <v>152</v>
      </c>
      <c r="O45" s="24">
        <v>0</v>
      </c>
      <c r="P45" s="24">
        <v>0</v>
      </c>
      <c r="Q45" s="24">
        <v>62</v>
      </c>
      <c r="R45" s="24">
        <v>0</v>
      </c>
      <c r="S45" s="24">
        <v>0</v>
      </c>
      <c r="T45" s="24">
        <v>62</v>
      </c>
    </row>
    <row r="46" spans="1:20">
      <c r="A46" s="9" t="s">
        <v>145</v>
      </c>
      <c r="B46" s="30" t="s">
        <v>184</v>
      </c>
      <c r="C46" s="30" t="str">
        <f>CONCATENATE(VOL_VOLUMEN_SUMINISTROS[[#This Row],[Proyecto]],VOL_VOLUMEN_SUMINISTROS[[#This Row],[J]],VOL_VOLUMEN_SUMINISTROS[[#This Row],[FIN DE SEMANA]])</f>
        <v>1052-2MNO</v>
      </c>
      <c r="D46" s="365" t="str">
        <f>CONCATENATE(VOL_VOLUMEN_SUMINISTROS[[#This Row],[Grupo]],VOL_VOLUMEN_SUMINISTROS[[#This Row],[Proyecto]],VOL_VOLUMEN_SUMINISTROS[[#This Row],[FIN DE SEMANA]])</f>
        <v>121052-2NO</v>
      </c>
      <c r="E46" s="30" t="s">
        <v>183</v>
      </c>
      <c r="F46" s="30" t="s">
        <v>148</v>
      </c>
      <c r="G46" s="365">
        <v>12</v>
      </c>
      <c r="H46" s="30">
        <v>8</v>
      </c>
      <c r="I46" s="9" t="s">
        <v>149</v>
      </c>
      <c r="J46" s="9" t="s">
        <v>156</v>
      </c>
      <c r="K46" s="30">
        <v>1</v>
      </c>
      <c r="L46" s="9" t="s">
        <v>157</v>
      </c>
      <c r="M46" s="30" t="s">
        <v>84</v>
      </c>
      <c r="N46" s="30" t="s">
        <v>152</v>
      </c>
      <c r="O46" s="24">
        <v>82</v>
      </c>
      <c r="P46" s="24">
        <v>0</v>
      </c>
      <c r="Q46" s="24">
        <v>0</v>
      </c>
      <c r="R46" s="24">
        <v>0</v>
      </c>
      <c r="S46" s="24">
        <v>0</v>
      </c>
      <c r="T46" s="24">
        <v>82</v>
      </c>
    </row>
    <row r="47" spans="1:20">
      <c r="A47" s="9" t="s">
        <v>145</v>
      </c>
      <c r="B47" s="30" t="s">
        <v>184</v>
      </c>
      <c r="C47" s="30" t="str">
        <f>CONCATENATE(VOL_VOLUMEN_SUMINISTROS[[#This Row],[Proyecto]],VOL_VOLUMEN_SUMINISTROS[[#This Row],[J]],VOL_VOLUMEN_SUMINISTROS[[#This Row],[FIN DE SEMANA]])</f>
        <v>1052-2TNO</v>
      </c>
      <c r="D47" s="365" t="str">
        <f>CONCATENATE(VOL_VOLUMEN_SUMINISTROS[[#This Row],[Grupo]],VOL_VOLUMEN_SUMINISTROS[[#This Row],[Proyecto]],VOL_VOLUMEN_SUMINISTROS[[#This Row],[FIN DE SEMANA]])</f>
        <v>121052-2NO</v>
      </c>
      <c r="E47" s="30" t="s">
        <v>183</v>
      </c>
      <c r="F47" s="30" t="s">
        <v>148</v>
      </c>
      <c r="G47" s="365">
        <v>12</v>
      </c>
      <c r="H47" s="30">
        <v>8</v>
      </c>
      <c r="I47" s="9" t="s">
        <v>149</v>
      </c>
      <c r="J47" s="9" t="s">
        <v>156</v>
      </c>
      <c r="K47" s="30">
        <v>1</v>
      </c>
      <c r="L47" s="9" t="s">
        <v>157</v>
      </c>
      <c r="M47" s="30" t="s">
        <v>84</v>
      </c>
      <c r="N47" s="30" t="s">
        <v>155</v>
      </c>
      <c r="O47" s="24">
        <v>82</v>
      </c>
      <c r="P47" s="24">
        <v>0</v>
      </c>
      <c r="Q47" s="24">
        <v>0</v>
      </c>
      <c r="R47" s="24">
        <v>0</v>
      </c>
      <c r="S47" s="24">
        <v>0</v>
      </c>
      <c r="T47" s="24">
        <v>82</v>
      </c>
    </row>
    <row r="48" spans="1:20">
      <c r="A48" s="9" t="s">
        <v>145</v>
      </c>
      <c r="B48" s="30" t="s">
        <v>184</v>
      </c>
      <c r="C48" s="30" t="str">
        <f>CONCATENATE(VOL_VOLUMEN_SUMINISTROS[[#This Row],[Proyecto]],VOL_VOLUMEN_SUMINISTROS[[#This Row],[J]],VOL_VOLUMEN_SUMINISTROS[[#This Row],[FIN DE SEMANA]])</f>
        <v>1052-2MNO</v>
      </c>
      <c r="D48" s="365" t="str">
        <f>CONCATENATE(VOL_VOLUMEN_SUMINISTROS[[#This Row],[Grupo]],VOL_VOLUMEN_SUMINISTROS[[#This Row],[Proyecto]],VOL_VOLUMEN_SUMINISTROS[[#This Row],[FIN DE SEMANA]])</f>
        <v>121052-2NO</v>
      </c>
      <c r="E48" s="30" t="s">
        <v>183</v>
      </c>
      <c r="F48" s="30" t="s">
        <v>148</v>
      </c>
      <c r="G48" s="365">
        <v>12</v>
      </c>
      <c r="H48" s="30">
        <v>8</v>
      </c>
      <c r="I48" s="9" t="s">
        <v>149</v>
      </c>
      <c r="J48" s="9" t="s">
        <v>156</v>
      </c>
      <c r="K48" s="30">
        <v>2</v>
      </c>
      <c r="L48" s="9" t="s">
        <v>158</v>
      </c>
      <c r="M48" s="30" t="s">
        <v>84</v>
      </c>
      <c r="N48" s="30" t="s">
        <v>152</v>
      </c>
      <c r="O48" s="24">
        <v>27</v>
      </c>
      <c r="P48" s="24">
        <v>0</v>
      </c>
      <c r="Q48" s="24">
        <v>0</v>
      </c>
      <c r="R48" s="24">
        <v>0</v>
      </c>
      <c r="S48" s="24">
        <v>0</v>
      </c>
      <c r="T48" s="24">
        <v>27</v>
      </c>
    </row>
    <row r="49" spans="1:20">
      <c r="A49" s="9" t="s">
        <v>145</v>
      </c>
      <c r="B49" s="30" t="s">
        <v>184</v>
      </c>
      <c r="C49" s="30" t="str">
        <f>CONCATENATE(VOL_VOLUMEN_SUMINISTROS[[#This Row],[Proyecto]],VOL_VOLUMEN_SUMINISTROS[[#This Row],[J]],VOL_VOLUMEN_SUMINISTROS[[#This Row],[FIN DE SEMANA]])</f>
        <v>1052-2TNO</v>
      </c>
      <c r="D49" s="365" t="str">
        <f>CONCATENATE(VOL_VOLUMEN_SUMINISTROS[[#This Row],[Grupo]],VOL_VOLUMEN_SUMINISTROS[[#This Row],[Proyecto]],VOL_VOLUMEN_SUMINISTROS[[#This Row],[FIN DE SEMANA]])</f>
        <v>121052-2NO</v>
      </c>
      <c r="E49" s="30" t="s">
        <v>183</v>
      </c>
      <c r="F49" s="30" t="s">
        <v>148</v>
      </c>
      <c r="G49" s="365">
        <v>12</v>
      </c>
      <c r="H49" s="30">
        <v>8</v>
      </c>
      <c r="I49" s="9" t="s">
        <v>149</v>
      </c>
      <c r="J49" s="9" t="s">
        <v>156</v>
      </c>
      <c r="K49" s="30">
        <v>2</v>
      </c>
      <c r="L49" s="9" t="s">
        <v>159</v>
      </c>
      <c r="M49" s="30" t="s">
        <v>84</v>
      </c>
      <c r="N49" s="30" t="s">
        <v>155</v>
      </c>
      <c r="O49" s="24">
        <v>27</v>
      </c>
      <c r="P49" s="24">
        <v>0</v>
      </c>
      <c r="Q49" s="24">
        <v>0</v>
      </c>
      <c r="R49" s="24">
        <v>0</v>
      </c>
      <c r="S49" s="24">
        <v>0</v>
      </c>
      <c r="T49" s="24">
        <v>27</v>
      </c>
    </row>
    <row r="50" spans="1:20">
      <c r="A50" s="9" t="s">
        <v>145</v>
      </c>
      <c r="B50" s="30" t="s">
        <v>184</v>
      </c>
      <c r="C50" s="30" t="str">
        <f>CONCATENATE(VOL_VOLUMEN_SUMINISTROS[[#This Row],[Proyecto]],VOL_VOLUMEN_SUMINISTROS[[#This Row],[J]],VOL_VOLUMEN_SUMINISTROS[[#This Row],[FIN DE SEMANA]])</f>
        <v>1052-2MNO</v>
      </c>
      <c r="D50" s="365" t="str">
        <f>CONCATENATE(VOL_VOLUMEN_SUMINISTROS[[#This Row],[Grupo]],VOL_VOLUMEN_SUMINISTROS[[#This Row],[Proyecto]],VOL_VOLUMEN_SUMINISTROS[[#This Row],[FIN DE SEMANA]])</f>
        <v>121052-2NO</v>
      </c>
      <c r="E50" s="30" t="s">
        <v>183</v>
      </c>
      <c r="F50" s="30" t="s">
        <v>148</v>
      </c>
      <c r="G50" s="365">
        <v>12</v>
      </c>
      <c r="H50" s="30">
        <v>8</v>
      </c>
      <c r="I50" s="9" t="s">
        <v>149</v>
      </c>
      <c r="J50" s="9" t="s">
        <v>160</v>
      </c>
      <c r="K50" s="30">
        <v>1</v>
      </c>
      <c r="L50" s="9" t="s">
        <v>161</v>
      </c>
      <c r="M50" s="30" t="s">
        <v>84</v>
      </c>
      <c r="N50" s="30" t="s">
        <v>152</v>
      </c>
      <c r="O50" s="24">
        <v>122</v>
      </c>
      <c r="P50" s="24">
        <v>0</v>
      </c>
      <c r="Q50" s="24">
        <v>0</v>
      </c>
      <c r="R50" s="24">
        <v>0</v>
      </c>
      <c r="S50" s="24">
        <v>0</v>
      </c>
      <c r="T50" s="24">
        <v>122</v>
      </c>
    </row>
    <row r="51" spans="1:20">
      <c r="A51" s="9" t="s">
        <v>145</v>
      </c>
      <c r="B51" s="30" t="s">
        <v>184</v>
      </c>
      <c r="C51" s="30" t="str">
        <f>CONCATENATE(VOL_VOLUMEN_SUMINISTROS[[#This Row],[Proyecto]],VOL_VOLUMEN_SUMINISTROS[[#This Row],[J]],VOL_VOLUMEN_SUMINISTROS[[#This Row],[FIN DE SEMANA]])</f>
        <v>1052-2TNO</v>
      </c>
      <c r="D51" s="365" t="str">
        <f>CONCATENATE(VOL_VOLUMEN_SUMINISTROS[[#This Row],[Grupo]],VOL_VOLUMEN_SUMINISTROS[[#This Row],[Proyecto]],VOL_VOLUMEN_SUMINISTROS[[#This Row],[FIN DE SEMANA]])</f>
        <v>121052-2NO</v>
      </c>
      <c r="E51" s="30" t="s">
        <v>183</v>
      </c>
      <c r="F51" s="30" t="s">
        <v>148</v>
      </c>
      <c r="G51" s="365">
        <v>12</v>
      </c>
      <c r="H51" s="30">
        <v>8</v>
      </c>
      <c r="I51" s="9" t="s">
        <v>149</v>
      </c>
      <c r="J51" s="9" t="s">
        <v>160</v>
      </c>
      <c r="K51" s="30">
        <v>1</v>
      </c>
      <c r="L51" s="9" t="s">
        <v>161</v>
      </c>
      <c r="M51" s="30" t="s">
        <v>84</v>
      </c>
      <c r="N51" s="30" t="s">
        <v>155</v>
      </c>
      <c r="O51" s="24">
        <v>120</v>
      </c>
      <c r="P51" s="24">
        <v>0</v>
      </c>
      <c r="Q51" s="24">
        <v>0</v>
      </c>
      <c r="R51" s="24">
        <v>0</v>
      </c>
      <c r="S51" s="24">
        <v>0</v>
      </c>
      <c r="T51" s="24">
        <v>120</v>
      </c>
    </row>
    <row r="52" spans="1:20">
      <c r="A52" s="9" t="s">
        <v>145</v>
      </c>
      <c r="B52" s="30" t="s">
        <v>185</v>
      </c>
      <c r="C52" s="30" t="str">
        <f>CONCATENATE(VOL_VOLUMEN_SUMINISTROS[[#This Row],[Proyecto]],VOL_VOLUMEN_SUMINISTROS[[#This Row],[J]],VOL_VOLUMEN_SUMINISTROS[[#This Row],[FIN DE SEMANA]])</f>
        <v>1052-1MNO</v>
      </c>
      <c r="D52" s="365" t="str">
        <f>CONCATENATE(VOL_VOLUMEN_SUMINISTROS[[#This Row],[Grupo]],VOL_VOLUMEN_SUMINISTROS[[#This Row],[Proyecto]],VOL_VOLUMEN_SUMINISTROS[[#This Row],[FIN DE SEMANA]])</f>
        <v>41052-1NO</v>
      </c>
      <c r="E52" s="30" t="s">
        <v>147</v>
      </c>
      <c r="F52" s="30" t="s">
        <v>148</v>
      </c>
      <c r="G52" s="365">
        <v>4</v>
      </c>
      <c r="H52" s="30">
        <v>8</v>
      </c>
      <c r="I52" s="9" t="s">
        <v>149</v>
      </c>
      <c r="J52" s="9" t="s">
        <v>186</v>
      </c>
      <c r="K52" s="30">
        <v>1</v>
      </c>
      <c r="L52" s="9" t="s">
        <v>187</v>
      </c>
      <c r="M52" s="30" t="s">
        <v>84</v>
      </c>
      <c r="N52" s="30" t="s">
        <v>152</v>
      </c>
      <c r="O52" s="24">
        <v>176</v>
      </c>
      <c r="P52" s="24">
        <v>246</v>
      </c>
      <c r="Q52" s="24">
        <v>321</v>
      </c>
      <c r="R52" s="24">
        <v>0</v>
      </c>
      <c r="S52" s="24">
        <v>0</v>
      </c>
      <c r="T52" s="24">
        <v>743</v>
      </c>
    </row>
    <row r="53" spans="1:20">
      <c r="A53" s="9" t="s">
        <v>145</v>
      </c>
      <c r="B53" s="30" t="s">
        <v>185</v>
      </c>
      <c r="C53" s="30" t="str">
        <f>CONCATENATE(VOL_VOLUMEN_SUMINISTROS[[#This Row],[Proyecto]],VOL_VOLUMEN_SUMINISTROS[[#This Row],[J]],VOL_VOLUMEN_SUMINISTROS[[#This Row],[FIN DE SEMANA]])</f>
        <v>1052-1NNO</v>
      </c>
      <c r="D53" s="365" t="str">
        <f>CONCATENATE(VOL_VOLUMEN_SUMINISTROS[[#This Row],[Grupo]],VOL_VOLUMEN_SUMINISTROS[[#This Row],[Proyecto]],VOL_VOLUMEN_SUMINISTROS[[#This Row],[FIN DE SEMANA]])</f>
        <v>41052-1NO</v>
      </c>
      <c r="E53" s="30" t="s">
        <v>147</v>
      </c>
      <c r="F53" s="30" t="s">
        <v>148</v>
      </c>
      <c r="G53" s="365">
        <v>4</v>
      </c>
      <c r="H53" s="30">
        <v>8</v>
      </c>
      <c r="I53" s="9" t="s">
        <v>149</v>
      </c>
      <c r="J53" s="9" t="s">
        <v>186</v>
      </c>
      <c r="K53" s="30">
        <v>1</v>
      </c>
      <c r="L53" s="9" t="s">
        <v>187</v>
      </c>
      <c r="M53" s="30" t="s">
        <v>84</v>
      </c>
      <c r="N53" s="30" t="s">
        <v>154</v>
      </c>
      <c r="O53" s="24">
        <v>0</v>
      </c>
      <c r="P53" s="24">
        <v>0</v>
      </c>
      <c r="Q53" s="24">
        <v>0</v>
      </c>
      <c r="R53" s="24">
        <v>144</v>
      </c>
      <c r="S53" s="24">
        <v>144</v>
      </c>
      <c r="T53" s="24">
        <v>288</v>
      </c>
    </row>
    <row r="54" spans="1:20">
      <c r="A54" s="9" t="s">
        <v>145</v>
      </c>
      <c r="B54" s="30" t="s">
        <v>185</v>
      </c>
      <c r="C54" s="30" t="str">
        <f>CONCATENATE(VOL_VOLUMEN_SUMINISTROS[[#This Row],[Proyecto]],VOL_VOLUMEN_SUMINISTROS[[#This Row],[J]],VOL_VOLUMEN_SUMINISTROS[[#This Row],[FIN DE SEMANA]])</f>
        <v>1052-1TNO</v>
      </c>
      <c r="D54" s="365" t="str">
        <f>CONCATENATE(VOL_VOLUMEN_SUMINISTROS[[#This Row],[Grupo]],VOL_VOLUMEN_SUMINISTROS[[#This Row],[Proyecto]],VOL_VOLUMEN_SUMINISTROS[[#This Row],[FIN DE SEMANA]])</f>
        <v>41052-1NO</v>
      </c>
      <c r="E54" s="30" t="s">
        <v>147</v>
      </c>
      <c r="F54" s="30" t="s">
        <v>148</v>
      </c>
      <c r="G54" s="365">
        <v>4</v>
      </c>
      <c r="H54" s="30">
        <v>8</v>
      </c>
      <c r="I54" s="9" t="s">
        <v>149</v>
      </c>
      <c r="J54" s="9" t="s">
        <v>186</v>
      </c>
      <c r="K54" s="30">
        <v>1</v>
      </c>
      <c r="L54" s="9" t="s">
        <v>187</v>
      </c>
      <c r="M54" s="30" t="s">
        <v>84</v>
      </c>
      <c r="N54" s="30" t="s">
        <v>155</v>
      </c>
      <c r="O54" s="24">
        <v>189</v>
      </c>
      <c r="P54" s="24">
        <v>276</v>
      </c>
      <c r="Q54" s="24">
        <v>282</v>
      </c>
      <c r="R54" s="24">
        <v>0</v>
      </c>
      <c r="S54" s="24">
        <v>0</v>
      </c>
      <c r="T54" s="24">
        <v>747</v>
      </c>
    </row>
    <row r="55" spans="1:20">
      <c r="A55" s="9" t="s">
        <v>145</v>
      </c>
      <c r="B55" s="30" t="s">
        <v>185</v>
      </c>
      <c r="C55" s="30" t="str">
        <f>CONCATENATE(VOL_VOLUMEN_SUMINISTROS[[#This Row],[Proyecto]],VOL_VOLUMEN_SUMINISTROS[[#This Row],[J]],VOL_VOLUMEN_SUMINISTROS[[#This Row],[FIN DE SEMANA]])</f>
        <v>1052-1MNO</v>
      </c>
      <c r="D55" s="365" t="str">
        <f>CONCATENATE(VOL_VOLUMEN_SUMINISTROS[[#This Row],[Grupo]],VOL_VOLUMEN_SUMINISTROS[[#This Row],[Proyecto]],VOL_VOLUMEN_SUMINISTROS[[#This Row],[FIN DE SEMANA]])</f>
        <v>41052-1NO</v>
      </c>
      <c r="E55" s="30" t="s">
        <v>147</v>
      </c>
      <c r="F55" s="30" t="s">
        <v>148</v>
      </c>
      <c r="G55" s="365">
        <v>4</v>
      </c>
      <c r="H55" s="30">
        <v>8</v>
      </c>
      <c r="I55" s="9" t="s">
        <v>149</v>
      </c>
      <c r="J55" s="9" t="s">
        <v>186</v>
      </c>
      <c r="K55" s="30">
        <v>2</v>
      </c>
      <c r="L55" s="9" t="s">
        <v>188</v>
      </c>
      <c r="M55" s="30" t="s">
        <v>84</v>
      </c>
      <c r="N55" s="30" t="s">
        <v>152</v>
      </c>
      <c r="O55" s="24">
        <v>0</v>
      </c>
      <c r="P55" s="24">
        <v>54</v>
      </c>
      <c r="Q55" s="24">
        <v>18</v>
      </c>
      <c r="R55" s="24">
        <v>0</v>
      </c>
      <c r="S55" s="24">
        <v>0</v>
      </c>
      <c r="T55" s="24">
        <v>72</v>
      </c>
    </row>
    <row r="56" spans="1:20">
      <c r="A56" s="9" t="s">
        <v>145</v>
      </c>
      <c r="B56" s="30" t="s">
        <v>185</v>
      </c>
      <c r="C56" s="30" t="str">
        <f>CONCATENATE(VOL_VOLUMEN_SUMINISTROS[[#This Row],[Proyecto]],VOL_VOLUMEN_SUMINISTROS[[#This Row],[J]],VOL_VOLUMEN_SUMINISTROS[[#This Row],[FIN DE SEMANA]])</f>
        <v>1052-1TNO</v>
      </c>
      <c r="D56" s="365" t="str">
        <f>CONCATENATE(VOL_VOLUMEN_SUMINISTROS[[#This Row],[Grupo]],VOL_VOLUMEN_SUMINISTROS[[#This Row],[Proyecto]],VOL_VOLUMEN_SUMINISTROS[[#This Row],[FIN DE SEMANA]])</f>
        <v>41052-1NO</v>
      </c>
      <c r="E56" s="30" t="s">
        <v>147</v>
      </c>
      <c r="F56" s="30" t="s">
        <v>148</v>
      </c>
      <c r="G56" s="365">
        <v>4</v>
      </c>
      <c r="H56" s="30">
        <v>8</v>
      </c>
      <c r="I56" s="9" t="s">
        <v>149</v>
      </c>
      <c r="J56" s="9" t="s">
        <v>186</v>
      </c>
      <c r="K56" s="30">
        <v>2</v>
      </c>
      <c r="L56" s="9" t="s">
        <v>188</v>
      </c>
      <c r="M56" s="30" t="s">
        <v>84</v>
      </c>
      <c r="N56" s="30" t="s">
        <v>155</v>
      </c>
      <c r="O56" s="24">
        <v>0</v>
      </c>
      <c r="P56" s="24">
        <v>57</v>
      </c>
      <c r="Q56" s="24">
        <v>19</v>
      </c>
      <c r="R56" s="24">
        <v>0</v>
      </c>
      <c r="S56" s="24">
        <v>0</v>
      </c>
      <c r="T56" s="24">
        <v>76</v>
      </c>
    </row>
    <row r="57" spans="1:20">
      <c r="A57" s="9" t="s">
        <v>145</v>
      </c>
      <c r="B57" s="30" t="s">
        <v>185</v>
      </c>
      <c r="C57" s="30" t="str">
        <f>CONCATENATE(VOL_VOLUMEN_SUMINISTROS[[#This Row],[Proyecto]],VOL_VOLUMEN_SUMINISTROS[[#This Row],[J]],VOL_VOLUMEN_SUMINISTROS[[#This Row],[FIN DE SEMANA]])</f>
        <v>1052-1MNO</v>
      </c>
      <c r="D57" s="365" t="str">
        <f>CONCATENATE(VOL_VOLUMEN_SUMINISTROS[[#This Row],[Grupo]],VOL_VOLUMEN_SUMINISTROS[[#This Row],[Proyecto]],VOL_VOLUMEN_SUMINISTROS[[#This Row],[FIN DE SEMANA]])</f>
        <v>41052-1NO</v>
      </c>
      <c r="E57" s="30" t="s">
        <v>147</v>
      </c>
      <c r="F57" s="30" t="s">
        <v>148</v>
      </c>
      <c r="G57" s="365">
        <v>4</v>
      </c>
      <c r="H57" s="30">
        <v>8</v>
      </c>
      <c r="I57" s="9" t="s">
        <v>149</v>
      </c>
      <c r="J57" s="9" t="s">
        <v>189</v>
      </c>
      <c r="K57" s="30">
        <v>1</v>
      </c>
      <c r="L57" s="9" t="s">
        <v>190</v>
      </c>
      <c r="M57" s="30" t="s">
        <v>84</v>
      </c>
      <c r="N57" s="30" t="s">
        <v>152</v>
      </c>
      <c r="O57" s="24">
        <v>202</v>
      </c>
      <c r="P57" s="24">
        <v>310</v>
      </c>
      <c r="Q57" s="24">
        <v>553</v>
      </c>
      <c r="R57" s="24">
        <v>0</v>
      </c>
      <c r="S57" s="24">
        <v>0</v>
      </c>
      <c r="T57" s="24">
        <v>1065</v>
      </c>
    </row>
    <row r="58" spans="1:20">
      <c r="A58" s="9" t="s">
        <v>145</v>
      </c>
      <c r="B58" s="30" t="s">
        <v>185</v>
      </c>
      <c r="C58" s="30" t="str">
        <f>CONCATENATE(VOL_VOLUMEN_SUMINISTROS[[#This Row],[Proyecto]],VOL_VOLUMEN_SUMINISTROS[[#This Row],[J]],VOL_VOLUMEN_SUMINISTROS[[#This Row],[FIN DE SEMANA]])</f>
        <v>1052-1TNO</v>
      </c>
      <c r="D58" s="365" t="str">
        <f>CONCATENATE(VOL_VOLUMEN_SUMINISTROS[[#This Row],[Grupo]],VOL_VOLUMEN_SUMINISTROS[[#This Row],[Proyecto]],VOL_VOLUMEN_SUMINISTROS[[#This Row],[FIN DE SEMANA]])</f>
        <v>41052-1NO</v>
      </c>
      <c r="E58" s="30" t="s">
        <v>147</v>
      </c>
      <c r="F58" s="30" t="s">
        <v>148</v>
      </c>
      <c r="G58" s="365">
        <v>4</v>
      </c>
      <c r="H58" s="30">
        <v>8</v>
      </c>
      <c r="I58" s="9" t="s">
        <v>149</v>
      </c>
      <c r="J58" s="9" t="s">
        <v>189</v>
      </c>
      <c r="K58" s="30">
        <v>1</v>
      </c>
      <c r="L58" s="9" t="s">
        <v>190</v>
      </c>
      <c r="M58" s="30" t="s">
        <v>84</v>
      </c>
      <c r="N58" s="30" t="s">
        <v>155</v>
      </c>
      <c r="O58" s="24">
        <v>194</v>
      </c>
      <c r="P58" s="24">
        <v>299</v>
      </c>
      <c r="Q58" s="24">
        <v>318</v>
      </c>
      <c r="R58" s="24">
        <v>0</v>
      </c>
      <c r="S58" s="24">
        <v>0</v>
      </c>
      <c r="T58" s="24">
        <v>811</v>
      </c>
    </row>
    <row r="59" spans="1:20">
      <c r="A59" s="9" t="s">
        <v>145</v>
      </c>
      <c r="B59" s="30" t="s">
        <v>185</v>
      </c>
      <c r="C59" s="30" t="str">
        <f>CONCATENATE(VOL_VOLUMEN_SUMINISTROS[[#This Row],[Proyecto]],VOL_VOLUMEN_SUMINISTROS[[#This Row],[J]],VOL_VOLUMEN_SUMINISTROS[[#This Row],[FIN DE SEMANA]])</f>
        <v>1052-1MNO</v>
      </c>
      <c r="D59" s="365" t="str">
        <f>CONCATENATE(VOL_VOLUMEN_SUMINISTROS[[#This Row],[Grupo]],VOL_VOLUMEN_SUMINISTROS[[#This Row],[Proyecto]],VOL_VOLUMEN_SUMINISTROS[[#This Row],[FIN DE SEMANA]])</f>
        <v>41052-1NO</v>
      </c>
      <c r="E59" s="30" t="s">
        <v>147</v>
      </c>
      <c r="F59" s="30" t="s">
        <v>148</v>
      </c>
      <c r="G59" s="365">
        <v>4</v>
      </c>
      <c r="H59" s="30">
        <v>8</v>
      </c>
      <c r="I59" s="9" t="s">
        <v>149</v>
      </c>
      <c r="J59" s="9" t="s">
        <v>189</v>
      </c>
      <c r="K59" s="30">
        <v>2</v>
      </c>
      <c r="L59" s="9" t="s">
        <v>191</v>
      </c>
      <c r="M59" s="30" t="s">
        <v>84</v>
      </c>
      <c r="N59" s="30" t="s">
        <v>152</v>
      </c>
      <c r="O59" s="24">
        <v>259</v>
      </c>
      <c r="P59" s="24">
        <v>170</v>
      </c>
      <c r="Q59" s="24">
        <v>35</v>
      </c>
      <c r="R59" s="24">
        <v>0</v>
      </c>
      <c r="S59" s="24">
        <v>0</v>
      </c>
      <c r="T59" s="24">
        <v>464</v>
      </c>
    </row>
    <row r="60" spans="1:20">
      <c r="A60" s="9" t="s">
        <v>145</v>
      </c>
      <c r="B60" s="30" t="s">
        <v>185</v>
      </c>
      <c r="C60" s="30" t="str">
        <f>CONCATENATE(VOL_VOLUMEN_SUMINISTROS[[#This Row],[Proyecto]],VOL_VOLUMEN_SUMINISTROS[[#This Row],[J]],VOL_VOLUMEN_SUMINISTROS[[#This Row],[FIN DE SEMANA]])</f>
        <v>1052-1TNO</v>
      </c>
      <c r="D60" s="365" t="str">
        <f>CONCATENATE(VOL_VOLUMEN_SUMINISTROS[[#This Row],[Grupo]],VOL_VOLUMEN_SUMINISTROS[[#This Row],[Proyecto]],VOL_VOLUMEN_SUMINISTROS[[#This Row],[FIN DE SEMANA]])</f>
        <v>41052-1NO</v>
      </c>
      <c r="E60" s="30" t="s">
        <v>147</v>
      </c>
      <c r="F60" s="30" t="s">
        <v>148</v>
      </c>
      <c r="G60" s="365">
        <v>4</v>
      </c>
      <c r="H60" s="30">
        <v>8</v>
      </c>
      <c r="I60" s="9" t="s">
        <v>149</v>
      </c>
      <c r="J60" s="9" t="s">
        <v>189</v>
      </c>
      <c r="K60" s="30">
        <v>2</v>
      </c>
      <c r="L60" s="9" t="s">
        <v>191</v>
      </c>
      <c r="M60" s="30" t="s">
        <v>84</v>
      </c>
      <c r="N60" s="30" t="s">
        <v>155</v>
      </c>
      <c r="O60" s="24">
        <v>219</v>
      </c>
      <c r="P60" s="24">
        <v>186</v>
      </c>
      <c r="Q60" s="24">
        <v>38</v>
      </c>
      <c r="R60" s="24">
        <v>0</v>
      </c>
      <c r="S60" s="24">
        <v>0</v>
      </c>
      <c r="T60" s="24">
        <v>443</v>
      </c>
    </row>
    <row r="61" spans="1:20">
      <c r="A61" s="9" t="s">
        <v>145</v>
      </c>
      <c r="B61" s="30" t="s">
        <v>185</v>
      </c>
      <c r="C61" s="30" t="str">
        <f>CONCATENATE(VOL_VOLUMEN_SUMINISTROS[[#This Row],[Proyecto]],VOL_VOLUMEN_SUMINISTROS[[#This Row],[J]],VOL_VOLUMEN_SUMINISTROS[[#This Row],[FIN DE SEMANA]])</f>
        <v>1052-1MNO</v>
      </c>
      <c r="D61" s="365" t="str">
        <f>CONCATENATE(VOL_VOLUMEN_SUMINISTROS[[#This Row],[Grupo]],VOL_VOLUMEN_SUMINISTROS[[#This Row],[Proyecto]],VOL_VOLUMEN_SUMINISTROS[[#This Row],[FIN DE SEMANA]])</f>
        <v>11052-1NO</v>
      </c>
      <c r="E61" s="30" t="s">
        <v>147</v>
      </c>
      <c r="F61" s="30" t="s">
        <v>148</v>
      </c>
      <c r="G61" s="365">
        <v>1</v>
      </c>
      <c r="H61" s="30">
        <v>8</v>
      </c>
      <c r="I61" s="9" t="s">
        <v>149</v>
      </c>
      <c r="J61" s="9" t="s">
        <v>192</v>
      </c>
      <c r="K61" s="30">
        <v>1</v>
      </c>
      <c r="L61" s="9" t="s">
        <v>153</v>
      </c>
      <c r="M61" s="30" t="s">
        <v>84</v>
      </c>
      <c r="N61" s="30" t="s">
        <v>152</v>
      </c>
      <c r="O61" s="24">
        <v>0</v>
      </c>
      <c r="P61" s="24">
        <v>246</v>
      </c>
      <c r="Q61" s="24">
        <v>630</v>
      </c>
      <c r="R61" s="24">
        <v>0</v>
      </c>
      <c r="S61" s="24">
        <v>0</v>
      </c>
      <c r="T61" s="24">
        <v>876</v>
      </c>
    </row>
    <row r="62" spans="1:20">
      <c r="A62" s="9" t="s">
        <v>145</v>
      </c>
      <c r="B62" s="30" t="s">
        <v>185</v>
      </c>
      <c r="C62" s="30" t="str">
        <f>CONCATENATE(VOL_VOLUMEN_SUMINISTROS[[#This Row],[Proyecto]],VOL_VOLUMEN_SUMINISTROS[[#This Row],[J]],VOL_VOLUMEN_SUMINISTROS[[#This Row],[FIN DE SEMANA]])</f>
        <v>1052-1TNO</v>
      </c>
      <c r="D62" s="365" t="str">
        <f>CONCATENATE(VOL_VOLUMEN_SUMINISTROS[[#This Row],[Grupo]],VOL_VOLUMEN_SUMINISTROS[[#This Row],[Proyecto]],VOL_VOLUMEN_SUMINISTROS[[#This Row],[FIN DE SEMANA]])</f>
        <v>11052-1NO</v>
      </c>
      <c r="E62" s="30" t="s">
        <v>147</v>
      </c>
      <c r="F62" s="30" t="s">
        <v>148</v>
      </c>
      <c r="G62" s="365">
        <v>1</v>
      </c>
      <c r="H62" s="30">
        <v>8</v>
      </c>
      <c r="I62" s="9" t="s">
        <v>149</v>
      </c>
      <c r="J62" s="9" t="s">
        <v>192</v>
      </c>
      <c r="K62" s="30">
        <v>1</v>
      </c>
      <c r="L62" s="9" t="s">
        <v>153</v>
      </c>
      <c r="M62" s="30" t="s">
        <v>84</v>
      </c>
      <c r="N62" s="30" t="s">
        <v>155</v>
      </c>
      <c r="O62" s="24">
        <v>0</v>
      </c>
      <c r="P62" s="24">
        <v>210</v>
      </c>
      <c r="Q62" s="24">
        <v>537</v>
      </c>
      <c r="R62" s="24">
        <v>0</v>
      </c>
      <c r="S62" s="24">
        <v>0</v>
      </c>
      <c r="T62" s="24">
        <v>747</v>
      </c>
    </row>
    <row r="63" spans="1:20">
      <c r="A63" s="9" t="s">
        <v>145</v>
      </c>
      <c r="B63" s="30" t="s">
        <v>185</v>
      </c>
      <c r="C63" s="30" t="str">
        <f>CONCATENATE(VOL_VOLUMEN_SUMINISTROS[[#This Row],[Proyecto]],VOL_VOLUMEN_SUMINISTROS[[#This Row],[J]],VOL_VOLUMEN_SUMINISTROS[[#This Row],[FIN DE SEMANA]])</f>
        <v>1052-1MNO</v>
      </c>
      <c r="D63" s="365" t="str">
        <f>CONCATENATE(VOL_VOLUMEN_SUMINISTROS[[#This Row],[Grupo]],VOL_VOLUMEN_SUMINISTROS[[#This Row],[Proyecto]],VOL_VOLUMEN_SUMINISTROS[[#This Row],[FIN DE SEMANA]])</f>
        <v>11052-1NO</v>
      </c>
      <c r="E63" s="30" t="s">
        <v>147</v>
      </c>
      <c r="F63" s="30" t="s">
        <v>148</v>
      </c>
      <c r="G63" s="365">
        <v>1</v>
      </c>
      <c r="H63" s="30">
        <v>8</v>
      </c>
      <c r="I63" s="9" t="s">
        <v>149</v>
      </c>
      <c r="J63" s="9" t="s">
        <v>192</v>
      </c>
      <c r="K63" s="30">
        <v>2</v>
      </c>
      <c r="L63" s="9" t="s">
        <v>193</v>
      </c>
      <c r="M63" s="30" t="s">
        <v>84</v>
      </c>
      <c r="N63" s="30" t="s">
        <v>152</v>
      </c>
      <c r="O63" s="24">
        <v>339</v>
      </c>
      <c r="P63" s="24">
        <v>94</v>
      </c>
      <c r="Q63" s="24">
        <v>0</v>
      </c>
      <c r="R63" s="24">
        <v>0</v>
      </c>
      <c r="S63" s="24">
        <v>0</v>
      </c>
      <c r="T63" s="24">
        <v>433</v>
      </c>
    </row>
    <row r="64" spans="1:20">
      <c r="A64" s="9" t="s">
        <v>145</v>
      </c>
      <c r="B64" s="30" t="s">
        <v>185</v>
      </c>
      <c r="C64" s="30" t="str">
        <f>CONCATENATE(VOL_VOLUMEN_SUMINISTROS[[#This Row],[Proyecto]],VOL_VOLUMEN_SUMINISTROS[[#This Row],[J]],VOL_VOLUMEN_SUMINISTROS[[#This Row],[FIN DE SEMANA]])</f>
        <v>1052-1TNO</v>
      </c>
      <c r="D64" s="365" t="str">
        <f>CONCATENATE(VOL_VOLUMEN_SUMINISTROS[[#This Row],[Grupo]],VOL_VOLUMEN_SUMINISTROS[[#This Row],[Proyecto]],VOL_VOLUMEN_SUMINISTROS[[#This Row],[FIN DE SEMANA]])</f>
        <v>11052-1NO</v>
      </c>
      <c r="E64" s="30" t="s">
        <v>147</v>
      </c>
      <c r="F64" s="30" t="s">
        <v>148</v>
      </c>
      <c r="G64" s="365">
        <v>1</v>
      </c>
      <c r="H64" s="30">
        <v>8</v>
      </c>
      <c r="I64" s="9" t="s">
        <v>149</v>
      </c>
      <c r="J64" s="9" t="s">
        <v>192</v>
      </c>
      <c r="K64" s="30">
        <v>2</v>
      </c>
      <c r="L64" s="9" t="s">
        <v>193</v>
      </c>
      <c r="M64" s="30" t="s">
        <v>84</v>
      </c>
      <c r="N64" s="30" t="s">
        <v>155</v>
      </c>
      <c r="O64" s="24">
        <v>329</v>
      </c>
      <c r="P64" s="24">
        <v>81</v>
      </c>
      <c r="Q64" s="24">
        <v>0</v>
      </c>
      <c r="R64" s="24">
        <v>0</v>
      </c>
      <c r="S64" s="24">
        <v>0</v>
      </c>
      <c r="T64" s="24">
        <v>410</v>
      </c>
    </row>
    <row r="65" spans="1:20">
      <c r="A65" s="9" t="s">
        <v>145</v>
      </c>
      <c r="B65" s="30" t="s">
        <v>185</v>
      </c>
      <c r="C65" s="30" t="str">
        <f>CONCATENATE(VOL_VOLUMEN_SUMINISTROS[[#This Row],[Proyecto]],VOL_VOLUMEN_SUMINISTROS[[#This Row],[J]],VOL_VOLUMEN_SUMINISTROS[[#This Row],[FIN DE SEMANA]])</f>
        <v>1052-1MNO</v>
      </c>
      <c r="D65" s="365" t="str">
        <f>CONCATENATE(VOL_VOLUMEN_SUMINISTROS[[#This Row],[Grupo]],VOL_VOLUMEN_SUMINISTROS[[#This Row],[Proyecto]],VOL_VOLUMEN_SUMINISTROS[[#This Row],[FIN DE SEMANA]])</f>
        <v>11052-1NO</v>
      </c>
      <c r="E65" s="30" t="s">
        <v>147</v>
      </c>
      <c r="F65" s="30" t="s">
        <v>148</v>
      </c>
      <c r="G65" s="365">
        <v>1</v>
      </c>
      <c r="H65" s="30">
        <v>8</v>
      </c>
      <c r="I65" s="9" t="s">
        <v>149</v>
      </c>
      <c r="J65" s="9" t="s">
        <v>192</v>
      </c>
      <c r="K65" s="30">
        <v>3</v>
      </c>
      <c r="L65" s="9" t="s">
        <v>194</v>
      </c>
      <c r="M65" s="30" t="s">
        <v>84</v>
      </c>
      <c r="N65" s="30" t="s">
        <v>152</v>
      </c>
      <c r="O65" s="24">
        <v>134</v>
      </c>
      <c r="P65" s="24">
        <v>316</v>
      </c>
      <c r="Q65" s="24">
        <v>83</v>
      </c>
      <c r="R65" s="24">
        <v>0</v>
      </c>
      <c r="S65" s="24">
        <v>0</v>
      </c>
      <c r="T65" s="24">
        <v>533</v>
      </c>
    </row>
    <row r="66" spans="1:20">
      <c r="A66" s="9" t="s">
        <v>145</v>
      </c>
      <c r="B66" s="30" t="s">
        <v>185</v>
      </c>
      <c r="C66" s="30" t="str">
        <f>CONCATENATE(VOL_VOLUMEN_SUMINISTROS[[#This Row],[Proyecto]],VOL_VOLUMEN_SUMINISTROS[[#This Row],[J]],VOL_VOLUMEN_SUMINISTROS[[#This Row],[FIN DE SEMANA]])</f>
        <v>1052-1TNO</v>
      </c>
      <c r="D66" s="365" t="str">
        <f>CONCATENATE(VOL_VOLUMEN_SUMINISTROS[[#This Row],[Grupo]],VOL_VOLUMEN_SUMINISTROS[[#This Row],[Proyecto]],VOL_VOLUMEN_SUMINISTROS[[#This Row],[FIN DE SEMANA]])</f>
        <v>11052-1NO</v>
      </c>
      <c r="E66" s="30" t="s">
        <v>147</v>
      </c>
      <c r="F66" s="30" t="s">
        <v>148</v>
      </c>
      <c r="G66" s="365">
        <v>1</v>
      </c>
      <c r="H66" s="30">
        <v>8</v>
      </c>
      <c r="I66" s="9" t="s">
        <v>149</v>
      </c>
      <c r="J66" s="9" t="s">
        <v>192</v>
      </c>
      <c r="K66" s="30">
        <v>3</v>
      </c>
      <c r="L66" s="9" t="s">
        <v>194</v>
      </c>
      <c r="M66" s="30" t="s">
        <v>84</v>
      </c>
      <c r="N66" s="30" t="s">
        <v>155</v>
      </c>
      <c r="O66" s="24">
        <v>164</v>
      </c>
      <c r="P66" s="24">
        <v>307</v>
      </c>
      <c r="Q66" s="24">
        <v>75</v>
      </c>
      <c r="R66" s="24">
        <v>0</v>
      </c>
      <c r="S66" s="24">
        <v>0</v>
      </c>
      <c r="T66" s="24">
        <v>546</v>
      </c>
    </row>
    <row r="67" spans="1:20">
      <c r="A67" s="9" t="s">
        <v>145</v>
      </c>
      <c r="B67" s="30" t="s">
        <v>185</v>
      </c>
      <c r="C67" s="30" t="str">
        <f>CONCATENATE(VOL_VOLUMEN_SUMINISTROS[[#This Row],[Proyecto]],VOL_VOLUMEN_SUMINISTROS[[#This Row],[J]],VOL_VOLUMEN_SUMINISTROS[[#This Row],[FIN DE SEMANA]])</f>
        <v>1052-1MNO</v>
      </c>
      <c r="D67" s="365" t="str">
        <f>CONCATENATE(VOL_VOLUMEN_SUMINISTROS[[#This Row],[Grupo]],VOL_VOLUMEN_SUMINISTROS[[#This Row],[Proyecto]],VOL_VOLUMEN_SUMINISTROS[[#This Row],[FIN DE SEMANA]])</f>
        <v>41052-1NO</v>
      </c>
      <c r="E67" s="30" t="s">
        <v>147</v>
      </c>
      <c r="F67" s="30" t="s">
        <v>148</v>
      </c>
      <c r="G67" s="365">
        <v>4</v>
      </c>
      <c r="H67" s="30">
        <v>8</v>
      </c>
      <c r="I67" s="9" t="s">
        <v>149</v>
      </c>
      <c r="J67" s="9" t="s">
        <v>195</v>
      </c>
      <c r="K67" s="30">
        <v>1</v>
      </c>
      <c r="L67" s="9" t="s">
        <v>196</v>
      </c>
      <c r="M67" s="30" t="s">
        <v>84</v>
      </c>
      <c r="N67" s="30" t="s">
        <v>152</v>
      </c>
      <c r="O67" s="24">
        <v>346</v>
      </c>
      <c r="P67" s="24">
        <v>313</v>
      </c>
      <c r="Q67" s="24">
        <v>58</v>
      </c>
      <c r="R67" s="24">
        <v>0</v>
      </c>
      <c r="S67" s="24">
        <v>0</v>
      </c>
      <c r="T67" s="24">
        <v>717</v>
      </c>
    </row>
    <row r="68" spans="1:20">
      <c r="A68" s="9" t="s">
        <v>145</v>
      </c>
      <c r="B68" s="30" t="s">
        <v>185</v>
      </c>
      <c r="C68" s="30" t="str">
        <f>CONCATENATE(VOL_VOLUMEN_SUMINISTROS[[#This Row],[Proyecto]],VOL_VOLUMEN_SUMINISTROS[[#This Row],[J]],VOL_VOLUMEN_SUMINISTROS[[#This Row],[FIN DE SEMANA]])</f>
        <v>1052-1TNO</v>
      </c>
      <c r="D68" s="365" t="str">
        <f>CONCATENATE(VOL_VOLUMEN_SUMINISTROS[[#This Row],[Grupo]],VOL_VOLUMEN_SUMINISTROS[[#This Row],[Proyecto]],VOL_VOLUMEN_SUMINISTROS[[#This Row],[FIN DE SEMANA]])</f>
        <v>41052-1NO</v>
      </c>
      <c r="E68" s="30" t="s">
        <v>147</v>
      </c>
      <c r="F68" s="30" t="s">
        <v>148</v>
      </c>
      <c r="G68" s="365">
        <v>4</v>
      </c>
      <c r="H68" s="30">
        <v>8</v>
      </c>
      <c r="I68" s="9" t="s">
        <v>149</v>
      </c>
      <c r="J68" s="9" t="s">
        <v>195</v>
      </c>
      <c r="K68" s="30">
        <v>1</v>
      </c>
      <c r="L68" s="9" t="s">
        <v>196</v>
      </c>
      <c r="M68" s="30" t="s">
        <v>84</v>
      </c>
      <c r="N68" s="30" t="s">
        <v>155</v>
      </c>
      <c r="O68" s="24">
        <v>66</v>
      </c>
      <c r="P68" s="24">
        <v>198</v>
      </c>
      <c r="Q68" s="24">
        <v>431</v>
      </c>
      <c r="R68" s="24">
        <v>0</v>
      </c>
      <c r="S68" s="24">
        <v>0</v>
      </c>
      <c r="T68" s="24">
        <v>695</v>
      </c>
    </row>
    <row r="69" spans="1:20">
      <c r="A69" s="9" t="s">
        <v>145</v>
      </c>
      <c r="B69" s="30" t="s">
        <v>185</v>
      </c>
      <c r="C69" s="30" t="str">
        <f>CONCATENATE(VOL_VOLUMEN_SUMINISTROS[[#This Row],[Proyecto]],VOL_VOLUMEN_SUMINISTROS[[#This Row],[J]],VOL_VOLUMEN_SUMINISTROS[[#This Row],[FIN DE SEMANA]])</f>
        <v>1052-1MNO</v>
      </c>
      <c r="D69" s="365" t="str">
        <f>CONCATENATE(VOL_VOLUMEN_SUMINISTROS[[#This Row],[Grupo]],VOL_VOLUMEN_SUMINISTROS[[#This Row],[Proyecto]],VOL_VOLUMEN_SUMINISTROS[[#This Row],[FIN DE SEMANA]])</f>
        <v>41052-1NO</v>
      </c>
      <c r="E69" s="30" t="s">
        <v>147</v>
      </c>
      <c r="F69" s="30" t="s">
        <v>148</v>
      </c>
      <c r="G69" s="365">
        <v>4</v>
      </c>
      <c r="H69" s="30">
        <v>8</v>
      </c>
      <c r="I69" s="9" t="s">
        <v>149</v>
      </c>
      <c r="J69" s="9" t="s">
        <v>195</v>
      </c>
      <c r="K69" s="30">
        <v>2</v>
      </c>
      <c r="L69" s="9" t="s">
        <v>197</v>
      </c>
      <c r="M69" s="30" t="s">
        <v>84</v>
      </c>
      <c r="N69" s="30" t="s">
        <v>152</v>
      </c>
      <c r="O69" s="24">
        <v>89</v>
      </c>
      <c r="P69" s="24">
        <v>99</v>
      </c>
      <c r="Q69" s="24">
        <v>22</v>
      </c>
      <c r="R69" s="24">
        <v>0</v>
      </c>
      <c r="S69" s="24">
        <v>0</v>
      </c>
      <c r="T69" s="24">
        <v>210</v>
      </c>
    </row>
    <row r="70" spans="1:20">
      <c r="A70" s="9" t="s">
        <v>145</v>
      </c>
      <c r="B70" s="30" t="s">
        <v>185</v>
      </c>
      <c r="C70" s="30" t="str">
        <f>CONCATENATE(VOL_VOLUMEN_SUMINISTROS[[#This Row],[Proyecto]],VOL_VOLUMEN_SUMINISTROS[[#This Row],[J]],VOL_VOLUMEN_SUMINISTROS[[#This Row],[FIN DE SEMANA]])</f>
        <v>1052-1TNO</v>
      </c>
      <c r="D70" s="365" t="str">
        <f>CONCATENATE(VOL_VOLUMEN_SUMINISTROS[[#This Row],[Grupo]],VOL_VOLUMEN_SUMINISTROS[[#This Row],[Proyecto]],VOL_VOLUMEN_SUMINISTROS[[#This Row],[FIN DE SEMANA]])</f>
        <v>41052-1NO</v>
      </c>
      <c r="E70" s="30" t="s">
        <v>147</v>
      </c>
      <c r="F70" s="30" t="s">
        <v>148</v>
      </c>
      <c r="G70" s="365">
        <v>4</v>
      </c>
      <c r="H70" s="30">
        <v>8</v>
      </c>
      <c r="I70" s="9" t="s">
        <v>149</v>
      </c>
      <c r="J70" s="9" t="s">
        <v>195</v>
      </c>
      <c r="K70" s="30">
        <v>2</v>
      </c>
      <c r="L70" s="9" t="s">
        <v>197</v>
      </c>
      <c r="M70" s="30" t="s">
        <v>84</v>
      </c>
      <c r="N70" s="30" t="s">
        <v>155</v>
      </c>
      <c r="O70" s="24">
        <v>91</v>
      </c>
      <c r="P70" s="24">
        <v>100</v>
      </c>
      <c r="Q70" s="24">
        <v>22</v>
      </c>
      <c r="R70" s="24">
        <v>0</v>
      </c>
      <c r="S70" s="24">
        <v>0</v>
      </c>
      <c r="T70" s="24">
        <v>213</v>
      </c>
    </row>
    <row r="71" spans="1:20">
      <c r="A71" s="9" t="s">
        <v>145</v>
      </c>
      <c r="B71" s="30" t="s">
        <v>185</v>
      </c>
      <c r="C71" s="30" t="str">
        <f>CONCATENATE(VOL_VOLUMEN_SUMINISTROS[[#This Row],[Proyecto]],VOL_VOLUMEN_SUMINISTROS[[#This Row],[J]],VOL_VOLUMEN_SUMINISTROS[[#This Row],[FIN DE SEMANA]])</f>
        <v>1052-1MNO</v>
      </c>
      <c r="D71" s="365" t="str">
        <f>CONCATENATE(VOL_VOLUMEN_SUMINISTROS[[#This Row],[Grupo]],VOL_VOLUMEN_SUMINISTROS[[#This Row],[Proyecto]],VOL_VOLUMEN_SUMINISTROS[[#This Row],[FIN DE SEMANA]])</f>
        <v>41052-1NO</v>
      </c>
      <c r="E71" s="30" t="s">
        <v>147</v>
      </c>
      <c r="F71" s="30" t="s">
        <v>148</v>
      </c>
      <c r="G71" s="365">
        <v>4</v>
      </c>
      <c r="H71" s="30">
        <v>8</v>
      </c>
      <c r="I71" s="9" t="s">
        <v>149</v>
      </c>
      <c r="J71" s="9" t="s">
        <v>195</v>
      </c>
      <c r="K71" s="30">
        <v>3</v>
      </c>
      <c r="L71" s="9" t="s">
        <v>197</v>
      </c>
      <c r="M71" s="30" t="s">
        <v>84</v>
      </c>
      <c r="N71" s="30" t="s">
        <v>152</v>
      </c>
      <c r="O71" s="24">
        <v>83</v>
      </c>
      <c r="P71" s="24">
        <v>0</v>
      </c>
      <c r="Q71" s="24">
        <v>0</v>
      </c>
      <c r="R71" s="24">
        <v>0</v>
      </c>
      <c r="S71" s="24">
        <v>0</v>
      </c>
      <c r="T71" s="24">
        <v>83</v>
      </c>
    </row>
    <row r="72" spans="1:20">
      <c r="A72" s="9" t="s">
        <v>145</v>
      </c>
      <c r="B72" s="30" t="s">
        <v>185</v>
      </c>
      <c r="C72" s="30" t="str">
        <f>CONCATENATE(VOL_VOLUMEN_SUMINISTROS[[#This Row],[Proyecto]],VOL_VOLUMEN_SUMINISTROS[[#This Row],[J]],VOL_VOLUMEN_SUMINISTROS[[#This Row],[FIN DE SEMANA]])</f>
        <v>1052-1MNO</v>
      </c>
      <c r="D72" s="365" t="str">
        <f>CONCATENATE(VOL_VOLUMEN_SUMINISTROS[[#This Row],[Grupo]],VOL_VOLUMEN_SUMINISTROS[[#This Row],[Proyecto]],VOL_VOLUMEN_SUMINISTROS[[#This Row],[FIN DE SEMANA]])</f>
        <v>41052-1NO</v>
      </c>
      <c r="E72" s="30" t="s">
        <v>147</v>
      </c>
      <c r="F72" s="30" t="s">
        <v>148</v>
      </c>
      <c r="G72" s="365">
        <v>4</v>
      </c>
      <c r="H72" s="30">
        <v>8</v>
      </c>
      <c r="I72" s="9" t="s">
        <v>149</v>
      </c>
      <c r="J72" s="9" t="s">
        <v>198</v>
      </c>
      <c r="K72" s="30">
        <v>1</v>
      </c>
      <c r="L72" s="9" t="s">
        <v>199</v>
      </c>
      <c r="M72" s="30" t="s">
        <v>84</v>
      </c>
      <c r="N72" s="30" t="s">
        <v>152</v>
      </c>
      <c r="O72" s="24">
        <v>101</v>
      </c>
      <c r="P72" s="24">
        <v>275</v>
      </c>
      <c r="Q72" s="24">
        <v>523</v>
      </c>
      <c r="R72" s="24">
        <v>0</v>
      </c>
      <c r="S72" s="24">
        <v>0</v>
      </c>
      <c r="T72" s="24">
        <v>899</v>
      </c>
    </row>
    <row r="73" spans="1:20">
      <c r="A73" s="9" t="s">
        <v>145</v>
      </c>
      <c r="B73" s="30" t="s">
        <v>185</v>
      </c>
      <c r="C73" s="30" t="str">
        <f>CONCATENATE(VOL_VOLUMEN_SUMINISTROS[[#This Row],[Proyecto]],VOL_VOLUMEN_SUMINISTROS[[#This Row],[J]],VOL_VOLUMEN_SUMINISTROS[[#This Row],[FIN DE SEMANA]])</f>
        <v>1052-1TNO</v>
      </c>
      <c r="D73" s="365" t="str">
        <f>CONCATENATE(VOL_VOLUMEN_SUMINISTROS[[#This Row],[Grupo]],VOL_VOLUMEN_SUMINISTROS[[#This Row],[Proyecto]],VOL_VOLUMEN_SUMINISTROS[[#This Row],[FIN DE SEMANA]])</f>
        <v>41052-1NO</v>
      </c>
      <c r="E73" s="30" t="s">
        <v>147</v>
      </c>
      <c r="F73" s="30" t="s">
        <v>148</v>
      </c>
      <c r="G73" s="365">
        <v>4</v>
      </c>
      <c r="H73" s="30">
        <v>8</v>
      </c>
      <c r="I73" s="9" t="s">
        <v>149</v>
      </c>
      <c r="J73" s="9" t="s">
        <v>198</v>
      </c>
      <c r="K73" s="30">
        <v>1</v>
      </c>
      <c r="L73" s="9" t="s">
        <v>199</v>
      </c>
      <c r="M73" s="30" t="s">
        <v>84</v>
      </c>
      <c r="N73" s="30" t="s">
        <v>155</v>
      </c>
      <c r="O73" s="24">
        <v>113</v>
      </c>
      <c r="P73" s="24">
        <v>282</v>
      </c>
      <c r="Q73" s="24">
        <v>441</v>
      </c>
      <c r="R73" s="24">
        <v>0</v>
      </c>
      <c r="S73" s="24">
        <v>0</v>
      </c>
      <c r="T73" s="24">
        <v>836</v>
      </c>
    </row>
    <row r="74" spans="1:20">
      <c r="A74" s="9" t="s">
        <v>145</v>
      </c>
      <c r="B74" s="30" t="s">
        <v>185</v>
      </c>
      <c r="C74" s="30" t="str">
        <f>CONCATENATE(VOL_VOLUMEN_SUMINISTROS[[#This Row],[Proyecto]],VOL_VOLUMEN_SUMINISTROS[[#This Row],[J]],VOL_VOLUMEN_SUMINISTROS[[#This Row],[FIN DE SEMANA]])</f>
        <v>1052-1MNO</v>
      </c>
      <c r="D74" s="365" t="str">
        <f>CONCATENATE(VOL_VOLUMEN_SUMINISTROS[[#This Row],[Grupo]],VOL_VOLUMEN_SUMINISTROS[[#This Row],[Proyecto]],VOL_VOLUMEN_SUMINISTROS[[#This Row],[FIN DE SEMANA]])</f>
        <v>41052-1NO</v>
      </c>
      <c r="E74" s="30" t="s">
        <v>147</v>
      </c>
      <c r="F74" s="30" t="s">
        <v>148</v>
      </c>
      <c r="G74" s="365">
        <v>4</v>
      </c>
      <c r="H74" s="30">
        <v>8</v>
      </c>
      <c r="I74" s="9" t="s">
        <v>149</v>
      </c>
      <c r="J74" s="9" t="s">
        <v>198</v>
      </c>
      <c r="K74" s="30">
        <v>2</v>
      </c>
      <c r="L74" s="9" t="s">
        <v>200</v>
      </c>
      <c r="M74" s="30" t="s">
        <v>84</v>
      </c>
      <c r="N74" s="30" t="s">
        <v>152</v>
      </c>
      <c r="O74" s="24">
        <v>151</v>
      </c>
      <c r="P74" s="24">
        <v>92</v>
      </c>
      <c r="Q74" s="24">
        <v>13</v>
      </c>
      <c r="R74" s="24">
        <v>0</v>
      </c>
      <c r="S74" s="24">
        <v>0</v>
      </c>
      <c r="T74" s="24">
        <v>256</v>
      </c>
    </row>
    <row r="75" spans="1:20">
      <c r="A75" s="9" t="s">
        <v>145</v>
      </c>
      <c r="B75" s="30" t="s">
        <v>185</v>
      </c>
      <c r="C75" s="30" t="str">
        <f>CONCATENATE(VOL_VOLUMEN_SUMINISTROS[[#This Row],[Proyecto]],VOL_VOLUMEN_SUMINISTROS[[#This Row],[J]],VOL_VOLUMEN_SUMINISTROS[[#This Row],[FIN DE SEMANA]])</f>
        <v>1052-1TNO</v>
      </c>
      <c r="D75" s="365" t="str">
        <f>CONCATENATE(VOL_VOLUMEN_SUMINISTROS[[#This Row],[Grupo]],VOL_VOLUMEN_SUMINISTROS[[#This Row],[Proyecto]],VOL_VOLUMEN_SUMINISTROS[[#This Row],[FIN DE SEMANA]])</f>
        <v>41052-1NO</v>
      </c>
      <c r="E75" s="30" t="s">
        <v>147</v>
      </c>
      <c r="F75" s="30" t="s">
        <v>148</v>
      </c>
      <c r="G75" s="365">
        <v>4</v>
      </c>
      <c r="H75" s="30">
        <v>8</v>
      </c>
      <c r="I75" s="9" t="s">
        <v>149</v>
      </c>
      <c r="J75" s="9" t="s">
        <v>198</v>
      </c>
      <c r="K75" s="30">
        <v>2</v>
      </c>
      <c r="L75" s="9" t="s">
        <v>200</v>
      </c>
      <c r="M75" s="30" t="s">
        <v>84</v>
      </c>
      <c r="N75" s="30" t="s">
        <v>155</v>
      </c>
      <c r="O75" s="24">
        <v>135</v>
      </c>
      <c r="P75" s="24">
        <v>73</v>
      </c>
      <c r="Q75" s="24">
        <v>12</v>
      </c>
      <c r="R75" s="24">
        <v>0</v>
      </c>
      <c r="S75" s="24">
        <v>0</v>
      </c>
      <c r="T75" s="24">
        <v>220</v>
      </c>
    </row>
    <row r="76" spans="1:20">
      <c r="A76" s="9" t="s">
        <v>145</v>
      </c>
      <c r="B76" s="30" t="s">
        <v>185</v>
      </c>
      <c r="C76" s="30" t="str">
        <f>CONCATENATE(VOL_VOLUMEN_SUMINISTROS[[#This Row],[Proyecto]],VOL_VOLUMEN_SUMINISTROS[[#This Row],[J]],VOL_VOLUMEN_SUMINISTROS[[#This Row],[FIN DE SEMANA]])</f>
        <v>1052-1MNO</v>
      </c>
      <c r="D76" s="365" t="str">
        <f>CONCATENATE(VOL_VOLUMEN_SUMINISTROS[[#This Row],[Grupo]],VOL_VOLUMEN_SUMINISTROS[[#This Row],[Proyecto]],VOL_VOLUMEN_SUMINISTROS[[#This Row],[FIN DE SEMANA]])</f>
        <v>41052-1NO</v>
      </c>
      <c r="E76" s="30" t="s">
        <v>147</v>
      </c>
      <c r="F76" s="30" t="s">
        <v>148</v>
      </c>
      <c r="G76" s="365">
        <v>4</v>
      </c>
      <c r="H76" s="30">
        <v>8</v>
      </c>
      <c r="I76" s="9" t="s">
        <v>149</v>
      </c>
      <c r="J76" s="9" t="s">
        <v>201</v>
      </c>
      <c r="K76" s="30">
        <v>1</v>
      </c>
      <c r="L76" s="9" t="s">
        <v>202</v>
      </c>
      <c r="M76" s="30" t="s">
        <v>84</v>
      </c>
      <c r="N76" s="30" t="s">
        <v>152</v>
      </c>
      <c r="O76" s="24">
        <v>0</v>
      </c>
      <c r="P76" s="24">
        <v>237</v>
      </c>
      <c r="Q76" s="24">
        <v>671</v>
      </c>
      <c r="R76" s="24">
        <v>0</v>
      </c>
      <c r="S76" s="24">
        <v>0</v>
      </c>
      <c r="T76" s="24">
        <v>908</v>
      </c>
    </row>
    <row r="77" spans="1:20">
      <c r="A77" s="9" t="s">
        <v>145</v>
      </c>
      <c r="B77" s="30" t="s">
        <v>185</v>
      </c>
      <c r="C77" s="30" t="str">
        <f>CONCATENATE(VOL_VOLUMEN_SUMINISTROS[[#This Row],[Proyecto]],VOL_VOLUMEN_SUMINISTROS[[#This Row],[J]],VOL_VOLUMEN_SUMINISTROS[[#This Row],[FIN DE SEMANA]])</f>
        <v>1052-1TNO</v>
      </c>
      <c r="D77" s="365" t="str">
        <f>CONCATENATE(VOL_VOLUMEN_SUMINISTROS[[#This Row],[Grupo]],VOL_VOLUMEN_SUMINISTROS[[#This Row],[Proyecto]],VOL_VOLUMEN_SUMINISTROS[[#This Row],[FIN DE SEMANA]])</f>
        <v>41052-1NO</v>
      </c>
      <c r="E77" s="30" t="s">
        <v>147</v>
      </c>
      <c r="F77" s="30" t="s">
        <v>148</v>
      </c>
      <c r="G77" s="365">
        <v>4</v>
      </c>
      <c r="H77" s="30">
        <v>8</v>
      </c>
      <c r="I77" s="9" t="s">
        <v>149</v>
      </c>
      <c r="J77" s="9" t="s">
        <v>201</v>
      </c>
      <c r="K77" s="30">
        <v>1</v>
      </c>
      <c r="L77" s="9" t="s">
        <v>202</v>
      </c>
      <c r="M77" s="30" t="s">
        <v>84</v>
      </c>
      <c r="N77" s="30" t="s">
        <v>155</v>
      </c>
      <c r="O77" s="24">
        <v>0</v>
      </c>
      <c r="P77" s="24">
        <v>162</v>
      </c>
      <c r="Q77" s="24">
        <v>462</v>
      </c>
      <c r="R77" s="24">
        <v>0</v>
      </c>
      <c r="S77" s="24">
        <v>0</v>
      </c>
      <c r="T77" s="24">
        <v>624</v>
      </c>
    </row>
    <row r="78" spans="1:20">
      <c r="A78" s="9" t="s">
        <v>145</v>
      </c>
      <c r="B78" s="30" t="s">
        <v>185</v>
      </c>
      <c r="C78" s="30" t="str">
        <f>CONCATENATE(VOL_VOLUMEN_SUMINISTROS[[#This Row],[Proyecto]],VOL_VOLUMEN_SUMINISTROS[[#This Row],[J]],VOL_VOLUMEN_SUMINISTROS[[#This Row],[FIN DE SEMANA]])</f>
        <v>1052-1MNO</v>
      </c>
      <c r="D78" s="365" t="str">
        <f>CONCATENATE(VOL_VOLUMEN_SUMINISTROS[[#This Row],[Grupo]],VOL_VOLUMEN_SUMINISTROS[[#This Row],[Proyecto]],VOL_VOLUMEN_SUMINISTROS[[#This Row],[FIN DE SEMANA]])</f>
        <v>41052-1NO</v>
      </c>
      <c r="E78" s="30" t="s">
        <v>147</v>
      </c>
      <c r="F78" s="30" t="s">
        <v>148</v>
      </c>
      <c r="G78" s="365">
        <v>4</v>
      </c>
      <c r="H78" s="30">
        <v>8</v>
      </c>
      <c r="I78" s="9" t="s">
        <v>149</v>
      </c>
      <c r="J78" s="9" t="s">
        <v>201</v>
      </c>
      <c r="K78" s="30">
        <v>2</v>
      </c>
      <c r="L78" s="9" t="s">
        <v>203</v>
      </c>
      <c r="M78" s="30" t="s">
        <v>84</v>
      </c>
      <c r="N78" s="30" t="s">
        <v>152</v>
      </c>
      <c r="O78" s="24">
        <v>107</v>
      </c>
      <c r="P78" s="24">
        <v>89</v>
      </c>
      <c r="Q78" s="24">
        <v>18</v>
      </c>
      <c r="R78" s="24">
        <v>0</v>
      </c>
      <c r="S78" s="24">
        <v>0</v>
      </c>
      <c r="T78" s="24">
        <v>214</v>
      </c>
    </row>
    <row r="79" spans="1:20">
      <c r="A79" s="9" t="s">
        <v>145</v>
      </c>
      <c r="B79" s="30" t="s">
        <v>185</v>
      </c>
      <c r="C79" s="30" t="str">
        <f>CONCATENATE(VOL_VOLUMEN_SUMINISTROS[[#This Row],[Proyecto]],VOL_VOLUMEN_SUMINISTROS[[#This Row],[J]],VOL_VOLUMEN_SUMINISTROS[[#This Row],[FIN DE SEMANA]])</f>
        <v>1052-1TNO</v>
      </c>
      <c r="D79" s="365" t="str">
        <f>CONCATENATE(VOL_VOLUMEN_SUMINISTROS[[#This Row],[Grupo]],VOL_VOLUMEN_SUMINISTROS[[#This Row],[Proyecto]],VOL_VOLUMEN_SUMINISTROS[[#This Row],[FIN DE SEMANA]])</f>
        <v>41052-1NO</v>
      </c>
      <c r="E79" s="30" t="s">
        <v>147</v>
      </c>
      <c r="F79" s="30" t="s">
        <v>148</v>
      </c>
      <c r="G79" s="365">
        <v>4</v>
      </c>
      <c r="H79" s="30">
        <v>8</v>
      </c>
      <c r="I79" s="9" t="s">
        <v>149</v>
      </c>
      <c r="J79" s="9" t="s">
        <v>201</v>
      </c>
      <c r="K79" s="30">
        <v>2</v>
      </c>
      <c r="L79" s="9" t="s">
        <v>203</v>
      </c>
      <c r="M79" s="30" t="s">
        <v>84</v>
      </c>
      <c r="N79" s="30" t="s">
        <v>155</v>
      </c>
      <c r="O79" s="24">
        <v>108</v>
      </c>
      <c r="P79" s="24">
        <v>84</v>
      </c>
      <c r="Q79" s="24">
        <v>17</v>
      </c>
      <c r="R79" s="24">
        <v>0</v>
      </c>
      <c r="S79" s="24">
        <v>0</v>
      </c>
      <c r="T79" s="24">
        <v>209</v>
      </c>
    </row>
    <row r="80" spans="1:20">
      <c r="A80" s="9" t="s">
        <v>145</v>
      </c>
      <c r="B80" s="30" t="s">
        <v>185</v>
      </c>
      <c r="C80" s="30" t="str">
        <f>CONCATENATE(VOL_VOLUMEN_SUMINISTROS[[#This Row],[Proyecto]],VOL_VOLUMEN_SUMINISTROS[[#This Row],[J]],VOL_VOLUMEN_SUMINISTROS[[#This Row],[FIN DE SEMANA]])</f>
        <v>1052-1MNO</v>
      </c>
      <c r="D80" s="365" t="str">
        <f>CONCATENATE(VOL_VOLUMEN_SUMINISTROS[[#This Row],[Grupo]],VOL_VOLUMEN_SUMINISTROS[[#This Row],[Proyecto]],VOL_VOLUMEN_SUMINISTROS[[#This Row],[FIN DE SEMANA]])</f>
        <v>41052-1NO</v>
      </c>
      <c r="E80" s="30" t="s">
        <v>147</v>
      </c>
      <c r="F80" s="30" t="s">
        <v>148</v>
      </c>
      <c r="G80" s="365">
        <v>4</v>
      </c>
      <c r="H80" s="30">
        <v>8</v>
      </c>
      <c r="I80" s="9" t="s">
        <v>149</v>
      </c>
      <c r="J80" s="9" t="s">
        <v>201</v>
      </c>
      <c r="K80" s="30">
        <v>3</v>
      </c>
      <c r="L80" s="9" t="s">
        <v>204</v>
      </c>
      <c r="M80" s="30" t="s">
        <v>84</v>
      </c>
      <c r="N80" s="30" t="s">
        <v>152</v>
      </c>
      <c r="O80" s="24">
        <v>92</v>
      </c>
      <c r="P80" s="24">
        <v>151</v>
      </c>
      <c r="Q80" s="24">
        <v>35</v>
      </c>
      <c r="R80" s="24">
        <v>0</v>
      </c>
      <c r="S80" s="24">
        <v>0</v>
      </c>
      <c r="T80" s="24">
        <v>278</v>
      </c>
    </row>
    <row r="81" spans="1:20">
      <c r="A81" s="9" t="s">
        <v>145</v>
      </c>
      <c r="B81" s="30" t="s">
        <v>185</v>
      </c>
      <c r="C81" s="30" t="str">
        <f>CONCATENATE(VOL_VOLUMEN_SUMINISTROS[[#This Row],[Proyecto]],VOL_VOLUMEN_SUMINISTROS[[#This Row],[J]],VOL_VOLUMEN_SUMINISTROS[[#This Row],[FIN DE SEMANA]])</f>
        <v>1052-1TNO</v>
      </c>
      <c r="D81" s="365" t="str">
        <f>CONCATENATE(VOL_VOLUMEN_SUMINISTROS[[#This Row],[Grupo]],VOL_VOLUMEN_SUMINISTROS[[#This Row],[Proyecto]],VOL_VOLUMEN_SUMINISTROS[[#This Row],[FIN DE SEMANA]])</f>
        <v>41052-1NO</v>
      </c>
      <c r="E81" s="30" t="s">
        <v>147</v>
      </c>
      <c r="F81" s="30" t="s">
        <v>148</v>
      </c>
      <c r="G81" s="365">
        <v>4</v>
      </c>
      <c r="H81" s="30">
        <v>8</v>
      </c>
      <c r="I81" s="9" t="s">
        <v>149</v>
      </c>
      <c r="J81" s="9" t="s">
        <v>201</v>
      </c>
      <c r="K81" s="30">
        <v>3</v>
      </c>
      <c r="L81" s="9" t="s">
        <v>204</v>
      </c>
      <c r="M81" s="30" t="s">
        <v>84</v>
      </c>
      <c r="N81" s="30" t="s">
        <v>155</v>
      </c>
      <c r="O81" s="24">
        <v>70</v>
      </c>
      <c r="P81" s="24">
        <v>140</v>
      </c>
      <c r="Q81" s="24">
        <v>35</v>
      </c>
      <c r="R81" s="24">
        <v>0</v>
      </c>
      <c r="S81" s="24">
        <v>0</v>
      </c>
      <c r="T81" s="24">
        <v>245</v>
      </c>
    </row>
    <row r="82" spans="1:20">
      <c r="A82" s="9" t="s">
        <v>145</v>
      </c>
      <c r="B82" s="30" t="s">
        <v>185</v>
      </c>
      <c r="C82" s="30" t="str">
        <f>CONCATENATE(VOL_VOLUMEN_SUMINISTROS[[#This Row],[Proyecto]],VOL_VOLUMEN_SUMINISTROS[[#This Row],[J]],VOL_VOLUMEN_SUMINISTROS[[#This Row],[FIN DE SEMANA]])</f>
        <v>1052-1MNO</v>
      </c>
      <c r="D82" s="365" t="str">
        <f>CONCATENATE(VOL_VOLUMEN_SUMINISTROS[[#This Row],[Grupo]],VOL_VOLUMEN_SUMINISTROS[[#This Row],[Proyecto]],VOL_VOLUMEN_SUMINISTROS[[#This Row],[FIN DE SEMANA]])</f>
        <v>41052-1NO</v>
      </c>
      <c r="E82" s="30" t="s">
        <v>147</v>
      </c>
      <c r="F82" s="30" t="s">
        <v>148</v>
      </c>
      <c r="G82" s="365">
        <v>4</v>
      </c>
      <c r="H82" s="30">
        <v>8</v>
      </c>
      <c r="I82" s="9" t="s">
        <v>149</v>
      </c>
      <c r="J82" s="9" t="s">
        <v>201</v>
      </c>
      <c r="K82" s="30">
        <v>4</v>
      </c>
      <c r="L82" s="9" t="s">
        <v>205</v>
      </c>
      <c r="M82" s="30" t="s">
        <v>84</v>
      </c>
      <c r="N82" s="30" t="s">
        <v>152</v>
      </c>
      <c r="O82" s="24">
        <v>153</v>
      </c>
      <c r="P82" s="24">
        <v>34</v>
      </c>
      <c r="Q82" s="24">
        <v>0</v>
      </c>
      <c r="R82" s="24">
        <v>0</v>
      </c>
      <c r="S82" s="24">
        <v>0</v>
      </c>
      <c r="T82" s="24">
        <v>187</v>
      </c>
    </row>
    <row r="83" spans="1:20">
      <c r="A83" s="9" t="s">
        <v>145</v>
      </c>
      <c r="B83" s="30" t="s">
        <v>185</v>
      </c>
      <c r="C83" s="30" t="str">
        <f>CONCATENATE(VOL_VOLUMEN_SUMINISTROS[[#This Row],[Proyecto]],VOL_VOLUMEN_SUMINISTROS[[#This Row],[J]],VOL_VOLUMEN_SUMINISTROS[[#This Row],[FIN DE SEMANA]])</f>
        <v>1052-1TNO</v>
      </c>
      <c r="D83" s="365" t="str">
        <f>CONCATENATE(VOL_VOLUMEN_SUMINISTROS[[#This Row],[Grupo]],VOL_VOLUMEN_SUMINISTROS[[#This Row],[Proyecto]],VOL_VOLUMEN_SUMINISTROS[[#This Row],[FIN DE SEMANA]])</f>
        <v>41052-1NO</v>
      </c>
      <c r="E83" s="30" t="s">
        <v>147</v>
      </c>
      <c r="F83" s="30" t="s">
        <v>148</v>
      </c>
      <c r="G83" s="365">
        <v>4</v>
      </c>
      <c r="H83" s="30">
        <v>8</v>
      </c>
      <c r="I83" s="9" t="s">
        <v>149</v>
      </c>
      <c r="J83" s="9" t="s">
        <v>201</v>
      </c>
      <c r="K83" s="30">
        <v>4</v>
      </c>
      <c r="L83" s="9" t="s">
        <v>205</v>
      </c>
      <c r="M83" s="30" t="s">
        <v>84</v>
      </c>
      <c r="N83" s="30" t="s">
        <v>155</v>
      </c>
      <c r="O83" s="24">
        <v>148</v>
      </c>
      <c r="P83" s="24">
        <v>35</v>
      </c>
      <c r="Q83" s="24">
        <v>0</v>
      </c>
      <c r="R83" s="24">
        <v>0</v>
      </c>
      <c r="S83" s="24">
        <v>0</v>
      </c>
      <c r="T83" s="24">
        <v>183</v>
      </c>
    </row>
    <row r="84" spans="1:20">
      <c r="A84" s="9" t="s">
        <v>145</v>
      </c>
      <c r="B84" s="30" t="s">
        <v>185</v>
      </c>
      <c r="C84" s="30" t="str">
        <f>CONCATENATE(VOL_VOLUMEN_SUMINISTROS[[#This Row],[Proyecto]],VOL_VOLUMEN_SUMINISTROS[[#This Row],[J]],VOL_VOLUMEN_SUMINISTROS[[#This Row],[FIN DE SEMANA]])</f>
        <v>1052-1MNO</v>
      </c>
      <c r="D84" s="365" t="str">
        <f>CONCATENATE(VOL_VOLUMEN_SUMINISTROS[[#This Row],[Grupo]],VOL_VOLUMEN_SUMINISTROS[[#This Row],[Proyecto]],VOL_VOLUMEN_SUMINISTROS[[#This Row],[FIN DE SEMANA]])</f>
        <v>41052-1NO</v>
      </c>
      <c r="E84" s="30" t="s">
        <v>147</v>
      </c>
      <c r="F84" s="30" t="s">
        <v>148</v>
      </c>
      <c r="G84" s="365">
        <v>4</v>
      </c>
      <c r="H84" s="30">
        <v>8</v>
      </c>
      <c r="I84" s="9" t="s">
        <v>149</v>
      </c>
      <c r="J84" s="9" t="s">
        <v>206</v>
      </c>
      <c r="K84" s="30">
        <v>1</v>
      </c>
      <c r="L84" s="9" t="s">
        <v>207</v>
      </c>
      <c r="M84" s="30" t="s">
        <v>84</v>
      </c>
      <c r="N84" s="30" t="s">
        <v>152</v>
      </c>
      <c r="O84" s="24">
        <v>476</v>
      </c>
      <c r="P84" s="24">
        <v>672</v>
      </c>
      <c r="Q84" s="24">
        <v>747</v>
      </c>
      <c r="R84" s="24">
        <v>0</v>
      </c>
      <c r="S84" s="24">
        <v>0</v>
      </c>
      <c r="T84" s="24">
        <v>1895</v>
      </c>
    </row>
    <row r="85" spans="1:20">
      <c r="A85" s="9" t="s">
        <v>145</v>
      </c>
      <c r="B85" s="30" t="s">
        <v>185</v>
      </c>
      <c r="C85" s="30" t="str">
        <f>CONCATENATE(VOL_VOLUMEN_SUMINISTROS[[#This Row],[Proyecto]],VOL_VOLUMEN_SUMINISTROS[[#This Row],[J]],VOL_VOLUMEN_SUMINISTROS[[#This Row],[FIN DE SEMANA]])</f>
        <v>1052-1TNO</v>
      </c>
      <c r="D85" s="365" t="str">
        <f>CONCATENATE(VOL_VOLUMEN_SUMINISTROS[[#This Row],[Grupo]],VOL_VOLUMEN_SUMINISTROS[[#This Row],[Proyecto]],VOL_VOLUMEN_SUMINISTROS[[#This Row],[FIN DE SEMANA]])</f>
        <v>41052-1NO</v>
      </c>
      <c r="E85" s="30" t="s">
        <v>147</v>
      </c>
      <c r="F85" s="30" t="s">
        <v>148</v>
      </c>
      <c r="G85" s="365">
        <v>4</v>
      </c>
      <c r="H85" s="30">
        <v>8</v>
      </c>
      <c r="I85" s="9" t="s">
        <v>149</v>
      </c>
      <c r="J85" s="9" t="s">
        <v>206</v>
      </c>
      <c r="K85" s="30">
        <v>1</v>
      </c>
      <c r="L85" s="9" t="s">
        <v>207</v>
      </c>
      <c r="M85" s="30" t="s">
        <v>84</v>
      </c>
      <c r="N85" s="30" t="s">
        <v>155</v>
      </c>
      <c r="O85" s="24">
        <v>470</v>
      </c>
      <c r="P85" s="24">
        <v>726</v>
      </c>
      <c r="Q85" s="24">
        <v>610</v>
      </c>
      <c r="R85" s="24">
        <v>0</v>
      </c>
      <c r="S85" s="24">
        <v>0</v>
      </c>
      <c r="T85" s="24">
        <v>1806</v>
      </c>
    </row>
    <row r="86" spans="1:20">
      <c r="A86" s="9" t="s">
        <v>145</v>
      </c>
      <c r="B86" s="30" t="s">
        <v>185</v>
      </c>
      <c r="C86" s="30" t="str">
        <f>CONCATENATE(VOL_VOLUMEN_SUMINISTROS[[#This Row],[Proyecto]],VOL_VOLUMEN_SUMINISTROS[[#This Row],[J]],VOL_VOLUMEN_SUMINISTROS[[#This Row],[FIN DE SEMANA]])</f>
        <v>1052-1MNO</v>
      </c>
      <c r="D86" s="365" t="str">
        <f>CONCATENATE(VOL_VOLUMEN_SUMINISTROS[[#This Row],[Grupo]],VOL_VOLUMEN_SUMINISTROS[[#This Row],[Proyecto]],VOL_VOLUMEN_SUMINISTROS[[#This Row],[FIN DE SEMANA]])</f>
        <v>41052-1NO</v>
      </c>
      <c r="E86" s="30" t="s">
        <v>147</v>
      </c>
      <c r="F86" s="30" t="s">
        <v>148</v>
      </c>
      <c r="G86" s="365">
        <v>4</v>
      </c>
      <c r="H86" s="30">
        <v>8</v>
      </c>
      <c r="I86" s="9" t="s">
        <v>149</v>
      </c>
      <c r="J86" s="9" t="s">
        <v>206</v>
      </c>
      <c r="K86" s="30">
        <v>2</v>
      </c>
      <c r="L86" s="9" t="s">
        <v>208</v>
      </c>
      <c r="M86" s="30" t="s">
        <v>84</v>
      </c>
      <c r="N86" s="30" t="s">
        <v>152</v>
      </c>
      <c r="O86" s="24">
        <v>156</v>
      </c>
      <c r="P86" s="24">
        <v>252</v>
      </c>
      <c r="Q86" s="24">
        <v>58</v>
      </c>
      <c r="R86" s="24">
        <v>0</v>
      </c>
      <c r="S86" s="24">
        <v>0</v>
      </c>
      <c r="T86" s="24">
        <v>466</v>
      </c>
    </row>
    <row r="87" spans="1:20">
      <c r="A87" s="9" t="s">
        <v>145</v>
      </c>
      <c r="B87" s="30" t="s">
        <v>185</v>
      </c>
      <c r="C87" s="30" t="str">
        <f>CONCATENATE(VOL_VOLUMEN_SUMINISTROS[[#This Row],[Proyecto]],VOL_VOLUMEN_SUMINISTROS[[#This Row],[J]],VOL_VOLUMEN_SUMINISTROS[[#This Row],[FIN DE SEMANA]])</f>
        <v>1052-1TNO</v>
      </c>
      <c r="D87" s="365" t="str">
        <f>CONCATENATE(VOL_VOLUMEN_SUMINISTROS[[#This Row],[Grupo]],VOL_VOLUMEN_SUMINISTROS[[#This Row],[Proyecto]],VOL_VOLUMEN_SUMINISTROS[[#This Row],[FIN DE SEMANA]])</f>
        <v>41052-1NO</v>
      </c>
      <c r="E87" s="30" t="s">
        <v>147</v>
      </c>
      <c r="F87" s="30" t="s">
        <v>148</v>
      </c>
      <c r="G87" s="365">
        <v>4</v>
      </c>
      <c r="H87" s="30">
        <v>8</v>
      </c>
      <c r="I87" s="9" t="s">
        <v>149</v>
      </c>
      <c r="J87" s="9" t="s">
        <v>206</v>
      </c>
      <c r="K87" s="30">
        <v>2</v>
      </c>
      <c r="L87" s="9" t="s">
        <v>208</v>
      </c>
      <c r="M87" s="30" t="s">
        <v>84</v>
      </c>
      <c r="N87" s="30" t="s">
        <v>155</v>
      </c>
      <c r="O87" s="24">
        <v>152</v>
      </c>
      <c r="P87" s="24">
        <v>232</v>
      </c>
      <c r="Q87" s="24">
        <v>52</v>
      </c>
      <c r="R87" s="24">
        <v>0</v>
      </c>
      <c r="S87" s="24">
        <v>0</v>
      </c>
      <c r="T87" s="24">
        <v>436</v>
      </c>
    </row>
    <row r="88" spans="1:20">
      <c r="A88" s="9" t="s">
        <v>145</v>
      </c>
      <c r="B88" s="30" t="s">
        <v>185</v>
      </c>
      <c r="C88" s="30" t="str">
        <f>CONCATENATE(VOL_VOLUMEN_SUMINISTROS[[#This Row],[Proyecto]],VOL_VOLUMEN_SUMINISTROS[[#This Row],[J]],VOL_VOLUMEN_SUMINISTROS[[#This Row],[FIN DE SEMANA]])</f>
        <v>1052-1MNO</v>
      </c>
      <c r="D88" s="365" t="str">
        <f>CONCATENATE(VOL_VOLUMEN_SUMINISTROS[[#This Row],[Grupo]],VOL_VOLUMEN_SUMINISTROS[[#This Row],[Proyecto]],VOL_VOLUMEN_SUMINISTROS[[#This Row],[FIN DE SEMANA]])</f>
        <v>41052-1NO</v>
      </c>
      <c r="E88" s="30" t="s">
        <v>147</v>
      </c>
      <c r="F88" s="30" t="s">
        <v>148</v>
      </c>
      <c r="G88" s="365">
        <v>4</v>
      </c>
      <c r="H88" s="30">
        <v>8</v>
      </c>
      <c r="I88" s="9" t="s">
        <v>149</v>
      </c>
      <c r="J88" s="9" t="s">
        <v>206</v>
      </c>
      <c r="K88" s="30">
        <v>3</v>
      </c>
      <c r="L88" s="9" t="s">
        <v>209</v>
      </c>
      <c r="M88" s="30" t="s">
        <v>84</v>
      </c>
      <c r="N88" s="30" t="s">
        <v>152</v>
      </c>
      <c r="O88" s="24">
        <v>176</v>
      </c>
      <c r="P88" s="24">
        <v>36</v>
      </c>
      <c r="Q88" s="24">
        <v>0</v>
      </c>
      <c r="R88" s="24">
        <v>0</v>
      </c>
      <c r="S88" s="24">
        <v>0</v>
      </c>
      <c r="T88" s="24">
        <v>212</v>
      </c>
    </row>
    <row r="89" spans="1:20">
      <c r="A89" s="9" t="s">
        <v>145</v>
      </c>
      <c r="B89" s="30" t="s">
        <v>185</v>
      </c>
      <c r="C89" s="30" t="str">
        <f>CONCATENATE(VOL_VOLUMEN_SUMINISTROS[[#This Row],[Proyecto]],VOL_VOLUMEN_SUMINISTROS[[#This Row],[J]],VOL_VOLUMEN_SUMINISTROS[[#This Row],[FIN DE SEMANA]])</f>
        <v>1052-1TNO</v>
      </c>
      <c r="D89" s="365" t="str">
        <f>CONCATENATE(VOL_VOLUMEN_SUMINISTROS[[#This Row],[Grupo]],VOL_VOLUMEN_SUMINISTROS[[#This Row],[Proyecto]],VOL_VOLUMEN_SUMINISTROS[[#This Row],[FIN DE SEMANA]])</f>
        <v>41052-1NO</v>
      </c>
      <c r="E89" s="30" t="s">
        <v>147</v>
      </c>
      <c r="F89" s="30" t="s">
        <v>148</v>
      </c>
      <c r="G89" s="365">
        <v>4</v>
      </c>
      <c r="H89" s="30">
        <v>8</v>
      </c>
      <c r="I89" s="9" t="s">
        <v>149</v>
      </c>
      <c r="J89" s="9" t="s">
        <v>206</v>
      </c>
      <c r="K89" s="30">
        <v>3</v>
      </c>
      <c r="L89" s="9" t="s">
        <v>209</v>
      </c>
      <c r="M89" s="30" t="s">
        <v>84</v>
      </c>
      <c r="N89" s="30" t="s">
        <v>155</v>
      </c>
      <c r="O89" s="24">
        <v>164</v>
      </c>
      <c r="P89" s="24">
        <v>33</v>
      </c>
      <c r="Q89" s="24">
        <v>0</v>
      </c>
      <c r="R89" s="24">
        <v>0</v>
      </c>
      <c r="S89" s="24">
        <v>0</v>
      </c>
      <c r="T89" s="24">
        <v>197</v>
      </c>
    </row>
    <row r="90" spans="1:20">
      <c r="A90" s="9" t="s">
        <v>145</v>
      </c>
      <c r="B90" s="30" t="s">
        <v>185</v>
      </c>
      <c r="C90" s="30" t="str">
        <f>CONCATENATE(VOL_VOLUMEN_SUMINISTROS[[#This Row],[Proyecto]],VOL_VOLUMEN_SUMINISTROS[[#This Row],[J]],VOL_VOLUMEN_SUMINISTROS[[#This Row],[FIN DE SEMANA]])</f>
        <v>1052-1MNO</v>
      </c>
      <c r="D90" s="365" t="str">
        <f>CONCATENATE(VOL_VOLUMEN_SUMINISTROS[[#This Row],[Grupo]],VOL_VOLUMEN_SUMINISTROS[[#This Row],[Proyecto]],VOL_VOLUMEN_SUMINISTROS[[#This Row],[FIN DE SEMANA]])</f>
        <v>41052-1NO</v>
      </c>
      <c r="E90" s="30" t="s">
        <v>147</v>
      </c>
      <c r="F90" s="30" t="s">
        <v>148</v>
      </c>
      <c r="G90" s="365">
        <v>4</v>
      </c>
      <c r="H90" s="30">
        <v>8</v>
      </c>
      <c r="I90" s="9" t="s">
        <v>149</v>
      </c>
      <c r="J90" s="9" t="s">
        <v>210</v>
      </c>
      <c r="K90" s="30">
        <v>1</v>
      </c>
      <c r="L90" s="9" t="s">
        <v>211</v>
      </c>
      <c r="M90" s="30" t="s">
        <v>84</v>
      </c>
      <c r="N90" s="30" t="s">
        <v>152</v>
      </c>
      <c r="O90" s="24">
        <v>170</v>
      </c>
      <c r="P90" s="24">
        <v>378</v>
      </c>
      <c r="Q90" s="24">
        <v>543</v>
      </c>
      <c r="R90" s="24">
        <v>0</v>
      </c>
      <c r="S90" s="24">
        <v>0</v>
      </c>
      <c r="T90" s="24">
        <v>1091</v>
      </c>
    </row>
    <row r="91" spans="1:20">
      <c r="A91" s="9" t="s">
        <v>145</v>
      </c>
      <c r="B91" s="30" t="s">
        <v>185</v>
      </c>
      <c r="C91" s="30" t="str">
        <f>CONCATENATE(VOL_VOLUMEN_SUMINISTROS[[#This Row],[Proyecto]],VOL_VOLUMEN_SUMINISTROS[[#This Row],[J]],VOL_VOLUMEN_SUMINISTROS[[#This Row],[FIN DE SEMANA]])</f>
        <v>1052-1TNO</v>
      </c>
      <c r="D91" s="365" t="str">
        <f>CONCATENATE(VOL_VOLUMEN_SUMINISTROS[[#This Row],[Grupo]],VOL_VOLUMEN_SUMINISTROS[[#This Row],[Proyecto]],VOL_VOLUMEN_SUMINISTROS[[#This Row],[FIN DE SEMANA]])</f>
        <v>41052-1NO</v>
      </c>
      <c r="E91" s="30" t="s">
        <v>147</v>
      </c>
      <c r="F91" s="30" t="s">
        <v>148</v>
      </c>
      <c r="G91" s="365">
        <v>4</v>
      </c>
      <c r="H91" s="30">
        <v>8</v>
      </c>
      <c r="I91" s="9" t="s">
        <v>149</v>
      </c>
      <c r="J91" s="9" t="s">
        <v>210</v>
      </c>
      <c r="K91" s="30">
        <v>1</v>
      </c>
      <c r="L91" s="9" t="s">
        <v>153</v>
      </c>
      <c r="M91" s="30" t="s">
        <v>84</v>
      </c>
      <c r="N91" s="30" t="s">
        <v>155</v>
      </c>
      <c r="O91" s="24">
        <v>111</v>
      </c>
      <c r="P91" s="24">
        <v>362</v>
      </c>
      <c r="Q91" s="24">
        <v>448</v>
      </c>
      <c r="R91" s="24">
        <v>0</v>
      </c>
      <c r="S91" s="24">
        <v>0</v>
      </c>
      <c r="T91" s="24">
        <v>921</v>
      </c>
    </row>
    <row r="92" spans="1:20">
      <c r="A92" s="9" t="s">
        <v>145</v>
      </c>
      <c r="B92" s="30" t="s">
        <v>185</v>
      </c>
      <c r="C92" s="30" t="str">
        <f>CONCATENATE(VOL_VOLUMEN_SUMINISTROS[[#This Row],[Proyecto]],VOL_VOLUMEN_SUMINISTROS[[#This Row],[J]],VOL_VOLUMEN_SUMINISTROS[[#This Row],[FIN DE SEMANA]])</f>
        <v>1052-1MNO</v>
      </c>
      <c r="D92" s="365" t="str">
        <f>CONCATENATE(VOL_VOLUMEN_SUMINISTROS[[#This Row],[Grupo]],VOL_VOLUMEN_SUMINISTROS[[#This Row],[Proyecto]],VOL_VOLUMEN_SUMINISTROS[[#This Row],[FIN DE SEMANA]])</f>
        <v>41052-1NO</v>
      </c>
      <c r="E92" s="30" t="s">
        <v>147</v>
      </c>
      <c r="F92" s="30" t="s">
        <v>148</v>
      </c>
      <c r="G92" s="365">
        <v>4</v>
      </c>
      <c r="H92" s="30">
        <v>8</v>
      </c>
      <c r="I92" s="9" t="s">
        <v>149</v>
      </c>
      <c r="J92" s="9" t="s">
        <v>210</v>
      </c>
      <c r="K92" s="30">
        <v>2</v>
      </c>
      <c r="L92" s="9" t="s">
        <v>212</v>
      </c>
      <c r="M92" s="30" t="s">
        <v>84</v>
      </c>
      <c r="N92" s="30" t="s">
        <v>152</v>
      </c>
      <c r="O92" s="24">
        <v>234</v>
      </c>
      <c r="P92" s="24">
        <v>67</v>
      </c>
      <c r="Q92" s="24">
        <v>0</v>
      </c>
      <c r="R92" s="24">
        <v>0</v>
      </c>
      <c r="S92" s="24">
        <v>0</v>
      </c>
      <c r="T92" s="24">
        <v>301</v>
      </c>
    </row>
    <row r="93" spans="1:20">
      <c r="A93" s="9" t="s">
        <v>145</v>
      </c>
      <c r="B93" s="30" t="s">
        <v>185</v>
      </c>
      <c r="C93" s="30" t="str">
        <f>CONCATENATE(VOL_VOLUMEN_SUMINISTROS[[#This Row],[Proyecto]],VOL_VOLUMEN_SUMINISTROS[[#This Row],[J]],VOL_VOLUMEN_SUMINISTROS[[#This Row],[FIN DE SEMANA]])</f>
        <v>1052-1TNO</v>
      </c>
      <c r="D93" s="365" t="str">
        <f>CONCATENATE(VOL_VOLUMEN_SUMINISTROS[[#This Row],[Grupo]],VOL_VOLUMEN_SUMINISTROS[[#This Row],[Proyecto]],VOL_VOLUMEN_SUMINISTROS[[#This Row],[FIN DE SEMANA]])</f>
        <v>41052-1NO</v>
      </c>
      <c r="E93" s="30" t="s">
        <v>147</v>
      </c>
      <c r="F93" s="30" t="s">
        <v>148</v>
      </c>
      <c r="G93" s="365">
        <v>4</v>
      </c>
      <c r="H93" s="30">
        <v>8</v>
      </c>
      <c r="I93" s="9" t="s">
        <v>149</v>
      </c>
      <c r="J93" s="9" t="s">
        <v>210</v>
      </c>
      <c r="K93" s="30">
        <v>2</v>
      </c>
      <c r="L93" s="9" t="s">
        <v>165</v>
      </c>
      <c r="M93" s="30" t="s">
        <v>84</v>
      </c>
      <c r="N93" s="30" t="s">
        <v>155</v>
      </c>
      <c r="O93" s="24">
        <v>223</v>
      </c>
      <c r="P93" s="24">
        <v>49</v>
      </c>
      <c r="Q93" s="24">
        <v>0</v>
      </c>
      <c r="R93" s="24">
        <v>0</v>
      </c>
      <c r="S93" s="24">
        <v>0</v>
      </c>
      <c r="T93" s="24">
        <v>272</v>
      </c>
    </row>
    <row r="94" spans="1:20">
      <c r="A94" s="9" t="s">
        <v>145</v>
      </c>
      <c r="B94" s="30" t="s">
        <v>185</v>
      </c>
      <c r="C94" s="30" t="str">
        <f>CONCATENATE(VOL_VOLUMEN_SUMINISTROS[[#This Row],[Proyecto]],VOL_VOLUMEN_SUMINISTROS[[#This Row],[J]],VOL_VOLUMEN_SUMINISTROS[[#This Row],[FIN DE SEMANA]])</f>
        <v>1052-1MNO</v>
      </c>
      <c r="D94" s="365" t="str">
        <f>CONCATENATE(VOL_VOLUMEN_SUMINISTROS[[#This Row],[Grupo]],VOL_VOLUMEN_SUMINISTROS[[#This Row],[Proyecto]],VOL_VOLUMEN_SUMINISTROS[[#This Row],[FIN DE SEMANA]])</f>
        <v>41052-1NO</v>
      </c>
      <c r="E94" s="30" t="s">
        <v>147</v>
      </c>
      <c r="F94" s="30" t="s">
        <v>148</v>
      </c>
      <c r="G94" s="365">
        <v>4</v>
      </c>
      <c r="H94" s="30">
        <v>8</v>
      </c>
      <c r="I94" s="9" t="s">
        <v>149</v>
      </c>
      <c r="J94" s="9" t="s">
        <v>213</v>
      </c>
      <c r="K94" s="30">
        <v>2</v>
      </c>
      <c r="L94" s="9" t="s">
        <v>214</v>
      </c>
      <c r="M94" s="30" t="s">
        <v>84</v>
      </c>
      <c r="N94" s="30" t="s">
        <v>152</v>
      </c>
      <c r="O94" s="24">
        <v>185</v>
      </c>
      <c r="P94" s="24">
        <v>300</v>
      </c>
      <c r="Q94" s="24">
        <v>376</v>
      </c>
      <c r="R94" s="24">
        <v>0</v>
      </c>
      <c r="S94" s="24">
        <v>0</v>
      </c>
      <c r="T94" s="24">
        <v>861</v>
      </c>
    </row>
    <row r="95" spans="1:20">
      <c r="A95" s="9" t="s">
        <v>145</v>
      </c>
      <c r="B95" s="30" t="s">
        <v>185</v>
      </c>
      <c r="C95" s="30" t="str">
        <f>CONCATENATE(VOL_VOLUMEN_SUMINISTROS[[#This Row],[Proyecto]],VOL_VOLUMEN_SUMINISTROS[[#This Row],[J]],VOL_VOLUMEN_SUMINISTROS[[#This Row],[FIN DE SEMANA]])</f>
        <v>1052-1TNO</v>
      </c>
      <c r="D95" s="365" t="str">
        <f>CONCATENATE(VOL_VOLUMEN_SUMINISTROS[[#This Row],[Grupo]],VOL_VOLUMEN_SUMINISTROS[[#This Row],[Proyecto]],VOL_VOLUMEN_SUMINISTROS[[#This Row],[FIN DE SEMANA]])</f>
        <v>41052-1NO</v>
      </c>
      <c r="E95" s="30" t="s">
        <v>147</v>
      </c>
      <c r="F95" s="30" t="s">
        <v>148</v>
      </c>
      <c r="G95" s="365">
        <v>4</v>
      </c>
      <c r="H95" s="30">
        <v>8</v>
      </c>
      <c r="I95" s="9" t="s">
        <v>149</v>
      </c>
      <c r="J95" s="9" t="s">
        <v>213</v>
      </c>
      <c r="K95" s="30">
        <v>2</v>
      </c>
      <c r="L95" s="9" t="s">
        <v>214</v>
      </c>
      <c r="M95" s="30" t="s">
        <v>84</v>
      </c>
      <c r="N95" s="30" t="s">
        <v>155</v>
      </c>
      <c r="O95" s="24">
        <v>189</v>
      </c>
      <c r="P95" s="24">
        <v>294</v>
      </c>
      <c r="Q95" s="24">
        <v>370</v>
      </c>
      <c r="R95" s="24">
        <v>0</v>
      </c>
      <c r="S95" s="24">
        <v>0</v>
      </c>
      <c r="T95" s="24">
        <v>853</v>
      </c>
    </row>
    <row r="96" spans="1:20">
      <c r="A96" s="9" t="s">
        <v>145</v>
      </c>
      <c r="B96" s="30" t="s">
        <v>215</v>
      </c>
      <c r="C96" s="30" t="str">
        <f>CONCATENATE(VOL_VOLUMEN_SUMINISTROS[[#This Row],[Proyecto]],VOL_VOLUMEN_SUMINISTROS[[#This Row],[J]],VOL_VOLUMEN_SUMINISTROS[[#This Row],[FIN DE SEMANA]])</f>
        <v>1052-2M1NO</v>
      </c>
      <c r="D96" s="365" t="str">
        <f>CONCATENATE(VOL_VOLUMEN_SUMINISTROS[[#This Row],[Grupo]],VOL_VOLUMEN_SUMINISTROS[[#This Row],[Proyecto]],VOL_VOLUMEN_SUMINISTROS[[#This Row],[FIN DE SEMANA]])</f>
        <v>41052-2NO</v>
      </c>
      <c r="E96" s="30" t="s">
        <v>183</v>
      </c>
      <c r="F96" s="30" t="s">
        <v>148</v>
      </c>
      <c r="G96" s="365">
        <v>4</v>
      </c>
      <c r="H96" s="30">
        <v>8</v>
      </c>
      <c r="I96" s="9" t="s">
        <v>149</v>
      </c>
      <c r="J96" s="9" t="s">
        <v>198</v>
      </c>
      <c r="K96" s="30">
        <v>1</v>
      </c>
      <c r="L96" s="9" t="s">
        <v>199</v>
      </c>
      <c r="M96" s="30" t="s">
        <v>84</v>
      </c>
      <c r="N96" s="30" t="s">
        <v>216</v>
      </c>
      <c r="O96" s="24">
        <v>38</v>
      </c>
      <c r="P96" s="24">
        <v>139</v>
      </c>
      <c r="Q96" s="24">
        <v>100</v>
      </c>
      <c r="R96" s="24">
        <v>0</v>
      </c>
      <c r="S96" s="24">
        <v>0</v>
      </c>
      <c r="T96" s="24">
        <v>277</v>
      </c>
    </row>
    <row r="97" spans="1:20">
      <c r="A97" s="9" t="s">
        <v>145</v>
      </c>
      <c r="B97" s="30" t="s">
        <v>215</v>
      </c>
      <c r="C97" s="30" t="str">
        <f>CONCATENATE(VOL_VOLUMEN_SUMINISTROS[[#This Row],[Proyecto]],VOL_VOLUMEN_SUMINISTROS[[#This Row],[J]],VOL_VOLUMEN_SUMINISTROS[[#This Row],[FIN DE SEMANA]])</f>
        <v>1052-2TNO</v>
      </c>
      <c r="D97" s="365" t="str">
        <f>CONCATENATE(VOL_VOLUMEN_SUMINISTROS[[#This Row],[Grupo]],VOL_VOLUMEN_SUMINISTROS[[#This Row],[Proyecto]],VOL_VOLUMEN_SUMINISTROS[[#This Row],[FIN DE SEMANA]])</f>
        <v>41052-2NO</v>
      </c>
      <c r="E97" s="30" t="s">
        <v>183</v>
      </c>
      <c r="F97" s="30" t="s">
        <v>148</v>
      </c>
      <c r="G97" s="365">
        <v>4</v>
      </c>
      <c r="H97" s="30">
        <v>8</v>
      </c>
      <c r="I97" s="9" t="s">
        <v>149</v>
      </c>
      <c r="J97" s="9" t="s">
        <v>198</v>
      </c>
      <c r="K97" s="30">
        <v>1</v>
      </c>
      <c r="L97" s="9" t="s">
        <v>199</v>
      </c>
      <c r="M97" s="30" t="s">
        <v>84</v>
      </c>
      <c r="N97" s="30" t="s">
        <v>155</v>
      </c>
      <c r="O97" s="24">
        <v>40</v>
      </c>
      <c r="P97" s="24">
        <v>155</v>
      </c>
      <c r="Q97" s="24">
        <v>105</v>
      </c>
      <c r="R97" s="24">
        <v>0</v>
      </c>
      <c r="S97" s="24">
        <v>0</v>
      </c>
      <c r="T97" s="24">
        <v>300</v>
      </c>
    </row>
    <row r="98" spans="1:20">
      <c r="A98" s="9" t="s">
        <v>145</v>
      </c>
      <c r="B98" s="30" t="s">
        <v>215</v>
      </c>
      <c r="C98" s="30" t="str">
        <f>CONCATENATE(VOL_VOLUMEN_SUMINISTROS[[#This Row],[Proyecto]],VOL_VOLUMEN_SUMINISTROS[[#This Row],[J]],VOL_VOLUMEN_SUMINISTROS[[#This Row],[FIN DE SEMANA]])</f>
        <v>1052-2M1NO</v>
      </c>
      <c r="D98" s="365" t="str">
        <f>CONCATENATE(VOL_VOLUMEN_SUMINISTROS[[#This Row],[Grupo]],VOL_VOLUMEN_SUMINISTROS[[#This Row],[Proyecto]],VOL_VOLUMEN_SUMINISTROS[[#This Row],[FIN DE SEMANA]])</f>
        <v>41052-2NO</v>
      </c>
      <c r="E98" s="30" t="s">
        <v>183</v>
      </c>
      <c r="F98" s="30" t="s">
        <v>148</v>
      </c>
      <c r="G98" s="365">
        <v>4</v>
      </c>
      <c r="H98" s="30">
        <v>8</v>
      </c>
      <c r="I98" s="9" t="s">
        <v>149</v>
      </c>
      <c r="J98" s="9" t="s">
        <v>198</v>
      </c>
      <c r="K98" s="30">
        <v>2</v>
      </c>
      <c r="L98" s="9" t="s">
        <v>200</v>
      </c>
      <c r="M98" s="30" t="s">
        <v>84</v>
      </c>
      <c r="N98" s="30" t="s">
        <v>216</v>
      </c>
      <c r="O98" s="24">
        <v>50</v>
      </c>
      <c r="P98" s="24">
        <v>70</v>
      </c>
      <c r="Q98" s="24">
        <v>15</v>
      </c>
      <c r="R98" s="24">
        <v>0</v>
      </c>
      <c r="S98" s="24">
        <v>0</v>
      </c>
      <c r="T98" s="24">
        <v>135</v>
      </c>
    </row>
    <row r="99" spans="1:20">
      <c r="A99" s="9" t="s">
        <v>145</v>
      </c>
      <c r="B99" s="30" t="s">
        <v>215</v>
      </c>
      <c r="C99" s="30" t="str">
        <f>CONCATENATE(VOL_VOLUMEN_SUMINISTROS[[#This Row],[Proyecto]],VOL_VOLUMEN_SUMINISTROS[[#This Row],[J]],VOL_VOLUMEN_SUMINISTROS[[#This Row],[FIN DE SEMANA]])</f>
        <v>1052-2TNO</v>
      </c>
      <c r="D99" s="365" t="str">
        <f>CONCATENATE(VOL_VOLUMEN_SUMINISTROS[[#This Row],[Grupo]],VOL_VOLUMEN_SUMINISTROS[[#This Row],[Proyecto]],VOL_VOLUMEN_SUMINISTROS[[#This Row],[FIN DE SEMANA]])</f>
        <v>41052-2NO</v>
      </c>
      <c r="E99" s="30" t="s">
        <v>183</v>
      </c>
      <c r="F99" s="30" t="s">
        <v>148</v>
      </c>
      <c r="G99" s="365">
        <v>4</v>
      </c>
      <c r="H99" s="30">
        <v>8</v>
      </c>
      <c r="I99" s="9" t="s">
        <v>149</v>
      </c>
      <c r="J99" s="9" t="s">
        <v>198</v>
      </c>
      <c r="K99" s="30">
        <v>2</v>
      </c>
      <c r="L99" s="9" t="s">
        <v>200</v>
      </c>
      <c r="M99" s="30" t="s">
        <v>84</v>
      </c>
      <c r="N99" s="30" t="s">
        <v>155</v>
      </c>
      <c r="O99" s="24">
        <v>74</v>
      </c>
      <c r="P99" s="24">
        <v>82</v>
      </c>
      <c r="Q99" s="24">
        <v>15</v>
      </c>
      <c r="R99" s="24">
        <v>0</v>
      </c>
      <c r="S99" s="24">
        <v>0</v>
      </c>
      <c r="T99" s="24">
        <v>171</v>
      </c>
    </row>
    <row r="100" spans="1:20">
      <c r="A100" s="9" t="s">
        <v>145</v>
      </c>
      <c r="B100" s="30" t="s">
        <v>217</v>
      </c>
      <c r="C100" s="30" t="str">
        <f>CONCATENATE(VOL_VOLUMEN_SUMINISTROS[[#This Row],[Proyecto]],VOL_VOLUMEN_SUMINISTROS[[#This Row],[J]],VOL_VOLUMEN_SUMINISTROS[[#This Row],[FIN DE SEMANA]])</f>
        <v>1052-2MNO</v>
      </c>
      <c r="D100" s="365" t="str">
        <f>CONCATENATE(VOL_VOLUMEN_SUMINISTROS[[#This Row],[Grupo]],VOL_VOLUMEN_SUMINISTROS[[#This Row],[Proyecto]],VOL_VOLUMEN_SUMINISTROS[[#This Row],[FIN DE SEMANA]])</f>
        <v>41052-2NO</v>
      </c>
      <c r="E100" s="30" t="s">
        <v>183</v>
      </c>
      <c r="F100" s="30" t="s">
        <v>148</v>
      </c>
      <c r="G100" s="365">
        <v>4</v>
      </c>
      <c r="H100" s="30">
        <v>8</v>
      </c>
      <c r="I100" s="9" t="s">
        <v>149</v>
      </c>
      <c r="J100" s="9" t="s">
        <v>186</v>
      </c>
      <c r="K100" s="30">
        <v>1</v>
      </c>
      <c r="L100" s="9" t="s">
        <v>187</v>
      </c>
      <c r="M100" s="30" t="s">
        <v>84</v>
      </c>
      <c r="N100" s="30" t="s">
        <v>152</v>
      </c>
      <c r="O100" s="24">
        <v>0</v>
      </c>
      <c r="P100" s="24">
        <v>0</v>
      </c>
      <c r="Q100" s="24">
        <v>70</v>
      </c>
      <c r="R100" s="24">
        <v>0</v>
      </c>
      <c r="S100" s="24">
        <v>0</v>
      </c>
      <c r="T100" s="24">
        <v>70</v>
      </c>
    </row>
    <row r="101" spans="1:20">
      <c r="A101" s="9" t="s">
        <v>145</v>
      </c>
      <c r="B101" s="30" t="s">
        <v>217</v>
      </c>
      <c r="C101" s="30" t="str">
        <f>CONCATENATE(VOL_VOLUMEN_SUMINISTROS[[#This Row],[Proyecto]],VOL_VOLUMEN_SUMINISTROS[[#This Row],[J]],VOL_VOLUMEN_SUMINISTROS[[#This Row],[FIN DE SEMANA]])</f>
        <v>1052-2TNO</v>
      </c>
      <c r="D101" s="365" t="str">
        <f>CONCATENATE(VOL_VOLUMEN_SUMINISTROS[[#This Row],[Grupo]],VOL_VOLUMEN_SUMINISTROS[[#This Row],[Proyecto]],VOL_VOLUMEN_SUMINISTROS[[#This Row],[FIN DE SEMANA]])</f>
        <v>41052-2NO</v>
      </c>
      <c r="E101" s="30" t="s">
        <v>183</v>
      </c>
      <c r="F101" s="30" t="s">
        <v>148</v>
      </c>
      <c r="G101" s="365">
        <v>4</v>
      </c>
      <c r="H101" s="30">
        <v>8</v>
      </c>
      <c r="I101" s="9" t="s">
        <v>149</v>
      </c>
      <c r="J101" s="9" t="s">
        <v>186</v>
      </c>
      <c r="K101" s="30">
        <v>1</v>
      </c>
      <c r="L101" s="9" t="s">
        <v>187</v>
      </c>
      <c r="M101" s="30" t="s">
        <v>84</v>
      </c>
      <c r="N101" s="30" t="s">
        <v>155</v>
      </c>
      <c r="O101" s="24">
        <v>0</v>
      </c>
      <c r="P101" s="24">
        <v>0</v>
      </c>
      <c r="Q101" s="24">
        <v>70</v>
      </c>
      <c r="R101" s="24">
        <v>0</v>
      </c>
      <c r="S101" s="24">
        <v>0</v>
      </c>
      <c r="T101" s="24">
        <v>70</v>
      </c>
    </row>
    <row r="102" spans="1:20">
      <c r="A102" s="9" t="s">
        <v>145</v>
      </c>
      <c r="B102" s="30" t="s">
        <v>217</v>
      </c>
      <c r="C102" s="30" t="str">
        <f>CONCATENATE(VOL_VOLUMEN_SUMINISTROS[[#This Row],[Proyecto]],VOL_VOLUMEN_SUMINISTROS[[#This Row],[J]],VOL_VOLUMEN_SUMINISTROS[[#This Row],[FIN DE SEMANA]])</f>
        <v>1052-2MNO</v>
      </c>
      <c r="D102" s="365" t="str">
        <f>CONCATENATE(VOL_VOLUMEN_SUMINISTROS[[#This Row],[Grupo]],VOL_VOLUMEN_SUMINISTROS[[#This Row],[Proyecto]],VOL_VOLUMEN_SUMINISTROS[[#This Row],[FIN DE SEMANA]])</f>
        <v>41052-2NO</v>
      </c>
      <c r="E102" s="30" t="s">
        <v>183</v>
      </c>
      <c r="F102" s="30" t="s">
        <v>148</v>
      </c>
      <c r="G102" s="365">
        <v>4</v>
      </c>
      <c r="H102" s="30">
        <v>8</v>
      </c>
      <c r="I102" s="9" t="s">
        <v>149</v>
      </c>
      <c r="J102" s="9" t="s">
        <v>189</v>
      </c>
      <c r="K102" s="30">
        <v>1</v>
      </c>
      <c r="L102" s="9" t="s">
        <v>190</v>
      </c>
      <c r="M102" s="30" t="s">
        <v>84</v>
      </c>
      <c r="N102" s="30" t="s">
        <v>152</v>
      </c>
      <c r="O102" s="24">
        <v>0</v>
      </c>
      <c r="P102" s="24">
        <v>0</v>
      </c>
      <c r="Q102" s="24">
        <v>56</v>
      </c>
      <c r="R102" s="24">
        <v>0</v>
      </c>
      <c r="S102" s="24">
        <v>0</v>
      </c>
      <c r="T102" s="24">
        <v>56</v>
      </c>
    </row>
    <row r="103" spans="1:20">
      <c r="A103" s="9" t="s">
        <v>145</v>
      </c>
      <c r="B103" s="30" t="s">
        <v>217</v>
      </c>
      <c r="C103" s="30" t="str">
        <f>CONCATENATE(VOL_VOLUMEN_SUMINISTROS[[#This Row],[Proyecto]],VOL_VOLUMEN_SUMINISTROS[[#This Row],[J]],VOL_VOLUMEN_SUMINISTROS[[#This Row],[FIN DE SEMANA]])</f>
        <v>1052-2TNO</v>
      </c>
      <c r="D103" s="365" t="str">
        <f>CONCATENATE(VOL_VOLUMEN_SUMINISTROS[[#This Row],[Grupo]],VOL_VOLUMEN_SUMINISTROS[[#This Row],[Proyecto]],VOL_VOLUMEN_SUMINISTROS[[#This Row],[FIN DE SEMANA]])</f>
        <v>41052-2NO</v>
      </c>
      <c r="E103" s="30" t="s">
        <v>183</v>
      </c>
      <c r="F103" s="30" t="s">
        <v>148</v>
      </c>
      <c r="G103" s="365">
        <v>4</v>
      </c>
      <c r="H103" s="30">
        <v>8</v>
      </c>
      <c r="I103" s="9" t="s">
        <v>149</v>
      </c>
      <c r="J103" s="9" t="s">
        <v>189</v>
      </c>
      <c r="K103" s="30">
        <v>1</v>
      </c>
      <c r="L103" s="9" t="s">
        <v>190</v>
      </c>
      <c r="M103" s="30" t="s">
        <v>84</v>
      </c>
      <c r="N103" s="30" t="s">
        <v>155</v>
      </c>
      <c r="O103" s="24">
        <v>0</v>
      </c>
      <c r="P103" s="24">
        <v>0</v>
      </c>
      <c r="Q103" s="24">
        <v>119</v>
      </c>
      <c r="R103" s="24">
        <v>0</v>
      </c>
      <c r="S103" s="24">
        <v>0</v>
      </c>
      <c r="T103" s="24">
        <v>119</v>
      </c>
    </row>
    <row r="104" spans="1:20">
      <c r="A104" s="9" t="s">
        <v>145</v>
      </c>
      <c r="B104" s="30" t="s">
        <v>217</v>
      </c>
      <c r="C104" s="30" t="str">
        <f>CONCATENATE(VOL_VOLUMEN_SUMINISTROS[[#This Row],[Proyecto]],VOL_VOLUMEN_SUMINISTROS[[#This Row],[J]],VOL_VOLUMEN_SUMINISTROS[[#This Row],[FIN DE SEMANA]])</f>
        <v>1052-2MNO</v>
      </c>
      <c r="D104" s="365" t="str">
        <f>CONCATENATE(VOL_VOLUMEN_SUMINISTROS[[#This Row],[Grupo]],VOL_VOLUMEN_SUMINISTROS[[#This Row],[Proyecto]],VOL_VOLUMEN_SUMINISTROS[[#This Row],[FIN DE SEMANA]])</f>
        <v>11052-2NO</v>
      </c>
      <c r="E104" s="30" t="s">
        <v>183</v>
      </c>
      <c r="F104" s="30" t="s">
        <v>148</v>
      </c>
      <c r="G104" s="365">
        <v>1</v>
      </c>
      <c r="H104" s="30">
        <v>8</v>
      </c>
      <c r="I104" s="9" t="s">
        <v>149</v>
      </c>
      <c r="J104" s="9" t="s">
        <v>192</v>
      </c>
      <c r="K104" s="30">
        <v>1</v>
      </c>
      <c r="L104" s="9" t="s">
        <v>153</v>
      </c>
      <c r="M104" s="30" t="s">
        <v>84</v>
      </c>
      <c r="N104" s="30" t="s">
        <v>152</v>
      </c>
      <c r="O104" s="24">
        <v>0</v>
      </c>
      <c r="P104" s="24">
        <v>0</v>
      </c>
      <c r="Q104" s="24">
        <v>147</v>
      </c>
      <c r="R104" s="24">
        <v>0</v>
      </c>
      <c r="S104" s="24">
        <v>0</v>
      </c>
      <c r="T104" s="24">
        <v>147</v>
      </c>
    </row>
    <row r="105" spans="1:20">
      <c r="A105" s="9" t="s">
        <v>145</v>
      </c>
      <c r="B105" s="30" t="s">
        <v>217</v>
      </c>
      <c r="C105" s="30" t="str">
        <f>CONCATENATE(VOL_VOLUMEN_SUMINISTROS[[#This Row],[Proyecto]],VOL_VOLUMEN_SUMINISTROS[[#This Row],[J]],VOL_VOLUMEN_SUMINISTROS[[#This Row],[FIN DE SEMANA]])</f>
        <v>1052-2TNO</v>
      </c>
      <c r="D105" s="365" t="str">
        <f>CONCATENATE(VOL_VOLUMEN_SUMINISTROS[[#This Row],[Grupo]],VOL_VOLUMEN_SUMINISTROS[[#This Row],[Proyecto]],VOL_VOLUMEN_SUMINISTROS[[#This Row],[FIN DE SEMANA]])</f>
        <v>11052-2NO</v>
      </c>
      <c r="E105" s="30" t="s">
        <v>183</v>
      </c>
      <c r="F105" s="30" t="s">
        <v>148</v>
      </c>
      <c r="G105" s="365">
        <v>1</v>
      </c>
      <c r="H105" s="30">
        <v>8</v>
      </c>
      <c r="I105" s="9" t="s">
        <v>149</v>
      </c>
      <c r="J105" s="9" t="s">
        <v>192</v>
      </c>
      <c r="K105" s="30">
        <v>1</v>
      </c>
      <c r="L105" s="9" t="s">
        <v>153</v>
      </c>
      <c r="M105" s="30" t="s">
        <v>84</v>
      </c>
      <c r="N105" s="30" t="s">
        <v>155</v>
      </c>
      <c r="O105" s="24">
        <v>0</v>
      </c>
      <c r="P105" s="24">
        <v>0</v>
      </c>
      <c r="Q105" s="24">
        <v>152</v>
      </c>
      <c r="R105" s="24">
        <v>0</v>
      </c>
      <c r="S105" s="24">
        <v>0</v>
      </c>
      <c r="T105" s="24">
        <v>152</v>
      </c>
    </row>
    <row r="106" spans="1:20">
      <c r="A106" s="9" t="s">
        <v>145</v>
      </c>
      <c r="B106" s="30" t="s">
        <v>217</v>
      </c>
      <c r="C106" s="30" t="str">
        <f>CONCATENATE(VOL_VOLUMEN_SUMINISTROS[[#This Row],[Proyecto]],VOL_VOLUMEN_SUMINISTROS[[#This Row],[J]],VOL_VOLUMEN_SUMINISTROS[[#This Row],[FIN DE SEMANA]])</f>
        <v>1052-2MNO</v>
      </c>
      <c r="D106" s="365" t="str">
        <f>CONCATENATE(VOL_VOLUMEN_SUMINISTROS[[#This Row],[Grupo]],VOL_VOLUMEN_SUMINISTROS[[#This Row],[Proyecto]],VOL_VOLUMEN_SUMINISTROS[[#This Row],[FIN DE SEMANA]])</f>
        <v>41052-2NO</v>
      </c>
      <c r="E106" s="30" t="s">
        <v>183</v>
      </c>
      <c r="F106" s="30" t="s">
        <v>148</v>
      </c>
      <c r="G106" s="365">
        <v>4</v>
      </c>
      <c r="H106" s="30">
        <v>8</v>
      </c>
      <c r="I106" s="9" t="s">
        <v>149</v>
      </c>
      <c r="J106" s="9" t="s">
        <v>198</v>
      </c>
      <c r="K106" s="30">
        <v>1</v>
      </c>
      <c r="L106" s="9" t="s">
        <v>199</v>
      </c>
      <c r="M106" s="30" t="s">
        <v>84</v>
      </c>
      <c r="N106" s="30" t="s">
        <v>152</v>
      </c>
      <c r="O106" s="24">
        <v>0</v>
      </c>
      <c r="P106" s="24">
        <v>0</v>
      </c>
      <c r="Q106" s="24">
        <v>120</v>
      </c>
      <c r="R106" s="24">
        <v>0</v>
      </c>
      <c r="S106" s="24">
        <v>0</v>
      </c>
      <c r="T106" s="24">
        <v>120</v>
      </c>
    </row>
    <row r="107" spans="1:20">
      <c r="A107" s="9" t="s">
        <v>145</v>
      </c>
      <c r="B107" s="30" t="s">
        <v>217</v>
      </c>
      <c r="C107" s="30" t="str">
        <f>CONCATENATE(VOL_VOLUMEN_SUMINISTROS[[#This Row],[Proyecto]],VOL_VOLUMEN_SUMINISTROS[[#This Row],[J]],VOL_VOLUMEN_SUMINISTROS[[#This Row],[FIN DE SEMANA]])</f>
        <v>1052-2TNO</v>
      </c>
      <c r="D107" s="365" t="str">
        <f>CONCATENATE(VOL_VOLUMEN_SUMINISTROS[[#This Row],[Grupo]],VOL_VOLUMEN_SUMINISTROS[[#This Row],[Proyecto]],VOL_VOLUMEN_SUMINISTROS[[#This Row],[FIN DE SEMANA]])</f>
        <v>41052-2NO</v>
      </c>
      <c r="E107" s="30" t="s">
        <v>183</v>
      </c>
      <c r="F107" s="30" t="s">
        <v>148</v>
      </c>
      <c r="G107" s="365">
        <v>4</v>
      </c>
      <c r="H107" s="30">
        <v>8</v>
      </c>
      <c r="I107" s="9" t="s">
        <v>149</v>
      </c>
      <c r="J107" s="9" t="s">
        <v>198</v>
      </c>
      <c r="K107" s="30">
        <v>1</v>
      </c>
      <c r="L107" s="9" t="s">
        <v>199</v>
      </c>
      <c r="M107" s="30" t="s">
        <v>84</v>
      </c>
      <c r="N107" s="30" t="s">
        <v>155</v>
      </c>
      <c r="O107" s="24">
        <v>0</v>
      </c>
      <c r="P107" s="24">
        <v>0</v>
      </c>
      <c r="Q107" s="24">
        <v>150</v>
      </c>
      <c r="R107" s="24">
        <v>0</v>
      </c>
      <c r="S107" s="24">
        <v>0</v>
      </c>
      <c r="T107" s="24">
        <v>150</v>
      </c>
    </row>
    <row r="108" spans="1:20">
      <c r="A108" s="9" t="s">
        <v>145</v>
      </c>
      <c r="B108" s="30" t="s">
        <v>217</v>
      </c>
      <c r="C108" s="30" t="str">
        <f>CONCATENATE(VOL_VOLUMEN_SUMINISTROS[[#This Row],[Proyecto]],VOL_VOLUMEN_SUMINISTROS[[#This Row],[J]],VOL_VOLUMEN_SUMINISTROS[[#This Row],[FIN DE SEMANA]])</f>
        <v>1052-2MNO</v>
      </c>
      <c r="D108" s="365" t="str">
        <f>CONCATENATE(VOL_VOLUMEN_SUMINISTROS[[#This Row],[Grupo]],VOL_VOLUMEN_SUMINISTROS[[#This Row],[Proyecto]],VOL_VOLUMEN_SUMINISTROS[[#This Row],[FIN DE SEMANA]])</f>
        <v>41052-2NO</v>
      </c>
      <c r="E108" s="30" t="s">
        <v>183</v>
      </c>
      <c r="F108" s="30" t="s">
        <v>148</v>
      </c>
      <c r="G108" s="365">
        <v>4</v>
      </c>
      <c r="H108" s="30">
        <v>8</v>
      </c>
      <c r="I108" s="9" t="s">
        <v>149</v>
      </c>
      <c r="J108" s="9" t="s">
        <v>210</v>
      </c>
      <c r="K108" s="30">
        <v>1</v>
      </c>
      <c r="L108" s="9" t="s">
        <v>211</v>
      </c>
      <c r="M108" s="30" t="s">
        <v>84</v>
      </c>
      <c r="N108" s="30" t="s">
        <v>152</v>
      </c>
      <c r="O108" s="24">
        <v>0</v>
      </c>
      <c r="P108" s="24">
        <v>0</v>
      </c>
      <c r="Q108" s="24">
        <v>122</v>
      </c>
      <c r="R108" s="24">
        <v>0</v>
      </c>
      <c r="S108" s="24">
        <v>0</v>
      </c>
      <c r="T108" s="24">
        <v>122</v>
      </c>
    </row>
    <row r="109" spans="1:20">
      <c r="A109" s="9" t="s">
        <v>145</v>
      </c>
      <c r="B109" s="30" t="s">
        <v>217</v>
      </c>
      <c r="C109" s="30" t="str">
        <f>CONCATENATE(VOL_VOLUMEN_SUMINISTROS[[#This Row],[Proyecto]],VOL_VOLUMEN_SUMINISTROS[[#This Row],[J]],VOL_VOLUMEN_SUMINISTROS[[#This Row],[FIN DE SEMANA]])</f>
        <v>1052-2TNO</v>
      </c>
      <c r="D109" s="365" t="str">
        <f>CONCATENATE(VOL_VOLUMEN_SUMINISTROS[[#This Row],[Grupo]],VOL_VOLUMEN_SUMINISTROS[[#This Row],[Proyecto]],VOL_VOLUMEN_SUMINISTROS[[#This Row],[FIN DE SEMANA]])</f>
        <v>41052-2NO</v>
      </c>
      <c r="E109" s="30" t="s">
        <v>183</v>
      </c>
      <c r="F109" s="30" t="s">
        <v>148</v>
      </c>
      <c r="G109" s="365">
        <v>4</v>
      </c>
      <c r="H109" s="30">
        <v>8</v>
      </c>
      <c r="I109" s="9" t="s">
        <v>149</v>
      </c>
      <c r="J109" s="9" t="s">
        <v>210</v>
      </c>
      <c r="K109" s="30">
        <v>1</v>
      </c>
      <c r="L109" s="9" t="s">
        <v>153</v>
      </c>
      <c r="M109" s="30" t="s">
        <v>84</v>
      </c>
      <c r="N109" s="30" t="s">
        <v>155</v>
      </c>
      <c r="O109" s="24">
        <v>0</v>
      </c>
      <c r="P109" s="24">
        <v>0</v>
      </c>
      <c r="Q109" s="24">
        <v>172</v>
      </c>
      <c r="R109" s="24">
        <v>0</v>
      </c>
      <c r="S109" s="24">
        <v>0</v>
      </c>
      <c r="T109" s="24">
        <v>172</v>
      </c>
    </row>
    <row r="110" spans="1:20">
      <c r="A110" s="9" t="s">
        <v>145</v>
      </c>
      <c r="B110" s="30" t="s">
        <v>218</v>
      </c>
      <c r="C110" s="30" t="str">
        <f>CONCATENATE(VOL_VOLUMEN_SUMINISTROS[[#This Row],[Proyecto]],VOL_VOLUMEN_SUMINISTROS[[#This Row],[J]],VOL_VOLUMEN_SUMINISTROS[[#This Row],[FIN DE SEMANA]])</f>
        <v>1052-2MNO</v>
      </c>
      <c r="D110" s="365" t="str">
        <f>CONCATENATE(VOL_VOLUMEN_SUMINISTROS[[#This Row],[Grupo]],VOL_VOLUMEN_SUMINISTROS[[#This Row],[Proyecto]],VOL_VOLUMEN_SUMINISTROS[[#This Row],[FIN DE SEMANA]])</f>
        <v>41052-2NO</v>
      </c>
      <c r="E110" s="30" t="s">
        <v>183</v>
      </c>
      <c r="F110" s="30" t="s">
        <v>148</v>
      </c>
      <c r="G110" s="365">
        <v>4</v>
      </c>
      <c r="H110" s="30">
        <v>8</v>
      </c>
      <c r="I110" s="9" t="s">
        <v>149</v>
      </c>
      <c r="J110" s="9" t="s">
        <v>195</v>
      </c>
      <c r="K110" s="30">
        <v>3</v>
      </c>
      <c r="L110" s="9" t="s">
        <v>197</v>
      </c>
      <c r="M110" s="30" t="s">
        <v>84</v>
      </c>
      <c r="N110" s="30" t="s">
        <v>152</v>
      </c>
      <c r="O110" s="24">
        <v>90</v>
      </c>
      <c r="P110" s="24">
        <v>0</v>
      </c>
      <c r="Q110" s="24">
        <v>0</v>
      </c>
      <c r="R110" s="24">
        <v>0</v>
      </c>
      <c r="S110" s="24">
        <v>0</v>
      </c>
      <c r="T110" s="24">
        <v>90</v>
      </c>
    </row>
    <row r="111" spans="1:20">
      <c r="A111" s="9" t="s">
        <v>145</v>
      </c>
      <c r="B111" s="30" t="s">
        <v>218</v>
      </c>
      <c r="C111" s="30" t="str">
        <f>CONCATENATE(VOL_VOLUMEN_SUMINISTROS[[#This Row],[Proyecto]],VOL_VOLUMEN_SUMINISTROS[[#This Row],[J]],VOL_VOLUMEN_SUMINISTROS[[#This Row],[FIN DE SEMANA]])</f>
        <v>1052-2MNO</v>
      </c>
      <c r="D111" s="365" t="str">
        <f>CONCATENATE(VOL_VOLUMEN_SUMINISTROS[[#This Row],[Grupo]],VOL_VOLUMEN_SUMINISTROS[[#This Row],[Proyecto]],VOL_VOLUMEN_SUMINISTROS[[#This Row],[FIN DE SEMANA]])</f>
        <v>41052-2NO</v>
      </c>
      <c r="E111" s="30" t="s">
        <v>183</v>
      </c>
      <c r="F111" s="30" t="s">
        <v>148</v>
      </c>
      <c r="G111" s="365">
        <v>4</v>
      </c>
      <c r="H111" s="30">
        <v>8</v>
      </c>
      <c r="I111" s="9" t="s">
        <v>149</v>
      </c>
      <c r="J111" s="9" t="s">
        <v>198</v>
      </c>
      <c r="K111" s="30">
        <v>1</v>
      </c>
      <c r="L111" s="9" t="s">
        <v>199</v>
      </c>
      <c r="M111" s="30" t="s">
        <v>84</v>
      </c>
      <c r="N111" s="30" t="s">
        <v>152</v>
      </c>
      <c r="O111" s="24">
        <v>30</v>
      </c>
      <c r="P111" s="24">
        <v>0</v>
      </c>
      <c r="Q111" s="24">
        <v>0</v>
      </c>
      <c r="R111" s="24">
        <v>0</v>
      </c>
      <c r="S111" s="24">
        <v>0</v>
      </c>
      <c r="T111" s="24">
        <v>30</v>
      </c>
    </row>
    <row r="112" spans="1:20">
      <c r="A112" s="9" t="s">
        <v>145</v>
      </c>
      <c r="B112" s="30" t="s">
        <v>218</v>
      </c>
      <c r="C112" s="30" t="str">
        <f>CONCATENATE(VOL_VOLUMEN_SUMINISTROS[[#This Row],[Proyecto]],VOL_VOLUMEN_SUMINISTROS[[#This Row],[J]],VOL_VOLUMEN_SUMINISTROS[[#This Row],[FIN DE SEMANA]])</f>
        <v>1052-2TNO</v>
      </c>
      <c r="D112" s="365" t="str">
        <f>CONCATENATE(VOL_VOLUMEN_SUMINISTROS[[#This Row],[Grupo]],VOL_VOLUMEN_SUMINISTROS[[#This Row],[Proyecto]],VOL_VOLUMEN_SUMINISTROS[[#This Row],[FIN DE SEMANA]])</f>
        <v>41052-2NO</v>
      </c>
      <c r="E112" s="30" t="s">
        <v>183</v>
      </c>
      <c r="F112" s="30" t="s">
        <v>148</v>
      </c>
      <c r="G112" s="365">
        <v>4</v>
      </c>
      <c r="H112" s="30">
        <v>8</v>
      </c>
      <c r="I112" s="9" t="s">
        <v>149</v>
      </c>
      <c r="J112" s="9" t="s">
        <v>198</v>
      </c>
      <c r="K112" s="30">
        <v>1</v>
      </c>
      <c r="L112" s="9" t="s">
        <v>199</v>
      </c>
      <c r="M112" s="30" t="s">
        <v>84</v>
      </c>
      <c r="N112" s="30" t="s">
        <v>155</v>
      </c>
      <c r="O112" s="24">
        <v>25</v>
      </c>
      <c r="P112" s="24">
        <v>0</v>
      </c>
      <c r="Q112" s="24">
        <v>0</v>
      </c>
      <c r="R112" s="24">
        <v>0</v>
      </c>
      <c r="S112" s="24">
        <v>0</v>
      </c>
      <c r="T112" s="24">
        <v>25</v>
      </c>
    </row>
    <row r="113" spans="1:20">
      <c r="A113" s="9" t="s">
        <v>145</v>
      </c>
      <c r="B113" s="30" t="s">
        <v>218</v>
      </c>
      <c r="C113" s="30" t="str">
        <f>CONCATENATE(VOL_VOLUMEN_SUMINISTROS[[#This Row],[Proyecto]],VOL_VOLUMEN_SUMINISTROS[[#This Row],[J]],VOL_VOLUMEN_SUMINISTROS[[#This Row],[FIN DE SEMANA]])</f>
        <v>1052-2MNO</v>
      </c>
      <c r="D113" s="365" t="str">
        <f>CONCATENATE(VOL_VOLUMEN_SUMINISTROS[[#This Row],[Grupo]],VOL_VOLUMEN_SUMINISTROS[[#This Row],[Proyecto]],VOL_VOLUMEN_SUMINISTROS[[#This Row],[FIN DE SEMANA]])</f>
        <v>41052-2NO</v>
      </c>
      <c r="E113" s="30" t="s">
        <v>183</v>
      </c>
      <c r="F113" s="30" t="s">
        <v>148</v>
      </c>
      <c r="G113" s="365">
        <v>4</v>
      </c>
      <c r="H113" s="30">
        <v>8</v>
      </c>
      <c r="I113" s="9" t="s">
        <v>149</v>
      </c>
      <c r="J113" s="9" t="s">
        <v>198</v>
      </c>
      <c r="K113" s="30">
        <v>2</v>
      </c>
      <c r="L113" s="9" t="s">
        <v>200</v>
      </c>
      <c r="M113" s="30" t="s">
        <v>84</v>
      </c>
      <c r="N113" s="30" t="s">
        <v>152</v>
      </c>
      <c r="O113" s="24">
        <v>45</v>
      </c>
      <c r="P113" s="24">
        <v>0</v>
      </c>
      <c r="Q113" s="24">
        <v>0</v>
      </c>
      <c r="R113" s="24">
        <v>0</v>
      </c>
      <c r="S113" s="24">
        <v>0</v>
      </c>
      <c r="T113" s="24">
        <v>45</v>
      </c>
    </row>
    <row r="114" spans="1:20">
      <c r="A114" s="9" t="s">
        <v>145</v>
      </c>
      <c r="B114" s="30" t="s">
        <v>218</v>
      </c>
      <c r="C114" s="30" t="str">
        <f>CONCATENATE(VOL_VOLUMEN_SUMINISTROS[[#This Row],[Proyecto]],VOL_VOLUMEN_SUMINISTROS[[#This Row],[J]],VOL_VOLUMEN_SUMINISTROS[[#This Row],[FIN DE SEMANA]])</f>
        <v>1052-2TNO</v>
      </c>
      <c r="D114" s="365" t="str">
        <f>CONCATENATE(VOL_VOLUMEN_SUMINISTROS[[#This Row],[Grupo]],VOL_VOLUMEN_SUMINISTROS[[#This Row],[Proyecto]],VOL_VOLUMEN_SUMINISTROS[[#This Row],[FIN DE SEMANA]])</f>
        <v>41052-2NO</v>
      </c>
      <c r="E114" s="30" t="s">
        <v>183</v>
      </c>
      <c r="F114" s="30" t="s">
        <v>148</v>
      </c>
      <c r="G114" s="365">
        <v>4</v>
      </c>
      <c r="H114" s="30">
        <v>8</v>
      </c>
      <c r="I114" s="9" t="s">
        <v>149</v>
      </c>
      <c r="J114" s="9" t="s">
        <v>198</v>
      </c>
      <c r="K114" s="30">
        <v>2</v>
      </c>
      <c r="L114" s="9" t="s">
        <v>200</v>
      </c>
      <c r="M114" s="30" t="s">
        <v>84</v>
      </c>
      <c r="N114" s="30" t="s">
        <v>155</v>
      </c>
      <c r="O114" s="24">
        <v>60</v>
      </c>
      <c r="P114" s="24">
        <v>0</v>
      </c>
      <c r="Q114" s="24">
        <v>0</v>
      </c>
      <c r="R114" s="24">
        <v>0</v>
      </c>
      <c r="S114" s="24">
        <v>0</v>
      </c>
      <c r="T114" s="24">
        <v>60</v>
      </c>
    </row>
    <row r="115" spans="1:20">
      <c r="A115" s="9" t="s">
        <v>219</v>
      </c>
      <c r="B115" s="30" t="s">
        <v>220</v>
      </c>
      <c r="C115" s="30" t="str">
        <f>CONCATENATE(VOL_VOLUMEN_SUMINISTROS[[#This Row],[Proyecto]],VOL_VOLUMEN_SUMINISTROS[[#This Row],[J]],VOL_VOLUMEN_SUMINISTROS[[#This Row],[FIN DE SEMANA]])</f>
        <v>1052-1MNO</v>
      </c>
      <c r="D115" s="365" t="str">
        <f>CONCATENATE(VOL_VOLUMEN_SUMINISTROS[[#This Row],[Grupo]],VOL_VOLUMEN_SUMINISTROS[[#This Row],[Proyecto]],VOL_VOLUMEN_SUMINISTROS[[#This Row],[FIN DE SEMANA]])</f>
        <v>281052-1NO</v>
      </c>
      <c r="E115" s="30" t="s">
        <v>147</v>
      </c>
      <c r="F115" s="30" t="s">
        <v>148</v>
      </c>
      <c r="G115" s="365">
        <v>28</v>
      </c>
      <c r="H115" s="30">
        <v>7</v>
      </c>
      <c r="I115" s="9" t="s">
        <v>221</v>
      </c>
      <c r="J115" s="9" t="s">
        <v>222</v>
      </c>
      <c r="K115" s="30">
        <v>1</v>
      </c>
      <c r="L115" s="9" t="s">
        <v>223</v>
      </c>
      <c r="M115" s="30" t="s">
        <v>84</v>
      </c>
      <c r="N115" s="30" t="s">
        <v>152</v>
      </c>
      <c r="O115" s="24">
        <v>72</v>
      </c>
      <c r="P115" s="24">
        <v>417</v>
      </c>
      <c r="Q115" s="24">
        <v>547</v>
      </c>
      <c r="R115" s="24">
        <v>0</v>
      </c>
      <c r="S115" s="24">
        <v>0</v>
      </c>
      <c r="T115" s="24">
        <v>1036</v>
      </c>
    </row>
    <row r="116" spans="1:20">
      <c r="A116" s="9" t="s">
        <v>219</v>
      </c>
      <c r="B116" s="30" t="s">
        <v>220</v>
      </c>
      <c r="C116" s="30" t="str">
        <f>CONCATENATE(VOL_VOLUMEN_SUMINISTROS[[#This Row],[Proyecto]],VOL_VOLUMEN_SUMINISTROS[[#This Row],[J]],VOL_VOLUMEN_SUMINISTROS[[#This Row],[FIN DE SEMANA]])</f>
        <v>1052-1NNO</v>
      </c>
      <c r="D116" s="365" t="str">
        <f>CONCATENATE(VOL_VOLUMEN_SUMINISTROS[[#This Row],[Grupo]],VOL_VOLUMEN_SUMINISTROS[[#This Row],[Proyecto]],VOL_VOLUMEN_SUMINISTROS[[#This Row],[FIN DE SEMANA]])</f>
        <v>281052-1NO</v>
      </c>
      <c r="E116" s="30" t="s">
        <v>147</v>
      </c>
      <c r="F116" s="30" t="s">
        <v>148</v>
      </c>
      <c r="G116" s="365">
        <v>28</v>
      </c>
      <c r="H116" s="30">
        <v>7</v>
      </c>
      <c r="I116" s="9" t="s">
        <v>221</v>
      </c>
      <c r="J116" s="9" t="s">
        <v>222</v>
      </c>
      <c r="K116" s="30">
        <v>1</v>
      </c>
      <c r="L116" s="9" t="s">
        <v>223</v>
      </c>
      <c r="M116" s="30" t="s">
        <v>84</v>
      </c>
      <c r="N116" s="30" t="s">
        <v>154</v>
      </c>
      <c r="O116" s="24">
        <v>0</v>
      </c>
      <c r="P116" s="24">
        <v>0</v>
      </c>
      <c r="Q116" s="24">
        <v>0</v>
      </c>
      <c r="R116" s="24">
        <v>111</v>
      </c>
      <c r="S116" s="24">
        <v>105</v>
      </c>
      <c r="T116" s="24">
        <v>216</v>
      </c>
    </row>
    <row r="117" spans="1:20">
      <c r="A117" s="9" t="s">
        <v>219</v>
      </c>
      <c r="B117" s="30" t="s">
        <v>220</v>
      </c>
      <c r="C117" s="30" t="str">
        <f>CONCATENATE(VOL_VOLUMEN_SUMINISTROS[[#This Row],[Proyecto]],VOL_VOLUMEN_SUMINISTROS[[#This Row],[J]],VOL_VOLUMEN_SUMINISTROS[[#This Row],[FIN DE SEMANA]])</f>
        <v>1052-1TNO</v>
      </c>
      <c r="D117" s="365" t="str">
        <f>CONCATENATE(VOL_VOLUMEN_SUMINISTROS[[#This Row],[Grupo]],VOL_VOLUMEN_SUMINISTROS[[#This Row],[Proyecto]],VOL_VOLUMEN_SUMINISTROS[[#This Row],[FIN DE SEMANA]])</f>
        <v>281052-1NO</v>
      </c>
      <c r="E117" s="30" t="s">
        <v>147</v>
      </c>
      <c r="F117" s="30" t="s">
        <v>148</v>
      </c>
      <c r="G117" s="365">
        <v>28</v>
      </c>
      <c r="H117" s="30">
        <v>7</v>
      </c>
      <c r="I117" s="9" t="s">
        <v>221</v>
      </c>
      <c r="J117" s="9" t="s">
        <v>222</v>
      </c>
      <c r="K117" s="30">
        <v>1</v>
      </c>
      <c r="L117" s="9" t="s">
        <v>223</v>
      </c>
      <c r="M117" s="30" t="s">
        <v>84</v>
      </c>
      <c r="N117" s="30" t="s">
        <v>155</v>
      </c>
      <c r="O117" s="24">
        <v>92</v>
      </c>
      <c r="P117" s="24">
        <v>448</v>
      </c>
      <c r="Q117" s="24">
        <v>453</v>
      </c>
      <c r="R117" s="24">
        <v>0</v>
      </c>
      <c r="S117" s="24">
        <v>0</v>
      </c>
      <c r="T117" s="24">
        <v>993</v>
      </c>
    </row>
    <row r="118" spans="1:20">
      <c r="A118" s="9" t="s">
        <v>219</v>
      </c>
      <c r="B118" s="30" t="s">
        <v>220</v>
      </c>
      <c r="C118" s="30" t="str">
        <f>CONCATENATE(VOL_VOLUMEN_SUMINISTROS[[#This Row],[Proyecto]],VOL_VOLUMEN_SUMINISTROS[[#This Row],[J]],VOL_VOLUMEN_SUMINISTROS[[#This Row],[FIN DE SEMANA]])</f>
        <v>1052-1MNO</v>
      </c>
      <c r="D118" s="365" t="str">
        <f>CONCATENATE(VOL_VOLUMEN_SUMINISTROS[[#This Row],[Grupo]],VOL_VOLUMEN_SUMINISTROS[[#This Row],[Proyecto]],VOL_VOLUMEN_SUMINISTROS[[#This Row],[FIN DE SEMANA]])</f>
        <v>281052-1NO</v>
      </c>
      <c r="E118" s="30" t="s">
        <v>147</v>
      </c>
      <c r="F118" s="30" t="s">
        <v>148</v>
      </c>
      <c r="G118" s="365">
        <v>28</v>
      </c>
      <c r="H118" s="30">
        <v>7</v>
      </c>
      <c r="I118" s="9" t="s">
        <v>221</v>
      </c>
      <c r="J118" s="9" t="s">
        <v>222</v>
      </c>
      <c r="K118" s="30">
        <v>2</v>
      </c>
      <c r="L118" s="9" t="s">
        <v>224</v>
      </c>
      <c r="M118" s="30" t="s">
        <v>84</v>
      </c>
      <c r="N118" s="30" t="s">
        <v>152</v>
      </c>
      <c r="O118" s="24">
        <v>387</v>
      </c>
      <c r="P118" s="24">
        <v>73</v>
      </c>
      <c r="Q118" s="24">
        <v>0</v>
      </c>
      <c r="R118" s="24">
        <v>0</v>
      </c>
      <c r="S118" s="24">
        <v>0</v>
      </c>
      <c r="T118" s="24">
        <v>460</v>
      </c>
    </row>
    <row r="119" spans="1:20">
      <c r="A119" s="9" t="s">
        <v>219</v>
      </c>
      <c r="B119" s="30" t="s">
        <v>220</v>
      </c>
      <c r="C119" s="30" t="str">
        <f>CONCATENATE(VOL_VOLUMEN_SUMINISTROS[[#This Row],[Proyecto]],VOL_VOLUMEN_SUMINISTROS[[#This Row],[J]],VOL_VOLUMEN_SUMINISTROS[[#This Row],[FIN DE SEMANA]])</f>
        <v>1052-1TNO</v>
      </c>
      <c r="D119" s="365" t="str">
        <f>CONCATENATE(VOL_VOLUMEN_SUMINISTROS[[#This Row],[Grupo]],VOL_VOLUMEN_SUMINISTROS[[#This Row],[Proyecto]],VOL_VOLUMEN_SUMINISTROS[[#This Row],[FIN DE SEMANA]])</f>
        <v>281052-1NO</v>
      </c>
      <c r="E119" s="30" t="s">
        <v>147</v>
      </c>
      <c r="F119" s="30" t="s">
        <v>148</v>
      </c>
      <c r="G119" s="365">
        <v>28</v>
      </c>
      <c r="H119" s="30">
        <v>7</v>
      </c>
      <c r="I119" s="9" t="s">
        <v>221</v>
      </c>
      <c r="J119" s="9" t="s">
        <v>222</v>
      </c>
      <c r="K119" s="30">
        <v>2</v>
      </c>
      <c r="L119" s="9" t="s">
        <v>224</v>
      </c>
      <c r="M119" s="30" t="s">
        <v>84</v>
      </c>
      <c r="N119" s="30" t="s">
        <v>155</v>
      </c>
      <c r="O119" s="24">
        <v>278</v>
      </c>
      <c r="P119" s="24">
        <v>79</v>
      </c>
      <c r="Q119" s="24">
        <v>0</v>
      </c>
      <c r="R119" s="24">
        <v>0</v>
      </c>
      <c r="S119" s="24">
        <v>0</v>
      </c>
      <c r="T119" s="24">
        <v>357</v>
      </c>
    </row>
    <row r="120" spans="1:20">
      <c r="A120" s="9" t="s">
        <v>219</v>
      </c>
      <c r="B120" s="30" t="s">
        <v>220</v>
      </c>
      <c r="C120" s="30" t="str">
        <f>CONCATENATE(VOL_VOLUMEN_SUMINISTROS[[#This Row],[Proyecto]],VOL_VOLUMEN_SUMINISTROS[[#This Row],[J]],VOL_VOLUMEN_SUMINISTROS[[#This Row],[FIN DE SEMANA]])</f>
        <v>1052-1MNO</v>
      </c>
      <c r="D120" s="365" t="str">
        <f>CONCATENATE(VOL_VOLUMEN_SUMINISTROS[[#This Row],[Grupo]],VOL_VOLUMEN_SUMINISTROS[[#This Row],[Proyecto]],VOL_VOLUMEN_SUMINISTROS[[#This Row],[FIN DE SEMANA]])</f>
        <v>281052-1NO</v>
      </c>
      <c r="E120" s="30" t="s">
        <v>147</v>
      </c>
      <c r="F120" s="30" t="s">
        <v>148</v>
      </c>
      <c r="G120" s="365">
        <v>28</v>
      </c>
      <c r="H120" s="30">
        <v>7</v>
      </c>
      <c r="I120" s="9" t="s">
        <v>221</v>
      </c>
      <c r="J120" s="9" t="s">
        <v>222</v>
      </c>
      <c r="K120" s="30">
        <v>3</v>
      </c>
      <c r="L120" s="9" t="s">
        <v>225</v>
      </c>
      <c r="M120" s="30" t="s">
        <v>84</v>
      </c>
      <c r="N120" s="30" t="s">
        <v>152</v>
      </c>
      <c r="O120" s="24">
        <v>68</v>
      </c>
      <c r="P120" s="24">
        <v>0</v>
      </c>
      <c r="Q120" s="24">
        <v>0</v>
      </c>
      <c r="R120" s="24">
        <v>0</v>
      </c>
      <c r="S120" s="24">
        <v>0</v>
      </c>
      <c r="T120" s="24">
        <v>68</v>
      </c>
    </row>
    <row r="121" spans="1:20">
      <c r="A121" s="9" t="s">
        <v>219</v>
      </c>
      <c r="B121" s="30" t="s">
        <v>220</v>
      </c>
      <c r="C121" s="30" t="str">
        <f>CONCATENATE(VOL_VOLUMEN_SUMINISTROS[[#This Row],[Proyecto]],VOL_VOLUMEN_SUMINISTROS[[#This Row],[J]],VOL_VOLUMEN_SUMINISTROS[[#This Row],[FIN DE SEMANA]])</f>
        <v>1052-1MNO</v>
      </c>
      <c r="D121" s="365" t="str">
        <f>CONCATENATE(VOL_VOLUMEN_SUMINISTROS[[#This Row],[Grupo]],VOL_VOLUMEN_SUMINISTROS[[#This Row],[Proyecto]],VOL_VOLUMEN_SUMINISTROS[[#This Row],[FIN DE SEMANA]])</f>
        <v>281052-1NO</v>
      </c>
      <c r="E121" s="30" t="s">
        <v>147</v>
      </c>
      <c r="F121" s="30" t="s">
        <v>148</v>
      </c>
      <c r="G121" s="365">
        <v>28</v>
      </c>
      <c r="H121" s="30">
        <v>7</v>
      </c>
      <c r="I121" s="9" t="s">
        <v>221</v>
      </c>
      <c r="J121" s="9" t="s">
        <v>222</v>
      </c>
      <c r="K121" s="30">
        <v>4</v>
      </c>
      <c r="L121" s="9" t="s">
        <v>226</v>
      </c>
      <c r="M121" s="30" t="s">
        <v>84</v>
      </c>
      <c r="N121" s="30" t="s">
        <v>152</v>
      </c>
      <c r="O121" s="24">
        <v>58</v>
      </c>
      <c r="P121" s="24">
        <v>89</v>
      </c>
      <c r="Q121" s="24">
        <v>20</v>
      </c>
      <c r="R121" s="24">
        <v>0</v>
      </c>
      <c r="S121" s="24">
        <v>0</v>
      </c>
      <c r="T121" s="24">
        <v>167</v>
      </c>
    </row>
    <row r="122" spans="1:20">
      <c r="A122" s="9" t="s">
        <v>219</v>
      </c>
      <c r="B122" s="30" t="s">
        <v>220</v>
      </c>
      <c r="C122" s="30" t="str">
        <f>CONCATENATE(VOL_VOLUMEN_SUMINISTROS[[#This Row],[Proyecto]],VOL_VOLUMEN_SUMINISTROS[[#This Row],[J]],VOL_VOLUMEN_SUMINISTROS[[#This Row],[FIN DE SEMANA]])</f>
        <v>1052-1TNO</v>
      </c>
      <c r="D122" s="365" t="str">
        <f>CONCATENATE(VOL_VOLUMEN_SUMINISTROS[[#This Row],[Grupo]],VOL_VOLUMEN_SUMINISTROS[[#This Row],[Proyecto]],VOL_VOLUMEN_SUMINISTROS[[#This Row],[FIN DE SEMANA]])</f>
        <v>281052-1NO</v>
      </c>
      <c r="E122" s="30" t="s">
        <v>147</v>
      </c>
      <c r="F122" s="30" t="s">
        <v>148</v>
      </c>
      <c r="G122" s="365">
        <v>28</v>
      </c>
      <c r="H122" s="30">
        <v>7</v>
      </c>
      <c r="I122" s="9" t="s">
        <v>221</v>
      </c>
      <c r="J122" s="9" t="s">
        <v>222</v>
      </c>
      <c r="K122" s="30">
        <v>4</v>
      </c>
      <c r="L122" s="9" t="s">
        <v>226</v>
      </c>
      <c r="M122" s="30" t="s">
        <v>84</v>
      </c>
      <c r="N122" s="30" t="s">
        <v>155</v>
      </c>
      <c r="O122" s="24">
        <v>48</v>
      </c>
      <c r="P122" s="24">
        <v>0</v>
      </c>
      <c r="Q122" s="24">
        <v>0</v>
      </c>
      <c r="R122" s="24">
        <v>0</v>
      </c>
      <c r="S122" s="24">
        <v>0</v>
      </c>
      <c r="T122" s="24">
        <v>48</v>
      </c>
    </row>
    <row r="123" spans="1:20">
      <c r="A123" s="9" t="s">
        <v>219</v>
      </c>
      <c r="B123" s="30" t="s">
        <v>220</v>
      </c>
      <c r="C123" s="30" t="str">
        <f>CONCATENATE(VOL_VOLUMEN_SUMINISTROS[[#This Row],[Proyecto]],VOL_VOLUMEN_SUMINISTROS[[#This Row],[J]],VOL_VOLUMEN_SUMINISTROS[[#This Row],[FIN DE SEMANA]])</f>
        <v>1052-1MNO</v>
      </c>
      <c r="D123" s="365" t="str">
        <f>CONCATENATE(VOL_VOLUMEN_SUMINISTROS[[#This Row],[Grupo]],VOL_VOLUMEN_SUMINISTROS[[#This Row],[Proyecto]],VOL_VOLUMEN_SUMINISTROS[[#This Row],[FIN DE SEMANA]])</f>
        <v>281052-1NO</v>
      </c>
      <c r="E123" s="30" t="s">
        <v>147</v>
      </c>
      <c r="F123" s="30" t="s">
        <v>148</v>
      </c>
      <c r="G123" s="365">
        <v>28</v>
      </c>
      <c r="H123" s="30">
        <v>7</v>
      </c>
      <c r="I123" s="9" t="s">
        <v>221</v>
      </c>
      <c r="J123" s="9" t="s">
        <v>222</v>
      </c>
      <c r="K123" s="30">
        <v>5</v>
      </c>
      <c r="L123" s="9" t="s">
        <v>227</v>
      </c>
      <c r="M123" s="30" t="s">
        <v>84</v>
      </c>
      <c r="N123" s="30" t="s">
        <v>152</v>
      </c>
      <c r="O123" s="24">
        <v>0</v>
      </c>
      <c r="P123" s="24">
        <v>87</v>
      </c>
      <c r="Q123" s="24">
        <v>218</v>
      </c>
      <c r="R123" s="24">
        <v>0</v>
      </c>
      <c r="S123" s="24">
        <v>0</v>
      </c>
      <c r="T123" s="24">
        <v>305</v>
      </c>
    </row>
    <row r="124" spans="1:20">
      <c r="A124" s="9" t="s">
        <v>219</v>
      </c>
      <c r="B124" s="30" t="s">
        <v>220</v>
      </c>
      <c r="C124" s="30" t="str">
        <f>CONCATENATE(VOL_VOLUMEN_SUMINISTROS[[#This Row],[Proyecto]],VOL_VOLUMEN_SUMINISTROS[[#This Row],[J]],VOL_VOLUMEN_SUMINISTROS[[#This Row],[FIN DE SEMANA]])</f>
        <v>1052-1MNO</v>
      </c>
      <c r="D124" s="365" t="str">
        <f>CONCATENATE(VOL_VOLUMEN_SUMINISTROS[[#This Row],[Grupo]],VOL_VOLUMEN_SUMINISTROS[[#This Row],[Proyecto]],VOL_VOLUMEN_SUMINISTROS[[#This Row],[FIN DE SEMANA]])</f>
        <v>281052-1NO</v>
      </c>
      <c r="E124" s="30" t="s">
        <v>147</v>
      </c>
      <c r="F124" s="30" t="s">
        <v>148</v>
      </c>
      <c r="G124" s="365">
        <v>28</v>
      </c>
      <c r="H124" s="30">
        <v>7</v>
      </c>
      <c r="I124" s="9" t="s">
        <v>221</v>
      </c>
      <c r="J124" s="9" t="s">
        <v>228</v>
      </c>
      <c r="K124" s="30">
        <v>1</v>
      </c>
      <c r="L124" s="9" t="s">
        <v>229</v>
      </c>
      <c r="M124" s="30" t="s">
        <v>84</v>
      </c>
      <c r="N124" s="30" t="s">
        <v>152</v>
      </c>
      <c r="O124" s="24">
        <v>0</v>
      </c>
      <c r="P124" s="24">
        <v>0</v>
      </c>
      <c r="Q124" s="24">
        <v>944</v>
      </c>
      <c r="R124" s="24">
        <v>0</v>
      </c>
      <c r="S124" s="24">
        <v>0</v>
      </c>
      <c r="T124" s="24">
        <v>944</v>
      </c>
    </row>
    <row r="125" spans="1:20">
      <c r="A125" s="9" t="s">
        <v>219</v>
      </c>
      <c r="B125" s="30" t="s">
        <v>220</v>
      </c>
      <c r="C125" s="30" t="str">
        <f>CONCATENATE(VOL_VOLUMEN_SUMINISTROS[[#This Row],[Proyecto]],VOL_VOLUMEN_SUMINISTROS[[#This Row],[J]],VOL_VOLUMEN_SUMINISTROS[[#This Row],[FIN DE SEMANA]])</f>
        <v>1052-1TNO</v>
      </c>
      <c r="D125" s="365" t="str">
        <f>CONCATENATE(VOL_VOLUMEN_SUMINISTROS[[#This Row],[Grupo]],VOL_VOLUMEN_SUMINISTROS[[#This Row],[Proyecto]],VOL_VOLUMEN_SUMINISTROS[[#This Row],[FIN DE SEMANA]])</f>
        <v>281052-1NO</v>
      </c>
      <c r="E125" s="30" t="s">
        <v>147</v>
      </c>
      <c r="F125" s="30" t="s">
        <v>148</v>
      </c>
      <c r="G125" s="365">
        <v>28</v>
      </c>
      <c r="H125" s="30">
        <v>7</v>
      </c>
      <c r="I125" s="9" t="s">
        <v>221</v>
      </c>
      <c r="J125" s="9" t="s">
        <v>228</v>
      </c>
      <c r="K125" s="30">
        <v>1</v>
      </c>
      <c r="L125" s="9" t="s">
        <v>229</v>
      </c>
      <c r="M125" s="30" t="s">
        <v>84</v>
      </c>
      <c r="N125" s="30" t="s">
        <v>155</v>
      </c>
      <c r="O125" s="24">
        <v>0</v>
      </c>
      <c r="P125" s="24">
        <v>483</v>
      </c>
      <c r="Q125" s="24">
        <v>161</v>
      </c>
      <c r="R125" s="24">
        <v>0</v>
      </c>
      <c r="S125" s="24">
        <v>0</v>
      </c>
      <c r="T125" s="24">
        <v>644</v>
      </c>
    </row>
    <row r="126" spans="1:20">
      <c r="A126" s="9" t="s">
        <v>219</v>
      </c>
      <c r="B126" s="30" t="s">
        <v>220</v>
      </c>
      <c r="C126" s="30" t="str">
        <f>CONCATENATE(VOL_VOLUMEN_SUMINISTROS[[#This Row],[Proyecto]],VOL_VOLUMEN_SUMINISTROS[[#This Row],[J]],VOL_VOLUMEN_SUMINISTROS[[#This Row],[FIN DE SEMANA]])</f>
        <v>1052-1MNO</v>
      </c>
      <c r="D126" s="365" t="str">
        <f>CONCATENATE(VOL_VOLUMEN_SUMINISTROS[[#This Row],[Grupo]],VOL_VOLUMEN_SUMINISTROS[[#This Row],[Proyecto]],VOL_VOLUMEN_SUMINISTROS[[#This Row],[FIN DE SEMANA]])</f>
        <v>281052-1NO</v>
      </c>
      <c r="E126" s="30" t="s">
        <v>147</v>
      </c>
      <c r="F126" s="30" t="s">
        <v>148</v>
      </c>
      <c r="G126" s="365">
        <v>28</v>
      </c>
      <c r="H126" s="30">
        <v>7</v>
      </c>
      <c r="I126" s="9" t="s">
        <v>221</v>
      </c>
      <c r="J126" s="9" t="s">
        <v>228</v>
      </c>
      <c r="K126" s="30">
        <v>2</v>
      </c>
      <c r="L126" s="9" t="s">
        <v>230</v>
      </c>
      <c r="M126" s="30" t="s">
        <v>84</v>
      </c>
      <c r="N126" s="30" t="s">
        <v>152</v>
      </c>
      <c r="O126" s="24">
        <v>226</v>
      </c>
      <c r="P126" s="24">
        <v>608</v>
      </c>
      <c r="Q126" s="24">
        <v>165</v>
      </c>
      <c r="R126" s="24">
        <v>0</v>
      </c>
      <c r="S126" s="24">
        <v>0</v>
      </c>
      <c r="T126" s="24">
        <v>999</v>
      </c>
    </row>
    <row r="127" spans="1:20">
      <c r="A127" s="9" t="s">
        <v>219</v>
      </c>
      <c r="B127" s="30" t="s">
        <v>220</v>
      </c>
      <c r="C127" s="30" t="str">
        <f>CONCATENATE(VOL_VOLUMEN_SUMINISTROS[[#This Row],[Proyecto]],VOL_VOLUMEN_SUMINISTROS[[#This Row],[J]],VOL_VOLUMEN_SUMINISTROS[[#This Row],[FIN DE SEMANA]])</f>
        <v>1052-1TNO</v>
      </c>
      <c r="D127" s="365" t="str">
        <f>CONCATENATE(VOL_VOLUMEN_SUMINISTROS[[#This Row],[Grupo]],VOL_VOLUMEN_SUMINISTROS[[#This Row],[Proyecto]],VOL_VOLUMEN_SUMINISTROS[[#This Row],[FIN DE SEMANA]])</f>
        <v>281052-1NO</v>
      </c>
      <c r="E127" s="30" t="s">
        <v>147</v>
      </c>
      <c r="F127" s="30" t="s">
        <v>148</v>
      </c>
      <c r="G127" s="365">
        <v>28</v>
      </c>
      <c r="H127" s="30">
        <v>7</v>
      </c>
      <c r="I127" s="9" t="s">
        <v>221</v>
      </c>
      <c r="J127" s="9" t="s">
        <v>228</v>
      </c>
      <c r="K127" s="30">
        <v>2</v>
      </c>
      <c r="L127" s="9" t="s">
        <v>230</v>
      </c>
      <c r="M127" s="30" t="s">
        <v>84</v>
      </c>
      <c r="N127" s="30" t="s">
        <v>155</v>
      </c>
      <c r="O127" s="24">
        <v>252</v>
      </c>
      <c r="P127" s="24">
        <v>126</v>
      </c>
      <c r="Q127" s="24">
        <v>0</v>
      </c>
      <c r="R127" s="24">
        <v>0</v>
      </c>
      <c r="S127" s="24">
        <v>0</v>
      </c>
      <c r="T127" s="24">
        <v>378</v>
      </c>
    </row>
    <row r="128" spans="1:20">
      <c r="A128" s="9" t="s">
        <v>219</v>
      </c>
      <c r="B128" s="30" t="s">
        <v>220</v>
      </c>
      <c r="C128" s="30" t="str">
        <f>CONCATENATE(VOL_VOLUMEN_SUMINISTROS[[#This Row],[Proyecto]],VOL_VOLUMEN_SUMINISTROS[[#This Row],[J]],VOL_VOLUMEN_SUMINISTROS[[#This Row],[FIN DE SEMANA]])</f>
        <v>1052-1MNO</v>
      </c>
      <c r="D128" s="365" t="str">
        <f>CONCATENATE(VOL_VOLUMEN_SUMINISTROS[[#This Row],[Grupo]],VOL_VOLUMEN_SUMINISTROS[[#This Row],[Proyecto]],VOL_VOLUMEN_SUMINISTROS[[#This Row],[FIN DE SEMANA]])</f>
        <v>281052-1NO</v>
      </c>
      <c r="E128" s="30" t="s">
        <v>147</v>
      </c>
      <c r="F128" s="30" t="s">
        <v>148</v>
      </c>
      <c r="G128" s="365">
        <v>28</v>
      </c>
      <c r="H128" s="30">
        <v>7</v>
      </c>
      <c r="I128" s="9" t="s">
        <v>221</v>
      </c>
      <c r="J128" s="9" t="s">
        <v>228</v>
      </c>
      <c r="K128" s="30">
        <v>4</v>
      </c>
      <c r="L128" s="9" t="s">
        <v>231</v>
      </c>
      <c r="M128" s="30" t="s">
        <v>84</v>
      </c>
      <c r="N128" s="30" t="s">
        <v>152</v>
      </c>
      <c r="O128" s="24">
        <v>347</v>
      </c>
      <c r="P128" s="24">
        <v>61</v>
      </c>
      <c r="Q128" s="24">
        <v>0</v>
      </c>
      <c r="R128" s="24">
        <v>0</v>
      </c>
      <c r="S128" s="24">
        <v>0</v>
      </c>
      <c r="T128" s="24">
        <v>408</v>
      </c>
    </row>
    <row r="129" spans="1:20">
      <c r="A129" s="9" t="s">
        <v>219</v>
      </c>
      <c r="B129" s="30" t="s">
        <v>220</v>
      </c>
      <c r="C129" s="30" t="str">
        <f>CONCATENATE(VOL_VOLUMEN_SUMINISTROS[[#This Row],[Proyecto]],VOL_VOLUMEN_SUMINISTROS[[#This Row],[J]],VOL_VOLUMEN_SUMINISTROS[[#This Row],[FIN DE SEMANA]])</f>
        <v>1052-1TNO</v>
      </c>
      <c r="D129" s="365" t="str">
        <f>CONCATENATE(VOL_VOLUMEN_SUMINISTROS[[#This Row],[Grupo]],VOL_VOLUMEN_SUMINISTROS[[#This Row],[Proyecto]],VOL_VOLUMEN_SUMINISTROS[[#This Row],[FIN DE SEMANA]])</f>
        <v>281052-1NO</v>
      </c>
      <c r="E129" s="30" t="s">
        <v>147</v>
      </c>
      <c r="F129" s="30" t="s">
        <v>148</v>
      </c>
      <c r="G129" s="365">
        <v>28</v>
      </c>
      <c r="H129" s="30">
        <v>7</v>
      </c>
      <c r="I129" s="9" t="s">
        <v>221</v>
      </c>
      <c r="J129" s="9" t="s">
        <v>228</v>
      </c>
      <c r="K129" s="30">
        <v>4</v>
      </c>
      <c r="L129" s="9" t="s">
        <v>231</v>
      </c>
      <c r="M129" s="30" t="s">
        <v>84</v>
      </c>
      <c r="N129" s="30" t="s">
        <v>155</v>
      </c>
      <c r="O129" s="24">
        <v>347</v>
      </c>
      <c r="P129" s="24">
        <v>63</v>
      </c>
      <c r="Q129" s="24">
        <v>0</v>
      </c>
      <c r="R129" s="24">
        <v>0</v>
      </c>
      <c r="S129" s="24">
        <v>0</v>
      </c>
      <c r="T129" s="24">
        <v>410</v>
      </c>
    </row>
    <row r="130" spans="1:20">
      <c r="A130" s="9" t="s">
        <v>219</v>
      </c>
      <c r="B130" s="30" t="s">
        <v>220</v>
      </c>
      <c r="C130" s="30" t="str">
        <f>CONCATENATE(VOL_VOLUMEN_SUMINISTROS[[#This Row],[Proyecto]],VOL_VOLUMEN_SUMINISTROS[[#This Row],[J]],VOL_VOLUMEN_SUMINISTROS[[#This Row],[FIN DE SEMANA]])</f>
        <v>1052-1MNO</v>
      </c>
      <c r="D130" s="365" t="str">
        <f>CONCATENATE(VOL_VOLUMEN_SUMINISTROS[[#This Row],[Grupo]],VOL_VOLUMEN_SUMINISTROS[[#This Row],[Proyecto]],VOL_VOLUMEN_SUMINISTROS[[#This Row],[FIN DE SEMANA]])</f>
        <v>281052-1NO</v>
      </c>
      <c r="E130" s="30" t="s">
        <v>147</v>
      </c>
      <c r="F130" s="30" t="s">
        <v>148</v>
      </c>
      <c r="G130" s="365">
        <v>28</v>
      </c>
      <c r="H130" s="30">
        <v>7</v>
      </c>
      <c r="I130" s="9" t="s">
        <v>221</v>
      </c>
      <c r="J130" s="9" t="s">
        <v>232</v>
      </c>
      <c r="K130" s="30">
        <v>1</v>
      </c>
      <c r="L130" s="9" t="s">
        <v>233</v>
      </c>
      <c r="M130" s="30" t="s">
        <v>84</v>
      </c>
      <c r="N130" s="30" t="s">
        <v>152</v>
      </c>
      <c r="O130" s="24">
        <v>249</v>
      </c>
      <c r="P130" s="24">
        <v>223</v>
      </c>
      <c r="Q130" s="24">
        <v>45</v>
      </c>
      <c r="R130" s="24">
        <v>0</v>
      </c>
      <c r="S130" s="24">
        <v>0</v>
      </c>
      <c r="T130" s="24">
        <v>517</v>
      </c>
    </row>
    <row r="131" spans="1:20">
      <c r="A131" s="9" t="s">
        <v>219</v>
      </c>
      <c r="B131" s="30" t="s">
        <v>220</v>
      </c>
      <c r="C131" s="30" t="str">
        <f>CONCATENATE(VOL_VOLUMEN_SUMINISTROS[[#This Row],[Proyecto]],VOL_VOLUMEN_SUMINISTROS[[#This Row],[J]],VOL_VOLUMEN_SUMINISTROS[[#This Row],[FIN DE SEMANA]])</f>
        <v>1052-1TNO</v>
      </c>
      <c r="D131" s="365" t="str">
        <f>CONCATENATE(VOL_VOLUMEN_SUMINISTROS[[#This Row],[Grupo]],VOL_VOLUMEN_SUMINISTROS[[#This Row],[Proyecto]],VOL_VOLUMEN_SUMINISTROS[[#This Row],[FIN DE SEMANA]])</f>
        <v>281052-1NO</v>
      </c>
      <c r="E131" s="30" t="s">
        <v>147</v>
      </c>
      <c r="F131" s="30" t="s">
        <v>148</v>
      </c>
      <c r="G131" s="365">
        <v>28</v>
      </c>
      <c r="H131" s="30">
        <v>7</v>
      </c>
      <c r="I131" s="9" t="s">
        <v>221</v>
      </c>
      <c r="J131" s="9" t="s">
        <v>232</v>
      </c>
      <c r="K131" s="30">
        <v>1</v>
      </c>
      <c r="L131" s="9" t="s">
        <v>234</v>
      </c>
      <c r="M131" s="30" t="s">
        <v>84</v>
      </c>
      <c r="N131" s="30" t="s">
        <v>155</v>
      </c>
      <c r="O131" s="24">
        <v>0</v>
      </c>
      <c r="P131" s="24">
        <v>144</v>
      </c>
      <c r="Q131" s="24">
        <v>378</v>
      </c>
      <c r="R131" s="24">
        <v>0</v>
      </c>
      <c r="S131" s="24">
        <v>0</v>
      </c>
      <c r="T131" s="24">
        <v>522</v>
      </c>
    </row>
    <row r="132" spans="1:20">
      <c r="A132" s="9" t="s">
        <v>219</v>
      </c>
      <c r="B132" s="30" t="s">
        <v>220</v>
      </c>
      <c r="C132" s="30" t="str">
        <f>CONCATENATE(VOL_VOLUMEN_SUMINISTROS[[#This Row],[Proyecto]],VOL_VOLUMEN_SUMINISTROS[[#This Row],[J]],VOL_VOLUMEN_SUMINISTROS[[#This Row],[FIN DE SEMANA]])</f>
        <v>1052-1MNO</v>
      </c>
      <c r="D132" s="365" t="str">
        <f>CONCATENATE(VOL_VOLUMEN_SUMINISTROS[[#This Row],[Grupo]],VOL_VOLUMEN_SUMINISTROS[[#This Row],[Proyecto]],VOL_VOLUMEN_SUMINISTROS[[#This Row],[FIN DE SEMANA]])</f>
        <v>281052-1NO</v>
      </c>
      <c r="E132" s="30" t="s">
        <v>147</v>
      </c>
      <c r="F132" s="30" t="s">
        <v>148</v>
      </c>
      <c r="G132" s="365">
        <v>28</v>
      </c>
      <c r="H132" s="30">
        <v>7</v>
      </c>
      <c r="I132" s="9" t="s">
        <v>221</v>
      </c>
      <c r="J132" s="9" t="s">
        <v>235</v>
      </c>
      <c r="K132" s="30">
        <v>1</v>
      </c>
      <c r="L132" s="9" t="s">
        <v>236</v>
      </c>
      <c r="M132" s="30" t="s">
        <v>84</v>
      </c>
      <c r="N132" s="30" t="s">
        <v>152</v>
      </c>
      <c r="O132" s="24">
        <v>251</v>
      </c>
      <c r="P132" s="24">
        <v>419</v>
      </c>
      <c r="Q132" s="24">
        <v>556</v>
      </c>
      <c r="R132" s="24">
        <v>0</v>
      </c>
      <c r="S132" s="24">
        <v>0</v>
      </c>
      <c r="T132" s="24">
        <v>1226</v>
      </c>
    </row>
    <row r="133" spans="1:20">
      <c r="A133" s="9" t="s">
        <v>219</v>
      </c>
      <c r="B133" s="30" t="s">
        <v>220</v>
      </c>
      <c r="C133" s="30" t="str">
        <f>CONCATENATE(VOL_VOLUMEN_SUMINISTROS[[#This Row],[Proyecto]],VOL_VOLUMEN_SUMINISTROS[[#This Row],[J]],VOL_VOLUMEN_SUMINISTROS[[#This Row],[FIN DE SEMANA]])</f>
        <v>1052-1NNO</v>
      </c>
      <c r="D133" s="365" t="str">
        <f>CONCATENATE(VOL_VOLUMEN_SUMINISTROS[[#This Row],[Grupo]],VOL_VOLUMEN_SUMINISTROS[[#This Row],[Proyecto]],VOL_VOLUMEN_SUMINISTROS[[#This Row],[FIN DE SEMANA]])</f>
        <v>281052-1NO</v>
      </c>
      <c r="E133" s="30" t="s">
        <v>147</v>
      </c>
      <c r="F133" s="30" t="s">
        <v>148</v>
      </c>
      <c r="G133" s="365">
        <v>28</v>
      </c>
      <c r="H133" s="30">
        <v>7</v>
      </c>
      <c r="I133" s="9" t="s">
        <v>221</v>
      </c>
      <c r="J133" s="9" t="s">
        <v>235</v>
      </c>
      <c r="K133" s="30">
        <v>1</v>
      </c>
      <c r="L133" s="9" t="s">
        <v>236</v>
      </c>
      <c r="M133" s="30" t="s">
        <v>84</v>
      </c>
      <c r="N133" s="30" t="s">
        <v>154</v>
      </c>
      <c r="O133" s="24">
        <v>0</v>
      </c>
      <c r="P133" s="24">
        <v>0</v>
      </c>
      <c r="Q133" s="24">
        <v>0</v>
      </c>
      <c r="R133" s="24">
        <v>200</v>
      </c>
      <c r="S133" s="24">
        <v>217</v>
      </c>
      <c r="T133" s="24">
        <v>417</v>
      </c>
    </row>
    <row r="134" spans="1:20">
      <c r="A134" s="9" t="s">
        <v>219</v>
      </c>
      <c r="B134" s="30" t="s">
        <v>220</v>
      </c>
      <c r="C134" s="30" t="str">
        <f>CONCATENATE(VOL_VOLUMEN_SUMINISTROS[[#This Row],[Proyecto]],VOL_VOLUMEN_SUMINISTROS[[#This Row],[J]],VOL_VOLUMEN_SUMINISTROS[[#This Row],[FIN DE SEMANA]])</f>
        <v>1052-1TNO</v>
      </c>
      <c r="D134" s="365" t="str">
        <f>CONCATENATE(VOL_VOLUMEN_SUMINISTROS[[#This Row],[Grupo]],VOL_VOLUMEN_SUMINISTROS[[#This Row],[Proyecto]],VOL_VOLUMEN_SUMINISTROS[[#This Row],[FIN DE SEMANA]])</f>
        <v>281052-1NO</v>
      </c>
      <c r="E134" s="30" t="s">
        <v>147</v>
      </c>
      <c r="F134" s="30" t="s">
        <v>148</v>
      </c>
      <c r="G134" s="365">
        <v>28</v>
      </c>
      <c r="H134" s="30">
        <v>7</v>
      </c>
      <c r="I134" s="9" t="s">
        <v>221</v>
      </c>
      <c r="J134" s="9" t="s">
        <v>235</v>
      </c>
      <c r="K134" s="30">
        <v>1</v>
      </c>
      <c r="L134" s="9" t="s">
        <v>236</v>
      </c>
      <c r="M134" s="30" t="s">
        <v>84</v>
      </c>
      <c r="N134" s="30" t="s">
        <v>155</v>
      </c>
      <c r="O134" s="24">
        <v>242</v>
      </c>
      <c r="P134" s="24">
        <v>374</v>
      </c>
      <c r="Q134" s="24">
        <v>507</v>
      </c>
      <c r="R134" s="24">
        <v>0</v>
      </c>
      <c r="S134" s="24">
        <v>0</v>
      </c>
      <c r="T134" s="24">
        <v>1123</v>
      </c>
    </row>
    <row r="135" spans="1:20">
      <c r="A135" s="9" t="s">
        <v>219</v>
      </c>
      <c r="B135" s="30" t="s">
        <v>220</v>
      </c>
      <c r="C135" s="30" t="str">
        <f>CONCATENATE(VOL_VOLUMEN_SUMINISTROS[[#This Row],[Proyecto]],VOL_VOLUMEN_SUMINISTROS[[#This Row],[J]],VOL_VOLUMEN_SUMINISTROS[[#This Row],[FIN DE SEMANA]])</f>
        <v>1052-1MNO</v>
      </c>
      <c r="D135" s="365" t="str">
        <f>CONCATENATE(VOL_VOLUMEN_SUMINISTROS[[#This Row],[Grupo]],VOL_VOLUMEN_SUMINISTROS[[#This Row],[Proyecto]],VOL_VOLUMEN_SUMINISTROS[[#This Row],[FIN DE SEMANA]])</f>
        <v>281052-1NO</v>
      </c>
      <c r="E135" s="30" t="s">
        <v>147</v>
      </c>
      <c r="F135" s="30" t="s">
        <v>148</v>
      </c>
      <c r="G135" s="365">
        <v>28</v>
      </c>
      <c r="H135" s="30">
        <v>7</v>
      </c>
      <c r="I135" s="9" t="s">
        <v>221</v>
      </c>
      <c r="J135" s="9" t="s">
        <v>235</v>
      </c>
      <c r="K135" s="30">
        <v>2</v>
      </c>
      <c r="L135" s="9" t="s">
        <v>237</v>
      </c>
      <c r="M135" s="30" t="s">
        <v>84</v>
      </c>
      <c r="N135" s="30" t="s">
        <v>152</v>
      </c>
      <c r="O135" s="24">
        <v>108</v>
      </c>
      <c r="P135" s="24">
        <v>99</v>
      </c>
      <c r="Q135" s="24">
        <v>20</v>
      </c>
      <c r="R135" s="24">
        <v>0</v>
      </c>
      <c r="S135" s="24">
        <v>0</v>
      </c>
      <c r="T135" s="24">
        <v>227</v>
      </c>
    </row>
    <row r="136" spans="1:20">
      <c r="A136" s="9" t="s">
        <v>219</v>
      </c>
      <c r="B136" s="30" t="s">
        <v>220</v>
      </c>
      <c r="C136" s="30" t="str">
        <f>CONCATENATE(VOL_VOLUMEN_SUMINISTROS[[#This Row],[Proyecto]],VOL_VOLUMEN_SUMINISTROS[[#This Row],[J]],VOL_VOLUMEN_SUMINISTROS[[#This Row],[FIN DE SEMANA]])</f>
        <v>1052-1TNO</v>
      </c>
      <c r="D136" s="365" t="str">
        <f>CONCATENATE(VOL_VOLUMEN_SUMINISTROS[[#This Row],[Grupo]],VOL_VOLUMEN_SUMINISTROS[[#This Row],[Proyecto]],VOL_VOLUMEN_SUMINISTROS[[#This Row],[FIN DE SEMANA]])</f>
        <v>281052-1NO</v>
      </c>
      <c r="E136" s="30" t="s">
        <v>147</v>
      </c>
      <c r="F136" s="30" t="s">
        <v>148</v>
      </c>
      <c r="G136" s="365">
        <v>28</v>
      </c>
      <c r="H136" s="30">
        <v>7</v>
      </c>
      <c r="I136" s="9" t="s">
        <v>221</v>
      </c>
      <c r="J136" s="9" t="s">
        <v>235</v>
      </c>
      <c r="K136" s="30">
        <v>2</v>
      </c>
      <c r="L136" s="9" t="s">
        <v>237</v>
      </c>
      <c r="M136" s="30" t="s">
        <v>84</v>
      </c>
      <c r="N136" s="30" t="s">
        <v>155</v>
      </c>
      <c r="O136" s="24">
        <v>109</v>
      </c>
      <c r="P136" s="24">
        <v>100</v>
      </c>
      <c r="Q136" s="24">
        <v>20</v>
      </c>
      <c r="R136" s="24">
        <v>0</v>
      </c>
      <c r="S136" s="24">
        <v>0</v>
      </c>
      <c r="T136" s="24">
        <v>229</v>
      </c>
    </row>
    <row r="137" spans="1:20">
      <c r="A137" s="9" t="s">
        <v>219</v>
      </c>
      <c r="B137" s="30" t="s">
        <v>220</v>
      </c>
      <c r="C137" s="30" t="str">
        <f>CONCATENATE(VOL_VOLUMEN_SUMINISTROS[[#This Row],[Proyecto]],VOL_VOLUMEN_SUMINISTROS[[#This Row],[J]],VOL_VOLUMEN_SUMINISTROS[[#This Row],[FIN DE SEMANA]])</f>
        <v>1052-1MNO</v>
      </c>
      <c r="D137" s="365" t="str">
        <f>CONCATENATE(VOL_VOLUMEN_SUMINISTROS[[#This Row],[Grupo]],VOL_VOLUMEN_SUMINISTROS[[#This Row],[Proyecto]],VOL_VOLUMEN_SUMINISTROS[[#This Row],[FIN DE SEMANA]])</f>
        <v>281052-1NO</v>
      </c>
      <c r="E137" s="30" t="s">
        <v>147</v>
      </c>
      <c r="F137" s="30" t="s">
        <v>148</v>
      </c>
      <c r="G137" s="365">
        <v>28</v>
      </c>
      <c r="H137" s="30">
        <v>7</v>
      </c>
      <c r="I137" s="9" t="s">
        <v>221</v>
      </c>
      <c r="J137" s="9" t="s">
        <v>238</v>
      </c>
      <c r="K137" s="30">
        <v>1</v>
      </c>
      <c r="L137" s="9" t="s">
        <v>239</v>
      </c>
      <c r="M137" s="30" t="s">
        <v>84</v>
      </c>
      <c r="N137" s="30" t="s">
        <v>152</v>
      </c>
      <c r="O137" s="24">
        <v>157</v>
      </c>
      <c r="P137" s="24">
        <v>169</v>
      </c>
      <c r="Q137" s="24">
        <v>39</v>
      </c>
      <c r="R137" s="24">
        <v>0</v>
      </c>
      <c r="S137" s="24">
        <v>0</v>
      </c>
      <c r="T137" s="24">
        <v>365</v>
      </c>
    </row>
    <row r="138" spans="1:20">
      <c r="A138" s="9" t="s">
        <v>219</v>
      </c>
      <c r="B138" s="30" t="s">
        <v>220</v>
      </c>
      <c r="C138" s="30" t="str">
        <f>CONCATENATE(VOL_VOLUMEN_SUMINISTROS[[#This Row],[Proyecto]],VOL_VOLUMEN_SUMINISTROS[[#This Row],[J]],VOL_VOLUMEN_SUMINISTROS[[#This Row],[FIN DE SEMANA]])</f>
        <v>1052-1TNO</v>
      </c>
      <c r="D138" s="365" t="str">
        <f>CONCATENATE(VOL_VOLUMEN_SUMINISTROS[[#This Row],[Grupo]],VOL_VOLUMEN_SUMINISTROS[[#This Row],[Proyecto]],VOL_VOLUMEN_SUMINISTROS[[#This Row],[FIN DE SEMANA]])</f>
        <v>281052-1NO</v>
      </c>
      <c r="E138" s="30" t="s">
        <v>147</v>
      </c>
      <c r="F138" s="30" t="s">
        <v>148</v>
      </c>
      <c r="G138" s="365">
        <v>28</v>
      </c>
      <c r="H138" s="30">
        <v>7</v>
      </c>
      <c r="I138" s="9" t="s">
        <v>221</v>
      </c>
      <c r="J138" s="9" t="s">
        <v>238</v>
      </c>
      <c r="K138" s="30">
        <v>1</v>
      </c>
      <c r="L138" s="9" t="s">
        <v>239</v>
      </c>
      <c r="M138" s="30" t="s">
        <v>84</v>
      </c>
      <c r="N138" s="30" t="s">
        <v>155</v>
      </c>
      <c r="O138" s="24">
        <v>163</v>
      </c>
      <c r="P138" s="24">
        <v>174</v>
      </c>
      <c r="Q138" s="24">
        <v>40</v>
      </c>
      <c r="R138" s="24">
        <v>0</v>
      </c>
      <c r="S138" s="24">
        <v>0</v>
      </c>
      <c r="T138" s="24">
        <v>377</v>
      </c>
    </row>
    <row r="139" spans="1:20">
      <c r="A139" s="9" t="s">
        <v>219</v>
      </c>
      <c r="B139" s="30" t="s">
        <v>220</v>
      </c>
      <c r="C139" s="30" t="str">
        <f>CONCATENATE(VOL_VOLUMEN_SUMINISTROS[[#This Row],[Proyecto]],VOL_VOLUMEN_SUMINISTROS[[#This Row],[J]],VOL_VOLUMEN_SUMINISTROS[[#This Row],[FIN DE SEMANA]])</f>
        <v>1052-1MNO</v>
      </c>
      <c r="D139" s="365" t="str">
        <f>CONCATENATE(VOL_VOLUMEN_SUMINISTROS[[#This Row],[Grupo]],VOL_VOLUMEN_SUMINISTROS[[#This Row],[Proyecto]],VOL_VOLUMEN_SUMINISTROS[[#This Row],[FIN DE SEMANA]])</f>
        <v>281052-1NO</v>
      </c>
      <c r="E139" s="30" t="s">
        <v>147</v>
      </c>
      <c r="F139" s="30" t="s">
        <v>148</v>
      </c>
      <c r="G139" s="365">
        <v>28</v>
      </c>
      <c r="H139" s="30">
        <v>7</v>
      </c>
      <c r="I139" s="9" t="s">
        <v>221</v>
      </c>
      <c r="J139" s="9" t="s">
        <v>238</v>
      </c>
      <c r="K139" s="30">
        <v>2</v>
      </c>
      <c r="L139" s="9" t="s">
        <v>240</v>
      </c>
      <c r="M139" s="30" t="s">
        <v>84</v>
      </c>
      <c r="N139" s="30" t="s">
        <v>152</v>
      </c>
      <c r="O139" s="24">
        <v>311</v>
      </c>
      <c r="P139" s="24">
        <v>268</v>
      </c>
      <c r="Q139" s="24">
        <v>144</v>
      </c>
      <c r="R139" s="24">
        <v>0</v>
      </c>
      <c r="S139" s="24">
        <v>0</v>
      </c>
      <c r="T139" s="24">
        <v>723</v>
      </c>
    </row>
    <row r="140" spans="1:20">
      <c r="A140" s="9" t="s">
        <v>219</v>
      </c>
      <c r="B140" s="30" t="s">
        <v>220</v>
      </c>
      <c r="C140" s="30" t="str">
        <f>CONCATENATE(VOL_VOLUMEN_SUMINISTROS[[#This Row],[Proyecto]],VOL_VOLUMEN_SUMINISTROS[[#This Row],[J]],VOL_VOLUMEN_SUMINISTROS[[#This Row],[FIN DE SEMANA]])</f>
        <v>1052-1TNO</v>
      </c>
      <c r="D140" s="365" t="str">
        <f>CONCATENATE(VOL_VOLUMEN_SUMINISTROS[[#This Row],[Grupo]],VOL_VOLUMEN_SUMINISTROS[[#This Row],[Proyecto]],VOL_VOLUMEN_SUMINISTROS[[#This Row],[FIN DE SEMANA]])</f>
        <v>281052-1NO</v>
      </c>
      <c r="E140" s="30" t="s">
        <v>147</v>
      </c>
      <c r="F140" s="30" t="s">
        <v>148</v>
      </c>
      <c r="G140" s="365">
        <v>28</v>
      </c>
      <c r="H140" s="30">
        <v>7</v>
      </c>
      <c r="I140" s="9" t="s">
        <v>221</v>
      </c>
      <c r="J140" s="9" t="s">
        <v>238</v>
      </c>
      <c r="K140" s="30">
        <v>2</v>
      </c>
      <c r="L140" s="9" t="s">
        <v>240</v>
      </c>
      <c r="M140" s="30" t="s">
        <v>84</v>
      </c>
      <c r="N140" s="30" t="s">
        <v>155</v>
      </c>
      <c r="O140" s="24">
        <v>285</v>
      </c>
      <c r="P140" s="24">
        <v>239</v>
      </c>
      <c r="Q140" s="24">
        <v>101</v>
      </c>
      <c r="R140" s="24">
        <v>0</v>
      </c>
      <c r="S140" s="24">
        <v>0</v>
      </c>
      <c r="T140" s="24">
        <v>625</v>
      </c>
    </row>
    <row r="141" spans="1:20">
      <c r="A141" s="9" t="s">
        <v>219</v>
      </c>
      <c r="B141" s="30" t="s">
        <v>220</v>
      </c>
      <c r="C141" s="30" t="str">
        <f>CONCATENATE(VOL_VOLUMEN_SUMINISTROS[[#This Row],[Proyecto]],VOL_VOLUMEN_SUMINISTROS[[#This Row],[J]],VOL_VOLUMEN_SUMINISTROS[[#This Row],[FIN DE SEMANA]])</f>
        <v>1052-1MNO</v>
      </c>
      <c r="D141" s="365" t="str">
        <f>CONCATENATE(VOL_VOLUMEN_SUMINISTROS[[#This Row],[Grupo]],VOL_VOLUMEN_SUMINISTROS[[#This Row],[Proyecto]],VOL_VOLUMEN_SUMINISTROS[[#This Row],[FIN DE SEMANA]])</f>
        <v>281052-1NO</v>
      </c>
      <c r="E141" s="30" t="s">
        <v>147</v>
      </c>
      <c r="F141" s="30" t="s">
        <v>148</v>
      </c>
      <c r="G141" s="365">
        <v>28</v>
      </c>
      <c r="H141" s="30">
        <v>7</v>
      </c>
      <c r="I141" s="9" t="s">
        <v>221</v>
      </c>
      <c r="J141" s="9" t="s">
        <v>238</v>
      </c>
      <c r="K141" s="30">
        <v>3</v>
      </c>
      <c r="L141" s="9" t="s">
        <v>241</v>
      </c>
      <c r="M141" s="30" t="s">
        <v>84</v>
      </c>
      <c r="N141" s="30" t="s">
        <v>152</v>
      </c>
      <c r="O141" s="24">
        <v>538</v>
      </c>
      <c r="P141" s="24">
        <v>476</v>
      </c>
      <c r="Q141" s="24">
        <v>380</v>
      </c>
      <c r="R141" s="24">
        <v>0</v>
      </c>
      <c r="S141" s="24">
        <v>0</v>
      </c>
      <c r="T141" s="24">
        <v>1394</v>
      </c>
    </row>
    <row r="142" spans="1:20">
      <c r="A142" s="9" t="s">
        <v>219</v>
      </c>
      <c r="B142" s="30" t="s">
        <v>220</v>
      </c>
      <c r="C142" s="30" t="str">
        <f>CONCATENATE(VOL_VOLUMEN_SUMINISTROS[[#This Row],[Proyecto]],VOL_VOLUMEN_SUMINISTROS[[#This Row],[J]],VOL_VOLUMEN_SUMINISTROS[[#This Row],[FIN DE SEMANA]])</f>
        <v>1052-1TNO</v>
      </c>
      <c r="D142" s="365" t="str">
        <f>CONCATENATE(VOL_VOLUMEN_SUMINISTROS[[#This Row],[Grupo]],VOL_VOLUMEN_SUMINISTROS[[#This Row],[Proyecto]],VOL_VOLUMEN_SUMINISTROS[[#This Row],[FIN DE SEMANA]])</f>
        <v>281052-1NO</v>
      </c>
      <c r="E142" s="30" t="s">
        <v>147</v>
      </c>
      <c r="F142" s="30" t="s">
        <v>148</v>
      </c>
      <c r="G142" s="365">
        <v>28</v>
      </c>
      <c r="H142" s="30">
        <v>7</v>
      </c>
      <c r="I142" s="9" t="s">
        <v>221</v>
      </c>
      <c r="J142" s="9" t="s">
        <v>238</v>
      </c>
      <c r="K142" s="30">
        <v>3</v>
      </c>
      <c r="L142" s="9" t="s">
        <v>241</v>
      </c>
      <c r="M142" s="30" t="s">
        <v>84</v>
      </c>
      <c r="N142" s="30" t="s">
        <v>155</v>
      </c>
      <c r="O142" s="24">
        <v>562</v>
      </c>
      <c r="P142" s="24">
        <v>621</v>
      </c>
      <c r="Q142" s="24">
        <v>358</v>
      </c>
      <c r="R142" s="24">
        <v>0</v>
      </c>
      <c r="S142" s="24">
        <v>0</v>
      </c>
      <c r="T142" s="24">
        <v>1541</v>
      </c>
    </row>
    <row r="143" spans="1:20">
      <c r="A143" s="9" t="s">
        <v>219</v>
      </c>
      <c r="B143" s="30" t="s">
        <v>242</v>
      </c>
      <c r="C143" s="30" t="str">
        <f>CONCATENATE(VOL_VOLUMEN_SUMINISTROS[[#This Row],[Proyecto]],VOL_VOLUMEN_SUMINISTROS[[#This Row],[J]],VOL_VOLUMEN_SUMINISTROS[[#This Row],[FIN DE SEMANA]])</f>
        <v>1052-2MNO</v>
      </c>
      <c r="D143" s="365" t="str">
        <f>CONCATENATE(VOL_VOLUMEN_SUMINISTROS[[#This Row],[Grupo]],VOL_VOLUMEN_SUMINISTROS[[#This Row],[Proyecto]],VOL_VOLUMEN_SUMINISTROS[[#This Row],[FIN DE SEMANA]])</f>
        <v>91052-2NO</v>
      </c>
      <c r="E143" s="30" t="s">
        <v>183</v>
      </c>
      <c r="F143" s="30" t="s">
        <v>148</v>
      </c>
      <c r="G143" s="365">
        <v>9</v>
      </c>
      <c r="H143" s="30">
        <v>6</v>
      </c>
      <c r="I143" s="9" t="s">
        <v>243</v>
      </c>
      <c r="J143" s="9" t="s">
        <v>244</v>
      </c>
      <c r="K143" s="30">
        <v>1</v>
      </c>
      <c r="L143" s="9" t="s">
        <v>245</v>
      </c>
      <c r="M143" s="30" t="s">
        <v>84</v>
      </c>
      <c r="N143" s="30" t="s">
        <v>152</v>
      </c>
      <c r="O143" s="24">
        <v>0</v>
      </c>
      <c r="P143" s="24">
        <v>195</v>
      </c>
      <c r="Q143" s="24">
        <v>365</v>
      </c>
      <c r="R143" s="24">
        <v>0</v>
      </c>
      <c r="S143" s="24">
        <v>0</v>
      </c>
      <c r="T143" s="24">
        <v>560</v>
      </c>
    </row>
    <row r="144" spans="1:20">
      <c r="A144" s="9" t="s">
        <v>219</v>
      </c>
      <c r="B144" s="30" t="s">
        <v>242</v>
      </c>
      <c r="C144" s="30" t="str">
        <f>CONCATENATE(VOL_VOLUMEN_SUMINISTROS[[#This Row],[Proyecto]],VOL_VOLUMEN_SUMINISTROS[[#This Row],[J]],VOL_VOLUMEN_SUMINISTROS[[#This Row],[FIN DE SEMANA]])</f>
        <v>1052-2TNO</v>
      </c>
      <c r="D144" s="365" t="str">
        <f>CONCATENATE(VOL_VOLUMEN_SUMINISTROS[[#This Row],[Grupo]],VOL_VOLUMEN_SUMINISTROS[[#This Row],[Proyecto]],VOL_VOLUMEN_SUMINISTROS[[#This Row],[FIN DE SEMANA]])</f>
        <v>91052-2NO</v>
      </c>
      <c r="E144" s="30" t="s">
        <v>183</v>
      </c>
      <c r="F144" s="30" t="s">
        <v>148</v>
      </c>
      <c r="G144" s="365">
        <v>9</v>
      </c>
      <c r="H144" s="30">
        <v>6</v>
      </c>
      <c r="I144" s="9" t="s">
        <v>243</v>
      </c>
      <c r="J144" s="9" t="s">
        <v>244</v>
      </c>
      <c r="K144" s="30">
        <v>1</v>
      </c>
      <c r="L144" s="9" t="s">
        <v>245</v>
      </c>
      <c r="M144" s="30" t="s">
        <v>84</v>
      </c>
      <c r="N144" s="30" t="s">
        <v>155</v>
      </c>
      <c r="O144" s="24">
        <v>0</v>
      </c>
      <c r="P144" s="24">
        <v>195</v>
      </c>
      <c r="Q144" s="24">
        <v>365</v>
      </c>
      <c r="R144" s="24">
        <v>0</v>
      </c>
      <c r="S144" s="24">
        <v>0</v>
      </c>
      <c r="T144" s="24">
        <v>560</v>
      </c>
    </row>
    <row r="145" spans="1:20">
      <c r="A145" s="9" t="s">
        <v>219</v>
      </c>
      <c r="B145" s="30" t="s">
        <v>242</v>
      </c>
      <c r="C145" s="30" t="str">
        <f>CONCATENATE(VOL_VOLUMEN_SUMINISTROS[[#This Row],[Proyecto]],VOL_VOLUMEN_SUMINISTROS[[#This Row],[J]],VOL_VOLUMEN_SUMINISTROS[[#This Row],[FIN DE SEMANA]])</f>
        <v>1052-2MNO</v>
      </c>
      <c r="D145" s="365" t="str">
        <f>CONCATENATE(VOL_VOLUMEN_SUMINISTROS[[#This Row],[Grupo]],VOL_VOLUMEN_SUMINISTROS[[#This Row],[Proyecto]],VOL_VOLUMEN_SUMINISTROS[[#This Row],[FIN DE SEMANA]])</f>
        <v>91052-2NO</v>
      </c>
      <c r="E145" s="30" t="s">
        <v>183</v>
      </c>
      <c r="F145" s="30" t="s">
        <v>148</v>
      </c>
      <c r="G145" s="365">
        <v>9</v>
      </c>
      <c r="H145" s="30">
        <v>6</v>
      </c>
      <c r="I145" s="9" t="s">
        <v>243</v>
      </c>
      <c r="J145" s="9" t="s">
        <v>246</v>
      </c>
      <c r="K145" s="30">
        <v>1</v>
      </c>
      <c r="L145" s="9" t="s">
        <v>247</v>
      </c>
      <c r="M145" s="30" t="s">
        <v>84</v>
      </c>
      <c r="N145" s="30" t="s">
        <v>152</v>
      </c>
      <c r="O145" s="24">
        <v>0</v>
      </c>
      <c r="P145" s="24">
        <v>330</v>
      </c>
      <c r="Q145" s="24">
        <v>350</v>
      </c>
      <c r="R145" s="24">
        <v>0</v>
      </c>
      <c r="S145" s="24">
        <v>0</v>
      </c>
      <c r="T145" s="24">
        <v>680</v>
      </c>
    </row>
    <row r="146" spans="1:20">
      <c r="A146" s="9" t="s">
        <v>219</v>
      </c>
      <c r="B146" s="30" t="s">
        <v>242</v>
      </c>
      <c r="C146" s="30" t="str">
        <f>CONCATENATE(VOL_VOLUMEN_SUMINISTROS[[#This Row],[Proyecto]],VOL_VOLUMEN_SUMINISTROS[[#This Row],[J]],VOL_VOLUMEN_SUMINISTROS[[#This Row],[FIN DE SEMANA]])</f>
        <v>1052-2TNO</v>
      </c>
      <c r="D146" s="365" t="str">
        <f>CONCATENATE(VOL_VOLUMEN_SUMINISTROS[[#This Row],[Grupo]],VOL_VOLUMEN_SUMINISTROS[[#This Row],[Proyecto]],VOL_VOLUMEN_SUMINISTROS[[#This Row],[FIN DE SEMANA]])</f>
        <v>91052-2NO</v>
      </c>
      <c r="E146" s="30" t="s">
        <v>183</v>
      </c>
      <c r="F146" s="30" t="s">
        <v>148</v>
      </c>
      <c r="G146" s="365">
        <v>9</v>
      </c>
      <c r="H146" s="30">
        <v>6</v>
      </c>
      <c r="I146" s="9" t="s">
        <v>243</v>
      </c>
      <c r="J146" s="9" t="s">
        <v>246</v>
      </c>
      <c r="K146" s="30">
        <v>1</v>
      </c>
      <c r="L146" s="9" t="s">
        <v>247</v>
      </c>
      <c r="M146" s="30" t="s">
        <v>84</v>
      </c>
      <c r="N146" s="30" t="s">
        <v>155</v>
      </c>
      <c r="O146" s="24">
        <v>0</v>
      </c>
      <c r="P146" s="24">
        <v>114</v>
      </c>
      <c r="Q146" s="24">
        <v>38</v>
      </c>
      <c r="R146" s="24">
        <v>0</v>
      </c>
      <c r="S146" s="24">
        <v>0</v>
      </c>
      <c r="T146" s="24">
        <v>152</v>
      </c>
    </row>
    <row r="147" spans="1:20">
      <c r="A147" s="9" t="s">
        <v>219</v>
      </c>
      <c r="B147" s="30" t="s">
        <v>242</v>
      </c>
      <c r="C147" s="30" t="str">
        <f>CONCATENATE(VOL_VOLUMEN_SUMINISTROS[[#This Row],[Proyecto]],VOL_VOLUMEN_SUMINISTROS[[#This Row],[J]],VOL_VOLUMEN_SUMINISTROS[[#This Row],[FIN DE SEMANA]])</f>
        <v>1052-2MNO</v>
      </c>
      <c r="D147" s="365" t="str">
        <f>CONCATENATE(VOL_VOLUMEN_SUMINISTROS[[#This Row],[Grupo]],VOL_VOLUMEN_SUMINISTROS[[#This Row],[Proyecto]],VOL_VOLUMEN_SUMINISTROS[[#This Row],[FIN DE SEMANA]])</f>
        <v>91052-2NO</v>
      </c>
      <c r="E147" s="30" t="s">
        <v>183</v>
      </c>
      <c r="F147" s="30" t="s">
        <v>148</v>
      </c>
      <c r="G147" s="365">
        <v>9</v>
      </c>
      <c r="H147" s="30">
        <v>6</v>
      </c>
      <c r="I147" s="9" t="s">
        <v>243</v>
      </c>
      <c r="J147" s="9" t="s">
        <v>246</v>
      </c>
      <c r="K147" s="30">
        <v>2</v>
      </c>
      <c r="L147" s="9" t="s">
        <v>248</v>
      </c>
      <c r="M147" s="30" t="s">
        <v>84</v>
      </c>
      <c r="N147" s="30" t="s">
        <v>152</v>
      </c>
      <c r="O147" s="24">
        <v>110</v>
      </c>
      <c r="P147" s="24">
        <v>286</v>
      </c>
      <c r="Q147" s="24">
        <v>77</v>
      </c>
      <c r="R147" s="24">
        <v>0</v>
      </c>
      <c r="S147" s="24">
        <v>0</v>
      </c>
      <c r="T147" s="24">
        <v>473</v>
      </c>
    </row>
    <row r="148" spans="1:20">
      <c r="A148" s="9" t="s">
        <v>219</v>
      </c>
      <c r="B148" s="30" t="s">
        <v>242</v>
      </c>
      <c r="C148" s="30" t="str">
        <f>CONCATENATE(VOL_VOLUMEN_SUMINISTROS[[#This Row],[Proyecto]],VOL_VOLUMEN_SUMINISTROS[[#This Row],[J]],VOL_VOLUMEN_SUMINISTROS[[#This Row],[FIN DE SEMANA]])</f>
        <v>1052-2M1NO</v>
      </c>
      <c r="D148" s="365" t="str">
        <f>CONCATENATE(VOL_VOLUMEN_SUMINISTROS[[#This Row],[Grupo]],VOL_VOLUMEN_SUMINISTROS[[#This Row],[Proyecto]],VOL_VOLUMEN_SUMINISTROS[[#This Row],[FIN DE SEMANA]])</f>
        <v>281052-2NO</v>
      </c>
      <c r="E148" s="30" t="s">
        <v>183</v>
      </c>
      <c r="F148" s="30" t="s">
        <v>148</v>
      </c>
      <c r="G148" s="365">
        <v>28</v>
      </c>
      <c r="H148" s="30">
        <v>7</v>
      </c>
      <c r="I148" s="9" t="s">
        <v>221</v>
      </c>
      <c r="J148" s="9" t="s">
        <v>228</v>
      </c>
      <c r="K148" s="30">
        <v>2</v>
      </c>
      <c r="L148" s="9" t="s">
        <v>230</v>
      </c>
      <c r="M148" s="30" t="s">
        <v>84</v>
      </c>
      <c r="N148" s="30" t="s">
        <v>216</v>
      </c>
      <c r="O148" s="24">
        <v>0</v>
      </c>
      <c r="P148" s="24">
        <v>0</v>
      </c>
      <c r="Q148" s="24">
        <v>104</v>
      </c>
      <c r="R148" s="24">
        <v>0</v>
      </c>
      <c r="S148" s="24">
        <v>0</v>
      </c>
      <c r="T148" s="24">
        <v>104</v>
      </c>
    </row>
    <row r="149" spans="1:20">
      <c r="A149" s="9" t="s">
        <v>219</v>
      </c>
      <c r="B149" s="30" t="s">
        <v>242</v>
      </c>
      <c r="C149" s="30" t="str">
        <f>CONCATENATE(VOL_VOLUMEN_SUMINISTROS[[#This Row],[Proyecto]],VOL_VOLUMEN_SUMINISTROS[[#This Row],[J]],VOL_VOLUMEN_SUMINISTROS[[#This Row],[FIN DE SEMANA]])</f>
        <v>1052-2TNO</v>
      </c>
      <c r="D149" s="365" t="str">
        <f>CONCATENATE(VOL_VOLUMEN_SUMINISTROS[[#This Row],[Grupo]],VOL_VOLUMEN_SUMINISTROS[[#This Row],[Proyecto]],VOL_VOLUMEN_SUMINISTROS[[#This Row],[FIN DE SEMANA]])</f>
        <v>281052-2NO</v>
      </c>
      <c r="E149" s="30" t="s">
        <v>183</v>
      </c>
      <c r="F149" s="30" t="s">
        <v>148</v>
      </c>
      <c r="G149" s="365">
        <v>28</v>
      </c>
      <c r="H149" s="30">
        <v>7</v>
      </c>
      <c r="I149" s="9" t="s">
        <v>221</v>
      </c>
      <c r="J149" s="9" t="s">
        <v>228</v>
      </c>
      <c r="K149" s="30">
        <v>2</v>
      </c>
      <c r="L149" s="9" t="s">
        <v>230</v>
      </c>
      <c r="M149" s="30" t="s">
        <v>84</v>
      </c>
      <c r="N149" s="30" t="s">
        <v>155</v>
      </c>
      <c r="O149" s="24">
        <v>0</v>
      </c>
      <c r="P149" s="24">
        <v>0</v>
      </c>
      <c r="Q149" s="24">
        <v>225</v>
      </c>
      <c r="R149" s="24">
        <v>0</v>
      </c>
      <c r="S149" s="24">
        <v>0</v>
      </c>
      <c r="T149" s="24">
        <v>225</v>
      </c>
    </row>
    <row r="150" spans="1:20">
      <c r="A150" s="9" t="s">
        <v>219</v>
      </c>
      <c r="B150" s="30" t="s">
        <v>242</v>
      </c>
      <c r="C150" s="30" t="str">
        <f>CONCATENATE(VOL_VOLUMEN_SUMINISTROS[[#This Row],[Proyecto]],VOL_VOLUMEN_SUMINISTROS[[#This Row],[J]],VOL_VOLUMEN_SUMINISTROS[[#This Row],[FIN DE SEMANA]])</f>
        <v>1052-2MNO</v>
      </c>
      <c r="D150" s="365" t="str">
        <f>CONCATENATE(VOL_VOLUMEN_SUMINISTROS[[#This Row],[Grupo]],VOL_VOLUMEN_SUMINISTROS[[#This Row],[Proyecto]],VOL_VOLUMEN_SUMINISTROS[[#This Row],[FIN DE SEMANA]])</f>
        <v>281052-2NO</v>
      </c>
      <c r="E150" s="30" t="s">
        <v>183</v>
      </c>
      <c r="F150" s="30" t="s">
        <v>148</v>
      </c>
      <c r="G150" s="365">
        <v>28</v>
      </c>
      <c r="H150" s="30">
        <v>7</v>
      </c>
      <c r="I150" s="9" t="s">
        <v>221</v>
      </c>
      <c r="J150" s="9" t="s">
        <v>232</v>
      </c>
      <c r="K150" s="30">
        <v>1</v>
      </c>
      <c r="L150" s="9" t="s">
        <v>233</v>
      </c>
      <c r="M150" s="30" t="s">
        <v>84</v>
      </c>
      <c r="N150" s="30" t="s">
        <v>152</v>
      </c>
      <c r="O150" s="24">
        <v>0</v>
      </c>
      <c r="P150" s="24">
        <v>69</v>
      </c>
      <c r="Q150" s="24">
        <v>178</v>
      </c>
      <c r="R150" s="24">
        <v>0</v>
      </c>
      <c r="S150" s="24">
        <v>0</v>
      </c>
      <c r="T150" s="24">
        <v>247</v>
      </c>
    </row>
    <row r="151" spans="1:20">
      <c r="A151" s="9" t="s">
        <v>219</v>
      </c>
      <c r="B151" s="30" t="s">
        <v>242</v>
      </c>
      <c r="C151" s="30" t="str">
        <f>CONCATENATE(VOL_VOLUMEN_SUMINISTROS[[#This Row],[Proyecto]],VOL_VOLUMEN_SUMINISTROS[[#This Row],[J]],VOL_VOLUMEN_SUMINISTROS[[#This Row],[FIN DE SEMANA]])</f>
        <v>1052-2M1NO</v>
      </c>
      <c r="D151" s="365" t="str">
        <f>CONCATENATE(VOL_VOLUMEN_SUMINISTROS[[#This Row],[Grupo]],VOL_VOLUMEN_SUMINISTROS[[#This Row],[Proyecto]],VOL_VOLUMEN_SUMINISTROS[[#This Row],[FIN DE SEMANA]])</f>
        <v>281052-2NO</v>
      </c>
      <c r="E151" s="30" t="s">
        <v>183</v>
      </c>
      <c r="F151" s="30" t="s">
        <v>148</v>
      </c>
      <c r="G151" s="365">
        <v>28</v>
      </c>
      <c r="H151" s="30">
        <v>7</v>
      </c>
      <c r="I151" s="9" t="s">
        <v>221</v>
      </c>
      <c r="J151" s="9" t="s">
        <v>232</v>
      </c>
      <c r="K151" s="30">
        <v>1</v>
      </c>
      <c r="L151" s="9" t="s">
        <v>233</v>
      </c>
      <c r="M151" s="30" t="s">
        <v>84</v>
      </c>
      <c r="N151" s="30" t="s">
        <v>216</v>
      </c>
      <c r="O151" s="24">
        <v>0</v>
      </c>
      <c r="P151" s="24">
        <v>24</v>
      </c>
      <c r="Q151" s="24">
        <v>8</v>
      </c>
      <c r="R151" s="24">
        <v>0</v>
      </c>
      <c r="S151" s="24">
        <v>0</v>
      </c>
      <c r="T151" s="24">
        <v>32</v>
      </c>
    </row>
    <row r="152" spans="1:20">
      <c r="A152" s="9" t="s">
        <v>219</v>
      </c>
      <c r="B152" s="30" t="s">
        <v>242</v>
      </c>
      <c r="C152" s="30" t="str">
        <f>CONCATENATE(VOL_VOLUMEN_SUMINISTROS[[#This Row],[Proyecto]],VOL_VOLUMEN_SUMINISTROS[[#This Row],[J]],VOL_VOLUMEN_SUMINISTROS[[#This Row],[FIN DE SEMANA]])</f>
        <v>1052-2TNO</v>
      </c>
      <c r="D152" s="365" t="str">
        <f>CONCATENATE(VOL_VOLUMEN_SUMINISTROS[[#This Row],[Grupo]],VOL_VOLUMEN_SUMINISTROS[[#This Row],[Proyecto]],VOL_VOLUMEN_SUMINISTROS[[#This Row],[FIN DE SEMANA]])</f>
        <v>281052-2NO</v>
      </c>
      <c r="E152" s="30" t="s">
        <v>183</v>
      </c>
      <c r="F152" s="30" t="s">
        <v>148</v>
      </c>
      <c r="G152" s="365">
        <v>28</v>
      </c>
      <c r="H152" s="30">
        <v>7</v>
      </c>
      <c r="I152" s="9" t="s">
        <v>221</v>
      </c>
      <c r="J152" s="9" t="s">
        <v>232</v>
      </c>
      <c r="K152" s="30">
        <v>1</v>
      </c>
      <c r="L152" s="9" t="s">
        <v>234</v>
      </c>
      <c r="M152" s="30" t="s">
        <v>84</v>
      </c>
      <c r="N152" s="30" t="s">
        <v>155</v>
      </c>
      <c r="O152" s="24">
        <v>72</v>
      </c>
      <c r="P152" s="24">
        <v>99</v>
      </c>
      <c r="Q152" s="24">
        <v>21</v>
      </c>
      <c r="R152" s="24">
        <v>0</v>
      </c>
      <c r="S152" s="24">
        <v>0</v>
      </c>
      <c r="T152" s="24">
        <v>192</v>
      </c>
    </row>
    <row r="153" spans="1:20">
      <c r="A153" s="9" t="s">
        <v>219</v>
      </c>
      <c r="B153" s="30" t="s">
        <v>242</v>
      </c>
      <c r="C153" s="30" t="str">
        <f>CONCATENATE(VOL_VOLUMEN_SUMINISTROS[[#This Row],[Proyecto]],VOL_VOLUMEN_SUMINISTROS[[#This Row],[J]],VOL_VOLUMEN_SUMINISTROS[[#This Row],[FIN DE SEMANA]])</f>
        <v>1052-2MNO</v>
      </c>
      <c r="D153" s="365" t="str">
        <f>CONCATENATE(VOL_VOLUMEN_SUMINISTROS[[#This Row],[Grupo]],VOL_VOLUMEN_SUMINISTROS[[#This Row],[Proyecto]],VOL_VOLUMEN_SUMINISTROS[[#This Row],[FIN DE SEMANA]])</f>
        <v>281052-2NO</v>
      </c>
      <c r="E153" s="30" t="s">
        <v>183</v>
      </c>
      <c r="F153" s="30" t="s">
        <v>148</v>
      </c>
      <c r="G153" s="365">
        <v>28</v>
      </c>
      <c r="H153" s="30">
        <v>7</v>
      </c>
      <c r="I153" s="9" t="s">
        <v>221</v>
      </c>
      <c r="J153" s="9" t="s">
        <v>238</v>
      </c>
      <c r="K153" s="30">
        <v>1</v>
      </c>
      <c r="L153" s="9" t="s">
        <v>239</v>
      </c>
      <c r="M153" s="30" t="s">
        <v>84</v>
      </c>
      <c r="N153" s="30" t="s">
        <v>152</v>
      </c>
      <c r="O153" s="24">
        <v>60</v>
      </c>
      <c r="P153" s="24">
        <v>105</v>
      </c>
      <c r="Q153" s="24">
        <v>25</v>
      </c>
      <c r="R153" s="24">
        <v>0</v>
      </c>
      <c r="S153" s="24">
        <v>0</v>
      </c>
      <c r="T153" s="24">
        <v>190</v>
      </c>
    </row>
    <row r="154" spans="1:20">
      <c r="A154" s="9" t="s">
        <v>219</v>
      </c>
      <c r="B154" s="30" t="s">
        <v>242</v>
      </c>
      <c r="C154" s="30" t="str">
        <f>CONCATENATE(VOL_VOLUMEN_SUMINISTROS[[#This Row],[Proyecto]],VOL_VOLUMEN_SUMINISTROS[[#This Row],[J]],VOL_VOLUMEN_SUMINISTROS[[#This Row],[FIN DE SEMANA]])</f>
        <v>1052-2M1NO</v>
      </c>
      <c r="D154" s="365" t="str">
        <f>CONCATENATE(VOL_VOLUMEN_SUMINISTROS[[#This Row],[Grupo]],VOL_VOLUMEN_SUMINISTROS[[#This Row],[Proyecto]],VOL_VOLUMEN_SUMINISTROS[[#This Row],[FIN DE SEMANA]])</f>
        <v>281052-2NO</v>
      </c>
      <c r="E154" s="30" t="s">
        <v>183</v>
      </c>
      <c r="F154" s="30" t="s">
        <v>148</v>
      </c>
      <c r="G154" s="365">
        <v>28</v>
      </c>
      <c r="H154" s="30">
        <v>7</v>
      </c>
      <c r="I154" s="9" t="s">
        <v>221</v>
      </c>
      <c r="J154" s="9" t="s">
        <v>238</v>
      </c>
      <c r="K154" s="30">
        <v>1</v>
      </c>
      <c r="L154" s="9" t="s">
        <v>239</v>
      </c>
      <c r="M154" s="30" t="s">
        <v>84</v>
      </c>
      <c r="N154" s="30" t="s">
        <v>216</v>
      </c>
      <c r="O154" s="24">
        <v>60</v>
      </c>
      <c r="P154" s="24">
        <v>105</v>
      </c>
      <c r="Q154" s="24">
        <v>25</v>
      </c>
      <c r="R154" s="24">
        <v>0</v>
      </c>
      <c r="S154" s="24">
        <v>0</v>
      </c>
      <c r="T154" s="24">
        <v>190</v>
      </c>
    </row>
    <row r="155" spans="1:20">
      <c r="A155" s="9" t="s">
        <v>219</v>
      </c>
      <c r="B155" s="30" t="s">
        <v>242</v>
      </c>
      <c r="C155" s="30" t="str">
        <f>CONCATENATE(VOL_VOLUMEN_SUMINISTROS[[#This Row],[Proyecto]],VOL_VOLUMEN_SUMINISTROS[[#This Row],[J]],VOL_VOLUMEN_SUMINISTROS[[#This Row],[FIN DE SEMANA]])</f>
        <v>1052-2M1NO</v>
      </c>
      <c r="D155" s="365" t="str">
        <f>CONCATENATE(VOL_VOLUMEN_SUMINISTROS[[#This Row],[Grupo]],VOL_VOLUMEN_SUMINISTROS[[#This Row],[Proyecto]],VOL_VOLUMEN_SUMINISTROS[[#This Row],[FIN DE SEMANA]])</f>
        <v>281052-2NO</v>
      </c>
      <c r="E155" s="30" t="s">
        <v>183</v>
      </c>
      <c r="F155" s="30" t="s">
        <v>148</v>
      </c>
      <c r="G155" s="365">
        <v>28</v>
      </c>
      <c r="H155" s="30">
        <v>7</v>
      </c>
      <c r="I155" s="9" t="s">
        <v>221</v>
      </c>
      <c r="J155" s="9" t="s">
        <v>238</v>
      </c>
      <c r="K155" s="30">
        <v>3</v>
      </c>
      <c r="L155" s="9" t="s">
        <v>241</v>
      </c>
      <c r="M155" s="30" t="s">
        <v>84</v>
      </c>
      <c r="N155" s="30" t="s">
        <v>216</v>
      </c>
      <c r="O155" s="24">
        <v>0</v>
      </c>
      <c r="P155" s="24">
        <v>0</v>
      </c>
      <c r="Q155" s="24">
        <v>40</v>
      </c>
      <c r="R155" s="24">
        <v>0</v>
      </c>
      <c r="S155" s="24">
        <v>0</v>
      </c>
      <c r="T155" s="24">
        <v>40</v>
      </c>
    </row>
    <row r="156" spans="1:20">
      <c r="A156" s="9" t="s">
        <v>219</v>
      </c>
      <c r="B156" s="30" t="s">
        <v>242</v>
      </c>
      <c r="C156" s="30" t="str">
        <f>CONCATENATE(VOL_VOLUMEN_SUMINISTROS[[#This Row],[Proyecto]],VOL_VOLUMEN_SUMINISTROS[[#This Row],[J]],VOL_VOLUMEN_SUMINISTROS[[#This Row],[FIN DE SEMANA]])</f>
        <v>1052-2TNO</v>
      </c>
      <c r="D156" s="365" t="str">
        <f>CONCATENATE(VOL_VOLUMEN_SUMINISTROS[[#This Row],[Grupo]],VOL_VOLUMEN_SUMINISTROS[[#This Row],[Proyecto]],VOL_VOLUMEN_SUMINISTROS[[#This Row],[FIN DE SEMANA]])</f>
        <v>281052-2NO</v>
      </c>
      <c r="E156" s="30" t="s">
        <v>183</v>
      </c>
      <c r="F156" s="30" t="s">
        <v>148</v>
      </c>
      <c r="G156" s="365">
        <v>28</v>
      </c>
      <c r="H156" s="30">
        <v>7</v>
      </c>
      <c r="I156" s="9" t="s">
        <v>221</v>
      </c>
      <c r="J156" s="9" t="s">
        <v>238</v>
      </c>
      <c r="K156" s="30">
        <v>3</v>
      </c>
      <c r="L156" s="9" t="s">
        <v>241</v>
      </c>
      <c r="M156" s="30" t="s">
        <v>84</v>
      </c>
      <c r="N156" s="30" t="s">
        <v>155</v>
      </c>
      <c r="O156" s="24">
        <v>0</v>
      </c>
      <c r="P156" s="24">
        <v>0</v>
      </c>
      <c r="Q156" s="24">
        <v>172</v>
      </c>
      <c r="R156" s="24">
        <v>0</v>
      </c>
      <c r="S156" s="24">
        <v>0</v>
      </c>
      <c r="T156" s="24">
        <v>172</v>
      </c>
    </row>
    <row r="157" spans="1:20">
      <c r="A157" s="9" t="s">
        <v>219</v>
      </c>
      <c r="B157" s="30" t="s">
        <v>249</v>
      </c>
      <c r="C157" s="30" t="str">
        <f>CONCATENATE(VOL_VOLUMEN_SUMINISTROS[[#This Row],[Proyecto]],VOL_VOLUMEN_SUMINISTROS[[#This Row],[J]],VOL_VOLUMEN_SUMINISTROS[[#This Row],[FIN DE SEMANA]])</f>
        <v>1052-2MNO</v>
      </c>
      <c r="D157" s="365" t="str">
        <f>CONCATENATE(VOL_VOLUMEN_SUMINISTROS[[#This Row],[Grupo]],VOL_VOLUMEN_SUMINISTROS[[#This Row],[Proyecto]],VOL_VOLUMEN_SUMINISTROS[[#This Row],[FIN DE SEMANA]])</f>
        <v>91052-2NO</v>
      </c>
      <c r="E157" s="30" t="s">
        <v>183</v>
      </c>
      <c r="F157" s="30" t="s">
        <v>148</v>
      </c>
      <c r="G157" s="365">
        <v>9</v>
      </c>
      <c r="H157" s="30">
        <v>19</v>
      </c>
      <c r="I157" s="9" t="s">
        <v>250</v>
      </c>
      <c r="J157" s="9" t="s">
        <v>251</v>
      </c>
      <c r="K157" s="30">
        <v>1</v>
      </c>
      <c r="L157" s="9" t="s">
        <v>252</v>
      </c>
      <c r="M157" s="30" t="s">
        <v>84</v>
      </c>
      <c r="N157" s="30" t="s">
        <v>152</v>
      </c>
      <c r="O157" s="24">
        <v>0</v>
      </c>
      <c r="P157" s="24">
        <v>0</v>
      </c>
      <c r="Q157" s="24">
        <v>350</v>
      </c>
      <c r="R157" s="24">
        <v>0</v>
      </c>
      <c r="S157" s="24">
        <v>0</v>
      </c>
      <c r="T157" s="24">
        <v>350</v>
      </c>
    </row>
    <row r="158" spans="1:20">
      <c r="A158" s="9" t="s">
        <v>219</v>
      </c>
      <c r="B158" s="30" t="s">
        <v>249</v>
      </c>
      <c r="C158" s="30" t="str">
        <f>CONCATENATE(VOL_VOLUMEN_SUMINISTROS[[#This Row],[Proyecto]],VOL_VOLUMEN_SUMINISTROS[[#This Row],[J]],VOL_VOLUMEN_SUMINISTROS[[#This Row],[FIN DE SEMANA]])</f>
        <v>1052-2MNO</v>
      </c>
      <c r="D158" s="365" t="str">
        <f>CONCATENATE(VOL_VOLUMEN_SUMINISTROS[[#This Row],[Grupo]],VOL_VOLUMEN_SUMINISTROS[[#This Row],[Proyecto]],VOL_VOLUMEN_SUMINISTROS[[#This Row],[FIN DE SEMANA]])</f>
        <v>91052-2NO</v>
      </c>
      <c r="E158" s="30" t="s">
        <v>183</v>
      </c>
      <c r="F158" s="30" t="s">
        <v>148</v>
      </c>
      <c r="G158" s="365">
        <v>9</v>
      </c>
      <c r="H158" s="30">
        <v>19</v>
      </c>
      <c r="I158" s="9" t="s">
        <v>250</v>
      </c>
      <c r="J158" s="9" t="s">
        <v>253</v>
      </c>
      <c r="K158" s="30">
        <v>1</v>
      </c>
      <c r="L158" s="9" t="s">
        <v>254</v>
      </c>
      <c r="M158" s="30" t="s">
        <v>84</v>
      </c>
      <c r="N158" s="30" t="s">
        <v>152</v>
      </c>
      <c r="O158" s="24">
        <v>0</v>
      </c>
      <c r="P158" s="24">
        <v>0</v>
      </c>
      <c r="Q158" s="24">
        <v>77</v>
      </c>
      <c r="R158" s="24">
        <v>0</v>
      </c>
      <c r="S158" s="24">
        <v>0</v>
      </c>
      <c r="T158" s="24">
        <v>77</v>
      </c>
    </row>
    <row r="159" spans="1:20">
      <c r="A159" s="9" t="s">
        <v>219</v>
      </c>
      <c r="B159" s="30" t="s">
        <v>249</v>
      </c>
      <c r="C159" s="30" t="str">
        <f>CONCATENATE(VOL_VOLUMEN_SUMINISTROS[[#This Row],[Proyecto]],VOL_VOLUMEN_SUMINISTROS[[#This Row],[J]],VOL_VOLUMEN_SUMINISTROS[[#This Row],[FIN DE SEMANA]])</f>
        <v>1052-2MNO</v>
      </c>
      <c r="D159" s="365" t="str">
        <f>CONCATENATE(VOL_VOLUMEN_SUMINISTROS[[#This Row],[Grupo]],VOL_VOLUMEN_SUMINISTROS[[#This Row],[Proyecto]],VOL_VOLUMEN_SUMINISTROS[[#This Row],[FIN DE SEMANA]])</f>
        <v>91052-2NO</v>
      </c>
      <c r="E159" s="30" t="s">
        <v>183</v>
      </c>
      <c r="F159" s="30" t="s">
        <v>148</v>
      </c>
      <c r="G159" s="365">
        <v>9</v>
      </c>
      <c r="H159" s="30">
        <v>6</v>
      </c>
      <c r="I159" s="9" t="s">
        <v>243</v>
      </c>
      <c r="J159" s="9" t="s">
        <v>255</v>
      </c>
      <c r="K159" s="30">
        <v>1</v>
      </c>
      <c r="L159" s="9" t="s">
        <v>256</v>
      </c>
      <c r="M159" s="30" t="s">
        <v>84</v>
      </c>
      <c r="N159" s="30" t="s">
        <v>152</v>
      </c>
      <c r="O159" s="24">
        <v>0</v>
      </c>
      <c r="P159" s="24">
        <v>0</v>
      </c>
      <c r="Q159" s="24">
        <v>101</v>
      </c>
      <c r="R159" s="24">
        <v>0</v>
      </c>
      <c r="S159" s="24">
        <v>0</v>
      </c>
      <c r="T159" s="24">
        <v>101</v>
      </c>
    </row>
    <row r="160" spans="1:20">
      <c r="A160" s="9" t="s">
        <v>219</v>
      </c>
      <c r="B160" s="30" t="s">
        <v>249</v>
      </c>
      <c r="C160" s="30" t="str">
        <f>CONCATENATE(VOL_VOLUMEN_SUMINISTROS[[#This Row],[Proyecto]],VOL_VOLUMEN_SUMINISTROS[[#This Row],[J]],VOL_VOLUMEN_SUMINISTROS[[#This Row],[FIN DE SEMANA]])</f>
        <v>1052-2TNO</v>
      </c>
      <c r="D160" s="365" t="str">
        <f>CONCATENATE(VOL_VOLUMEN_SUMINISTROS[[#This Row],[Grupo]],VOL_VOLUMEN_SUMINISTROS[[#This Row],[Proyecto]],VOL_VOLUMEN_SUMINISTROS[[#This Row],[FIN DE SEMANA]])</f>
        <v>91052-2NO</v>
      </c>
      <c r="E160" s="30" t="s">
        <v>183</v>
      </c>
      <c r="F160" s="30" t="s">
        <v>148</v>
      </c>
      <c r="G160" s="365">
        <v>9</v>
      </c>
      <c r="H160" s="30">
        <v>6</v>
      </c>
      <c r="I160" s="9" t="s">
        <v>243</v>
      </c>
      <c r="J160" s="9" t="s">
        <v>255</v>
      </c>
      <c r="K160" s="30">
        <v>1</v>
      </c>
      <c r="L160" s="9" t="s">
        <v>256</v>
      </c>
      <c r="M160" s="30" t="s">
        <v>84</v>
      </c>
      <c r="N160" s="30" t="s">
        <v>155</v>
      </c>
      <c r="O160" s="24">
        <v>0</v>
      </c>
      <c r="P160" s="24">
        <v>0</v>
      </c>
      <c r="Q160" s="24">
        <v>108</v>
      </c>
      <c r="R160" s="24">
        <v>0</v>
      </c>
      <c r="S160" s="24">
        <v>0</v>
      </c>
      <c r="T160" s="24">
        <v>108</v>
      </c>
    </row>
    <row r="161" spans="1:20">
      <c r="A161" s="9" t="s">
        <v>219</v>
      </c>
      <c r="B161" s="30" t="s">
        <v>257</v>
      </c>
      <c r="C161" s="30" t="str">
        <f>CONCATENATE(VOL_VOLUMEN_SUMINISTROS[[#This Row],[Proyecto]],VOL_VOLUMEN_SUMINISTROS[[#This Row],[J]],VOL_VOLUMEN_SUMINISTROS[[#This Row],[FIN DE SEMANA]])</f>
        <v>1052-2MNO</v>
      </c>
      <c r="D161" s="365" t="str">
        <f>CONCATENATE(VOL_VOLUMEN_SUMINISTROS[[#This Row],[Grupo]],VOL_VOLUMEN_SUMINISTROS[[#This Row],[Proyecto]],VOL_VOLUMEN_SUMINISTROS[[#This Row],[FIN DE SEMANA]])</f>
        <v>281052-2NO</v>
      </c>
      <c r="E161" s="30" t="s">
        <v>183</v>
      </c>
      <c r="F161" s="30" t="s">
        <v>148</v>
      </c>
      <c r="G161" s="365">
        <v>28</v>
      </c>
      <c r="H161" s="30">
        <v>7</v>
      </c>
      <c r="I161" s="9" t="s">
        <v>221</v>
      </c>
      <c r="J161" s="9" t="s">
        <v>228</v>
      </c>
      <c r="K161" s="30">
        <v>4</v>
      </c>
      <c r="L161" s="9" t="s">
        <v>231</v>
      </c>
      <c r="M161" s="30" t="s">
        <v>84</v>
      </c>
      <c r="N161" s="30" t="s">
        <v>152</v>
      </c>
      <c r="O161" s="24">
        <v>188</v>
      </c>
      <c r="P161" s="24">
        <v>0</v>
      </c>
      <c r="Q161" s="24">
        <v>0</v>
      </c>
      <c r="R161" s="24">
        <v>0</v>
      </c>
      <c r="S161" s="24">
        <v>0</v>
      </c>
      <c r="T161" s="24">
        <v>188</v>
      </c>
    </row>
    <row r="162" spans="1:20">
      <c r="A162" s="9" t="s">
        <v>219</v>
      </c>
      <c r="B162" s="30" t="s">
        <v>257</v>
      </c>
      <c r="C162" s="30" t="str">
        <f>CONCATENATE(VOL_VOLUMEN_SUMINISTROS[[#This Row],[Proyecto]],VOL_VOLUMEN_SUMINISTROS[[#This Row],[J]],VOL_VOLUMEN_SUMINISTROS[[#This Row],[FIN DE SEMANA]])</f>
        <v>1052-2TNO</v>
      </c>
      <c r="D162" s="365" t="str">
        <f>CONCATENATE(VOL_VOLUMEN_SUMINISTROS[[#This Row],[Grupo]],VOL_VOLUMEN_SUMINISTROS[[#This Row],[Proyecto]],VOL_VOLUMEN_SUMINISTROS[[#This Row],[FIN DE SEMANA]])</f>
        <v>281052-2NO</v>
      </c>
      <c r="E162" s="30" t="s">
        <v>183</v>
      </c>
      <c r="F162" s="30" t="s">
        <v>148</v>
      </c>
      <c r="G162" s="365">
        <v>28</v>
      </c>
      <c r="H162" s="30">
        <v>7</v>
      </c>
      <c r="I162" s="9" t="s">
        <v>221</v>
      </c>
      <c r="J162" s="9" t="s">
        <v>228</v>
      </c>
      <c r="K162" s="30">
        <v>4</v>
      </c>
      <c r="L162" s="9" t="s">
        <v>231</v>
      </c>
      <c r="M162" s="30" t="s">
        <v>84</v>
      </c>
      <c r="N162" s="30" t="s">
        <v>155</v>
      </c>
      <c r="O162" s="24">
        <v>191</v>
      </c>
      <c r="P162" s="24">
        <v>0</v>
      </c>
      <c r="Q162" s="24">
        <v>0</v>
      </c>
      <c r="R162" s="24">
        <v>0</v>
      </c>
      <c r="S162" s="24">
        <v>0</v>
      </c>
      <c r="T162" s="24">
        <v>191</v>
      </c>
    </row>
    <row r="163" spans="1:20">
      <c r="A163" s="9" t="s">
        <v>219</v>
      </c>
      <c r="B163" s="30" t="s">
        <v>257</v>
      </c>
      <c r="C163" s="30" t="str">
        <f>CONCATENATE(VOL_VOLUMEN_SUMINISTROS[[#This Row],[Proyecto]],VOL_VOLUMEN_SUMINISTROS[[#This Row],[J]],VOL_VOLUMEN_SUMINISTROS[[#This Row],[FIN DE SEMANA]])</f>
        <v>1052-2MNO</v>
      </c>
      <c r="D163" s="365" t="str">
        <f>CONCATENATE(VOL_VOLUMEN_SUMINISTROS[[#This Row],[Grupo]],VOL_VOLUMEN_SUMINISTROS[[#This Row],[Proyecto]],VOL_VOLUMEN_SUMINISTROS[[#This Row],[FIN DE SEMANA]])</f>
        <v>281052-2NO</v>
      </c>
      <c r="E163" s="30" t="s">
        <v>183</v>
      </c>
      <c r="F163" s="30" t="s">
        <v>148</v>
      </c>
      <c r="G163" s="365">
        <v>28</v>
      </c>
      <c r="H163" s="30">
        <v>7</v>
      </c>
      <c r="I163" s="9" t="s">
        <v>221</v>
      </c>
      <c r="J163" s="9" t="s">
        <v>232</v>
      </c>
      <c r="K163" s="30">
        <v>1</v>
      </c>
      <c r="L163" s="9" t="s">
        <v>233</v>
      </c>
      <c r="M163" s="30" t="s">
        <v>84</v>
      </c>
      <c r="N163" s="30" t="s">
        <v>152</v>
      </c>
      <c r="O163" s="24">
        <v>72</v>
      </c>
      <c r="P163" s="24">
        <v>0</v>
      </c>
      <c r="Q163" s="24">
        <v>0</v>
      </c>
      <c r="R163" s="24">
        <v>0</v>
      </c>
      <c r="S163" s="24">
        <v>0</v>
      </c>
      <c r="T163" s="24">
        <v>72</v>
      </c>
    </row>
    <row r="164" spans="1:20">
      <c r="A164" s="9" t="s">
        <v>219</v>
      </c>
      <c r="B164" s="30" t="s">
        <v>257</v>
      </c>
      <c r="C164" s="30" t="str">
        <f>CONCATENATE(VOL_VOLUMEN_SUMINISTROS[[#This Row],[Proyecto]],VOL_VOLUMEN_SUMINISTROS[[#This Row],[J]],VOL_VOLUMEN_SUMINISTROS[[#This Row],[FIN DE SEMANA]])</f>
        <v>1052-2MNO</v>
      </c>
      <c r="D164" s="365" t="str">
        <f>CONCATENATE(VOL_VOLUMEN_SUMINISTROS[[#This Row],[Grupo]],VOL_VOLUMEN_SUMINISTROS[[#This Row],[Proyecto]],VOL_VOLUMEN_SUMINISTROS[[#This Row],[FIN DE SEMANA]])</f>
        <v>281052-2NO</v>
      </c>
      <c r="E164" s="30" t="s">
        <v>183</v>
      </c>
      <c r="F164" s="30" t="s">
        <v>148</v>
      </c>
      <c r="G164" s="365">
        <v>28</v>
      </c>
      <c r="H164" s="30">
        <v>7</v>
      </c>
      <c r="I164" s="9" t="s">
        <v>221</v>
      </c>
      <c r="J164" s="9" t="s">
        <v>258</v>
      </c>
      <c r="K164" s="30">
        <v>1</v>
      </c>
      <c r="L164" s="9" t="s">
        <v>259</v>
      </c>
      <c r="M164" s="30" t="s">
        <v>84</v>
      </c>
      <c r="N164" s="30" t="s">
        <v>152</v>
      </c>
      <c r="O164" s="24">
        <v>75</v>
      </c>
      <c r="P164" s="24">
        <v>0</v>
      </c>
      <c r="Q164" s="24">
        <v>0</v>
      </c>
      <c r="R164" s="24">
        <v>0</v>
      </c>
      <c r="S164" s="24">
        <v>0</v>
      </c>
      <c r="T164" s="24">
        <v>75</v>
      </c>
    </row>
    <row r="165" spans="1:20">
      <c r="A165" s="9" t="s">
        <v>219</v>
      </c>
      <c r="B165" s="30" t="s">
        <v>257</v>
      </c>
      <c r="C165" s="30" t="str">
        <f>CONCATENATE(VOL_VOLUMEN_SUMINISTROS[[#This Row],[Proyecto]],VOL_VOLUMEN_SUMINISTROS[[#This Row],[J]],VOL_VOLUMEN_SUMINISTROS[[#This Row],[FIN DE SEMANA]])</f>
        <v>1052-2TNO</v>
      </c>
      <c r="D165" s="365" t="str">
        <f>CONCATENATE(VOL_VOLUMEN_SUMINISTROS[[#This Row],[Grupo]],VOL_VOLUMEN_SUMINISTROS[[#This Row],[Proyecto]],VOL_VOLUMEN_SUMINISTROS[[#This Row],[FIN DE SEMANA]])</f>
        <v>281052-2NO</v>
      </c>
      <c r="E165" s="30" t="s">
        <v>183</v>
      </c>
      <c r="F165" s="30" t="s">
        <v>148</v>
      </c>
      <c r="G165" s="365">
        <v>28</v>
      </c>
      <c r="H165" s="30">
        <v>7</v>
      </c>
      <c r="I165" s="9" t="s">
        <v>221</v>
      </c>
      <c r="J165" s="9" t="s">
        <v>258</v>
      </c>
      <c r="K165" s="30">
        <v>1</v>
      </c>
      <c r="L165" s="9" t="s">
        <v>259</v>
      </c>
      <c r="M165" s="30" t="s">
        <v>84</v>
      </c>
      <c r="N165" s="30" t="s">
        <v>155</v>
      </c>
      <c r="O165" s="24">
        <v>75</v>
      </c>
      <c r="P165" s="24">
        <v>0</v>
      </c>
      <c r="Q165" s="24">
        <v>0</v>
      </c>
      <c r="R165" s="24">
        <v>0</v>
      </c>
      <c r="S165" s="24">
        <v>0</v>
      </c>
      <c r="T165" s="24">
        <v>75</v>
      </c>
    </row>
    <row r="166" spans="1:20">
      <c r="A166" s="9" t="s">
        <v>219</v>
      </c>
      <c r="B166" s="30" t="s">
        <v>257</v>
      </c>
      <c r="C166" s="30" t="str">
        <f>CONCATENATE(VOL_VOLUMEN_SUMINISTROS[[#This Row],[Proyecto]],VOL_VOLUMEN_SUMINISTROS[[#This Row],[J]],VOL_VOLUMEN_SUMINISTROS[[#This Row],[FIN DE SEMANA]])</f>
        <v>1052-2MNO</v>
      </c>
      <c r="D166" s="365" t="str">
        <f>CONCATENATE(VOL_VOLUMEN_SUMINISTROS[[#This Row],[Grupo]],VOL_VOLUMEN_SUMINISTROS[[#This Row],[Proyecto]],VOL_VOLUMEN_SUMINISTROS[[#This Row],[FIN DE SEMANA]])</f>
        <v>281052-2NO</v>
      </c>
      <c r="E166" s="30" t="s">
        <v>183</v>
      </c>
      <c r="F166" s="30" t="s">
        <v>148</v>
      </c>
      <c r="G166" s="365">
        <v>28</v>
      </c>
      <c r="H166" s="30">
        <v>7</v>
      </c>
      <c r="I166" s="9" t="s">
        <v>221</v>
      </c>
      <c r="J166" s="9" t="s">
        <v>235</v>
      </c>
      <c r="K166" s="30">
        <v>1</v>
      </c>
      <c r="L166" s="9" t="s">
        <v>236</v>
      </c>
      <c r="M166" s="30" t="s">
        <v>84</v>
      </c>
      <c r="N166" s="30" t="s">
        <v>152</v>
      </c>
      <c r="O166" s="24">
        <v>90</v>
      </c>
      <c r="P166" s="24">
        <v>0</v>
      </c>
      <c r="Q166" s="24">
        <v>0</v>
      </c>
      <c r="R166" s="24">
        <v>0</v>
      </c>
      <c r="S166" s="24">
        <v>0</v>
      </c>
      <c r="T166" s="24">
        <v>90</v>
      </c>
    </row>
    <row r="167" spans="1:20">
      <c r="A167" s="9" t="s">
        <v>219</v>
      </c>
      <c r="B167" s="30" t="s">
        <v>257</v>
      </c>
      <c r="C167" s="30" t="str">
        <f>CONCATENATE(VOL_VOLUMEN_SUMINISTROS[[#This Row],[Proyecto]],VOL_VOLUMEN_SUMINISTROS[[#This Row],[J]],VOL_VOLUMEN_SUMINISTROS[[#This Row],[FIN DE SEMANA]])</f>
        <v>1052-2TNO</v>
      </c>
      <c r="D167" s="365" t="str">
        <f>CONCATENATE(VOL_VOLUMEN_SUMINISTROS[[#This Row],[Grupo]],VOL_VOLUMEN_SUMINISTROS[[#This Row],[Proyecto]],VOL_VOLUMEN_SUMINISTROS[[#This Row],[FIN DE SEMANA]])</f>
        <v>281052-2NO</v>
      </c>
      <c r="E167" s="30" t="s">
        <v>183</v>
      </c>
      <c r="F167" s="30" t="s">
        <v>148</v>
      </c>
      <c r="G167" s="365">
        <v>28</v>
      </c>
      <c r="H167" s="30">
        <v>7</v>
      </c>
      <c r="I167" s="9" t="s">
        <v>221</v>
      </c>
      <c r="J167" s="9" t="s">
        <v>235</v>
      </c>
      <c r="K167" s="30">
        <v>1</v>
      </c>
      <c r="L167" s="9" t="s">
        <v>236</v>
      </c>
      <c r="M167" s="30" t="s">
        <v>84</v>
      </c>
      <c r="N167" s="30" t="s">
        <v>155</v>
      </c>
      <c r="O167" s="24">
        <v>90</v>
      </c>
      <c r="P167" s="24">
        <v>0</v>
      </c>
      <c r="Q167" s="24">
        <v>0</v>
      </c>
      <c r="R167" s="24">
        <v>0</v>
      </c>
      <c r="S167" s="24">
        <v>0</v>
      </c>
      <c r="T167" s="24">
        <v>90</v>
      </c>
    </row>
    <row r="168" spans="1:20">
      <c r="A168" s="9" t="s">
        <v>219</v>
      </c>
      <c r="B168" s="30" t="s">
        <v>257</v>
      </c>
      <c r="C168" s="30" t="str">
        <f>CONCATENATE(VOL_VOLUMEN_SUMINISTROS[[#This Row],[Proyecto]],VOL_VOLUMEN_SUMINISTROS[[#This Row],[J]],VOL_VOLUMEN_SUMINISTROS[[#This Row],[FIN DE SEMANA]])</f>
        <v>1052-2MNO</v>
      </c>
      <c r="D168" s="365" t="str">
        <f>CONCATENATE(VOL_VOLUMEN_SUMINISTROS[[#This Row],[Grupo]],VOL_VOLUMEN_SUMINISTROS[[#This Row],[Proyecto]],VOL_VOLUMEN_SUMINISTROS[[#This Row],[FIN DE SEMANA]])</f>
        <v>281052-2NO</v>
      </c>
      <c r="E168" s="30" t="s">
        <v>183</v>
      </c>
      <c r="F168" s="30" t="s">
        <v>148</v>
      </c>
      <c r="G168" s="365">
        <v>28</v>
      </c>
      <c r="H168" s="30">
        <v>7</v>
      </c>
      <c r="I168" s="9" t="s">
        <v>221</v>
      </c>
      <c r="J168" s="9" t="s">
        <v>235</v>
      </c>
      <c r="K168" s="30">
        <v>2</v>
      </c>
      <c r="L168" s="9" t="s">
        <v>237</v>
      </c>
      <c r="M168" s="30" t="s">
        <v>84</v>
      </c>
      <c r="N168" s="30" t="s">
        <v>152</v>
      </c>
      <c r="O168" s="24">
        <v>30</v>
      </c>
      <c r="P168" s="24">
        <v>0</v>
      </c>
      <c r="Q168" s="24">
        <v>0</v>
      </c>
      <c r="R168" s="24">
        <v>0</v>
      </c>
      <c r="S168" s="24">
        <v>0</v>
      </c>
      <c r="T168" s="24">
        <v>30</v>
      </c>
    </row>
    <row r="169" spans="1:20">
      <c r="A169" s="9" t="s">
        <v>219</v>
      </c>
      <c r="B169" s="30" t="s">
        <v>257</v>
      </c>
      <c r="C169" s="30" t="str">
        <f>CONCATENATE(VOL_VOLUMEN_SUMINISTROS[[#This Row],[Proyecto]],VOL_VOLUMEN_SUMINISTROS[[#This Row],[J]],VOL_VOLUMEN_SUMINISTROS[[#This Row],[FIN DE SEMANA]])</f>
        <v>1052-2TNO</v>
      </c>
      <c r="D169" s="365" t="str">
        <f>CONCATENATE(VOL_VOLUMEN_SUMINISTROS[[#This Row],[Grupo]],VOL_VOLUMEN_SUMINISTROS[[#This Row],[Proyecto]],VOL_VOLUMEN_SUMINISTROS[[#This Row],[FIN DE SEMANA]])</f>
        <v>281052-2NO</v>
      </c>
      <c r="E169" s="30" t="s">
        <v>183</v>
      </c>
      <c r="F169" s="30" t="s">
        <v>148</v>
      </c>
      <c r="G169" s="365">
        <v>28</v>
      </c>
      <c r="H169" s="30">
        <v>7</v>
      </c>
      <c r="I169" s="9" t="s">
        <v>221</v>
      </c>
      <c r="J169" s="9" t="s">
        <v>235</v>
      </c>
      <c r="K169" s="30">
        <v>2</v>
      </c>
      <c r="L169" s="9" t="s">
        <v>237</v>
      </c>
      <c r="M169" s="30" t="s">
        <v>84</v>
      </c>
      <c r="N169" s="30" t="s">
        <v>155</v>
      </c>
      <c r="O169" s="24">
        <v>30</v>
      </c>
      <c r="P169" s="24">
        <v>0</v>
      </c>
      <c r="Q169" s="24">
        <v>0</v>
      </c>
      <c r="R169" s="24">
        <v>0</v>
      </c>
      <c r="S169" s="24">
        <v>0</v>
      </c>
      <c r="T169" s="24">
        <v>30</v>
      </c>
    </row>
    <row r="170" spans="1:20">
      <c r="A170" s="9" t="s">
        <v>219</v>
      </c>
      <c r="B170" s="30" t="s">
        <v>257</v>
      </c>
      <c r="C170" s="30" t="str">
        <f>CONCATENATE(VOL_VOLUMEN_SUMINISTROS[[#This Row],[Proyecto]],VOL_VOLUMEN_SUMINISTROS[[#This Row],[J]],VOL_VOLUMEN_SUMINISTROS[[#This Row],[FIN DE SEMANA]])</f>
        <v>1052-2MNO</v>
      </c>
      <c r="D170" s="365" t="str">
        <f>CONCATENATE(VOL_VOLUMEN_SUMINISTROS[[#This Row],[Grupo]],VOL_VOLUMEN_SUMINISTROS[[#This Row],[Proyecto]],VOL_VOLUMEN_SUMINISTROS[[#This Row],[FIN DE SEMANA]])</f>
        <v>281052-2NO</v>
      </c>
      <c r="E170" s="30" t="s">
        <v>183</v>
      </c>
      <c r="F170" s="30" t="s">
        <v>148</v>
      </c>
      <c r="G170" s="365">
        <v>28</v>
      </c>
      <c r="H170" s="30">
        <v>7</v>
      </c>
      <c r="I170" s="9" t="s">
        <v>221</v>
      </c>
      <c r="J170" s="9" t="s">
        <v>238</v>
      </c>
      <c r="K170" s="30">
        <v>1</v>
      </c>
      <c r="L170" s="9" t="s">
        <v>239</v>
      </c>
      <c r="M170" s="30" t="s">
        <v>84</v>
      </c>
      <c r="N170" s="30" t="s">
        <v>152</v>
      </c>
      <c r="O170" s="24">
        <v>55</v>
      </c>
      <c r="P170" s="24">
        <v>0</v>
      </c>
      <c r="Q170" s="24">
        <v>0</v>
      </c>
      <c r="R170" s="24">
        <v>0</v>
      </c>
      <c r="S170" s="24">
        <v>0</v>
      </c>
      <c r="T170" s="24">
        <v>55</v>
      </c>
    </row>
    <row r="171" spans="1:20">
      <c r="A171" s="9" t="s">
        <v>219</v>
      </c>
      <c r="B171" s="30" t="s">
        <v>257</v>
      </c>
      <c r="C171" s="30" t="str">
        <f>CONCATENATE(VOL_VOLUMEN_SUMINISTROS[[#This Row],[Proyecto]],VOL_VOLUMEN_SUMINISTROS[[#This Row],[J]],VOL_VOLUMEN_SUMINISTROS[[#This Row],[FIN DE SEMANA]])</f>
        <v>1052-2TNO</v>
      </c>
      <c r="D171" s="365" t="str">
        <f>CONCATENATE(VOL_VOLUMEN_SUMINISTROS[[#This Row],[Grupo]],VOL_VOLUMEN_SUMINISTROS[[#This Row],[Proyecto]],VOL_VOLUMEN_SUMINISTROS[[#This Row],[FIN DE SEMANA]])</f>
        <v>281052-2NO</v>
      </c>
      <c r="E171" s="30" t="s">
        <v>183</v>
      </c>
      <c r="F171" s="30" t="s">
        <v>148</v>
      </c>
      <c r="G171" s="365">
        <v>28</v>
      </c>
      <c r="H171" s="30">
        <v>7</v>
      </c>
      <c r="I171" s="9" t="s">
        <v>221</v>
      </c>
      <c r="J171" s="9" t="s">
        <v>238</v>
      </c>
      <c r="K171" s="30">
        <v>1</v>
      </c>
      <c r="L171" s="9" t="s">
        <v>239</v>
      </c>
      <c r="M171" s="30" t="s">
        <v>84</v>
      </c>
      <c r="N171" s="30" t="s">
        <v>155</v>
      </c>
      <c r="O171" s="24">
        <v>54</v>
      </c>
      <c r="P171" s="24">
        <v>0</v>
      </c>
      <c r="Q171" s="24">
        <v>0</v>
      </c>
      <c r="R171" s="24">
        <v>0</v>
      </c>
      <c r="S171" s="24">
        <v>0</v>
      </c>
      <c r="T171" s="24">
        <v>54</v>
      </c>
    </row>
    <row r="172" spans="1:20">
      <c r="A172" s="9" t="s">
        <v>219</v>
      </c>
      <c r="B172" s="30" t="s">
        <v>257</v>
      </c>
      <c r="C172" s="30" t="str">
        <f>CONCATENATE(VOL_VOLUMEN_SUMINISTROS[[#This Row],[Proyecto]],VOL_VOLUMEN_SUMINISTROS[[#This Row],[J]],VOL_VOLUMEN_SUMINISTROS[[#This Row],[FIN DE SEMANA]])</f>
        <v>1052-2MNO</v>
      </c>
      <c r="D172" s="365" t="str">
        <f>CONCATENATE(VOL_VOLUMEN_SUMINISTROS[[#This Row],[Grupo]],VOL_VOLUMEN_SUMINISTROS[[#This Row],[Proyecto]],VOL_VOLUMEN_SUMINISTROS[[#This Row],[FIN DE SEMANA]])</f>
        <v>281052-2NO</v>
      </c>
      <c r="E172" s="30" t="s">
        <v>183</v>
      </c>
      <c r="F172" s="30" t="s">
        <v>148</v>
      </c>
      <c r="G172" s="365">
        <v>28</v>
      </c>
      <c r="H172" s="30">
        <v>7</v>
      </c>
      <c r="I172" s="9" t="s">
        <v>221</v>
      </c>
      <c r="J172" s="9" t="s">
        <v>238</v>
      </c>
      <c r="K172" s="30">
        <v>2</v>
      </c>
      <c r="L172" s="9" t="s">
        <v>240</v>
      </c>
      <c r="M172" s="30" t="s">
        <v>84</v>
      </c>
      <c r="N172" s="30" t="s">
        <v>152</v>
      </c>
      <c r="O172" s="24">
        <v>74</v>
      </c>
      <c r="P172" s="24">
        <v>0</v>
      </c>
      <c r="Q172" s="24">
        <v>0</v>
      </c>
      <c r="R172" s="24">
        <v>0</v>
      </c>
      <c r="S172" s="24">
        <v>0</v>
      </c>
      <c r="T172" s="24">
        <v>74</v>
      </c>
    </row>
    <row r="173" spans="1:20">
      <c r="A173" s="9" t="s">
        <v>219</v>
      </c>
      <c r="B173" s="30" t="s">
        <v>257</v>
      </c>
      <c r="C173" s="30" t="str">
        <f>CONCATENATE(VOL_VOLUMEN_SUMINISTROS[[#This Row],[Proyecto]],VOL_VOLUMEN_SUMINISTROS[[#This Row],[J]],VOL_VOLUMEN_SUMINISTROS[[#This Row],[FIN DE SEMANA]])</f>
        <v>1052-2TNO</v>
      </c>
      <c r="D173" s="365" t="str">
        <f>CONCATENATE(VOL_VOLUMEN_SUMINISTROS[[#This Row],[Grupo]],VOL_VOLUMEN_SUMINISTROS[[#This Row],[Proyecto]],VOL_VOLUMEN_SUMINISTROS[[#This Row],[FIN DE SEMANA]])</f>
        <v>281052-2NO</v>
      </c>
      <c r="E173" s="30" t="s">
        <v>183</v>
      </c>
      <c r="F173" s="30" t="s">
        <v>148</v>
      </c>
      <c r="G173" s="365">
        <v>28</v>
      </c>
      <c r="H173" s="30">
        <v>7</v>
      </c>
      <c r="I173" s="9" t="s">
        <v>221</v>
      </c>
      <c r="J173" s="9" t="s">
        <v>238</v>
      </c>
      <c r="K173" s="30">
        <v>2</v>
      </c>
      <c r="L173" s="9" t="s">
        <v>240</v>
      </c>
      <c r="M173" s="30" t="s">
        <v>84</v>
      </c>
      <c r="N173" s="30" t="s">
        <v>155</v>
      </c>
      <c r="O173" s="24">
        <v>141</v>
      </c>
      <c r="P173" s="24">
        <v>0</v>
      </c>
      <c r="Q173" s="24">
        <v>0</v>
      </c>
      <c r="R173" s="24">
        <v>0</v>
      </c>
      <c r="S173" s="24">
        <v>0</v>
      </c>
      <c r="T173" s="24">
        <v>141</v>
      </c>
    </row>
    <row r="174" spans="1:20">
      <c r="A174" s="9" t="s">
        <v>219</v>
      </c>
      <c r="B174" s="30" t="s">
        <v>257</v>
      </c>
      <c r="C174" s="30" t="str">
        <f>CONCATENATE(VOL_VOLUMEN_SUMINISTROS[[#This Row],[Proyecto]],VOL_VOLUMEN_SUMINISTROS[[#This Row],[J]],VOL_VOLUMEN_SUMINISTROS[[#This Row],[FIN DE SEMANA]])</f>
        <v>1052-2MNO</v>
      </c>
      <c r="D174" s="365" t="str">
        <f>CONCATENATE(VOL_VOLUMEN_SUMINISTROS[[#This Row],[Grupo]],VOL_VOLUMEN_SUMINISTROS[[#This Row],[Proyecto]],VOL_VOLUMEN_SUMINISTROS[[#This Row],[FIN DE SEMANA]])</f>
        <v>281052-2NO</v>
      </c>
      <c r="E174" s="30" t="s">
        <v>183</v>
      </c>
      <c r="F174" s="30" t="s">
        <v>148</v>
      </c>
      <c r="G174" s="365">
        <v>28</v>
      </c>
      <c r="H174" s="30">
        <v>7</v>
      </c>
      <c r="I174" s="9" t="s">
        <v>221</v>
      </c>
      <c r="J174" s="9" t="s">
        <v>238</v>
      </c>
      <c r="K174" s="30">
        <v>3</v>
      </c>
      <c r="L174" s="9" t="s">
        <v>241</v>
      </c>
      <c r="M174" s="30" t="s">
        <v>84</v>
      </c>
      <c r="N174" s="30" t="s">
        <v>152</v>
      </c>
      <c r="O174" s="24">
        <v>318</v>
      </c>
      <c r="P174" s="24">
        <v>0</v>
      </c>
      <c r="Q174" s="24">
        <v>0</v>
      </c>
      <c r="R174" s="24">
        <v>0</v>
      </c>
      <c r="S174" s="24">
        <v>0</v>
      </c>
      <c r="T174" s="24">
        <v>318</v>
      </c>
    </row>
    <row r="175" spans="1:20">
      <c r="A175" s="9" t="s">
        <v>219</v>
      </c>
      <c r="B175" s="30" t="s">
        <v>257</v>
      </c>
      <c r="C175" s="30" t="str">
        <f>CONCATENATE(VOL_VOLUMEN_SUMINISTROS[[#This Row],[Proyecto]],VOL_VOLUMEN_SUMINISTROS[[#This Row],[J]],VOL_VOLUMEN_SUMINISTROS[[#This Row],[FIN DE SEMANA]])</f>
        <v>1052-2TNO</v>
      </c>
      <c r="D175" s="365" t="str">
        <f>CONCATENATE(VOL_VOLUMEN_SUMINISTROS[[#This Row],[Grupo]],VOL_VOLUMEN_SUMINISTROS[[#This Row],[Proyecto]],VOL_VOLUMEN_SUMINISTROS[[#This Row],[FIN DE SEMANA]])</f>
        <v>281052-2NO</v>
      </c>
      <c r="E175" s="30" t="s">
        <v>183</v>
      </c>
      <c r="F175" s="30" t="s">
        <v>148</v>
      </c>
      <c r="G175" s="365">
        <v>28</v>
      </c>
      <c r="H175" s="30">
        <v>7</v>
      </c>
      <c r="I175" s="9" t="s">
        <v>221</v>
      </c>
      <c r="J175" s="9" t="s">
        <v>238</v>
      </c>
      <c r="K175" s="30">
        <v>3</v>
      </c>
      <c r="L175" s="9" t="s">
        <v>241</v>
      </c>
      <c r="M175" s="30" t="s">
        <v>84</v>
      </c>
      <c r="N175" s="30" t="s">
        <v>155</v>
      </c>
      <c r="O175" s="24">
        <v>223</v>
      </c>
      <c r="P175" s="24">
        <v>0</v>
      </c>
      <c r="Q175" s="24">
        <v>0</v>
      </c>
      <c r="R175" s="24">
        <v>0</v>
      </c>
      <c r="S175" s="24">
        <v>0</v>
      </c>
      <c r="T175" s="24">
        <v>223</v>
      </c>
    </row>
    <row r="176" spans="1:20">
      <c r="A176" s="9" t="s">
        <v>219</v>
      </c>
      <c r="B176" s="30" t="s">
        <v>260</v>
      </c>
      <c r="C176" s="30" t="str">
        <f>CONCATENATE(VOL_VOLUMEN_SUMINISTROS[[#This Row],[Proyecto]],VOL_VOLUMEN_SUMINISTROS[[#This Row],[J]],VOL_VOLUMEN_SUMINISTROS[[#This Row],[FIN DE SEMANA]])</f>
        <v>1052-1MNO</v>
      </c>
      <c r="D176" s="365" t="str">
        <f>CONCATENATE(VOL_VOLUMEN_SUMINISTROS[[#This Row],[Grupo]],VOL_VOLUMEN_SUMINISTROS[[#This Row],[Proyecto]],VOL_VOLUMEN_SUMINISTROS[[#This Row],[FIN DE SEMANA]])</f>
        <v>61052-1NO</v>
      </c>
      <c r="E176" s="30" t="s">
        <v>147</v>
      </c>
      <c r="F176" s="30" t="s">
        <v>148</v>
      </c>
      <c r="G176" s="365">
        <v>6</v>
      </c>
      <c r="H176" s="30">
        <v>19</v>
      </c>
      <c r="I176" s="9" t="s">
        <v>250</v>
      </c>
      <c r="J176" s="9" t="s">
        <v>261</v>
      </c>
      <c r="K176" s="30">
        <v>1</v>
      </c>
      <c r="L176" s="9" t="s">
        <v>262</v>
      </c>
      <c r="M176" s="30" t="s">
        <v>84</v>
      </c>
      <c r="N176" s="30" t="s">
        <v>152</v>
      </c>
      <c r="O176" s="24">
        <v>213</v>
      </c>
      <c r="P176" s="24">
        <v>341</v>
      </c>
      <c r="Q176" s="24">
        <v>365</v>
      </c>
      <c r="R176" s="24">
        <v>0</v>
      </c>
      <c r="S176" s="24">
        <v>0</v>
      </c>
      <c r="T176" s="24">
        <v>919</v>
      </c>
    </row>
    <row r="177" spans="1:20">
      <c r="A177" s="9" t="s">
        <v>219</v>
      </c>
      <c r="B177" s="30" t="s">
        <v>260</v>
      </c>
      <c r="C177" s="30" t="str">
        <f>CONCATENATE(VOL_VOLUMEN_SUMINISTROS[[#This Row],[Proyecto]],VOL_VOLUMEN_SUMINISTROS[[#This Row],[J]],VOL_VOLUMEN_SUMINISTROS[[#This Row],[FIN DE SEMANA]])</f>
        <v>1052-1TNO</v>
      </c>
      <c r="D177" s="365" t="str">
        <f>CONCATENATE(VOL_VOLUMEN_SUMINISTROS[[#This Row],[Grupo]],VOL_VOLUMEN_SUMINISTROS[[#This Row],[Proyecto]],VOL_VOLUMEN_SUMINISTROS[[#This Row],[FIN DE SEMANA]])</f>
        <v>61052-1NO</v>
      </c>
      <c r="E177" s="30" t="s">
        <v>147</v>
      </c>
      <c r="F177" s="30" t="s">
        <v>148</v>
      </c>
      <c r="G177" s="365">
        <v>6</v>
      </c>
      <c r="H177" s="30">
        <v>19</v>
      </c>
      <c r="I177" s="9" t="s">
        <v>250</v>
      </c>
      <c r="J177" s="9" t="s">
        <v>261</v>
      </c>
      <c r="K177" s="30">
        <v>1</v>
      </c>
      <c r="L177" s="9" t="s">
        <v>262</v>
      </c>
      <c r="M177" s="30" t="s">
        <v>84</v>
      </c>
      <c r="N177" s="30" t="s">
        <v>155</v>
      </c>
      <c r="O177" s="24">
        <v>243</v>
      </c>
      <c r="P177" s="24">
        <v>336</v>
      </c>
      <c r="Q177" s="24">
        <v>266</v>
      </c>
      <c r="R177" s="24">
        <v>0</v>
      </c>
      <c r="S177" s="24">
        <v>0</v>
      </c>
      <c r="T177" s="24">
        <v>845</v>
      </c>
    </row>
    <row r="178" spans="1:20">
      <c r="A178" s="9" t="s">
        <v>219</v>
      </c>
      <c r="B178" s="30" t="s">
        <v>260</v>
      </c>
      <c r="C178" s="30" t="str">
        <f>CONCATENATE(VOL_VOLUMEN_SUMINISTROS[[#This Row],[Proyecto]],VOL_VOLUMEN_SUMINISTROS[[#This Row],[J]],VOL_VOLUMEN_SUMINISTROS[[#This Row],[FIN DE SEMANA]])</f>
        <v>1052-1MNO</v>
      </c>
      <c r="D178" s="365" t="str">
        <f>CONCATENATE(VOL_VOLUMEN_SUMINISTROS[[#This Row],[Grupo]],VOL_VOLUMEN_SUMINISTROS[[#This Row],[Proyecto]],VOL_VOLUMEN_SUMINISTROS[[#This Row],[FIN DE SEMANA]])</f>
        <v>301052-1NO</v>
      </c>
      <c r="E178" s="30" t="s">
        <v>147</v>
      </c>
      <c r="F178" s="30" t="s">
        <v>148</v>
      </c>
      <c r="G178" s="365">
        <v>30</v>
      </c>
      <c r="H178" s="30">
        <v>6</v>
      </c>
      <c r="I178" s="9" t="s">
        <v>243</v>
      </c>
      <c r="J178" s="9" t="s">
        <v>263</v>
      </c>
      <c r="K178" s="30">
        <v>1</v>
      </c>
      <c r="L178" s="9" t="s">
        <v>264</v>
      </c>
      <c r="M178" s="30" t="s">
        <v>84</v>
      </c>
      <c r="N178" s="30" t="s">
        <v>152</v>
      </c>
      <c r="O178" s="24">
        <v>271</v>
      </c>
      <c r="P178" s="24">
        <v>530</v>
      </c>
      <c r="Q178" s="24">
        <v>779</v>
      </c>
      <c r="R178" s="24">
        <v>0</v>
      </c>
      <c r="S178" s="24">
        <v>0</v>
      </c>
      <c r="T178" s="24">
        <v>1580</v>
      </c>
    </row>
    <row r="179" spans="1:20">
      <c r="A179" s="9" t="s">
        <v>219</v>
      </c>
      <c r="B179" s="30" t="s">
        <v>260</v>
      </c>
      <c r="C179" s="30" t="str">
        <f>CONCATENATE(VOL_VOLUMEN_SUMINISTROS[[#This Row],[Proyecto]],VOL_VOLUMEN_SUMINISTROS[[#This Row],[J]],VOL_VOLUMEN_SUMINISTROS[[#This Row],[FIN DE SEMANA]])</f>
        <v>1052-1NNO</v>
      </c>
      <c r="D179" s="365" t="str">
        <f>CONCATENATE(VOL_VOLUMEN_SUMINISTROS[[#This Row],[Grupo]],VOL_VOLUMEN_SUMINISTROS[[#This Row],[Proyecto]],VOL_VOLUMEN_SUMINISTROS[[#This Row],[FIN DE SEMANA]])</f>
        <v>301052-1NO</v>
      </c>
      <c r="E179" s="30" t="s">
        <v>147</v>
      </c>
      <c r="F179" s="30" t="s">
        <v>148</v>
      </c>
      <c r="G179" s="365">
        <v>30</v>
      </c>
      <c r="H179" s="30">
        <v>6</v>
      </c>
      <c r="I179" s="9" t="s">
        <v>243</v>
      </c>
      <c r="J179" s="9" t="s">
        <v>263</v>
      </c>
      <c r="K179" s="30">
        <v>1</v>
      </c>
      <c r="L179" s="9" t="s">
        <v>264</v>
      </c>
      <c r="M179" s="30" t="s">
        <v>84</v>
      </c>
      <c r="N179" s="30" t="s">
        <v>154</v>
      </c>
      <c r="O179" s="24">
        <v>0</v>
      </c>
      <c r="P179" s="24">
        <v>0</v>
      </c>
      <c r="Q179" s="24">
        <v>0</v>
      </c>
      <c r="R179" s="24">
        <v>110</v>
      </c>
      <c r="S179" s="24">
        <v>90</v>
      </c>
      <c r="T179" s="24">
        <v>200</v>
      </c>
    </row>
    <row r="180" spans="1:20">
      <c r="A180" s="9" t="s">
        <v>219</v>
      </c>
      <c r="B180" s="30" t="s">
        <v>260</v>
      </c>
      <c r="C180" s="30" t="str">
        <f>CONCATENATE(VOL_VOLUMEN_SUMINISTROS[[#This Row],[Proyecto]],VOL_VOLUMEN_SUMINISTROS[[#This Row],[J]],VOL_VOLUMEN_SUMINISTROS[[#This Row],[FIN DE SEMANA]])</f>
        <v>1052-1TNO</v>
      </c>
      <c r="D180" s="365" t="str">
        <f>CONCATENATE(VOL_VOLUMEN_SUMINISTROS[[#This Row],[Grupo]],VOL_VOLUMEN_SUMINISTROS[[#This Row],[Proyecto]],VOL_VOLUMEN_SUMINISTROS[[#This Row],[FIN DE SEMANA]])</f>
        <v>301052-1NO</v>
      </c>
      <c r="E180" s="30" t="s">
        <v>147</v>
      </c>
      <c r="F180" s="30" t="s">
        <v>148</v>
      </c>
      <c r="G180" s="365">
        <v>30</v>
      </c>
      <c r="H180" s="30">
        <v>6</v>
      </c>
      <c r="I180" s="9" t="s">
        <v>243</v>
      </c>
      <c r="J180" s="9" t="s">
        <v>263</v>
      </c>
      <c r="K180" s="30">
        <v>1</v>
      </c>
      <c r="L180" s="9" t="s">
        <v>264</v>
      </c>
      <c r="M180" s="30" t="s">
        <v>84</v>
      </c>
      <c r="N180" s="30" t="s">
        <v>155</v>
      </c>
      <c r="O180" s="24">
        <v>276</v>
      </c>
      <c r="P180" s="24">
        <v>523</v>
      </c>
      <c r="Q180" s="24">
        <v>756</v>
      </c>
      <c r="R180" s="24">
        <v>0</v>
      </c>
      <c r="S180" s="24">
        <v>0</v>
      </c>
      <c r="T180" s="24">
        <v>1555</v>
      </c>
    </row>
    <row r="181" spans="1:20">
      <c r="A181" s="9" t="s">
        <v>219</v>
      </c>
      <c r="B181" s="30" t="s">
        <v>260</v>
      </c>
      <c r="C181" s="30" t="str">
        <f>CONCATENATE(VOL_VOLUMEN_SUMINISTROS[[#This Row],[Proyecto]],VOL_VOLUMEN_SUMINISTROS[[#This Row],[J]],VOL_VOLUMEN_SUMINISTROS[[#This Row],[FIN DE SEMANA]])</f>
        <v>1052-1MNO</v>
      </c>
      <c r="D181" s="365" t="str">
        <f>CONCATENATE(VOL_VOLUMEN_SUMINISTROS[[#This Row],[Grupo]],VOL_VOLUMEN_SUMINISTROS[[#This Row],[Proyecto]],VOL_VOLUMEN_SUMINISTROS[[#This Row],[FIN DE SEMANA]])</f>
        <v>301052-1NO</v>
      </c>
      <c r="E181" s="30" t="s">
        <v>147</v>
      </c>
      <c r="F181" s="30" t="s">
        <v>148</v>
      </c>
      <c r="G181" s="365">
        <v>30</v>
      </c>
      <c r="H181" s="30">
        <v>6</v>
      </c>
      <c r="I181" s="9" t="s">
        <v>243</v>
      </c>
      <c r="J181" s="9" t="s">
        <v>265</v>
      </c>
      <c r="K181" s="30">
        <v>1</v>
      </c>
      <c r="L181" s="9" t="s">
        <v>153</v>
      </c>
      <c r="M181" s="30" t="s">
        <v>84</v>
      </c>
      <c r="N181" s="30" t="s">
        <v>152</v>
      </c>
      <c r="O181" s="24">
        <v>211</v>
      </c>
      <c r="P181" s="24">
        <v>0</v>
      </c>
      <c r="Q181" s="24">
        <v>0</v>
      </c>
      <c r="R181" s="24">
        <v>0</v>
      </c>
      <c r="S181" s="24">
        <v>0</v>
      </c>
      <c r="T181" s="24">
        <v>211</v>
      </c>
    </row>
    <row r="182" spans="1:20">
      <c r="A182" s="9" t="s">
        <v>219</v>
      </c>
      <c r="B182" s="30" t="s">
        <v>260</v>
      </c>
      <c r="C182" s="30" t="str">
        <f>CONCATENATE(VOL_VOLUMEN_SUMINISTROS[[#This Row],[Proyecto]],VOL_VOLUMEN_SUMINISTROS[[#This Row],[J]],VOL_VOLUMEN_SUMINISTROS[[#This Row],[FIN DE SEMANA]])</f>
        <v>1052-1NNO</v>
      </c>
      <c r="D182" s="365" t="str">
        <f>CONCATENATE(VOL_VOLUMEN_SUMINISTROS[[#This Row],[Grupo]],VOL_VOLUMEN_SUMINISTROS[[#This Row],[Proyecto]],VOL_VOLUMEN_SUMINISTROS[[#This Row],[FIN DE SEMANA]])</f>
        <v>301052-1NO</v>
      </c>
      <c r="E182" s="30" t="s">
        <v>147</v>
      </c>
      <c r="F182" s="30" t="s">
        <v>148</v>
      </c>
      <c r="G182" s="365">
        <v>30</v>
      </c>
      <c r="H182" s="30">
        <v>6</v>
      </c>
      <c r="I182" s="9" t="s">
        <v>243</v>
      </c>
      <c r="J182" s="9" t="s">
        <v>265</v>
      </c>
      <c r="K182" s="30">
        <v>1</v>
      </c>
      <c r="L182" s="9" t="s">
        <v>153</v>
      </c>
      <c r="M182" s="30" t="s">
        <v>84</v>
      </c>
      <c r="N182" s="30" t="s">
        <v>154</v>
      </c>
      <c r="O182" s="24">
        <v>0</v>
      </c>
      <c r="P182" s="24">
        <v>0</v>
      </c>
      <c r="Q182" s="24">
        <v>0</v>
      </c>
      <c r="R182" s="24">
        <v>173</v>
      </c>
      <c r="S182" s="24">
        <v>187</v>
      </c>
      <c r="T182" s="24">
        <v>360</v>
      </c>
    </row>
    <row r="183" spans="1:20">
      <c r="A183" s="9" t="s">
        <v>219</v>
      </c>
      <c r="B183" s="30" t="s">
        <v>260</v>
      </c>
      <c r="C183" s="30" t="str">
        <f>CONCATENATE(VOL_VOLUMEN_SUMINISTROS[[#This Row],[Proyecto]],VOL_VOLUMEN_SUMINISTROS[[#This Row],[J]],VOL_VOLUMEN_SUMINISTROS[[#This Row],[FIN DE SEMANA]])</f>
        <v>1052-1MNO</v>
      </c>
      <c r="D183" s="365" t="str">
        <f>CONCATENATE(VOL_VOLUMEN_SUMINISTROS[[#This Row],[Grupo]],VOL_VOLUMEN_SUMINISTROS[[#This Row],[Proyecto]],VOL_VOLUMEN_SUMINISTROS[[#This Row],[FIN DE SEMANA]])</f>
        <v>301052-1NO</v>
      </c>
      <c r="E183" s="30" t="s">
        <v>147</v>
      </c>
      <c r="F183" s="30" t="s">
        <v>148</v>
      </c>
      <c r="G183" s="365">
        <v>30</v>
      </c>
      <c r="H183" s="30">
        <v>6</v>
      </c>
      <c r="I183" s="9" t="s">
        <v>243</v>
      </c>
      <c r="J183" s="9" t="s">
        <v>265</v>
      </c>
      <c r="K183" s="30">
        <v>2</v>
      </c>
      <c r="L183" s="9" t="s">
        <v>165</v>
      </c>
      <c r="M183" s="30" t="s">
        <v>84</v>
      </c>
      <c r="N183" s="30" t="s">
        <v>152</v>
      </c>
      <c r="O183" s="24">
        <v>182</v>
      </c>
      <c r="P183" s="24">
        <v>125</v>
      </c>
      <c r="Q183" s="24">
        <v>24</v>
      </c>
      <c r="R183" s="24">
        <v>0</v>
      </c>
      <c r="S183" s="24">
        <v>0</v>
      </c>
      <c r="T183" s="24">
        <v>331</v>
      </c>
    </row>
    <row r="184" spans="1:20">
      <c r="A184" s="9" t="s">
        <v>219</v>
      </c>
      <c r="B184" s="30" t="s">
        <v>260</v>
      </c>
      <c r="C184" s="30" t="str">
        <f>CONCATENATE(VOL_VOLUMEN_SUMINISTROS[[#This Row],[Proyecto]],VOL_VOLUMEN_SUMINISTROS[[#This Row],[J]],VOL_VOLUMEN_SUMINISTROS[[#This Row],[FIN DE SEMANA]])</f>
        <v>1052-1TNO</v>
      </c>
      <c r="D184" s="365" t="str">
        <f>CONCATENATE(VOL_VOLUMEN_SUMINISTROS[[#This Row],[Grupo]],VOL_VOLUMEN_SUMINISTROS[[#This Row],[Proyecto]],VOL_VOLUMEN_SUMINISTROS[[#This Row],[FIN DE SEMANA]])</f>
        <v>301052-1NO</v>
      </c>
      <c r="E184" s="30" t="s">
        <v>147</v>
      </c>
      <c r="F184" s="30" t="s">
        <v>148</v>
      </c>
      <c r="G184" s="365">
        <v>30</v>
      </c>
      <c r="H184" s="30">
        <v>6</v>
      </c>
      <c r="I184" s="9" t="s">
        <v>243</v>
      </c>
      <c r="J184" s="9" t="s">
        <v>265</v>
      </c>
      <c r="K184" s="30">
        <v>2</v>
      </c>
      <c r="L184" s="9" t="s">
        <v>165</v>
      </c>
      <c r="M184" s="30" t="s">
        <v>84</v>
      </c>
      <c r="N184" s="30" t="s">
        <v>155</v>
      </c>
      <c r="O184" s="24">
        <v>181</v>
      </c>
      <c r="P184" s="24">
        <v>131</v>
      </c>
      <c r="Q184" s="24">
        <v>26</v>
      </c>
      <c r="R184" s="24">
        <v>0</v>
      </c>
      <c r="S184" s="24">
        <v>0</v>
      </c>
      <c r="T184" s="24">
        <v>338</v>
      </c>
    </row>
    <row r="185" spans="1:20">
      <c r="A185" s="9" t="s">
        <v>219</v>
      </c>
      <c r="B185" s="30" t="s">
        <v>260</v>
      </c>
      <c r="C185" s="30" t="str">
        <f>CONCATENATE(VOL_VOLUMEN_SUMINISTROS[[#This Row],[Proyecto]],VOL_VOLUMEN_SUMINISTROS[[#This Row],[J]],VOL_VOLUMEN_SUMINISTROS[[#This Row],[FIN DE SEMANA]])</f>
        <v>1052-1MNO</v>
      </c>
      <c r="D185" s="365" t="str">
        <f>CONCATENATE(VOL_VOLUMEN_SUMINISTROS[[#This Row],[Grupo]],VOL_VOLUMEN_SUMINISTROS[[#This Row],[Proyecto]],VOL_VOLUMEN_SUMINISTROS[[#This Row],[FIN DE SEMANA]])</f>
        <v>301052-1NO</v>
      </c>
      <c r="E185" s="30" t="s">
        <v>147</v>
      </c>
      <c r="F185" s="30" t="s">
        <v>148</v>
      </c>
      <c r="G185" s="365">
        <v>30</v>
      </c>
      <c r="H185" s="30">
        <v>6</v>
      </c>
      <c r="I185" s="9" t="s">
        <v>243</v>
      </c>
      <c r="J185" s="9" t="s">
        <v>266</v>
      </c>
      <c r="K185" s="30">
        <v>1</v>
      </c>
      <c r="L185" s="9" t="s">
        <v>153</v>
      </c>
      <c r="M185" s="30" t="s">
        <v>84</v>
      </c>
      <c r="N185" s="30" t="s">
        <v>152</v>
      </c>
      <c r="O185" s="24">
        <v>233</v>
      </c>
      <c r="P185" s="24">
        <v>645</v>
      </c>
      <c r="Q185" s="24">
        <v>857</v>
      </c>
      <c r="R185" s="24">
        <v>0</v>
      </c>
      <c r="S185" s="24">
        <v>0</v>
      </c>
      <c r="T185" s="24">
        <v>1735</v>
      </c>
    </row>
    <row r="186" spans="1:20">
      <c r="A186" s="9" t="s">
        <v>219</v>
      </c>
      <c r="B186" s="30" t="s">
        <v>260</v>
      </c>
      <c r="C186" s="30" t="str">
        <f>CONCATENATE(VOL_VOLUMEN_SUMINISTROS[[#This Row],[Proyecto]],VOL_VOLUMEN_SUMINISTROS[[#This Row],[J]],VOL_VOLUMEN_SUMINISTROS[[#This Row],[FIN DE SEMANA]])</f>
        <v>1052-1TNO</v>
      </c>
      <c r="D186" s="365" t="str">
        <f>CONCATENATE(VOL_VOLUMEN_SUMINISTROS[[#This Row],[Grupo]],VOL_VOLUMEN_SUMINISTROS[[#This Row],[Proyecto]],VOL_VOLUMEN_SUMINISTROS[[#This Row],[FIN DE SEMANA]])</f>
        <v>301052-1NO</v>
      </c>
      <c r="E186" s="30" t="s">
        <v>147</v>
      </c>
      <c r="F186" s="30" t="s">
        <v>148</v>
      </c>
      <c r="G186" s="365">
        <v>30</v>
      </c>
      <c r="H186" s="30">
        <v>6</v>
      </c>
      <c r="I186" s="9" t="s">
        <v>243</v>
      </c>
      <c r="J186" s="9" t="s">
        <v>266</v>
      </c>
      <c r="K186" s="30">
        <v>1</v>
      </c>
      <c r="L186" s="9" t="s">
        <v>153</v>
      </c>
      <c r="M186" s="30" t="s">
        <v>84</v>
      </c>
      <c r="N186" s="30" t="s">
        <v>155</v>
      </c>
      <c r="O186" s="24">
        <v>84</v>
      </c>
      <c r="P186" s="24">
        <v>462</v>
      </c>
      <c r="Q186" s="24">
        <v>545</v>
      </c>
      <c r="R186" s="24">
        <v>0</v>
      </c>
      <c r="S186" s="24">
        <v>0</v>
      </c>
      <c r="T186" s="24">
        <v>1091</v>
      </c>
    </row>
    <row r="187" spans="1:20">
      <c r="A187" s="9" t="s">
        <v>219</v>
      </c>
      <c r="B187" s="30" t="s">
        <v>260</v>
      </c>
      <c r="C187" s="30" t="str">
        <f>CONCATENATE(VOL_VOLUMEN_SUMINISTROS[[#This Row],[Proyecto]],VOL_VOLUMEN_SUMINISTROS[[#This Row],[J]],VOL_VOLUMEN_SUMINISTROS[[#This Row],[FIN DE SEMANA]])</f>
        <v>1052-1MNO</v>
      </c>
      <c r="D187" s="365" t="str">
        <f>CONCATENATE(VOL_VOLUMEN_SUMINISTROS[[#This Row],[Grupo]],VOL_VOLUMEN_SUMINISTROS[[#This Row],[Proyecto]],VOL_VOLUMEN_SUMINISTROS[[#This Row],[FIN DE SEMANA]])</f>
        <v>301052-1NO</v>
      </c>
      <c r="E187" s="30" t="s">
        <v>147</v>
      </c>
      <c r="F187" s="30" t="s">
        <v>148</v>
      </c>
      <c r="G187" s="365">
        <v>30</v>
      </c>
      <c r="H187" s="30">
        <v>6</v>
      </c>
      <c r="I187" s="9" t="s">
        <v>243</v>
      </c>
      <c r="J187" s="9" t="s">
        <v>266</v>
      </c>
      <c r="K187" s="30">
        <v>2</v>
      </c>
      <c r="L187" s="9" t="s">
        <v>267</v>
      </c>
      <c r="M187" s="30" t="s">
        <v>84</v>
      </c>
      <c r="N187" s="30" t="s">
        <v>152</v>
      </c>
      <c r="O187" s="24">
        <v>339</v>
      </c>
      <c r="P187" s="24">
        <v>92</v>
      </c>
      <c r="Q187" s="24">
        <v>0</v>
      </c>
      <c r="R187" s="24">
        <v>0</v>
      </c>
      <c r="S187" s="24">
        <v>0</v>
      </c>
      <c r="T187" s="24">
        <v>431</v>
      </c>
    </row>
    <row r="188" spans="1:20">
      <c r="A188" s="9" t="s">
        <v>219</v>
      </c>
      <c r="B188" s="30" t="s">
        <v>260</v>
      </c>
      <c r="C188" s="30" t="str">
        <f>CONCATENATE(VOL_VOLUMEN_SUMINISTROS[[#This Row],[Proyecto]],VOL_VOLUMEN_SUMINISTROS[[#This Row],[J]],VOL_VOLUMEN_SUMINISTROS[[#This Row],[FIN DE SEMANA]])</f>
        <v>1052-1TNO</v>
      </c>
      <c r="D188" s="365" t="str">
        <f>CONCATENATE(VOL_VOLUMEN_SUMINISTROS[[#This Row],[Grupo]],VOL_VOLUMEN_SUMINISTROS[[#This Row],[Proyecto]],VOL_VOLUMEN_SUMINISTROS[[#This Row],[FIN DE SEMANA]])</f>
        <v>301052-1NO</v>
      </c>
      <c r="E188" s="30" t="s">
        <v>147</v>
      </c>
      <c r="F188" s="30" t="s">
        <v>148</v>
      </c>
      <c r="G188" s="365">
        <v>30</v>
      </c>
      <c r="H188" s="30">
        <v>6</v>
      </c>
      <c r="I188" s="9" t="s">
        <v>243</v>
      </c>
      <c r="J188" s="9" t="s">
        <v>266</v>
      </c>
      <c r="K188" s="30">
        <v>2</v>
      </c>
      <c r="L188" s="9" t="s">
        <v>267</v>
      </c>
      <c r="M188" s="30" t="s">
        <v>84</v>
      </c>
      <c r="N188" s="30" t="s">
        <v>155</v>
      </c>
      <c r="O188" s="24">
        <v>311</v>
      </c>
      <c r="P188" s="24">
        <v>82</v>
      </c>
      <c r="Q188" s="24">
        <v>0</v>
      </c>
      <c r="R188" s="24">
        <v>0</v>
      </c>
      <c r="S188" s="24">
        <v>0</v>
      </c>
      <c r="T188" s="24">
        <v>393</v>
      </c>
    </row>
    <row r="189" spans="1:20">
      <c r="A189" s="9" t="s">
        <v>219</v>
      </c>
      <c r="B189" s="30" t="s">
        <v>260</v>
      </c>
      <c r="C189" s="30" t="str">
        <f>CONCATENATE(VOL_VOLUMEN_SUMINISTROS[[#This Row],[Proyecto]],VOL_VOLUMEN_SUMINISTROS[[#This Row],[J]],VOL_VOLUMEN_SUMINISTROS[[#This Row],[FIN DE SEMANA]])</f>
        <v>1052-1MNO</v>
      </c>
      <c r="D189" s="365" t="str">
        <f>CONCATENATE(VOL_VOLUMEN_SUMINISTROS[[#This Row],[Grupo]],VOL_VOLUMEN_SUMINISTROS[[#This Row],[Proyecto]],VOL_VOLUMEN_SUMINISTROS[[#This Row],[FIN DE SEMANA]])</f>
        <v>301052-1NO</v>
      </c>
      <c r="E189" s="30" t="s">
        <v>147</v>
      </c>
      <c r="F189" s="30" t="s">
        <v>148</v>
      </c>
      <c r="G189" s="365">
        <v>30</v>
      </c>
      <c r="H189" s="30">
        <v>6</v>
      </c>
      <c r="I189" s="9" t="s">
        <v>243</v>
      </c>
      <c r="J189" s="9" t="s">
        <v>268</v>
      </c>
      <c r="K189" s="30">
        <v>1</v>
      </c>
      <c r="L189" s="9" t="s">
        <v>269</v>
      </c>
      <c r="M189" s="30" t="s">
        <v>84</v>
      </c>
      <c r="N189" s="30" t="s">
        <v>152</v>
      </c>
      <c r="O189" s="24">
        <v>34</v>
      </c>
      <c r="P189" s="24">
        <v>482</v>
      </c>
      <c r="Q189" s="24">
        <v>753</v>
      </c>
      <c r="R189" s="24">
        <v>0</v>
      </c>
      <c r="S189" s="24">
        <v>0</v>
      </c>
      <c r="T189" s="24">
        <v>1269</v>
      </c>
    </row>
    <row r="190" spans="1:20">
      <c r="A190" s="9" t="s">
        <v>219</v>
      </c>
      <c r="B190" s="30" t="s">
        <v>260</v>
      </c>
      <c r="C190" s="30" t="str">
        <f>CONCATENATE(VOL_VOLUMEN_SUMINISTROS[[#This Row],[Proyecto]],VOL_VOLUMEN_SUMINISTROS[[#This Row],[J]],VOL_VOLUMEN_SUMINISTROS[[#This Row],[FIN DE SEMANA]])</f>
        <v>1052-1TNO</v>
      </c>
      <c r="D190" s="365" t="str">
        <f>CONCATENATE(VOL_VOLUMEN_SUMINISTROS[[#This Row],[Grupo]],VOL_VOLUMEN_SUMINISTROS[[#This Row],[Proyecto]],VOL_VOLUMEN_SUMINISTROS[[#This Row],[FIN DE SEMANA]])</f>
        <v>301052-1NO</v>
      </c>
      <c r="E190" s="30" t="s">
        <v>147</v>
      </c>
      <c r="F190" s="30" t="s">
        <v>148</v>
      </c>
      <c r="G190" s="365">
        <v>30</v>
      </c>
      <c r="H190" s="30">
        <v>6</v>
      </c>
      <c r="I190" s="9" t="s">
        <v>243</v>
      </c>
      <c r="J190" s="9" t="s">
        <v>268</v>
      </c>
      <c r="K190" s="30">
        <v>1</v>
      </c>
      <c r="L190" s="9" t="s">
        <v>269</v>
      </c>
      <c r="M190" s="30" t="s">
        <v>84</v>
      </c>
      <c r="N190" s="30" t="s">
        <v>155</v>
      </c>
      <c r="O190" s="24">
        <v>184</v>
      </c>
      <c r="P190" s="24">
        <v>404</v>
      </c>
      <c r="Q190" s="24">
        <v>467</v>
      </c>
      <c r="R190" s="24">
        <v>0</v>
      </c>
      <c r="S190" s="24">
        <v>0</v>
      </c>
      <c r="T190" s="24">
        <v>1055</v>
      </c>
    </row>
    <row r="191" spans="1:20">
      <c r="A191" s="9" t="s">
        <v>219</v>
      </c>
      <c r="B191" s="30" t="s">
        <v>260</v>
      </c>
      <c r="C191" s="30" t="str">
        <f>CONCATENATE(VOL_VOLUMEN_SUMINISTROS[[#This Row],[Proyecto]],VOL_VOLUMEN_SUMINISTROS[[#This Row],[J]],VOL_VOLUMEN_SUMINISTROS[[#This Row],[FIN DE SEMANA]])</f>
        <v>1052-1MNO</v>
      </c>
      <c r="D191" s="365" t="str">
        <f>CONCATENATE(VOL_VOLUMEN_SUMINISTROS[[#This Row],[Grupo]],VOL_VOLUMEN_SUMINISTROS[[#This Row],[Proyecto]],VOL_VOLUMEN_SUMINISTROS[[#This Row],[FIN DE SEMANA]])</f>
        <v>301052-1NO</v>
      </c>
      <c r="E191" s="30" t="s">
        <v>147</v>
      </c>
      <c r="F191" s="30" t="s">
        <v>148</v>
      </c>
      <c r="G191" s="365">
        <v>30</v>
      </c>
      <c r="H191" s="30">
        <v>6</v>
      </c>
      <c r="I191" s="9" t="s">
        <v>243</v>
      </c>
      <c r="J191" s="9" t="s">
        <v>268</v>
      </c>
      <c r="K191" s="30">
        <v>2</v>
      </c>
      <c r="L191" s="9" t="s">
        <v>270</v>
      </c>
      <c r="M191" s="30" t="s">
        <v>84</v>
      </c>
      <c r="N191" s="30" t="s">
        <v>152</v>
      </c>
      <c r="O191" s="24">
        <v>347</v>
      </c>
      <c r="P191" s="24">
        <v>105</v>
      </c>
      <c r="Q191" s="24">
        <v>0</v>
      </c>
      <c r="R191" s="24">
        <v>0</v>
      </c>
      <c r="S191" s="24">
        <v>0</v>
      </c>
      <c r="T191" s="24">
        <v>452</v>
      </c>
    </row>
    <row r="192" spans="1:20">
      <c r="A192" s="9" t="s">
        <v>219</v>
      </c>
      <c r="B192" s="30" t="s">
        <v>260</v>
      </c>
      <c r="C192" s="30" t="str">
        <f>CONCATENATE(VOL_VOLUMEN_SUMINISTROS[[#This Row],[Proyecto]],VOL_VOLUMEN_SUMINISTROS[[#This Row],[J]],VOL_VOLUMEN_SUMINISTROS[[#This Row],[FIN DE SEMANA]])</f>
        <v>1052-1TNO</v>
      </c>
      <c r="D192" s="365" t="str">
        <f>CONCATENATE(VOL_VOLUMEN_SUMINISTROS[[#This Row],[Grupo]],VOL_VOLUMEN_SUMINISTROS[[#This Row],[Proyecto]],VOL_VOLUMEN_SUMINISTROS[[#This Row],[FIN DE SEMANA]])</f>
        <v>301052-1NO</v>
      </c>
      <c r="E192" s="30" t="s">
        <v>147</v>
      </c>
      <c r="F192" s="30" t="s">
        <v>148</v>
      </c>
      <c r="G192" s="365">
        <v>30</v>
      </c>
      <c r="H192" s="30">
        <v>6</v>
      </c>
      <c r="I192" s="9" t="s">
        <v>243</v>
      </c>
      <c r="J192" s="9" t="s">
        <v>268</v>
      </c>
      <c r="K192" s="30">
        <v>2</v>
      </c>
      <c r="L192" s="9" t="s">
        <v>270</v>
      </c>
      <c r="M192" s="30" t="s">
        <v>84</v>
      </c>
      <c r="N192" s="30" t="s">
        <v>155</v>
      </c>
      <c r="O192" s="24">
        <v>383</v>
      </c>
      <c r="P192" s="24">
        <v>59</v>
      </c>
      <c r="Q192" s="24">
        <v>0</v>
      </c>
      <c r="R192" s="24">
        <v>0</v>
      </c>
      <c r="S192" s="24">
        <v>0</v>
      </c>
      <c r="T192" s="24">
        <v>442</v>
      </c>
    </row>
    <row r="193" spans="1:20">
      <c r="A193" s="9" t="s">
        <v>219</v>
      </c>
      <c r="B193" s="30" t="s">
        <v>260</v>
      </c>
      <c r="C193" s="30" t="str">
        <f>CONCATENATE(VOL_VOLUMEN_SUMINISTROS[[#This Row],[Proyecto]],VOL_VOLUMEN_SUMINISTROS[[#This Row],[J]],VOL_VOLUMEN_SUMINISTROS[[#This Row],[FIN DE SEMANA]])</f>
        <v>1052-1MNO</v>
      </c>
      <c r="D193" s="365" t="str">
        <f>CONCATENATE(VOL_VOLUMEN_SUMINISTROS[[#This Row],[Grupo]],VOL_VOLUMEN_SUMINISTROS[[#This Row],[Proyecto]],VOL_VOLUMEN_SUMINISTROS[[#This Row],[FIN DE SEMANA]])</f>
        <v>301052-1NO</v>
      </c>
      <c r="E193" s="30" t="s">
        <v>147</v>
      </c>
      <c r="F193" s="30" t="s">
        <v>148</v>
      </c>
      <c r="G193" s="365">
        <v>30</v>
      </c>
      <c r="H193" s="30">
        <v>6</v>
      </c>
      <c r="I193" s="9" t="s">
        <v>243</v>
      </c>
      <c r="J193" s="9" t="s">
        <v>271</v>
      </c>
      <c r="K193" s="30">
        <v>2</v>
      </c>
      <c r="L193" s="9" t="s">
        <v>272</v>
      </c>
      <c r="M193" s="30" t="s">
        <v>84</v>
      </c>
      <c r="N193" s="30" t="s">
        <v>152</v>
      </c>
      <c r="O193" s="24">
        <v>234</v>
      </c>
      <c r="P193" s="24">
        <v>117</v>
      </c>
      <c r="Q193" s="24">
        <v>0</v>
      </c>
      <c r="R193" s="24">
        <v>0</v>
      </c>
      <c r="S193" s="24">
        <v>0</v>
      </c>
      <c r="T193" s="24">
        <v>351</v>
      </c>
    </row>
    <row r="194" spans="1:20">
      <c r="A194" s="9" t="s">
        <v>219</v>
      </c>
      <c r="B194" s="30" t="s">
        <v>260</v>
      </c>
      <c r="C194" s="30" t="str">
        <f>CONCATENATE(VOL_VOLUMEN_SUMINISTROS[[#This Row],[Proyecto]],VOL_VOLUMEN_SUMINISTROS[[#This Row],[J]],VOL_VOLUMEN_SUMINISTROS[[#This Row],[FIN DE SEMANA]])</f>
        <v>1052-1TNO</v>
      </c>
      <c r="D194" s="365" t="str">
        <f>CONCATENATE(VOL_VOLUMEN_SUMINISTROS[[#This Row],[Grupo]],VOL_VOLUMEN_SUMINISTROS[[#This Row],[Proyecto]],VOL_VOLUMEN_SUMINISTROS[[#This Row],[FIN DE SEMANA]])</f>
        <v>301052-1NO</v>
      </c>
      <c r="E194" s="30" t="s">
        <v>147</v>
      </c>
      <c r="F194" s="30" t="s">
        <v>148</v>
      </c>
      <c r="G194" s="365">
        <v>30</v>
      </c>
      <c r="H194" s="30">
        <v>6</v>
      </c>
      <c r="I194" s="9" t="s">
        <v>243</v>
      </c>
      <c r="J194" s="9" t="s">
        <v>271</v>
      </c>
      <c r="K194" s="30">
        <v>2</v>
      </c>
      <c r="L194" s="9" t="s">
        <v>272</v>
      </c>
      <c r="M194" s="30" t="s">
        <v>84</v>
      </c>
      <c r="N194" s="30" t="s">
        <v>155</v>
      </c>
      <c r="O194" s="24">
        <v>200</v>
      </c>
      <c r="P194" s="24">
        <v>100</v>
      </c>
      <c r="Q194" s="24">
        <v>0</v>
      </c>
      <c r="R194" s="24">
        <v>0</v>
      </c>
      <c r="S194" s="24">
        <v>0</v>
      </c>
      <c r="T194" s="24">
        <v>300</v>
      </c>
    </row>
    <row r="195" spans="1:20">
      <c r="A195" s="9" t="s">
        <v>219</v>
      </c>
      <c r="B195" s="30" t="s">
        <v>260</v>
      </c>
      <c r="C195" s="30" t="str">
        <f>CONCATENATE(VOL_VOLUMEN_SUMINISTROS[[#This Row],[Proyecto]],VOL_VOLUMEN_SUMINISTROS[[#This Row],[J]],VOL_VOLUMEN_SUMINISTROS[[#This Row],[FIN DE SEMANA]])</f>
        <v>1052-1MNO</v>
      </c>
      <c r="D195" s="365" t="str">
        <f>CONCATENATE(VOL_VOLUMEN_SUMINISTROS[[#This Row],[Grupo]],VOL_VOLUMEN_SUMINISTROS[[#This Row],[Proyecto]],VOL_VOLUMEN_SUMINISTROS[[#This Row],[FIN DE SEMANA]])</f>
        <v>301052-1NO</v>
      </c>
      <c r="E195" s="30" t="s">
        <v>147</v>
      </c>
      <c r="F195" s="30" t="s">
        <v>148</v>
      </c>
      <c r="G195" s="365">
        <v>30</v>
      </c>
      <c r="H195" s="30">
        <v>6</v>
      </c>
      <c r="I195" s="9" t="s">
        <v>243</v>
      </c>
      <c r="J195" s="9" t="s">
        <v>273</v>
      </c>
      <c r="K195" s="30">
        <v>1</v>
      </c>
      <c r="L195" s="9" t="s">
        <v>274</v>
      </c>
      <c r="M195" s="30" t="s">
        <v>84</v>
      </c>
      <c r="N195" s="30" t="s">
        <v>152</v>
      </c>
      <c r="O195" s="24">
        <v>122</v>
      </c>
      <c r="P195" s="24">
        <v>194</v>
      </c>
      <c r="Q195" s="24">
        <v>219</v>
      </c>
      <c r="R195" s="24">
        <v>0</v>
      </c>
      <c r="S195" s="24">
        <v>0</v>
      </c>
      <c r="T195" s="24">
        <v>535</v>
      </c>
    </row>
    <row r="196" spans="1:20">
      <c r="A196" s="9" t="s">
        <v>219</v>
      </c>
      <c r="B196" s="30" t="s">
        <v>260</v>
      </c>
      <c r="C196" s="30" t="str">
        <f>CONCATENATE(VOL_VOLUMEN_SUMINISTROS[[#This Row],[Proyecto]],VOL_VOLUMEN_SUMINISTROS[[#This Row],[J]],VOL_VOLUMEN_SUMINISTROS[[#This Row],[FIN DE SEMANA]])</f>
        <v>1052-1TNO</v>
      </c>
      <c r="D196" s="365" t="str">
        <f>CONCATENATE(VOL_VOLUMEN_SUMINISTROS[[#This Row],[Grupo]],VOL_VOLUMEN_SUMINISTROS[[#This Row],[Proyecto]],VOL_VOLUMEN_SUMINISTROS[[#This Row],[FIN DE SEMANA]])</f>
        <v>301052-1NO</v>
      </c>
      <c r="E196" s="30" t="s">
        <v>147</v>
      </c>
      <c r="F196" s="30" t="s">
        <v>148</v>
      </c>
      <c r="G196" s="365">
        <v>30</v>
      </c>
      <c r="H196" s="30">
        <v>6</v>
      </c>
      <c r="I196" s="9" t="s">
        <v>243</v>
      </c>
      <c r="J196" s="9" t="s">
        <v>273</v>
      </c>
      <c r="K196" s="30">
        <v>1</v>
      </c>
      <c r="L196" s="9" t="s">
        <v>274</v>
      </c>
      <c r="M196" s="30" t="s">
        <v>84</v>
      </c>
      <c r="N196" s="30" t="s">
        <v>155</v>
      </c>
      <c r="O196" s="24">
        <v>148</v>
      </c>
      <c r="P196" s="24">
        <v>190</v>
      </c>
      <c r="Q196" s="24">
        <v>147</v>
      </c>
      <c r="R196" s="24">
        <v>0</v>
      </c>
      <c r="S196" s="24">
        <v>0</v>
      </c>
      <c r="T196" s="24">
        <v>485</v>
      </c>
    </row>
    <row r="197" spans="1:20">
      <c r="A197" s="9" t="s">
        <v>219</v>
      </c>
      <c r="B197" s="30" t="s">
        <v>260</v>
      </c>
      <c r="C197" s="30" t="str">
        <f>CONCATENATE(VOL_VOLUMEN_SUMINISTROS[[#This Row],[Proyecto]],VOL_VOLUMEN_SUMINISTROS[[#This Row],[J]],VOL_VOLUMEN_SUMINISTROS[[#This Row],[FIN DE SEMANA]])</f>
        <v>1052-1MNO</v>
      </c>
      <c r="D197" s="365" t="str">
        <f>CONCATENATE(VOL_VOLUMEN_SUMINISTROS[[#This Row],[Grupo]],VOL_VOLUMEN_SUMINISTROS[[#This Row],[Proyecto]],VOL_VOLUMEN_SUMINISTROS[[#This Row],[FIN DE SEMANA]])</f>
        <v>301052-1NO</v>
      </c>
      <c r="E197" s="30" t="s">
        <v>147</v>
      </c>
      <c r="F197" s="30" t="s">
        <v>148</v>
      </c>
      <c r="G197" s="365">
        <v>30</v>
      </c>
      <c r="H197" s="30">
        <v>6</v>
      </c>
      <c r="I197" s="9" t="s">
        <v>243</v>
      </c>
      <c r="J197" s="9" t="s">
        <v>275</v>
      </c>
      <c r="K197" s="30">
        <v>1</v>
      </c>
      <c r="L197" s="9" t="s">
        <v>276</v>
      </c>
      <c r="M197" s="30" t="s">
        <v>84</v>
      </c>
      <c r="N197" s="30" t="s">
        <v>152</v>
      </c>
      <c r="O197" s="24">
        <v>0</v>
      </c>
      <c r="P197" s="24">
        <v>204</v>
      </c>
      <c r="Q197" s="24">
        <v>277</v>
      </c>
      <c r="R197" s="24">
        <v>0</v>
      </c>
      <c r="S197" s="24">
        <v>0</v>
      </c>
      <c r="T197" s="24">
        <v>481</v>
      </c>
    </row>
    <row r="198" spans="1:20">
      <c r="A198" s="9" t="s">
        <v>219</v>
      </c>
      <c r="B198" s="30" t="s">
        <v>260</v>
      </c>
      <c r="C198" s="30" t="str">
        <f>CONCATENATE(VOL_VOLUMEN_SUMINISTROS[[#This Row],[Proyecto]],VOL_VOLUMEN_SUMINISTROS[[#This Row],[J]],VOL_VOLUMEN_SUMINISTROS[[#This Row],[FIN DE SEMANA]])</f>
        <v>1052-1TNO</v>
      </c>
      <c r="D198" s="365" t="str">
        <f>CONCATENATE(VOL_VOLUMEN_SUMINISTROS[[#This Row],[Grupo]],VOL_VOLUMEN_SUMINISTROS[[#This Row],[Proyecto]],VOL_VOLUMEN_SUMINISTROS[[#This Row],[FIN DE SEMANA]])</f>
        <v>301052-1NO</v>
      </c>
      <c r="E198" s="30" t="s">
        <v>147</v>
      </c>
      <c r="F198" s="30" t="s">
        <v>148</v>
      </c>
      <c r="G198" s="365">
        <v>30</v>
      </c>
      <c r="H198" s="30">
        <v>6</v>
      </c>
      <c r="I198" s="9" t="s">
        <v>243</v>
      </c>
      <c r="J198" s="9" t="s">
        <v>275</v>
      </c>
      <c r="K198" s="30">
        <v>1</v>
      </c>
      <c r="L198" s="9" t="s">
        <v>276</v>
      </c>
      <c r="M198" s="30" t="s">
        <v>84</v>
      </c>
      <c r="N198" s="30" t="s">
        <v>155</v>
      </c>
      <c r="O198" s="24">
        <v>34</v>
      </c>
      <c r="P198" s="24">
        <v>173</v>
      </c>
      <c r="Q198" s="24">
        <v>128</v>
      </c>
      <c r="R198" s="24">
        <v>0</v>
      </c>
      <c r="S198" s="24">
        <v>0</v>
      </c>
      <c r="T198" s="24">
        <v>335</v>
      </c>
    </row>
    <row r="199" spans="1:20">
      <c r="A199" s="9" t="s">
        <v>219</v>
      </c>
      <c r="B199" s="30" t="s">
        <v>260</v>
      </c>
      <c r="C199" s="30" t="str">
        <f>CONCATENATE(VOL_VOLUMEN_SUMINISTROS[[#This Row],[Proyecto]],VOL_VOLUMEN_SUMINISTROS[[#This Row],[J]],VOL_VOLUMEN_SUMINISTROS[[#This Row],[FIN DE SEMANA]])</f>
        <v>1052-1MNO</v>
      </c>
      <c r="D199" s="365" t="str">
        <f>CONCATENATE(VOL_VOLUMEN_SUMINISTROS[[#This Row],[Grupo]],VOL_VOLUMEN_SUMINISTROS[[#This Row],[Proyecto]],VOL_VOLUMEN_SUMINISTROS[[#This Row],[FIN DE SEMANA]])</f>
        <v>301052-1NO</v>
      </c>
      <c r="E199" s="30" t="s">
        <v>147</v>
      </c>
      <c r="F199" s="30" t="s">
        <v>148</v>
      </c>
      <c r="G199" s="365">
        <v>30</v>
      </c>
      <c r="H199" s="30">
        <v>6</v>
      </c>
      <c r="I199" s="9" t="s">
        <v>243</v>
      </c>
      <c r="J199" s="9" t="s">
        <v>275</v>
      </c>
      <c r="K199" s="30">
        <v>2</v>
      </c>
      <c r="L199" s="9" t="s">
        <v>277</v>
      </c>
      <c r="M199" s="30" t="s">
        <v>84</v>
      </c>
      <c r="N199" s="30" t="s">
        <v>152</v>
      </c>
      <c r="O199" s="24">
        <v>190</v>
      </c>
      <c r="P199" s="24">
        <v>64</v>
      </c>
      <c r="Q199" s="24">
        <v>0</v>
      </c>
      <c r="R199" s="24">
        <v>0</v>
      </c>
      <c r="S199" s="24">
        <v>0</v>
      </c>
      <c r="T199" s="24">
        <v>254</v>
      </c>
    </row>
    <row r="200" spans="1:20">
      <c r="A200" s="9" t="s">
        <v>219</v>
      </c>
      <c r="B200" s="30" t="s">
        <v>260</v>
      </c>
      <c r="C200" s="30" t="str">
        <f>CONCATENATE(VOL_VOLUMEN_SUMINISTROS[[#This Row],[Proyecto]],VOL_VOLUMEN_SUMINISTROS[[#This Row],[J]],VOL_VOLUMEN_SUMINISTROS[[#This Row],[FIN DE SEMANA]])</f>
        <v>1052-1TNO</v>
      </c>
      <c r="D200" s="365" t="str">
        <f>CONCATENATE(VOL_VOLUMEN_SUMINISTROS[[#This Row],[Grupo]],VOL_VOLUMEN_SUMINISTROS[[#This Row],[Proyecto]],VOL_VOLUMEN_SUMINISTROS[[#This Row],[FIN DE SEMANA]])</f>
        <v>301052-1NO</v>
      </c>
      <c r="E200" s="30" t="s">
        <v>147</v>
      </c>
      <c r="F200" s="30" t="s">
        <v>148</v>
      </c>
      <c r="G200" s="365">
        <v>30</v>
      </c>
      <c r="H200" s="30">
        <v>6</v>
      </c>
      <c r="I200" s="9" t="s">
        <v>243</v>
      </c>
      <c r="J200" s="9" t="s">
        <v>275</v>
      </c>
      <c r="K200" s="30">
        <v>2</v>
      </c>
      <c r="L200" s="9" t="s">
        <v>277</v>
      </c>
      <c r="M200" s="30" t="s">
        <v>84</v>
      </c>
      <c r="N200" s="30" t="s">
        <v>155</v>
      </c>
      <c r="O200" s="24">
        <v>150</v>
      </c>
      <c r="P200" s="24">
        <v>39</v>
      </c>
      <c r="Q200" s="24">
        <v>0</v>
      </c>
      <c r="R200" s="24">
        <v>0</v>
      </c>
      <c r="S200" s="24">
        <v>0</v>
      </c>
      <c r="T200" s="24">
        <v>189</v>
      </c>
    </row>
    <row r="201" spans="1:20">
      <c r="A201" s="9" t="s">
        <v>219</v>
      </c>
      <c r="B201" s="30" t="s">
        <v>278</v>
      </c>
      <c r="C201" s="30" t="str">
        <f>CONCATENATE(VOL_VOLUMEN_SUMINISTROS[[#This Row],[Proyecto]],VOL_VOLUMEN_SUMINISTROS[[#This Row],[J]],VOL_VOLUMEN_SUMINISTROS[[#This Row],[FIN DE SEMANA]])</f>
        <v>1052-2TNO</v>
      </c>
      <c r="D201" s="365" t="str">
        <f>CONCATENATE(VOL_VOLUMEN_SUMINISTROS[[#This Row],[Grupo]],VOL_VOLUMEN_SUMINISTROS[[#This Row],[Proyecto]],VOL_VOLUMEN_SUMINISTROS[[#This Row],[FIN DE SEMANA]])</f>
        <v>61052-2NO</v>
      </c>
      <c r="E201" s="30" t="s">
        <v>183</v>
      </c>
      <c r="F201" s="30" t="s">
        <v>148</v>
      </c>
      <c r="G201" s="365">
        <v>6</v>
      </c>
      <c r="H201" s="30">
        <v>19</v>
      </c>
      <c r="I201" s="9" t="s">
        <v>250</v>
      </c>
      <c r="J201" s="9" t="s">
        <v>261</v>
      </c>
      <c r="K201" s="30">
        <v>1</v>
      </c>
      <c r="L201" s="9" t="s">
        <v>262</v>
      </c>
      <c r="M201" s="30" t="s">
        <v>84</v>
      </c>
      <c r="N201" s="30" t="s">
        <v>155</v>
      </c>
      <c r="O201" s="24">
        <v>20</v>
      </c>
      <c r="P201" s="24">
        <v>34</v>
      </c>
      <c r="Q201" s="24">
        <v>8</v>
      </c>
      <c r="R201" s="24">
        <v>0</v>
      </c>
      <c r="S201" s="24">
        <v>0</v>
      </c>
      <c r="T201" s="24">
        <v>62</v>
      </c>
    </row>
    <row r="202" spans="1:20">
      <c r="A202" s="9" t="s">
        <v>219</v>
      </c>
      <c r="B202" s="30" t="s">
        <v>278</v>
      </c>
      <c r="C202" s="30" t="str">
        <f>CONCATENATE(VOL_VOLUMEN_SUMINISTROS[[#This Row],[Proyecto]],VOL_VOLUMEN_SUMINISTROS[[#This Row],[J]],VOL_VOLUMEN_SUMINISTROS[[#This Row],[FIN DE SEMANA]])</f>
        <v>1052-2MNO</v>
      </c>
      <c r="D202" s="365" t="str">
        <f>CONCATENATE(VOL_VOLUMEN_SUMINISTROS[[#This Row],[Grupo]],VOL_VOLUMEN_SUMINISTROS[[#This Row],[Proyecto]],VOL_VOLUMEN_SUMINISTROS[[#This Row],[FIN DE SEMANA]])</f>
        <v>301052-2NO</v>
      </c>
      <c r="E202" s="30" t="s">
        <v>183</v>
      </c>
      <c r="F202" s="30" t="s">
        <v>148</v>
      </c>
      <c r="G202" s="365">
        <v>30</v>
      </c>
      <c r="H202" s="30">
        <v>6</v>
      </c>
      <c r="I202" s="9" t="s">
        <v>243</v>
      </c>
      <c r="J202" s="9" t="s">
        <v>266</v>
      </c>
      <c r="K202" s="30">
        <v>1</v>
      </c>
      <c r="L202" s="9" t="s">
        <v>153</v>
      </c>
      <c r="M202" s="30" t="s">
        <v>84</v>
      </c>
      <c r="N202" s="30" t="s">
        <v>152</v>
      </c>
      <c r="O202" s="24">
        <v>0</v>
      </c>
      <c r="P202" s="24">
        <v>54</v>
      </c>
      <c r="Q202" s="24">
        <v>88</v>
      </c>
      <c r="R202" s="24">
        <v>0</v>
      </c>
      <c r="S202" s="24">
        <v>0</v>
      </c>
      <c r="T202" s="24">
        <v>142</v>
      </c>
    </row>
    <row r="203" spans="1:20">
      <c r="A203" s="9" t="s">
        <v>219</v>
      </c>
      <c r="B203" s="30" t="s">
        <v>278</v>
      </c>
      <c r="C203" s="30" t="str">
        <f>CONCATENATE(VOL_VOLUMEN_SUMINISTROS[[#This Row],[Proyecto]],VOL_VOLUMEN_SUMINISTROS[[#This Row],[J]],VOL_VOLUMEN_SUMINISTROS[[#This Row],[FIN DE SEMANA]])</f>
        <v>1052-2TNO</v>
      </c>
      <c r="D203" s="365" t="str">
        <f>CONCATENATE(VOL_VOLUMEN_SUMINISTROS[[#This Row],[Grupo]],VOL_VOLUMEN_SUMINISTROS[[#This Row],[Proyecto]],VOL_VOLUMEN_SUMINISTROS[[#This Row],[FIN DE SEMANA]])</f>
        <v>301052-2NO</v>
      </c>
      <c r="E203" s="30" t="s">
        <v>183</v>
      </c>
      <c r="F203" s="30" t="s">
        <v>148</v>
      </c>
      <c r="G203" s="365">
        <v>30</v>
      </c>
      <c r="H203" s="30">
        <v>6</v>
      </c>
      <c r="I203" s="9" t="s">
        <v>243</v>
      </c>
      <c r="J203" s="9" t="s">
        <v>266</v>
      </c>
      <c r="K203" s="30">
        <v>1</v>
      </c>
      <c r="L203" s="9" t="s">
        <v>153</v>
      </c>
      <c r="M203" s="30" t="s">
        <v>84</v>
      </c>
      <c r="N203" s="30" t="s">
        <v>155</v>
      </c>
      <c r="O203" s="24">
        <v>0</v>
      </c>
      <c r="P203" s="24">
        <v>90</v>
      </c>
      <c r="Q203" s="24">
        <v>150</v>
      </c>
      <c r="R203" s="24">
        <v>0</v>
      </c>
      <c r="S203" s="24">
        <v>0</v>
      </c>
      <c r="T203" s="24">
        <v>240</v>
      </c>
    </row>
    <row r="204" spans="1:20">
      <c r="A204" s="9" t="s">
        <v>219</v>
      </c>
      <c r="B204" s="30" t="s">
        <v>279</v>
      </c>
      <c r="C204" s="30" t="str">
        <f>CONCATENATE(VOL_VOLUMEN_SUMINISTROS[[#This Row],[Proyecto]],VOL_VOLUMEN_SUMINISTROS[[#This Row],[J]],VOL_VOLUMEN_SUMINISTROS[[#This Row],[FIN DE SEMANA]])</f>
        <v>1052-2MNO</v>
      </c>
      <c r="D204" s="365" t="str">
        <f>CONCATENATE(VOL_VOLUMEN_SUMINISTROS[[#This Row],[Grupo]],VOL_VOLUMEN_SUMINISTROS[[#This Row],[Proyecto]],VOL_VOLUMEN_SUMINISTROS[[#This Row],[FIN DE SEMANA]])</f>
        <v>301052-2NO</v>
      </c>
      <c r="E204" s="30" t="s">
        <v>183</v>
      </c>
      <c r="F204" s="30" t="s">
        <v>148</v>
      </c>
      <c r="G204" s="365">
        <v>30</v>
      </c>
      <c r="H204" s="30">
        <v>6</v>
      </c>
      <c r="I204" s="9" t="s">
        <v>243</v>
      </c>
      <c r="J204" s="9" t="s">
        <v>263</v>
      </c>
      <c r="K204" s="30">
        <v>1</v>
      </c>
      <c r="L204" s="9" t="s">
        <v>264</v>
      </c>
      <c r="M204" s="30" t="s">
        <v>84</v>
      </c>
      <c r="N204" s="30" t="s">
        <v>152</v>
      </c>
      <c r="O204" s="24">
        <v>0</v>
      </c>
      <c r="P204" s="24">
        <v>0</v>
      </c>
      <c r="Q204" s="24">
        <v>205</v>
      </c>
      <c r="R204" s="24">
        <v>0</v>
      </c>
      <c r="S204" s="24">
        <v>0</v>
      </c>
      <c r="T204" s="24">
        <v>205</v>
      </c>
    </row>
    <row r="205" spans="1:20">
      <c r="A205" s="9" t="s">
        <v>219</v>
      </c>
      <c r="B205" s="30" t="s">
        <v>279</v>
      </c>
      <c r="C205" s="30" t="str">
        <f>CONCATENATE(VOL_VOLUMEN_SUMINISTROS[[#This Row],[Proyecto]],VOL_VOLUMEN_SUMINISTROS[[#This Row],[J]],VOL_VOLUMEN_SUMINISTROS[[#This Row],[FIN DE SEMANA]])</f>
        <v>1052-2TNO</v>
      </c>
      <c r="D205" s="365" t="str">
        <f>CONCATENATE(VOL_VOLUMEN_SUMINISTROS[[#This Row],[Grupo]],VOL_VOLUMEN_SUMINISTROS[[#This Row],[Proyecto]],VOL_VOLUMEN_SUMINISTROS[[#This Row],[FIN DE SEMANA]])</f>
        <v>301052-2NO</v>
      </c>
      <c r="E205" s="30" t="s">
        <v>183</v>
      </c>
      <c r="F205" s="30" t="s">
        <v>148</v>
      </c>
      <c r="G205" s="365">
        <v>30</v>
      </c>
      <c r="H205" s="30">
        <v>6</v>
      </c>
      <c r="I205" s="9" t="s">
        <v>243</v>
      </c>
      <c r="J205" s="9" t="s">
        <v>263</v>
      </c>
      <c r="K205" s="30">
        <v>1</v>
      </c>
      <c r="L205" s="9" t="s">
        <v>264</v>
      </c>
      <c r="M205" s="30" t="s">
        <v>84</v>
      </c>
      <c r="N205" s="30" t="s">
        <v>155</v>
      </c>
      <c r="O205" s="24">
        <v>0</v>
      </c>
      <c r="P205" s="24">
        <v>0</v>
      </c>
      <c r="Q205" s="24">
        <v>203</v>
      </c>
      <c r="R205" s="24">
        <v>0</v>
      </c>
      <c r="S205" s="24">
        <v>0</v>
      </c>
      <c r="T205" s="24">
        <v>203</v>
      </c>
    </row>
    <row r="206" spans="1:20">
      <c r="A206" s="9" t="s">
        <v>219</v>
      </c>
      <c r="B206" s="30" t="s">
        <v>279</v>
      </c>
      <c r="C206" s="30" t="str">
        <f>CONCATENATE(VOL_VOLUMEN_SUMINISTROS[[#This Row],[Proyecto]],VOL_VOLUMEN_SUMINISTROS[[#This Row],[J]],VOL_VOLUMEN_SUMINISTROS[[#This Row],[FIN DE SEMANA]])</f>
        <v>1052-2MNO</v>
      </c>
      <c r="D206" s="365" t="str">
        <f>CONCATENATE(VOL_VOLUMEN_SUMINISTROS[[#This Row],[Grupo]],VOL_VOLUMEN_SUMINISTROS[[#This Row],[Proyecto]],VOL_VOLUMEN_SUMINISTROS[[#This Row],[FIN DE SEMANA]])</f>
        <v>301052-2NO</v>
      </c>
      <c r="E206" s="30" t="s">
        <v>183</v>
      </c>
      <c r="F206" s="30" t="s">
        <v>148</v>
      </c>
      <c r="G206" s="365">
        <v>30</v>
      </c>
      <c r="H206" s="30">
        <v>6</v>
      </c>
      <c r="I206" s="9" t="s">
        <v>243</v>
      </c>
      <c r="J206" s="9" t="s">
        <v>266</v>
      </c>
      <c r="K206" s="30">
        <v>1</v>
      </c>
      <c r="L206" s="9" t="s">
        <v>153</v>
      </c>
      <c r="M206" s="30" t="s">
        <v>84</v>
      </c>
      <c r="N206" s="30" t="s">
        <v>152</v>
      </c>
      <c r="O206" s="24">
        <v>0</v>
      </c>
      <c r="P206" s="24">
        <v>0</v>
      </c>
      <c r="Q206" s="24">
        <v>86</v>
      </c>
      <c r="R206" s="24">
        <v>0</v>
      </c>
      <c r="S206" s="24">
        <v>0</v>
      </c>
      <c r="T206" s="24">
        <v>86</v>
      </c>
    </row>
    <row r="207" spans="1:20">
      <c r="A207" s="9" t="s">
        <v>219</v>
      </c>
      <c r="B207" s="30" t="s">
        <v>279</v>
      </c>
      <c r="C207" s="30" t="str">
        <f>CONCATENATE(VOL_VOLUMEN_SUMINISTROS[[#This Row],[Proyecto]],VOL_VOLUMEN_SUMINISTROS[[#This Row],[J]],VOL_VOLUMEN_SUMINISTROS[[#This Row],[FIN DE SEMANA]])</f>
        <v>1052-2TNO</v>
      </c>
      <c r="D207" s="365" t="str">
        <f>CONCATENATE(VOL_VOLUMEN_SUMINISTROS[[#This Row],[Grupo]],VOL_VOLUMEN_SUMINISTROS[[#This Row],[Proyecto]],VOL_VOLUMEN_SUMINISTROS[[#This Row],[FIN DE SEMANA]])</f>
        <v>301052-2NO</v>
      </c>
      <c r="E207" s="30" t="s">
        <v>183</v>
      </c>
      <c r="F207" s="30" t="s">
        <v>148</v>
      </c>
      <c r="G207" s="365">
        <v>30</v>
      </c>
      <c r="H207" s="30">
        <v>6</v>
      </c>
      <c r="I207" s="9" t="s">
        <v>243</v>
      </c>
      <c r="J207" s="9" t="s">
        <v>266</v>
      </c>
      <c r="K207" s="30">
        <v>1</v>
      </c>
      <c r="L207" s="9" t="s">
        <v>153</v>
      </c>
      <c r="M207" s="30" t="s">
        <v>84</v>
      </c>
      <c r="N207" s="30" t="s">
        <v>155</v>
      </c>
      <c r="O207" s="24">
        <v>0</v>
      </c>
      <c r="P207" s="24">
        <v>0</v>
      </c>
      <c r="Q207" s="24">
        <v>74</v>
      </c>
      <c r="R207" s="24">
        <v>0</v>
      </c>
      <c r="S207" s="24">
        <v>0</v>
      </c>
      <c r="T207" s="24">
        <v>74</v>
      </c>
    </row>
    <row r="208" spans="1:20">
      <c r="A208" s="9" t="s">
        <v>219</v>
      </c>
      <c r="B208" s="30" t="s">
        <v>279</v>
      </c>
      <c r="C208" s="30" t="str">
        <f>CONCATENATE(VOL_VOLUMEN_SUMINISTROS[[#This Row],[Proyecto]],VOL_VOLUMEN_SUMINISTROS[[#This Row],[J]],VOL_VOLUMEN_SUMINISTROS[[#This Row],[FIN DE SEMANA]])</f>
        <v>1052-2MNO</v>
      </c>
      <c r="D208" s="365" t="str">
        <f>CONCATENATE(VOL_VOLUMEN_SUMINISTROS[[#This Row],[Grupo]],VOL_VOLUMEN_SUMINISTROS[[#This Row],[Proyecto]],VOL_VOLUMEN_SUMINISTROS[[#This Row],[FIN DE SEMANA]])</f>
        <v>301052-2NO</v>
      </c>
      <c r="E208" s="30" t="s">
        <v>183</v>
      </c>
      <c r="F208" s="30" t="s">
        <v>148</v>
      </c>
      <c r="G208" s="365">
        <v>30</v>
      </c>
      <c r="H208" s="30">
        <v>6</v>
      </c>
      <c r="I208" s="9" t="s">
        <v>243</v>
      </c>
      <c r="J208" s="9" t="s">
        <v>268</v>
      </c>
      <c r="K208" s="30">
        <v>1</v>
      </c>
      <c r="L208" s="9" t="s">
        <v>269</v>
      </c>
      <c r="M208" s="30" t="s">
        <v>84</v>
      </c>
      <c r="N208" s="30" t="s">
        <v>152</v>
      </c>
      <c r="O208" s="24">
        <v>0</v>
      </c>
      <c r="P208" s="24">
        <v>0</v>
      </c>
      <c r="Q208" s="24">
        <v>94</v>
      </c>
      <c r="R208" s="24">
        <v>0</v>
      </c>
      <c r="S208" s="24">
        <v>0</v>
      </c>
      <c r="T208" s="24">
        <v>94</v>
      </c>
    </row>
    <row r="209" spans="1:20">
      <c r="A209" s="9" t="s">
        <v>219</v>
      </c>
      <c r="B209" s="30" t="s">
        <v>279</v>
      </c>
      <c r="C209" s="30" t="str">
        <f>CONCATENATE(VOL_VOLUMEN_SUMINISTROS[[#This Row],[Proyecto]],VOL_VOLUMEN_SUMINISTROS[[#This Row],[J]],VOL_VOLUMEN_SUMINISTROS[[#This Row],[FIN DE SEMANA]])</f>
        <v>1052-2TNO</v>
      </c>
      <c r="D209" s="365" t="str">
        <f>CONCATENATE(VOL_VOLUMEN_SUMINISTROS[[#This Row],[Grupo]],VOL_VOLUMEN_SUMINISTROS[[#This Row],[Proyecto]],VOL_VOLUMEN_SUMINISTROS[[#This Row],[FIN DE SEMANA]])</f>
        <v>301052-2NO</v>
      </c>
      <c r="E209" s="30" t="s">
        <v>183</v>
      </c>
      <c r="F209" s="30" t="s">
        <v>148</v>
      </c>
      <c r="G209" s="365">
        <v>30</v>
      </c>
      <c r="H209" s="30">
        <v>6</v>
      </c>
      <c r="I209" s="9" t="s">
        <v>243</v>
      </c>
      <c r="J209" s="9" t="s">
        <v>268</v>
      </c>
      <c r="K209" s="30">
        <v>1</v>
      </c>
      <c r="L209" s="9" t="s">
        <v>269</v>
      </c>
      <c r="M209" s="30" t="s">
        <v>84</v>
      </c>
      <c r="N209" s="30" t="s">
        <v>155</v>
      </c>
      <c r="O209" s="24">
        <v>0</v>
      </c>
      <c r="P209" s="24">
        <v>0</v>
      </c>
      <c r="Q209" s="24">
        <v>161</v>
      </c>
      <c r="R209" s="24">
        <v>0</v>
      </c>
      <c r="S209" s="24">
        <v>0</v>
      </c>
      <c r="T209" s="24">
        <v>161</v>
      </c>
    </row>
    <row r="210" spans="1:20">
      <c r="A210" s="9" t="s">
        <v>219</v>
      </c>
      <c r="B210" s="30" t="s">
        <v>279</v>
      </c>
      <c r="C210" s="30" t="str">
        <f>CONCATENATE(VOL_VOLUMEN_SUMINISTROS[[#This Row],[Proyecto]],VOL_VOLUMEN_SUMINISTROS[[#This Row],[J]],VOL_VOLUMEN_SUMINISTROS[[#This Row],[FIN DE SEMANA]])</f>
        <v>1052-2TNO</v>
      </c>
      <c r="D210" s="365" t="str">
        <f>CONCATENATE(VOL_VOLUMEN_SUMINISTROS[[#This Row],[Grupo]],VOL_VOLUMEN_SUMINISTROS[[#This Row],[Proyecto]],VOL_VOLUMEN_SUMINISTROS[[#This Row],[FIN DE SEMANA]])</f>
        <v>91052-2NO</v>
      </c>
      <c r="E210" s="30" t="s">
        <v>183</v>
      </c>
      <c r="F210" s="30" t="s">
        <v>148</v>
      </c>
      <c r="G210" s="365">
        <v>9</v>
      </c>
      <c r="H210" s="30">
        <v>6</v>
      </c>
      <c r="I210" s="9" t="s">
        <v>243</v>
      </c>
      <c r="J210" s="9" t="s">
        <v>280</v>
      </c>
      <c r="K210" s="30">
        <v>1</v>
      </c>
      <c r="L210" s="9" t="s">
        <v>281</v>
      </c>
      <c r="M210" s="30" t="s">
        <v>84</v>
      </c>
      <c r="N210" s="30" t="s">
        <v>155</v>
      </c>
      <c r="O210" s="24">
        <v>0</v>
      </c>
      <c r="P210" s="24">
        <v>0</v>
      </c>
      <c r="Q210" s="24">
        <v>280</v>
      </c>
      <c r="R210" s="24">
        <v>0</v>
      </c>
      <c r="S210" s="24">
        <v>0</v>
      </c>
      <c r="T210" s="24">
        <v>280</v>
      </c>
    </row>
    <row r="211" spans="1:20">
      <c r="A211" s="9" t="s">
        <v>219</v>
      </c>
      <c r="B211" s="30" t="s">
        <v>279</v>
      </c>
      <c r="C211" s="30" t="str">
        <f>CONCATENATE(VOL_VOLUMEN_SUMINISTROS[[#This Row],[Proyecto]],VOL_VOLUMEN_SUMINISTROS[[#This Row],[J]],VOL_VOLUMEN_SUMINISTROS[[#This Row],[FIN DE SEMANA]])</f>
        <v>1052-2MNO</v>
      </c>
      <c r="D211" s="365" t="str">
        <f>CONCATENATE(VOL_VOLUMEN_SUMINISTROS[[#This Row],[Grupo]],VOL_VOLUMEN_SUMINISTROS[[#This Row],[Proyecto]],VOL_VOLUMEN_SUMINISTROS[[#This Row],[FIN DE SEMANA]])</f>
        <v>301052-2NO</v>
      </c>
      <c r="E211" s="30" t="s">
        <v>183</v>
      </c>
      <c r="F211" s="30" t="s">
        <v>148</v>
      </c>
      <c r="G211" s="365">
        <v>30</v>
      </c>
      <c r="H211" s="30">
        <v>6</v>
      </c>
      <c r="I211" s="9" t="s">
        <v>243</v>
      </c>
      <c r="J211" s="9" t="s">
        <v>275</v>
      </c>
      <c r="K211" s="30">
        <v>1</v>
      </c>
      <c r="L211" s="9" t="s">
        <v>276</v>
      </c>
      <c r="M211" s="30" t="s">
        <v>84</v>
      </c>
      <c r="N211" s="30" t="s">
        <v>152</v>
      </c>
      <c r="O211" s="24">
        <v>0</v>
      </c>
      <c r="P211" s="24">
        <v>0</v>
      </c>
      <c r="Q211" s="24">
        <v>26</v>
      </c>
      <c r="R211" s="24">
        <v>0</v>
      </c>
      <c r="S211" s="24">
        <v>0</v>
      </c>
      <c r="T211" s="24">
        <v>26</v>
      </c>
    </row>
    <row r="212" spans="1:20">
      <c r="A212" s="9" t="s">
        <v>219</v>
      </c>
      <c r="B212" s="30" t="s">
        <v>279</v>
      </c>
      <c r="C212" s="30" t="str">
        <f>CONCATENATE(VOL_VOLUMEN_SUMINISTROS[[#This Row],[Proyecto]],VOL_VOLUMEN_SUMINISTROS[[#This Row],[J]],VOL_VOLUMEN_SUMINISTROS[[#This Row],[FIN DE SEMANA]])</f>
        <v>1052-2TNO</v>
      </c>
      <c r="D212" s="365" t="str">
        <f>CONCATENATE(VOL_VOLUMEN_SUMINISTROS[[#This Row],[Grupo]],VOL_VOLUMEN_SUMINISTROS[[#This Row],[Proyecto]],VOL_VOLUMEN_SUMINISTROS[[#This Row],[FIN DE SEMANA]])</f>
        <v>301052-2NO</v>
      </c>
      <c r="E212" s="30" t="s">
        <v>183</v>
      </c>
      <c r="F212" s="30" t="s">
        <v>148</v>
      </c>
      <c r="G212" s="365">
        <v>30</v>
      </c>
      <c r="H212" s="30">
        <v>6</v>
      </c>
      <c r="I212" s="9" t="s">
        <v>243</v>
      </c>
      <c r="J212" s="9" t="s">
        <v>275</v>
      </c>
      <c r="K212" s="30">
        <v>1</v>
      </c>
      <c r="L212" s="9" t="s">
        <v>276</v>
      </c>
      <c r="M212" s="30" t="s">
        <v>84</v>
      </c>
      <c r="N212" s="30" t="s">
        <v>155</v>
      </c>
      <c r="O212" s="24">
        <v>0</v>
      </c>
      <c r="P212" s="24">
        <v>0</v>
      </c>
      <c r="Q212" s="24">
        <v>35</v>
      </c>
      <c r="R212" s="24">
        <v>0</v>
      </c>
      <c r="S212" s="24">
        <v>0</v>
      </c>
      <c r="T212" s="24">
        <v>35</v>
      </c>
    </row>
    <row r="213" spans="1:20">
      <c r="A213" s="9" t="s">
        <v>219</v>
      </c>
      <c r="B213" s="30" t="s">
        <v>282</v>
      </c>
      <c r="C213" s="30" t="str">
        <f>CONCATENATE(VOL_VOLUMEN_SUMINISTROS[[#This Row],[Proyecto]],VOL_VOLUMEN_SUMINISTROS[[#This Row],[J]],VOL_VOLUMEN_SUMINISTROS[[#This Row],[FIN DE SEMANA]])</f>
        <v>1052-2MNO</v>
      </c>
      <c r="D213" s="365" t="str">
        <f>CONCATENATE(VOL_VOLUMEN_SUMINISTROS[[#This Row],[Grupo]],VOL_VOLUMEN_SUMINISTROS[[#This Row],[Proyecto]],VOL_VOLUMEN_SUMINISTROS[[#This Row],[FIN DE SEMANA]])</f>
        <v>301052-2NO</v>
      </c>
      <c r="E213" s="30" t="s">
        <v>183</v>
      </c>
      <c r="F213" s="30" t="s">
        <v>148</v>
      </c>
      <c r="G213" s="365">
        <v>30</v>
      </c>
      <c r="H213" s="30">
        <v>6</v>
      </c>
      <c r="I213" s="9" t="s">
        <v>243</v>
      </c>
      <c r="J213" s="9" t="s">
        <v>266</v>
      </c>
      <c r="K213" s="30">
        <v>2</v>
      </c>
      <c r="L213" s="9" t="s">
        <v>267</v>
      </c>
      <c r="M213" s="30" t="s">
        <v>84</v>
      </c>
      <c r="N213" s="30" t="s">
        <v>152</v>
      </c>
      <c r="O213" s="24">
        <v>154</v>
      </c>
      <c r="P213" s="24">
        <v>0</v>
      </c>
      <c r="Q213" s="24">
        <v>0</v>
      </c>
      <c r="R213" s="24">
        <v>0</v>
      </c>
      <c r="S213" s="24">
        <v>0</v>
      </c>
      <c r="T213" s="24">
        <v>154</v>
      </c>
    </row>
    <row r="214" spans="1:20">
      <c r="A214" s="9" t="s">
        <v>219</v>
      </c>
      <c r="B214" s="30" t="s">
        <v>282</v>
      </c>
      <c r="C214" s="30" t="str">
        <f>CONCATENATE(VOL_VOLUMEN_SUMINISTROS[[#This Row],[Proyecto]],VOL_VOLUMEN_SUMINISTROS[[#This Row],[J]],VOL_VOLUMEN_SUMINISTROS[[#This Row],[FIN DE SEMANA]])</f>
        <v>1052-2TNO</v>
      </c>
      <c r="D214" s="365" t="str">
        <f>CONCATENATE(VOL_VOLUMEN_SUMINISTROS[[#This Row],[Grupo]],VOL_VOLUMEN_SUMINISTROS[[#This Row],[Proyecto]],VOL_VOLUMEN_SUMINISTROS[[#This Row],[FIN DE SEMANA]])</f>
        <v>301052-2NO</v>
      </c>
      <c r="E214" s="30" t="s">
        <v>183</v>
      </c>
      <c r="F214" s="30" t="s">
        <v>148</v>
      </c>
      <c r="G214" s="365">
        <v>30</v>
      </c>
      <c r="H214" s="30">
        <v>6</v>
      </c>
      <c r="I214" s="9" t="s">
        <v>243</v>
      </c>
      <c r="J214" s="9" t="s">
        <v>266</v>
      </c>
      <c r="K214" s="30">
        <v>2</v>
      </c>
      <c r="L214" s="9" t="s">
        <v>267</v>
      </c>
      <c r="M214" s="30" t="s">
        <v>84</v>
      </c>
      <c r="N214" s="30" t="s">
        <v>155</v>
      </c>
      <c r="O214" s="24">
        <v>150</v>
      </c>
      <c r="P214" s="24">
        <v>0</v>
      </c>
      <c r="Q214" s="24">
        <v>0</v>
      </c>
      <c r="R214" s="24">
        <v>0</v>
      </c>
      <c r="S214" s="24">
        <v>0</v>
      </c>
      <c r="T214" s="24">
        <v>150</v>
      </c>
    </row>
    <row r="215" spans="1:20">
      <c r="A215" s="9" t="s">
        <v>219</v>
      </c>
      <c r="B215" s="30" t="s">
        <v>283</v>
      </c>
      <c r="C215" s="30" t="str">
        <f>CONCATENATE(VOL_VOLUMEN_SUMINISTROS[[#This Row],[Proyecto]],VOL_VOLUMEN_SUMINISTROS[[#This Row],[J]],VOL_VOLUMEN_SUMINISTROS[[#This Row],[FIN DE SEMANA]])</f>
        <v>1052-1MNO</v>
      </c>
      <c r="D215" s="365" t="str">
        <f>CONCATENATE(VOL_VOLUMEN_SUMINISTROS[[#This Row],[Grupo]],VOL_VOLUMEN_SUMINISTROS[[#This Row],[Proyecto]],VOL_VOLUMEN_SUMINISTROS[[#This Row],[FIN DE SEMANA]])</f>
        <v>91052-1NO</v>
      </c>
      <c r="E215" s="30" t="s">
        <v>147</v>
      </c>
      <c r="F215" s="30" t="s">
        <v>148</v>
      </c>
      <c r="G215" s="365">
        <v>9</v>
      </c>
      <c r="H215" s="30">
        <v>19</v>
      </c>
      <c r="I215" s="9" t="s">
        <v>250</v>
      </c>
      <c r="J215" s="9" t="s">
        <v>284</v>
      </c>
      <c r="K215" s="30">
        <v>1</v>
      </c>
      <c r="L215" s="9" t="s">
        <v>285</v>
      </c>
      <c r="M215" s="30" t="s">
        <v>84</v>
      </c>
      <c r="N215" s="30" t="s">
        <v>152</v>
      </c>
      <c r="O215" s="24">
        <v>169</v>
      </c>
      <c r="P215" s="24">
        <v>18</v>
      </c>
      <c r="Q215" s="24">
        <v>0</v>
      </c>
      <c r="R215" s="24">
        <v>0</v>
      </c>
      <c r="S215" s="24">
        <v>0</v>
      </c>
      <c r="T215" s="24">
        <v>187</v>
      </c>
    </row>
    <row r="216" spans="1:20">
      <c r="A216" s="9" t="s">
        <v>219</v>
      </c>
      <c r="B216" s="30" t="s">
        <v>283</v>
      </c>
      <c r="C216" s="30" t="str">
        <f>CONCATENATE(VOL_VOLUMEN_SUMINISTROS[[#This Row],[Proyecto]],VOL_VOLUMEN_SUMINISTROS[[#This Row],[J]],VOL_VOLUMEN_SUMINISTROS[[#This Row],[FIN DE SEMANA]])</f>
        <v>1052-1TNO</v>
      </c>
      <c r="D216" s="365" t="str">
        <f>CONCATENATE(VOL_VOLUMEN_SUMINISTROS[[#This Row],[Grupo]],VOL_VOLUMEN_SUMINISTROS[[#This Row],[Proyecto]],VOL_VOLUMEN_SUMINISTROS[[#This Row],[FIN DE SEMANA]])</f>
        <v>91052-1NO</v>
      </c>
      <c r="E216" s="30" t="s">
        <v>147</v>
      </c>
      <c r="F216" s="30" t="s">
        <v>148</v>
      </c>
      <c r="G216" s="365">
        <v>9</v>
      </c>
      <c r="H216" s="30">
        <v>19</v>
      </c>
      <c r="I216" s="9" t="s">
        <v>250</v>
      </c>
      <c r="J216" s="9" t="s">
        <v>284</v>
      </c>
      <c r="K216" s="30">
        <v>1</v>
      </c>
      <c r="L216" s="9" t="s">
        <v>285</v>
      </c>
      <c r="M216" s="30" t="s">
        <v>84</v>
      </c>
      <c r="N216" s="30" t="s">
        <v>155</v>
      </c>
      <c r="O216" s="24">
        <v>0</v>
      </c>
      <c r="P216" s="24">
        <v>105</v>
      </c>
      <c r="Q216" s="24">
        <v>35</v>
      </c>
      <c r="R216" s="24">
        <v>0</v>
      </c>
      <c r="S216" s="24">
        <v>0</v>
      </c>
      <c r="T216" s="24">
        <v>140</v>
      </c>
    </row>
    <row r="217" spans="1:20">
      <c r="A217" s="9" t="s">
        <v>219</v>
      </c>
      <c r="B217" s="30" t="s">
        <v>283</v>
      </c>
      <c r="C217" s="30" t="str">
        <f>CONCATENATE(VOL_VOLUMEN_SUMINISTROS[[#This Row],[Proyecto]],VOL_VOLUMEN_SUMINISTROS[[#This Row],[J]],VOL_VOLUMEN_SUMINISTROS[[#This Row],[FIN DE SEMANA]])</f>
        <v>1052-1MNO</v>
      </c>
      <c r="D217" s="365" t="str">
        <f>CONCATENATE(VOL_VOLUMEN_SUMINISTROS[[#This Row],[Grupo]],VOL_VOLUMEN_SUMINISTROS[[#This Row],[Proyecto]],VOL_VOLUMEN_SUMINISTROS[[#This Row],[FIN DE SEMANA]])</f>
        <v>91052-1NO</v>
      </c>
      <c r="E217" s="30" t="s">
        <v>147</v>
      </c>
      <c r="F217" s="30" t="s">
        <v>148</v>
      </c>
      <c r="G217" s="365">
        <v>9</v>
      </c>
      <c r="H217" s="30">
        <v>19</v>
      </c>
      <c r="I217" s="9" t="s">
        <v>250</v>
      </c>
      <c r="J217" s="9" t="s">
        <v>284</v>
      </c>
      <c r="K217" s="30">
        <v>2</v>
      </c>
      <c r="L217" s="9" t="s">
        <v>285</v>
      </c>
      <c r="M217" s="30" t="s">
        <v>84</v>
      </c>
      <c r="N217" s="30" t="s">
        <v>152</v>
      </c>
      <c r="O217" s="24">
        <v>122</v>
      </c>
      <c r="P217" s="24">
        <v>94</v>
      </c>
      <c r="Q217" s="24">
        <v>11</v>
      </c>
      <c r="R217" s="24">
        <v>0</v>
      </c>
      <c r="S217" s="24">
        <v>0</v>
      </c>
      <c r="T217" s="24">
        <v>227</v>
      </c>
    </row>
    <row r="218" spans="1:20">
      <c r="A218" s="9" t="s">
        <v>219</v>
      </c>
      <c r="B218" s="30" t="s">
        <v>283</v>
      </c>
      <c r="C218" s="30" t="str">
        <f>CONCATENATE(VOL_VOLUMEN_SUMINISTROS[[#This Row],[Proyecto]],VOL_VOLUMEN_SUMINISTROS[[#This Row],[J]],VOL_VOLUMEN_SUMINISTROS[[#This Row],[FIN DE SEMANA]])</f>
        <v>1052-1TNO</v>
      </c>
      <c r="D218" s="365" t="str">
        <f>CONCATENATE(VOL_VOLUMEN_SUMINISTROS[[#This Row],[Grupo]],VOL_VOLUMEN_SUMINISTROS[[#This Row],[Proyecto]],VOL_VOLUMEN_SUMINISTROS[[#This Row],[FIN DE SEMANA]])</f>
        <v>91052-1NO</v>
      </c>
      <c r="E218" s="30" t="s">
        <v>147</v>
      </c>
      <c r="F218" s="30" t="s">
        <v>148</v>
      </c>
      <c r="G218" s="365">
        <v>9</v>
      </c>
      <c r="H218" s="30">
        <v>19</v>
      </c>
      <c r="I218" s="9" t="s">
        <v>250</v>
      </c>
      <c r="J218" s="9" t="s">
        <v>284</v>
      </c>
      <c r="K218" s="30">
        <v>2</v>
      </c>
      <c r="L218" s="9" t="s">
        <v>285</v>
      </c>
      <c r="M218" s="30" t="s">
        <v>84</v>
      </c>
      <c r="N218" s="30" t="s">
        <v>155</v>
      </c>
      <c r="O218" s="24">
        <v>0</v>
      </c>
      <c r="P218" s="24">
        <v>96</v>
      </c>
      <c r="Q218" s="24">
        <v>94</v>
      </c>
      <c r="R218" s="24">
        <v>0</v>
      </c>
      <c r="S218" s="24">
        <v>0</v>
      </c>
      <c r="T218" s="24">
        <v>190</v>
      </c>
    </row>
    <row r="219" spans="1:20">
      <c r="A219" s="9" t="s">
        <v>219</v>
      </c>
      <c r="B219" s="30" t="s">
        <v>283</v>
      </c>
      <c r="C219" s="30" t="str">
        <f>CONCATENATE(VOL_VOLUMEN_SUMINISTROS[[#This Row],[Proyecto]],VOL_VOLUMEN_SUMINISTROS[[#This Row],[J]],VOL_VOLUMEN_SUMINISTROS[[#This Row],[FIN DE SEMANA]])</f>
        <v>1052-1MNO</v>
      </c>
      <c r="D219" s="365" t="str">
        <f>CONCATENATE(VOL_VOLUMEN_SUMINISTROS[[#This Row],[Grupo]],VOL_VOLUMEN_SUMINISTROS[[#This Row],[Proyecto]],VOL_VOLUMEN_SUMINISTROS[[#This Row],[FIN DE SEMANA]])</f>
        <v>91052-1NO</v>
      </c>
      <c r="E219" s="30" t="s">
        <v>147</v>
      </c>
      <c r="F219" s="30" t="s">
        <v>148</v>
      </c>
      <c r="G219" s="365">
        <v>9</v>
      </c>
      <c r="H219" s="30">
        <v>19</v>
      </c>
      <c r="I219" s="9" t="s">
        <v>250</v>
      </c>
      <c r="J219" s="9" t="s">
        <v>286</v>
      </c>
      <c r="K219" s="30">
        <v>1</v>
      </c>
      <c r="L219" s="9" t="s">
        <v>287</v>
      </c>
      <c r="M219" s="30" t="s">
        <v>84</v>
      </c>
      <c r="N219" s="30" t="s">
        <v>152</v>
      </c>
      <c r="O219" s="24">
        <v>78</v>
      </c>
      <c r="P219" s="24">
        <v>0</v>
      </c>
      <c r="Q219" s="24">
        <v>0</v>
      </c>
      <c r="R219" s="24">
        <v>0</v>
      </c>
      <c r="S219" s="24">
        <v>0</v>
      </c>
      <c r="T219" s="24">
        <v>78</v>
      </c>
    </row>
    <row r="220" spans="1:20">
      <c r="A220" s="9" t="s">
        <v>219</v>
      </c>
      <c r="B220" s="30" t="s">
        <v>283</v>
      </c>
      <c r="C220" s="30" t="str">
        <f>CONCATENATE(VOL_VOLUMEN_SUMINISTROS[[#This Row],[Proyecto]],VOL_VOLUMEN_SUMINISTROS[[#This Row],[J]],VOL_VOLUMEN_SUMINISTROS[[#This Row],[FIN DE SEMANA]])</f>
        <v>1052-1TNO</v>
      </c>
      <c r="D220" s="365" t="str">
        <f>CONCATENATE(VOL_VOLUMEN_SUMINISTROS[[#This Row],[Grupo]],VOL_VOLUMEN_SUMINISTROS[[#This Row],[Proyecto]],VOL_VOLUMEN_SUMINISTROS[[#This Row],[FIN DE SEMANA]])</f>
        <v>91052-1NO</v>
      </c>
      <c r="E220" s="30" t="s">
        <v>147</v>
      </c>
      <c r="F220" s="30" t="s">
        <v>148</v>
      </c>
      <c r="G220" s="365">
        <v>9</v>
      </c>
      <c r="H220" s="30">
        <v>19</v>
      </c>
      <c r="I220" s="9" t="s">
        <v>250</v>
      </c>
      <c r="J220" s="9" t="s">
        <v>286</v>
      </c>
      <c r="K220" s="30">
        <v>1</v>
      </c>
      <c r="L220" s="9" t="s">
        <v>287</v>
      </c>
      <c r="M220" s="30" t="s">
        <v>84</v>
      </c>
      <c r="N220" s="30" t="s">
        <v>155</v>
      </c>
      <c r="O220" s="24">
        <v>75</v>
      </c>
      <c r="P220" s="24">
        <v>0</v>
      </c>
      <c r="Q220" s="24">
        <v>0</v>
      </c>
      <c r="R220" s="24">
        <v>0</v>
      </c>
      <c r="S220" s="24">
        <v>0</v>
      </c>
      <c r="T220" s="24">
        <v>75</v>
      </c>
    </row>
    <row r="221" spans="1:20">
      <c r="A221" s="9" t="s">
        <v>219</v>
      </c>
      <c r="B221" s="30" t="s">
        <v>283</v>
      </c>
      <c r="C221" s="30" t="str">
        <f>CONCATENATE(VOL_VOLUMEN_SUMINISTROS[[#This Row],[Proyecto]],VOL_VOLUMEN_SUMINISTROS[[#This Row],[J]],VOL_VOLUMEN_SUMINISTROS[[#This Row],[FIN DE SEMANA]])</f>
        <v>1052-1MNO</v>
      </c>
      <c r="D221" s="365" t="str">
        <f>CONCATENATE(VOL_VOLUMEN_SUMINISTROS[[#This Row],[Grupo]],VOL_VOLUMEN_SUMINISTROS[[#This Row],[Proyecto]],VOL_VOLUMEN_SUMINISTROS[[#This Row],[FIN DE SEMANA]])</f>
        <v>91052-1NO</v>
      </c>
      <c r="E221" s="30" t="s">
        <v>147</v>
      </c>
      <c r="F221" s="30" t="s">
        <v>148</v>
      </c>
      <c r="G221" s="365">
        <v>9</v>
      </c>
      <c r="H221" s="30">
        <v>19</v>
      </c>
      <c r="I221" s="9" t="s">
        <v>250</v>
      </c>
      <c r="J221" s="9" t="s">
        <v>286</v>
      </c>
      <c r="K221" s="30">
        <v>2</v>
      </c>
      <c r="L221" s="9" t="s">
        <v>287</v>
      </c>
      <c r="M221" s="30" t="s">
        <v>84</v>
      </c>
      <c r="N221" s="30" t="s">
        <v>152</v>
      </c>
      <c r="O221" s="24">
        <v>58</v>
      </c>
      <c r="P221" s="24">
        <v>191</v>
      </c>
      <c r="Q221" s="24">
        <v>54</v>
      </c>
      <c r="R221" s="24">
        <v>0</v>
      </c>
      <c r="S221" s="24">
        <v>0</v>
      </c>
      <c r="T221" s="24">
        <v>303</v>
      </c>
    </row>
    <row r="222" spans="1:20">
      <c r="A222" s="9" t="s">
        <v>219</v>
      </c>
      <c r="B222" s="30" t="s">
        <v>283</v>
      </c>
      <c r="C222" s="30" t="str">
        <f>CONCATENATE(VOL_VOLUMEN_SUMINISTROS[[#This Row],[Proyecto]],VOL_VOLUMEN_SUMINISTROS[[#This Row],[J]],VOL_VOLUMEN_SUMINISTROS[[#This Row],[FIN DE SEMANA]])</f>
        <v>1052-1TNO</v>
      </c>
      <c r="D222" s="365" t="str">
        <f>CONCATENATE(VOL_VOLUMEN_SUMINISTROS[[#This Row],[Grupo]],VOL_VOLUMEN_SUMINISTROS[[#This Row],[Proyecto]],VOL_VOLUMEN_SUMINISTROS[[#This Row],[FIN DE SEMANA]])</f>
        <v>91052-1NO</v>
      </c>
      <c r="E222" s="30" t="s">
        <v>147</v>
      </c>
      <c r="F222" s="30" t="s">
        <v>148</v>
      </c>
      <c r="G222" s="365">
        <v>9</v>
      </c>
      <c r="H222" s="30">
        <v>19</v>
      </c>
      <c r="I222" s="9" t="s">
        <v>250</v>
      </c>
      <c r="J222" s="9" t="s">
        <v>286</v>
      </c>
      <c r="K222" s="30">
        <v>2</v>
      </c>
      <c r="L222" s="9" t="s">
        <v>287</v>
      </c>
      <c r="M222" s="30" t="s">
        <v>84</v>
      </c>
      <c r="N222" s="30" t="s">
        <v>155</v>
      </c>
      <c r="O222" s="24">
        <v>70</v>
      </c>
      <c r="P222" s="24">
        <v>179</v>
      </c>
      <c r="Q222" s="24">
        <v>48</v>
      </c>
      <c r="R222" s="24">
        <v>0</v>
      </c>
      <c r="S222" s="24">
        <v>0</v>
      </c>
      <c r="T222" s="24">
        <v>297</v>
      </c>
    </row>
    <row r="223" spans="1:20">
      <c r="A223" s="9" t="s">
        <v>219</v>
      </c>
      <c r="B223" s="30" t="s">
        <v>283</v>
      </c>
      <c r="C223" s="30" t="str">
        <f>CONCATENATE(VOL_VOLUMEN_SUMINISTROS[[#This Row],[Proyecto]],VOL_VOLUMEN_SUMINISTROS[[#This Row],[J]],VOL_VOLUMEN_SUMINISTROS[[#This Row],[FIN DE SEMANA]])</f>
        <v>1052-1MNO</v>
      </c>
      <c r="D223" s="365" t="str">
        <f>CONCATENATE(VOL_VOLUMEN_SUMINISTROS[[#This Row],[Grupo]],VOL_VOLUMEN_SUMINISTROS[[#This Row],[Proyecto]],VOL_VOLUMEN_SUMINISTROS[[#This Row],[FIN DE SEMANA]])</f>
        <v>91052-1NO</v>
      </c>
      <c r="E223" s="30" t="s">
        <v>147</v>
      </c>
      <c r="F223" s="30" t="s">
        <v>148</v>
      </c>
      <c r="G223" s="365">
        <v>9</v>
      </c>
      <c r="H223" s="30">
        <v>19</v>
      </c>
      <c r="I223" s="9" t="s">
        <v>250</v>
      </c>
      <c r="J223" s="9" t="s">
        <v>286</v>
      </c>
      <c r="K223" s="30">
        <v>3</v>
      </c>
      <c r="L223" s="9" t="s">
        <v>287</v>
      </c>
      <c r="M223" s="30" t="s">
        <v>84</v>
      </c>
      <c r="N223" s="30" t="s">
        <v>152</v>
      </c>
      <c r="O223" s="24">
        <v>0</v>
      </c>
      <c r="P223" s="24">
        <v>132</v>
      </c>
      <c r="Q223" s="24">
        <v>309</v>
      </c>
      <c r="R223" s="24">
        <v>0</v>
      </c>
      <c r="S223" s="24">
        <v>0</v>
      </c>
      <c r="T223" s="24">
        <v>441</v>
      </c>
    </row>
    <row r="224" spans="1:20">
      <c r="A224" s="9" t="s">
        <v>219</v>
      </c>
      <c r="B224" s="30" t="s">
        <v>283</v>
      </c>
      <c r="C224" s="30" t="str">
        <f>CONCATENATE(VOL_VOLUMEN_SUMINISTROS[[#This Row],[Proyecto]],VOL_VOLUMEN_SUMINISTROS[[#This Row],[J]],VOL_VOLUMEN_SUMINISTROS[[#This Row],[FIN DE SEMANA]])</f>
        <v>1052-1TNO</v>
      </c>
      <c r="D224" s="365" t="str">
        <f>CONCATENATE(VOL_VOLUMEN_SUMINISTROS[[#This Row],[Grupo]],VOL_VOLUMEN_SUMINISTROS[[#This Row],[Proyecto]],VOL_VOLUMEN_SUMINISTROS[[#This Row],[FIN DE SEMANA]])</f>
        <v>91052-1NO</v>
      </c>
      <c r="E224" s="30" t="s">
        <v>147</v>
      </c>
      <c r="F224" s="30" t="s">
        <v>148</v>
      </c>
      <c r="G224" s="365">
        <v>9</v>
      </c>
      <c r="H224" s="30">
        <v>19</v>
      </c>
      <c r="I224" s="9" t="s">
        <v>250</v>
      </c>
      <c r="J224" s="9" t="s">
        <v>286</v>
      </c>
      <c r="K224" s="30">
        <v>3</v>
      </c>
      <c r="L224" s="9" t="s">
        <v>287</v>
      </c>
      <c r="M224" s="30" t="s">
        <v>84</v>
      </c>
      <c r="N224" s="30" t="s">
        <v>155</v>
      </c>
      <c r="O224" s="24">
        <v>0</v>
      </c>
      <c r="P224" s="24">
        <v>111</v>
      </c>
      <c r="Q224" s="24">
        <v>286</v>
      </c>
      <c r="R224" s="24">
        <v>0</v>
      </c>
      <c r="S224" s="24">
        <v>0</v>
      </c>
      <c r="T224" s="24">
        <v>397</v>
      </c>
    </row>
    <row r="225" spans="1:20">
      <c r="A225" s="9" t="s">
        <v>219</v>
      </c>
      <c r="B225" s="30" t="s">
        <v>283</v>
      </c>
      <c r="C225" s="30" t="str">
        <f>CONCATENATE(VOL_VOLUMEN_SUMINISTROS[[#This Row],[Proyecto]],VOL_VOLUMEN_SUMINISTROS[[#This Row],[J]],VOL_VOLUMEN_SUMINISTROS[[#This Row],[FIN DE SEMANA]])</f>
        <v>1052-1MNO</v>
      </c>
      <c r="D225" s="365" t="str">
        <f>CONCATENATE(VOL_VOLUMEN_SUMINISTROS[[#This Row],[Grupo]],VOL_VOLUMEN_SUMINISTROS[[#This Row],[Proyecto]],VOL_VOLUMEN_SUMINISTROS[[#This Row],[FIN DE SEMANA]])</f>
        <v>91052-1NO</v>
      </c>
      <c r="E225" s="30" t="s">
        <v>147</v>
      </c>
      <c r="F225" s="30" t="s">
        <v>148</v>
      </c>
      <c r="G225" s="365">
        <v>9</v>
      </c>
      <c r="H225" s="30">
        <v>19</v>
      </c>
      <c r="I225" s="9" t="s">
        <v>250</v>
      </c>
      <c r="J225" s="9" t="s">
        <v>286</v>
      </c>
      <c r="K225" s="30">
        <v>5</v>
      </c>
      <c r="L225" s="9" t="s">
        <v>288</v>
      </c>
      <c r="M225" s="30" t="s">
        <v>84</v>
      </c>
      <c r="N225" s="30" t="s">
        <v>152</v>
      </c>
      <c r="O225" s="24">
        <v>174</v>
      </c>
      <c r="P225" s="24">
        <v>102</v>
      </c>
      <c r="Q225" s="24">
        <v>5</v>
      </c>
      <c r="R225" s="24">
        <v>0</v>
      </c>
      <c r="S225" s="24">
        <v>0</v>
      </c>
      <c r="T225" s="24">
        <v>281</v>
      </c>
    </row>
    <row r="226" spans="1:20">
      <c r="A226" s="9" t="s">
        <v>219</v>
      </c>
      <c r="B226" s="30" t="s">
        <v>283</v>
      </c>
      <c r="C226" s="30" t="str">
        <f>CONCATENATE(VOL_VOLUMEN_SUMINISTROS[[#This Row],[Proyecto]],VOL_VOLUMEN_SUMINISTROS[[#This Row],[J]],VOL_VOLUMEN_SUMINISTROS[[#This Row],[FIN DE SEMANA]])</f>
        <v>1052-1TNO</v>
      </c>
      <c r="D226" s="365" t="str">
        <f>CONCATENATE(VOL_VOLUMEN_SUMINISTROS[[#This Row],[Grupo]],VOL_VOLUMEN_SUMINISTROS[[#This Row],[Proyecto]],VOL_VOLUMEN_SUMINISTROS[[#This Row],[FIN DE SEMANA]])</f>
        <v>91052-1NO</v>
      </c>
      <c r="E226" s="30" t="s">
        <v>147</v>
      </c>
      <c r="F226" s="30" t="s">
        <v>148</v>
      </c>
      <c r="G226" s="365">
        <v>9</v>
      </c>
      <c r="H226" s="30">
        <v>19</v>
      </c>
      <c r="I226" s="9" t="s">
        <v>250</v>
      </c>
      <c r="J226" s="9" t="s">
        <v>286</v>
      </c>
      <c r="K226" s="30">
        <v>5</v>
      </c>
      <c r="L226" s="9" t="s">
        <v>288</v>
      </c>
      <c r="M226" s="30" t="s">
        <v>84</v>
      </c>
      <c r="N226" s="30" t="s">
        <v>155</v>
      </c>
      <c r="O226" s="24">
        <v>188</v>
      </c>
      <c r="P226" s="24">
        <v>94</v>
      </c>
      <c r="Q226" s="24">
        <v>0</v>
      </c>
      <c r="R226" s="24">
        <v>0</v>
      </c>
      <c r="S226" s="24">
        <v>0</v>
      </c>
      <c r="T226" s="24">
        <v>282</v>
      </c>
    </row>
    <row r="227" spans="1:20">
      <c r="A227" s="9" t="s">
        <v>219</v>
      </c>
      <c r="B227" s="30" t="s">
        <v>283</v>
      </c>
      <c r="C227" s="30" t="str">
        <f>CONCATENATE(VOL_VOLUMEN_SUMINISTROS[[#This Row],[Proyecto]],VOL_VOLUMEN_SUMINISTROS[[#This Row],[J]],VOL_VOLUMEN_SUMINISTROS[[#This Row],[FIN DE SEMANA]])</f>
        <v>1052-1MNO</v>
      </c>
      <c r="D227" s="365" t="str">
        <f>CONCATENATE(VOL_VOLUMEN_SUMINISTROS[[#This Row],[Grupo]],VOL_VOLUMEN_SUMINISTROS[[#This Row],[Proyecto]],VOL_VOLUMEN_SUMINISTROS[[#This Row],[FIN DE SEMANA]])</f>
        <v>91052-1NO</v>
      </c>
      <c r="E227" s="30" t="s">
        <v>147</v>
      </c>
      <c r="F227" s="30" t="s">
        <v>148</v>
      </c>
      <c r="G227" s="365">
        <v>9</v>
      </c>
      <c r="H227" s="30">
        <v>19</v>
      </c>
      <c r="I227" s="9" t="s">
        <v>250</v>
      </c>
      <c r="J227" s="9" t="s">
        <v>289</v>
      </c>
      <c r="K227" s="30">
        <v>1</v>
      </c>
      <c r="L227" s="9" t="s">
        <v>290</v>
      </c>
      <c r="M227" s="30" t="s">
        <v>84</v>
      </c>
      <c r="N227" s="30" t="s">
        <v>152</v>
      </c>
      <c r="O227" s="24">
        <v>0</v>
      </c>
      <c r="P227" s="24">
        <v>228</v>
      </c>
      <c r="Q227" s="24">
        <v>275</v>
      </c>
      <c r="R227" s="24">
        <v>0</v>
      </c>
      <c r="S227" s="24">
        <v>0</v>
      </c>
      <c r="T227" s="24">
        <v>503</v>
      </c>
    </row>
    <row r="228" spans="1:20">
      <c r="A228" s="9" t="s">
        <v>219</v>
      </c>
      <c r="B228" s="30" t="s">
        <v>283</v>
      </c>
      <c r="C228" s="30" t="str">
        <f>CONCATENATE(VOL_VOLUMEN_SUMINISTROS[[#This Row],[Proyecto]],VOL_VOLUMEN_SUMINISTROS[[#This Row],[J]],VOL_VOLUMEN_SUMINISTROS[[#This Row],[FIN DE SEMANA]])</f>
        <v>1052-1TNO</v>
      </c>
      <c r="D228" s="365" t="str">
        <f>CONCATENATE(VOL_VOLUMEN_SUMINISTROS[[#This Row],[Grupo]],VOL_VOLUMEN_SUMINISTROS[[#This Row],[Proyecto]],VOL_VOLUMEN_SUMINISTROS[[#This Row],[FIN DE SEMANA]])</f>
        <v>91052-1NO</v>
      </c>
      <c r="E228" s="30" t="s">
        <v>147</v>
      </c>
      <c r="F228" s="30" t="s">
        <v>148</v>
      </c>
      <c r="G228" s="365">
        <v>9</v>
      </c>
      <c r="H228" s="30">
        <v>19</v>
      </c>
      <c r="I228" s="9" t="s">
        <v>250</v>
      </c>
      <c r="J228" s="9" t="s">
        <v>289</v>
      </c>
      <c r="K228" s="30">
        <v>1</v>
      </c>
      <c r="L228" s="9" t="s">
        <v>290</v>
      </c>
      <c r="M228" s="30" t="s">
        <v>84</v>
      </c>
      <c r="N228" s="30" t="s">
        <v>155</v>
      </c>
      <c r="O228" s="24">
        <v>248</v>
      </c>
      <c r="P228" s="24">
        <v>175</v>
      </c>
      <c r="Q228" s="24">
        <v>26</v>
      </c>
      <c r="R228" s="24">
        <v>0</v>
      </c>
      <c r="S228" s="24">
        <v>0</v>
      </c>
      <c r="T228" s="24">
        <v>449</v>
      </c>
    </row>
    <row r="229" spans="1:20">
      <c r="A229" s="9" t="s">
        <v>219</v>
      </c>
      <c r="B229" s="30" t="s">
        <v>283</v>
      </c>
      <c r="C229" s="30" t="str">
        <f>CONCATENATE(VOL_VOLUMEN_SUMINISTROS[[#This Row],[Proyecto]],VOL_VOLUMEN_SUMINISTROS[[#This Row],[J]],VOL_VOLUMEN_SUMINISTROS[[#This Row],[FIN DE SEMANA]])</f>
        <v>1052-1NNO</v>
      </c>
      <c r="D229" s="365" t="str">
        <f>CONCATENATE(VOL_VOLUMEN_SUMINISTROS[[#This Row],[Grupo]],VOL_VOLUMEN_SUMINISTROS[[#This Row],[Proyecto]],VOL_VOLUMEN_SUMINISTROS[[#This Row],[FIN DE SEMANA]])</f>
        <v>91052-1NO</v>
      </c>
      <c r="E229" s="30" t="s">
        <v>147</v>
      </c>
      <c r="F229" s="30" t="s">
        <v>148</v>
      </c>
      <c r="G229" s="365">
        <v>9</v>
      </c>
      <c r="H229" s="30">
        <v>19</v>
      </c>
      <c r="I229" s="9" t="s">
        <v>250</v>
      </c>
      <c r="J229" s="9" t="s">
        <v>251</v>
      </c>
      <c r="K229" s="30">
        <v>1</v>
      </c>
      <c r="L229" s="9" t="s">
        <v>252</v>
      </c>
      <c r="M229" s="30" t="s">
        <v>84</v>
      </c>
      <c r="N229" s="30" t="s">
        <v>154</v>
      </c>
      <c r="O229" s="24">
        <v>0</v>
      </c>
      <c r="P229" s="24">
        <v>0</v>
      </c>
      <c r="Q229" s="24">
        <v>0</v>
      </c>
      <c r="R229" s="24">
        <v>100</v>
      </c>
      <c r="S229" s="24">
        <v>100</v>
      </c>
      <c r="T229" s="24">
        <v>200</v>
      </c>
    </row>
    <row r="230" spans="1:20">
      <c r="A230" s="9" t="s">
        <v>219</v>
      </c>
      <c r="B230" s="30" t="s">
        <v>283</v>
      </c>
      <c r="C230" s="30" t="str">
        <f>CONCATENATE(VOL_VOLUMEN_SUMINISTROS[[#This Row],[Proyecto]],VOL_VOLUMEN_SUMINISTROS[[#This Row],[J]],VOL_VOLUMEN_SUMINISTROS[[#This Row],[FIN DE SEMANA]])</f>
        <v>1052-1MNO</v>
      </c>
      <c r="D230" s="365" t="str">
        <f>CONCATENATE(VOL_VOLUMEN_SUMINISTROS[[#This Row],[Grupo]],VOL_VOLUMEN_SUMINISTROS[[#This Row],[Proyecto]],VOL_VOLUMEN_SUMINISTROS[[#This Row],[FIN DE SEMANA]])</f>
        <v>91052-1NO</v>
      </c>
      <c r="E230" s="30" t="s">
        <v>147</v>
      </c>
      <c r="F230" s="30" t="s">
        <v>148</v>
      </c>
      <c r="G230" s="365">
        <v>9</v>
      </c>
      <c r="H230" s="30">
        <v>19</v>
      </c>
      <c r="I230" s="9" t="s">
        <v>250</v>
      </c>
      <c r="J230" s="9" t="s">
        <v>251</v>
      </c>
      <c r="K230" s="30">
        <v>2</v>
      </c>
      <c r="L230" s="9" t="s">
        <v>291</v>
      </c>
      <c r="M230" s="30" t="s">
        <v>84</v>
      </c>
      <c r="N230" s="30" t="s">
        <v>152</v>
      </c>
      <c r="O230" s="24">
        <v>262</v>
      </c>
      <c r="P230" s="24">
        <v>81</v>
      </c>
      <c r="Q230" s="24">
        <v>0</v>
      </c>
      <c r="R230" s="24">
        <v>0</v>
      </c>
      <c r="S230" s="24">
        <v>0</v>
      </c>
      <c r="T230" s="24">
        <v>343</v>
      </c>
    </row>
    <row r="231" spans="1:20">
      <c r="A231" s="9" t="s">
        <v>219</v>
      </c>
      <c r="B231" s="30" t="s">
        <v>283</v>
      </c>
      <c r="C231" s="30" t="str">
        <f>CONCATENATE(VOL_VOLUMEN_SUMINISTROS[[#This Row],[Proyecto]],VOL_VOLUMEN_SUMINISTROS[[#This Row],[J]],VOL_VOLUMEN_SUMINISTROS[[#This Row],[FIN DE SEMANA]])</f>
        <v>1052-1TNO</v>
      </c>
      <c r="D231" s="365" t="str">
        <f>CONCATENATE(VOL_VOLUMEN_SUMINISTROS[[#This Row],[Grupo]],VOL_VOLUMEN_SUMINISTROS[[#This Row],[Proyecto]],VOL_VOLUMEN_SUMINISTROS[[#This Row],[FIN DE SEMANA]])</f>
        <v>91052-1NO</v>
      </c>
      <c r="E231" s="30" t="s">
        <v>147</v>
      </c>
      <c r="F231" s="30" t="s">
        <v>148</v>
      </c>
      <c r="G231" s="365">
        <v>9</v>
      </c>
      <c r="H231" s="30">
        <v>19</v>
      </c>
      <c r="I231" s="9" t="s">
        <v>250</v>
      </c>
      <c r="J231" s="9" t="s">
        <v>251</v>
      </c>
      <c r="K231" s="30">
        <v>2</v>
      </c>
      <c r="L231" s="9" t="s">
        <v>291</v>
      </c>
      <c r="M231" s="30" t="s">
        <v>84</v>
      </c>
      <c r="N231" s="30" t="s">
        <v>155</v>
      </c>
      <c r="O231" s="24">
        <v>264</v>
      </c>
      <c r="P231" s="24">
        <v>82</v>
      </c>
      <c r="Q231" s="24">
        <v>0</v>
      </c>
      <c r="R231" s="24">
        <v>0</v>
      </c>
      <c r="S231" s="24">
        <v>0</v>
      </c>
      <c r="T231" s="24">
        <v>346</v>
      </c>
    </row>
    <row r="232" spans="1:20">
      <c r="A232" s="9" t="s">
        <v>219</v>
      </c>
      <c r="B232" s="30" t="s">
        <v>283</v>
      </c>
      <c r="C232" s="30" t="str">
        <f>CONCATENATE(VOL_VOLUMEN_SUMINISTROS[[#This Row],[Proyecto]],VOL_VOLUMEN_SUMINISTROS[[#This Row],[J]],VOL_VOLUMEN_SUMINISTROS[[#This Row],[FIN DE SEMANA]])</f>
        <v>1052-1MNO</v>
      </c>
      <c r="D232" s="365" t="str">
        <f>CONCATENATE(VOL_VOLUMEN_SUMINISTROS[[#This Row],[Grupo]],VOL_VOLUMEN_SUMINISTROS[[#This Row],[Proyecto]],VOL_VOLUMEN_SUMINISTROS[[#This Row],[FIN DE SEMANA]])</f>
        <v>91052-1NO</v>
      </c>
      <c r="E232" s="30" t="s">
        <v>147</v>
      </c>
      <c r="F232" s="30" t="s">
        <v>148</v>
      </c>
      <c r="G232" s="365">
        <v>9</v>
      </c>
      <c r="H232" s="30">
        <v>19</v>
      </c>
      <c r="I232" s="9" t="s">
        <v>250</v>
      </c>
      <c r="J232" s="9" t="s">
        <v>253</v>
      </c>
      <c r="K232" s="30">
        <v>1</v>
      </c>
      <c r="L232" s="9" t="s">
        <v>254</v>
      </c>
      <c r="M232" s="30" t="s">
        <v>84</v>
      </c>
      <c r="N232" s="30" t="s">
        <v>152</v>
      </c>
      <c r="O232" s="24">
        <v>93</v>
      </c>
      <c r="P232" s="24">
        <v>206</v>
      </c>
      <c r="Q232" s="24">
        <v>393</v>
      </c>
      <c r="R232" s="24">
        <v>0</v>
      </c>
      <c r="S232" s="24">
        <v>0</v>
      </c>
      <c r="T232" s="24">
        <v>692</v>
      </c>
    </row>
    <row r="233" spans="1:20">
      <c r="A233" s="9" t="s">
        <v>219</v>
      </c>
      <c r="B233" s="30" t="s">
        <v>283</v>
      </c>
      <c r="C233" s="30" t="str">
        <f>CONCATENATE(VOL_VOLUMEN_SUMINISTROS[[#This Row],[Proyecto]],VOL_VOLUMEN_SUMINISTROS[[#This Row],[J]],VOL_VOLUMEN_SUMINISTROS[[#This Row],[FIN DE SEMANA]])</f>
        <v>1052-1TNO</v>
      </c>
      <c r="D233" s="365" t="str">
        <f>CONCATENATE(VOL_VOLUMEN_SUMINISTROS[[#This Row],[Grupo]],VOL_VOLUMEN_SUMINISTROS[[#This Row],[Proyecto]],VOL_VOLUMEN_SUMINISTROS[[#This Row],[FIN DE SEMANA]])</f>
        <v>91052-1NO</v>
      </c>
      <c r="E233" s="30" t="s">
        <v>147</v>
      </c>
      <c r="F233" s="30" t="s">
        <v>148</v>
      </c>
      <c r="G233" s="365">
        <v>9</v>
      </c>
      <c r="H233" s="30">
        <v>19</v>
      </c>
      <c r="I233" s="9" t="s">
        <v>250</v>
      </c>
      <c r="J233" s="9" t="s">
        <v>253</v>
      </c>
      <c r="K233" s="30">
        <v>1</v>
      </c>
      <c r="L233" s="9" t="s">
        <v>254</v>
      </c>
      <c r="M233" s="30" t="s">
        <v>84</v>
      </c>
      <c r="N233" s="30" t="s">
        <v>155</v>
      </c>
      <c r="O233" s="24">
        <v>99</v>
      </c>
      <c r="P233" s="24">
        <v>229</v>
      </c>
      <c r="Q233" s="24">
        <v>188</v>
      </c>
      <c r="R233" s="24">
        <v>0</v>
      </c>
      <c r="S233" s="24">
        <v>0</v>
      </c>
      <c r="T233" s="24">
        <v>516</v>
      </c>
    </row>
    <row r="234" spans="1:20">
      <c r="A234" s="9" t="s">
        <v>219</v>
      </c>
      <c r="B234" s="30" t="s">
        <v>283</v>
      </c>
      <c r="C234" s="30" t="str">
        <f>CONCATENATE(VOL_VOLUMEN_SUMINISTROS[[#This Row],[Proyecto]],VOL_VOLUMEN_SUMINISTROS[[#This Row],[J]],VOL_VOLUMEN_SUMINISTROS[[#This Row],[FIN DE SEMANA]])</f>
        <v>1052-1MNO</v>
      </c>
      <c r="D234" s="365" t="str">
        <f>CONCATENATE(VOL_VOLUMEN_SUMINISTROS[[#This Row],[Grupo]],VOL_VOLUMEN_SUMINISTROS[[#This Row],[Proyecto]],VOL_VOLUMEN_SUMINISTROS[[#This Row],[FIN DE SEMANA]])</f>
        <v>91052-1NO</v>
      </c>
      <c r="E234" s="30" t="s">
        <v>147</v>
      </c>
      <c r="F234" s="30" t="s">
        <v>148</v>
      </c>
      <c r="G234" s="365">
        <v>9</v>
      </c>
      <c r="H234" s="30">
        <v>19</v>
      </c>
      <c r="I234" s="9" t="s">
        <v>250</v>
      </c>
      <c r="J234" s="9" t="s">
        <v>253</v>
      </c>
      <c r="K234" s="30">
        <v>2</v>
      </c>
      <c r="L234" s="9" t="s">
        <v>292</v>
      </c>
      <c r="M234" s="30" t="s">
        <v>84</v>
      </c>
      <c r="N234" s="30" t="s">
        <v>152</v>
      </c>
      <c r="O234" s="24">
        <v>17</v>
      </c>
      <c r="P234" s="24">
        <v>12</v>
      </c>
      <c r="Q234" s="24">
        <v>2</v>
      </c>
      <c r="R234" s="24">
        <v>0</v>
      </c>
      <c r="S234" s="24">
        <v>0</v>
      </c>
      <c r="T234" s="24">
        <v>31</v>
      </c>
    </row>
    <row r="235" spans="1:20">
      <c r="A235" s="9" t="s">
        <v>219</v>
      </c>
      <c r="B235" s="30" t="s">
        <v>283</v>
      </c>
      <c r="C235" s="30" t="str">
        <f>CONCATENATE(VOL_VOLUMEN_SUMINISTROS[[#This Row],[Proyecto]],VOL_VOLUMEN_SUMINISTROS[[#This Row],[J]],VOL_VOLUMEN_SUMINISTROS[[#This Row],[FIN DE SEMANA]])</f>
        <v>1052-1MNO</v>
      </c>
      <c r="D235" s="365" t="str">
        <f>CONCATENATE(VOL_VOLUMEN_SUMINISTROS[[#This Row],[Grupo]],VOL_VOLUMEN_SUMINISTROS[[#This Row],[Proyecto]],VOL_VOLUMEN_SUMINISTROS[[#This Row],[FIN DE SEMANA]])</f>
        <v>91052-1NO</v>
      </c>
      <c r="E235" s="30" t="s">
        <v>147</v>
      </c>
      <c r="F235" s="30" t="s">
        <v>148</v>
      </c>
      <c r="G235" s="365">
        <v>9</v>
      </c>
      <c r="H235" s="30">
        <v>19</v>
      </c>
      <c r="I235" s="9" t="s">
        <v>250</v>
      </c>
      <c r="J235" s="9" t="s">
        <v>253</v>
      </c>
      <c r="K235" s="30">
        <v>3</v>
      </c>
      <c r="L235" s="9" t="s">
        <v>293</v>
      </c>
      <c r="M235" s="30" t="s">
        <v>84</v>
      </c>
      <c r="N235" s="30" t="s">
        <v>152</v>
      </c>
      <c r="O235" s="24">
        <v>34</v>
      </c>
      <c r="P235" s="24">
        <v>26</v>
      </c>
      <c r="Q235" s="24">
        <v>5</v>
      </c>
      <c r="R235" s="24">
        <v>0</v>
      </c>
      <c r="S235" s="24">
        <v>0</v>
      </c>
      <c r="T235" s="24">
        <v>65</v>
      </c>
    </row>
    <row r="236" spans="1:20">
      <c r="A236" s="9" t="s">
        <v>219</v>
      </c>
      <c r="B236" s="30" t="s">
        <v>283</v>
      </c>
      <c r="C236" s="30" t="str">
        <f>CONCATENATE(VOL_VOLUMEN_SUMINISTROS[[#This Row],[Proyecto]],VOL_VOLUMEN_SUMINISTROS[[#This Row],[J]],VOL_VOLUMEN_SUMINISTROS[[#This Row],[FIN DE SEMANA]])</f>
        <v>1052-1MNO</v>
      </c>
      <c r="D236" s="365" t="str">
        <f>CONCATENATE(VOL_VOLUMEN_SUMINISTROS[[#This Row],[Grupo]],VOL_VOLUMEN_SUMINISTROS[[#This Row],[Proyecto]],VOL_VOLUMEN_SUMINISTROS[[#This Row],[FIN DE SEMANA]])</f>
        <v>91052-1NO</v>
      </c>
      <c r="E236" s="30" t="s">
        <v>147</v>
      </c>
      <c r="F236" s="30" t="s">
        <v>148</v>
      </c>
      <c r="G236" s="365">
        <v>9</v>
      </c>
      <c r="H236" s="30">
        <v>6</v>
      </c>
      <c r="I236" s="9" t="s">
        <v>243</v>
      </c>
      <c r="J236" s="9" t="s">
        <v>244</v>
      </c>
      <c r="K236" s="30">
        <v>1</v>
      </c>
      <c r="L236" s="9" t="s">
        <v>245</v>
      </c>
      <c r="M236" s="30" t="s">
        <v>84</v>
      </c>
      <c r="N236" s="30" t="s">
        <v>152</v>
      </c>
      <c r="O236" s="24">
        <v>0</v>
      </c>
      <c r="P236" s="24">
        <v>399</v>
      </c>
      <c r="Q236" s="24">
        <v>817</v>
      </c>
      <c r="R236" s="24">
        <v>0</v>
      </c>
      <c r="S236" s="24">
        <v>0</v>
      </c>
      <c r="T236" s="24">
        <v>1216</v>
      </c>
    </row>
    <row r="237" spans="1:20">
      <c r="A237" s="9" t="s">
        <v>219</v>
      </c>
      <c r="B237" s="30" t="s">
        <v>283</v>
      </c>
      <c r="C237" s="30" t="str">
        <f>CONCATENATE(VOL_VOLUMEN_SUMINISTROS[[#This Row],[Proyecto]],VOL_VOLUMEN_SUMINISTROS[[#This Row],[J]],VOL_VOLUMEN_SUMINISTROS[[#This Row],[FIN DE SEMANA]])</f>
        <v>1052-1NNO</v>
      </c>
      <c r="D237" s="365" t="str">
        <f>CONCATENATE(VOL_VOLUMEN_SUMINISTROS[[#This Row],[Grupo]],VOL_VOLUMEN_SUMINISTROS[[#This Row],[Proyecto]],VOL_VOLUMEN_SUMINISTROS[[#This Row],[FIN DE SEMANA]])</f>
        <v>91052-1NO</v>
      </c>
      <c r="E237" s="30" t="s">
        <v>147</v>
      </c>
      <c r="F237" s="30" t="s">
        <v>148</v>
      </c>
      <c r="G237" s="365">
        <v>9</v>
      </c>
      <c r="H237" s="30">
        <v>6</v>
      </c>
      <c r="I237" s="9" t="s">
        <v>243</v>
      </c>
      <c r="J237" s="9" t="s">
        <v>244</v>
      </c>
      <c r="K237" s="30">
        <v>1</v>
      </c>
      <c r="L237" s="9" t="s">
        <v>245</v>
      </c>
      <c r="M237" s="30" t="s">
        <v>84</v>
      </c>
      <c r="N237" s="30" t="s">
        <v>154</v>
      </c>
      <c r="O237" s="24">
        <v>0</v>
      </c>
      <c r="P237" s="24">
        <v>0</v>
      </c>
      <c r="Q237" s="24">
        <v>0</v>
      </c>
      <c r="R237" s="24">
        <v>113</v>
      </c>
      <c r="S237" s="24">
        <v>133</v>
      </c>
      <c r="T237" s="24">
        <v>246</v>
      </c>
    </row>
    <row r="238" spans="1:20">
      <c r="A238" s="9" t="s">
        <v>219</v>
      </c>
      <c r="B238" s="30" t="s">
        <v>283</v>
      </c>
      <c r="C238" s="30" t="str">
        <f>CONCATENATE(VOL_VOLUMEN_SUMINISTROS[[#This Row],[Proyecto]],VOL_VOLUMEN_SUMINISTROS[[#This Row],[J]],VOL_VOLUMEN_SUMINISTROS[[#This Row],[FIN DE SEMANA]])</f>
        <v>1052-1TNO</v>
      </c>
      <c r="D238" s="365" t="str">
        <f>CONCATENATE(VOL_VOLUMEN_SUMINISTROS[[#This Row],[Grupo]],VOL_VOLUMEN_SUMINISTROS[[#This Row],[Proyecto]],VOL_VOLUMEN_SUMINISTROS[[#This Row],[FIN DE SEMANA]])</f>
        <v>91052-1NO</v>
      </c>
      <c r="E238" s="30" t="s">
        <v>147</v>
      </c>
      <c r="F238" s="30" t="s">
        <v>148</v>
      </c>
      <c r="G238" s="365">
        <v>9</v>
      </c>
      <c r="H238" s="30">
        <v>6</v>
      </c>
      <c r="I238" s="9" t="s">
        <v>243</v>
      </c>
      <c r="J238" s="9" t="s">
        <v>244</v>
      </c>
      <c r="K238" s="30">
        <v>1</v>
      </c>
      <c r="L238" s="9" t="s">
        <v>245</v>
      </c>
      <c r="M238" s="30" t="s">
        <v>84</v>
      </c>
      <c r="N238" s="30" t="s">
        <v>155</v>
      </c>
      <c r="O238" s="24">
        <v>0</v>
      </c>
      <c r="P238" s="24">
        <v>387</v>
      </c>
      <c r="Q238" s="24">
        <v>725</v>
      </c>
      <c r="R238" s="24">
        <v>0</v>
      </c>
      <c r="S238" s="24">
        <v>0</v>
      </c>
      <c r="T238" s="24">
        <v>1112</v>
      </c>
    </row>
    <row r="239" spans="1:20">
      <c r="A239" s="9" t="s">
        <v>219</v>
      </c>
      <c r="B239" s="30" t="s">
        <v>283</v>
      </c>
      <c r="C239" s="30" t="str">
        <f>CONCATENATE(VOL_VOLUMEN_SUMINISTROS[[#This Row],[Proyecto]],VOL_VOLUMEN_SUMINISTROS[[#This Row],[J]],VOL_VOLUMEN_SUMINISTROS[[#This Row],[FIN DE SEMANA]])</f>
        <v>1052-1MNO</v>
      </c>
      <c r="D239" s="365" t="str">
        <f>CONCATENATE(VOL_VOLUMEN_SUMINISTROS[[#This Row],[Grupo]],VOL_VOLUMEN_SUMINISTROS[[#This Row],[Proyecto]],VOL_VOLUMEN_SUMINISTROS[[#This Row],[FIN DE SEMANA]])</f>
        <v>91052-1NO</v>
      </c>
      <c r="E239" s="30" t="s">
        <v>147</v>
      </c>
      <c r="F239" s="30" t="s">
        <v>148</v>
      </c>
      <c r="G239" s="365">
        <v>9</v>
      </c>
      <c r="H239" s="30">
        <v>6</v>
      </c>
      <c r="I239" s="9" t="s">
        <v>243</v>
      </c>
      <c r="J239" s="9" t="s">
        <v>244</v>
      </c>
      <c r="K239" s="30">
        <v>2</v>
      </c>
      <c r="L239" s="9" t="s">
        <v>294</v>
      </c>
      <c r="M239" s="30" t="s">
        <v>84</v>
      </c>
      <c r="N239" s="30" t="s">
        <v>152</v>
      </c>
      <c r="O239" s="24">
        <v>386</v>
      </c>
      <c r="P239" s="24">
        <v>117</v>
      </c>
      <c r="Q239" s="24">
        <v>0</v>
      </c>
      <c r="R239" s="24">
        <v>0</v>
      </c>
      <c r="S239" s="24">
        <v>0</v>
      </c>
      <c r="T239" s="24">
        <v>503</v>
      </c>
    </row>
    <row r="240" spans="1:20">
      <c r="A240" s="9" t="s">
        <v>219</v>
      </c>
      <c r="B240" s="30" t="s">
        <v>283</v>
      </c>
      <c r="C240" s="30" t="str">
        <f>CONCATENATE(VOL_VOLUMEN_SUMINISTROS[[#This Row],[Proyecto]],VOL_VOLUMEN_SUMINISTROS[[#This Row],[J]],VOL_VOLUMEN_SUMINISTROS[[#This Row],[FIN DE SEMANA]])</f>
        <v>1052-1TNO</v>
      </c>
      <c r="D240" s="365" t="str">
        <f>CONCATENATE(VOL_VOLUMEN_SUMINISTROS[[#This Row],[Grupo]],VOL_VOLUMEN_SUMINISTROS[[#This Row],[Proyecto]],VOL_VOLUMEN_SUMINISTROS[[#This Row],[FIN DE SEMANA]])</f>
        <v>91052-1NO</v>
      </c>
      <c r="E240" s="30" t="s">
        <v>147</v>
      </c>
      <c r="F240" s="30" t="s">
        <v>148</v>
      </c>
      <c r="G240" s="365">
        <v>9</v>
      </c>
      <c r="H240" s="30">
        <v>6</v>
      </c>
      <c r="I240" s="9" t="s">
        <v>243</v>
      </c>
      <c r="J240" s="9" t="s">
        <v>244</v>
      </c>
      <c r="K240" s="30">
        <v>2</v>
      </c>
      <c r="L240" s="9" t="s">
        <v>294</v>
      </c>
      <c r="M240" s="30" t="s">
        <v>84</v>
      </c>
      <c r="N240" s="30" t="s">
        <v>155</v>
      </c>
      <c r="O240" s="24">
        <v>384</v>
      </c>
      <c r="P240" s="24">
        <v>116</v>
      </c>
      <c r="Q240" s="24">
        <v>0</v>
      </c>
      <c r="R240" s="24">
        <v>0</v>
      </c>
      <c r="S240" s="24">
        <v>0</v>
      </c>
      <c r="T240" s="24">
        <v>500</v>
      </c>
    </row>
    <row r="241" spans="1:20">
      <c r="A241" s="9" t="s">
        <v>219</v>
      </c>
      <c r="B241" s="30" t="s">
        <v>283</v>
      </c>
      <c r="C241" s="30" t="str">
        <f>CONCATENATE(VOL_VOLUMEN_SUMINISTROS[[#This Row],[Proyecto]],VOL_VOLUMEN_SUMINISTROS[[#This Row],[J]],VOL_VOLUMEN_SUMINISTROS[[#This Row],[FIN DE SEMANA]])</f>
        <v>1052-1MNO</v>
      </c>
      <c r="D241" s="365" t="str">
        <f>CONCATENATE(VOL_VOLUMEN_SUMINISTROS[[#This Row],[Grupo]],VOL_VOLUMEN_SUMINISTROS[[#This Row],[Proyecto]],VOL_VOLUMEN_SUMINISTROS[[#This Row],[FIN DE SEMANA]])</f>
        <v>91052-1NO</v>
      </c>
      <c r="E241" s="30" t="s">
        <v>147</v>
      </c>
      <c r="F241" s="30" t="s">
        <v>148</v>
      </c>
      <c r="G241" s="365">
        <v>9</v>
      </c>
      <c r="H241" s="30">
        <v>6</v>
      </c>
      <c r="I241" s="9" t="s">
        <v>243</v>
      </c>
      <c r="J241" s="9" t="s">
        <v>244</v>
      </c>
      <c r="K241" s="30">
        <v>3</v>
      </c>
      <c r="L241" s="9" t="s">
        <v>295</v>
      </c>
      <c r="M241" s="30" t="s">
        <v>84</v>
      </c>
      <c r="N241" s="30" t="s">
        <v>152</v>
      </c>
      <c r="O241" s="24">
        <v>124</v>
      </c>
      <c r="P241" s="24">
        <v>203</v>
      </c>
      <c r="Q241" s="24">
        <v>47</v>
      </c>
      <c r="R241" s="24">
        <v>0</v>
      </c>
      <c r="S241" s="24">
        <v>0</v>
      </c>
      <c r="T241" s="24">
        <v>374</v>
      </c>
    </row>
    <row r="242" spans="1:20">
      <c r="A242" s="9" t="s">
        <v>219</v>
      </c>
      <c r="B242" s="30" t="s">
        <v>283</v>
      </c>
      <c r="C242" s="30" t="str">
        <f>CONCATENATE(VOL_VOLUMEN_SUMINISTROS[[#This Row],[Proyecto]],VOL_VOLUMEN_SUMINISTROS[[#This Row],[J]],VOL_VOLUMEN_SUMINISTROS[[#This Row],[FIN DE SEMANA]])</f>
        <v>1052-1TNO</v>
      </c>
      <c r="D242" s="365" t="str">
        <f>CONCATENATE(VOL_VOLUMEN_SUMINISTROS[[#This Row],[Grupo]],VOL_VOLUMEN_SUMINISTROS[[#This Row],[Proyecto]],VOL_VOLUMEN_SUMINISTROS[[#This Row],[FIN DE SEMANA]])</f>
        <v>91052-1NO</v>
      </c>
      <c r="E242" s="30" t="s">
        <v>147</v>
      </c>
      <c r="F242" s="30" t="s">
        <v>148</v>
      </c>
      <c r="G242" s="365">
        <v>9</v>
      </c>
      <c r="H242" s="30">
        <v>6</v>
      </c>
      <c r="I242" s="9" t="s">
        <v>243</v>
      </c>
      <c r="J242" s="9" t="s">
        <v>244</v>
      </c>
      <c r="K242" s="30">
        <v>3</v>
      </c>
      <c r="L242" s="9" t="s">
        <v>295</v>
      </c>
      <c r="M242" s="30" t="s">
        <v>84</v>
      </c>
      <c r="N242" s="30" t="s">
        <v>155</v>
      </c>
      <c r="O242" s="24">
        <v>124</v>
      </c>
      <c r="P242" s="24">
        <v>209</v>
      </c>
      <c r="Q242" s="24">
        <v>49</v>
      </c>
      <c r="R242" s="24">
        <v>0</v>
      </c>
      <c r="S242" s="24">
        <v>0</v>
      </c>
      <c r="T242" s="24">
        <v>382</v>
      </c>
    </row>
    <row r="243" spans="1:20">
      <c r="A243" s="9" t="s">
        <v>219</v>
      </c>
      <c r="B243" s="30" t="s">
        <v>283</v>
      </c>
      <c r="C243" s="30" t="str">
        <f>CONCATENATE(VOL_VOLUMEN_SUMINISTROS[[#This Row],[Proyecto]],VOL_VOLUMEN_SUMINISTROS[[#This Row],[J]],VOL_VOLUMEN_SUMINISTROS[[#This Row],[FIN DE SEMANA]])</f>
        <v>1052-1MNO</v>
      </c>
      <c r="D243" s="365" t="str">
        <f>CONCATENATE(VOL_VOLUMEN_SUMINISTROS[[#This Row],[Grupo]],VOL_VOLUMEN_SUMINISTROS[[#This Row],[Proyecto]],VOL_VOLUMEN_SUMINISTROS[[#This Row],[FIN DE SEMANA]])</f>
        <v>91052-1NO</v>
      </c>
      <c r="E243" s="30" t="s">
        <v>147</v>
      </c>
      <c r="F243" s="30" t="s">
        <v>148</v>
      </c>
      <c r="G243" s="365">
        <v>9</v>
      </c>
      <c r="H243" s="30">
        <v>6</v>
      </c>
      <c r="I243" s="9" t="s">
        <v>243</v>
      </c>
      <c r="J243" s="9" t="s">
        <v>244</v>
      </c>
      <c r="K243" s="30">
        <v>4</v>
      </c>
      <c r="L243" s="9" t="s">
        <v>296</v>
      </c>
      <c r="M243" s="30" t="s">
        <v>84</v>
      </c>
      <c r="N243" s="30" t="s">
        <v>152</v>
      </c>
      <c r="O243" s="24">
        <v>0</v>
      </c>
      <c r="P243" s="24">
        <v>162</v>
      </c>
      <c r="Q243" s="24">
        <v>54</v>
      </c>
      <c r="R243" s="24">
        <v>0</v>
      </c>
      <c r="S243" s="24">
        <v>0</v>
      </c>
      <c r="T243" s="24">
        <v>216</v>
      </c>
    </row>
    <row r="244" spans="1:20">
      <c r="A244" s="9" t="s">
        <v>219</v>
      </c>
      <c r="B244" s="30" t="s">
        <v>283</v>
      </c>
      <c r="C244" s="30" t="str">
        <f>CONCATENATE(VOL_VOLUMEN_SUMINISTROS[[#This Row],[Proyecto]],VOL_VOLUMEN_SUMINISTROS[[#This Row],[J]],VOL_VOLUMEN_SUMINISTROS[[#This Row],[FIN DE SEMANA]])</f>
        <v>1052-1TNO</v>
      </c>
      <c r="D244" s="365" t="str">
        <f>CONCATENATE(VOL_VOLUMEN_SUMINISTROS[[#This Row],[Grupo]],VOL_VOLUMEN_SUMINISTROS[[#This Row],[Proyecto]],VOL_VOLUMEN_SUMINISTROS[[#This Row],[FIN DE SEMANA]])</f>
        <v>91052-1NO</v>
      </c>
      <c r="E244" s="30" t="s">
        <v>147</v>
      </c>
      <c r="F244" s="30" t="s">
        <v>148</v>
      </c>
      <c r="G244" s="365">
        <v>9</v>
      </c>
      <c r="H244" s="30">
        <v>6</v>
      </c>
      <c r="I244" s="9" t="s">
        <v>243</v>
      </c>
      <c r="J244" s="9" t="s">
        <v>244</v>
      </c>
      <c r="K244" s="30">
        <v>4</v>
      </c>
      <c r="L244" s="9" t="s">
        <v>296</v>
      </c>
      <c r="M244" s="30" t="s">
        <v>84</v>
      </c>
      <c r="N244" s="30" t="s">
        <v>155</v>
      </c>
      <c r="O244" s="24">
        <v>0</v>
      </c>
      <c r="P244" s="24">
        <v>159</v>
      </c>
      <c r="Q244" s="24">
        <v>53</v>
      </c>
      <c r="R244" s="24">
        <v>0</v>
      </c>
      <c r="S244" s="24">
        <v>0</v>
      </c>
      <c r="T244" s="24">
        <v>212</v>
      </c>
    </row>
    <row r="245" spans="1:20">
      <c r="A245" s="9" t="s">
        <v>219</v>
      </c>
      <c r="B245" s="30" t="s">
        <v>283</v>
      </c>
      <c r="C245" s="30" t="str">
        <f>CONCATENATE(VOL_VOLUMEN_SUMINISTROS[[#This Row],[Proyecto]],VOL_VOLUMEN_SUMINISTROS[[#This Row],[J]],VOL_VOLUMEN_SUMINISTROS[[#This Row],[FIN DE SEMANA]])</f>
        <v>1052-1MNO</v>
      </c>
      <c r="D245" s="365" t="str">
        <f>CONCATENATE(VOL_VOLUMEN_SUMINISTROS[[#This Row],[Grupo]],VOL_VOLUMEN_SUMINISTROS[[#This Row],[Proyecto]],VOL_VOLUMEN_SUMINISTROS[[#This Row],[FIN DE SEMANA]])</f>
        <v>91052-1NO</v>
      </c>
      <c r="E245" s="30" t="s">
        <v>147</v>
      </c>
      <c r="F245" s="30" t="s">
        <v>148</v>
      </c>
      <c r="G245" s="365">
        <v>9</v>
      </c>
      <c r="H245" s="30">
        <v>6</v>
      </c>
      <c r="I245" s="9" t="s">
        <v>243</v>
      </c>
      <c r="J245" s="9" t="s">
        <v>255</v>
      </c>
      <c r="K245" s="30">
        <v>1</v>
      </c>
      <c r="L245" s="9" t="s">
        <v>256</v>
      </c>
      <c r="M245" s="30" t="s">
        <v>84</v>
      </c>
      <c r="N245" s="30" t="s">
        <v>152</v>
      </c>
      <c r="O245" s="24">
        <v>317</v>
      </c>
      <c r="P245" s="24">
        <v>479</v>
      </c>
      <c r="Q245" s="24">
        <v>699</v>
      </c>
      <c r="R245" s="24">
        <v>0</v>
      </c>
      <c r="S245" s="24">
        <v>0</v>
      </c>
      <c r="T245" s="24">
        <v>1495</v>
      </c>
    </row>
    <row r="246" spans="1:20">
      <c r="A246" s="9" t="s">
        <v>219</v>
      </c>
      <c r="B246" s="30" t="s">
        <v>283</v>
      </c>
      <c r="C246" s="30" t="str">
        <f>CONCATENATE(VOL_VOLUMEN_SUMINISTROS[[#This Row],[Proyecto]],VOL_VOLUMEN_SUMINISTROS[[#This Row],[J]],VOL_VOLUMEN_SUMINISTROS[[#This Row],[FIN DE SEMANA]])</f>
        <v>1052-1TNO</v>
      </c>
      <c r="D246" s="365" t="str">
        <f>CONCATENATE(VOL_VOLUMEN_SUMINISTROS[[#This Row],[Grupo]],VOL_VOLUMEN_SUMINISTROS[[#This Row],[Proyecto]],VOL_VOLUMEN_SUMINISTROS[[#This Row],[FIN DE SEMANA]])</f>
        <v>91052-1NO</v>
      </c>
      <c r="E246" s="30" t="s">
        <v>147</v>
      </c>
      <c r="F246" s="30" t="s">
        <v>148</v>
      </c>
      <c r="G246" s="365">
        <v>9</v>
      </c>
      <c r="H246" s="30">
        <v>6</v>
      </c>
      <c r="I246" s="9" t="s">
        <v>243</v>
      </c>
      <c r="J246" s="9" t="s">
        <v>255</v>
      </c>
      <c r="K246" s="30">
        <v>1</v>
      </c>
      <c r="L246" s="9" t="s">
        <v>256</v>
      </c>
      <c r="M246" s="30" t="s">
        <v>84</v>
      </c>
      <c r="N246" s="30" t="s">
        <v>155</v>
      </c>
      <c r="O246" s="24">
        <v>283</v>
      </c>
      <c r="P246" s="24">
        <v>425</v>
      </c>
      <c r="Q246" s="24">
        <v>459</v>
      </c>
      <c r="R246" s="24">
        <v>0</v>
      </c>
      <c r="S246" s="24">
        <v>0</v>
      </c>
      <c r="T246" s="24">
        <v>1167</v>
      </c>
    </row>
    <row r="247" spans="1:20">
      <c r="A247" s="9" t="s">
        <v>219</v>
      </c>
      <c r="B247" s="30" t="s">
        <v>283</v>
      </c>
      <c r="C247" s="30" t="str">
        <f>CONCATENATE(VOL_VOLUMEN_SUMINISTROS[[#This Row],[Proyecto]],VOL_VOLUMEN_SUMINISTROS[[#This Row],[J]],VOL_VOLUMEN_SUMINISTROS[[#This Row],[FIN DE SEMANA]])</f>
        <v>1052-1MNO</v>
      </c>
      <c r="D247" s="365" t="str">
        <f>CONCATENATE(VOL_VOLUMEN_SUMINISTROS[[#This Row],[Grupo]],VOL_VOLUMEN_SUMINISTROS[[#This Row],[Proyecto]],VOL_VOLUMEN_SUMINISTROS[[#This Row],[FIN DE SEMANA]])</f>
        <v>91052-1NO</v>
      </c>
      <c r="E247" s="30" t="s">
        <v>147</v>
      </c>
      <c r="F247" s="30" t="s">
        <v>148</v>
      </c>
      <c r="G247" s="365">
        <v>9</v>
      </c>
      <c r="H247" s="30">
        <v>6</v>
      </c>
      <c r="I247" s="9" t="s">
        <v>243</v>
      </c>
      <c r="J247" s="9" t="s">
        <v>297</v>
      </c>
      <c r="K247" s="30">
        <v>1</v>
      </c>
      <c r="L247" s="9" t="s">
        <v>298</v>
      </c>
      <c r="M247" s="30" t="s">
        <v>84</v>
      </c>
      <c r="N247" s="30" t="s">
        <v>152</v>
      </c>
      <c r="O247" s="24">
        <v>95</v>
      </c>
      <c r="P247" s="24">
        <v>612</v>
      </c>
      <c r="Q247" s="24">
        <v>204</v>
      </c>
      <c r="R247" s="24">
        <v>0</v>
      </c>
      <c r="S247" s="24">
        <v>0</v>
      </c>
      <c r="T247" s="24">
        <v>911</v>
      </c>
    </row>
    <row r="248" spans="1:20">
      <c r="A248" s="9" t="s">
        <v>219</v>
      </c>
      <c r="B248" s="30" t="s">
        <v>283</v>
      </c>
      <c r="C248" s="30" t="str">
        <f>CONCATENATE(VOL_VOLUMEN_SUMINISTROS[[#This Row],[Proyecto]],VOL_VOLUMEN_SUMINISTROS[[#This Row],[J]],VOL_VOLUMEN_SUMINISTROS[[#This Row],[FIN DE SEMANA]])</f>
        <v>1052-1TNO</v>
      </c>
      <c r="D248" s="365" t="str">
        <f>CONCATENATE(VOL_VOLUMEN_SUMINISTROS[[#This Row],[Grupo]],VOL_VOLUMEN_SUMINISTROS[[#This Row],[Proyecto]],VOL_VOLUMEN_SUMINISTROS[[#This Row],[FIN DE SEMANA]])</f>
        <v>91052-1NO</v>
      </c>
      <c r="E248" s="30" t="s">
        <v>147</v>
      </c>
      <c r="F248" s="30" t="s">
        <v>148</v>
      </c>
      <c r="G248" s="365">
        <v>9</v>
      </c>
      <c r="H248" s="30">
        <v>6</v>
      </c>
      <c r="I248" s="9" t="s">
        <v>243</v>
      </c>
      <c r="J248" s="9" t="s">
        <v>297</v>
      </c>
      <c r="K248" s="30">
        <v>1</v>
      </c>
      <c r="L248" s="9" t="s">
        <v>298</v>
      </c>
      <c r="M248" s="30" t="s">
        <v>84</v>
      </c>
      <c r="N248" s="30" t="s">
        <v>155</v>
      </c>
      <c r="O248" s="24">
        <v>95</v>
      </c>
      <c r="P248" s="24">
        <v>0</v>
      </c>
      <c r="Q248" s="24">
        <v>747</v>
      </c>
      <c r="R248" s="24">
        <v>0</v>
      </c>
      <c r="S248" s="24">
        <v>0</v>
      </c>
      <c r="T248" s="24">
        <v>842</v>
      </c>
    </row>
    <row r="249" spans="1:20">
      <c r="A249" s="9" t="s">
        <v>219</v>
      </c>
      <c r="B249" s="30" t="s">
        <v>283</v>
      </c>
      <c r="C249" s="30" t="str">
        <f>CONCATENATE(VOL_VOLUMEN_SUMINISTROS[[#This Row],[Proyecto]],VOL_VOLUMEN_SUMINISTROS[[#This Row],[J]],VOL_VOLUMEN_SUMINISTROS[[#This Row],[FIN DE SEMANA]])</f>
        <v>1052-1MNO</v>
      </c>
      <c r="D249" s="365" t="str">
        <f>CONCATENATE(VOL_VOLUMEN_SUMINISTROS[[#This Row],[Grupo]],VOL_VOLUMEN_SUMINISTROS[[#This Row],[Proyecto]],VOL_VOLUMEN_SUMINISTROS[[#This Row],[FIN DE SEMANA]])</f>
        <v>91052-1NO</v>
      </c>
      <c r="E249" s="30" t="s">
        <v>147</v>
      </c>
      <c r="F249" s="30" t="s">
        <v>148</v>
      </c>
      <c r="G249" s="365">
        <v>9</v>
      </c>
      <c r="H249" s="30">
        <v>6</v>
      </c>
      <c r="I249" s="9" t="s">
        <v>243</v>
      </c>
      <c r="J249" s="9" t="s">
        <v>297</v>
      </c>
      <c r="K249" s="30">
        <v>2</v>
      </c>
      <c r="L249" s="9" t="s">
        <v>299</v>
      </c>
      <c r="M249" s="30" t="s">
        <v>84</v>
      </c>
      <c r="N249" s="30" t="s">
        <v>152</v>
      </c>
      <c r="O249" s="24">
        <v>208</v>
      </c>
      <c r="P249" s="24">
        <v>135</v>
      </c>
      <c r="Q249" s="24">
        <v>15</v>
      </c>
      <c r="R249" s="24">
        <v>0</v>
      </c>
      <c r="S249" s="24">
        <v>0</v>
      </c>
      <c r="T249" s="24">
        <v>358</v>
      </c>
    </row>
    <row r="250" spans="1:20">
      <c r="A250" s="9" t="s">
        <v>219</v>
      </c>
      <c r="B250" s="30" t="s">
        <v>283</v>
      </c>
      <c r="C250" s="30" t="str">
        <f>CONCATENATE(VOL_VOLUMEN_SUMINISTROS[[#This Row],[Proyecto]],VOL_VOLUMEN_SUMINISTROS[[#This Row],[J]],VOL_VOLUMEN_SUMINISTROS[[#This Row],[FIN DE SEMANA]])</f>
        <v>1052-1TNO</v>
      </c>
      <c r="D250" s="365" t="str">
        <f>CONCATENATE(VOL_VOLUMEN_SUMINISTROS[[#This Row],[Grupo]],VOL_VOLUMEN_SUMINISTROS[[#This Row],[Proyecto]],VOL_VOLUMEN_SUMINISTROS[[#This Row],[FIN DE SEMANA]])</f>
        <v>91052-1NO</v>
      </c>
      <c r="E250" s="30" t="s">
        <v>147</v>
      </c>
      <c r="F250" s="30" t="s">
        <v>148</v>
      </c>
      <c r="G250" s="365">
        <v>9</v>
      </c>
      <c r="H250" s="30">
        <v>6</v>
      </c>
      <c r="I250" s="9" t="s">
        <v>243</v>
      </c>
      <c r="J250" s="9" t="s">
        <v>297</v>
      </c>
      <c r="K250" s="30">
        <v>2</v>
      </c>
      <c r="L250" s="9" t="s">
        <v>299</v>
      </c>
      <c r="M250" s="30" t="s">
        <v>84</v>
      </c>
      <c r="N250" s="30" t="s">
        <v>155</v>
      </c>
      <c r="O250" s="24">
        <v>168</v>
      </c>
      <c r="P250" s="24">
        <v>97</v>
      </c>
      <c r="Q250" s="24">
        <v>12</v>
      </c>
      <c r="R250" s="24">
        <v>0</v>
      </c>
      <c r="S250" s="24">
        <v>0</v>
      </c>
      <c r="T250" s="24">
        <v>277</v>
      </c>
    </row>
    <row r="251" spans="1:20">
      <c r="A251" s="9" t="s">
        <v>219</v>
      </c>
      <c r="B251" s="30" t="s">
        <v>283</v>
      </c>
      <c r="C251" s="30" t="str">
        <f>CONCATENATE(VOL_VOLUMEN_SUMINISTROS[[#This Row],[Proyecto]],VOL_VOLUMEN_SUMINISTROS[[#This Row],[J]],VOL_VOLUMEN_SUMINISTROS[[#This Row],[FIN DE SEMANA]])</f>
        <v>1052-1MNO</v>
      </c>
      <c r="D251" s="365" t="str">
        <f>CONCATENATE(VOL_VOLUMEN_SUMINISTROS[[#This Row],[Grupo]],VOL_VOLUMEN_SUMINISTROS[[#This Row],[Proyecto]],VOL_VOLUMEN_SUMINISTROS[[#This Row],[FIN DE SEMANA]])</f>
        <v>91052-1NO</v>
      </c>
      <c r="E251" s="30" t="s">
        <v>147</v>
      </c>
      <c r="F251" s="30" t="s">
        <v>148</v>
      </c>
      <c r="G251" s="365">
        <v>9</v>
      </c>
      <c r="H251" s="30">
        <v>6</v>
      </c>
      <c r="I251" s="9" t="s">
        <v>243</v>
      </c>
      <c r="J251" s="9" t="s">
        <v>297</v>
      </c>
      <c r="K251" s="30">
        <v>3</v>
      </c>
      <c r="L251" s="9" t="s">
        <v>300</v>
      </c>
      <c r="M251" s="30" t="s">
        <v>84</v>
      </c>
      <c r="N251" s="30" t="s">
        <v>152</v>
      </c>
      <c r="O251" s="24">
        <v>110</v>
      </c>
      <c r="P251" s="24">
        <v>42</v>
      </c>
      <c r="Q251" s="24">
        <v>0</v>
      </c>
      <c r="R251" s="24">
        <v>0</v>
      </c>
      <c r="S251" s="24">
        <v>0</v>
      </c>
      <c r="T251" s="24">
        <v>152</v>
      </c>
    </row>
    <row r="252" spans="1:20">
      <c r="A252" s="9" t="s">
        <v>219</v>
      </c>
      <c r="B252" s="30" t="s">
        <v>283</v>
      </c>
      <c r="C252" s="30" t="str">
        <f>CONCATENATE(VOL_VOLUMEN_SUMINISTROS[[#This Row],[Proyecto]],VOL_VOLUMEN_SUMINISTROS[[#This Row],[J]],VOL_VOLUMEN_SUMINISTROS[[#This Row],[FIN DE SEMANA]])</f>
        <v>1052-1TNO</v>
      </c>
      <c r="D252" s="365" t="str">
        <f>CONCATENATE(VOL_VOLUMEN_SUMINISTROS[[#This Row],[Grupo]],VOL_VOLUMEN_SUMINISTROS[[#This Row],[Proyecto]],VOL_VOLUMEN_SUMINISTROS[[#This Row],[FIN DE SEMANA]])</f>
        <v>91052-1NO</v>
      </c>
      <c r="E252" s="30" t="s">
        <v>147</v>
      </c>
      <c r="F252" s="30" t="s">
        <v>148</v>
      </c>
      <c r="G252" s="365">
        <v>9</v>
      </c>
      <c r="H252" s="30">
        <v>6</v>
      </c>
      <c r="I252" s="9" t="s">
        <v>243</v>
      </c>
      <c r="J252" s="9" t="s">
        <v>297</v>
      </c>
      <c r="K252" s="30">
        <v>3</v>
      </c>
      <c r="L252" s="9" t="s">
        <v>300</v>
      </c>
      <c r="M252" s="30" t="s">
        <v>84</v>
      </c>
      <c r="N252" s="30" t="s">
        <v>155</v>
      </c>
      <c r="O252" s="24">
        <v>105</v>
      </c>
      <c r="P252" s="24">
        <v>40</v>
      </c>
      <c r="Q252" s="24">
        <v>0</v>
      </c>
      <c r="R252" s="24">
        <v>0</v>
      </c>
      <c r="S252" s="24">
        <v>0</v>
      </c>
      <c r="T252" s="24">
        <v>145</v>
      </c>
    </row>
    <row r="253" spans="1:20">
      <c r="A253" s="9" t="s">
        <v>219</v>
      </c>
      <c r="B253" s="30" t="s">
        <v>283</v>
      </c>
      <c r="C253" s="30" t="str">
        <f>CONCATENATE(VOL_VOLUMEN_SUMINISTROS[[#This Row],[Proyecto]],VOL_VOLUMEN_SUMINISTROS[[#This Row],[J]],VOL_VOLUMEN_SUMINISTROS[[#This Row],[FIN DE SEMANA]])</f>
        <v>1052-1MNO</v>
      </c>
      <c r="D253" s="365" t="str">
        <f>CONCATENATE(VOL_VOLUMEN_SUMINISTROS[[#This Row],[Grupo]],VOL_VOLUMEN_SUMINISTROS[[#This Row],[Proyecto]],VOL_VOLUMEN_SUMINISTROS[[#This Row],[FIN DE SEMANA]])</f>
        <v>91052-1NO</v>
      </c>
      <c r="E253" s="30" t="s">
        <v>147</v>
      </c>
      <c r="F253" s="30" t="s">
        <v>148</v>
      </c>
      <c r="G253" s="365">
        <v>9</v>
      </c>
      <c r="H253" s="30">
        <v>6</v>
      </c>
      <c r="I253" s="9" t="s">
        <v>243</v>
      </c>
      <c r="J253" s="9" t="s">
        <v>297</v>
      </c>
      <c r="K253" s="30">
        <v>4</v>
      </c>
      <c r="L253" s="9" t="s">
        <v>301</v>
      </c>
      <c r="M253" s="30" t="s">
        <v>84</v>
      </c>
      <c r="N253" s="30" t="s">
        <v>152</v>
      </c>
      <c r="O253" s="24">
        <v>36</v>
      </c>
      <c r="P253" s="24">
        <v>60</v>
      </c>
      <c r="Q253" s="24">
        <v>14</v>
      </c>
      <c r="R253" s="24">
        <v>0</v>
      </c>
      <c r="S253" s="24">
        <v>0</v>
      </c>
      <c r="T253" s="24">
        <v>110</v>
      </c>
    </row>
    <row r="254" spans="1:20">
      <c r="A254" s="9" t="s">
        <v>219</v>
      </c>
      <c r="B254" s="30" t="s">
        <v>283</v>
      </c>
      <c r="C254" s="30" t="str">
        <f>CONCATENATE(VOL_VOLUMEN_SUMINISTROS[[#This Row],[Proyecto]],VOL_VOLUMEN_SUMINISTROS[[#This Row],[J]],VOL_VOLUMEN_SUMINISTROS[[#This Row],[FIN DE SEMANA]])</f>
        <v>1052-1TNO</v>
      </c>
      <c r="D254" s="365" t="str">
        <f>CONCATENATE(VOL_VOLUMEN_SUMINISTROS[[#This Row],[Grupo]],VOL_VOLUMEN_SUMINISTROS[[#This Row],[Proyecto]],VOL_VOLUMEN_SUMINISTROS[[#This Row],[FIN DE SEMANA]])</f>
        <v>91052-1NO</v>
      </c>
      <c r="E254" s="30" t="s">
        <v>147</v>
      </c>
      <c r="F254" s="30" t="s">
        <v>148</v>
      </c>
      <c r="G254" s="365">
        <v>9</v>
      </c>
      <c r="H254" s="30">
        <v>6</v>
      </c>
      <c r="I254" s="9" t="s">
        <v>243</v>
      </c>
      <c r="J254" s="9" t="s">
        <v>297</v>
      </c>
      <c r="K254" s="30">
        <v>4</v>
      </c>
      <c r="L254" s="9" t="s">
        <v>301</v>
      </c>
      <c r="M254" s="30" t="s">
        <v>84</v>
      </c>
      <c r="N254" s="30" t="s">
        <v>155</v>
      </c>
      <c r="O254" s="24">
        <v>36</v>
      </c>
      <c r="P254" s="24">
        <v>57</v>
      </c>
      <c r="Q254" s="24">
        <v>13</v>
      </c>
      <c r="R254" s="24">
        <v>0</v>
      </c>
      <c r="S254" s="24">
        <v>0</v>
      </c>
      <c r="T254" s="24">
        <v>106</v>
      </c>
    </row>
    <row r="255" spans="1:20">
      <c r="A255" s="9" t="s">
        <v>219</v>
      </c>
      <c r="B255" s="30" t="s">
        <v>283</v>
      </c>
      <c r="C255" s="30" t="str">
        <f>CONCATENATE(VOL_VOLUMEN_SUMINISTROS[[#This Row],[Proyecto]],VOL_VOLUMEN_SUMINISTROS[[#This Row],[J]],VOL_VOLUMEN_SUMINISTROS[[#This Row],[FIN DE SEMANA]])</f>
        <v>1052-1MNO</v>
      </c>
      <c r="D255" s="365" t="str">
        <f>CONCATENATE(VOL_VOLUMEN_SUMINISTROS[[#This Row],[Grupo]],VOL_VOLUMEN_SUMINISTROS[[#This Row],[Proyecto]],VOL_VOLUMEN_SUMINISTROS[[#This Row],[FIN DE SEMANA]])</f>
        <v>91052-1NO</v>
      </c>
      <c r="E255" s="30" t="s">
        <v>147</v>
      </c>
      <c r="F255" s="30" t="s">
        <v>148</v>
      </c>
      <c r="G255" s="365">
        <v>9</v>
      </c>
      <c r="H255" s="30">
        <v>6</v>
      </c>
      <c r="I255" s="9" t="s">
        <v>243</v>
      </c>
      <c r="J255" s="9" t="s">
        <v>280</v>
      </c>
      <c r="K255" s="30">
        <v>1</v>
      </c>
      <c r="L255" s="9" t="s">
        <v>281</v>
      </c>
      <c r="M255" s="30" t="s">
        <v>84</v>
      </c>
      <c r="N255" s="30" t="s">
        <v>152</v>
      </c>
      <c r="O255" s="24">
        <v>244</v>
      </c>
      <c r="P255" s="24">
        <v>383</v>
      </c>
      <c r="Q255" s="24">
        <v>620</v>
      </c>
      <c r="R255" s="24">
        <v>0</v>
      </c>
      <c r="S255" s="24">
        <v>0</v>
      </c>
      <c r="T255" s="24">
        <v>1247</v>
      </c>
    </row>
    <row r="256" spans="1:20">
      <c r="A256" s="9" t="s">
        <v>219</v>
      </c>
      <c r="B256" s="30" t="s">
        <v>283</v>
      </c>
      <c r="C256" s="30" t="str">
        <f>CONCATENATE(VOL_VOLUMEN_SUMINISTROS[[#This Row],[Proyecto]],VOL_VOLUMEN_SUMINISTROS[[#This Row],[J]],VOL_VOLUMEN_SUMINISTROS[[#This Row],[FIN DE SEMANA]])</f>
        <v>1052-1TNO</v>
      </c>
      <c r="D256" s="365" t="str">
        <f>CONCATENATE(VOL_VOLUMEN_SUMINISTROS[[#This Row],[Grupo]],VOL_VOLUMEN_SUMINISTROS[[#This Row],[Proyecto]],VOL_VOLUMEN_SUMINISTROS[[#This Row],[FIN DE SEMANA]])</f>
        <v>91052-1NO</v>
      </c>
      <c r="E256" s="30" t="s">
        <v>147</v>
      </c>
      <c r="F256" s="30" t="s">
        <v>148</v>
      </c>
      <c r="G256" s="365">
        <v>9</v>
      </c>
      <c r="H256" s="30">
        <v>6</v>
      </c>
      <c r="I256" s="9" t="s">
        <v>243</v>
      </c>
      <c r="J256" s="9" t="s">
        <v>280</v>
      </c>
      <c r="K256" s="30">
        <v>1</v>
      </c>
      <c r="L256" s="9" t="s">
        <v>281</v>
      </c>
      <c r="M256" s="30" t="s">
        <v>84</v>
      </c>
      <c r="N256" s="30" t="s">
        <v>155</v>
      </c>
      <c r="O256" s="24">
        <v>276</v>
      </c>
      <c r="P256" s="24">
        <v>316</v>
      </c>
      <c r="Q256" s="24">
        <v>221</v>
      </c>
      <c r="R256" s="24">
        <v>0</v>
      </c>
      <c r="S256" s="24">
        <v>0</v>
      </c>
      <c r="T256" s="24">
        <v>813</v>
      </c>
    </row>
    <row r="257" spans="1:20">
      <c r="A257" s="9" t="s">
        <v>219</v>
      </c>
      <c r="B257" s="30" t="s">
        <v>283</v>
      </c>
      <c r="C257" s="30" t="str">
        <f>CONCATENATE(VOL_VOLUMEN_SUMINISTROS[[#This Row],[Proyecto]],VOL_VOLUMEN_SUMINISTROS[[#This Row],[J]],VOL_VOLUMEN_SUMINISTROS[[#This Row],[FIN DE SEMANA]])</f>
        <v>1052-1MNO</v>
      </c>
      <c r="D257" s="365" t="str">
        <f>CONCATENATE(VOL_VOLUMEN_SUMINISTROS[[#This Row],[Grupo]],VOL_VOLUMEN_SUMINISTROS[[#This Row],[Proyecto]],VOL_VOLUMEN_SUMINISTROS[[#This Row],[FIN DE SEMANA]])</f>
        <v>91052-1NO</v>
      </c>
      <c r="E257" s="30" t="s">
        <v>147</v>
      </c>
      <c r="F257" s="30" t="s">
        <v>148</v>
      </c>
      <c r="G257" s="365">
        <v>9</v>
      </c>
      <c r="H257" s="30">
        <v>6</v>
      </c>
      <c r="I257" s="9" t="s">
        <v>243</v>
      </c>
      <c r="J257" s="9" t="s">
        <v>246</v>
      </c>
      <c r="K257" s="30">
        <v>1</v>
      </c>
      <c r="L257" s="9" t="s">
        <v>247</v>
      </c>
      <c r="M257" s="30" t="s">
        <v>84</v>
      </c>
      <c r="N257" s="30" t="s">
        <v>152</v>
      </c>
      <c r="O257" s="24">
        <v>0</v>
      </c>
      <c r="P257" s="24">
        <v>195</v>
      </c>
      <c r="Q257" s="24">
        <v>252</v>
      </c>
      <c r="R257" s="24">
        <v>0</v>
      </c>
      <c r="S257" s="24">
        <v>0</v>
      </c>
      <c r="T257" s="24">
        <v>447</v>
      </c>
    </row>
    <row r="258" spans="1:20">
      <c r="A258" s="9" t="s">
        <v>219</v>
      </c>
      <c r="B258" s="30" t="s">
        <v>283</v>
      </c>
      <c r="C258" s="30" t="str">
        <f>CONCATENATE(VOL_VOLUMEN_SUMINISTROS[[#This Row],[Proyecto]],VOL_VOLUMEN_SUMINISTROS[[#This Row],[J]],VOL_VOLUMEN_SUMINISTROS[[#This Row],[FIN DE SEMANA]])</f>
        <v>1052-1NNO</v>
      </c>
      <c r="D258" s="365" t="str">
        <f>CONCATENATE(VOL_VOLUMEN_SUMINISTROS[[#This Row],[Grupo]],VOL_VOLUMEN_SUMINISTROS[[#This Row],[Proyecto]],VOL_VOLUMEN_SUMINISTROS[[#This Row],[FIN DE SEMANA]])</f>
        <v>91052-1NO</v>
      </c>
      <c r="E258" s="30" t="s">
        <v>147</v>
      </c>
      <c r="F258" s="30" t="s">
        <v>148</v>
      </c>
      <c r="G258" s="365">
        <v>9</v>
      </c>
      <c r="H258" s="30">
        <v>6</v>
      </c>
      <c r="I258" s="9" t="s">
        <v>243</v>
      </c>
      <c r="J258" s="9" t="s">
        <v>246</v>
      </c>
      <c r="K258" s="30">
        <v>1</v>
      </c>
      <c r="L258" s="9" t="s">
        <v>247</v>
      </c>
      <c r="M258" s="30" t="s">
        <v>84</v>
      </c>
      <c r="N258" s="30" t="s">
        <v>154</v>
      </c>
      <c r="O258" s="24">
        <v>0</v>
      </c>
      <c r="P258" s="24">
        <v>0</v>
      </c>
      <c r="Q258" s="24">
        <v>0</v>
      </c>
      <c r="R258" s="24">
        <v>158</v>
      </c>
      <c r="S258" s="24">
        <v>186</v>
      </c>
      <c r="T258" s="24">
        <v>344</v>
      </c>
    </row>
    <row r="259" spans="1:20">
      <c r="A259" s="9" t="s">
        <v>219</v>
      </c>
      <c r="B259" s="30" t="s">
        <v>283</v>
      </c>
      <c r="C259" s="30" t="str">
        <f>CONCATENATE(VOL_VOLUMEN_SUMINISTROS[[#This Row],[Proyecto]],VOL_VOLUMEN_SUMINISTROS[[#This Row],[J]],VOL_VOLUMEN_SUMINISTROS[[#This Row],[FIN DE SEMANA]])</f>
        <v>1052-1TNO</v>
      </c>
      <c r="D259" s="365" t="str">
        <f>CONCATENATE(VOL_VOLUMEN_SUMINISTROS[[#This Row],[Grupo]],VOL_VOLUMEN_SUMINISTROS[[#This Row],[Proyecto]],VOL_VOLUMEN_SUMINISTROS[[#This Row],[FIN DE SEMANA]])</f>
        <v>91052-1NO</v>
      </c>
      <c r="E259" s="30" t="s">
        <v>147</v>
      </c>
      <c r="F259" s="30" t="s">
        <v>148</v>
      </c>
      <c r="G259" s="365">
        <v>9</v>
      </c>
      <c r="H259" s="30">
        <v>6</v>
      </c>
      <c r="I259" s="9" t="s">
        <v>243</v>
      </c>
      <c r="J259" s="9" t="s">
        <v>246</v>
      </c>
      <c r="K259" s="30">
        <v>1</v>
      </c>
      <c r="L259" s="9" t="s">
        <v>247</v>
      </c>
      <c r="M259" s="30" t="s">
        <v>84</v>
      </c>
      <c r="N259" s="30" t="s">
        <v>155</v>
      </c>
      <c r="O259" s="24">
        <v>84</v>
      </c>
      <c r="P259" s="24">
        <v>144</v>
      </c>
      <c r="Q259" s="24">
        <v>34</v>
      </c>
      <c r="R259" s="24">
        <v>0</v>
      </c>
      <c r="S259" s="24">
        <v>0</v>
      </c>
      <c r="T259" s="24">
        <v>262</v>
      </c>
    </row>
    <row r="260" spans="1:20">
      <c r="A260" s="9" t="s">
        <v>219</v>
      </c>
      <c r="B260" s="30" t="s">
        <v>283</v>
      </c>
      <c r="C260" s="30" t="str">
        <f>CONCATENATE(VOL_VOLUMEN_SUMINISTROS[[#This Row],[Proyecto]],VOL_VOLUMEN_SUMINISTROS[[#This Row],[J]],VOL_VOLUMEN_SUMINISTROS[[#This Row],[FIN DE SEMANA]])</f>
        <v>1052-1MNO</v>
      </c>
      <c r="D260" s="365" t="str">
        <f>CONCATENATE(VOL_VOLUMEN_SUMINISTROS[[#This Row],[Grupo]],VOL_VOLUMEN_SUMINISTROS[[#This Row],[Proyecto]],VOL_VOLUMEN_SUMINISTROS[[#This Row],[FIN DE SEMANA]])</f>
        <v>91052-1NO</v>
      </c>
      <c r="E260" s="30" t="s">
        <v>147</v>
      </c>
      <c r="F260" s="30" t="s">
        <v>148</v>
      </c>
      <c r="G260" s="365">
        <v>9</v>
      </c>
      <c r="H260" s="30">
        <v>6</v>
      </c>
      <c r="I260" s="9" t="s">
        <v>243</v>
      </c>
      <c r="J260" s="9" t="s">
        <v>246</v>
      </c>
      <c r="K260" s="30">
        <v>2</v>
      </c>
      <c r="L260" s="9" t="s">
        <v>248</v>
      </c>
      <c r="M260" s="30" t="s">
        <v>84</v>
      </c>
      <c r="N260" s="30" t="s">
        <v>152</v>
      </c>
      <c r="O260" s="24">
        <v>220</v>
      </c>
      <c r="P260" s="24">
        <v>190</v>
      </c>
      <c r="Q260" s="24">
        <v>191</v>
      </c>
      <c r="R260" s="24">
        <v>0</v>
      </c>
      <c r="S260" s="24">
        <v>0</v>
      </c>
      <c r="T260" s="24">
        <v>601</v>
      </c>
    </row>
    <row r="261" spans="1:20">
      <c r="A261" s="9" t="s">
        <v>219</v>
      </c>
      <c r="B261" s="30" t="s">
        <v>283</v>
      </c>
      <c r="C261" s="30" t="str">
        <f>CONCATENATE(VOL_VOLUMEN_SUMINISTROS[[#This Row],[Proyecto]],VOL_VOLUMEN_SUMINISTROS[[#This Row],[J]],VOL_VOLUMEN_SUMINISTROS[[#This Row],[FIN DE SEMANA]])</f>
        <v>1052-1TNO</v>
      </c>
      <c r="D261" s="365" t="str">
        <f>CONCATENATE(VOL_VOLUMEN_SUMINISTROS[[#This Row],[Grupo]],VOL_VOLUMEN_SUMINISTROS[[#This Row],[Proyecto]],VOL_VOLUMEN_SUMINISTROS[[#This Row],[FIN DE SEMANA]])</f>
        <v>91052-1NO</v>
      </c>
      <c r="E261" s="30" t="s">
        <v>147</v>
      </c>
      <c r="F261" s="30" t="s">
        <v>148</v>
      </c>
      <c r="G261" s="365">
        <v>9</v>
      </c>
      <c r="H261" s="30">
        <v>6</v>
      </c>
      <c r="I261" s="9" t="s">
        <v>243</v>
      </c>
      <c r="J261" s="9" t="s">
        <v>246</v>
      </c>
      <c r="K261" s="30">
        <v>2</v>
      </c>
      <c r="L261" s="9" t="s">
        <v>302</v>
      </c>
      <c r="M261" s="30" t="s">
        <v>84</v>
      </c>
      <c r="N261" s="30" t="s">
        <v>155</v>
      </c>
      <c r="O261" s="24">
        <v>105</v>
      </c>
      <c r="P261" s="24">
        <v>140</v>
      </c>
      <c r="Q261" s="24">
        <v>199</v>
      </c>
      <c r="R261" s="24">
        <v>0</v>
      </c>
      <c r="S261" s="24">
        <v>0</v>
      </c>
      <c r="T261" s="24">
        <v>444</v>
      </c>
    </row>
    <row r="262" spans="1:20">
      <c r="A262" s="9" t="s">
        <v>219</v>
      </c>
      <c r="B262" s="30" t="s">
        <v>303</v>
      </c>
      <c r="C262" s="30" t="str">
        <f>CONCATENATE(VOL_VOLUMEN_SUMINISTROS[[#This Row],[Proyecto]],VOL_VOLUMEN_SUMINISTROS[[#This Row],[J]],VOL_VOLUMEN_SUMINISTROS[[#This Row],[FIN DE SEMANA]])</f>
        <v>1052-2MNO</v>
      </c>
      <c r="D262" s="365" t="str">
        <f>CONCATENATE(VOL_VOLUMEN_SUMINISTROS[[#This Row],[Grupo]],VOL_VOLUMEN_SUMINISTROS[[#This Row],[Proyecto]],VOL_VOLUMEN_SUMINISTROS[[#This Row],[FIN DE SEMANA]])</f>
        <v>91052-2NO</v>
      </c>
      <c r="E262" s="30" t="s">
        <v>183</v>
      </c>
      <c r="F262" s="30" t="s">
        <v>148</v>
      </c>
      <c r="G262" s="365">
        <v>9</v>
      </c>
      <c r="H262" s="30">
        <v>19</v>
      </c>
      <c r="I262" s="9" t="s">
        <v>250</v>
      </c>
      <c r="J262" s="9" t="s">
        <v>284</v>
      </c>
      <c r="K262" s="30">
        <v>2</v>
      </c>
      <c r="L262" s="9" t="s">
        <v>285</v>
      </c>
      <c r="M262" s="30" t="s">
        <v>84</v>
      </c>
      <c r="N262" s="30" t="s">
        <v>152</v>
      </c>
      <c r="O262" s="24">
        <v>0</v>
      </c>
      <c r="P262" s="24">
        <v>168</v>
      </c>
      <c r="Q262" s="24">
        <v>106</v>
      </c>
      <c r="R262" s="24">
        <v>0</v>
      </c>
      <c r="S262" s="24">
        <v>0</v>
      </c>
      <c r="T262" s="24">
        <v>274</v>
      </c>
    </row>
    <row r="263" spans="1:20">
      <c r="A263" s="9" t="s">
        <v>219</v>
      </c>
      <c r="B263" s="30" t="s">
        <v>303</v>
      </c>
      <c r="C263" s="30" t="str">
        <f>CONCATENATE(VOL_VOLUMEN_SUMINISTROS[[#This Row],[Proyecto]],VOL_VOLUMEN_SUMINISTROS[[#This Row],[J]],VOL_VOLUMEN_SUMINISTROS[[#This Row],[FIN DE SEMANA]])</f>
        <v>1052-2M1NO</v>
      </c>
      <c r="D263" s="365" t="str">
        <f>CONCATENATE(VOL_VOLUMEN_SUMINISTROS[[#This Row],[Grupo]],VOL_VOLUMEN_SUMINISTROS[[#This Row],[Proyecto]],VOL_VOLUMEN_SUMINISTROS[[#This Row],[FIN DE SEMANA]])</f>
        <v>61052-2NO</v>
      </c>
      <c r="E263" s="30" t="s">
        <v>183</v>
      </c>
      <c r="F263" s="30" t="s">
        <v>148</v>
      </c>
      <c r="G263" s="365">
        <v>6</v>
      </c>
      <c r="H263" s="30">
        <v>19</v>
      </c>
      <c r="I263" s="9" t="s">
        <v>250</v>
      </c>
      <c r="J263" s="9" t="s">
        <v>284</v>
      </c>
      <c r="K263" s="30">
        <v>2</v>
      </c>
      <c r="L263" s="9" t="s">
        <v>285</v>
      </c>
      <c r="M263" s="30" t="s">
        <v>84</v>
      </c>
      <c r="N263" s="30" t="s">
        <v>216</v>
      </c>
      <c r="O263" s="24">
        <v>108</v>
      </c>
      <c r="P263" s="24">
        <v>87</v>
      </c>
      <c r="Q263" s="24">
        <v>11</v>
      </c>
      <c r="R263" s="24">
        <v>0</v>
      </c>
      <c r="S263" s="24">
        <v>0</v>
      </c>
      <c r="T263" s="24">
        <v>206</v>
      </c>
    </row>
    <row r="264" spans="1:20">
      <c r="A264" s="9" t="s">
        <v>219</v>
      </c>
      <c r="B264" s="30" t="s">
        <v>303</v>
      </c>
      <c r="C264" s="30" t="str">
        <f>CONCATENATE(VOL_VOLUMEN_SUMINISTROS[[#This Row],[Proyecto]],VOL_VOLUMEN_SUMINISTROS[[#This Row],[J]],VOL_VOLUMEN_SUMINISTROS[[#This Row],[FIN DE SEMANA]])</f>
        <v>1052-2MNO</v>
      </c>
      <c r="D264" s="365" t="str">
        <f>CONCATENATE(VOL_VOLUMEN_SUMINISTROS[[#This Row],[Grupo]],VOL_VOLUMEN_SUMINISTROS[[#This Row],[Proyecto]],VOL_VOLUMEN_SUMINISTROS[[#This Row],[FIN DE SEMANA]])</f>
        <v>91052-2NO</v>
      </c>
      <c r="E264" s="30" t="s">
        <v>183</v>
      </c>
      <c r="F264" s="30" t="s">
        <v>148</v>
      </c>
      <c r="G264" s="365">
        <v>9</v>
      </c>
      <c r="H264" s="30">
        <v>19</v>
      </c>
      <c r="I264" s="9" t="s">
        <v>250</v>
      </c>
      <c r="J264" s="9" t="s">
        <v>289</v>
      </c>
      <c r="K264" s="30">
        <v>1</v>
      </c>
      <c r="L264" s="9" t="s">
        <v>290</v>
      </c>
      <c r="M264" s="30" t="s">
        <v>84</v>
      </c>
      <c r="N264" s="30" t="s">
        <v>152</v>
      </c>
      <c r="O264" s="24">
        <v>200</v>
      </c>
      <c r="P264" s="24">
        <v>187</v>
      </c>
      <c r="Q264" s="24">
        <v>49</v>
      </c>
      <c r="R264" s="24">
        <v>0</v>
      </c>
      <c r="S264" s="24">
        <v>0</v>
      </c>
      <c r="T264" s="24">
        <v>436</v>
      </c>
    </row>
    <row r="265" spans="1:20">
      <c r="A265" s="9" t="s">
        <v>219</v>
      </c>
      <c r="B265" s="30" t="s">
        <v>303</v>
      </c>
      <c r="C265" s="30" t="str">
        <f>CONCATENATE(VOL_VOLUMEN_SUMINISTROS[[#This Row],[Proyecto]],VOL_VOLUMEN_SUMINISTROS[[#This Row],[J]],VOL_VOLUMEN_SUMINISTROS[[#This Row],[FIN DE SEMANA]])</f>
        <v>1052-2M1NO</v>
      </c>
      <c r="D265" s="365" t="str">
        <f>CONCATENATE(VOL_VOLUMEN_SUMINISTROS[[#This Row],[Grupo]],VOL_VOLUMEN_SUMINISTROS[[#This Row],[Proyecto]],VOL_VOLUMEN_SUMINISTROS[[#This Row],[FIN DE SEMANA]])</f>
        <v>91052-2NO</v>
      </c>
      <c r="E265" s="30" t="s">
        <v>183</v>
      </c>
      <c r="F265" s="30" t="s">
        <v>148</v>
      </c>
      <c r="G265" s="365">
        <v>9</v>
      </c>
      <c r="H265" s="30">
        <v>19</v>
      </c>
      <c r="I265" s="9" t="s">
        <v>250</v>
      </c>
      <c r="J265" s="9" t="s">
        <v>289</v>
      </c>
      <c r="K265" s="30">
        <v>1</v>
      </c>
      <c r="L265" s="9" t="s">
        <v>290</v>
      </c>
      <c r="M265" s="30" t="s">
        <v>84</v>
      </c>
      <c r="N265" s="30" t="s">
        <v>216</v>
      </c>
      <c r="O265" s="24">
        <v>0</v>
      </c>
      <c r="P265" s="24">
        <v>210</v>
      </c>
      <c r="Q265" s="24">
        <v>194</v>
      </c>
      <c r="R265" s="24">
        <v>0</v>
      </c>
      <c r="S265" s="24">
        <v>0</v>
      </c>
      <c r="T265" s="24">
        <v>404</v>
      </c>
    </row>
    <row r="266" spans="1:20">
      <c r="A266" s="9" t="s">
        <v>219</v>
      </c>
      <c r="B266" s="30" t="s">
        <v>304</v>
      </c>
      <c r="C266" s="30" t="str">
        <f>CONCATENATE(VOL_VOLUMEN_SUMINISTROS[[#This Row],[Proyecto]],VOL_VOLUMEN_SUMINISTROS[[#This Row],[J]],VOL_VOLUMEN_SUMINISTROS[[#This Row],[FIN DE SEMANA]])</f>
        <v>1052-2MNO</v>
      </c>
      <c r="D266" s="365" t="str">
        <f>CONCATENATE(VOL_VOLUMEN_SUMINISTROS[[#This Row],[Grupo]],VOL_VOLUMEN_SUMINISTROS[[#This Row],[Proyecto]],VOL_VOLUMEN_SUMINISTROS[[#This Row],[FIN DE SEMANA]])</f>
        <v>91052-2NO</v>
      </c>
      <c r="E266" s="30" t="s">
        <v>183</v>
      </c>
      <c r="F266" s="30" t="s">
        <v>148</v>
      </c>
      <c r="G266" s="365">
        <v>9</v>
      </c>
      <c r="H266" s="30">
        <v>19</v>
      </c>
      <c r="I266" s="9" t="s">
        <v>250</v>
      </c>
      <c r="J266" s="9" t="s">
        <v>286</v>
      </c>
      <c r="K266" s="30">
        <v>2</v>
      </c>
      <c r="L266" s="9" t="s">
        <v>287</v>
      </c>
      <c r="M266" s="30" t="s">
        <v>84</v>
      </c>
      <c r="N266" s="30" t="s">
        <v>152</v>
      </c>
      <c r="O266" s="24">
        <v>0</v>
      </c>
      <c r="P266" s="24">
        <v>0</v>
      </c>
      <c r="Q266" s="24">
        <v>92</v>
      </c>
      <c r="R266" s="24">
        <v>0</v>
      </c>
      <c r="S266" s="24">
        <v>0</v>
      </c>
      <c r="T266" s="24">
        <v>92</v>
      </c>
    </row>
    <row r="267" spans="1:20">
      <c r="A267" s="9" t="s">
        <v>219</v>
      </c>
      <c r="B267" s="30" t="s">
        <v>304</v>
      </c>
      <c r="C267" s="30" t="str">
        <f>CONCATENATE(VOL_VOLUMEN_SUMINISTROS[[#This Row],[Proyecto]],VOL_VOLUMEN_SUMINISTROS[[#This Row],[J]],VOL_VOLUMEN_SUMINISTROS[[#This Row],[FIN DE SEMANA]])</f>
        <v>1052-2TNO</v>
      </c>
      <c r="D267" s="365" t="str">
        <f>CONCATENATE(VOL_VOLUMEN_SUMINISTROS[[#This Row],[Grupo]],VOL_VOLUMEN_SUMINISTROS[[#This Row],[Proyecto]],VOL_VOLUMEN_SUMINISTROS[[#This Row],[FIN DE SEMANA]])</f>
        <v>91052-2NO</v>
      </c>
      <c r="E267" s="30" t="s">
        <v>183</v>
      </c>
      <c r="F267" s="30" t="s">
        <v>148</v>
      </c>
      <c r="G267" s="365">
        <v>9</v>
      </c>
      <c r="H267" s="30">
        <v>19</v>
      </c>
      <c r="I267" s="9" t="s">
        <v>250</v>
      </c>
      <c r="J267" s="9" t="s">
        <v>286</v>
      </c>
      <c r="K267" s="30">
        <v>2</v>
      </c>
      <c r="L267" s="9" t="s">
        <v>287</v>
      </c>
      <c r="M267" s="30" t="s">
        <v>84</v>
      </c>
      <c r="N267" s="30" t="s">
        <v>155</v>
      </c>
      <c r="O267" s="24">
        <v>0</v>
      </c>
      <c r="P267" s="24">
        <v>0</v>
      </c>
      <c r="Q267" s="24">
        <v>101</v>
      </c>
      <c r="R267" s="24">
        <v>0</v>
      </c>
      <c r="S267" s="24">
        <v>0</v>
      </c>
      <c r="T267" s="24">
        <v>101</v>
      </c>
    </row>
    <row r="268" spans="1:20">
      <c r="A268" s="9" t="s">
        <v>219</v>
      </c>
      <c r="B268" s="30" t="s">
        <v>304</v>
      </c>
      <c r="C268" s="30" t="str">
        <f>CONCATENATE(VOL_VOLUMEN_SUMINISTROS[[#This Row],[Proyecto]],VOL_VOLUMEN_SUMINISTROS[[#This Row],[J]],VOL_VOLUMEN_SUMINISTROS[[#This Row],[FIN DE SEMANA]])</f>
        <v>1052-2MSI</v>
      </c>
      <c r="D268" s="365" t="str">
        <f>CONCATENATE(VOL_VOLUMEN_SUMINISTROS[[#This Row],[Grupo]],VOL_VOLUMEN_SUMINISTROS[[#This Row],[Proyecto]],VOL_VOLUMEN_SUMINISTROS[[#This Row],[FIN DE SEMANA]])</f>
        <v>91052-2SI</v>
      </c>
      <c r="E268" s="30" t="s">
        <v>183</v>
      </c>
      <c r="F268" s="30" t="s">
        <v>148</v>
      </c>
      <c r="G268" s="365">
        <v>9</v>
      </c>
      <c r="H268" s="30">
        <v>19</v>
      </c>
      <c r="I268" s="9" t="s">
        <v>250</v>
      </c>
      <c r="J268" s="9" t="s">
        <v>286</v>
      </c>
      <c r="K268" s="30">
        <v>3</v>
      </c>
      <c r="L268" s="9" t="s">
        <v>287</v>
      </c>
      <c r="M268" s="30" t="s">
        <v>106</v>
      </c>
      <c r="N268" s="30" t="s">
        <v>152</v>
      </c>
      <c r="O268" s="24">
        <v>0</v>
      </c>
      <c r="P268" s="24">
        <v>0</v>
      </c>
      <c r="Q268" s="24">
        <v>36</v>
      </c>
      <c r="R268" s="24">
        <v>0</v>
      </c>
      <c r="S268" s="24">
        <v>0</v>
      </c>
      <c r="T268" s="24">
        <v>36</v>
      </c>
    </row>
    <row r="269" spans="1:20">
      <c r="A269" s="9" t="s">
        <v>219</v>
      </c>
      <c r="B269" s="30" t="s">
        <v>304</v>
      </c>
      <c r="C269" s="30" t="str">
        <f>CONCATENATE(VOL_VOLUMEN_SUMINISTROS[[#This Row],[Proyecto]],VOL_VOLUMEN_SUMINISTROS[[#This Row],[J]],VOL_VOLUMEN_SUMINISTROS[[#This Row],[FIN DE SEMANA]])</f>
        <v>1052-2TNO</v>
      </c>
      <c r="D269" s="365" t="str">
        <f>CONCATENATE(VOL_VOLUMEN_SUMINISTROS[[#This Row],[Grupo]],VOL_VOLUMEN_SUMINISTROS[[#This Row],[Proyecto]],VOL_VOLUMEN_SUMINISTROS[[#This Row],[FIN DE SEMANA]])</f>
        <v>91052-2NO</v>
      </c>
      <c r="E269" s="30" t="s">
        <v>183</v>
      </c>
      <c r="F269" s="30" t="s">
        <v>148</v>
      </c>
      <c r="G269" s="365">
        <v>9</v>
      </c>
      <c r="H269" s="30">
        <v>19</v>
      </c>
      <c r="I269" s="9" t="s">
        <v>250</v>
      </c>
      <c r="J269" s="9" t="s">
        <v>286</v>
      </c>
      <c r="K269" s="30">
        <v>3</v>
      </c>
      <c r="L269" s="9" t="s">
        <v>287</v>
      </c>
      <c r="M269" s="30" t="s">
        <v>84</v>
      </c>
      <c r="N269" s="30" t="s">
        <v>155</v>
      </c>
      <c r="O269" s="24">
        <v>0</v>
      </c>
      <c r="P269" s="24">
        <v>0</v>
      </c>
      <c r="Q269" s="24">
        <v>37</v>
      </c>
      <c r="R269" s="24">
        <v>0</v>
      </c>
      <c r="S269" s="24">
        <v>0</v>
      </c>
      <c r="T269" s="24">
        <v>37</v>
      </c>
    </row>
    <row r="270" spans="1:20">
      <c r="A270" s="9" t="s">
        <v>219</v>
      </c>
      <c r="B270" s="30" t="s">
        <v>304</v>
      </c>
      <c r="C270" s="30" t="str">
        <f>CONCATENATE(VOL_VOLUMEN_SUMINISTROS[[#This Row],[Proyecto]],VOL_VOLUMEN_SUMINISTROS[[#This Row],[J]],VOL_VOLUMEN_SUMINISTROS[[#This Row],[FIN DE SEMANA]])</f>
        <v>1052-2TNO</v>
      </c>
      <c r="D270" s="365" t="str">
        <f>CONCATENATE(VOL_VOLUMEN_SUMINISTROS[[#This Row],[Grupo]],VOL_VOLUMEN_SUMINISTROS[[#This Row],[Proyecto]],VOL_VOLUMEN_SUMINISTROS[[#This Row],[FIN DE SEMANA]])</f>
        <v>91052-2NO</v>
      </c>
      <c r="E270" s="30" t="s">
        <v>183</v>
      </c>
      <c r="F270" s="30" t="s">
        <v>148</v>
      </c>
      <c r="G270" s="365">
        <v>9</v>
      </c>
      <c r="H270" s="30">
        <v>19</v>
      </c>
      <c r="I270" s="9" t="s">
        <v>250</v>
      </c>
      <c r="J270" s="9" t="s">
        <v>289</v>
      </c>
      <c r="K270" s="30">
        <v>1</v>
      </c>
      <c r="L270" s="9" t="s">
        <v>290</v>
      </c>
      <c r="M270" s="30" t="s">
        <v>84</v>
      </c>
      <c r="N270" s="30" t="s">
        <v>155</v>
      </c>
      <c r="O270" s="24">
        <v>0</v>
      </c>
      <c r="P270" s="24">
        <v>0</v>
      </c>
      <c r="Q270" s="24">
        <v>76</v>
      </c>
      <c r="R270" s="24">
        <v>0</v>
      </c>
      <c r="S270" s="24">
        <v>0</v>
      </c>
      <c r="T270" s="24">
        <v>76</v>
      </c>
    </row>
    <row r="271" spans="1:20">
      <c r="A271" s="9" t="s">
        <v>219</v>
      </c>
      <c r="B271" s="30" t="s">
        <v>304</v>
      </c>
      <c r="C271" s="30" t="str">
        <f>CONCATENATE(VOL_VOLUMEN_SUMINISTROS[[#This Row],[Proyecto]],VOL_VOLUMEN_SUMINISTROS[[#This Row],[J]],VOL_VOLUMEN_SUMINISTROS[[#This Row],[FIN DE SEMANA]])</f>
        <v>1052-2MNO</v>
      </c>
      <c r="D271" s="365" t="str">
        <f>CONCATENATE(VOL_VOLUMEN_SUMINISTROS[[#This Row],[Grupo]],VOL_VOLUMEN_SUMINISTROS[[#This Row],[Proyecto]],VOL_VOLUMEN_SUMINISTROS[[#This Row],[FIN DE SEMANA]])</f>
        <v>91052-2NO</v>
      </c>
      <c r="E271" s="30" t="s">
        <v>183</v>
      </c>
      <c r="F271" s="30" t="s">
        <v>148</v>
      </c>
      <c r="G271" s="365">
        <v>9</v>
      </c>
      <c r="H271" s="30">
        <v>6</v>
      </c>
      <c r="I271" s="9" t="s">
        <v>243</v>
      </c>
      <c r="J271" s="9" t="s">
        <v>297</v>
      </c>
      <c r="K271" s="30">
        <v>1</v>
      </c>
      <c r="L271" s="9" t="s">
        <v>298</v>
      </c>
      <c r="M271" s="30" t="s">
        <v>84</v>
      </c>
      <c r="N271" s="30" t="s">
        <v>152</v>
      </c>
      <c r="O271" s="24">
        <v>0</v>
      </c>
      <c r="P271" s="24">
        <v>0</v>
      </c>
      <c r="Q271" s="24">
        <v>200</v>
      </c>
      <c r="R271" s="24">
        <v>0</v>
      </c>
      <c r="S271" s="24">
        <v>0</v>
      </c>
      <c r="T271" s="24">
        <v>200</v>
      </c>
    </row>
    <row r="272" spans="1:20">
      <c r="A272" s="9" t="s">
        <v>219</v>
      </c>
      <c r="B272" s="30" t="s">
        <v>305</v>
      </c>
      <c r="C272" s="30" t="str">
        <f>CONCATENATE(VOL_VOLUMEN_SUMINISTROS[[#This Row],[Proyecto]],VOL_VOLUMEN_SUMINISTROS[[#This Row],[J]],VOL_VOLUMEN_SUMINISTROS[[#This Row],[FIN DE SEMANA]])</f>
        <v>1052-2MNO</v>
      </c>
      <c r="D272" s="365" t="str">
        <f>CONCATENATE(VOL_VOLUMEN_SUMINISTROS[[#This Row],[Grupo]],VOL_VOLUMEN_SUMINISTROS[[#This Row],[Proyecto]],VOL_VOLUMEN_SUMINISTROS[[#This Row],[FIN DE SEMANA]])</f>
        <v>91052-2NO</v>
      </c>
      <c r="E272" s="30" t="s">
        <v>183</v>
      </c>
      <c r="F272" s="30" t="s">
        <v>148</v>
      </c>
      <c r="G272" s="365">
        <v>9</v>
      </c>
      <c r="H272" s="30">
        <v>19</v>
      </c>
      <c r="I272" s="9" t="s">
        <v>250</v>
      </c>
      <c r="J272" s="9" t="s">
        <v>284</v>
      </c>
      <c r="K272" s="30">
        <v>1</v>
      </c>
      <c r="L272" s="9" t="s">
        <v>285</v>
      </c>
      <c r="M272" s="30" t="s">
        <v>84</v>
      </c>
      <c r="N272" s="30" t="s">
        <v>152</v>
      </c>
      <c r="O272" s="24">
        <v>75</v>
      </c>
      <c r="P272" s="24">
        <v>0</v>
      </c>
      <c r="Q272" s="24">
        <v>0</v>
      </c>
      <c r="R272" s="24">
        <v>0</v>
      </c>
      <c r="S272" s="24">
        <v>0</v>
      </c>
      <c r="T272" s="24">
        <v>75</v>
      </c>
    </row>
    <row r="273" spans="1:20">
      <c r="A273" s="9" t="s">
        <v>219</v>
      </c>
      <c r="B273" s="30" t="s">
        <v>305</v>
      </c>
      <c r="C273" s="30" t="str">
        <f>CONCATENATE(VOL_VOLUMEN_SUMINISTROS[[#This Row],[Proyecto]],VOL_VOLUMEN_SUMINISTROS[[#This Row],[J]],VOL_VOLUMEN_SUMINISTROS[[#This Row],[FIN DE SEMANA]])</f>
        <v>1052-2TNO</v>
      </c>
      <c r="D273" s="365" t="str">
        <f>CONCATENATE(VOL_VOLUMEN_SUMINISTROS[[#This Row],[Grupo]],VOL_VOLUMEN_SUMINISTROS[[#This Row],[Proyecto]],VOL_VOLUMEN_SUMINISTROS[[#This Row],[FIN DE SEMANA]])</f>
        <v>91052-2NO</v>
      </c>
      <c r="E273" s="30" t="s">
        <v>183</v>
      </c>
      <c r="F273" s="30" t="s">
        <v>148</v>
      </c>
      <c r="G273" s="365">
        <v>9</v>
      </c>
      <c r="H273" s="30">
        <v>19</v>
      </c>
      <c r="I273" s="9" t="s">
        <v>250</v>
      </c>
      <c r="J273" s="9" t="s">
        <v>289</v>
      </c>
      <c r="K273" s="30">
        <v>1</v>
      </c>
      <c r="L273" s="9" t="s">
        <v>290</v>
      </c>
      <c r="M273" s="30" t="s">
        <v>84</v>
      </c>
      <c r="N273" s="30" t="s">
        <v>155</v>
      </c>
      <c r="O273" s="24">
        <v>55</v>
      </c>
      <c r="P273" s="24">
        <v>0</v>
      </c>
      <c r="Q273" s="24">
        <v>0</v>
      </c>
      <c r="R273" s="24">
        <v>0</v>
      </c>
      <c r="S273" s="24">
        <v>0</v>
      </c>
      <c r="T273" s="24">
        <v>55</v>
      </c>
    </row>
    <row r="274" spans="1:20">
      <c r="A274" s="9" t="s">
        <v>219</v>
      </c>
      <c r="B274" s="30" t="s">
        <v>305</v>
      </c>
      <c r="C274" s="30" t="str">
        <f>CONCATENATE(VOL_VOLUMEN_SUMINISTROS[[#This Row],[Proyecto]],VOL_VOLUMEN_SUMINISTROS[[#This Row],[J]],VOL_VOLUMEN_SUMINISTROS[[#This Row],[FIN DE SEMANA]])</f>
        <v>1052-2MNO</v>
      </c>
      <c r="D274" s="365" t="str">
        <f>CONCATENATE(VOL_VOLUMEN_SUMINISTROS[[#This Row],[Grupo]],VOL_VOLUMEN_SUMINISTROS[[#This Row],[Proyecto]],VOL_VOLUMEN_SUMINISTROS[[#This Row],[FIN DE SEMANA]])</f>
        <v>91052-2NO</v>
      </c>
      <c r="E274" s="30" t="s">
        <v>183</v>
      </c>
      <c r="F274" s="30" t="s">
        <v>148</v>
      </c>
      <c r="G274" s="365">
        <v>9</v>
      </c>
      <c r="H274" s="30">
        <v>6</v>
      </c>
      <c r="I274" s="9" t="s">
        <v>243</v>
      </c>
      <c r="J274" s="9" t="s">
        <v>280</v>
      </c>
      <c r="K274" s="30">
        <v>1</v>
      </c>
      <c r="L274" s="9" t="s">
        <v>281</v>
      </c>
      <c r="M274" s="30" t="s">
        <v>84</v>
      </c>
      <c r="N274" s="30" t="s">
        <v>152</v>
      </c>
      <c r="O274" s="24">
        <v>89</v>
      </c>
      <c r="P274" s="24">
        <v>0</v>
      </c>
      <c r="Q274" s="24">
        <v>0</v>
      </c>
      <c r="R274" s="24">
        <v>0</v>
      </c>
      <c r="S274" s="24">
        <v>0</v>
      </c>
      <c r="T274" s="24">
        <v>89</v>
      </c>
    </row>
    <row r="275" spans="1:20">
      <c r="A275" s="9" t="s">
        <v>219</v>
      </c>
      <c r="B275" s="30" t="s">
        <v>305</v>
      </c>
      <c r="C275" s="30" t="str">
        <f>CONCATENATE(VOL_VOLUMEN_SUMINISTROS[[#This Row],[Proyecto]],VOL_VOLUMEN_SUMINISTROS[[#This Row],[J]],VOL_VOLUMEN_SUMINISTROS[[#This Row],[FIN DE SEMANA]])</f>
        <v>1052-2TNO</v>
      </c>
      <c r="D275" s="365" t="str">
        <f>CONCATENATE(VOL_VOLUMEN_SUMINISTROS[[#This Row],[Grupo]],VOL_VOLUMEN_SUMINISTROS[[#This Row],[Proyecto]],VOL_VOLUMEN_SUMINISTROS[[#This Row],[FIN DE SEMANA]])</f>
        <v>91052-2NO</v>
      </c>
      <c r="E275" s="30" t="s">
        <v>183</v>
      </c>
      <c r="F275" s="30" t="s">
        <v>148</v>
      </c>
      <c r="G275" s="365">
        <v>9</v>
      </c>
      <c r="H275" s="30">
        <v>6</v>
      </c>
      <c r="I275" s="9" t="s">
        <v>243</v>
      </c>
      <c r="J275" s="9" t="s">
        <v>280</v>
      </c>
      <c r="K275" s="30">
        <v>1</v>
      </c>
      <c r="L275" s="9" t="s">
        <v>281</v>
      </c>
      <c r="M275" s="30" t="s">
        <v>84</v>
      </c>
      <c r="N275" s="30" t="s">
        <v>155</v>
      </c>
      <c r="O275" s="24">
        <v>94</v>
      </c>
      <c r="P275" s="24">
        <v>0</v>
      </c>
      <c r="Q275" s="24">
        <v>0</v>
      </c>
      <c r="R275" s="24">
        <v>0</v>
      </c>
      <c r="S275" s="24">
        <v>0</v>
      </c>
      <c r="T275" s="24">
        <v>94</v>
      </c>
    </row>
    <row r="276" spans="1:20">
      <c r="A276" s="9" t="s">
        <v>219</v>
      </c>
      <c r="B276" s="30" t="s">
        <v>305</v>
      </c>
      <c r="C276" s="30" t="str">
        <f>CONCATENATE(VOL_VOLUMEN_SUMINISTROS[[#This Row],[Proyecto]],VOL_VOLUMEN_SUMINISTROS[[#This Row],[J]],VOL_VOLUMEN_SUMINISTROS[[#This Row],[FIN DE SEMANA]])</f>
        <v>1052-2MNO</v>
      </c>
      <c r="D276" s="365" t="str">
        <f>CONCATENATE(VOL_VOLUMEN_SUMINISTROS[[#This Row],[Grupo]],VOL_VOLUMEN_SUMINISTROS[[#This Row],[Proyecto]],VOL_VOLUMEN_SUMINISTROS[[#This Row],[FIN DE SEMANA]])</f>
        <v>91052-2NO</v>
      </c>
      <c r="E276" s="30" t="s">
        <v>183</v>
      </c>
      <c r="F276" s="30" t="s">
        <v>148</v>
      </c>
      <c r="G276" s="365">
        <v>9</v>
      </c>
      <c r="H276" s="30">
        <v>6</v>
      </c>
      <c r="I276" s="9" t="s">
        <v>243</v>
      </c>
      <c r="J276" s="9" t="s">
        <v>246</v>
      </c>
      <c r="K276" s="30">
        <v>2</v>
      </c>
      <c r="L276" s="9" t="s">
        <v>248</v>
      </c>
      <c r="M276" s="30" t="s">
        <v>84</v>
      </c>
      <c r="N276" s="30" t="s">
        <v>152</v>
      </c>
      <c r="O276" s="24">
        <v>160</v>
      </c>
      <c r="P276" s="24">
        <v>0</v>
      </c>
      <c r="Q276" s="24">
        <v>0</v>
      </c>
      <c r="R276" s="24">
        <v>0</v>
      </c>
      <c r="S276" s="24">
        <v>0</v>
      </c>
      <c r="T276" s="24">
        <v>160</v>
      </c>
    </row>
    <row r="277" spans="1:20">
      <c r="A277" s="9" t="s">
        <v>306</v>
      </c>
      <c r="B277" s="30" t="s">
        <v>307</v>
      </c>
      <c r="C277" s="30" t="str">
        <f>CONCATENATE(VOL_VOLUMEN_SUMINISTROS[[#This Row],[Proyecto]],VOL_VOLUMEN_SUMINISTROS[[#This Row],[J]],VOL_VOLUMEN_SUMINISTROS[[#This Row],[FIN DE SEMANA]])</f>
        <v>1052-1MNO</v>
      </c>
      <c r="D277" s="365" t="str">
        <f>CONCATENATE(VOL_VOLUMEN_SUMINISTROS[[#This Row],[Grupo]],VOL_VOLUMEN_SUMINISTROS[[#This Row],[Proyecto]],VOL_VOLUMEN_SUMINISTROS[[#This Row],[FIN DE SEMANA]])</f>
        <v>241052-1NO</v>
      </c>
      <c r="E277" s="30" t="s">
        <v>147</v>
      </c>
      <c r="F277" s="30" t="s">
        <v>148</v>
      </c>
      <c r="G277" s="365">
        <v>24</v>
      </c>
      <c r="H277" s="30">
        <v>18</v>
      </c>
      <c r="I277" s="9" t="s">
        <v>308</v>
      </c>
      <c r="J277" s="9" t="s">
        <v>309</v>
      </c>
      <c r="K277" s="30">
        <v>1</v>
      </c>
      <c r="L277" s="9" t="s">
        <v>310</v>
      </c>
      <c r="M277" s="30" t="s">
        <v>84</v>
      </c>
      <c r="N277" s="30" t="s">
        <v>152</v>
      </c>
      <c r="O277" s="24">
        <v>0</v>
      </c>
      <c r="P277" s="24">
        <v>249</v>
      </c>
      <c r="Q277" s="24">
        <v>583</v>
      </c>
      <c r="R277" s="24">
        <v>0</v>
      </c>
      <c r="S277" s="24">
        <v>0</v>
      </c>
      <c r="T277" s="24">
        <v>832</v>
      </c>
    </row>
    <row r="278" spans="1:20">
      <c r="A278" s="9" t="s">
        <v>306</v>
      </c>
      <c r="B278" s="30" t="s">
        <v>307</v>
      </c>
      <c r="C278" s="30" t="str">
        <f>CONCATENATE(VOL_VOLUMEN_SUMINISTROS[[#This Row],[Proyecto]],VOL_VOLUMEN_SUMINISTROS[[#This Row],[J]],VOL_VOLUMEN_SUMINISTROS[[#This Row],[FIN DE SEMANA]])</f>
        <v>1052-1NNO</v>
      </c>
      <c r="D278" s="365" t="str">
        <f>CONCATENATE(VOL_VOLUMEN_SUMINISTROS[[#This Row],[Grupo]],VOL_VOLUMEN_SUMINISTROS[[#This Row],[Proyecto]],VOL_VOLUMEN_SUMINISTROS[[#This Row],[FIN DE SEMANA]])</f>
        <v>241052-1NO</v>
      </c>
      <c r="E278" s="30" t="s">
        <v>147</v>
      </c>
      <c r="F278" s="30" t="s">
        <v>148</v>
      </c>
      <c r="G278" s="365">
        <v>24</v>
      </c>
      <c r="H278" s="30">
        <v>18</v>
      </c>
      <c r="I278" s="9" t="s">
        <v>308</v>
      </c>
      <c r="J278" s="9" t="s">
        <v>309</v>
      </c>
      <c r="K278" s="30">
        <v>1</v>
      </c>
      <c r="L278" s="9" t="s">
        <v>310</v>
      </c>
      <c r="M278" s="30" t="s">
        <v>84</v>
      </c>
      <c r="N278" s="30" t="s">
        <v>154</v>
      </c>
      <c r="O278" s="24">
        <v>0</v>
      </c>
      <c r="P278" s="24">
        <v>0</v>
      </c>
      <c r="Q278" s="24">
        <v>0</v>
      </c>
      <c r="R278" s="24">
        <v>90</v>
      </c>
      <c r="S278" s="24">
        <v>63</v>
      </c>
      <c r="T278" s="24">
        <v>153</v>
      </c>
    </row>
    <row r="279" spans="1:20">
      <c r="A279" s="9" t="s">
        <v>306</v>
      </c>
      <c r="B279" s="30" t="s">
        <v>307</v>
      </c>
      <c r="C279" s="30" t="str">
        <f>CONCATENATE(VOL_VOLUMEN_SUMINISTROS[[#This Row],[Proyecto]],VOL_VOLUMEN_SUMINISTROS[[#This Row],[J]],VOL_VOLUMEN_SUMINISTROS[[#This Row],[FIN DE SEMANA]])</f>
        <v>1052-1TNO</v>
      </c>
      <c r="D279" s="365" t="str">
        <f>CONCATENATE(VOL_VOLUMEN_SUMINISTROS[[#This Row],[Grupo]],VOL_VOLUMEN_SUMINISTROS[[#This Row],[Proyecto]],VOL_VOLUMEN_SUMINISTROS[[#This Row],[FIN DE SEMANA]])</f>
        <v>241052-1NO</v>
      </c>
      <c r="E279" s="30" t="s">
        <v>147</v>
      </c>
      <c r="F279" s="30" t="s">
        <v>148</v>
      </c>
      <c r="G279" s="365">
        <v>24</v>
      </c>
      <c r="H279" s="30">
        <v>18</v>
      </c>
      <c r="I279" s="9" t="s">
        <v>308</v>
      </c>
      <c r="J279" s="9" t="s">
        <v>309</v>
      </c>
      <c r="K279" s="30">
        <v>1</v>
      </c>
      <c r="L279" s="9" t="s">
        <v>310</v>
      </c>
      <c r="M279" s="30" t="s">
        <v>84</v>
      </c>
      <c r="N279" s="30" t="s">
        <v>155</v>
      </c>
      <c r="O279" s="24">
        <v>0</v>
      </c>
      <c r="P279" s="24">
        <v>222</v>
      </c>
      <c r="Q279" s="24">
        <v>199</v>
      </c>
      <c r="R279" s="24">
        <v>0</v>
      </c>
      <c r="S279" s="24">
        <v>0</v>
      </c>
      <c r="T279" s="24">
        <v>421</v>
      </c>
    </row>
    <row r="280" spans="1:20">
      <c r="A280" s="9" t="s">
        <v>306</v>
      </c>
      <c r="B280" s="30" t="s">
        <v>307</v>
      </c>
      <c r="C280" s="30" t="str">
        <f>CONCATENATE(VOL_VOLUMEN_SUMINISTROS[[#This Row],[Proyecto]],VOL_VOLUMEN_SUMINISTROS[[#This Row],[J]],VOL_VOLUMEN_SUMINISTROS[[#This Row],[FIN DE SEMANA]])</f>
        <v>1052-1MNO</v>
      </c>
      <c r="D280" s="365" t="str">
        <f>CONCATENATE(VOL_VOLUMEN_SUMINISTROS[[#This Row],[Grupo]],VOL_VOLUMEN_SUMINISTROS[[#This Row],[Proyecto]],VOL_VOLUMEN_SUMINISTROS[[#This Row],[FIN DE SEMANA]])</f>
        <v>241052-1NO</v>
      </c>
      <c r="E280" s="30" t="s">
        <v>147</v>
      </c>
      <c r="F280" s="30" t="s">
        <v>148</v>
      </c>
      <c r="G280" s="365">
        <v>24</v>
      </c>
      <c r="H280" s="30">
        <v>18</v>
      </c>
      <c r="I280" s="9" t="s">
        <v>308</v>
      </c>
      <c r="J280" s="9" t="s">
        <v>309</v>
      </c>
      <c r="K280" s="30">
        <v>2</v>
      </c>
      <c r="L280" s="9" t="s">
        <v>311</v>
      </c>
      <c r="M280" s="30" t="s">
        <v>84</v>
      </c>
      <c r="N280" s="30" t="s">
        <v>152</v>
      </c>
      <c r="O280" s="24">
        <v>180</v>
      </c>
      <c r="P280" s="24">
        <v>162</v>
      </c>
      <c r="Q280" s="24">
        <v>24</v>
      </c>
      <c r="R280" s="24">
        <v>0</v>
      </c>
      <c r="S280" s="24">
        <v>0</v>
      </c>
      <c r="T280" s="24">
        <v>366</v>
      </c>
    </row>
    <row r="281" spans="1:20">
      <c r="A281" s="9" t="s">
        <v>306</v>
      </c>
      <c r="B281" s="30" t="s">
        <v>307</v>
      </c>
      <c r="C281" s="30" t="str">
        <f>CONCATENATE(VOL_VOLUMEN_SUMINISTROS[[#This Row],[Proyecto]],VOL_VOLUMEN_SUMINISTROS[[#This Row],[J]],VOL_VOLUMEN_SUMINISTROS[[#This Row],[FIN DE SEMANA]])</f>
        <v>1052-1TNO</v>
      </c>
      <c r="D281" s="365" t="str">
        <f>CONCATENATE(VOL_VOLUMEN_SUMINISTROS[[#This Row],[Grupo]],VOL_VOLUMEN_SUMINISTROS[[#This Row],[Proyecto]],VOL_VOLUMEN_SUMINISTROS[[#This Row],[FIN DE SEMANA]])</f>
        <v>241052-1NO</v>
      </c>
      <c r="E281" s="30" t="s">
        <v>147</v>
      </c>
      <c r="F281" s="30" t="s">
        <v>148</v>
      </c>
      <c r="G281" s="365">
        <v>24</v>
      </c>
      <c r="H281" s="30">
        <v>18</v>
      </c>
      <c r="I281" s="9" t="s">
        <v>308</v>
      </c>
      <c r="J281" s="9" t="s">
        <v>309</v>
      </c>
      <c r="K281" s="30">
        <v>2</v>
      </c>
      <c r="L281" s="9" t="s">
        <v>311</v>
      </c>
      <c r="M281" s="30" t="s">
        <v>84</v>
      </c>
      <c r="N281" s="30" t="s">
        <v>155</v>
      </c>
      <c r="O281" s="24">
        <v>160</v>
      </c>
      <c r="P281" s="24">
        <v>155</v>
      </c>
      <c r="Q281" s="24">
        <v>25</v>
      </c>
      <c r="R281" s="24">
        <v>0</v>
      </c>
      <c r="S281" s="24">
        <v>0</v>
      </c>
      <c r="T281" s="24">
        <v>340</v>
      </c>
    </row>
    <row r="282" spans="1:20">
      <c r="A282" s="9" t="s">
        <v>306</v>
      </c>
      <c r="B282" s="30" t="s">
        <v>307</v>
      </c>
      <c r="C282" s="30" t="str">
        <f>CONCATENATE(VOL_VOLUMEN_SUMINISTROS[[#This Row],[Proyecto]],VOL_VOLUMEN_SUMINISTROS[[#This Row],[J]],VOL_VOLUMEN_SUMINISTROS[[#This Row],[FIN DE SEMANA]])</f>
        <v>1052-1MNO</v>
      </c>
      <c r="D282" s="365" t="str">
        <f>CONCATENATE(VOL_VOLUMEN_SUMINISTROS[[#This Row],[Grupo]],VOL_VOLUMEN_SUMINISTROS[[#This Row],[Proyecto]],VOL_VOLUMEN_SUMINISTROS[[#This Row],[FIN DE SEMANA]])</f>
        <v>241052-1NO</v>
      </c>
      <c r="E282" s="30" t="s">
        <v>147</v>
      </c>
      <c r="F282" s="30" t="s">
        <v>148</v>
      </c>
      <c r="G282" s="365">
        <v>24</v>
      </c>
      <c r="H282" s="30">
        <v>18</v>
      </c>
      <c r="I282" s="9" t="s">
        <v>308</v>
      </c>
      <c r="J282" s="9" t="s">
        <v>309</v>
      </c>
      <c r="K282" s="30">
        <v>4</v>
      </c>
      <c r="L282" s="9" t="s">
        <v>226</v>
      </c>
      <c r="M282" s="30" t="s">
        <v>84</v>
      </c>
      <c r="N282" s="30" t="s">
        <v>152</v>
      </c>
      <c r="O282" s="24">
        <v>228</v>
      </c>
      <c r="P282" s="24">
        <v>31</v>
      </c>
      <c r="Q282" s="24">
        <v>0</v>
      </c>
      <c r="R282" s="24">
        <v>0</v>
      </c>
      <c r="S282" s="24">
        <v>0</v>
      </c>
      <c r="T282" s="24">
        <v>259</v>
      </c>
    </row>
    <row r="283" spans="1:20">
      <c r="A283" s="9" t="s">
        <v>306</v>
      </c>
      <c r="B283" s="30" t="s">
        <v>307</v>
      </c>
      <c r="C283" s="30" t="str">
        <f>CONCATENATE(VOL_VOLUMEN_SUMINISTROS[[#This Row],[Proyecto]],VOL_VOLUMEN_SUMINISTROS[[#This Row],[J]],VOL_VOLUMEN_SUMINISTROS[[#This Row],[FIN DE SEMANA]])</f>
        <v>1052-1TNO</v>
      </c>
      <c r="D283" s="365" t="str">
        <f>CONCATENATE(VOL_VOLUMEN_SUMINISTROS[[#This Row],[Grupo]],VOL_VOLUMEN_SUMINISTROS[[#This Row],[Proyecto]],VOL_VOLUMEN_SUMINISTROS[[#This Row],[FIN DE SEMANA]])</f>
        <v>241052-1NO</v>
      </c>
      <c r="E283" s="30" t="s">
        <v>147</v>
      </c>
      <c r="F283" s="30" t="s">
        <v>148</v>
      </c>
      <c r="G283" s="365">
        <v>24</v>
      </c>
      <c r="H283" s="30">
        <v>18</v>
      </c>
      <c r="I283" s="9" t="s">
        <v>308</v>
      </c>
      <c r="J283" s="9" t="s">
        <v>309</v>
      </c>
      <c r="K283" s="30">
        <v>4</v>
      </c>
      <c r="L283" s="9" t="s">
        <v>226</v>
      </c>
      <c r="M283" s="30" t="s">
        <v>84</v>
      </c>
      <c r="N283" s="30" t="s">
        <v>155</v>
      </c>
      <c r="O283" s="24">
        <v>226</v>
      </c>
      <c r="P283" s="24">
        <v>11</v>
      </c>
      <c r="Q283" s="24">
        <v>0</v>
      </c>
      <c r="R283" s="24">
        <v>0</v>
      </c>
      <c r="S283" s="24">
        <v>0</v>
      </c>
      <c r="T283" s="24">
        <v>237</v>
      </c>
    </row>
    <row r="284" spans="1:20">
      <c r="A284" s="9" t="s">
        <v>306</v>
      </c>
      <c r="B284" s="30" t="s">
        <v>307</v>
      </c>
      <c r="C284" s="30" t="str">
        <f>CONCATENATE(VOL_VOLUMEN_SUMINISTROS[[#This Row],[Proyecto]],VOL_VOLUMEN_SUMINISTROS[[#This Row],[J]],VOL_VOLUMEN_SUMINISTROS[[#This Row],[FIN DE SEMANA]])</f>
        <v>1052-1MNO</v>
      </c>
      <c r="D284" s="365" t="str">
        <f>CONCATENATE(VOL_VOLUMEN_SUMINISTROS[[#This Row],[Grupo]],VOL_VOLUMEN_SUMINISTROS[[#This Row],[Proyecto]],VOL_VOLUMEN_SUMINISTROS[[#This Row],[FIN DE SEMANA]])</f>
        <v>241052-1NO</v>
      </c>
      <c r="E284" s="30" t="s">
        <v>147</v>
      </c>
      <c r="F284" s="30" t="s">
        <v>148</v>
      </c>
      <c r="G284" s="365">
        <v>24</v>
      </c>
      <c r="H284" s="30">
        <v>18</v>
      </c>
      <c r="I284" s="9" t="s">
        <v>308</v>
      </c>
      <c r="J284" s="9" t="s">
        <v>312</v>
      </c>
      <c r="K284" s="30">
        <v>1</v>
      </c>
      <c r="L284" s="9" t="s">
        <v>313</v>
      </c>
      <c r="M284" s="30" t="s">
        <v>84</v>
      </c>
      <c r="N284" s="30" t="s">
        <v>152</v>
      </c>
      <c r="O284" s="24">
        <v>635</v>
      </c>
      <c r="P284" s="24">
        <v>868</v>
      </c>
      <c r="Q284" s="24">
        <v>1016</v>
      </c>
      <c r="R284" s="24">
        <v>0</v>
      </c>
      <c r="S284" s="24">
        <v>0</v>
      </c>
      <c r="T284" s="24">
        <v>2519</v>
      </c>
    </row>
    <row r="285" spans="1:20">
      <c r="A285" s="9" t="s">
        <v>306</v>
      </c>
      <c r="B285" s="30" t="s">
        <v>307</v>
      </c>
      <c r="C285" s="30" t="str">
        <f>CONCATENATE(VOL_VOLUMEN_SUMINISTROS[[#This Row],[Proyecto]],VOL_VOLUMEN_SUMINISTROS[[#This Row],[J]],VOL_VOLUMEN_SUMINISTROS[[#This Row],[FIN DE SEMANA]])</f>
        <v>1052-1NNO</v>
      </c>
      <c r="D285" s="365" t="str">
        <f>CONCATENATE(VOL_VOLUMEN_SUMINISTROS[[#This Row],[Grupo]],VOL_VOLUMEN_SUMINISTROS[[#This Row],[Proyecto]],VOL_VOLUMEN_SUMINISTROS[[#This Row],[FIN DE SEMANA]])</f>
        <v>241052-1NO</v>
      </c>
      <c r="E285" s="30" t="s">
        <v>147</v>
      </c>
      <c r="F285" s="30" t="s">
        <v>148</v>
      </c>
      <c r="G285" s="365">
        <v>24</v>
      </c>
      <c r="H285" s="30">
        <v>18</v>
      </c>
      <c r="I285" s="9" t="s">
        <v>308</v>
      </c>
      <c r="J285" s="9" t="s">
        <v>312</v>
      </c>
      <c r="K285" s="30">
        <v>1</v>
      </c>
      <c r="L285" s="9" t="s">
        <v>313</v>
      </c>
      <c r="M285" s="30" t="s">
        <v>84</v>
      </c>
      <c r="N285" s="30" t="s">
        <v>154</v>
      </c>
      <c r="O285" s="24">
        <v>0</v>
      </c>
      <c r="P285" s="24">
        <v>0</v>
      </c>
      <c r="Q285" s="24">
        <v>0</v>
      </c>
      <c r="R285" s="24">
        <v>252</v>
      </c>
      <c r="S285" s="24">
        <v>0</v>
      </c>
      <c r="T285" s="24">
        <v>252</v>
      </c>
    </row>
    <row r="286" spans="1:20">
      <c r="A286" s="9" t="s">
        <v>306</v>
      </c>
      <c r="B286" s="30" t="s">
        <v>307</v>
      </c>
      <c r="C286" s="30" t="str">
        <f>CONCATENATE(VOL_VOLUMEN_SUMINISTROS[[#This Row],[Proyecto]],VOL_VOLUMEN_SUMINISTROS[[#This Row],[J]],VOL_VOLUMEN_SUMINISTROS[[#This Row],[FIN DE SEMANA]])</f>
        <v>1052-1TNO</v>
      </c>
      <c r="D286" s="365" t="str">
        <f>CONCATENATE(VOL_VOLUMEN_SUMINISTROS[[#This Row],[Grupo]],VOL_VOLUMEN_SUMINISTROS[[#This Row],[Proyecto]],VOL_VOLUMEN_SUMINISTROS[[#This Row],[FIN DE SEMANA]])</f>
        <v>241052-1NO</v>
      </c>
      <c r="E286" s="30" t="s">
        <v>147</v>
      </c>
      <c r="F286" s="30" t="s">
        <v>148</v>
      </c>
      <c r="G286" s="365">
        <v>24</v>
      </c>
      <c r="H286" s="30">
        <v>18</v>
      </c>
      <c r="I286" s="9" t="s">
        <v>308</v>
      </c>
      <c r="J286" s="9" t="s">
        <v>312</v>
      </c>
      <c r="K286" s="30">
        <v>1</v>
      </c>
      <c r="L286" s="9" t="s">
        <v>313</v>
      </c>
      <c r="M286" s="30" t="s">
        <v>84</v>
      </c>
      <c r="N286" s="30" t="s">
        <v>155</v>
      </c>
      <c r="O286" s="24">
        <v>598</v>
      </c>
      <c r="P286" s="24">
        <v>855</v>
      </c>
      <c r="Q286" s="24">
        <v>947</v>
      </c>
      <c r="R286" s="24">
        <v>0</v>
      </c>
      <c r="S286" s="24">
        <v>0</v>
      </c>
      <c r="T286" s="24">
        <v>2400</v>
      </c>
    </row>
    <row r="287" spans="1:20">
      <c r="A287" s="9" t="s">
        <v>306</v>
      </c>
      <c r="B287" s="30" t="s">
        <v>307</v>
      </c>
      <c r="C287" s="30" t="str">
        <f>CONCATENATE(VOL_VOLUMEN_SUMINISTROS[[#This Row],[Proyecto]],VOL_VOLUMEN_SUMINISTROS[[#This Row],[J]],VOL_VOLUMEN_SUMINISTROS[[#This Row],[FIN DE SEMANA]])</f>
        <v>1052-1MNO</v>
      </c>
      <c r="D287" s="365" t="str">
        <f>CONCATENATE(VOL_VOLUMEN_SUMINISTROS[[#This Row],[Grupo]],VOL_VOLUMEN_SUMINISTROS[[#This Row],[Proyecto]],VOL_VOLUMEN_SUMINISTROS[[#This Row],[FIN DE SEMANA]])</f>
        <v>241052-1NO</v>
      </c>
      <c r="E287" s="30" t="s">
        <v>147</v>
      </c>
      <c r="F287" s="30" t="s">
        <v>148</v>
      </c>
      <c r="G287" s="365">
        <v>24</v>
      </c>
      <c r="H287" s="30">
        <v>18</v>
      </c>
      <c r="I287" s="9" t="s">
        <v>308</v>
      </c>
      <c r="J287" s="9" t="s">
        <v>314</v>
      </c>
      <c r="K287" s="30">
        <v>1</v>
      </c>
      <c r="L287" s="9" t="s">
        <v>315</v>
      </c>
      <c r="M287" s="30" t="s">
        <v>84</v>
      </c>
      <c r="N287" s="30" t="s">
        <v>152</v>
      </c>
      <c r="O287" s="24">
        <v>288</v>
      </c>
      <c r="P287" s="24">
        <v>472</v>
      </c>
      <c r="Q287" s="24">
        <v>627</v>
      </c>
      <c r="R287" s="24">
        <v>0</v>
      </c>
      <c r="S287" s="24">
        <v>0</v>
      </c>
      <c r="T287" s="24">
        <v>1387</v>
      </c>
    </row>
    <row r="288" spans="1:20">
      <c r="A288" s="9" t="s">
        <v>306</v>
      </c>
      <c r="B288" s="30" t="s">
        <v>307</v>
      </c>
      <c r="C288" s="30" t="str">
        <f>CONCATENATE(VOL_VOLUMEN_SUMINISTROS[[#This Row],[Proyecto]],VOL_VOLUMEN_SUMINISTROS[[#This Row],[J]],VOL_VOLUMEN_SUMINISTROS[[#This Row],[FIN DE SEMANA]])</f>
        <v>1052-1TNO</v>
      </c>
      <c r="D288" s="365" t="str">
        <f>CONCATENATE(VOL_VOLUMEN_SUMINISTROS[[#This Row],[Grupo]],VOL_VOLUMEN_SUMINISTROS[[#This Row],[Proyecto]],VOL_VOLUMEN_SUMINISTROS[[#This Row],[FIN DE SEMANA]])</f>
        <v>241052-1NO</v>
      </c>
      <c r="E288" s="30" t="s">
        <v>147</v>
      </c>
      <c r="F288" s="30" t="s">
        <v>148</v>
      </c>
      <c r="G288" s="365">
        <v>24</v>
      </c>
      <c r="H288" s="30">
        <v>18</v>
      </c>
      <c r="I288" s="9" t="s">
        <v>308</v>
      </c>
      <c r="J288" s="9" t="s">
        <v>314</v>
      </c>
      <c r="K288" s="30">
        <v>1</v>
      </c>
      <c r="L288" s="9" t="s">
        <v>315</v>
      </c>
      <c r="M288" s="30" t="s">
        <v>84</v>
      </c>
      <c r="N288" s="30" t="s">
        <v>155</v>
      </c>
      <c r="O288" s="24">
        <v>283</v>
      </c>
      <c r="P288" s="24">
        <v>471</v>
      </c>
      <c r="Q288" s="24">
        <v>512</v>
      </c>
      <c r="R288" s="24">
        <v>0</v>
      </c>
      <c r="S288" s="24">
        <v>0</v>
      </c>
      <c r="T288" s="24">
        <v>1266</v>
      </c>
    </row>
    <row r="289" spans="1:20">
      <c r="A289" s="9" t="s">
        <v>306</v>
      </c>
      <c r="B289" s="30" t="s">
        <v>307</v>
      </c>
      <c r="C289" s="30" t="str">
        <f>CONCATENATE(VOL_VOLUMEN_SUMINISTROS[[#This Row],[Proyecto]],VOL_VOLUMEN_SUMINISTROS[[#This Row],[J]],VOL_VOLUMEN_SUMINISTROS[[#This Row],[FIN DE SEMANA]])</f>
        <v>1052-1TNO</v>
      </c>
      <c r="D289" s="365" t="str">
        <f>CONCATENATE(VOL_VOLUMEN_SUMINISTROS[[#This Row],[Grupo]],VOL_VOLUMEN_SUMINISTROS[[#This Row],[Proyecto]],VOL_VOLUMEN_SUMINISTROS[[#This Row],[FIN DE SEMANA]])</f>
        <v>241052-1NO</v>
      </c>
      <c r="E289" s="30" t="s">
        <v>147</v>
      </c>
      <c r="F289" s="30" t="s">
        <v>148</v>
      </c>
      <c r="G289" s="365">
        <v>24</v>
      </c>
      <c r="H289" s="30">
        <v>18</v>
      </c>
      <c r="I289" s="9" t="s">
        <v>308</v>
      </c>
      <c r="J289" s="9" t="s">
        <v>314</v>
      </c>
      <c r="K289" s="30">
        <v>2</v>
      </c>
      <c r="L289" s="9" t="s">
        <v>316</v>
      </c>
      <c r="M289" s="30" t="s">
        <v>84</v>
      </c>
      <c r="N289" s="30" t="s">
        <v>155</v>
      </c>
      <c r="O289" s="24">
        <v>135</v>
      </c>
      <c r="P289" s="24">
        <v>136</v>
      </c>
      <c r="Q289" s="24">
        <v>27</v>
      </c>
      <c r="R289" s="24">
        <v>0</v>
      </c>
      <c r="S289" s="24">
        <v>0</v>
      </c>
      <c r="T289" s="24">
        <v>298</v>
      </c>
    </row>
    <row r="290" spans="1:20">
      <c r="A290" s="9" t="s">
        <v>306</v>
      </c>
      <c r="B290" s="30" t="s">
        <v>307</v>
      </c>
      <c r="C290" s="30" t="str">
        <f>CONCATENATE(VOL_VOLUMEN_SUMINISTROS[[#This Row],[Proyecto]],VOL_VOLUMEN_SUMINISTROS[[#This Row],[J]],VOL_VOLUMEN_SUMINISTROS[[#This Row],[FIN DE SEMANA]])</f>
        <v>1052-1MNO</v>
      </c>
      <c r="D290" s="365" t="str">
        <f>CONCATENATE(VOL_VOLUMEN_SUMINISTROS[[#This Row],[Grupo]],VOL_VOLUMEN_SUMINISTROS[[#This Row],[Proyecto]],VOL_VOLUMEN_SUMINISTROS[[#This Row],[FIN DE SEMANA]])</f>
        <v>241052-1NO</v>
      </c>
      <c r="E290" s="30" t="s">
        <v>147</v>
      </c>
      <c r="F290" s="30" t="s">
        <v>148</v>
      </c>
      <c r="G290" s="365">
        <v>24</v>
      </c>
      <c r="H290" s="30">
        <v>18</v>
      </c>
      <c r="I290" s="9" t="s">
        <v>308</v>
      </c>
      <c r="J290" s="9" t="s">
        <v>317</v>
      </c>
      <c r="K290" s="30">
        <v>1</v>
      </c>
      <c r="L290" s="9" t="s">
        <v>318</v>
      </c>
      <c r="M290" s="30" t="s">
        <v>84</v>
      </c>
      <c r="N290" s="30" t="s">
        <v>152</v>
      </c>
      <c r="O290" s="24">
        <v>295</v>
      </c>
      <c r="P290" s="24">
        <v>397</v>
      </c>
      <c r="Q290" s="24">
        <v>475</v>
      </c>
      <c r="R290" s="24">
        <v>0</v>
      </c>
      <c r="S290" s="24">
        <v>0</v>
      </c>
      <c r="T290" s="24">
        <v>1167</v>
      </c>
    </row>
    <row r="291" spans="1:20">
      <c r="A291" s="9" t="s">
        <v>306</v>
      </c>
      <c r="B291" s="30" t="s">
        <v>307</v>
      </c>
      <c r="C291" s="30" t="str">
        <f>CONCATENATE(VOL_VOLUMEN_SUMINISTROS[[#This Row],[Proyecto]],VOL_VOLUMEN_SUMINISTROS[[#This Row],[J]],VOL_VOLUMEN_SUMINISTROS[[#This Row],[FIN DE SEMANA]])</f>
        <v>1052-1TNO</v>
      </c>
      <c r="D291" s="365" t="str">
        <f>CONCATENATE(VOL_VOLUMEN_SUMINISTROS[[#This Row],[Grupo]],VOL_VOLUMEN_SUMINISTROS[[#This Row],[Proyecto]],VOL_VOLUMEN_SUMINISTROS[[#This Row],[FIN DE SEMANA]])</f>
        <v>241052-1NO</v>
      </c>
      <c r="E291" s="30" t="s">
        <v>147</v>
      </c>
      <c r="F291" s="30" t="s">
        <v>148</v>
      </c>
      <c r="G291" s="365">
        <v>24</v>
      </c>
      <c r="H291" s="30">
        <v>18</v>
      </c>
      <c r="I291" s="9" t="s">
        <v>308</v>
      </c>
      <c r="J291" s="9" t="s">
        <v>317</v>
      </c>
      <c r="K291" s="30">
        <v>1</v>
      </c>
      <c r="L291" s="9" t="s">
        <v>318</v>
      </c>
      <c r="M291" s="30" t="s">
        <v>84</v>
      </c>
      <c r="N291" s="30" t="s">
        <v>155</v>
      </c>
      <c r="O291" s="24">
        <v>273</v>
      </c>
      <c r="P291" s="24">
        <v>301</v>
      </c>
      <c r="Q291" s="24">
        <v>316</v>
      </c>
      <c r="R291" s="24">
        <v>0</v>
      </c>
      <c r="S291" s="24">
        <v>0</v>
      </c>
      <c r="T291" s="24">
        <v>890</v>
      </c>
    </row>
    <row r="292" spans="1:20">
      <c r="A292" s="9" t="s">
        <v>306</v>
      </c>
      <c r="B292" s="30" t="s">
        <v>307</v>
      </c>
      <c r="C292" s="30" t="str">
        <f>CONCATENATE(VOL_VOLUMEN_SUMINISTROS[[#This Row],[Proyecto]],VOL_VOLUMEN_SUMINISTROS[[#This Row],[J]],VOL_VOLUMEN_SUMINISTROS[[#This Row],[FIN DE SEMANA]])</f>
        <v>1052-1MNO</v>
      </c>
      <c r="D292" s="365" t="str">
        <f>CONCATENATE(VOL_VOLUMEN_SUMINISTROS[[#This Row],[Grupo]],VOL_VOLUMEN_SUMINISTROS[[#This Row],[Proyecto]],VOL_VOLUMEN_SUMINISTROS[[#This Row],[FIN DE SEMANA]])</f>
        <v>241052-1NO</v>
      </c>
      <c r="E292" s="30" t="s">
        <v>147</v>
      </c>
      <c r="F292" s="30" t="s">
        <v>148</v>
      </c>
      <c r="G292" s="365">
        <v>24</v>
      </c>
      <c r="H292" s="30">
        <v>18</v>
      </c>
      <c r="I292" s="9" t="s">
        <v>308</v>
      </c>
      <c r="J292" s="9" t="s">
        <v>319</v>
      </c>
      <c r="K292" s="30">
        <v>1</v>
      </c>
      <c r="L292" s="9" t="s">
        <v>320</v>
      </c>
      <c r="M292" s="30" t="s">
        <v>84</v>
      </c>
      <c r="N292" s="30" t="s">
        <v>152</v>
      </c>
      <c r="O292" s="24">
        <v>42</v>
      </c>
      <c r="P292" s="24">
        <v>282</v>
      </c>
      <c r="Q292" s="24">
        <v>439</v>
      </c>
      <c r="R292" s="24">
        <v>0</v>
      </c>
      <c r="S292" s="24">
        <v>0</v>
      </c>
      <c r="T292" s="24">
        <v>763</v>
      </c>
    </row>
    <row r="293" spans="1:20">
      <c r="A293" s="9" t="s">
        <v>306</v>
      </c>
      <c r="B293" s="30" t="s">
        <v>307</v>
      </c>
      <c r="C293" s="30" t="str">
        <f>CONCATENATE(VOL_VOLUMEN_SUMINISTROS[[#This Row],[Proyecto]],VOL_VOLUMEN_SUMINISTROS[[#This Row],[J]],VOL_VOLUMEN_SUMINISTROS[[#This Row],[FIN DE SEMANA]])</f>
        <v>1052-1TNO</v>
      </c>
      <c r="D293" s="365" t="str">
        <f>CONCATENATE(VOL_VOLUMEN_SUMINISTROS[[#This Row],[Grupo]],VOL_VOLUMEN_SUMINISTROS[[#This Row],[Proyecto]],VOL_VOLUMEN_SUMINISTROS[[#This Row],[FIN DE SEMANA]])</f>
        <v>241052-1NO</v>
      </c>
      <c r="E293" s="30" t="s">
        <v>147</v>
      </c>
      <c r="F293" s="30" t="s">
        <v>148</v>
      </c>
      <c r="G293" s="365">
        <v>24</v>
      </c>
      <c r="H293" s="30">
        <v>18</v>
      </c>
      <c r="I293" s="9" t="s">
        <v>308</v>
      </c>
      <c r="J293" s="9" t="s">
        <v>319</v>
      </c>
      <c r="K293" s="30">
        <v>1</v>
      </c>
      <c r="L293" s="9" t="s">
        <v>320</v>
      </c>
      <c r="M293" s="30" t="s">
        <v>84</v>
      </c>
      <c r="N293" s="30" t="s">
        <v>155</v>
      </c>
      <c r="O293" s="24">
        <v>28</v>
      </c>
      <c r="P293" s="24">
        <v>77</v>
      </c>
      <c r="Q293" s="24">
        <v>21</v>
      </c>
      <c r="R293" s="24">
        <v>0</v>
      </c>
      <c r="S293" s="24">
        <v>0</v>
      </c>
      <c r="T293" s="24">
        <v>126</v>
      </c>
    </row>
    <row r="294" spans="1:20">
      <c r="A294" s="9" t="s">
        <v>306</v>
      </c>
      <c r="B294" s="30" t="s">
        <v>307</v>
      </c>
      <c r="C294" s="30" t="str">
        <f>CONCATENATE(VOL_VOLUMEN_SUMINISTROS[[#This Row],[Proyecto]],VOL_VOLUMEN_SUMINISTROS[[#This Row],[J]],VOL_VOLUMEN_SUMINISTROS[[#This Row],[FIN DE SEMANA]])</f>
        <v>1052-1MNO</v>
      </c>
      <c r="D294" s="365" t="str">
        <f>CONCATENATE(VOL_VOLUMEN_SUMINISTROS[[#This Row],[Grupo]],VOL_VOLUMEN_SUMINISTROS[[#This Row],[Proyecto]],VOL_VOLUMEN_SUMINISTROS[[#This Row],[FIN DE SEMANA]])</f>
        <v>241052-1NO</v>
      </c>
      <c r="E294" s="30" t="s">
        <v>147</v>
      </c>
      <c r="F294" s="30" t="s">
        <v>148</v>
      </c>
      <c r="G294" s="365">
        <v>24</v>
      </c>
      <c r="H294" s="30">
        <v>18</v>
      </c>
      <c r="I294" s="9" t="s">
        <v>308</v>
      </c>
      <c r="J294" s="9" t="s">
        <v>319</v>
      </c>
      <c r="K294" s="30">
        <v>2</v>
      </c>
      <c r="L294" s="9" t="s">
        <v>321</v>
      </c>
      <c r="M294" s="30" t="s">
        <v>84</v>
      </c>
      <c r="N294" s="30" t="s">
        <v>152</v>
      </c>
      <c r="O294" s="24">
        <v>209</v>
      </c>
      <c r="P294" s="24">
        <v>44</v>
      </c>
      <c r="Q294" s="24">
        <v>0</v>
      </c>
      <c r="R294" s="24">
        <v>0</v>
      </c>
      <c r="S294" s="24">
        <v>0</v>
      </c>
      <c r="T294" s="24">
        <v>253</v>
      </c>
    </row>
    <row r="295" spans="1:20">
      <c r="A295" s="9" t="s">
        <v>306</v>
      </c>
      <c r="B295" s="30" t="s">
        <v>307</v>
      </c>
      <c r="C295" s="30" t="str">
        <f>CONCATENATE(VOL_VOLUMEN_SUMINISTROS[[#This Row],[Proyecto]],VOL_VOLUMEN_SUMINISTROS[[#This Row],[J]],VOL_VOLUMEN_SUMINISTROS[[#This Row],[FIN DE SEMANA]])</f>
        <v>1052-1TNO</v>
      </c>
      <c r="D295" s="365" t="str">
        <f>CONCATENATE(VOL_VOLUMEN_SUMINISTROS[[#This Row],[Grupo]],VOL_VOLUMEN_SUMINISTROS[[#This Row],[Proyecto]],VOL_VOLUMEN_SUMINISTROS[[#This Row],[FIN DE SEMANA]])</f>
        <v>241052-1NO</v>
      </c>
      <c r="E295" s="30" t="s">
        <v>147</v>
      </c>
      <c r="F295" s="30" t="s">
        <v>148</v>
      </c>
      <c r="G295" s="365">
        <v>24</v>
      </c>
      <c r="H295" s="30">
        <v>18</v>
      </c>
      <c r="I295" s="9" t="s">
        <v>308</v>
      </c>
      <c r="J295" s="9" t="s">
        <v>319</v>
      </c>
      <c r="K295" s="30">
        <v>2</v>
      </c>
      <c r="L295" s="9" t="s">
        <v>321</v>
      </c>
      <c r="M295" s="30" t="s">
        <v>84</v>
      </c>
      <c r="N295" s="30" t="s">
        <v>155</v>
      </c>
      <c r="O295" s="24">
        <v>62</v>
      </c>
      <c r="P295" s="24">
        <v>31</v>
      </c>
      <c r="Q295" s="24">
        <v>0</v>
      </c>
      <c r="R295" s="24">
        <v>0</v>
      </c>
      <c r="S295" s="24">
        <v>0</v>
      </c>
      <c r="T295" s="24">
        <v>93</v>
      </c>
    </row>
    <row r="296" spans="1:20">
      <c r="A296" s="9" t="s">
        <v>306</v>
      </c>
      <c r="B296" s="30" t="s">
        <v>307</v>
      </c>
      <c r="C296" s="30" t="str">
        <f>CONCATENATE(VOL_VOLUMEN_SUMINISTROS[[#This Row],[Proyecto]],VOL_VOLUMEN_SUMINISTROS[[#This Row],[J]],VOL_VOLUMEN_SUMINISTROS[[#This Row],[FIN DE SEMANA]])</f>
        <v>1052-1MNO</v>
      </c>
      <c r="D296" s="365" t="str">
        <f>CONCATENATE(VOL_VOLUMEN_SUMINISTROS[[#This Row],[Grupo]],VOL_VOLUMEN_SUMINISTROS[[#This Row],[Proyecto]],VOL_VOLUMEN_SUMINISTROS[[#This Row],[FIN DE SEMANA]])</f>
        <v>261052-1NO</v>
      </c>
      <c r="E296" s="30" t="s">
        <v>147</v>
      </c>
      <c r="F296" s="30" t="s">
        <v>148</v>
      </c>
      <c r="G296" s="365">
        <v>26</v>
      </c>
      <c r="H296" s="30">
        <v>18</v>
      </c>
      <c r="I296" s="9" t="s">
        <v>308</v>
      </c>
      <c r="J296" s="9" t="s">
        <v>322</v>
      </c>
      <c r="K296" s="30">
        <v>10</v>
      </c>
      <c r="L296" s="9" t="s">
        <v>323</v>
      </c>
      <c r="M296" s="30" t="s">
        <v>84</v>
      </c>
      <c r="N296" s="30" t="s">
        <v>152</v>
      </c>
      <c r="O296" s="24">
        <v>341</v>
      </c>
      <c r="P296" s="24">
        <v>293</v>
      </c>
      <c r="Q296" s="24">
        <v>59</v>
      </c>
      <c r="R296" s="24">
        <v>0</v>
      </c>
      <c r="S296" s="24">
        <v>0</v>
      </c>
      <c r="T296" s="24">
        <v>693</v>
      </c>
    </row>
    <row r="297" spans="1:20">
      <c r="A297" s="9" t="s">
        <v>306</v>
      </c>
      <c r="B297" s="30" t="s">
        <v>307</v>
      </c>
      <c r="C297" s="30" t="str">
        <f>CONCATENATE(VOL_VOLUMEN_SUMINISTROS[[#This Row],[Proyecto]],VOL_VOLUMEN_SUMINISTROS[[#This Row],[J]],VOL_VOLUMEN_SUMINISTROS[[#This Row],[FIN DE SEMANA]])</f>
        <v>1052-1TNO</v>
      </c>
      <c r="D297" s="365" t="str">
        <f>CONCATENATE(VOL_VOLUMEN_SUMINISTROS[[#This Row],[Grupo]],VOL_VOLUMEN_SUMINISTROS[[#This Row],[Proyecto]],VOL_VOLUMEN_SUMINISTROS[[#This Row],[FIN DE SEMANA]])</f>
        <v>261052-1NO</v>
      </c>
      <c r="E297" s="30" t="s">
        <v>147</v>
      </c>
      <c r="F297" s="30" t="s">
        <v>148</v>
      </c>
      <c r="G297" s="365">
        <v>26</v>
      </c>
      <c r="H297" s="30">
        <v>18</v>
      </c>
      <c r="I297" s="9" t="s">
        <v>308</v>
      </c>
      <c r="J297" s="9" t="s">
        <v>322</v>
      </c>
      <c r="K297" s="30">
        <v>10</v>
      </c>
      <c r="L297" s="9" t="s">
        <v>324</v>
      </c>
      <c r="M297" s="30" t="s">
        <v>84</v>
      </c>
      <c r="N297" s="30" t="s">
        <v>155</v>
      </c>
      <c r="O297" s="24">
        <v>334</v>
      </c>
      <c r="P297" s="24">
        <v>282</v>
      </c>
      <c r="Q297" s="24">
        <v>57</v>
      </c>
      <c r="R297" s="24">
        <v>0</v>
      </c>
      <c r="S297" s="24">
        <v>0</v>
      </c>
      <c r="T297" s="24">
        <v>673</v>
      </c>
    </row>
    <row r="298" spans="1:20">
      <c r="A298" s="9" t="s">
        <v>306</v>
      </c>
      <c r="B298" s="30" t="s">
        <v>307</v>
      </c>
      <c r="C298" s="30" t="str">
        <f>CONCATENATE(VOL_VOLUMEN_SUMINISTROS[[#This Row],[Proyecto]],VOL_VOLUMEN_SUMINISTROS[[#This Row],[J]],VOL_VOLUMEN_SUMINISTROS[[#This Row],[FIN DE SEMANA]])</f>
        <v>1052-1MNO</v>
      </c>
      <c r="D298" s="365" t="str">
        <f>CONCATENATE(VOL_VOLUMEN_SUMINISTROS[[#This Row],[Grupo]],VOL_VOLUMEN_SUMINISTROS[[#This Row],[Proyecto]],VOL_VOLUMEN_SUMINISTROS[[#This Row],[FIN DE SEMANA]])</f>
        <v>241052-1NO</v>
      </c>
      <c r="E298" s="30" t="s">
        <v>147</v>
      </c>
      <c r="F298" s="30" t="s">
        <v>148</v>
      </c>
      <c r="G298" s="365">
        <v>24</v>
      </c>
      <c r="H298" s="30">
        <v>18</v>
      </c>
      <c r="I298" s="9" t="s">
        <v>308</v>
      </c>
      <c r="J298" s="9" t="s">
        <v>325</v>
      </c>
      <c r="K298" s="30">
        <v>1</v>
      </c>
      <c r="L298" s="9" t="s">
        <v>326</v>
      </c>
      <c r="M298" s="30" t="s">
        <v>84</v>
      </c>
      <c r="N298" s="30" t="s">
        <v>152</v>
      </c>
      <c r="O298" s="24">
        <v>104</v>
      </c>
      <c r="P298" s="24">
        <v>118</v>
      </c>
      <c r="Q298" s="24">
        <v>27</v>
      </c>
      <c r="R298" s="24">
        <v>0</v>
      </c>
      <c r="S298" s="24">
        <v>0</v>
      </c>
      <c r="T298" s="24">
        <v>249</v>
      </c>
    </row>
    <row r="299" spans="1:20">
      <c r="A299" s="9" t="s">
        <v>306</v>
      </c>
      <c r="B299" s="30" t="s">
        <v>307</v>
      </c>
      <c r="C299" s="30" t="str">
        <f>CONCATENATE(VOL_VOLUMEN_SUMINISTROS[[#This Row],[Proyecto]],VOL_VOLUMEN_SUMINISTROS[[#This Row],[J]],VOL_VOLUMEN_SUMINISTROS[[#This Row],[FIN DE SEMANA]])</f>
        <v>1052-1TNO</v>
      </c>
      <c r="D299" s="365" t="str">
        <f>CONCATENATE(VOL_VOLUMEN_SUMINISTROS[[#This Row],[Grupo]],VOL_VOLUMEN_SUMINISTROS[[#This Row],[Proyecto]],VOL_VOLUMEN_SUMINISTROS[[#This Row],[FIN DE SEMANA]])</f>
        <v>241052-1NO</v>
      </c>
      <c r="E299" s="30" t="s">
        <v>147</v>
      </c>
      <c r="F299" s="30" t="s">
        <v>148</v>
      </c>
      <c r="G299" s="365">
        <v>24</v>
      </c>
      <c r="H299" s="30">
        <v>18</v>
      </c>
      <c r="I299" s="9" t="s">
        <v>308</v>
      </c>
      <c r="J299" s="9" t="s">
        <v>325</v>
      </c>
      <c r="K299" s="30">
        <v>1</v>
      </c>
      <c r="L299" s="9" t="s">
        <v>326</v>
      </c>
      <c r="M299" s="30" t="s">
        <v>84</v>
      </c>
      <c r="N299" s="30" t="s">
        <v>155</v>
      </c>
      <c r="O299" s="24">
        <v>126</v>
      </c>
      <c r="P299" s="24">
        <v>102</v>
      </c>
      <c r="Q299" s="24">
        <v>18</v>
      </c>
      <c r="R299" s="24">
        <v>0</v>
      </c>
      <c r="S299" s="24">
        <v>0</v>
      </c>
      <c r="T299" s="24">
        <v>246</v>
      </c>
    </row>
    <row r="300" spans="1:20">
      <c r="A300" s="9" t="s">
        <v>306</v>
      </c>
      <c r="B300" s="30" t="s">
        <v>327</v>
      </c>
      <c r="C300" s="30" t="str">
        <f>CONCATENATE(VOL_VOLUMEN_SUMINISTROS[[#This Row],[Proyecto]],VOL_VOLUMEN_SUMINISTROS[[#This Row],[J]],VOL_VOLUMEN_SUMINISTROS[[#This Row],[FIN DE SEMANA]])</f>
        <v>1052-2M1NO</v>
      </c>
      <c r="D300" s="365" t="str">
        <f>CONCATENATE(VOL_VOLUMEN_SUMINISTROS[[#This Row],[Grupo]],VOL_VOLUMEN_SUMINISTROS[[#This Row],[Proyecto]],VOL_VOLUMEN_SUMINISTROS[[#This Row],[FIN DE SEMANA]])</f>
        <v>241052-2NO</v>
      </c>
      <c r="E300" s="30" t="s">
        <v>183</v>
      </c>
      <c r="F300" s="30" t="s">
        <v>148</v>
      </c>
      <c r="G300" s="365">
        <v>24</v>
      </c>
      <c r="H300" s="30">
        <v>18</v>
      </c>
      <c r="I300" s="9" t="s">
        <v>308</v>
      </c>
      <c r="J300" s="9" t="s">
        <v>312</v>
      </c>
      <c r="K300" s="30">
        <v>1</v>
      </c>
      <c r="L300" s="9" t="s">
        <v>313</v>
      </c>
      <c r="M300" s="30" t="s">
        <v>84</v>
      </c>
      <c r="N300" s="30" t="s">
        <v>216</v>
      </c>
      <c r="O300" s="24">
        <v>0</v>
      </c>
      <c r="P300" s="24">
        <v>339</v>
      </c>
      <c r="Q300" s="24">
        <v>243</v>
      </c>
      <c r="R300" s="24">
        <v>0</v>
      </c>
      <c r="S300" s="24">
        <v>0</v>
      </c>
      <c r="T300" s="24">
        <v>582</v>
      </c>
    </row>
    <row r="301" spans="1:20">
      <c r="A301" s="9" t="s">
        <v>306</v>
      </c>
      <c r="B301" s="30" t="s">
        <v>327</v>
      </c>
      <c r="C301" s="30" t="str">
        <f>CONCATENATE(VOL_VOLUMEN_SUMINISTROS[[#This Row],[Proyecto]],VOL_VOLUMEN_SUMINISTROS[[#This Row],[J]],VOL_VOLUMEN_SUMINISTROS[[#This Row],[FIN DE SEMANA]])</f>
        <v>1052-2MNO</v>
      </c>
      <c r="D301" s="365" t="str">
        <f>CONCATENATE(VOL_VOLUMEN_SUMINISTROS[[#This Row],[Grupo]],VOL_VOLUMEN_SUMINISTROS[[#This Row],[Proyecto]],VOL_VOLUMEN_SUMINISTROS[[#This Row],[FIN DE SEMANA]])</f>
        <v>261052-2NO</v>
      </c>
      <c r="E301" s="30" t="s">
        <v>183</v>
      </c>
      <c r="F301" s="30" t="s">
        <v>148</v>
      </c>
      <c r="G301" s="365">
        <v>26</v>
      </c>
      <c r="H301" s="30">
        <v>18</v>
      </c>
      <c r="I301" s="9" t="s">
        <v>308</v>
      </c>
      <c r="J301" s="9" t="s">
        <v>312</v>
      </c>
      <c r="K301" s="30">
        <v>2</v>
      </c>
      <c r="L301" s="9" t="s">
        <v>328</v>
      </c>
      <c r="M301" s="30" t="s">
        <v>84</v>
      </c>
      <c r="N301" s="30" t="s">
        <v>152</v>
      </c>
      <c r="O301" s="24">
        <v>0</v>
      </c>
      <c r="P301" s="24">
        <v>0</v>
      </c>
      <c r="Q301" s="24">
        <v>120</v>
      </c>
      <c r="R301" s="24">
        <v>0</v>
      </c>
      <c r="S301" s="24">
        <v>0</v>
      </c>
      <c r="T301" s="24">
        <v>120</v>
      </c>
    </row>
    <row r="302" spans="1:20">
      <c r="A302" s="9" t="s">
        <v>306</v>
      </c>
      <c r="B302" s="30" t="s">
        <v>327</v>
      </c>
      <c r="C302" s="30" t="str">
        <f>CONCATENATE(VOL_VOLUMEN_SUMINISTROS[[#This Row],[Proyecto]],VOL_VOLUMEN_SUMINISTROS[[#This Row],[J]],VOL_VOLUMEN_SUMINISTROS[[#This Row],[FIN DE SEMANA]])</f>
        <v>1052-2TNO</v>
      </c>
      <c r="D302" s="365" t="str">
        <f>CONCATENATE(VOL_VOLUMEN_SUMINISTROS[[#This Row],[Grupo]],VOL_VOLUMEN_SUMINISTROS[[#This Row],[Proyecto]],VOL_VOLUMEN_SUMINISTROS[[#This Row],[FIN DE SEMANA]])</f>
        <v>261052-2NO</v>
      </c>
      <c r="E302" s="30" t="s">
        <v>183</v>
      </c>
      <c r="F302" s="30" t="s">
        <v>148</v>
      </c>
      <c r="G302" s="365">
        <v>26</v>
      </c>
      <c r="H302" s="30">
        <v>18</v>
      </c>
      <c r="I302" s="9" t="s">
        <v>308</v>
      </c>
      <c r="J302" s="9" t="s">
        <v>312</v>
      </c>
      <c r="K302" s="30">
        <v>2</v>
      </c>
      <c r="L302" s="9" t="s">
        <v>328</v>
      </c>
      <c r="M302" s="30" t="s">
        <v>84</v>
      </c>
      <c r="N302" s="30" t="s">
        <v>155</v>
      </c>
      <c r="O302" s="24">
        <v>0</v>
      </c>
      <c r="P302" s="24">
        <v>0</v>
      </c>
      <c r="Q302" s="24">
        <v>120</v>
      </c>
      <c r="R302" s="24">
        <v>0</v>
      </c>
      <c r="S302" s="24">
        <v>0</v>
      </c>
      <c r="T302" s="24">
        <v>120</v>
      </c>
    </row>
    <row r="303" spans="1:20">
      <c r="A303" s="9" t="s">
        <v>306</v>
      </c>
      <c r="B303" s="30" t="s">
        <v>327</v>
      </c>
      <c r="C303" s="30" t="str">
        <f>CONCATENATE(VOL_VOLUMEN_SUMINISTROS[[#This Row],[Proyecto]],VOL_VOLUMEN_SUMINISTROS[[#This Row],[J]],VOL_VOLUMEN_SUMINISTROS[[#This Row],[FIN DE SEMANA]])</f>
        <v>1052-2MNO</v>
      </c>
      <c r="D303" s="365" t="str">
        <f>CONCATENATE(VOL_VOLUMEN_SUMINISTROS[[#This Row],[Grupo]],VOL_VOLUMEN_SUMINISTROS[[#This Row],[Proyecto]],VOL_VOLUMEN_SUMINISTROS[[#This Row],[FIN DE SEMANA]])</f>
        <v>241052-2NO</v>
      </c>
      <c r="E303" s="30" t="s">
        <v>183</v>
      </c>
      <c r="F303" s="30" t="s">
        <v>148</v>
      </c>
      <c r="G303" s="365">
        <v>24</v>
      </c>
      <c r="H303" s="30">
        <v>18</v>
      </c>
      <c r="I303" s="9" t="s">
        <v>308</v>
      </c>
      <c r="J303" s="9" t="s">
        <v>314</v>
      </c>
      <c r="K303" s="30">
        <v>1</v>
      </c>
      <c r="L303" s="9" t="s">
        <v>315</v>
      </c>
      <c r="M303" s="30" t="s">
        <v>84</v>
      </c>
      <c r="N303" s="30" t="s">
        <v>152</v>
      </c>
      <c r="O303" s="24">
        <v>0</v>
      </c>
      <c r="P303" s="24">
        <v>0</v>
      </c>
      <c r="Q303" s="24">
        <v>50</v>
      </c>
      <c r="R303" s="24">
        <v>0</v>
      </c>
      <c r="S303" s="24">
        <v>0</v>
      </c>
      <c r="T303" s="24">
        <v>50</v>
      </c>
    </row>
    <row r="304" spans="1:20">
      <c r="A304" s="9" t="s">
        <v>306</v>
      </c>
      <c r="B304" s="30" t="s">
        <v>327</v>
      </c>
      <c r="C304" s="30" t="str">
        <f>CONCATENATE(VOL_VOLUMEN_SUMINISTROS[[#This Row],[Proyecto]],VOL_VOLUMEN_SUMINISTROS[[#This Row],[J]],VOL_VOLUMEN_SUMINISTROS[[#This Row],[FIN DE SEMANA]])</f>
        <v>1052-2TNO</v>
      </c>
      <c r="D304" s="365" t="str">
        <f>CONCATENATE(VOL_VOLUMEN_SUMINISTROS[[#This Row],[Grupo]],VOL_VOLUMEN_SUMINISTROS[[#This Row],[Proyecto]],VOL_VOLUMEN_SUMINISTROS[[#This Row],[FIN DE SEMANA]])</f>
        <v>241052-2NO</v>
      </c>
      <c r="E304" s="30" t="s">
        <v>183</v>
      </c>
      <c r="F304" s="30" t="s">
        <v>148</v>
      </c>
      <c r="G304" s="365">
        <v>24</v>
      </c>
      <c r="H304" s="30">
        <v>18</v>
      </c>
      <c r="I304" s="9" t="s">
        <v>308</v>
      </c>
      <c r="J304" s="9" t="s">
        <v>314</v>
      </c>
      <c r="K304" s="30">
        <v>1</v>
      </c>
      <c r="L304" s="9" t="s">
        <v>315</v>
      </c>
      <c r="M304" s="30" t="s">
        <v>84</v>
      </c>
      <c r="N304" s="30" t="s">
        <v>155</v>
      </c>
      <c r="O304" s="24">
        <v>0</v>
      </c>
      <c r="P304" s="24">
        <v>0</v>
      </c>
      <c r="Q304" s="24">
        <v>126</v>
      </c>
      <c r="R304" s="24">
        <v>0</v>
      </c>
      <c r="S304" s="24">
        <v>0</v>
      </c>
      <c r="T304" s="24">
        <v>126</v>
      </c>
    </row>
    <row r="305" spans="1:20">
      <c r="A305" s="9" t="s">
        <v>306</v>
      </c>
      <c r="B305" s="30" t="s">
        <v>327</v>
      </c>
      <c r="C305" s="30" t="str">
        <f>CONCATENATE(VOL_VOLUMEN_SUMINISTROS[[#This Row],[Proyecto]],VOL_VOLUMEN_SUMINISTROS[[#This Row],[J]],VOL_VOLUMEN_SUMINISTROS[[#This Row],[FIN DE SEMANA]])</f>
        <v>1052-2MNO</v>
      </c>
      <c r="D305" s="365" t="str">
        <f>CONCATENATE(VOL_VOLUMEN_SUMINISTROS[[#This Row],[Grupo]],VOL_VOLUMEN_SUMINISTROS[[#This Row],[Proyecto]],VOL_VOLUMEN_SUMINISTROS[[#This Row],[FIN DE SEMANA]])</f>
        <v>241052-2NO</v>
      </c>
      <c r="E305" s="30" t="s">
        <v>183</v>
      </c>
      <c r="F305" s="30" t="s">
        <v>148</v>
      </c>
      <c r="G305" s="365">
        <v>24</v>
      </c>
      <c r="H305" s="30">
        <v>18</v>
      </c>
      <c r="I305" s="9" t="s">
        <v>308</v>
      </c>
      <c r="J305" s="9" t="s">
        <v>325</v>
      </c>
      <c r="K305" s="30">
        <v>1</v>
      </c>
      <c r="L305" s="9" t="s">
        <v>326</v>
      </c>
      <c r="M305" s="30" t="s">
        <v>84</v>
      </c>
      <c r="N305" s="30" t="s">
        <v>152</v>
      </c>
      <c r="O305" s="24">
        <v>30</v>
      </c>
      <c r="P305" s="24">
        <v>0</v>
      </c>
      <c r="Q305" s="24">
        <v>0</v>
      </c>
      <c r="R305" s="24">
        <v>0</v>
      </c>
      <c r="S305" s="24">
        <v>0</v>
      </c>
      <c r="T305" s="24">
        <v>30</v>
      </c>
    </row>
    <row r="306" spans="1:20">
      <c r="A306" s="9" t="s">
        <v>306</v>
      </c>
      <c r="B306" s="30" t="s">
        <v>327</v>
      </c>
      <c r="C306" s="30" t="str">
        <f>CONCATENATE(VOL_VOLUMEN_SUMINISTROS[[#This Row],[Proyecto]],VOL_VOLUMEN_SUMINISTROS[[#This Row],[J]],VOL_VOLUMEN_SUMINISTROS[[#This Row],[FIN DE SEMANA]])</f>
        <v>1052-2TNO</v>
      </c>
      <c r="D306" s="365" t="str">
        <f>CONCATENATE(VOL_VOLUMEN_SUMINISTROS[[#This Row],[Grupo]],VOL_VOLUMEN_SUMINISTROS[[#This Row],[Proyecto]],VOL_VOLUMEN_SUMINISTROS[[#This Row],[FIN DE SEMANA]])</f>
        <v>241052-2NO</v>
      </c>
      <c r="E306" s="30" t="s">
        <v>183</v>
      </c>
      <c r="F306" s="30" t="s">
        <v>148</v>
      </c>
      <c r="G306" s="365">
        <v>24</v>
      </c>
      <c r="H306" s="30">
        <v>18</v>
      </c>
      <c r="I306" s="9" t="s">
        <v>308</v>
      </c>
      <c r="J306" s="9" t="s">
        <v>325</v>
      </c>
      <c r="K306" s="30">
        <v>1</v>
      </c>
      <c r="L306" s="9" t="s">
        <v>326</v>
      </c>
      <c r="M306" s="30" t="s">
        <v>84</v>
      </c>
      <c r="N306" s="30" t="s">
        <v>155</v>
      </c>
      <c r="O306" s="24">
        <v>30</v>
      </c>
      <c r="P306" s="24">
        <v>0</v>
      </c>
      <c r="Q306" s="24">
        <v>0</v>
      </c>
      <c r="R306" s="24">
        <v>0</v>
      </c>
      <c r="S306" s="24">
        <v>0</v>
      </c>
      <c r="T306" s="24">
        <v>30</v>
      </c>
    </row>
    <row r="307" spans="1:20">
      <c r="A307" s="9" t="s">
        <v>306</v>
      </c>
      <c r="B307" s="30" t="s">
        <v>329</v>
      </c>
      <c r="C307" s="30" t="str">
        <f>CONCATENATE(VOL_VOLUMEN_SUMINISTROS[[#This Row],[Proyecto]],VOL_VOLUMEN_SUMINISTROS[[#This Row],[J]],VOL_VOLUMEN_SUMINISTROS[[#This Row],[FIN DE SEMANA]])</f>
        <v>1052-2M1NO</v>
      </c>
      <c r="D307" s="365" t="str">
        <f>CONCATENATE(VOL_VOLUMEN_SUMINISTROS[[#This Row],[Grupo]],VOL_VOLUMEN_SUMINISTROS[[#This Row],[Proyecto]],VOL_VOLUMEN_SUMINISTROS[[#This Row],[FIN DE SEMANA]])</f>
        <v>261052-2NO</v>
      </c>
      <c r="E307" s="30" t="s">
        <v>183</v>
      </c>
      <c r="F307" s="30" t="s">
        <v>148</v>
      </c>
      <c r="G307" s="365">
        <v>26</v>
      </c>
      <c r="H307" s="30">
        <v>18</v>
      </c>
      <c r="I307" s="9" t="s">
        <v>308</v>
      </c>
      <c r="J307" s="9" t="s">
        <v>309</v>
      </c>
      <c r="K307" s="30">
        <v>1</v>
      </c>
      <c r="L307" s="9" t="s">
        <v>310</v>
      </c>
      <c r="M307" s="30" t="s">
        <v>84</v>
      </c>
      <c r="N307" s="30" t="s">
        <v>216</v>
      </c>
      <c r="O307" s="24">
        <v>0</v>
      </c>
      <c r="P307" s="24">
        <v>0</v>
      </c>
      <c r="Q307" s="24">
        <v>440</v>
      </c>
      <c r="R307" s="24">
        <v>0</v>
      </c>
      <c r="S307" s="24">
        <v>0</v>
      </c>
      <c r="T307" s="24">
        <v>440</v>
      </c>
    </row>
    <row r="308" spans="1:20">
      <c r="A308" s="9" t="s">
        <v>306</v>
      </c>
      <c r="B308" s="30" t="s">
        <v>329</v>
      </c>
      <c r="C308" s="30" t="str">
        <f>CONCATENATE(VOL_VOLUMEN_SUMINISTROS[[#This Row],[Proyecto]],VOL_VOLUMEN_SUMINISTROS[[#This Row],[J]],VOL_VOLUMEN_SUMINISTROS[[#This Row],[FIN DE SEMANA]])</f>
        <v>1052-2TNO</v>
      </c>
      <c r="D308" s="365" t="str">
        <f>CONCATENATE(VOL_VOLUMEN_SUMINISTROS[[#This Row],[Grupo]],VOL_VOLUMEN_SUMINISTROS[[#This Row],[Proyecto]],VOL_VOLUMEN_SUMINISTROS[[#This Row],[FIN DE SEMANA]])</f>
        <v>241052-2NO</v>
      </c>
      <c r="E308" s="30" t="s">
        <v>183</v>
      </c>
      <c r="F308" s="30" t="s">
        <v>148</v>
      </c>
      <c r="G308" s="365">
        <v>24</v>
      </c>
      <c r="H308" s="30">
        <v>18</v>
      </c>
      <c r="I308" s="9" t="s">
        <v>308</v>
      </c>
      <c r="J308" s="9" t="s">
        <v>309</v>
      </c>
      <c r="K308" s="30">
        <v>1</v>
      </c>
      <c r="L308" s="9" t="s">
        <v>310</v>
      </c>
      <c r="M308" s="30" t="s">
        <v>84</v>
      </c>
      <c r="N308" s="30" t="s">
        <v>155</v>
      </c>
      <c r="O308" s="24">
        <v>0</v>
      </c>
      <c r="P308" s="24">
        <v>0</v>
      </c>
      <c r="Q308" s="24">
        <v>70</v>
      </c>
      <c r="R308" s="24">
        <v>0</v>
      </c>
      <c r="S308" s="24">
        <v>0</v>
      </c>
      <c r="T308" s="24">
        <v>70</v>
      </c>
    </row>
    <row r="309" spans="1:20">
      <c r="A309" s="9" t="s">
        <v>306</v>
      </c>
      <c r="B309" s="30" t="s">
        <v>329</v>
      </c>
      <c r="C309" s="30" t="str">
        <f>CONCATENATE(VOL_VOLUMEN_SUMINISTROS[[#This Row],[Proyecto]],VOL_VOLUMEN_SUMINISTROS[[#This Row],[J]],VOL_VOLUMEN_SUMINISTROS[[#This Row],[FIN DE SEMANA]])</f>
        <v>1052-2M1NO</v>
      </c>
      <c r="D309" s="365" t="str">
        <f>CONCATENATE(VOL_VOLUMEN_SUMINISTROS[[#This Row],[Grupo]],VOL_VOLUMEN_SUMINISTROS[[#This Row],[Proyecto]],VOL_VOLUMEN_SUMINISTROS[[#This Row],[FIN DE SEMANA]])</f>
        <v>241052-2NO</v>
      </c>
      <c r="E309" s="30" t="s">
        <v>183</v>
      </c>
      <c r="F309" s="30" t="s">
        <v>148</v>
      </c>
      <c r="G309" s="365">
        <v>24</v>
      </c>
      <c r="H309" s="30">
        <v>18</v>
      </c>
      <c r="I309" s="9" t="s">
        <v>308</v>
      </c>
      <c r="J309" s="9" t="s">
        <v>319</v>
      </c>
      <c r="K309" s="30">
        <v>1</v>
      </c>
      <c r="L309" s="9" t="s">
        <v>320</v>
      </c>
      <c r="M309" s="30" t="s">
        <v>84</v>
      </c>
      <c r="N309" s="30" t="s">
        <v>216</v>
      </c>
      <c r="O309" s="24">
        <v>70</v>
      </c>
      <c r="P309" s="24">
        <v>359</v>
      </c>
      <c r="Q309" s="24">
        <v>460</v>
      </c>
      <c r="R309" s="24">
        <v>0</v>
      </c>
      <c r="S309" s="24">
        <v>0</v>
      </c>
      <c r="T309" s="24">
        <v>889</v>
      </c>
    </row>
    <row r="310" spans="1:20">
      <c r="A310" s="9" t="s">
        <v>306</v>
      </c>
      <c r="B310" s="30" t="s">
        <v>329</v>
      </c>
      <c r="C310" s="30" t="str">
        <f>CONCATENATE(VOL_VOLUMEN_SUMINISTROS[[#This Row],[Proyecto]],VOL_VOLUMEN_SUMINISTROS[[#This Row],[J]],VOL_VOLUMEN_SUMINISTROS[[#This Row],[FIN DE SEMANA]])</f>
        <v>1052-2M1NO</v>
      </c>
      <c r="D310" s="365" t="str">
        <f>CONCATENATE(VOL_VOLUMEN_SUMINISTROS[[#This Row],[Grupo]],VOL_VOLUMEN_SUMINISTROS[[#This Row],[Proyecto]],VOL_VOLUMEN_SUMINISTROS[[#This Row],[FIN DE SEMANA]])</f>
        <v>241052-2NO</v>
      </c>
      <c r="E310" s="30" t="s">
        <v>183</v>
      </c>
      <c r="F310" s="30" t="s">
        <v>148</v>
      </c>
      <c r="G310" s="365">
        <v>24</v>
      </c>
      <c r="H310" s="30">
        <v>18</v>
      </c>
      <c r="I310" s="9" t="s">
        <v>308</v>
      </c>
      <c r="J310" s="9" t="s">
        <v>319</v>
      </c>
      <c r="K310" s="30">
        <v>2</v>
      </c>
      <c r="L310" s="9" t="s">
        <v>321</v>
      </c>
      <c r="M310" s="30" t="s">
        <v>84</v>
      </c>
      <c r="N310" s="30" t="s">
        <v>216</v>
      </c>
      <c r="O310" s="24">
        <v>134</v>
      </c>
      <c r="P310" s="24">
        <v>67</v>
      </c>
      <c r="Q310" s="24">
        <v>0</v>
      </c>
      <c r="R310" s="24">
        <v>0</v>
      </c>
      <c r="S310" s="24">
        <v>0</v>
      </c>
      <c r="T310" s="24">
        <v>201</v>
      </c>
    </row>
    <row r="311" spans="1:20">
      <c r="A311" s="9" t="s">
        <v>306</v>
      </c>
      <c r="B311" s="30" t="s">
        <v>330</v>
      </c>
      <c r="C311" s="30" t="str">
        <f>CONCATENATE(VOL_VOLUMEN_SUMINISTROS[[#This Row],[Proyecto]],VOL_VOLUMEN_SUMINISTROS[[#This Row],[J]],VOL_VOLUMEN_SUMINISTROS[[#This Row],[FIN DE SEMANA]])</f>
        <v>1052-1MNO</v>
      </c>
      <c r="D311" s="365" t="str">
        <f>CONCATENATE(VOL_VOLUMEN_SUMINISTROS[[#This Row],[Grupo]],VOL_VOLUMEN_SUMINISTROS[[#This Row],[Proyecto]],VOL_VOLUMEN_SUMINISTROS[[#This Row],[FIN DE SEMANA]])</f>
        <v>131052-1NO</v>
      </c>
      <c r="E311" s="30" t="s">
        <v>147</v>
      </c>
      <c r="F311" s="30" t="s">
        <v>148</v>
      </c>
      <c r="G311" s="365">
        <v>13</v>
      </c>
      <c r="H311" s="30">
        <v>10</v>
      </c>
      <c r="I311" s="9" t="s">
        <v>331</v>
      </c>
      <c r="J311" s="9" t="s">
        <v>332</v>
      </c>
      <c r="K311" s="30">
        <v>1</v>
      </c>
      <c r="L311" s="9" t="s">
        <v>333</v>
      </c>
      <c r="M311" s="30" t="s">
        <v>84</v>
      </c>
      <c r="N311" s="30" t="s">
        <v>152</v>
      </c>
      <c r="O311" s="24">
        <v>329</v>
      </c>
      <c r="P311" s="24">
        <v>379</v>
      </c>
      <c r="Q311" s="24">
        <v>504</v>
      </c>
      <c r="R311" s="24">
        <v>0</v>
      </c>
      <c r="S311" s="24">
        <v>0</v>
      </c>
      <c r="T311" s="24">
        <v>1212</v>
      </c>
    </row>
    <row r="312" spans="1:20">
      <c r="A312" s="9" t="s">
        <v>306</v>
      </c>
      <c r="B312" s="30" t="s">
        <v>330</v>
      </c>
      <c r="C312" s="30" t="str">
        <f>CONCATENATE(VOL_VOLUMEN_SUMINISTROS[[#This Row],[Proyecto]],VOL_VOLUMEN_SUMINISTROS[[#This Row],[J]],VOL_VOLUMEN_SUMINISTROS[[#This Row],[FIN DE SEMANA]])</f>
        <v>1052-1NNO</v>
      </c>
      <c r="D312" s="365" t="str">
        <f>CONCATENATE(VOL_VOLUMEN_SUMINISTROS[[#This Row],[Grupo]],VOL_VOLUMEN_SUMINISTROS[[#This Row],[Proyecto]],VOL_VOLUMEN_SUMINISTROS[[#This Row],[FIN DE SEMANA]])</f>
        <v>131052-1NO</v>
      </c>
      <c r="E312" s="30" t="s">
        <v>147</v>
      </c>
      <c r="F312" s="30" t="s">
        <v>148</v>
      </c>
      <c r="G312" s="365">
        <v>13</v>
      </c>
      <c r="H312" s="30">
        <v>10</v>
      </c>
      <c r="I312" s="9" t="s">
        <v>331</v>
      </c>
      <c r="J312" s="9" t="s">
        <v>332</v>
      </c>
      <c r="K312" s="30">
        <v>1</v>
      </c>
      <c r="L312" s="9" t="s">
        <v>333</v>
      </c>
      <c r="M312" s="30" t="s">
        <v>84</v>
      </c>
      <c r="N312" s="30" t="s">
        <v>154</v>
      </c>
      <c r="O312" s="24">
        <v>0</v>
      </c>
      <c r="P312" s="24">
        <v>0</v>
      </c>
      <c r="Q312" s="24">
        <v>0</v>
      </c>
      <c r="R312" s="24">
        <v>139</v>
      </c>
      <c r="S312" s="24">
        <v>180</v>
      </c>
      <c r="T312" s="24">
        <v>319</v>
      </c>
    </row>
    <row r="313" spans="1:20">
      <c r="A313" s="9" t="s">
        <v>306</v>
      </c>
      <c r="B313" s="30" t="s">
        <v>330</v>
      </c>
      <c r="C313" s="30" t="str">
        <f>CONCATENATE(VOL_VOLUMEN_SUMINISTROS[[#This Row],[Proyecto]],VOL_VOLUMEN_SUMINISTROS[[#This Row],[J]],VOL_VOLUMEN_SUMINISTROS[[#This Row],[FIN DE SEMANA]])</f>
        <v>1052-1TNO</v>
      </c>
      <c r="D313" s="365" t="str">
        <f>CONCATENATE(VOL_VOLUMEN_SUMINISTROS[[#This Row],[Grupo]],VOL_VOLUMEN_SUMINISTROS[[#This Row],[Proyecto]],VOL_VOLUMEN_SUMINISTROS[[#This Row],[FIN DE SEMANA]])</f>
        <v>131052-1NO</v>
      </c>
      <c r="E313" s="30" t="s">
        <v>147</v>
      </c>
      <c r="F313" s="30" t="s">
        <v>148</v>
      </c>
      <c r="G313" s="365">
        <v>13</v>
      </c>
      <c r="H313" s="30">
        <v>10</v>
      </c>
      <c r="I313" s="9" t="s">
        <v>331</v>
      </c>
      <c r="J313" s="9" t="s">
        <v>332</v>
      </c>
      <c r="K313" s="30">
        <v>1</v>
      </c>
      <c r="L313" s="9" t="s">
        <v>333</v>
      </c>
      <c r="M313" s="30" t="s">
        <v>84</v>
      </c>
      <c r="N313" s="30" t="s">
        <v>155</v>
      </c>
      <c r="O313" s="24">
        <v>299</v>
      </c>
      <c r="P313" s="24">
        <v>273</v>
      </c>
      <c r="Q313" s="24">
        <v>358</v>
      </c>
      <c r="R313" s="24">
        <v>0</v>
      </c>
      <c r="S313" s="24">
        <v>0</v>
      </c>
      <c r="T313" s="24">
        <v>930</v>
      </c>
    </row>
    <row r="314" spans="1:20">
      <c r="A314" s="9" t="s">
        <v>306</v>
      </c>
      <c r="B314" s="30" t="s">
        <v>330</v>
      </c>
      <c r="C314" s="30" t="str">
        <f>CONCATENATE(VOL_VOLUMEN_SUMINISTROS[[#This Row],[Proyecto]],VOL_VOLUMEN_SUMINISTROS[[#This Row],[J]],VOL_VOLUMEN_SUMINISTROS[[#This Row],[FIN DE SEMANA]])</f>
        <v>1052-1MNO</v>
      </c>
      <c r="D314" s="365" t="str">
        <f>CONCATENATE(VOL_VOLUMEN_SUMINISTROS[[#This Row],[Grupo]],VOL_VOLUMEN_SUMINISTROS[[#This Row],[Proyecto]],VOL_VOLUMEN_SUMINISTROS[[#This Row],[FIN DE SEMANA]])</f>
        <v>131052-1NO</v>
      </c>
      <c r="E314" s="30" t="s">
        <v>147</v>
      </c>
      <c r="F314" s="30" t="s">
        <v>148</v>
      </c>
      <c r="G314" s="365">
        <v>13</v>
      </c>
      <c r="H314" s="30">
        <v>10</v>
      </c>
      <c r="I314" s="9" t="s">
        <v>331</v>
      </c>
      <c r="J314" s="9" t="s">
        <v>332</v>
      </c>
      <c r="K314" s="30">
        <v>2</v>
      </c>
      <c r="L314" s="9" t="s">
        <v>334</v>
      </c>
      <c r="M314" s="30" t="s">
        <v>84</v>
      </c>
      <c r="N314" s="30" t="s">
        <v>152</v>
      </c>
      <c r="O314" s="24">
        <v>95</v>
      </c>
      <c r="P314" s="24">
        <v>0</v>
      </c>
      <c r="Q314" s="24">
        <v>0</v>
      </c>
      <c r="R314" s="24">
        <v>0</v>
      </c>
      <c r="S314" s="24">
        <v>0</v>
      </c>
      <c r="T314" s="24">
        <v>95</v>
      </c>
    </row>
    <row r="315" spans="1:20">
      <c r="A315" s="9" t="s">
        <v>306</v>
      </c>
      <c r="B315" s="30" t="s">
        <v>330</v>
      </c>
      <c r="C315" s="30" t="str">
        <f>CONCATENATE(VOL_VOLUMEN_SUMINISTROS[[#This Row],[Proyecto]],VOL_VOLUMEN_SUMINISTROS[[#This Row],[J]],VOL_VOLUMEN_SUMINISTROS[[#This Row],[FIN DE SEMANA]])</f>
        <v>1052-1MNO</v>
      </c>
      <c r="D315" s="365" t="str">
        <f>CONCATENATE(VOL_VOLUMEN_SUMINISTROS[[#This Row],[Grupo]],VOL_VOLUMEN_SUMINISTROS[[#This Row],[Proyecto]],VOL_VOLUMEN_SUMINISTROS[[#This Row],[FIN DE SEMANA]])</f>
        <v>111052-1NO</v>
      </c>
      <c r="E315" s="30" t="s">
        <v>147</v>
      </c>
      <c r="F315" s="30" t="s">
        <v>148</v>
      </c>
      <c r="G315" s="365">
        <v>11</v>
      </c>
      <c r="H315" s="30">
        <v>10</v>
      </c>
      <c r="I315" s="9" t="s">
        <v>331</v>
      </c>
      <c r="J315" s="9" t="s">
        <v>335</v>
      </c>
      <c r="K315" s="30">
        <v>1</v>
      </c>
      <c r="L315" s="9" t="s">
        <v>336</v>
      </c>
      <c r="M315" s="30" t="s">
        <v>84</v>
      </c>
      <c r="N315" s="30" t="s">
        <v>152</v>
      </c>
      <c r="O315" s="24">
        <v>0</v>
      </c>
      <c r="P315" s="24">
        <v>369</v>
      </c>
      <c r="Q315" s="24">
        <v>779</v>
      </c>
      <c r="R315" s="24">
        <v>0</v>
      </c>
      <c r="S315" s="24">
        <v>0</v>
      </c>
      <c r="T315" s="24">
        <v>1148</v>
      </c>
    </row>
    <row r="316" spans="1:20">
      <c r="A316" s="9" t="s">
        <v>306</v>
      </c>
      <c r="B316" s="30" t="s">
        <v>330</v>
      </c>
      <c r="C316" s="30" t="str">
        <f>CONCATENATE(VOL_VOLUMEN_SUMINISTROS[[#This Row],[Proyecto]],VOL_VOLUMEN_SUMINISTROS[[#This Row],[J]],VOL_VOLUMEN_SUMINISTROS[[#This Row],[FIN DE SEMANA]])</f>
        <v>1052-1NNO</v>
      </c>
      <c r="D316" s="365" t="str">
        <f>CONCATENATE(VOL_VOLUMEN_SUMINISTROS[[#This Row],[Grupo]],VOL_VOLUMEN_SUMINISTROS[[#This Row],[Proyecto]],VOL_VOLUMEN_SUMINISTROS[[#This Row],[FIN DE SEMANA]])</f>
        <v>111052-1NO</v>
      </c>
      <c r="E316" s="30" t="s">
        <v>147</v>
      </c>
      <c r="F316" s="30" t="s">
        <v>148</v>
      </c>
      <c r="G316" s="365">
        <v>11</v>
      </c>
      <c r="H316" s="30">
        <v>10</v>
      </c>
      <c r="I316" s="9" t="s">
        <v>331</v>
      </c>
      <c r="J316" s="9" t="s">
        <v>335</v>
      </c>
      <c r="K316" s="30">
        <v>1</v>
      </c>
      <c r="L316" s="9" t="s">
        <v>336</v>
      </c>
      <c r="M316" s="30" t="s">
        <v>84</v>
      </c>
      <c r="N316" s="30" t="s">
        <v>154</v>
      </c>
      <c r="O316" s="24">
        <v>0</v>
      </c>
      <c r="P316" s="24">
        <v>0</v>
      </c>
      <c r="Q316" s="24">
        <v>0</v>
      </c>
      <c r="R316" s="24">
        <v>125</v>
      </c>
      <c r="S316" s="24">
        <v>158</v>
      </c>
      <c r="T316" s="24">
        <v>283</v>
      </c>
    </row>
    <row r="317" spans="1:20">
      <c r="A317" s="9" t="s">
        <v>306</v>
      </c>
      <c r="B317" s="30" t="s">
        <v>330</v>
      </c>
      <c r="C317" s="30" t="str">
        <f>CONCATENATE(VOL_VOLUMEN_SUMINISTROS[[#This Row],[Proyecto]],VOL_VOLUMEN_SUMINISTROS[[#This Row],[J]],VOL_VOLUMEN_SUMINISTROS[[#This Row],[FIN DE SEMANA]])</f>
        <v>1052-1TNO</v>
      </c>
      <c r="D317" s="365" t="str">
        <f>CONCATENATE(VOL_VOLUMEN_SUMINISTROS[[#This Row],[Grupo]],VOL_VOLUMEN_SUMINISTROS[[#This Row],[Proyecto]],VOL_VOLUMEN_SUMINISTROS[[#This Row],[FIN DE SEMANA]])</f>
        <v>111052-1NO</v>
      </c>
      <c r="E317" s="30" t="s">
        <v>147</v>
      </c>
      <c r="F317" s="30" t="s">
        <v>148</v>
      </c>
      <c r="G317" s="365">
        <v>11</v>
      </c>
      <c r="H317" s="30">
        <v>10</v>
      </c>
      <c r="I317" s="9" t="s">
        <v>331</v>
      </c>
      <c r="J317" s="9" t="s">
        <v>335</v>
      </c>
      <c r="K317" s="30">
        <v>1</v>
      </c>
      <c r="L317" s="9" t="s">
        <v>336</v>
      </c>
      <c r="M317" s="30" t="s">
        <v>84</v>
      </c>
      <c r="N317" s="30" t="s">
        <v>155</v>
      </c>
      <c r="O317" s="24">
        <v>0</v>
      </c>
      <c r="P317" s="24">
        <v>177</v>
      </c>
      <c r="Q317" s="24">
        <v>324</v>
      </c>
      <c r="R317" s="24">
        <v>0</v>
      </c>
      <c r="S317" s="24">
        <v>0</v>
      </c>
      <c r="T317" s="24">
        <v>501</v>
      </c>
    </row>
    <row r="318" spans="1:20">
      <c r="A318" s="9" t="s">
        <v>306</v>
      </c>
      <c r="B318" s="30" t="s">
        <v>330</v>
      </c>
      <c r="C318" s="30" t="str">
        <f>CONCATENATE(VOL_VOLUMEN_SUMINISTROS[[#This Row],[Proyecto]],VOL_VOLUMEN_SUMINISTROS[[#This Row],[J]],VOL_VOLUMEN_SUMINISTROS[[#This Row],[FIN DE SEMANA]])</f>
        <v>1052-1MNO</v>
      </c>
      <c r="D318" s="365" t="str">
        <f>CONCATENATE(VOL_VOLUMEN_SUMINISTROS[[#This Row],[Grupo]],VOL_VOLUMEN_SUMINISTROS[[#This Row],[Proyecto]],VOL_VOLUMEN_SUMINISTROS[[#This Row],[FIN DE SEMANA]])</f>
        <v>111052-1NO</v>
      </c>
      <c r="E318" s="30" t="s">
        <v>147</v>
      </c>
      <c r="F318" s="30" t="s">
        <v>148</v>
      </c>
      <c r="G318" s="365">
        <v>11</v>
      </c>
      <c r="H318" s="30">
        <v>10</v>
      </c>
      <c r="I318" s="9" t="s">
        <v>331</v>
      </c>
      <c r="J318" s="9" t="s">
        <v>335</v>
      </c>
      <c r="K318" s="30">
        <v>2</v>
      </c>
      <c r="L318" s="9" t="s">
        <v>337</v>
      </c>
      <c r="M318" s="30" t="s">
        <v>84</v>
      </c>
      <c r="N318" s="30" t="s">
        <v>152</v>
      </c>
      <c r="O318" s="24">
        <v>329</v>
      </c>
      <c r="P318" s="24">
        <v>39</v>
      </c>
      <c r="Q318" s="24">
        <v>0</v>
      </c>
      <c r="R318" s="24">
        <v>0</v>
      </c>
      <c r="S318" s="24">
        <v>0</v>
      </c>
      <c r="T318" s="24">
        <v>368</v>
      </c>
    </row>
    <row r="319" spans="1:20">
      <c r="A319" s="9" t="s">
        <v>306</v>
      </c>
      <c r="B319" s="30" t="s">
        <v>330</v>
      </c>
      <c r="C319" s="30" t="str">
        <f>CONCATENATE(VOL_VOLUMEN_SUMINISTROS[[#This Row],[Proyecto]],VOL_VOLUMEN_SUMINISTROS[[#This Row],[J]],VOL_VOLUMEN_SUMINISTROS[[#This Row],[FIN DE SEMANA]])</f>
        <v>1052-1MNO</v>
      </c>
      <c r="D319" s="365" t="str">
        <f>CONCATENATE(VOL_VOLUMEN_SUMINISTROS[[#This Row],[Grupo]],VOL_VOLUMEN_SUMINISTROS[[#This Row],[Proyecto]],VOL_VOLUMEN_SUMINISTROS[[#This Row],[FIN DE SEMANA]])</f>
        <v>111052-1NO</v>
      </c>
      <c r="E319" s="30" t="s">
        <v>147</v>
      </c>
      <c r="F319" s="30" t="s">
        <v>148</v>
      </c>
      <c r="G319" s="365">
        <v>11</v>
      </c>
      <c r="H319" s="30">
        <v>10</v>
      </c>
      <c r="I319" s="9" t="s">
        <v>331</v>
      </c>
      <c r="J319" s="9" t="s">
        <v>335</v>
      </c>
      <c r="K319" s="30">
        <v>3</v>
      </c>
      <c r="L319" s="9" t="s">
        <v>338</v>
      </c>
      <c r="M319" s="30" t="s">
        <v>84</v>
      </c>
      <c r="N319" s="30" t="s">
        <v>152</v>
      </c>
      <c r="O319" s="24">
        <v>184</v>
      </c>
      <c r="P319" s="24">
        <v>209</v>
      </c>
      <c r="Q319" s="24">
        <v>39</v>
      </c>
      <c r="R319" s="24">
        <v>0</v>
      </c>
      <c r="S319" s="24">
        <v>0</v>
      </c>
      <c r="T319" s="24">
        <v>432</v>
      </c>
    </row>
    <row r="320" spans="1:20">
      <c r="A320" s="9" t="s">
        <v>306</v>
      </c>
      <c r="B320" s="30" t="s">
        <v>330</v>
      </c>
      <c r="C320" s="30" t="str">
        <f>CONCATENATE(VOL_VOLUMEN_SUMINISTROS[[#This Row],[Proyecto]],VOL_VOLUMEN_SUMINISTROS[[#This Row],[J]],VOL_VOLUMEN_SUMINISTROS[[#This Row],[FIN DE SEMANA]])</f>
        <v>1052-1TNO</v>
      </c>
      <c r="D320" s="365" t="str">
        <f>CONCATENATE(VOL_VOLUMEN_SUMINISTROS[[#This Row],[Grupo]],VOL_VOLUMEN_SUMINISTROS[[#This Row],[Proyecto]],VOL_VOLUMEN_SUMINISTROS[[#This Row],[FIN DE SEMANA]])</f>
        <v>111052-1NO</v>
      </c>
      <c r="E320" s="30" t="s">
        <v>147</v>
      </c>
      <c r="F320" s="30" t="s">
        <v>148</v>
      </c>
      <c r="G320" s="365">
        <v>11</v>
      </c>
      <c r="H320" s="30">
        <v>10</v>
      </c>
      <c r="I320" s="9" t="s">
        <v>331</v>
      </c>
      <c r="J320" s="9" t="s">
        <v>335</v>
      </c>
      <c r="K320" s="30">
        <v>3</v>
      </c>
      <c r="L320" s="9" t="s">
        <v>338</v>
      </c>
      <c r="M320" s="30" t="s">
        <v>84</v>
      </c>
      <c r="N320" s="30" t="s">
        <v>155</v>
      </c>
      <c r="O320" s="24">
        <v>140</v>
      </c>
      <c r="P320" s="24">
        <v>148</v>
      </c>
      <c r="Q320" s="24">
        <v>26</v>
      </c>
      <c r="R320" s="24">
        <v>0</v>
      </c>
      <c r="S320" s="24">
        <v>0</v>
      </c>
      <c r="T320" s="24">
        <v>314</v>
      </c>
    </row>
    <row r="321" spans="1:20">
      <c r="A321" s="9" t="s">
        <v>306</v>
      </c>
      <c r="B321" s="30" t="s">
        <v>330</v>
      </c>
      <c r="C321" s="30" t="str">
        <f>CONCATENATE(VOL_VOLUMEN_SUMINISTROS[[#This Row],[Proyecto]],VOL_VOLUMEN_SUMINISTROS[[#This Row],[J]],VOL_VOLUMEN_SUMINISTROS[[#This Row],[FIN DE SEMANA]])</f>
        <v>1052-1MNO</v>
      </c>
      <c r="D321" s="365" t="str">
        <f>CONCATENATE(VOL_VOLUMEN_SUMINISTROS[[#This Row],[Grupo]],VOL_VOLUMEN_SUMINISTROS[[#This Row],[Proyecto]],VOL_VOLUMEN_SUMINISTROS[[#This Row],[FIN DE SEMANA]])</f>
        <v>131052-1NO</v>
      </c>
      <c r="E321" s="30" t="s">
        <v>147</v>
      </c>
      <c r="F321" s="30" t="s">
        <v>148</v>
      </c>
      <c r="G321" s="365">
        <v>13</v>
      </c>
      <c r="H321" s="30">
        <v>10</v>
      </c>
      <c r="I321" s="9" t="s">
        <v>331</v>
      </c>
      <c r="J321" s="9" t="s">
        <v>339</v>
      </c>
      <c r="K321" s="30">
        <v>1</v>
      </c>
      <c r="L321" s="9" t="s">
        <v>340</v>
      </c>
      <c r="M321" s="30" t="s">
        <v>84</v>
      </c>
      <c r="N321" s="30" t="s">
        <v>152</v>
      </c>
      <c r="O321" s="24">
        <v>0</v>
      </c>
      <c r="P321" s="24">
        <v>312</v>
      </c>
      <c r="Q321" s="24">
        <v>740</v>
      </c>
      <c r="R321" s="24">
        <v>0</v>
      </c>
      <c r="S321" s="24">
        <v>0</v>
      </c>
      <c r="T321" s="24">
        <v>1052</v>
      </c>
    </row>
    <row r="322" spans="1:20">
      <c r="A322" s="9" t="s">
        <v>306</v>
      </c>
      <c r="B322" s="30" t="s">
        <v>330</v>
      </c>
      <c r="C322" s="30" t="str">
        <f>CONCATENATE(VOL_VOLUMEN_SUMINISTROS[[#This Row],[Proyecto]],VOL_VOLUMEN_SUMINISTROS[[#This Row],[J]],VOL_VOLUMEN_SUMINISTROS[[#This Row],[FIN DE SEMANA]])</f>
        <v>1052-1TNO</v>
      </c>
      <c r="D322" s="365" t="str">
        <f>CONCATENATE(VOL_VOLUMEN_SUMINISTROS[[#This Row],[Grupo]],VOL_VOLUMEN_SUMINISTROS[[#This Row],[Proyecto]],VOL_VOLUMEN_SUMINISTROS[[#This Row],[FIN DE SEMANA]])</f>
        <v>131052-1NO</v>
      </c>
      <c r="E322" s="30" t="s">
        <v>147</v>
      </c>
      <c r="F322" s="30" t="s">
        <v>148</v>
      </c>
      <c r="G322" s="365">
        <v>13</v>
      </c>
      <c r="H322" s="30">
        <v>10</v>
      </c>
      <c r="I322" s="9" t="s">
        <v>331</v>
      </c>
      <c r="J322" s="9" t="s">
        <v>339</v>
      </c>
      <c r="K322" s="30">
        <v>1</v>
      </c>
      <c r="L322" s="9" t="s">
        <v>340</v>
      </c>
      <c r="M322" s="30" t="s">
        <v>84</v>
      </c>
      <c r="N322" s="30" t="s">
        <v>155</v>
      </c>
      <c r="O322" s="24">
        <v>0</v>
      </c>
      <c r="P322" s="24">
        <v>330</v>
      </c>
      <c r="Q322" s="24">
        <v>753</v>
      </c>
      <c r="R322" s="24">
        <v>0</v>
      </c>
      <c r="S322" s="24">
        <v>0</v>
      </c>
      <c r="T322" s="24">
        <v>1083</v>
      </c>
    </row>
    <row r="323" spans="1:20">
      <c r="A323" s="9" t="s">
        <v>306</v>
      </c>
      <c r="B323" s="30" t="s">
        <v>330</v>
      </c>
      <c r="C323" s="30" t="str">
        <f>CONCATENATE(VOL_VOLUMEN_SUMINISTROS[[#This Row],[Proyecto]],VOL_VOLUMEN_SUMINISTROS[[#This Row],[J]],VOL_VOLUMEN_SUMINISTROS[[#This Row],[FIN DE SEMANA]])</f>
        <v>1052-1MNO</v>
      </c>
      <c r="D323" s="365" t="str">
        <f>CONCATENATE(VOL_VOLUMEN_SUMINISTROS[[#This Row],[Grupo]],VOL_VOLUMEN_SUMINISTROS[[#This Row],[Proyecto]],VOL_VOLUMEN_SUMINISTROS[[#This Row],[FIN DE SEMANA]])</f>
        <v>131052-1NO</v>
      </c>
      <c r="E323" s="30" t="s">
        <v>147</v>
      </c>
      <c r="F323" s="30" t="s">
        <v>148</v>
      </c>
      <c r="G323" s="365">
        <v>13</v>
      </c>
      <c r="H323" s="30">
        <v>10</v>
      </c>
      <c r="I323" s="9" t="s">
        <v>331</v>
      </c>
      <c r="J323" s="9" t="s">
        <v>339</v>
      </c>
      <c r="K323" s="30">
        <v>2</v>
      </c>
      <c r="L323" s="9" t="s">
        <v>341</v>
      </c>
      <c r="M323" s="30" t="s">
        <v>84</v>
      </c>
      <c r="N323" s="30" t="s">
        <v>152</v>
      </c>
      <c r="O323" s="24">
        <v>78</v>
      </c>
      <c r="P323" s="24">
        <v>303</v>
      </c>
      <c r="Q323" s="24">
        <v>88</v>
      </c>
      <c r="R323" s="24">
        <v>0</v>
      </c>
      <c r="S323" s="24">
        <v>0</v>
      </c>
      <c r="T323" s="24">
        <v>469</v>
      </c>
    </row>
    <row r="324" spans="1:20">
      <c r="A324" s="9" t="s">
        <v>306</v>
      </c>
      <c r="B324" s="30" t="s">
        <v>330</v>
      </c>
      <c r="C324" s="30" t="str">
        <f>CONCATENATE(VOL_VOLUMEN_SUMINISTROS[[#This Row],[Proyecto]],VOL_VOLUMEN_SUMINISTROS[[#This Row],[J]],VOL_VOLUMEN_SUMINISTROS[[#This Row],[FIN DE SEMANA]])</f>
        <v>1052-1TNO</v>
      </c>
      <c r="D324" s="365" t="str">
        <f>CONCATENATE(VOL_VOLUMEN_SUMINISTROS[[#This Row],[Grupo]],VOL_VOLUMEN_SUMINISTROS[[#This Row],[Proyecto]],VOL_VOLUMEN_SUMINISTROS[[#This Row],[FIN DE SEMANA]])</f>
        <v>131052-1NO</v>
      </c>
      <c r="E324" s="30" t="s">
        <v>147</v>
      </c>
      <c r="F324" s="30" t="s">
        <v>148</v>
      </c>
      <c r="G324" s="365">
        <v>13</v>
      </c>
      <c r="H324" s="30">
        <v>10</v>
      </c>
      <c r="I324" s="9" t="s">
        <v>331</v>
      </c>
      <c r="J324" s="9" t="s">
        <v>339</v>
      </c>
      <c r="K324" s="30">
        <v>2</v>
      </c>
      <c r="L324" s="9" t="s">
        <v>341</v>
      </c>
      <c r="M324" s="30" t="s">
        <v>84</v>
      </c>
      <c r="N324" s="30" t="s">
        <v>155</v>
      </c>
      <c r="O324" s="24">
        <v>88</v>
      </c>
      <c r="P324" s="24">
        <v>260</v>
      </c>
      <c r="Q324" s="24">
        <v>72</v>
      </c>
      <c r="R324" s="24">
        <v>0</v>
      </c>
      <c r="S324" s="24">
        <v>0</v>
      </c>
      <c r="T324" s="24">
        <v>420</v>
      </c>
    </row>
    <row r="325" spans="1:20">
      <c r="A325" s="9" t="s">
        <v>306</v>
      </c>
      <c r="B325" s="30" t="s">
        <v>330</v>
      </c>
      <c r="C325" s="30" t="str">
        <f>CONCATENATE(VOL_VOLUMEN_SUMINISTROS[[#This Row],[Proyecto]],VOL_VOLUMEN_SUMINISTROS[[#This Row],[J]],VOL_VOLUMEN_SUMINISTROS[[#This Row],[FIN DE SEMANA]])</f>
        <v>1052-1MNO</v>
      </c>
      <c r="D325" s="365" t="str">
        <f>CONCATENATE(VOL_VOLUMEN_SUMINISTROS[[#This Row],[Grupo]],VOL_VOLUMEN_SUMINISTROS[[#This Row],[Proyecto]],VOL_VOLUMEN_SUMINISTROS[[#This Row],[FIN DE SEMANA]])</f>
        <v>131052-1NO</v>
      </c>
      <c r="E325" s="30" t="s">
        <v>147</v>
      </c>
      <c r="F325" s="30" t="s">
        <v>148</v>
      </c>
      <c r="G325" s="365">
        <v>13</v>
      </c>
      <c r="H325" s="30">
        <v>10</v>
      </c>
      <c r="I325" s="9" t="s">
        <v>331</v>
      </c>
      <c r="J325" s="9" t="s">
        <v>339</v>
      </c>
      <c r="K325" s="30">
        <v>3</v>
      </c>
      <c r="L325" s="9" t="s">
        <v>342</v>
      </c>
      <c r="M325" s="30" t="s">
        <v>84</v>
      </c>
      <c r="N325" s="30" t="s">
        <v>152</v>
      </c>
      <c r="O325" s="24">
        <v>188</v>
      </c>
      <c r="P325" s="24">
        <v>94</v>
      </c>
      <c r="Q325" s="24">
        <v>0</v>
      </c>
      <c r="R325" s="24">
        <v>0</v>
      </c>
      <c r="S325" s="24">
        <v>0</v>
      </c>
      <c r="T325" s="24">
        <v>282</v>
      </c>
    </row>
    <row r="326" spans="1:20">
      <c r="A326" s="9" t="s">
        <v>306</v>
      </c>
      <c r="B326" s="30" t="s">
        <v>330</v>
      </c>
      <c r="C326" s="30" t="str">
        <f>CONCATENATE(VOL_VOLUMEN_SUMINISTROS[[#This Row],[Proyecto]],VOL_VOLUMEN_SUMINISTROS[[#This Row],[J]],VOL_VOLUMEN_SUMINISTROS[[#This Row],[FIN DE SEMANA]])</f>
        <v>1052-1TNO</v>
      </c>
      <c r="D326" s="365" t="str">
        <f>CONCATENATE(VOL_VOLUMEN_SUMINISTROS[[#This Row],[Grupo]],VOL_VOLUMEN_SUMINISTROS[[#This Row],[Proyecto]],VOL_VOLUMEN_SUMINISTROS[[#This Row],[FIN DE SEMANA]])</f>
        <v>131052-1NO</v>
      </c>
      <c r="E326" s="30" t="s">
        <v>147</v>
      </c>
      <c r="F326" s="30" t="s">
        <v>148</v>
      </c>
      <c r="G326" s="365">
        <v>13</v>
      </c>
      <c r="H326" s="30">
        <v>10</v>
      </c>
      <c r="I326" s="9" t="s">
        <v>331</v>
      </c>
      <c r="J326" s="9" t="s">
        <v>339</v>
      </c>
      <c r="K326" s="30">
        <v>3</v>
      </c>
      <c r="L326" s="9" t="s">
        <v>342</v>
      </c>
      <c r="M326" s="30" t="s">
        <v>84</v>
      </c>
      <c r="N326" s="30" t="s">
        <v>155</v>
      </c>
      <c r="O326" s="24">
        <v>178</v>
      </c>
      <c r="P326" s="24">
        <v>89</v>
      </c>
      <c r="Q326" s="24">
        <v>0</v>
      </c>
      <c r="R326" s="24">
        <v>0</v>
      </c>
      <c r="S326" s="24">
        <v>0</v>
      </c>
      <c r="T326" s="24">
        <v>267</v>
      </c>
    </row>
    <row r="327" spans="1:20">
      <c r="A327" s="9" t="s">
        <v>306</v>
      </c>
      <c r="B327" s="30" t="s">
        <v>330</v>
      </c>
      <c r="C327" s="30" t="str">
        <f>CONCATENATE(VOL_VOLUMEN_SUMINISTROS[[#This Row],[Proyecto]],VOL_VOLUMEN_SUMINISTROS[[#This Row],[J]],VOL_VOLUMEN_SUMINISTROS[[#This Row],[FIN DE SEMANA]])</f>
        <v>1052-1MNO</v>
      </c>
      <c r="D327" s="365" t="str">
        <f>CONCATENATE(VOL_VOLUMEN_SUMINISTROS[[#This Row],[Grupo]],VOL_VOLUMEN_SUMINISTROS[[#This Row],[Proyecto]],VOL_VOLUMEN_SUMINISTROS[[#This Row],[FIN DE SEMANA]])</f>
        <v>131052-1NO</v>
      </c>
      <c r="E327" s="30" t="s">
        <v>147</v>
      </c>
      <c r="F327" s="30" t="s">
        <v>148</v>
      </c>
      <c r="G327" s="365">
        <v>13</v>
      </c>
      <c r="H327" s="30">
        <v>10</v>
      </c>
      <c r="I327" s="9" t="s">
        <v>331</v>
      </c>
      <c r="J327" s="9" t="s">
        <v>339</v>
      </c>
      <c r="K327" s="30">
        <v>4</v>
      </c>
      <c r="L327" s="9" t="s">
        <v>343</v>
      </c>
      <c r="M327" s="30" t="s">
        <v>84</v>
      </c>
      <c r="N327" s="30" t="s">
        <v>152</v>
      </c>
      <c r="O327" s="24">
        <v>198</v>
      </c>
      <c r="P327" s="24">
        <v>25</v>
      </c>
      <c r="Q327" s="24">
        <v>0</v>
      </c>
      <c r="R327" s="24">
        <v>0</v>
      </c>
      <c r="S327" s="24">
        <v>0</v>
      </c>
      <c r="T327" s="24">
        <v>223</v>
      </c>
    </row>
    <row r="328" spans="1:20">
      <c r="A328" s="9" t="s">
        <v>306</v>
      </c>
      <c r="B328" s="30" t="s">
        <v>330</v>
      </c>
      <c r="C328" s="30" t="str">
        <f>CONCATENATE(VOL_VOLUMEN_SUMINISTROS[[#This Row],[Proyecto]],VOL_VOLUMEN_SUMINISTROS[[#This Row],[J]],VOL_VOLUMEN_SUMINISTROS[[#This Row],[FIN DE SEMANA]])</f>
        <v>1052-1TNO</v>
      </c>
      <c r="D328" s="365" t="str">
        <f>CONCATENATE(VOL_VOLUMEN_SUMINISTROS[[#This Row],[Grupo]],VOL_VOLUMEN_SUMINISTROS[[#This Row],[Proyecto]],VOL_VOLUMEN_SUMINISTROS[[#This Row],[FIN DE SEMANA]])</f>
        <v>131052-1NO</v>
      </c>
      <c r="E328" s="30" t="s">
        <v>147</v>
      </c>
      <c r="F328" s="30" t="s">
        <v>148</v>
      </c>
      <c r="G328" s="365">
        <v>13</v>
      </c>
      <c r="H328" s="30">
        <v>10</v>
      </c>
      <c r="I328" s="9" t="s">
        <v>331</v>
      </c>
      <c r="J328" s="9" t="s">
        <v>339</v>
      </c>
      <c r="K328" s="30">
        <v>4</v>
      </c>
      <c r="L328" s="9" t="s">
        <v>343</v>
      </c>
      <c r="M328" s="30" t="s">
        <v>84</v>
      </c>
      <c r="N328" s="30" t="s">
        <v>155</v>
      </c>
      <c r="O328" s="24">
        <v>169</v>
      </c>
      <c r="P328" s="24">
        <v>9</v>
      </c>
      <c r="Q328" s="24">
        <v>0</v>
      </c>
      <c r="R328" s="24">
        <v>0</v>
      </c>
      <c r="S328" s="24">
        <v>0</v>
      </c>
      <c r="T328" s="24">
        <v>178</v>
      </c>
    </row>
    <row r="329" spans="1:20">
      <c r="A329" s="9" t="s">
        <v>306</v>
      </c>
      <c r="B329" s="30" t="s">
        <v>330</v>
      </c>
      <c r="C329" s="30" t="str">
        <f>CONCATENATE(VOL_VOLUMEN_SUMINISTROS[[#This Row],[Proyecto]],VOL_VOLUMEN_SUMINISTROS[[#This Row],[J]],VOL_VOLUMEN_SUMINISTROS[[#This Row],[FIN DE SEMANA]])</f>
        <v>1052-1MNO</v>
      </c>
      <c r="D329" s="365" t="str">
        <f>CONCATENATE(VOL_VOLUMEN_SUMINISTROS[[#This Row],[Grupo]],VOL_VOLUMEN_SUMINISTROS[[#This Row],[Proyecto]],VOL_VOLUMEN_SUMINISTROS[[#This Row],[FIN DE SEMANA]])</f>
        <v>111052-1NO</v>
      </c>
      <c r="E329" s="30" t="s">
        <v>147</v>
      </c>
      <c r="F329" s="30" t="s">
        <v>148</v>
      </c>
      <c r="G329" s="365">
        <v>11</v>
      </c>
      <c r="H329" s="30">
        <v>10</v>
      </c>
      <c r="I329" s="9" t="s">
        <v>331</v>
      </c>
      <c r="J329" s="9" t="s">
        <v>344</v>
      </c>
      <c r="K329" s="30">
        <v>1</v>
      </c>
      <c r="L329" s="9" t="s">
        <v>345</v>
      </c>
      <c r="M329" s="30" t="s">
        <v>84</v>
      </c>
      <c r="N329" s="30" t="s">
        <v>152</v>
      </c>
      <c r="O329" s="24">
        <v>144</v>
      </c>
      <c r="P329" s="24">
        <v>248</v>
      </c>
      <c r="Q329" s="24">
        <v>337</v>
      </c>
      <c r="R329" s="24">
        <v>0</v>
      </c>
      <c r="S329" s="24">
        <v>0</v>
      </c>
      <c r="T329" s="24">
        <v>729</v>
      </c>
    </row>
    <row r="330" spans="1:20">
      <c r="A330" s="9" t="s">
        <v>306</v>
      </c>
      <c r="B330" s="30" t="s">
        <v>330</v>
      </c>
      <c r="C330" s="30" t="str">
        <f>CONCATENATE(VOL_VOLUMEN_SUMINISTROS[[#This Row],[Proyecto]],VOL_VOLUMEN_SUMINISTROS[[#This Row],[J]],VOL_VOLUMEN_SUMINISTROS[[#This Row],[FIN DE SEMANA]])</f>
        <v>1052-1NNO</v>
      </c>
      <c r="D330" s="365" t="str">
        <f>CONCATENATE(VOL_VOLUMEN_SUMINISTROS[[#This Row],[Grupo]],VOL_VOLUMEN_SUMINISTROS[[#This Row],[Proyecto]],VOL_VOLUMEN_SUMINISTROS[[#This Row],[FIN DE SEMANA]])</f>
        <v>111052-1NO</v>
      </c>
      <c r="E330" s="30" t="s">
        <v>147</v>
      </c>
      <c r="F330" s="30" t="s">
        <v>148</v>
      </c>
      <c r="G330" s="365">
        <v>11</v>
      </c>
      <c r="H330" s="30">
        <v>10</v>
      </c>
      <c r="I330" s="9" t="s">
        <v>331</v>
      </c>
      <c r="J330" s="9" t="s">
        <v>344</v>
      </c>
      <c r="K330" s="30">
        <v>1</v>
      </c>
      <c r="L330" s="9" t="s">
        <v>345</v>
      </c>
      <c r="M330" s="30" t="s">
        <v>84</v>
      </c>
      <c r="N330" s="30" t="s">
        <v>154</v>
      </c>
      <c r="O330" s="24">
        <v>0</v>
      </c>
      <c r="P330" s="24">
        <v>0</v>
      </c>
      <c r="Q330" s="24">
        <v>0</v>
      </c>
      <c r="R330" s="24">
        <v>113</v>
      </c>
      <c r="S330" s="24">
        <v>147</v>
      </c>
      <c r="T330" s="24">
        <v>260</v>
      </c>
    </row>
    <row r="331" spans="1:20">
      <c r="A331" s="9" t="s">
        <v>306</v>
      </c>
      <c r="B331" s="30" t="s">
        <v>330</v>
      </c>
      <c r="C331" s="30" t="str">
        <f>CONCATENATE(VOL_VOLUMEN_SUMINISTROS[[#This Row],[Proyecto]],VOL_VOLUMEN_SUMINISTROS[[#This Row],[J]],VOL_VOLUMEN_SUMINISTROS[[#This Row],[FIN DE SEMANA]])</f>
        <v>1052-1TNO</v>
      </c>
      <c r="D331" s="365" t="str">
        <f>CONCATENATE(VOL_VOLUMEN_SUMINISTROS[[#This Row],[Grupo]],VOL_VOLUMEN_SUMINISTROS[[#This Row],[Proyecto]],VOL_VOLUMEN_SUMINISTROS[[#This Row],[FIN DE SEMANA]])</f>
        <v>111052-1NO</v>
      </c>
      <c r="E331" s="30" t="s">
        <v>147</v>
      </c>
      <c r="F331" s="30" t="s">
        <v>148</v>
      </c>
      <c r="G331" s="365">
        <v>11</v>
      </c>
      <c r="H331" s="30">
        <v>10</v>
      </c>
      <c r="I331" s="9" t="s">
        <v>331</v>
      </c>
      <c r="J331" s="9" t="s">
        <v>344</v>
      </c>
      <c r="K331" s="30">
        <v>1</v>
      </c>
      <c r="L331" s="9" t="s">
        <v>345</v>
      </c>
      <c r="M331" s="30" t="s">
        <v>84</v>
      </c>
      <c r="N331" s="30" t="s">
        <v>155</v>
      </c>
      <c r="O331" s="24">
        <v>103</v>
      </c>
      <c r="P331" s="24">
        <v>171</v>
      </c>
      <c r="Q331" s="24">
        <v>207</v>
      </c>
      <c r="R331" s="24">
        <v>0</v>
      </c>
      <c r="S331" s="24">
        <v>0</v>
      </c>
      <c r="T331" s="24">
        <v>481</v>
      </c>
    </row>
    <row r="332" spans="1:20">
      <c r="A332" s="9" t="s">
        <v>306</v>
      </c>
      <c r="B332" s="30" t="s">
        <v>330</v>
      </c>
      <c r="C332" s="30" t="str">
        <f>CONCATENATE(VOL_VOLUMEN_SUMINISTROS[[#This Row],[Proyecto]],VOL_VOLUMEN_SUMINISTROS[[#This Row],[J]],VOL_VOLUMEN_SUMINISTROS[[#This Row],[FIN DE SEMANA]])</f>
        <v>1052-1MNO</v>
      </c>
      <c r="D332" s="365" t="str">
        <f>CONCATENATE(VOL_VOLUMEN_SUMINISTROS[[#This Row],[Grupo]],VOL_VOLUMEN_SUMINISTROS[[#This Row],[Proyecto]],VOL_VOLUMEN_SUMINISTROS[[#This Row],[FIN DE SEMANA]])</f>
        <v>111052-1NO</v>
      </c>
      <c r="E332" s="30" t="s">
        <v>147</v>
      </c>
      <c r="F332" s="30" t="s">
        <v>148</v>
      </c>
      <c r="G332" s="365">
        <v>11</v>
      </c>
      <c r="H332" s="30">
        <v>10</v>
      </c>
      <c r="I332" s="9" t="s">
        <v>331</v>
      </c>
      <c r="J332" s="9" t="s">
        <v>346</v>
      </c>
      <c r="K332" s="30">
        <v>1</v>
      </c>
      <c r="L332" s="9" t="s">
        <v>347</v>
      </c>
      <c r="M332" s="30" t="s">
        <v>84</v>
      </c>
      <c r="N332" s="30" t="s">
        <v>152</v>
      </c>
      <c r="O332" s="24">
        <v>50</v>
      </c>
      <c r="P332" s="24">
        <v>180</v>
      </c>
      <c r="Q332" s="24">
        <v>445</v>
      </c>
      <c r="R332" s="24">
        <v>0</v>
      </c>
      <c r="S332" s="24">
        <v>0</v>
      </c>
      <c r="T332" s="24">
        <v>675</v>
      </c>
    </row>
    <row r="333" spans="1:20">
      <c r="A333" s="9" t="s">
        <v>306</v>
      </c>
      <c r="B333" s="30" t="s">
        <v>330</v>
      </c>
      <c r="C333" s="30" t="str">
        <f>CONCATENATE(VOL_VOLUMEN_SUMINISTROS[[#This Row],[Proyecto]],VOL_VOLUMEN_SUMINISTROS[[#This Row],[J]],VOL_VOLUMEN_SUMINISTROS[[#This Row],[FIN DE SEMANA]])</f>
        <v>1052-1TNO</v>
      </c>
      <c r="D333" s="365" t="str">
        <f>CONCATENATE(VOL_VOLUMEN_SUMINISTROS[[#This Row],[Grupo]],VOL_VOLUMEN_SUMINISTROS[[#This Row],[Proyecto]],VOL_VOLUMEN_SUMINISTROS[[#This Row],[FIN DE SEMANA]])</f>
        <v>111052-1NO</v>
      </c>
      <c r="E333" s="30" t="s">
        <v>147</v>
      </c>
      <c r="F333" s="30" t="s">
        <v>148</v>
      </c>
      <c r="G333" s="365">
        <v>11</v>
      </c>
      <c r="H333" s="30">
        <v>10</v>
      </c>
      <c r="I333" s="9" t="s">
        <v>331</v>
      </c>
      <c r="J333" s="9" t="s">
        <v>346</v>
      </c>
      <c r="K333" s="30">
        <v>1</v>
      </c>
      <c r="L333" s="9" t="s">
        <v>348</v>
      </c>
      <c r="M333" s="30" t="s">
        <v>84</v>
      </c>
      <c r="N333" s="30" t="s">
        <v>155</v>
      </c>
      <c r="O333" s="24">
        <v>203</v>
      </c>
      <c r="P333" s="24">
        <v>231</v>
      </c>
      <c r="Q333" s="24">
        <v>51</v>
      </c>
      <c r="R333" s="24">
        <v>0</v>
      </c>
      <c r="S333" s="24">
        <v>0</v>
      </c>
      <c r="T333" s="24">
        <v>485</v>
      </c>
    </row>
    <row r="334" spans="1:20">
      <c r="A334" s="9" t="s">
        <v>306</v>
      </c>
      <c r="B334" s="30" t="s">
        <v>330</v>
      </c>
      <c r="C334" s="30" t="str">
        <f>CONCATENATE(VOL_VOLUMEN_SUMINISTROS[[#This Row],[Proyecto]],VOL_VOLUMEN_SUMINISTROS[[#This Row],[J]],VOL_VOLUMEN_SUMINISTROS[[#This Row],[FIN DE SEMANA]])</f>
        <v>1052-1MNO</v>
      </c>
      <c r="D334" s="365" t="str">
        <f>CONCATENATE(VOL_VOLUMEN_SUMINISTROS[[#This Row],[Grupo]],VOL_VOLUMEN_SUMINISTROS[[#This Row],[Proyecto]],VOL_VOLUMEN_SUMINISTROS[[#This Row],[FIN DE SEMANA]])</f>
        <v>131052-1NO</v>
      </c>
      <c r="E334" s="30" t="s">
        <v>147</v>
      </c>
      <c r="F334" s="30" t="s">
        <v>148</v>
      </c>
      <c r="G334" s="365">
        <v>13</v>
      </c>
      <c r="H334" s="30">
        <v>10</v>
      </c>
      <c r="I334" s="9" t="s">
        <v>331</v>
      </c>
      <c r="J334" s="9" t="s">
        <v>349</v>
      </c>
      <c r="K334" s="30">
        <v>1</v>
      </c>
      <c r="L334" s="9" t="s">
        <v>196</v>
      </c>
      <c r="M334" s="30" t="s">
        <v>84</v>
      </c>
      <c r="N334" s="30" t="s">
        <v>152</v>
      </c>
      <c r="O334" s="24">
        <v>0</v>
      </c>
      <c r="P334" s="24">
        <v>168</v>
      </c>
      <c r="Q334" s="24">
        <v>278</v>
      </c>
      <c r="R334" s="24">
        <v>0</v>
      </c>
      <c r="S334" s="24">
        <v>0</v>
      </c>
      <c r="T334" s="24">
        <v>446</v>
      </c>
    </row>
    <row r="335" spans="1:20">
      <c r="A335" s="9" t="s">
        <v>306</v>
      </c>
      <c r="B335" s="30" t="s">
        <v>330</v>
      </c>
      <c r="C335" s="30" t="str">
        <f>CONCATENATE(VOL_VOLUMEN_SUMINISTROS[[#This Row],[Proyecto]],VOL_VOLUMEN_SUMINISTROS[[#This Row],[J]],VOL_VOLUMEN_SUMINISTROS[[#This Row],[FIN DE SEMANA]])</f>
        <v>1052-1TNO</v>
      </c>
      <c r="D335" s="365" t="str">
        <f>CONCATENATE(VOL_VOLUMEN_SUMINISTROS[[#This Row],[Grupo]],VOL_VOLUMEN_SUMINISTROS[[#This Row],[Proyecto]],VOL_VOLUMEN_SUMINISTROS[[#This Row],[FIN DE SEMANA]])</f>
        <v>131052-1NO</v>
      </c>
      <c r="E335" s="30" t="s">
        <v>147</v>
      </c>
      <c r="F335" s="30" t="s">
        <v>148</v>
      </c>
      <c r="G335" s="365">
        <v>13</v>
      </c>
      <c r="H335" s="30">
        <v>10</v>
      </c>
      <c r="I335" s="9" t="s">
        <v>331</v>
      </c>
      <c r="J335" s="9" t="s">
        <v>349</v>
      </c>
      <c r="K335" s="30">
        <v>1</v>
      </c>
      <c r="L335" s="9" t="s">
        <v>196</v>
      </c>
      <c r="M335" s="30" t="s">
        <v>84</v>
      </c>
      <c r="N335" s="30" t="s">
        <v>155</v>
      </c>
      <c r="O335" s="24">
        <v>0</v>
      </c>
      <c r="P335" s="24">
        <v>150</v>
      </c>
      <c r="Q335" s="24">
        <v>264</v>
      </c>
      <c r="R335" s="24">
        <v>0</v>
      </c>
      <c r="S335" s="24">
        <v>0</v>
      </c>
      <c r="T335" s="24">
        <v>414</v>
      </c>
    </row>
    <row r="336" spans="1:20">
      <c r="A336" s="9" t="s">
        <v>306</v>
      </c>
      <c r="B336" s="30" t="s">
        <v>330</v>
      </c>
      <c r="C336" s="30" t="str">
        <f>CONCATENATE(VOL_VOLUMEN_SUMINISTROS[[#This Row],[Proyecto]],VOL_VOLUMEN_SUMINISTROS[[#This Row],[J]],VOL_VOLUMEN_SUMINISTROS[[#This Row],[FIN DE SEMANA]])</f>
        <v>1052-1MNO</v>
      </c>
      <c r="D336" s="365" t="str">
        <f>CONCATENATE(VOL_VOLUMEN_SUMINISTROS[[#This Row],[Grupo]],VOL_VOLUMEN_SUMINISTROS[[#This Row],[Proyecto]],VOL_VOLUMEN_SUMINISTROS[[#This Row],[FIN DE SEMANA]])</f>
        <v>131052-1NO</v>
      </c>
      <c r="E336" s="30" t="s">
        <v>147</v>
      </c>
      <c r="F336" s="30" t="s">
        <v>148</v>
      </c>
      <c r="G336" s="365">
        <v>13</v>
      </c>
      <c r="H336" s="30">
        <v>10</v>
      </c>
      <c r="I336" s="9" t="s">
        <v>331</v>
      </c>
      <c r="J336" s="9" t="s">
        <v>349</v>
      </c>
      <c r="K336" s="30">
        <v>2</v>
      </c>
      <c r="L336" s="9" t="s">
        <v>350</v>
      </c>
      <c r="M336" s="30" t="s">
        <v>84</v>
      </c>
      <c r="N336" s="30" t="s">
        <v>152</v>
      </c>
      <c r="O336" s="24">
        <v>220</v>
      </c>
      <c r="P336" s="24">
        <v>126</v>
      </c>
      <c r="Q336" s="24">
        <v>20</v>
      </c>
      <c r="R336" s="24">
        <v>0</v>
      </c>
      <c r="S336" s="24">
        <v>0</v>
      </c>
      <c r="T336" s="24">
        <v>366</v>
      </c>
    </row>
    <row r="337" spans="1:20">
      <c r="A337" s="9" t="s">
        <v>306</v>
      </c>
      <c r="B337" s="30" t="s">
        <v>330</v>
      </c>
      <c r="C337" s="30" t="str">
        <f>CONCATENATE(VOL_VOLUMEN_SUMINISTROS[[#This Row],[Proyecto]],VOL_VOLUMEN_SUMINISTROS[[#This Row],[J]],VOL_VOLUMEN_SUMINISTROS[[#This Row],[FIN DE SEMANA]])</f>
        <v>1052-1TNO</v>
      </c>
      <c r="D337" s="365" t="str">
        <f>CONCATENATE(VOL_VOLUMEN_SUMINISTROS[[#This Row],[Grupo]],VOL_VOLUMEN_SUMINISTROS[[#This Row],[Proyecto]],VOL_VOLUMEN_SUMINISTROS[[#This Row],[FIN DE SEMANA]])</f>
        <v>131052-1NO</v>
      </c>
      <c r="E337" s="30" t="s">
        <v>147</v>
      </c>
      <c r="F337" s="30" t="s">
        <v>148</v>
      </c>
      <c r="G337" s="365">
        <v>13</v>
      </c>
      <c r="H337" s="30">
        <v>10</v>
      </c>
      <c r="I337" s="9" t="s">
        <v>331</v>
      </c>
      <c r="J337" s="9" t="s">
        <v>349</v>
      </c>
      <c r="K337" s="30">
        <v>2</v>
      </c>
      <c r="L337" s="9" t="s">
        <v>350</v>
      </c>
      <c r="M337" s="30" t="s">
        <v>84</v>
      </c>
      <c r="N337" s="30" t="s">
        <v>155</v>
      </c>
      <c r="O337" s="24">
        <v>203</v>
      </c>
      <c r="P337" s="24">
        <v>119</v>
      </c>
      <c r="Q337" s="24">
        <v>20</v>
      </c>
      <c r="R337" s="24">
        <v>0</v>
      </c>
      <c r="S337" s="24">
        <v>0</v>
      </c>
      <c r="T337" s="24">
        <v>342</v>
      </c>
    </row>
    <row r="338" spans="1:20">
      <c r="A338" s="9" t="s">
        <v>306</v>
      </c>
      <c r="B338" s="30" t="s">
        <v>330</v>
      </c>
      <c r="C338" s="30" t="str">
        <f>CONCATENATE(VOL_VOLUMEN_SUMINISTROS[[#This Row],[Proyecto]],VOL_VOLUMEN_SUMINISTROS[[#This Row],[J]],VOL_VOLUMEN_SUMINISTROS[[#This Row],[FIN DE SEMANA]])</f>
        <v>1052-1MNO</v>
      </c>
      <c r="D338" s="365" t="str">
        <f>CONCATENATE(VOL_VOLUMEN_SUMINISTROS[[#This Row],[Grupo]],VOL_VOLUMEN_SUMINISTROS[[#This Row],[Proyecto]],VOL_VOLUMEN_SUMINISTROS[[#This Row],[FIN DE SEMANA]])</f>
        <v>131052-1NO</v>
      </c>
      <c r="E338" s="30" t="s">
        <v>147</v>
      </c>
      <c r="F338" s="30" t="s">
        <v>148</v>
      </c>
      <c r="G338" s="365">
        <v>13</v>
      </c>
      <c r="H338" s="30">
        <v>10</v>
      </c>
      <c r="I338" s="9" t="s">
        <v>331</v>
      </c>
      <c r="J338" s="9" t="s">
        <v>351</v>
      </c>
      <c r="K338" s="30">
        <v>1</v>
      </c>
      <c r="L338" s="9" t="s">
        <v>352</v>
      </c>
      <c r="M338" s="30" t="s">
        <v>84</v>
      </c>
      <c r="N338" s="30" t="s">
        <v>152</v>
      </c>
      <c r="O338" s="24">
        <v>0</v>
      </c>
      <c r="P338" s="24">
        <v>144</v>
      </c>
      <c r="Q338" s="24">
        <v>478</v>
      </c>
      <c r="R338" s="24">
        <v>0</v>
      </c>
      <c r="S338" s="24">
        <v>0</v>
      </c>
      <c r="T338" s="24">
        <v>622</v>
      </c>
    </row>
    <row r="339" spans="1:20">
      <c r="A339" s="9" t="s">
        <v>306</v>
      </c>
      <c r="B339" s="30" t="s">
        <v>330</v>
      </c>
      <c r="C339" s="30" t="str">
        <f>CONCATENATE(VOL_VOLUMEN_SUMINISTROS[[#This Row],[Proyecto]],VOL_VOLUMEN_SUMINISTROS[[#This Row],[J]],VOL_VOLUMEN_SUMINISTROS[[#This Row],[FIN DE SEMANA]])</f>
        <v>1052-1TNO</v>
      </c>
      <c r="D339" s="365" t="str">
        <f>CONCATENATE(VOL_VOLUMEN_SUMINISTROS[[#This Row],[Grupo]],VOL_VOLUMEN_SUMINISTROS[[#This Row],[Proyecto]],VOL_VOLUMEN_SUMINISTROS[[#This Row],[FIN DE SEMANA]])</f>
        <v>131052-1NO</v>
      </c>
      <c r="E339" s="30" t="s">
        <v>147</v>
      </c>
      <c r="F339" s="30" t="s">
        <v>148</v>
      </c>
      <c r="G339" s="365">
        <v>13</v>
      </c>
      <c r="H339" s="30">
        <v>10</v>
      </c>
      <c r="I339" s="9" t="s">
        <v>331</v>
      </c>
      <c r="J339" s="9" t="s">
        <v>351</v>
      </c>
      <c r="K339" s="30">
        <v>1</v>
      </c>
      <c r="L339" s="9" t="s">
        <v>352</v>
      </c>
      <c r="M339" s="30" t="s">
        <v>84</v>
      </c>
      <c r="N339" s="30" t="s">
        <v>155</v>
      </c>
      <c r="O339" s="24">
        <v>0</v>
      </c>
      <c r="P339" s="24">
        <v>135</v>
      </c>
      <c r="Q339" s="24">
        <v>344</v>
      </c>
      <c r="R339" s="24">
        <v>0</v>
      </c>
      <c r="S339" s="24">
        <v>0</v>
      </c>
      <c r="T339" s="24">
        <v>479</v>
      </c>
    </row>
    <row r="340" spans="1:20">
      <c r="A340" s="9" t="s">
        <v>306</v>
      </c>
      <c r="B340" s="30" t="s">
        <v>330</v>
      </c>
      <c r="C340" s="30" t="str">
        <f>CONCATENATE(VOL_VOLUMEN_SUMINISTROS[[#This Row],[Proyecto]],VOL_VOLUMEN_SUMINISTROS[[#This Row],[J]],VOL_VOLUMEN_SUMINISTROS[[#This Row],[FIN DE SEMANA]])</f>
        <v>1052-1MNO</v>
      </c>
      <c r="D340" s="365" t="str">
        <f>CONCATENATE(VOL_VOLUMEN_SUMINISTROS[[#This Row],[Grupo]],VOL_VOLUMEN_SUMINISTROS[[#This Row],[Proyecto]],VOL_VOLUMEN_SUMINISTROS[[#This Row],[FIN DE SEMANA]])</f>
        <v>131052-1NO</v>
      </c>
      <c r="E340" s="30" t="s">
        <v>147</v>
      </c>
      <c r="F340" s="30" t="s">
        <v>148</v>
      </c>
      <c r="G340" s="365">
        <v>13</v>
      </c>
      <c r="H340" s="30">
        <v>10</v>
      </c>
      <c r="I340" s="9" t="s">
        <v>331</v>
      </c>
      <c r="J340" s="9" t="s">
        <v>351</v>
      </c>
      <c r="K340" s="30">
        <v>2</v>
      </c>
      <c r="L340" s="9" t="s">
        <v>353</v>
      </c>
      <c r="M340" s="30" t="s">
        <v>84</v>
      </c>
      <c r="N340" s="30" t="s">
        <v>152</v>
      </c>
      <c r="O340" s="24">
        <v>94</v>
      </c>
      <c r="P340" s="24">
        <v>179</v>
      </c>
      <c r="Q340" s="24">
        <v>44</v>
      </c>
      <c r="R340" s="24">
        <v>0</v>
      </c>
      <c r="S340" s="24">
        <v>0</v>
      </c>
      <c r="T340" s="24">
        <v>317</v>
      </c>
    </row>
    <row r="341" spans="1:20">
      <c r="A341" s="9" t="s">
        <v>306</v>
      </c>
      <c r="B341" s="30" t="s">
        <v>330</v>
      </c>
      <c r="C341" s="30" t="str">
        <f>CONCATENATE(VOL_VOLUMEN_SUMINISTROS[[#This Row],[Proyecto]],VOL_VOLUMEN_SUMINISTROS[[#This Row],[J]],VOL_VOLUMEN_SUMINISTROS[[#This Row],[FIN DE SEMANA]])</f>
        <v>1052-1TNO</v>
      </c>
      <c r="D341" s="365" t="str">
        <f>CONCATENATE(VOL_VOLUMEN_SUMINISTROS[[#This Row],[Grupo]],VOL_VOLUMEN_SUMINISTROS[[#This Row],[Proyecto]],VOL_VOLUMEN_SUMINISTROS[[#This Row],[FIN DE SEMANA]])</f>
        <v>131052-1NO</v>
      </c>
      <c r="E341" s="30" t="s">
        <v>147</v>
      </c>
      <c r="F341" s="30" t="s">
        <v>148</v>
      </c>
      <c r="G341" s="365">
        <v>13</v>
      </c>
      <c r="H341" s="30">
        <v>10</v>
      </c>
      <c r="I341" s="9" t="s">
        <v>331</v>
      </c>
      <c r="J341" s="9" t="s">
        <v>351</v>
      </c>
      <c r="K341" s="30">
        <v>2</v>
      </c>
      <c r="L341" s="9" t="s">
        <v>353</v>
      </c>
      <c r="M341" s="30" t="s">
        <v>84</v>
      </c>
      <c r="N341" s="30" t="s">
        <v>155</v>
      </c>
      <c r="O341" s="24">
        <v>46</v>
      </c>
      <c r="P341" s="24">
        <v>137</v>
      </c>
      <c r="Q341" s="24">
        <v>38</v>
      </c>
      <c r="R341" s="24">
        <v>0</v>
      </c>
      <c r="S341" s="24">
        <v>0</v>
      </c>
      <c r="T341" s="24">
        <v>221</v>
      </c>
    </row>
    <row r="342" spans="1:20">
      <c r="A342" s="9" t="s">
        <v>306</v>
      </c>
      <c r="B342" s="30" t="s">
        <v>330</v>
      </c>
      <c r="C342" s="30" t="str">
        <f>CONCATENATE(VOL_VOLUMEN_SUMINISTROS[[#This Row],[Proyecto]],VOL_VOLUMEN_SUMINISTROS[[#This Row],[J]],VOL_VOLUMEN_SUMINISTROS[[#This Row],[FIN DE SEMANA]])</f>
        <v>1052-1MNO</v>
      </c>
      <c r="D342" s="365" t="str">
        <f>CONCATENATE(VOL_VOLUMEN_SUMINISTROS[[#This Row],[Grupo]],VOL_VOLUMEN_SUMINISTROS[[#This Row],[Proyecto]],VOL_VOLUMEN_SUMINISTROS[[#This Row],[FIN DE SEMANA]])</f>
        <v>131052-1NO</v>
      </c>
      <c r="E342" s="30" t="s">
        <v>147</v>
      </c>
      <c r="F342" s="30" t="s">
        <v>148</v>
      </c>
      <c r="G342" s="365">
        <v>13</v>
      </c>
      <c r="H342" s="30">
        <v>10</v>
      </c>
      <c r="I342" s="9" t="s">
        <v>331</v>
      </c>
      <c r="J342" s="9" t="s">
        <v>351</v>
      </c>
      <c r="K342" s="30">
        <v>3</v>
      </c>
      <c r="L342" s="9" t="s">
        <v>354</v>
      </c>
      <c r="M342" s="30" t="s">
        <v>84</v>
      </c>
      <c r="N342" s="30" t="s">
        <v>152</v>
      </c>
      <c r="O342" s="24">
        <v>156</v>
      </c>
      <c r="P342" s="24">
        <v>39</v>
      </c>
      <c r="Q342" s="24">
        <v>0</v>
      </c>
      <c r="R342" s="24">
        <v>0</v>
      </c>
      <c r="S342" s="24">
        <v>0</v>
      </c>
      <c r="T342" s="24">
        <v>195</v>
      </c>
    </row>
    <row r="343" spans="1:20">
      <c r="A343" s="9" t="s">
        <v>306</v>
      </c>
      <c r="B343" s="30" t="s">
        <v>330</v>
      </c>
      <c r="C343" s="30" t="str">
        <f>CONCATENATE(VOL_VOLUMEN_SUMINISTROS[[#This Row],[Proyecto]],VOL_VOLUMEN_SUMINISTROS[[#This Row],[J]],VOL_VOLUMEN_SUMINISTROS[[#This Row],[FIN DE SEMANA]])</f>
        <v>1052-1TNO</v>
      </c>
      <c r="D343" s="365" t="str">
        <f>CONCATENATE(VOL_VOLUMEN_SUMINISTROS[[#This Row],[Grupo]],VOL_VOLUMEN_SUMINISTROS[[#This Row],[Proyecto]],VOL_VOLUMEN_SUMINISTROS[[#This Row],[FIN DE SEMANA]])</f>
        <v>131052-1NO</v>
      </c>
      <c r="E343" s="30" t="s">
        <v>147</v>
      </c>
      <c r="F343" s="30" t="s">
        <v>148</v>
      </c>
      <c r="G343" s="365">
        <v>13</v>
      </c>
      <c r="H343" s="30">
        <v>10</v>
      </c>
      <c r="I343" s="9" t="s">
        <v>331</v>
      </c>
      <c r="J343" s="9" t="s">
        <v>351</v>
      </c>
      <c r="K343" s="30">
        <v>3</v>
      </c>
      <c r="L343" s="9" t="s">
        <v>354</v>
      </c>
      <c r="M343" s="30" t="s">
        <v>84</v>
      </c>
      <c r="N343" s="30" t="s">
        <v>155</v>
      </c>
      <c r="O343" s="24">
        <v>162</v>
      </c>
      <c r="P343" s="24">
        <v>54</v>
      </c>
      <c r="Q343" s="24">
        <v>0</v>
      </c>
      <c r="R343" s="24">
        <v>0</v>
      </c>
      <c r="S343" s="24">
        <v>0</v>
      </c>
      <c r="T343" s="24">
        <v>216</v>
      </c>
    </row>
    <row r="344" spans="1:20">
      <c r="A344" s="9" t="s">
        <v>306</v>
      </c>
      <c r="B344" s="30" t="s">
        <v>330</v>
      </c>
      <c r="C344" s="30" t="str">
        <f>CONCATENATE(VOL_VOLUMEN_SUMINISTROS[[#This Row],[Proyecto]],VOL_VOLUMEN_SUMINISTROS[[#This Row],[J]],VOL_VOLUMEN_SUMINISTROS[[#This Row],[FIN DE SEMANA]])</f>
        <v>1052-1MNO</v>
      </c>
      <c r="D344" s="365" t="str">
        <f>CONCATENATE(VOL_VOLUMEN_SUMINISTROS[[#This Row],[Grupo]],VOL_VOLUMEN_SUMINISTROS[[#This Row],[Proyecto]],VOL_VOLUMEN_SUMINISTROS[[#This Row],[FIN DE SEMANA]])</f>
        <v>131052-1NO</v>
      </c>
      <c r="E344" s="30" t="s">
        <v>147</v>
      </c>
      <c r="F344" s="30" t="s">
        <v>148</v>
      </c>
      <c r="G344" s="365">
        <v>13</v>
      </c>
      <c r="H344" s="30">
        <v>10</v>
      </c>
      <c r="I344" s="9" t="s">
        <v>331</v>
      </c>
      <c r="J344" s="9" t="s">
        <v>355</v>
      </c>
      <c r="K344" s="30">
        <v>1</v>
      </c>
      <c r="L344" s="9" t="s">
        <v>153</v>
      </c>
      <c r="M344" s="30" t="s">
        <v>84</v>
      </c>
      <c r="N344" s="30" t="s">
        <v>152</v>
      </c>
      <c r="O344" s="24">
        <v>0</v>
      </c>
      <c r="P344" s="24">
        <v>285</v>
      </c>
      <c r="Q344" s="24">
        <v>508</v>
      </c>
      <c r="R344" s="24">
        <v>0</v>
      </c>
      <c r="S344" s="24">
        <v>0</v>
      </c>
      <c r="T344" s="24">
        <v>793</v>
      </c>
    </row>
    <row r="345" spans="1:20">
      <c r="A345" s="9" t="s">
        <v>306</v>
      </c>
      <c r="B345" s="30" t="s">
        <v>330</v>
      </c>
      <c r="C345" s="30" t="str">
        <f>CONCATENATE(VOL_VOLUMEN_SUMINISTROS[[#This Row],[Proyecto]],VOL_VOLUMEN_SUMINISTROS[[#This Row],[J]],VOL_VOLUMEN_SUMINISTROS[[#This Row],[FIN DE SEMANA]])</f>
        <v>1052-1TNO</v>
      </c>
      <c r="D345" s="365" t="str">
        <f>CONCATENATE(VOL_VOLUMEN_SUMINISTROS[[#This Row],[Grupo]],VOL_VOLUMEN_SUMINISTROS[[#This Row],[Proyecto]],VOL_VOLUMEN_SUMINISTROS[[#This Row],[FIN DE SEMANA]])</f>
        <v>131052-1NO</v>
      </c>
      <c r="E345" s="30" t="s">
        <v>147</v>
      </c>
      <c r="F345" s="30" t="s">
        <v>148</v>
      </c>
      <c r="G345" s="365">
        <v>13</v>
      </c>
      <c r="H345" s="30">
        <v>10</v>
      </c>
      <c r="I345" s="9" t="s">
        <v>331</v>
      </c>
      <c r="J345" s="9" t="s">
        <v>355</v>
      </c>
      <c r="K345" s="30">
        <v>1</v>
      </c>
      <c r="L345" s="9" t="s">
        <v>153</v>
      </c>
      <c r="M345" s="30" t="s">
        <v>84</v>
      </c>
      <c r="N345" s="30" t="s">
        <v>155</v>
      </c>
      <c r="O345" s="24">
        <v>0</v>
      </c>
      <c r="P345" s="24">
        <v>207</v>
      </c>
      <c r="Q345" s="24">
        <v>320</v>
      </c>
      <c r="R345" s="24">
        <v>0</v>
      </c>
      <c r="S345" s="24">
        <v>0</v>
      </c>
      <c r="T345" s="24">
        <v>527</v>
      </c>
    </row>
    <row r="346" spans="1:20">
      <c r="A346" s="9" t="s">
        <v>306</v>
      </c>
      <c r="B346" s="30" t="s">
        <v>330</v>
      </c>
      <c r="C346" s="30" t="str">
        <f>CONCATENATE(VOL_VOLUMEN_SUMINISTROS[[#This Row],[Proyecto]],VOL_VOLUMEN_SUMINISTROS[[#This Row],[J]],VOL_VOLUMEN_SUMINISTROS[[#This Row],[FIN DE SEMANA]])</f>
        <v>1052-1MNO</v>
      </c>
      <c r="D346" s="365" t="str">
        <f>CONCATENATE(VOL_VOLUMEN_SUMINISTROS[[#This Row],[Grupo]],VOL_VOLUMEN_SUMINISTROS[[#This Row],[Proyecto]],VOL_VOLUMEN_SUMINISTROS[[#This Row],[FIN DE SEMANA]])</f>
        <v>131052-1NO</v>
      </c>
      <c r="E346" s="30" t="s">
        <v>147</v>
      </c>
      <c r="F346" s="30" t="s">
        <v>148</v>
      </c>
      <c r="G346" s="365">
        <v>13</v>
      </c>
      <c r="H346" s="30">
        <v>10</v>
      </c>
      <c r="I346" s="9" t="s">
        <v>331</v>
      </c>
      <c r="J346" s="9" t="s">
        <v>355</v>
      </c>
      <c r="K346" s="30">
        <v>2</v>
      </c>
      <c r="L346" s="9" t="s">
        <v>165</v>
      </c>
      <c r="M346" s="30" t="s">
        <v>84</v>
      </c>
      <c r="N346" s="30" t="s">
        <v>152</v>
      </c>
      <c r="O346" s="24">
        <v>187</v>
      </c>
      <c r="P346" s="24">
        <v>64</v>
      </c>
      <c r="Q346" s="24">
        <v>0</v>
      </c>
      <c r="R346" s="24">
        <v>0</v>
      </c>
      <c r="S346" s="24">
        <v>0</v>
      </c>
      <c r="T346" s="24">
        <v>251</v>
      </c>
    </row>
    <row r="347" spans="1:20">
      <c r="A347" s="9" t="s">
        <v>306</v>
      </c>
      <c r="B347" s="30" t="s">
        <v>330</v>
      </c>
      <c r="C347" s="30" t="str">
        <f>CONCATENATE(VOL_VOLUMEN_SUMINISTROS[[#This Row],[Proyecto]],VOL_VOLUMEN_SUMINISTROS[[#This Row],[J]],VOL_VOLUMEN_SUMINISTROS[[#This Row],[FIN DE SEMANA]])</f>
        <v>1052-1TNO</v>
      </c>
      <c r="D347" s="365" t="str">
        <f>CONCATENATE(VOL_VOLUMEN_SUMINISTROS[[#This Row],[Grupo]],VOL_VOLUMEN_SUMINISTROS[[#This Row],[Proyecto]],VOL_VOLUMEN_SUMINISTROS[[#This Row],[FIN DE SEMANA]])</f>
        <v>131052-1NO</v>
      </c>
      <c r="E347" s="30" t="s">
        <v>147</v>
      </c>
      <c r="F347" s="30" t="s">
        <v>148</v>
      </c>
      <c r="G347" s="365">
        <v>13</v>
      </c>
      <c r="H347" s="30">
        <v>10</v>
      </c>
      <c r="I347" s="9" t="s">
        <v>331</v>
      </c>
      <c r="J347" s="9" t="s">
        <v>355</v>
      </c>
      <c r="K347" s="30">
        <v>2</v>
      </c>
      <c r="L347" s="9" t="s">
        <v>165</v>
      </c>
      <c r="M347" s="30" t="s">
        <v>84</v>
      </c>
      <c r="N347" s="30" t="s">
        <v>155</v>
      </c>
      <c r="O347" s="24">
        <v>179</v>
      </c>
      <c r="P347" s="24">
        <v>49</v>
      </c>
      <c r="Q347" s="24">
        <v>0</v>
      </c>
      <c r="R347" s="24">
        <v>0</v>
      </c>
      <c r="S347" s="24">
        <v>0</v>
      </c>
      <c r="T347" s="24">
        <v>228</v>
      </c>
    </row>
    <row r="348" spans="1:20">
      <c r="A348" s="9" t="s">
        <v>306</v>
      </c>
      <c r="B348" s="30" t="s">
        <v>330</v>
      </c>
      <c r="C348" s="30" t="str">
        <f>CONCATENATE(VOL_VOLUMEN_SUMINISTROS[[#This Row],[Proyecto]],VOL_VOLUMEN_SUMINISTROS[[#This Row],[J]],VOL_VOLUMEN_SUMINISTROS[[#This Row],[FIN DE SEMANA]])</f>
        <v>1052-1NNO</v>
      </c>
      <c r="D348" s="365" t="str">
        <f>CONCATENATE(VOL_VOLUMEN_SUMINISTROS[[#This Row],[Grupo]],VOL_VOLUMEN_SUMINISTROS[[#This Row],[Proyecto]],VOL_VOLUMEN_SUMINISTROS[[#This Row],[FIN DE SEMANA]])</f>
        <v>131052-1NO</v>
      </c>
      <c r="E348" s="30" t="s">
        <v>147</v>
      </c>
      <c r="F348" s="30" t="s">
        <v>148</v>
      </c>
      <c r="G348" s="365">
        <v>13</v>
      </c>
      <c r="H348" s="30">
        <v>10</v>
      </c>
      <c r="I348" s="9" t="s">
        <v>331</v>
      </c>
      <c r="J348" s="9" t="s">
        <v>356</v>
      </c>
      <c r="K348" s="30">
        <v>1</v>
      </c>
      <c r="L348" s="9" t="s">
        <v>357</v>
      </c>
      <c r="M348" s="30" t="s">
        <v>84</v>
      </c>
      <c r="N348" s="30" t="s">
        <v>154</v>
      </c>
      <c r="O348" s="24">
        <v>0</v>
      </c>
      <c r="P348" s="24">
        <v>0</v>
      </c>
      <c r="Q348" s="24">
        <v>0</v>
      </c>
      <c r="R348" s="24">
        <v>88</v>
      </c>
      <c r="S348" s="24">
        <v>101</v>
      </c>
      <c r="T348" s="24">
        <v>189</v>
      </c>
    </row>
    <row r="349" spans="1:20">
      <c r="A349" s="9" t="s">
        <v>306</v>
      </c>
      <c r="B349" s="30" t="s">
        <v>330</v>
      </c>
      <c r="C349" s="30" t="str">
        <f>CONCATENATE(VOL_VOLUMEN_SUMINISTROS[[#This Row],[Proyecto]],VOL_VOLUMEN_SUMINISTROS[[#This Row],[J]],VOL_VOLUMEN_SUMINISTROS[[#This Row],[FIN DE SEMANA]])</f>
        <v>1052-1MNO</v>
      </c>
      <c r="D349" s="365" t="str">
        <f>CONCATENATE(VOL_VOLUMEN_SUMINISTROS[[#This Row],[Grupo]],VOL_VOLUMEN_SUMINISTROS[[#This Row],[Proyecto]],VOL_VOLUMEN_SUMINISTROS[[#This Row],[FIN DE SEMANA]])</f>
        <v>131052-1NO</v>
      </c>
      <c r="E349" s="30" t="s">
        <v>147</v>
      </c>
      <c r="F349" s="30" t="s">
        <v>148</v>
      </c>
      <c r="G349" s="365">
        <v>13</v>
      </c>
      <c r="H349" s="30">
        <v>10</v>
      </c>
      <c r="I349" s="9" t="s">
        <v>331</v>
      </c>
      <c r="J349" s="9" t="s">
        <v>358</v>
      </c>
      <c r="K349" s="30">
        <v>1</v>
      </c>
      <c r="L349" s="9" t="s">
        <v>359</v>
      </c>
      <c r="M349" s="30" t="s">
        <v>84</v>
      </c>
      <c r="N349" s="30" t="s">
        <v>152</v>
      </c>
      <c r="O349" s="24">
        <v>0</v>
      </c>
      <c r="P349" s="24">
        <v>324</v>
      </c>
      <c r="Q349" s="24">
        <v>516</v>
      </c>
      <c r="R349" s="24">
        <v>0</v>
      </c>
      <c r="S349" s="24">
        <v>0</v>
      </c>
      <c r="T349" s="24">
        <v>840</v>
      </c>
    </row>
    <row r="350" spans="1:20">
      <c r="A350" s="9" t="s">
        <v>306</v>
      </c>
      <c r="B350" s="30" t="s">
        <v>330</v>
      </c>
      <c r="C350" s="30" t="str">
        <f>CONCATENATE(VOL_VOLUMEN_SUMINISTROS[[#This Row],[Proyecto]],VOL_VOLUMEN_SUMINISTROS[[#This Row],[J]],VOL_VOLUMEN_SUMINISTROS[[#This Row],[FIN DE SEMANA]])</f>
        <v>1052-1TNO</v>
      </c>
      <c r="D350" s="365" t="str">
        <f>CONCATENATE(VOL_VOLUMEN_SUMINISTROS[[#This Row],[Grupo]],VOL_VOLUMEN_SUMINISTROS[[#This Row],[Proyecto]],VOL_VOLUMEN_SUMINISTROS[[#This Row],[FIN DE SEMANA]])</f>
        <v>131052-1NO</v>
      </c>
      <c r="E350" s="30" t="s">
        <v>147</v>
      </c>
      <c r="F350" s="30" t="s">
        <v>148</v>
      </c>
      <c r="G350" s="365">
        <v>13</v>
      </c>
      <c r="H350" s="30">
        <v>10</v>
      </c>
      <c r="I350" s="9" t="s">
        <v>331</v>
      </c>
      <c r="J350" s="9" t="s">
        <v>358</v>
      </c>
      <c r="K350" s="30">
        <v>1</v>
      </c>
      <c r="L350" s="9" t="s">
        <v>359</v>
      </c>
      <c r="M350" s="30" t="s">
        <v>84</v>
      </c>
      <c r="N350" s="30" t="s">
        <v>155</v>
      </c>
      <c r="O350" s="24">
        <v>0</v>
      </c>
      <c r="P350" s="24">
        <v>324</v>
      </c>
      <c r="Q350" s="24">
        <v>397</v>
      </c>
      <c r="R350" s="24">
        <v>0</v>
      </c>
      <c r="S350" s="24">
        <v>0</v>
      </c>
      <c r="T350" s="24">
        <v>721</v>
      </c>
    </row>
    <row r="351" spans="1:20">
      <c r="A351" s="9" t="s">
        <v>306</v>
      </c>
      <c r="B351" s="30" t="s">
        <v>330</v>
      </c>
      <c r="C351" s="30" t="str">
        <f>CONCATENATE(VOL_VOLUMEN_SUMINISTROS[[#This Row],[Proyecto]],VOL_VOLUMEN_SUMINISTROS[[#This Row],[J]],VOL_VOLUMEN_SUMINISTROS[[#This Row],[FIN DE SEMANA]])</f>
        <v>1052-1MNO</v>
      </c>
      <c r="D351" s="365" t="str">
        <f>CONCATENATE(VOL_VOLUMEN_SUMINISTROS[[#This Row],[Grupo]],VOL_VOLUMEN_SUMINISTROS[[#This Row],[Proyecto]],VOL_VOLUMEN_SUMINISTROS[[#This Row],[FIN DE SEMANA]])</f>
        <v>131052-1NO</v>
      </c>
      <c r="E351" s="30" t="s">
        <v>147</v>
      </c>
      <c r="F351" s="30" t="s">
        <v>148</v>
      </c>
      <c r="G351" s="365">
        <v>13</v>
      </c>
      <c r="H351" s="30">
        <v>10</v>
      </c>
      <c r="I351" s="9" t="s">
        <v>331</v>
      </c>
      <c r="J351" s="9" t="s">
        <v>358</v>
      </c>
      <c r="K351" s="30">
        <v>2</v>
      </c>
      <c r="L351" s="9" t="s">
        <v>360</v>
      </c>
      <c r="M351" s="30" t="s">
        <v>84</v>
      </c>
      <c r="N351" s="30" t="s">
        <v>152</v>
      </c>
      <c r="O351" s="24">
        <v>283</v>
      </c>
      <c r="P351" s="24">
        <v>104</v>
      </c>
      <c r="Q351" s="24">
        <v>0</v>
      </c>
      <c r="R351" s="24">
        <v>0</v>
      </c>
      <c r="S351" s="24">
        <v>0</v>
      </c>
      <c r="T351" s="24">
        <v>387</v>
      </c>
    </row>
    <row r="352" spans="1:20">
      <c r="A352" s="9" t="s">
        <v>306</v>
      </c>
      <c r="B352" s="30" t="s">
        <v>330</v>
      </c>
      <c r="C352" s="30" t="str">
        <f>CONCATENATE(VOL_VOLUMEN_SUMINISTROS[[#This Row],[Proyecto]],VOL_VOLUMEN_SUMINISTROS[[#This Row],[J]],VOL_VOLUMEN_SUMINISTROS[[#This Row],[FIN DE SEMANA]])</f>
        <v>1052-1TNO</v>
      </c>
      <c r="D352" s="365" t="str">
        <f>CONCATENATE(VOL_VOLUMEN_SUMINISTROS[[#This Row],[Grupo]],VOL_VOLUMEN_SUMINISTROS[[#This Row],[Proyecto]],VOL_VOLUMEN_SUMINISTROS[[#This Row],[FIN DE SEMANA]])</f>
        <v>131052-1NO</v>
      </c>
      <c r="E352" s="30" t="s">
        <v>147</v>
      </c>
      <c r="F352" s="30" t="s">
        <v>148</v>
      </c>
      <c r="G352" s="365">
        <v>13</v>
      </c>
      <c r="H352" s="30">
        <v>10</v>
      </c>
      <c r="I352" s="9" t="s">
        <v>331</v>
      </c>
      <c r="J352" s="9" t="s">
        <v>358</v>
      </c>
      <c r="K352" s="30">
        <v>2</v>
      </c>
      <c r="L352" s="9" t="s">
        <v>360</v>
      </c>
      <c r="M352" s="30" t="s">
        <v>84</v>
      </c>
      <c r="N352" s="30" t="s">
        <v>155</v>
      </c>
      <c r="O352" s="24">
        <v>243</v>
      </c>
      <c r="P352" s="24">
        <v>92</v>
      </c>
      <c r="Q352" s="24">
        <v>0</v>
      </c>
      <c r="R352" s="24">
        <v>0</v>
      </c>
      <c r="S352" s="24">
        <v>0</v>
      </c>
      <c r="T352" s="24">
        <v>335</v>
      </c>
    </row>
    <row r="353" spans="1:20">
      <c r="A353" s="9" t="s">
        <v>306</v>
      </c>
      <c r="B353" s="30" t="s">
        <v>330</v>
      </c>
      <c r="C353" s="30" t="str">
        <f>CONCATENATE(VOL_VOLUMEN_SUMINISTROS[[#This Row],[Proyecto]],VOL_VOLUMEN_SUMINISTROS[[#This Row],[J]],VOL_VOLUMEN_SUMINISTROS[[#This Row],[FIN DE SEMANA]])</f>
        <v>1052-1MNO</v>
      </c>
      <c r="D353" s="365" t="str">
        <f>CONCATENATE(VOL_VOLUMEN_SUMINISTROS[[#This Row],[Grupo]],VOL_VOLUMEN_SUMINISTROS[[#This Row],[Proyecto]],VOL_VOLUMEN_SUMINISTROS[[#This Row],[FIN DE SEMANA]])</f>
        <v>131052-1NO</v>
      </c>
      <c r="E353" s="30" t="s">
        <v>147</v>
      </c>
      <c r="F353" s="30" t="s">
        <v>148</v>
      </c>
      <c r="G353" s="365">
        <v>13</v>
      </c>
      <c r="H353" s="30">
        <v>10</v>
      </c>
      <c r="I353" s="9" t="s">
        <v>331</v>
      </c>
      <c r="J353" s="9" t="s">
        <v>361</v>
      </c>
      <c r="K353" s="30">
        <v>1</v>
      </c>
      <c r="L353" s="9" t="s">
        <v>362</v>
      </c>
      <c r="M353" s="30" t="s">
        <v>84</v>
      </c>
      <c r="N353" s="30" t="s">
        <v>152</v>
      </c>
      <c r="O353" s="24">
        <v>258</v>
      </c>
      <c r="P353" s="24">
        <v>386</v>
      </c>
      <c r="Q353" s="24">
        <v>467</v>
      </c>
      <c r="R353" s="24">
        <v>0</v>
      </c>
      <c r="S353" s="24">
        <v>0</v>
      </c>
      <c r="T353" s="24">
        <v>1111</v>
      </c>
    </row>
    <row r="354" spans="1:20">
      <c r="A354" s="9" t="s">
        <v>306</v>
      </c>
      <c r="B354" s="30" t="s">
        <v>330</v>
      </c>
      <c r="C354" s="30" t="str">
        <f>CONCATENATE(VOL_VOLUMEN_SUMINISTROS[[#This Row],[Proyecto]],VOL_VOLUMEN_SUMINISTROS[[#This Row],[J]],VOL_VOLUMEN_SUMINISTROS[[#This Row],[FIN DE SEMANA]])</f>
        <v>1052-1TNO</v>
      </c>
      <c r="D354" s="365" t="str">
        <f>CONCATENATE(VOL_VOLUMEN_SUMINISTROS[[#This Row],[Grupo]],VOL_VOLUMEN_SUMINISTROS[[#This Row],[Proyecto]],VOL_VOLUMEN_SUMINISTROS[[#This Row],[FIN DE SEMANA]])</f>
        <v>131052-1NO</v>
      </c>
      <c r="E354" s="30" t="s">
        <v>147</v>
      </c>
      <c r="F354" s="30" t="s">
        <v>148</v>
      </c>
      <c r="G354" s="365">
        <v>13</v>
      </c>
      <c r="H354" s="30">
        <v>10</v>
      </c>
      <c r="I354" s="9" t="s">
        <v>331</v>
      </c>
      <c r="J354" s="9" t="s">
        <v>361</v>
      </c>
      <c r="K354" s="30">
        <v>1</v>
      </c>
      <c r="L354" s="9" t="s">
        <v>362</v>
      </c>
      <c r="M354" s="30" t="s">
        <v>84</v>
      </c>
      <c r="N354" s="30" t="s">
        <v>155</v>
      </c>
      <c r="O354" s="24">
        <v>246</v>
      </c>
      <c r="P354" s="24">
        <v>365</v>
      </c>
      <c r="Q354" s="24">
        <v>446</v>
      </c>
      <c r="R354" s="24">
        <v>0</v>
      </c>
      <c r="S354" s="24">
        <v>0</v>
      </c>
      <c r="T354" s="24">
        <v>1057</v>
      </c>
    </row>
    <row r="355" spans="1:20">
      <c r="A355" s="9" t="s">
        <v>306</v>
      </c>
      <c r="B355" s="30" t="s">
        <v>363</v>
      </c>
      <c r="C355" s="30" t="str">
        <f>CONCATENATE(VOL_VOLUMEN_SUMINISTROS[[#This Row],[Proyecto]],VOL_VOLUMEN_SUMINISTROS[[#This Row],[J]],VOL_VOLUMEN_SUMINISTROS[[#This Row],[FIN DE SEMANA]])</f>
        <v>1052-2M1NO</v>
      </c>
      <c r="D355" s="365" t="str">
        <f>CONCATENATE(VOL_VOLUMEN_SUMINISTROS[[#This Row],[Grupo]],VOL_VOLUMEN_SUMINISTROS[[#This Row],[Proyecto]],VOL_VOLUMEN_SUMINISTROS[[#This Row],[FIN DE SEMANA]])</f>
        <v>131052-2NO</v>
      </c>
      <c r="E355" s="30" t="s">
        <v>183</v>
      </c>
      <c r="F355" s="30" t="s">
        <v>148</v>
      </c>
      <c r="G355" s="365">
        <v>13</v>
      </c>
      <c r="H355" s="30">
        <v>10</v>
      </c>
      <c r="I355" s="9" t="s">
        <v>331</v>
      </c>
      <c r="J355" s="9" t="s">
        <v>332</v>
      </c>
      <c r="K355" s="30">
        <v>1</v>
      </c>
      <c r="L355" s="9" t="s">
        <v>333</v>
      </c>
      <c r="M355" s="30" t="s">
        <v>84</v>
      </c>
      <c r="N355" s="30" t="s">
        <v>216</v>
      </c>
      <c r="O355" s="24">
        <v>238</v>
      </c>
      <c r="P355" s="24">
        <v>626</v>
      </c>
      <c r="Q355" s="24">
        <v>529</v>
      </c>
      <c r="R355" s="24">
        <v>0</v>
      </c>
      <c r="S355" s="24">
        <v>0</v>
      </c>
      <c r="T355" s="24">
        <v>1393</v>
      </c>
    </row>
    <row r="356" spans="1:20">
      <c r="A356" s="9" t="s">
        <v>306</v>
      </c>
      <c r="B356" s="30" t="s">
        <v>363</v>
      </c>
      <c r="C356" s="30" t="str">
        <f>CONCATENATE(VOL_VOLUMEN_SUMINISTROS[[#This Row],[Proyecto]],VOL_VOLUMEN_SUMINISTROS[[#This Row],[J]],VOL_VOLUMEN_SUMINISTROS[[#This Row],[FIN DE SEMANA]])</f>
        <v>1052-2M1NO</v>
      </c>
      <c r="D356" s="365" t="str">
        <f>CONCATENATE(VOL_VOLUMEN_SUMINISTROS[[#This Row],[Grupo]],VOL_VOLUMEN_SUMINISTROS[[#This Row],[Proyecto]],VOL_VOLUMEN_SUMINISTROS[[#This Row],[FIN DE SEMANA]])</f>
        <v>131052-2NO</v>
      </c>
      <c r="E356" s="30" t="s">
        <v>183</v>
      </c>
      <c r="F356" s="30" t="s">
        <v>148</v>
      </c>
      <c r="G356" s="365">
        <v>13</v>
      </c>
      <c r="H356" s="30">
        <v>10</v>
      </c>
      <c r="I356" s="9" t="s">
        <v>331</v>
      </c>
      <c r="J356" s="9" t="s">
        <v>335</v>
      </c>
      <c r="K356" s="30">
        <v>1</v>
      </c>
      <c r="L356" s="9" t="s">
        <v>336</v>
      </c>
      <c r="M356" s="30" t="s">
        <v>84</v>
      </c>
      <c r="N356" s="30" t="s">
        <v>216</v>
      </c>
      <c r="O356" s="24">
        <v>0</v>
      </c>
      <c r="P356" s="24">
        <v>0</v>
      </c>
      <c r="Q356" s="24">
        <v>152</v>
      </c>
      <c r="R356" s="24">
        <v>0</v>
      </c>
      <c r="S356" s="24">
        <v>0</v>
      </c>
      <c r="T356" s="24">
        <v>152</v>
      </c>
    </row>
    <row r="357" spans="1:20">
      <c r="A357" s="9" t="s">
        <v>306</v>
      </c>
      <c r="B357" s="30" t="s">
        <v>363</v>
      </c>
      <c r="C357" s="30" t="str">
        <f>CONCATENATE(VOL_VOLUMEN_SUMINISTROS[[#This Row],[Proyecto]],VOL_VOLUMEN_SUMINISTROS[[#This Row],[J]],VOL_VOLUMEN_SUMINISTROS[[#This Row],[FIN DE SEMANA]])</f>
        <v>1052-2TNO</v>
      </c>
      <c r="D357" s="365" t="str">
        <f>CONCATENATE(VOL_VOLUMEN_SUMINISTROS[[#This Row],[Grupo]],VOL_VOLUMEN_SUMINISTROS[[#This Row],[Proyecto]],VOL_VOLUMEN_SUMINISTROS[[#This Row],[FIN DE SEMANA]])</f>
        <v>111052-2NO</v>
      </c>
      <c r="E357" s="30" t="s">
        <v>183</v>
      </c>
      <c r="F357" s="30" t="s">
        <v>148</v>
      </c>
      <c r="G357" s="365">
        <v>11</v>
      </c>
      <c r="H357" s="30">
        <v>10</v>
      </c>
      <c r="I357" s="9" t="s">
        <v>331</v>
      </c>
      <c r="J357" s="9" t="s">
        <v>335</v>
      </c>
      <c r="K357" s="30">
        <v>1</v>
      </c>
      <c r="L357" s="9" t="s">
        <v>336</v>
      </c>
      <c r="M357" s="30" t="s">
        <v>84</v>
      </c>
      <c r="N357" s="30" t="s">
        <v>155</v>
      </c>
      <c r="O357" s="24">
        <v>0</v>
      </c>
      <c r="P357" s="24">
        <v>0</v>
      </c>
      <c r="Q357" s="24">
        <v>377</v>
      </c>
      <c r="R357" s="24">
        <v>0</v>
      </c>
      <c r="S357" s="24">
        <v>0</v>
      </c>
      <c r="T357" s="24">
        <v>377</v>
      </c>
    </row>
    <row r="358" spans="1:20">
      <c r="A358" s="9" t="s">
        <v>306</v>
      </c>
      <c r="B358" s="30" t="s">
        <v>363</v>
      </c>
      <c r="C358" s="30" t="str">
        <f>CONCATENATE(VOL_VOLUMEN_SUMINISTROS[[#This Row],[Proyecto]],VOL_VOLUMEN_SUMINISTROS[[#This Row],[J]],VOL_VOLUMEN_SUMINISTROS[[#This Row],[FIN DE SEMANA]])</f>
        <v>1052-2MNO</v>
      </c>
      <c r="D358" s="365" t="str">
        <f>CONCATENATE(VOL_VOLUMEN_SUMINISTROS[[#This Row],[Grupo]],VOL_VOLUMEN_SUMINISTROS[[#This Row],[Proyecto]],VOL_VOLUMEN_SUMINISTROS[[#This Row],[FIN DE SEMANA]])</f>
        <v>111052-2NO</v>
      </c>
      <c r="E358" s="30" t="s">
        <v>183</v>
      </c>
      <c r="F358" s="30" t="s">
        <v>148</v>
      </c>
      <c r="G358" s="365">
        <v>11</v>
      </c>
      <c r="H358" s="30">
        <v>10</v>
      </c>
      <c r="I358" s="9" t="s">
        <v>331</v>
      </c>
      <c r="J358" s="9" t="s">
        <v>335</v>
      </c>
      <c r="K358" s="30">
        <v>2</v>
      </c>
      <c r="L358" s="9" t="s">
        <v>337</v>
      </c>
      <c r="M358" s="30" t="s">
        <v>84</v>
      </c>
      <c r="N358" s="30" t="s">
        <v>152</v>
      </c>
      <c r="O358" s="24">
        <v>251</v>
      </c>
      <c r="P358" s="24">
        <v>0</v>
      </c>
      <c r="Q358" s="24">
        <v>0</v>
      </c>
      <c r="R358" s="24">
        <v>0</v>
      </c>
      <c r="S358" s="24">
        <v>0</v>
      </c>
      <c r="T358" s="24">
        <v>251</v>
      </c>
    </row>
    <row r="359" spans="1:20">
      <c r="A359" s="9" t="s">
        <v>306</v>
      </c>
      <c r="B359" s="30" t="s">
        <v>363</v>
      </c>
      <c r="C359" s="30" t="str">
        <f>CONCATENATE(VOL_VOLUMEN_SUMINISTROS[[#This Row],[Proyecto]],VOL_VOLUMEN_SUMINISTROS[[#This Row],[J]],VOL_VOLUMEN_SUMINISTROS[[#This Row],[FIN DE SEMANA]])</f>
        <v>1052-2MNO</v>
      </c>
      <c r="D359" s="365" t="str">
        <f>CONCATENATE(VOL_VOLUMEN_SUMINISTROS[[#This Row],[Grupo]],VOL_VOLUMEN_SUMINISTROS[[#This Row],[Proyecto]],VOL_VOLUMEN_SUMINISTROS[[#This Row],[FIN DE SEMANA]])</f>
        <v>111052-2NO</v>
      </c>
      <c r="E359" s="30" t="s">
        <v>183</v>
      </c>
      <c r="F359" s="30" t="s">
        <v>148</v>
      </c>
      <c r="G359" s="365">
        <v>11</v>
      </c>
      <c r="H359" s="30">
        <v>10</v>
      </c>
      <c r="I359" s="9" t="s">
        <v>331</v>
      </c>
      <c r="J359" s="9" t="s">
        <v>344</v>
      </c>
      <c r="K359" s="30">
        <v>1</v>
      </c>
      <c r="L359" s="9" t="s">
        <v>345</v>
      </c>
      <c r="M359" s="30" t="s">
        <v>84</v>
      </c>
      <c r="N359" s="30" t="s">
        <v>152</v>
      </c>
      <c r="O359" s="24">
        <v>0</v>
      </c>
      <c r="P359" s="24">
        <v>0</v>
      </c>
      <c r="Q359" s="24">
        <v>87</v>
      </c>
      <c r="R359" s="24">
        <v>0</v>
      </c>
      <c r="S359" s="24">
        <v>0</v>
      </c>
      <c r="T359" s="24">
        <v>87</v>
      </c>
    </row>
    <row r="360" spans="1:20">
      <c r="A360" s="9" t="s">
        <v>306</v>
      </c>
      <c r="B360" s="30" t="s">
        <v>363</v>
      </c>
      <c r="C360" s="30" t="str">
        <f>CONCATENATE(VOL_VOLUMEN_SUMINISTROS[[#This Row],[Proyecto]],VOL_VOLUMEN_SUMINISTROS[[#This Row],[J]],VOL_VOLUMEN_SUMINISTROS[[#This Row],[FIN DE SEMANA]])</f>
        <v>1052-2TNO</v>
      </c>
      <c r="D360" s="365" t="str">
        <f>CONCATENATE(VOL_VOLUMEN_SUMINISTROS[[#This Row],[Grupo]],VOL_VOLUMEN_SUMINISTROS[[#This Row],[Proyecto]],VOL_VOLUMEN_SUMINISTROS[[#This Row],[FIN DE SEMANA]])</f>
        <v>111052-2NO</v>
      </c>
      <c r="E360" s="30" t="s">
        <v>183</v>
      </c>
      <c r="F360" s="30" t="s">
        <v>148</v>
      </c>
      <c r="G360" s="365">
        <v>11</v>
      </c>
      <c r="H360" s="30">
        <v>10</v>
      </c>
      <c r="I360" s="9" t="s">
        <v>331</v>
      </c>
      <c r="J360" s="9" t="s">
        <v>344</v>
      </c>
      <c r="K360" s="30">
        <v>1</v>
      </c>
      <c r="L360" s="9" t="s">
        <v>345</v>
      </c>
      <c r="M360" s="30" t="s">
        <v>84</v>
      </c>
      <c r="N360" s="30" t="s">
        <v>155</v>
      </c>
      <c r="O360" s="24">
        <v>0</v>
      </c>
      <c r="P360" s="24">
        <v>0</v>
      </c>
      <c r="Q360" s="24">
        <v>143</v>
      </c>
      <c r="R360" s="24">
        <v>0</v>
      </c>
      <c r="S360" s="24">
        <v>0</v>
      </c>
      <c r="T360" s="24">
        <v>143</v>
      </c>
    </row>
    <row r="361" spans="1:20">
      <c r="A361" s="9" t="s">
        <v>306</v>
      </c>
      <c r="B361" s="30" t="s">
        <v>363</v>
      </c>
      <c r="C361" s="30" t="str">
        <f>CONCATENATE(VOL_VOLUMEN_SUMINISTROS[[#This Row],[Proyecto]],VOL_VOLUMEN_SUMINISTROS[[#This Row],[J]],VOL_VOLUMEN_SUMINISTROS[[#This Row],[FIN DE SEMANA]])</f>
        <v>1052-2TNO</v>
      </c>
      <c r="D361" s="365" t="str">
        <f>CONCATENATE(VOL_VOLUMEN_SUMINISTROS[[#This Row],[Grupo]],VOL_VOLUMEN_SUMINISTROS[[#This Row],[Proyecto]],VOL_VOLUMEN_SUMINISTROS[[#This Row],[FIN DE SEMANA]])</f>
        <v>111052-2NO</v>
      </c>
      <c r="E361" s="30" t="s">
        <v>183</v>
      </c>
      <c r="F361" s="30" t="s">
        <v>148</v>
      </c>
      <c r="G361" s="365">
        <v>11</v>
      </c>
      <c r="H361" s="30">
        <v>10</v>
      </c>
      <c r="I361" s="9" t="s">
        <v>331</v>
      </c>
      <c r="J361" s="9" t="s">
        <v>346</v>
      </c>
      <c r="K361" s="30">
        <v>1</v>
      </c>
      <c r="L361" s="9" t="s">
        <v>348</v>
      </c>
      <c r="M361" s="30" t="s">
        <v>84</v>
      </c>
      <c r="N361" s="30" t="s">
        <v>155</v>
      </c>
      <c r="O361" s="24">
        <v>0</v>
      </c>
      <c r="P361" s="24">
        <v>0</v>
      </c>
      <c r="Q361" s="24">
        <v>80</v>
      </c>
      <c r="R361" s="24">
        <v>0</v>
      </c>
      <c r="S361" s="24">
        <v>0</v>
      </c>
      <c r="T361" s="24">
        <v>80</v>
      </c>
    </row>
    <row r="362" spans="1:20">
      <c r="A362" s="9" t="s">
        <v>306</v>
      </c>
      <c r="B362" s="30" t="s">
        <v>363</v>
      </c>
      <c r="C362" s="30" t="str">
        <f>CONCATENATE(VOL_VOLUMEN_SUMINISTROS[[#This Row],[Proyecto]],VOL_VOLUMEN_SUMINISTROS[[#This Row],[J]],VOL_VOLUMEN_SUMINISTROS[[#This Row],[FIN DE SEMANA]])</f>
        <v>1052-2MNO</v>
      </c>
      <c r="D362" s="365" t="str">
        <f>CONCATENATE(VOL_VOLUMEN_SUMINISTROS[[#This Row],[Grupo]],VOL_VOLUMEN_SUMINISTROS[[#This Row],[Proyecto]],VOL_VOLUMEN_SUMINISTROS[[#This Row],[FIN DE SEMANA]])</f>
        <v>131052-2NO</v>
      </c>
      <c r="E362" s="30" t="s">
        <v>183</v>
      </c>
      <c r="F362" s="30" t="s">
        <v>148</v>
      </c>
      <c r="G362" s="365">
        <v>13</v>
      </c>
      <c r="H362" s="30">
        <v>10</v>
      </c>
      <c r="I362" s="9" t="s">
        <v>331</v>
      </c>
      <c r="J362" s="9" t="s">
        <v>349</v>
      </c>
      <c r="K362" s="30">
        <v>1</v>
      </c>
      <c r="L362" s="9" t="s">
        <v>196</v>
      </c>
      <c r="M362" s="30" t="s">
        <v>84</v>
      </c>
      <c r="N362" s="30" t="s">
        <v>152</v>
      </c>
      <c r="O362" s="24">
        <v>0</v>
      </c>
      <c r="P362" s="24">
        <v>0</v>
      </c>
      <c r="Q362" s="24">
        <v>93</v>
      </c>
      <c r="R362" s="24">
        <v>0</v>
      </c>
      <c r="S362" s="24">
        <v>0</v>
      </c>
      <c r="T362" s="24">
        <v>93</v>
      </c>
    </row>
    <row r="363" spans="1:20">
      <c r="A363" s="9" t="s">
        <v>306</v>
      </c>
      <c r="B363" s="30" t="s">
        <v>363</v>
      </c>
      <c r="C363" s="30" t="str">
        <f>CONCATENATE(VOL_VOLUMEN_SUMINISTROS[[#This Row],[Proyecto]],VOL_VOLUMEN_SUMINISTROS[[#This Row],[J]],VOL_VOLUMEN_SUMINISTROS[[#This Row],[FIN DE SEMANA]])</f>
        <v>1052-2TNO</v>
      </c>
      <c r="D363" s="365" t="str">
        <f>CONCATENATE(VOL_VOLUMEN_SUMINISTROS[[#This Row],[Grupo]],VOL_VOLUMEN_SUMINISTROS[[#This Row],[Proyecto]],VOL_VOLUMEN_SUMINISTROS[[#This Row],[FIN DE SEMANA]])</f>
        <v>131052-2NO</v>
      </c>
      <c r="E363" s="30" t="s">
        <v>183</v>
      </c>
      <c r="F363" s="30" t="s">
        <v>148</v>
      </c>
      <c r="G363" s="365">
        <v>13</v>
      </c>
      <c r="H363" s="30">
        <v>10</v>
      </c>
      <c r="I363" s="9" t="s">
        <v>331</v>
      </c>
      <c r="J363" s="9" t="s">
        <v>349</v>
      </c>
      <c r="K363" s="30">
        <v>1</v>
      </c>
      <c r="L363" s="9" t="s">
        <v>196</v>
      </c>
      <c r="M363" s="30" t="s">
        <v>84</v>
      </c>
      <c r="N363" s="30" t="s">
        <v>155</v>
      </c>
      <c r="O363" s="24">
        <v>0</v>
      </c>
      <c r="P363" s="24">
        <v>0</v>
      </c>
      <c r="Q363" s="24">
        <v>75</v>
      </c>
      <c r="R363" s="24">
        <v>0</v>
      </c>
      <c r="S363" s="24">
        <v>0</v>
      </c>
      <c r="T363" s="24">
        <v>75</v>
      </c>
    </row>
    <row r="364" spans="1:20">
      <c r="A364" s="9" t="s">
        <v>306</v>
      </c>
      <c r="B364" s="30" t="s">
        <v>363</v>
      </c>
      <c r="C364" s="30" t="str">
        <f>CONCATENATE(VOL_VOLUMEN_SUMINISTROS[[#This Row],[Proyecto]],VOL_VOLUMEN_SUMINISTROS[[#This Row],[J]],VOL_VOLUMEN_SUMINISTROS[[#This Row],[FIN DE SEMANA]])</f>
        <v>1052-2MNO</v>
      </c>
      <c r="D364" s="365" t="str">
        <f>CONCATENATE(VOL_VOLUMEN_SUMINISTROS[[#This Row],[Grupo]],VOL_VOLUMEN_SUMINISTROS[[#This Row],[Proyecto]],VOL_VOLUMEN_SUMINISTROS[[#This Row],[FIN DE SEMANA]])</f>
        <v>131052-2NO</v>
      </c>
      <c r="E364" s="30" t="s">
        <v>183</v>
      </c>
      <c r="F364" s="30" t="s">
        <v>148</v>
      </c>
      <c r="G364" s="365">
        <v>13</v>
      </c>
      <c r="H364" s="30">
        <v>10</v>
      </c>
      <c r="I364" s="9" t="s">
        <v>331</v>
      </c>
      <c r="J364" s="9" t="s">
        <v>351</v>
      </c>
      <c r="K364" s="30">
        <v>1</v>
      </c>
      <c r="L364" s="9" t="s">
        <v>352</v>
      </c>
      <c r="M364" s="30" t="s">
        <v>84</v>
      </c>
      <c r="N364" s="30" t="s">
        <v>152</v>
      </c>
      <c r="O364" s="24">
        <v>0</v>
      </c>
      <c r="P364" s="24">
        <v>0</v>
      </c>
      <c r="Q364" s="24">
        <v>65</v>
      </c>
      <c r="R364" s="24">
        <v>0</v>
      </c>
      <c r="S364" s="24">
        <v>0</v>
      </c>
      <c r="T364" s="24">
        <v>65</v>
      </c>
    </row>
    <row r="365" spans="1:20">
      <c r="A365" s="9" t="s">
        <v>306</v>
      </c>
      <c r="B365" s="30" t="s">
        <v>363</v>
      </c>
      <c r="C365" s="30" t="str">
        <f>CONCATENATE(VOL_VOLUMEN_SUMINISTROS[[#This Row],[Proyecto]],VOL_VOLUMEN_SUMINISTROS[[#This Row],[J]],VOL_VOLUMEN_SUMINISTROS[[#This Row],[FIN DE SEMANA]])</f>
        <v>1052-2TNO</v>
      </c>
      <c r="D365" s="365" t="str">
        <f>CONCATENATE(VOL_VOLUMEN_SUMINISTROS[[#This Row],[Grupo]],VOL_VOLUMEN_SUMINISTROS[[#This Row],[Proyecto]],VOL_VOLUMEN_SUMINISTROS[[#This Row],[FIN DE SEMANA]])</f>
        <v>131052-2NO</v>
      </c>
      <c r="E365" s="30" t="s">
        <v>183</v>
      </c>
      <c r="F365" s="30" t="s">
        <v>148</v>
      </c>
      <c r="G365" s="365">
        <v>13</v>
      </c>
      <c r="H365" s="30">
        <v>10</v>
      </c>
      <c r="I365" s="9" t="s">
        <v>331</v>
      </c>
      <c r="J365" s="9" t="s">
        <v>351</v>
      </c>
      <c r="K365" s="30">
        <v>1</v>
      </c>
      <c r="L365" s="9" t="s">
        <v>352</v>
      </c>
      <c r="M365" s="30" t="s">
        <v>84</v>
      </c>
      <c r="N365" s="30" t="s">
        <v>155</v>
      </c>
      <c r="O365" s="24">
        <v>0</v>
      </c>
      <c r="P365" s="24">
        <v>0</v>
      </c>
      <c r="Q365" s="24">
        <v>74</v>
      </c>
      <c r="R365" s="24">
        <v>0</v>
      </c>
      <c r="S365" s="24">
        <v>0</v>
      </c>
      <c r="T365" s="24">
        <v>74</v>
      </c>
    </row>
    <row r="366" spans="1:20">
      <c r="A366" s="9" t="s">
        <v>306</v>
      </c>
      <c r="B366" s="30" t="s">
        <v>363</v>
      </c>
      <c r="C366" s="30" t="str">
        <f>CONCATENATE(VOL_VOLUMEN_SUMINISTROS[[#This Row],[Proyecto]],VOL_VOLUMEN_SUMINISTROS[[#This Row],[J]],VOL_VOLUMEN_SUMINISTROS[[#This Row],[FIN DE SEMANA]])</f>
        <v>1052-2MNO</v>
      </c>
      <c r="D366" s="365" t="str">
        <f>CONCATENATE(VOL_VOLUMEN_SUMINISTROS[[#This Row],[Grupo]],VOL_VOLUMEN_SUMINISTROS[[#This Row],[Proyecto]],VOL_VOLUMEN_SUMINISTROS[[#This Row],[FIN DE SEMANA]])</f>
        <v>131052-2NO</v>
      </c>
      <c r="E366" s="30" t="s">
        <v>183</v>
      </c>
      <c r="F366" s="30" t="s">
        <v>148</v>
      </c>
      <c r="G366" s="365">
        <v>13</v>
      </c>
      <c r="H366" s="30">
        <v>10</v>
      </c>
      <c r="I366" s="9" t="s">
        <v>331</v>
      </c>
      <c r="J366" s="9" t="s">
        <v>355</v>
      </c>
      <c r="K366" s="30">
        <v>1</v>
      </c>
      <c r="L366" s="9" t="s">
        <v>153</v>
      </c>
      <c r="M366" s="30" t="s">
        <v>84</v>
      </c>
      <c r="N366" s="30" t="s">
        <v>152</v>
      </c>
      <c r="O366" s="24">
        <v>0</v>
      </c>
      <c r="P366" s="24">
        <v>0</v>
      </c>
      <c r="Q366" s="24">
        <v>80</v>
      </c>
      <c r="R366" s="24">
        <v>0</v>
      </c>
      <c r="S366" s="24">
        <v>0</v>
      </c>
      <c r="T366" s="24">
        <v>80</v>
      </c>
    </row>
    <row r="367" spans="1:20">
      <c r="A367" s="9" t="s">
        <v>306</v>
      </c>
      <c r="B367" s="30" t="s">
        <v>363</v>
      </c>
      <c r="C367" s="30" t="str">
        <f>CONCATENATE(VOL_VOLUMEN_SUMINISTROS[[#This Row],[Proyecto]],VOL_VOLUMEN_SUMINISTROS[[#This Row],[J]],VOL_VOLUMEN_SUMINISTROS[[#This Row],[FIN DE SEMANA]])</f>
        <v>1052-2TNO</v>
      </c>
      <c r="D367" s="365" t="str">
        <f>CONCATENATE(VOL_VOLUMEN_SUMINISTROS[[#This Row],[Grupo]],VOL_VOLUMEN_SUMINISTROS[[#This Row],[Proyecto]],VOL_VOLUMEN_SUMINISTROS[[#This Row],[FIN DE SEMANA]])</f>
        <v>131052-2NO</v>
      </c>
      <c r="E367" s="30" t="s">
        <v>183</v>
      </c>
      <c r="F367" s="30" t="s">
        <v>148</v>
      </c>
      <c r="G367" s="365">
        <v>13</v>
      </c>
      <c r="H367" s="30">
        <v>10</v>
      </c>
      <c r="I367" s="9" t="s">
        <v>331</v>
      </c>
      <c r="J367" s="9" t="s">
        <v>355</v>
      </c>
      <c r="K367" s="30">
        <v>1</v>
      </c>
      <c r="L367" s="9" t="s">
        <v>153</v>
      </c>
      <c r="M367" s="30" t="s">
        <v>84</v>
      </c>
      <c r="N367" s="30" t="s">
        <v>155</v>
      </c>
      <c r="O367" s="24">
        <v>0</v>
      </c>
      <c r="P367" s="24">
        <v>0</v>
      </c>
      <c r="Q367" s="24">
        <v>120</v>
      </c>
      <c r="R367" s="24">
        <v>0</v>
      </c>
      <c r="S367" s="24">
        <v>0</v>
      </c>
      <c r="T367" s="24">
        <v>120</v>
      </c>
    </row>
    <row r="368" spans="1:20">
      <c r="A368" s="9" t="s">
        <v>306</v>
      </c>
      <c r="B368" s="30" t="s">
        <v>364</v>
      </c>
      <c r="C368" s="30" t="str">
        <f>CONCATENATE(VOL_VOLUMEN_SUMINISTROS[[#This Row],[Proyecto]],VOL_VOLUMEN_SUMINISTROS[[#This Row],[J]],VOL_VOLUMEN_SUMINISTROS[[#This Row],[FIN DE SEMANA]])</f>
        <v>1052-1MNO</v>
      </c>
      <c r="D368" s="365" t="str">
        <f>CONCATENATE(VOL_VOLUMEN_SUMINISTROS[[#This Row],[Grupo]],VOL_VOLUMEN_SUMINISTROS[[#This Row],[Proyecto]],VOL_VOLUMEN_SUMINISTROS[[#This Row],[FIN DE SEMANA]])</f>
        <v>241052-1NO</v>
      </c>
      <c r="E368" s="30" t="s">
        <v>147</v>
      </c>
      <c r="F368" s="30" t="s">
        <v>148</v>
      </c>
      <c r="G368" s="365">
        <v>24</v>
      </c>
      <c r="H368" s="30">
        <v>15</v>
      </c>
      <c r="I368" s="9" t="s">
        <v>365</v>
      </c>
      <c r="J368" s="9" t="s">
        <v>366</v>
      </c>
      <c r="K368" s="30">
        <v>1</v>
      </c>
      <c r="L368" s="9" t="s">
        <v>367</v>
      </c>
      <c r="M368" s="30" t="s">
        <v>84</v>
      </c>
      <c r="N368" s="30" t="s">
        <v>152</v>
      </c>
      <c r="O368" s="24">
        <v>85</v>
      </c>
      <c r="P368" s="24">
        <v>201</v>
      </c>
      <c r="Q368" s="24">
        <v>530</v>
      </c>
      <c r="R368" s="24">
        <v>0</v>
      </c>
      <c r="S368" s="24">
        <v>0</v>
      </c>
      <c r="T368" s="24">
        <v>816</v>
      </c>
    </row>
    <row r="369" spans="1:20">
      <c r="A369" s="9" t="s">
        <v>306</v>
      </c>
      <c r="B369" s="30" t="s">
        <v>364</v>
      </c>
      <c r="C369" s="30" t="str">
        <f>CONCATENATE(VOL_VOLUMEN_SUMINISTROS[[#This Row],[Proyecto]],VOL_VOLUMEN_SUMINISTROS[[#This Row],[J]],VOL_VOLUMEN_SUMINISTROS[[#This Row],[FIN DE SEMANA]])</f>
        <v>1052-1NNO</v>
      </c>
      <c r="D369" s="365" t="str">
        <f>CONCATENATE(VOL_VOLUMEN_SUMINISTROS[[#This Row],[Grupo]],VOL_VOLUMEN_SUMINISTROS[[#This Row],[Proyecto]],VOL_VOLUMEN_SUMINISTROS[[#This Row],[FIN DE SEMANA]])</f>
        <v>241052-1NO</v>
      </c>
      <c r="E369" s="30" t="s">
        <v>147</v>
      </c>
      <c r="F369" s="30" t="s">
        <v>148</v>
      </c>
      <c r="G369" s="365">
        <v>24</v>
      </c>
      <c r="H369" s="30">
        <v>15</v>
      </c>
      <c r="I369" s="9" t="s">
        <v>365</v>
      </c>
      <c r="J369" s="9" t="s">
        <v>366</v>
      </c>
      <c r="K369" s="30">
        <v>1</v>
      </c>
      <c r="L369" s="9" t="s">
        <v>367</v>
      </c>
      <c r="M369" s="30" t="s">
        <v>84</v>
      </c>
      <c r="N369" s="30" t="s">
        <v>154</v>
      </c>
      <c r="O369" s="24">
        <v>0</v>
      </c>
      <c r="P369" s="24">
        <v>0</v>
      </c>
      <c r="Q369" s="24">
        <v>0</v>
      </c>
      <c r="R369" s="24">
        <v>92</v>
      </c>
      <c r="S369" s="24">
        <v>110</v>
      </c>
      <c r="T369" s="24">
        <v>202</v>
      </c>
    </row>
    <row r="370" spans="1:20">
      <c r="A370" s="9" t="s">
        <v>306</v>
      </c>
      <c r="B370" s="30" t="s">
        <v>364</v>
      </c>
      <c r="C370" s="30" t="str">
        <f>CONCATENATE(VOL_VOLUMEN_SUMINISTROS[[#This Row],[Proyecto]],VOL_VOLUMEN_SUMINISTROS[[#This Row],[J]],VOL_VOLUMEN_SUMINISTROS[[#This Row],[FIN DE SEMANA]])</f>
        <v>1052-1TNO</v>
      </c>
      <c r="D370" s="365" t="str">
        <f>CONCATENATE(VOL_VOLUMEN_SUMINISTROS[[#This Row],[Grupo]],VOL_VOLUMEN_SUMINISTROS[[#This Row],[Proyecto]],VOL_VOLUMEN_SUMINISTROS[[#This Row],[FIN DE SEMANA]])</f>
        <v>241052-1NO</v>
      </c>
      <c r="E370" s="30" t="s">
        <v>147</v>
      </c>
      <c r="F370" s="30" t="s">
        <v>148</v>
      </c>
      <c r="G370" s="365">
        <v>24</v>
      </c>
      <c r="H370" s="30">
        <v>15</v>
      </c>
      <c r="I370" s="9" t="s">
        <v>365</v>
      </c>
      <c r="J370" s="9" t="s">
        <v>366</v>
      </c>
      <c r="K370" s="30">
        <v>1</v>
      </c>
      <c r="L370" s="9" t="s">
        <v>367</v>
      </c>
      <c r="M370" s="30" t="s">
        <v>84</v>
      </c>
      <c r="N370" s="30" t="s">
        <v>155</v>
      </c>
      <c r="O370" s="24">
        <v>25</v>
      </c>
      <c r="P370" s="24">
        <v>234</v>
      </c>
      <c r="Q370" s="24">
        <v>282</v>
      </c>
      <c r="R370" s="24">
        <v>0</v>
      </c>
      <c r="S370" s="24">
        <v>0</v>
      </c>
      <c r="T370" s="24">
        <v>541</v>
      </c>
    </row>
    <row r="371" spans="1:20">
      <c r="A371" s="9" t="s">
        <v>306</v>
      </c>
      <c r="B371" s="30" t="s">
        <v>364</v>
      </c>
      <c r="C371" s="30" t="str">
        <f>CONCATENATE(VOL_VOLUMEN_SUMINISTROS[[#This Row],[Proyecto]],VOL_VOLUMEN_SUMINISTROS[[#This Row],[J]],VOL_VOLUMEN_SUMINISTROS[[#This Row],[FIN DE SEMANA]])</f>
        <v>1052-1MNO</v>
      </c>
      <c r="D371" s="365" t="str">
        <f>CONCATENATE(VOL_VOLUMEN_SUMINISTROS[[#This Row],[Grupo]],VOL_VOLUMEN_SUMINISTROS[[#This Row],[Proyecto]],VOL_VOLUMEN_SUMINISTROS[[#This Row],[FIN DE SEMANA]])</f>
        <v>241052-1NO</v>
      </c>
      <c r="E371" s="30" t="s">
        <v>147</v>
      </c>
      <c r="F371" s="30" t="s">
        <v>148</v>
      </c>
      <c r="G371" s="365">
        <v>24</v>
      </c>
      <c r="H371" s="30">
        <v>15</v>
      </c>
      <c r="I371" s="9" t="s">
        <v>365</v>
      </c>
      <c r="J371" s="9" t="s">
        <v>366</v>
      </c>
      <c r="K371" s="30">
        <v>2</v>
      </c>
      <c r="L371" s="9" t="s">
        <v>368</v>
      </c>
      <c r="M371" s="30" t="s">
        <v>84</v>
      </c>
      <c r="N371" s="30" t="s">
        <v>152</v>
      </c>
      <c r="O371" s="24">
        <v>60</v>
      </c>
      <c r="P371" s="24">
        <v>57</v>
      </c>
      <c r="Q371" s="24">
        <v>9</v>
      </c>
      <c r="R371" s="24">
        <v>0</v>
      </c>
      <c r="S371" s="24">
        <v>0</v>
      </c>
      <c r="T371" s="24">
        <v>126</v>
      </c>
    </row>
    <row r="372" spans="1:20">
      <c r="A372" s="9" t="s">
        <v>306</v>
      </c>
      <c r="B372" s="30" t="s">
        <v>364</v>
      </c>
      <c r="C372" s="30" t="str">
        <f>CONCATENATE(VOL_VOLUMEN_SUMINISTROS[[#This Row],[Proyecto]],VOL_VOLUMEN_SUMINISTROS[[#This Row],[J]],VOL_VOLUMEN_SUMINISTROS[[#This Row],[FIN DE SEMANA]])</f>
        <v>1052-1TNO</v>
      </c>
      <c r="D372" s="365" t="str">
        <f>CONCATENATE(VOL_VOLUMEN_SUMINISTROS[[#This Row],[Grupo]],VOL_VOLUMEN_SUMINISTROS[[#This Row],[Proyecto]],VOL_VOLUMEN_SUMINISTROS[[#This Row],[FIN DE SEMANA]])</f>
        <v>241052-1NO</v>
      </c>
      <c r="E372" s="30" t="s">
        <v>147</v>
      </c>
      <c r="F372" s="30" t="s">
        <v>148</v>
      </c>
      <c r="G372" s="365">
        <v>24</v>
      </c>
      <c r="H372" s="30">
        <v>15</v>
      </c>
      <c r="I372" s="9" t="s">
        <v>365</v>
      </c>
      <c r="J372" s="9" t="s">
        <v>366</v>
      </c>
      <c r="K372" s="30">
        <v>2</v>
      </c>
      <c r="L372" s="9" t="s">
        <v>368</v>
      </c>
      <c r="M372" s="30" t="s">
        <v>84</v>
      </c>
      <c r="N372" s="30" t="s">
        <v>155</v>
      </c>
      <c r="O372" s="24">
        <v>56</v>
      </c>
      <c r="P372" s="24">
        <v>55</v>
      </c>
      <c r="Q372" s="24">
        <v>9</v>
      </c>
      <c r="R372" s="24">
        <v>0</v>
      </c>
      <c r="S372" s="24">
        <v>0</v>
      </c>
      <c r="T372" s="24">
        <v>120</v>
      </c>
    </row>
    <row r="373" spans="1:20">
      <c r="A373" s="9" t="s">
        <v>306</v>
      </c>
      <c r="B373" s="30" t="s">
        <v>364</v>
      </c>
      <c r="C373" s="30" t="str">
        <f>CONCATENATE(VOL_VOLUMEN_SUMINISTROS[[#This Row],[Proyecto]],VOL_VOLUMEN_SUMINISTROS[[#This Row],[J]],VOL_VOLUMEN_SUMINISTROS[[#This Row],[FIN DE SEMANA]])</f>
        <v>1052-1MNO</v>
      </c>
      <c r="D373" s="365" t="str">
        <f>CONCATENATE(VOL_VOLUMEN_SUMINISTROS[[#This Row],[Grupo]],VOL_VOLUMEN_SUMINISTROS[[#This Row],[Proyecto]],VOL_VOLUMEN_SUMINISTROS[[#This Row],[FIN DE SEMANA]])</f>
        <v>241052-1NO</v>
      </c>
      <c r="E373" s="30" t="s">
        <v>147</v>
      </c>
      <c r="F373" s="30" t="s">
        <v>148</v>
      </c>
      <c r="G373" s="365">
        <v>24</v>
      </c>
      <c r="H373" s="30">
        <v>15</v>
      </c>
      <c r="I373" s="9" t="s">
        <v>365</v>
      </c>
      <c r="J373" s="9" t="s">
        <v>366</v>
      </c>
      <c r="K373" s="30">
        <v>3</v>
      </c>
      <c r="L373" s="9" t="s">
        <v>369</v>
      </c>
      <c r="M373" s="30" t="s">
        <v>84</v>
      </c>
      <c r="N373" s="30" t="s">
        <v>152</v>
      </c>
      <c r="O373" s="24">
        <v>95</v>
      </c>
      <c r="P373" s="24">
        <v>62</v>
      </c>
      <c r="Q373" s="24">
        <v>9</v>
      </c>
      <c r="R373" s="24">
        <v>0</v>
      </c>
      <c r="S373" s="24">
        <v>0</v>
      </c>
      <c r="T373" s="24">
        <v>166</v>
      </c>
    </row>
    <row r="374" spans="1:20">
      <c r="A374" s="9" t="s">
        <v>306</v>
      </c>
      <c r="B374" s="30" t="s">
        <v>364</v>
      </c>
      <c r="C374" s="30" t="str">
        <f>CONCATENATE(VOL_VOLUMEN_SUMINISTROS[[#This Row],[Proyecto]],VOL_VOLUMEN_SUMINISTROS[[#This Row],[J]],VOL_VOLUMEN_SUMINISTROS[[#This Row],[FIN DE SEMANA]])</f>
        <v>1052-1TNO</v>
      </c>
      <c r="D374" s="365" t="str">
        <f>CONCATENATE(VOL_VOLUMEN_SUMINISTROS[[#This Row],[Grupo]],VOL_VOLUMEN_SUMINISTROS[[#This Row],[Proyecto]],VOL_VOLUMEN_SUMINISTROS[[#This Row],[FIN DE SEMANA]])</f>
        <v>241052-1NO</v>
      </c>
      <c r="E374" s="30" t="s">
        <v>147</v>
      </c>
      <c r="F374" s="30" t="s">
        <v>148</v>
      </c>
      <c r="G374" s="365">
        <v>24</v>
      </c>
      <c r="H374" s="30">
        <v>15</v>
      </c>
      <c r="I374" s="9" t="s">
        <v>365</v>
      </c>
      <c r="J374" s="9" t="s">
        <v>366</v>
      </c>
      <c r="K374" s="30">
        <v>3</v>
      </c>
      <c r="L374" s="9" t="s">
        <v>369</v>
      </c>
      <c r="M374" s="30" t="s">
        <v>84</v>
      </c>
      <c r="N374" s="30" t="s">
        <v>155</v>
      </c>
      <c r="O374" s="24">
        <v>79</v>
      </c>
      <c r="P374" s="24">
        <v>52</v>
      </c>
      <c r="Q374" s="24">
        <v>8</v>
      </c>
      <c r="R374" s="24">
        <v>0</v>
      </c>
      <c r="S374" s="24">
        <v>0</v>
      </c>
      <c r="T374" s="24">
        <v>139</v>
      </c>
    </row>
    <row r="375" spans="1:20">
      <c r="A375" s="9" t="s">
        <v>306</v>
      </c>
      <c r="B375" s="30" t="s">
        <v>364</v>
      </c>
      <c r="C375" s="30" t="str">
        <f>CONCATENATE(VOL_VOLUMEN_SUMINISTROS[[#This Row],[Proyecto]],VOL_VOLUMEN_SUMINISTROS[[#This Row],[J]],VOL_VOLUMEN_SUMINISTROS[[#This Row],[FIN DE SEMANA]])</f>
        <v>1052-1MNO</v>
      </c>
      <c r="D375" s="365" t="str">
        <f>CONCATENATE(VOL_VOLUMEN_SUMINISTROS[[#This Row],[Grupo]],VOL_VOLUMEN_SUMINISTROS[[#This Row],[Proyecto]],VOL_VOLUMEN_SUMINISTROS[[#This Row],[FIN DE SEMANA]])</f>
        <v>241052-1NO</v>
      </c>
      <c r="E375" s="30" t="s">
        <v>147</v>
      </c>
      <c r="F375" s="30" t="s">
        <v>148</v>
      </c>
      <c r="G375" s="365">
        <v>24</v>
      </c>
      <c r="H375" s="30">
        <v>15</v>
      </c>
      <c r="I375" s="9" t="s">
        <v>365</v>
      </c>
      <c r="J375" s="9" t="s">
        <v>370</v>
      </c>
      <c r="K375" s="30">
        <v>1</v>
      </c>
      <c r="L375" s="9" t="s">
        <v>371</v>
      </c>
      <c r="M375" s="30" t="s">
        <v>84</v>
      </c>
      <c r="N375" s="30" t="s">
        <v>152</v>
      </c>
      <c r="O375" s="24">
        <v>411</v>
      </c>
      <c r="P375" s="24">
        <v>291</v>
      </c>
      <c r="Q375" s="24">
        <v>645</v>
      </c>
      <c r="R375" s="24">
        <v>0</v>
      </c>
      <c r="S375" s="24">
        <v>0</v>
      </c>
      <c r="T375" s="24">
        <v>1347</v>
      </c>
    </row>
    <row r="376" spans="1:20">
      <c r="A376" s="9" t="s">
        <v>306</v>
      </c>
      <c r="B376" s="30" t="s">
        <v>364</v>
      </c>
      <c r="C376" s="30" t="str">
        <f>CONCATENATE(VOL_VOLUMEN_SUMINISTROS[[#This Row],[Proyecto]],VOL_VOLUMEN_SUMINISTROS[[#This Row],[J]],VOL_VOLUMEN_SUMINISTROS[[#This Row],[FIN DE SEMANA]])</f>
        <v>1052-1TNO</v>
      </c>
      <c r="D376" s="365" t="str">
        <f>CONCATENATE(VOL_VOLUMEN_SUMINISTROS[[#This Row],[Grupo]],VOL_VOLUMEN_SUMINISTROS[[#This Row],[Proyecto]],VOL_VOLUMEN_SUMINISTROS[[#This Row],[FIN DE SEMANA]])</f>
        <v>241052-1NO</v>
      </c>
      <c r="E376" s="30" t="s">
        <v>147</v>
      </c>
      <c r="F376" s="30" t="s">
        <v>148</v>
      </c>
      <c r="G376" s="365">
        <v>24</v>
      </c>
      <c r="H376" s="30">
        <v>15</v>
      </c>
      <c r="I376" s="9" t="s">
        <v>365</v>
      </c>
      <c r="J376" s="9" t="s">
        <v>370</v>
      </c>
      <c r="K376" s="30">
        <v>1</v>
      </c>
      <c r="L376" s="9" t="s">
        <v>371</v>
      </c>
      <c r="M376" s="30" t="s">
        <v>84</v>
      </c>
      <c r="N376" s="30" t="s">
        <v>155</v>
      </c>
      <c r="O376" s="24">
        <v>417</v>
      </c>
      <c r="P376" s="24">
        <v>276</v>
      </c>
      <c r="Q376" s="24">
        <v>57</v>
      </c>
      <c r="R376" s="24">
        <v>0</v>
      </c>
      <c r="S376" s="24">
        <v>0</v>
      </c>
      <c r="T376" s="24">
        <v>750</v>
      </c>
    </row>
    <row r="377" spans="1:20">
      <c r="A377" s="9" t="s">
        <v>306</v>
      </c>
      <c r="B377" s="30" t="s">
        <v>364</v>
      </c>
      <c r="C377" s="30" t="str">
        <f>CONCATENATE(VOL_VOLUMEN_SUMINISTROS[[#This Row],[Proyecto]],VOL_VOLUMEN_SUMINISTROS[[#This Row],[J]],VOL_VOLUMEN_SUMINISTROS[[#This Row],[FIN DE SEMANA]])</f>
        <v>1052-1MNO</v>
      </c>
      <c r="D377" s="365" t="str">
        <f>CONCATENATE(VOL_VOLUMEN_SUMINISTROS[[#This Row],[Grupo]],VOL_VOLUMEN_SUMINISTROS[[#This Row],[Proyecto]],VOL_VOLUMEN_SUMINISTROS[[#This Row],[FIN DE SEMANA]])</f>
        <v>241052-1NO</v>
      </c>
      <c r="E377" s="30" t="s">
        <v>147</v>
      </c>
      <c r="F377" s="30" t="s">
        <v>148</v>
      </c>
      <c r="G377" s="365">
        <v>24</v>
      </c>
      <c r="H377" s="30">
        <v>15</v>
      </c>
      <c r="I377" s="9" t="s">
        <v>365</v>
      </c>
      <c r="J377" s="9" t="s">
        <v>370</v>
      </c>
      <c r="K377" s="30">
        <v>2</v>
      </c>
      <c r="L377" s="9" t="s">
        <v>372</v>
      </c>
      <c r="M377" s="30" t="s">
        <v>84</v>
      </c>
      <c r="N377" s="30" t="s">
        <v>152</v>
      </c>
      <c r="O377" s="24">
        <v>0</v>
      </c>
      <c r="P377" s="24">
        <v>282</v>
      </c>
      <c r="Q377" s="24">
        <v>282</v>
      </c>
      <c r="R377" s="24">
        <v>0</v>
      </c>
      <c r="S377" s="24">
        <v>0</v>
      </c>
      <c r="T377" s="24">
        <v>564</v>
      </c>
    </row>
    <row r="378" spans="1:20">
      <c r="A378" s="9" t="s">
        <v>306</v>
      </c>
      <c r="B378" s="30" t="s">
        <v>364</v>
      </c>
      <c r="C378" s="30" t="str">
        <f>CONCATENATE(VOL_VOLUMEN_SUMINISTROS[[#This Row],[Proyecto]],VOL_VOLUMEN_SUMINISTROS[[#This Row],[J]],VOL_VOLUMEN_SUMINISTROS[[#This Row],[FIN DE SEMANA]])</f>
        <v>1052-1MNO</v>
      </c>
      <c r="D378" s="365" t="str">
        <f>CONCATENATE(VOL_VOLUMEN_SUMINISTROS[[#This Row],[Grupo]],VOL_VOLUMEN_SUMINISTROS[[#This Row],[Proyecto]],VOL_VOLUMEN_SUMINISTROS[[#This Row],[FIN DE SEMANA]])</f>
        <v>241052-1NO</v>
      </c>
      <c r="E378" s="30" t="s">
        <v>147</v>
      </c>
      <c r="F378" s="30" t="s">
        <v>148</v>
      </c>
      <c r="G378" s="365">
        <v>24</v>
      </c>
      <c r="H378" s="30">
        <v>15</v>
      </c>
      <c r="I378" s="9" t="s">
        <v>365</v>
      </c>
      <c r="J378" s="9" t="s">
        <v>373</v>
      </c>
      <c r="K378" s="30">
        <v>2</v>
      </c>
      <c r="L378" s="9" t="s">
        <v>165</v>
      </c>
      <c r="M378" s="30" t="s">
        <v>84</v>
      </c>
      <c r="N378" s="30" t="s">
        <v>152</v>
      </c>
      <c r="O378" s="24">
        <v>160</v>
      </c>
      <c r="P378" s="24">
        <v>0</v>
      </c>
      <c r="Q378" s="24">
        <v>0</v>
      </c>
      <c r="R378" s="24">
        <v>0</v>
      </c>
      <c r="S378" s="24">
        <v>0</v>
      </c>
      <c r="T378" s="24">
        <v>160</v>
      </c>
    </row>
    <row r="379" spans="1:20">
      <c r="A379" s="9" t="s">
        <v>306</v>
      </c>
      <c r="B379" s="30" t="s">
        <v>364</v>
      </c>
      <c r="C379" s="30" t="str">
        <f>CONCATENATE(VOL_VOLUMEN_SUMINISTROS[[#This Row],[Proyecto]],VOL_VOLUMEN_SUMINISTROS[[#This Row],[J]],VOL_VOLUMEN_SUMINISTROS[[#This Row],[FIN DE SEMANA]])</f>
        <v>1052-1TNO</v>
      </c>
      <c r="D379" s="365" t="str">
        <f>CONCATENATE(VOL_VOLUMEN_SUMINISTROS[[#This Row],[Grupo]],VOL_VOLUMEN_SUMINISTROS[[#This Row],[Proyecto]],VOL_VOLUMEN_SUMINISTROS[[#This Row],[FIN DE SEMANA]])</f>
        <v>241052-1NO</v>
      </c>
      <c r="E379" s="30" t="s">
        <v>147</v>
      </c>
      <c r="F379" s="30" t="s">
        <v>148</v>
      </c>
      <c r="G379" s="365">
        <v>24</v>
      </c>
      <c r="H379" s="30">
        <v>15</v>
      </c>
      <c r="I379" s="9" t="s">
        <v>365</v>
      </c>
      <c r="J379" s="9" t="s">
        <v>373</v>
      </c>
      <c r="K379" s="30">
        <v>2</v>
      </c>
      <c r="L379" s="9" t="s">
        <v>165</v>
      </c>
      <c r="M379" s="30" t="s">
        <v>84</v>
      </c>
      <c r="N379" s="30" t="s">
        <v>155</v>
      </c>
      <c r="O379" s="24">
        <v>50</v>
      </c>
      <c r="P379" s="24">
        <v>0</v>
      </c>
      <c r="Q379" s="24">
        <v>0</v>
      </c>
      <c r="R379" s="24">
        <v>0</v>
      </c>
      <c r="S379" s="24">
        <v>0</v>
      </c>
      <c r="T379" s="24">
        <v>50</v>
      </c>
    </row>
    <row r="380" spans="1:20">
      <c r="A380" s="9" t="s">
        <v>306</v>
      </c>
      <c r="B380" s="30" t="s">
        <v>364</v>
      </c>
      <c r="C380" s="30" t="str">
        <f>CONCATENATE(VOL_VOLUMEN_SUMINISTROS[[#This Row],[Proyecto]],VOL_VOLUMEN_SUMINISTROS[[#This Row],[J]],VOL_VOLUMEN_SUMINISTROS[[#This Row],[FIN DE SEMANA]])</f>
        <v>1052-1MNO</v>
      </c>
      <c r="D380" s="365" t="str">
        <f>CONCATENATE(VOL_VOLUMEN_SUMINISTROS[[#This Row],[Grupo]],VOL_VOLUMEN_SUMINISTROS[[#This Row],[Proyecto]],VOL_VOLUMEN_SUMINISTROS[[#This Row],[FIN DE SEMANA]])</f>
        <v>241052-1NO</v>
      </c>
      <c r="E380" s="30" t="s">
        <v>147</v>
      </c>
      <c r="F380" s="30" t="s">
        <v>148</v>
      </c>
      <c r="G380" s="365">
        <v>24</v>
      </c>
      <c r="H380" s="30">
        <v>15</v>
      </c>
      <c r="I380" s="9" t="s">
        <v>365</v>
      </c>
      <c r="J380" s="9" t="s">
        <v>373</v>
      </c>
      <c r="K380" s="30">
        <v>3</v>
      </c>
      <c r="L380" s="9" t="s">
        <v>165</v>
      </c>
      <c r="M380" s="30" t="s">
        <v>84</v>
      </c>
      <c r="N380" s="30" t="s">
        <v>152</v>
      </c>
      <c r="O380" s="24">
        <v>115</v>
      </c>
      <c r="P380" s="24">
        <v>0</v>
      </c>
      <c r="Q380" s="24">
        <v>0</v>
      </c>
      <c r="R380" s="24">
        <v>0</v>
      </c>
      <c r="S380" s="24">
        <v>0</v>
      </c>
      <c r="T380" s="24">
        <v>115</v>
      </c>
    </row>
    <row r="381" spans="1:20">
      <c r="A381" s="9" t="s">
        <v>306</v>
      </c>
      <c r="B381" s="30" t="s">
        <v>364</v>
      </c>
      <c r="C381" s="30" t="str">
        <f>CONCATENATE(VOL_VOLUMEN_SUMINISTROS[[#This Row],[Proyecto]],VOL_VOLUMEN_SUMINISTROS[[#This Row],[J]],VOL_VOLUMEN_SUMINISTROS[[#This Row],[FIN DE SEMANA]])</f>
        <v>1052-1MNO</v>
      </c>
      <c r="D381" s="365" t="str">
        <f>CONCATENATE(VOL_VOLUMEN_SUMINISTROS[[#This Row],[Grupo]],VOL_VOLUMEN_SUMINISTROS[[#This Row],[Proyecto]],VOL_VOLUMEN_SUMINISTROS[[#This Row],[FIN DE SEMANA]])</f>
        <v>241052-1NO</v>
      </c>
      <c r="E381" s="30" t="s">
        <v>147</v>
      </c>
      <c r="F381" s="30" t="s">
        <v>148</v>
      </c>
      <c r="G381" s="365">
        <v>24</v>
      </c>
      <c r="H381" s="30">
        <v>15</v>
      </c>
      <c r="I381" s="9" t="s">
        <v>365</v>
      </c>
      <c r="J381" s="9" t="s">
        <v>374</v>
      </c>
      <c r="K381" s="30">
        <v>1</v>
      </c>
      <c r="L381" s="9" t="s">
        <v>151</v>
      </c>
      <c r="M381" s="30" t="s">
        <v>84</v>
      </c>
      <c r="N381" s="30" t="s">
        <v>152</v>
      </c>
      <c r="O381" s="24">
        <v>0</v>
      </c>
      <c r="P381" s="24">
        <v>153</v>
      </c>
      <c r="Q381" s="24">
        <v>433</v>
      </c>
      <c r="R381" s="24">
        <v>0</v>
      </c>
      <c r="S381" s="24">
        <v>0</v>
      </c>
      <c r="T381" s="24">
        <v>586</v>
      </c>
    </row>
    <row r="382" spans="1:20">
      <c r="A382" s="9" t="s">
        <v>306</v>
      </c>
      <c r="B382" s="30" t="s">
        <v>364</v>
      </c>
      <c r="C382" s="30" t="str">
        <f>CONCATENATE(VOL_VOLUMEN_SUMINISTROS[[#This Row],[Proyecto]],VOL_VOLUMEN_SUMINISTROS[[#This Row],[J]],VOL_VOLUMEN_SUMINISTROS[[#This Row],[FIN DE SEMANA]])</f>
        <v>1052-1TNO</v>
      </c>
      <c r="D382" s="365" t="str">
        <f>CONCATENATE(VOL_VOLUMEN_SUMINISTROS[[#This Row],[Grupo]],VOL_VOLUMEN_SUMINISTROS[[#This Row],[Proyecto]],VOL_VOLUMEN_SUMINISTROS[[#This Row],[FIN DE SEMANA]])</f>
        <v>241052-1NO</v>
      </c>
      <c r="E382" s="30" t="s">
        <v>147</v>
      </c>
      <c r="F382" s="30" t="s">
        <v>148</v>
      </c>
      <c r="G382" s="365">
        <v>24</v>
      </c>
      <c r="H382" s="30">
        <v>15</v>
      </c>
      <c r="I382" s="9" t="s">
        <v>365</v>
      </c>
      <c r="J382" s="9" t="s">
        <v>374</v>
      </c>
      <c r="K382" s="30">
        <v>1</v>
      </c>
      <c r="L382" s="9" t="s">
        <v>151</v>
      </c>
      <c r="M382" s="30" t="s">
        <v>84</v>
      </c>
      <c r="N382" s="30" t="s">
        <v>155</v>
      </c>
      <c r="O382" s="24">
        <v>0</v>
      </c>
      <c r="P382" s="24">
        <v>75</v>
      </c>
      <c r="Q382" s="24">
        <v>248</v>
      </c>
      <c r="R382" s="24">
        <v>0</v>
      </c>
      <c r="S382" s="24">
        <v>0</v>
      </c>
      <c r="T382" s="24">
        <v>323</v>
      </c>
    </row>
    <row r="383" spans="1:20">
      <c r="A383" s="9" t="s">
        <v>306</v>
      </c>
      <c r="B383" s="30" t="s">
        <v>364</v>
      </c>
      <c r="C383" s="30" t="str">
        <f>CONCATENATE(VOL_VOLUMEN_SUMINISTROS[[#This Row],[Proyecto]],VOL_VOLUMEN_SUMINISTROS[[#This Row],[J]],VOL_VOLUMEN_SUMINISTROS[[#This Row],[FIN DE SEMANA]])</f>
        <v>1052-1MNO</v>
      </c>
      <c r="D383" s="365" t="str">
        <f>CONCATENATE(VOL_VOLUMEN_SUMINISTROS[[#This Row],[Grupo]],VOL_VOLUMEN_SUMINISTROS[[#This Row],[Proyecto]],VOL_VOLUMEN_SUMINISTROS[[#This Row],[FIN DE SEMANA]])</f>
        <v>241052-1NO</v>
      </c>
      <c r="E383" s="30" t="s">
        <v>147</v>
      </c>
      <c r="F383" s="30" t="s">
        <v>148</v>
      </c>
      <c r="G383" s="365">
        <v>24</v>
      </c>
      <c r="H383" s="30">
        <v>15</v>
      </c>
      <c r="I383" s="9" t="s">
        <v>365</v>
      </c>
      <c r="J383" s="9" t="s">
        <v>374</v>
      </c>
      <c r="K383" s="30">
        <v>2</v>
      </c>
      <c r="L383" s="9" t="s">
        <v>165</v>
      </c>
      <c r="M383" s="30" t="s">
        <v>84</v>
      </c>
      <c r="N383" s="30" t="s">
        <v>152</v>
      </c>
      <c r="O383" s="24">
        <v>158</v>
      </c>
      <c r="P383" s="24">
        <v>164</v>
      </c>
      <c r="Q383" s="24">
        <v>35</v>
      </c>
      <c r="R383" s="24">
        <v>0</v>
      </c>
      <c r="S383" s="24">
        <v>0</v>
      </c>
      <c r="T383" s="24">
        <v>357</v>
      </c>
    </row>
    <row r="384" spans="1:20">
      <c r="A384" s="9" t="s">
        <v>306</v>
      </c>
      <c r="B384" s="30" t="s">
        <v>364</v>
      </c>
      <c r="C384" s="30" t="str">
        <f>CONCATENATE(VOL_VOLUMEN_SUMINISTROS[[#This Row],[Proyecto]],VOL_VOLUMEN_SUMINISTROS[[#This Row],[J]],VOL_VOLUMEN_SUMINISTROS[[#This Row],[FIN DE SEMANA]])</f>
        <v>1052-1TNO</v>
      </c>
      <c r="D384" s="365" t="str">
        <f>CONCATENATE(VOL_VOLUMEN_SUMINISTROS[[#This Row],[Grupo]],VOL_VOLUMEN_SUMINISTROS[[#This Row],[Proyecto]],VOL_VOLUMEN_SUMINISTROS[[#This Row],[FIN DE SEMANA]])</f>
        <v>241052-1NO</v>
      </c>
      <c r="E384" s="30" t="s">
        <v>147</v>
      </c>
      <c r="F384" s="30" t="s">
        <v>148</v>
      </c>
      <c r="G384" s="365">
        <v>24</v>
      </c>
      <c r="H384" s="30">
        <v>15</v>
      </c>
      <c r="I384" s="9" t="s">
        <v>365</v>
      </c>
      <c r="J384" s="9" t="s">
        <v>374</v>
      </c>
      <c r="K384" s="30">
        <v>2</v>
      </c>
      <c r="L384" s="9" t="s">
        <v>165</v>
      </c>
      <c r="M384" s="30" t="s">
        <v>84</v>
      </c>
      <c r="N384" s="30" t="s">
        <v>155</v>
      </c>
      <c r="O384" s="24">
        <v>84</v>
      </c>
      <c r="P384" s="24">
        <v>94</v>
      </c>
      <c r="Q384" s="24">
        <v>21</v>
      </c>
      <c r="R384" s="24">
        <v>0</v>
      </c>
      <c r="S384" s="24">
        <v>0</v>
      </c>
      <c r="T384" s="24">
        <v>199</v>
      </c>
    </row>
    <row r="385" spans="1:20">
      <c r="A385" s="9" t="s">
        <v>306</v>
      </c>
      <c r="B385" s="30" t="s">
        <v>364</v>
      </c>
      <c r="C385" s="30" t="str">
        <f>CONCATENATE(VOL_VOLUMEN_SUMINISTROS[[#This Row],[Proyecto]],VOL_VOLUMEN_SUMINISTROS[[#This Row],[J]],VOL_VOLUMEN_SUMINISTROS[[#This Row],[FIN DE SEMANA]])</f>
        <v>1052-1MNO</v>
      </c>
      <c r="D385" s="365" t="str">
        <f>CONCATENATE(VOL_VOLUMEN_SUMINISTROS[[#This Row],[Grupo]],VOL_VOLUMEN_SUMINISTROS[[#This Row],[Proyecto]],VOL_VOLUMEN_SUMINISTROS[[#This Row],[FIN DE SEMANA]])</f>
        <v>241052-1NO</v>
      </c>
      <c r="E385" s="30" t="s">
        <v>147</v>
      </c>
      <c r="F385" s="30" t="s">
        <v>148</v>
      </c>
      <c r="G385" s="365">
        <v>24</v>
      </c>
      <c r="H385" s="30">
        <v>15</v>
      </c>
      <c r="I385" s="9" t="s">
        <v>365</v>
      </c>
      <c r="J385" s="9" t="s">
        <v>375</v>
      </c>
      <c r="K385" s="30">
        <v>1</v>
      </c>
      <c r="L385" s="9" t="s">
        <v>376</v>
      </c>
      <c r="M385" s="30" t="s">
        <v>84</v>
      </c>
      <c r="N385" s="30" t="s">
        <v>152</v>
      </c>
      <c r="O385" s="24">
        <v>239</v>
      </c>
      <c r="P385" s="24">
        <v>310</v>
      </c>
      <c r="Q385" s="24">
        <v>71</v>
      </c>
      <c r="R385" s="24">
        <v>0</v>
      </c>
      <c r="S385" s="24">
        <v>0</v>
      </c>
      <c r="T385" s="24">
        <v>620</v>
      </c>
    </row>
    <row r="386" spans="1:20">
      <c r="A386" s="9" t="s">
        <v>306</v>
      </c>
      <c r="B386" s="30" t="s">
        <v>364</v>
      </c>
      <c r="C386" s="30" t="str">
        <f>CONCATENATE(VOL_VOLUMEN_SUMINISTROS[[#This Row],[Proyecto]],VOL_VOLUMEN_SUMINISTROS[[#This Row],[J]],VOL_VOLUMEN_SUMINISTROS[[#This Row],[FIN DE SEMANA]])</f>
        <v>1052-1TNO</v>
      </c>
      <c r="D386" s="365" t="str">
        <f>CONCATENATE(VOL_VOLUMEN_SUMINISTROS[[#This Row],[Grupo]],VOL_VOLUMEN_SUMINISTROS[[#This Row],[Proyecto]],VOL_VOLUMEN_SUMINISTROS[[#This Row],[FIN DE SEMANA]])</f>
        <v>241052-1NO</v>
      </c>
      <c r="E386" s="30" t="s">
        <v>147</v>
      </c>
      <c r="F386" s="30" t="s">
        <v>148</v>
      </c>
      <c r="G386" s="365">
        <v>24</v>
      </c>
      <c r="H386" s="30">
        <v>15</v>
      </c>
      <c r="I386" s="9" t="s">
        <v>365</v>
      </c>
      <c r="J386" s="9" t="s">
        <v>375</v>
      </c>
      <c r="K386" s="30">
        <v>1</v>
      </c>
      <c r="L386" s="9" t="s">
        <v>376</v>
      </c>
      <c r="M386" s="30" t="s">
        <v>84</v>
      </c>
      <c r="N386" s="30" t="s">
        <v>155</v>
      </c>
      <c r="O386" s="24">
        <v>43</v>
      </c>
      <c r="P386" s="24">
        <v>117</v>
      </c>
      <c r="Q386" s="24">
        <v>380</v>
      </c>
      <c r="R386" s="24">
        <v>0</v>
      </c>
      <c r="S386" s="24">
        <v>0</v>
      </c>
      <c r="T386" s="24">
        <v>540</v>
      </c>
    </row>
    <row r="387" spans="1:20">
      <c r="A387" s="9" t="s">
        <v>306</v>
      </c>
      <c r="B387" s="30" t="s">
        <v>364</v>
      </c>
      <c r="C387" s="30" t="str">
        <f>CONCATENATE(VOL_VOLUMEN_SUMINISTROS[[#This Row],[Proyecto]],VOL_VOLUMEN_SUMINISTROS[[#This Row],[J]],VOL_VOLUMEN_SUMINISTROS[[#This Row],[FIN DE SEMANA]])</f>
        <v>1052-1MNO</v>
      </c>
      <c r="D387" s="365" t="str">
        <f>CONCATENATE(VOL_VOLUMEN_SUMINISTROS[[#This Row],[Grupo]],VOL_VOLUMEN_SUMINISTROS[[#This Row],[Proyecto]],VOL_VOLUMEN_SUMINISTROS[[#This Row],[FIN DE SEMANA]])</f>
        <v>251052-1NO</v>
      </c>
      <c r="E387" s="30" t="s">
        <v>147</v>
      </c>
      <c r="F387" s="30" t="s">
        <v>148</v>
      </c>
      <c r="G387" s="365">
        <v>25</v>
      </c>
      <c r="H387" s="30">
        <v>18</v>
      </c>
      <c r="I387" s="9" t="s">
        <v>308</v>
      </c>
      <c r="J387" s="9" t="s">
        <v>377</v>
      </c>
      <c r="K387" s="30">
        <v>1</v>
      </c>
      <c r="L387" s="9" t="s">
        <v>378</v>
      </c>
      <c r="M387" s="30" t="s">
        <v>84</v>
      </c>
      <c r="N387" s="30" t="s">
        <v>152</v>
      </c>
      <c r="O387" s="24">
        <v>237</v>
      </c>
      <c r="P387" s="24">
        <v>289</v>
      </c>
      <c r="Q387" s="24">
        <v>329</v>
      </c>
      <c r="R387" s="24">
        <v>0</v>
      </c>
      <c r="S387" s="24">
        <v>0</v>
      </c>
      <c r="T387" s="24">
        <v>855</v>
      </c>
    </row>
    <row r="388" spans="1:20">
      <c r="A388" s="9" t="s">
        <v>306</v>
      </c>
      <c r="B388" s="30" t="s">
        <v>364</v>
      </c>
      <c r="C388" s="30" t="str">
        <f>CONCATENATE(VOL_VOLUMEN_SUMINISTROS[[#This Row],[Proyecto]],VOL_VOLUMEN_SUMINISTROS[[#This Row],[J]],VOL_VOLUMEN_SUMINISTROS[[#This Row],[FIN DE SEMANA]])</f>
        <v>1052-1TNO</v>
      </c>
      <c r="D388" s="365" t="str">
        <f>CONCATENATE(VOL_VOLUMEN_SUMINISTROS[[#This Row],[Grupo]],VOL_VOLUMEN_SUMINISTROS[[#This Row],[Proyecto]],VOL_VOLUMEN_SUMINISTROS[[#This Row],[FIN DE SEMANA]])</f>
        <v>251052-1NO</v>
      </c>
      <c r="E388" s="30" t="s">
        <v>147</v>
      </c>
      <c r="F388" s="30" t="s">
        <v>148</v>
      </c>
      <c r="G388" s="365">
        <v>25</v>
      </c>
      <c r="H388" s="30">
        <v>18</v>
      </c>
      <c r="I388" s="9" t="s">
        <v>308</v>
      </c>
      <c r="J388" s="9" t="s">
        <v>377</v>
      </c>
      <c r="K388" s="30">
        <v>1</v>
      </c>
      <c r="L388" s="9" t="s">
        <v>378</v>
      </c>
      <c r="M388" s="30" t="s">
        <v>84</v>
      </c>
      <c r="N388" s="30" t="s">
        <v>155</v>
      </c>
      <c r="O388" s="24">
        <v>96</v>
      </c>
      <c r="P388" s="24">
        <v>243</v>
      </c>
      <c r="Q388" s="24">
        <v>171</v>
      </c>
      <c r="R388" s="24">
        <v>0</v>
      </c>
      <c r="S388" s="24">
        <v>0</v>
      </c>
      <c r="T388" s="24">
        <v>510</v>
      </c>
    </row>
    <row r="389" spans="1:20">
      <c r="A389" s="9" t="s">
        <v>306</v>
      </c>
      <c r="B389" s="30" t="s">
        <v>364</v>
      </c>
      <c r="C389" s="30" t="str">
        <f>CONCATENATE(VOL_VOLUMEN_SUMINISTROS[[#This Row],[Proyecto]],VOL_VOLUMEN_SUMINISTROS[[#This Row],[J]],VOL_VOLUMEN_SUMINISTROS[[#This Row],[FIN DE SEMANA]])</f>
        <v>1052-1MNO</v>
      </c>
      <c r="D389" s="365" t="str">
        <f>CONCATENATE(VOL_VOLUMEN_SUMINISTROS[[#This Row],[Grupo]],VOL_VOLUMEN_SUMINISTROS[[#This Row],[Proyecto]],VOL_VOLUMEN_SUMINISTROS[[#This Row],[FIN DE SEMANA]])</f>
        <v>251052-1NO</v>
      </c>
      <c r="E389" s="30" t="s">
        <v>147</v>
      </c>
      <c r="F389" s="30" t="s">
        <v>148</v>
      </c>
      <c r="G389" s="365">
        <v>25</v>
      </c>
      <c r="H389" s="30">
        <v>18</v>
      </c>
      <c r="I389" s="9" t="s">
        <v>308</v>
      </c>
      <c r="J389" s="9" t="s">
        <v>379</v>
      </c>
      <c r="K389" s="30">
        <v>1</v>
      </c>
      <c r="L389" s="9" t="s">
        <v>153</v>
      </c>
      <c r="M389" s="30" t="s">
        <v>84</v>
      </c>
      <c r="N389" s="30" t="s">
        <v>152</v>
      </c>
      <c r="O389" s="24">
        <v>215</v>
      </c>
      <c r="P389" s="24">
        <v>163</v>
      </c>
      <c r="Q389" s="24">
        <v>34</v>
      </c>
      <c r="R389" s="24">
        <v>0</v>
      </c>
      <c r="S389" s="24">
        <v>0</v>
      </c>
      <c r="T389" s="24">
        <v>412</v>
      </c>
    </row>
    <row r="390" spans="1:20">
      <c r="A390" s="9" t="s">
        <v>306</v>
      </c>
      <c r="B390" s="30" t="s">
        <v>364</v>
      </c>
      <c r="C390" s="30" t="str">
        <f>CONCATENATE(VOL_VOLUMEN_SUMINISTROS[[#This Row],[Proyecto]],VOL_VOLUMEN_SUMINISTROS[[#This Row],[J]],VOL_VOLUMEN_SUMINISTROS[[#This Row],[FIN DE SEMANA]])</f>
        <v>1052-1TNO</v>
      </c>
      <c r="D390" s="365" t="str">
        <f>CONCATENATE(VOL_VOLUMEN_SUMINISTROS[[#This Row],[Grupo]],VOL_VOLUMEN_SUMINISTROS[[#This Row],[Proyecto]],VOL_VOLUMEN_SUMINISTROS[[#This Row],[FIN DE SEMANA]])</f>
        <v>251052-1NO</v>
      </c>
      <c r="E390" s="30" t="s">
        <v>147</v>
      </c>
      <c r="F390" s="30" t="s">
        <v>148</v>
      </c>
      <c r="G390" s="365">
        <v>25</v>
      </c>
      <c r="H390" s="30">
        <v>18</v>
      </c>
      <c r="I390" s="9" t="s">
        <v>308</v>
      </c>
      <c r="J390" s="9" t="s">
        <v>379</v>
      </c>
      <c r="K390" s="30">
        <v>1</v>
      </c>
      <c r="L390" s="9" t="s">
        <v>153</v>
      </c>
      <c r="M390" s="30" t="s">
        <v>84</v>
      </c>
      <c r="N390" s="30" t="s">
        <v>155</v>
      </c>
      <c r="O390" s="24">
        <v>0</v>
      </c>
      <c r="P390" s="24">
        <v>99</v>
      </c>
      <c r="Q390" s="24">
        <v>220</v>
      </c>
      <c r="R390" s="24">
        <v>0</v>
      </c>
      <c r="S390" s="24">
        <v>0</v>
      </c>
      <c r="T390" s="24">
        <v>319</v>
      </c>
    </row>
    <row r="391" spans="1:20">
      <c r="A391" s="9" t="s">
        <v>306</v>
      </c>
      <c r="B391" s="30" t="s">
        <v>364</v>
      </c>
      <c r="C391" s="30" t="str">
        <f>CONCATENATE(VOL_VOLUMEN_SUMINISTROS[[#This Row],[Proyecto]],VOL_VOLUMEN_SUMINISTROS[[#This Row],[J]],VOL_VOLUMEN_SUMINISTROS[[#This Row],[FIN DE SEMANA]])</f>
        <v>1052-1MNO</v>
      </c>
      <c r="D391" s="365" t="str">
        <f>CONCATENATE(VOL_VOLUMEN_SUMINISTROS[[#This Row],[Grupo]],VOL_VOLUMEN_SUMINISTROS[[#This Row],[Proyecto]],VOL_VOLUMEN_SUMINISTROS[[#This Row],[FIN DE SEMANA]])</f>
        <v>251052-1NO</v>
      </c>
      <c r="E391" s="30" t="s">
        <v>147</v>
      </c>
      <c r="F391" s="30" t="s">
        <v>148</v>
      </c>
      <c r="G391" s="365">
        <v>25</v>
      </c>
      <c r="H391" s="30">
        <v>18</v>
      </c>
      <c r="I391" s="9" t="s">
        <v>308</v>
      </c>
      <c r="J391" s="9" t="s">
        <v>380</v>
      </c>
      <c r="K391" s="30">
        <v>1</v>
      </c>
      <c r="L391" s="9" t="s">
        <v>381</v>
      </c>
      <c r="M391" s="30" t="s">
        <v>84</v>
      </c>
      <c r="N391" s="30" t="s">
        <v>152</v>
      </c>
      <c r="O391" s="24">
        <v>0</v>
      </c>
      <c r="P391" s="24">
        <v>165</v>
      </c>
      <c r="Q391" s="24">
        <v>287</v>
      </c>
      <c r="R391" s="24">
        <v>0</v>
      </c>
      <c r="S391" s="24">
        <v>0</v>
      </c>
      <c r="T391" s="24">
        <v>452</v>
      </c>
    </row>
    <row r="392" spans="1:20">
      <c r="A392" s="9" t="s">
        <v>306</v>
      </c>
      <c r="B392" s="30" t="s">
        <v>364</v>
      </c>
      <c r="C392" s="30" t="str">
        <f>CONCATENATE(VOL_VOLUMEN_SUMINISTROS[[#This Row],[Proyecto]],VOL_VOLUMEN_SUMINISTROS[[#This Row],[J]],VOL_VOLUMEN_SUMINISTROS[[#This Row],[FIN DE SEMANA]])</f>
        <v>1052-1TNO</v>
      </c>
      <c r="D392" s="365" t="str">
        <f>CONCATENATE(VOL_VOLUMEN_SUMINISTROS[[#This Row],[Grupo]],VOL_VOLUMEN_SUMINISTROS[[#This Row],[Proyecto]],VOL_VOLUMEN_SUMINISTROS[[#This Row],[FIN DE SEMANA]])</f>
        <v>251052-1NO</v>
      </c>
      <c r="E392" s="30" t="s">
        <v>147</v>
      </c>
      <c r="F392" s="30" t="s">
        <v>148</v>
      </c>
      <c r="G392" s="365">
        <v>25</v>
      </c>
      <c r="H392" s="30">
        <v>18</v>
      </c>
      <c r="I392" s="9" t="s">
        <v>308</v>
      </c>
      <c r="J392" s="9" t="s">
        <v>380</v>
      </c>
      <c r="K392" s="30">
        <v>1</v>
      </c>
      <c r="L392" s="9" t="s">
        <v>382</v>
      </c>
      <c r="M392" s="30" t="s">
        <v>84</v>
      </c>
      <c r="N392" s="30" t="s">
        <v>155</v>
      </c>
      <c r="O392" s="24">
        <v>0</v>
      </c>
      <c r="P392" s="24">
        <v>147</v>
      </c>
      <c r="Q392" s="24">
        <v>249</v>
      </c>
      <c r="R392" s="24">
        <v>0</v>
      </c>
      <c r="S392" s="24">
        <v>0</v>
      </c>
      <c r="T392" s="24">
        <v>396</v>
      </c>
    </row>
    <row r="393" spans="1:20">
      <c r="A393" s="9" t="s">
        <v>306</v>
      </c>
      <c r="B393" s="30" t="s">
        <v>364</v>
      </c>
      <c r="C393" s="30" t="str">
        <f>CONCATENATE(VOL_VOLUMEN_SUMINISTROS[[#This Row],[Proyecto]],VOL_VOLUMEN_SUMINISTROS[[#This Row],[J]],VOL_VOLUMEN_SUMINISTROS[[#This Row],[FIN DE SEMANA]])</f>
        <v>1052-1MNO</v>
      </c>
      <c r="D393" s="365" t="str">
        <f>CONCATENATE(VOL_VOLUMEN_SUMINISTROS[[#This Row],[Grupo]],VOL_VOLUMEN_SUMINISTROS[[#This Row],[Proyecto]],VOL_VOLUMEN_SUMINISTROS[[#This Row],[FIN DE SEMANA]])</f>
        <v>251052-1NO</v>
      </c>
      <c r="E393" s="30" t="s">
        <v>147</v>
      </c>
      <c r="F393" s="30" t="s">
        <v>148</v>
      </c>
      <c r="G393" s="365">
        <v>25</v>
      </c>
      <c r="H393" s="30">
        <v>18</v>
      </c>
      <c r="I393" s="9" t="s">
        <v>308</v>
      </c>
      <c r="J393" s="9" t="s">
        <v>380</v>
      </c>
      <c r="K393" s="30">
        <v>2</v>
      </c>
      <c r="L393" s="9" t="s">
        <v>383</v>
      </c>
      <c r="M393" s="30" t="s">
        <v>84</v>
      </c>
      <c r="N393" s="30" t="s">
        <v>152</v>
      </c>
      <c r="O393" s="24">
        <v>273</v>
      </c>
      <c r="P393" s="24">
        <v>168</v>
      </c>
      <c r="Q393" s="24">
        <v>26</v>
      </c>
      <c r="R393" s="24">
        <v>0</v>
      </c>
      <c r="S393" s="24">
        <v>0</v>
      </c>
      <c r="T393" s="24">
        <v>467</v>
      </c>
    </row>
    <row r="394" spans="1:20">
      <c r="A394" s="9" t="s">
        <v>306</v>
      </c>
      <c r="B394" s="30" t="s">
        <v>364</v>
      </c>
      <c r="C394" s="30" t="str">
        <f>CONCATENATE(VOL_VOLUMEN_SUMINISTROS[[#This Row],[Proyecto]],VOL_VOLUMEN_SUMINISTROS[[#This Row],[J]],VOL_VOLUMEN_SUMINISTROS[[#This Row],[FIN DE SEMANA]])</f>
        <v>1052-1TNO</v>
      </c>
      <c r="D394" s="365" t="str">
        <f>CONCATENATE(VOL_VOLUMEN_SUMINISTROS[[#This Row],[Grupo]],VOL_VOLUMEN_SUMINISTROS[[#This Row],[Proyecto]],VOL_VOLUMEN_SUMINISTROS[[#This Row],[FIN DE SEMANA]])</f>
        <v>251052-1NO</v>
      </c>
      <c r="E394" s="30" t="s">
        <v>147</v>
      </c>
      <c r="F394" s="30" t="s">
        <v>148</v>
      </c>
      <c r="G394" s="365">
        <v>25</v>
      </c>
      <c r="H394" s="30">
        <v>18</v>
      </c>
      <c r="I394" s="9" t="s">
        <v>308</v>
      </c>
      <c r="J394" s="9" t="s">
        <v>380</v>
      </c>
      <c r="K394" s="30">
        <v>2</v>
      </c>
      <c r="L394" s="9" t="s">
        <v>383</v>
      </c>
      <c r="M394" s="30" t="s">
        <v>84</v>
      </c>
      <c r="N394" s="30" t="s">
        <v>155</v>
      </c>
      <c r="O394" s="24">
        <v>269</v>
      </c>
      <c r="P394" s="24">
        <v>155</v>
      </c>
      <c r="Q394" s="24">
        <v>18</v>
      </c>
      <c r="R394" s="24">
        <v>0</v>
      </c>
      <c r="S394" s="24">
        <v>0</v>
      </c>
      <c r="T394" s="24">
        <v>442</v>
      </c>
    </row>
    <row r="395" spans="1:20">
      <c r="A395" s="9" t="s">
        <v>306</v>
      </c>
      <c r="B395" s="30" t="s">
        <v>364</v>
      </c>
      <c r="C395" s="30" t="str">
        <f>CONCATENATE(VOL_VOLUMEN_SUMINISTROS[[#This Row],[Proyecto]],VOL_VOLUMEN_SUMINISTROS[[#This Row],[J]],VOL_VOLUMEN_SUMINISTROS[[#This Row],[FIN DE SEMANA]])</f>
        <v>1052-1MNO</v>
      </c>
      <c r="D395" s="365" t="str">
        <f>CONCATENATE(VOL_VOLUMEN_SUMINISTROS[[#This Row],[Grupo]],VOL_VOLUMEN_SUMINISTROS[[#This Row],[Proyecto]],VOL_VOLUMEN_SUMINISTROS[[#This Row],[FIN DE SEMANA]])</f>
        <v>251052-1NO</v>
      </c>
      <c r="E395" s="30" t="s">
        <v>147</v>
      </c>
      <c r="F395" s="30" t="s">
        <v>148</v>
      </c>
      <c r="G395" s="365">
        <v>25</v>
      </c>
      <c r="H395" s="30">
        <v>18</v>
      </c>
      <c r="I395" s="9" t="s">
        <v>308</v>
      </c>
      <c r="J395" s="9" t="s">
        <v>380</v>
      </c>
      <c r="K395" s="30">
        <v>3</v>
      </c>
      <c r="L395" s="9" t="s">
        <v>384</v>
      </c>
      <c r="M395" s="30" t="s">
        <v>84</v>
      </c>
      <c r="N395" s="30" t="s">
        <v>152</v>
      </c>
      <c r="O395" s="24">
        <v>98</v>
      </c>
      <c r="P395" s="24">
        <v>65</v>
      </c>
      <c r="Q395" s="24">
        <v>12</v>
      </c>
      <c r="R395" s="24">
        <v>0</v>
      </c>
      <c r="S395" s="24">
        <v>0</v>
      </c>
      <c r="T395" s="24">
        <v>175</v>
      </c>
    </row>
    <row r="396" spans="1:20">
      <c r="A396" s="9" t="s">
        <v>306</v>
      </c>
      <c r="B396" s="30" t="s">
        <v>364</v>
      </c>
      <c r="C396" s="30" t="str">
        <f>CONCATENATE(VOL_VOLUMEN_SUMINISTROS[[#This Row],[Proyecto]],VOL_VOLUMEN_SUMINISTROS[[#This Row],[J]],VOL_VOLUMEN_SUMINISTROS[[#This Row],[FIN DE SEMANA]])</f>
        <v>1052-1MNO</v>
      </c>
      <c r="D396" s="365" t="str">
        <f>CONCATENATE(VOL_VOLUMEN_SUMINISTROS[[#This Row],[Grupo]],VOL_VOLUMEN_SUMINISTROS[[#This Row],[Proyecto]],VOL_VOLUMEN_SUMINISTROS[[#This Row],[FIN DE SEMANA]])</f>
        <v>251052-1NO</v>
      </c>
      <c r="E396" s="30" t="s">
        <v>147</v>
      </c>
      <c r="F396" s="30" t="s">
        <v>148</v>
      </c>
      <c r="G396" s="365">
        <v>25</v>
      </c>
      <c r="H396" s="30">
        <v>18</v>
      </c>
      <c r="I396" s="9" t="s">
        <v>308</v>
      </c>
      <c r="J396" s="9" t="s">
        <v>385</v>
      </c>
      <c r="K396" s="30">
        <v>2</v>
      </c>
      <c r="L396" s="9" t="s">
        <v>386</v>
      </c>
      <c r="M396" s="30" t="s">
        <v>84</v>
      </c>
      <c r="N396" s="30" t="s">
        <v>152</v>
      </c>
      <c r="O396" s="24">
        <v>106</v>
      </c>
      <c r="P396" s="24">
        <v>137</v>
      </c>
      <c r="Q396" s="24">
        <v>104</v>
      </c>
      <c r="R396" s="24">
        <v>0</v>
      </c>
      <c r="S396" s="24">
        <v>0</v>
      </c>
      <c r="T396" s="24">
        <v>347</v>
      </c>
    </row>
    <row r="397" spans="1:20">
      <c r="A397" s="9" t="s">
        <v>306</v>
      </c>
      <c r="B397" s="30" t="s">
        <v>364</v>
      </c>
      <c r="C397" s="30" t="str">
        <f>CONCATENATE(VOL_VOLUMEN_SUMINISTROS[[#This Row],[Proyecto]],VOL_VOLUMEN_SUMINISTROS[[#This Row],[J]],VOL_VOLUMEN_SUMINISTROS[[#This Row],[FIN DE SEMANA]])</f>
        <v>1052-1TNO</v>
      </c>
      <c r="D397" s="365" t="str">
        <f>CONCATENATE(VOL_VOLUMEN_SUMINISTROS[[#This Row],[Grupo]],VOL_VOLUMEN_SUMINISTROS[[#This Row],[Proyecto]],VOL_VOLUMEN_SUMINISTROS[[#This Row],[FIN DE SEMANA]])</f>
        <v>251052-1NO</v>
      </c>
      <c r="E397" s="30" t="s">
        <v>147</v>
      </c>
      <c r="F397" s="30" t="s">
        <v>148</v>
      </c>
      <c r="G397" s="365">
        <v>25</v>
      </c>
      <c r="H397" s="30">
        <v>18</v>
      </c>
      <c r="I397" s="9" t="s">
        <v>308</v>
      </c>
      <c r="J397" s="9" t="s">
        <v>385</v>
      </c>
      <c r="K397" s="30">
        <v>2</v>
      </c>
      <c r="L397" s="9" t="s">
        <v>386</v>
      </c>
      <c r="M397" s="30" t="s">
        <v>84</v>
      </c>
      <c r="N397" s="30" t="s">
        <v>155</v>
      </c>
      <c r="O397" s="24">
        <v>127</v>
      </c>
      <c r="P397" s="24">
        <v>143</v>
      </c>
      <c r="Q397" s="24">
        <v>100</v>
      </c>
      <c r="R397" s="24">
        <v>0</v>
      </c>
      <c r="S397" s="24">
        <v>0</v>
      </c>
      <c r="T397" s="24">
        <v>370</v>
      </c>
    </row>
    <row r="398" spans="1:20">
      <c r="A398" s="9" t="s">
        <v>306</v>
      </c>
      <c r="B398" s="30" t="s">
        <v>364</v>
      </c>
      <c r="C398" s="30" t="str">
        <f>CONCATENATE(VOL_VOLUMEN_SUMINISTROS[[#This Row],[Proyecto]],VOL_VOLUMEN_SUMINISTROS[[#This Row],[J]],VOL_VOLUMEN_SUMINISTROS[[#This Row],[FIN DE SEMANA]])</f>
        <v>1052-1MNO</v>
      </c>
      <c r="D398" s="365" t="str">
        <f>CONCATENATE(VOL_VOLUMEN_SUMINISTROS[[#This Row],[Grupo]],VOL_VOLUMEN_SUMINISTROS[[#This Row],[Proyecto]],VOL_VOLUMEN_SUMINISTROS[[#This Row],[FIN DE SEMANA]])</f>
        <v>251052-1NO</v>
      </c>
      <c r="E398" s="30" t="s">
        <v>147</v>
      </c>
      <c r="F398" s="30" t="s">
        <v>148</v>
      </c>
      <c r="G398" s="365">
        <v>25</v>
      </c>
      <c r="H398" s="30">
        <v>18</v>
      </c>
      <c r="I398" s="9" t="s">
        <v>308</v>
      </c>
      <c r="J398" s="9" t="s">
        <v>385</v>
      </c>
      <c r="K398" s="30">
        <v>3</v>
      </c>
      <c r="L398" s="9" t="s">
        <v>387</v>
      </c>
      <c r="M398" s="30" t="s">
        <v>84</v>
      </c>
      <c r="N398" s="30" t="s">
        <v>152</v>
      </c>
      <c r="O398" s="24">
        <v>158</v>
      </c>
      <c r="P398" s="24">
        <v>132</v>
      </c>
      <c r="Q398" s="24">
        <v>25</v>
      </c>
      <c r="R398" s="24">
        <v>0</v>
      </c>
      <c r="S398" s="24">
        <v>0</v>
      </c>
      <c r="T398" s="24">
        <v>315</v>
      </c>
    </row>
    <row r="399" spans="1:20">
      <c r="A399" s="9" t="s">
        <v>306</v>
      </c>
      <c r="B399" s="30" t="s">
        <v>364</v>
      </c>
      <c r="C399" s="30" t="str">
        <f>CONCATENATE(VOL_VOLUMEN_SUMINISTROS[[#This Row],[Proyecto]],VOL_VOLUMEN_SUMINISTROS[[#This Row],[J]],VOL_VOLUMEN_SUMINISTROS[[#This Row],[FIN DE SEMANA]])</f>
        <v>1052-1TNO</v>
      </c>
      <c r="D399" s="365" t="str">
        <f>CONCATENATE(VOL_VOLUMEN_SUMINISTROS[[#This Row],[Grupo]],VOL_VOLUMEN_SUMINISTROS[[#This Row],[Proyecto]],VOL_VOLUMEN_SUMINISTROS[[#This Row],[FIN DE SEMANA]])</f>
        <v>251052-1NO</v>
      </c>
      <c r="E399" s="30" t="s">
        <v>147</v>
      </c>
      <c r="F399" s="30" t="s">
        <v>148</v>
      </c>
      <c r="G399" s="365">
        <v>25</v>
      </c>
      <c r="H399" s="30">
        <v>18</v>
      </c>
      <c r="I399" s="9" t="s">
        <v>308</v>
      </c>
      <c r="J399" s="9" t="s">
        <v>385</v>
      </c>
      <c r="K399" s="30">
        <v>3</v>
      </c>
      <c r="L399" s="9" t="s">
        <v>387</v>
      </c>
      <c r="M399" s="30" t="s">
        <v>84</v>
      </c>
      <c r="N399" s="30" t="s">
        <v>155</v>
      </c>
      <c r="O399" s="24">
        <v>187</v>
      </c>
      <c r="P399" s="24">
        <v>100</v>
      </c>
      <c r="Q399" s="24">
        <v>18</v>
      </c>
      <c r="R399" s="24">
        <v>0</v>
      </c>
      <c r="S399" s="24">
        <v>0</v>
      </c>
      <c r="T399" s="24">
        <v>305</v>
      </c>
    </row>
    <row r="400" spans="1:20">
      <c r="A400" s="9" t="s">
        <v>306</v>
      </c>
      <c r="B400" s="30" t="s">
        <v>364</v>
      </c>
      <c r="C400" s="30" t="str">
        <f>CONCATENATE(VOL_VOLUMEN_SUMINISTROS[[#This Row],[Proyecto]],VOL_VOLUMEN_SUMINISTROS[[#This Row],[J]],VOL_VOLUMEN_SUMINISTROS[[#This Row],[FIN DE SEMANA]])</f>
        <v>1052-1MNO</v>
      </c>
      <c r="D400" s="365" t="str">
        <f>CONCATENATE(VOL_VOLUMEN_SUMINISTROS[[#This Row],[Grupo]],VOL_VOLUMEN_SUMINISTROS[[#This Row],[Proyecto]],VOL_VOLUMEN_SUMINISTROS[[#This Row],[FIN DE SEMANA]])</f>
        <v>251052-1NO</v>
      </c>
      <c r="E400" s="30" t="s">
        <v>147</v>
      </c>
      <c r="F400" s="30" t="s">
        <v>148</v>
      </c>
      <c r="G400" s="365">
        <v>25</v>
      </c>
      <c r="H400" s="30">
        <v>18</v>
      </c>
      <c r="I400" s="9" t="s">
        <v>308</v>
      </c>
      <c r="J400" s="9" t="s">
        <v>385</v>
      </c>
      <c r="K400" s="30">
        <v>4</v>
      </c>
      <c r="L400" s="9" t="s">
        <v>388</v>
      </c>
      <c r="M400" s="30" t="s">
        <v>84</v>
      </c>
      <c r="N400" s="30" t="s">
        <v>152</v>
      </c>
      <c r="O400" s="24">
        <v>164</v>
      </c>
      <c r="P400" s="24">
        <v>105</v>
      </c>
      <c r="Q400" s="24">
        <v>19</v>
      </c>
      <c r="R400" s="24">
        <v>0</v>
      </c>
      <c r="S400" s="24">
        <v>0</v>
      </c>
      <c r="T400" s="24">
        <v>288</v>
      </c>
    </row>
    <row r="401" spans="1:20">
      <c r="A401" s="9" t="s">
        <v>306</v>
      </c>
      <c r="B401" s="30" t="s">
        <v>364</v>
      </c>
      <c r="C401" s="30" t="str">
        <f>CONCATENATE(VOL_VOLUMEN_SUMINISTROS[[#This Row],[Proyecto]],VOL_VOLUMEN_SUMINISTROS[[#This Row],[J]],VOL_VOLUMEN_SUMINISTROS[[#This Row],[FIN DE SEMANA]])</f>
        <v>1052-1TNO</v>
      </c>
      <c r="D401" s="365" t="str">
        <f>CONCATENATE(VOL_VOLUMEN_SUMINISTROS[[#This Row],[Grupo]],VOL_VOLUMEN_SUMINISTROS[[#This Row],[Proyecto]],VOL_VOLUMEN_SUMINISTROS[[#This Row],[FIN DE SEMANA]])</f>
        <v>251052-1NO</v>
      </c>
      <c r="E401" s="30" t="s">
        <v>147</v>
      </c>
      <c r="F401" s="30" t="s">
        <v>148</v>
      </c>
      <c r="G401" s="365">
        <v>25</v>
      </c>
      <c r="H401" s="30">
        <v>18</v>
      </c>
      <c r="I401" s="9" t="s">
        <v>308</v>
      </c>
      <c r="J401" s="9" t="s">
        <v>385</v>
      </c>
      <c r="K401" s="30">
        <v>4</v>
      </c>
      <c r="L401" s="9" t="s">
        <v>389</v>
      </c>
      <c r="M401" s="30" t="s">
        <v>84</v>
      </c>
      <c r="N401" s="30" t="s">
        <v>155</v>
      </c>
      <c r="O401" s="24">
        <v>128</v>
      </c>
      <c r="P401" s="24">
        <v>80</v>
      </c>
      <c r="Q401" s="24">
        <v>16</v>
      </c>
      <c r="R401" s="24">
        <v>0</v>
      </c>
      <c r="S401" s="24">
        <v>0</v>
      </c>
      <c r="T401" s="24">
        <v>224</v>
      </c>
    </row>
    <row r="402" spans="1:20">
      <c r="A402" s="9" t="s">
        <v>306</v>
      </c>
      <c r="B402" s="30" t="s">
        <v>364</v>
      </c>
      <c r="C402" s="30" t="str">
        <f>CONCATENATE(VOL_VOLUMEN_SUMINISTROS[[#This Row],[Proyecto]],VOL_VOLUMEN_SUMINISTROS[[#This Row],[J]],VOL_VOLUMEN_SUMINISTROS[[#This Row],[FIN DE SEMANA]])</f>
        <v>1052-1MNO</v>
      </c>
      <c r="D402" s="365" t="str">
        <f>CONCATENATE(VOL_VOLUMEN_SUMINISTROS[[#This Row],[Grupo]],VOL_VOLUMEN_SUMINISTROS[[#This Row],[Proyecto]],VOL_VOLUMEN_SUMINISTROS[[#This Row],[FIN DE SEMANA]])</f>
        <v>251052-1NO</v>
      </c>
      <c r="E402" s="30" t="s">
        <v>147</v>
      </c>
      <c r="F402" s="30" t="s">
        <v>148</v>
      </c>
      <c r="G402" s="365">
        <v>25</v>
      </c>
      <c r="H402" s="30">
        <v>18</v>
      </c>
      <c r="I402" s="9" t="s">
        <v>308</v>
      </c>
      <c r="J402" s="9" t="s">
        <v>385</v>
      </c>
      <c r="K402" s="30">
        <v>5</v>
      </c>
      <c r="L402" s="9" t="s">
        <v>390</v>
      </c>
      <c r="M402" s="30" t="s">
        <v>84</v>
      </c>
      <c r="N402" s="30" t="s">
        <v>152</v>
      </c>
      <c r="O402" s="24">
        <v>0</v>
      </c>
      <c r="P402" s="24">
        <v>90</v>
      </c>
      <c r="Q402" s="24">
        <v>30</v>
      </c>
      <c r="R402" s="24">
        <v>0</v>
      </c>
      <c r="S402" s="24">
        <v>0</v>
      </c>
      <c r="T402" s="24">
        <v>120</v>
      </c>
    </row>
    <row r="403" spans="1:20">
      <c r="A403" s="9" t="s">
        <v>306</v>
      </c>
      <c r="B403" s="30" t="s">
        <v>364</v>
      </c>
      <c r="C403" s="30" t="str">
        <f>CONCATENATE(VOL_VOLUMEN_SUMINISTROS[[#This Row],[Proyecto]],VOL_VOLUMEN_SUMINISTROS[[#This Row],[J]],VOL_VOLUMEN_SUMINISTROS[[#This Row],[FIN DE SEMANA]])</f>
        <v>1052-1MNO</v>
      </c>
      <c r="D403" s="365" t="str">
        <f>CONCATENATE(VOL_VOLUMEN_SUMINISTROS[[#This Row],[Grupo]],VOL_VOLUMEN_SUMINISTROS[[#This Row],[Proyecto]],VOL_VOLUMEN_SUMINISTROS[[#This Row],[FIN DE SEMANA]])</f>
        <v>251052-1NO</v>
      </c>
      <c r="E403" s="30" t="s">
        <v>147</v>
      </c>
      <c r="F403" s="30" t="s">
        <v>148</v>
      </c>
      <c r="G403" s="365">
        <v>25</v>
      </c>
      <c r="H403" s="30">
        <v>18</v>
      </c>
      <c r="I403" s="9" t="s">
        <v>308</v>
      </c>
      <c r="J403" s="9" t="s">
        <v>391</v>
      </c>
      <c r="K403" s="30">
        <v>1</v>
      </c>
      <c r="L403" s="9" t="s">
        <v>392</v>
      </c>
      <c r="M403" s="30" t="s">
        <v>84</v>
      </c>
      <c r="N403" s="30" t="s">
        <v>152</v>
      </c>
      <c r="O403" s="24">
        <v>440</v>
      </c>
      <c r="P403" s="24">
        <v>453</v>
      </c>
      <c r="Q403" s="24">
        <v>833</v>
      </c>
      <c r="R403" s="24">
        <v>0</v>
      </c>
      <c r="S403" s="24">
        <v>0</v>
      </c>
      <c r="T403" s="24">
        <v>1726</v>
      </c>
    </row>
    <row r="404" spans="1:20">
      <c r="A404" s="9" t="s">
        <v>306</v>
      </c>
      <c r="B404" s="30" t="s">
        <v>364</v>
      </c>
      <c r="C404" s="30" t="str">
        <f>CONCATENATE(VOL_VOLUMEN_SUMINISTROS[[#This Row],[Proyecto]],VOL_VOLUMEN_SUMINISTROS[[#This Row],[J]],VOL_VOLUMEN_SUMINISTROS[[#This Row],[FIN DE SEMANA]])</f>
        <v>1052-1NNO</v>
      </c>
      <c r="D404" s="365" t="str">
        <f>CONCATENATE(VOL_VOLUMEN_SUMINISTROS[[#This Row],[Grupo]],VOL_VOLUMEN_SUMINISTROS[[#This Row],[Proyecto]],VOL_VOLUMEN_SUMINISTROS[[#This Row],[FIN DE SEMANA]])</f>
        <v>251052-1NO</v>
      </c>
      <c r="E404" s="30" t="s">
        <v>147</v>
      </c>
      <c r="F404" s="30" t="s">
        <v>148</v>
      </c>
      <c r="G404" s="365">
        <v>25</v>
      </c>
      <c r="H404" s="30">
        <v>18</v>
      </c>
      <c r="I404" s="9" t="s">
        <v>308</v>
      </c>
      <c r="J404" s="9" t="s">
        <v>391</v>
      </c>
      <c r="K404" s="30">
        <v>1</v>
      </c>
      <c r="L404" s="9" t="s">
        <v>392</v>
      </c>
      <c r="M404" s="30" t="s">
        <v>84</v>
      </c>
      <c r="N404" s="30" t="s">
        <v>154</v>
      </c>
      <c r="O404" s="24">
        <v>0</v>
      </c>
      <c r="P404" s="24">
        <v>0</v>
      </c>
      <c r="Q404" s="24">
        <v>0</v>
      </c>
      <c r="R404" s="24">
        <v>215</v>
      </c>
      <c r="S404" s="24">
        <v>167</v>
      </c>
      <c r="T404" s="24">
        <v>382</v>
      </c>
    </row>
    <row r="405" spans="1:20">
      <c r="A405" s="9" t="s">
        <v>306</v>
      </c>
      <c r="B405" s="30" t="s">
        <v>364</v>
      </c>
      <c r="C405" s="30" t="str">
        <f>CONCATENATE(VOL_VOLUMEN_SUMINISTROS[[#This Row],[Proyecto]],VOL_VOLUMEN_SUMINISTROS[[#This Row],[J]],VOL_VOLUMEN_SUMINISTROS[[#This Row],[FIN DE SEMANA]])</f>
        <v>1052-1TNO</v>
      </c>
      <c r="D405" s="365" t="str">
        <f>CONCATENATE(VOL_VOLUMEN_SUMINISTROS[[#This Row],[Grupo]],VOL_VOLUMEN_SUMINISTROS[[#This Row],[Proyecto]],VOL_VOLUMEN_SUMINISTROS[[#This Row],[FIN DE SEMANA]])</f>
        <v>251052-1NO</v>
      </c>
      <c r="E405" s="30" t="s">
        <v>147</v>
      </c>
      <c r="F405" s="30" t="s">
        <v>148</v>
      </c>
      <c r="G405" s="365">
        <v>25</v>
      </c>
      <c r="H405" s="30">
        <v>18</v>
      </c>
      <c r="I405" s="9" t="s">
        <v>308</v>
      </c>
      <c r="J405" s="9" t="s">
        <v>391</v>
      </c>
      <c r="K405" s="30">
        <v>1</v>
      </c>
      <c r="L405" s="9" t="s">
        <v>392</v>
      </c>
      <c r="M405" s="30" t="s">
        <v>84</v>
      </c>
      <c r="N405" s="30" t="s">
        <v>155</v>
      </c>
      <c r="O405" s="24">
        <v>283</v>
      </c>
      <c r="P405" s="24">
        <v>450</v>
      </c>
      <c r="Q405" s="24">
        <v>772</v>
      </c>
      <c r="R405" s="24">
        <v>0</v>
      </c>
      <c r="S405" s="24">
        <v>0</v>
      </c>
      <c r="T405" s="24">
        <v>1505</v>
      </c>
    </row>
    <row r="406" spans="1:20">
      <c r="A406" s="9" t="s">
        <v>306</v>
      </c>
      <c r="B406" s="30" t="s">
        <v>393</v>
      </c>
      <c r="C406" s="30" t="str">
        <f>CONCATENATE(VOL_VOLUMEN_SUMINISTROS[[#This Row],[Proyecto]],VOL_VOLUMEN_SUMINISTROS[[#This Row],[J]],VOL_VOLUMEN_SUMINISTROS[[#This Row],[FIN DE SEMANA]])</f>
        <v>1052-2MNO</v>
      </c>
      <c r="D406" s="365" t="str">
        <f>CONCATENATE(VOL_VOLUMEN_SUMINISTROS[[#This Row],[Grupo]],VOL_VOLUMEN_SUMINISTROS[[#This Row],[Proyecto]],VOL_VOLUMEN_SUMINISTROS[[#This Row],[FIN DE SEMANA]])</f>
        <v>241052-2NO</v>
      </c>
      <c r="E406" s="30" t="s">
        <v>183</v>
      </c>
      <c r="F406" s="30" t="s">
        <v>148</v>
      </c>
      <c r="G406" s="365">
        <v>24</v>
      </c>
      <c r="H406" s="30">
        <v>15</v>
      </c>
      <c r="I406" s="9" t="s">
        <v>365</v>
      </c>
      <c r="J406" s="9" t="s">
        <v>375</v>
      </c>
      <c r="K406" s="30">
        <v>1</v>
      </c>
      <c r="L406" s="9" t="s">
        <v>376</v>
      </c>
      <c r="M406" s="30" t="s">
        <v>84</v>
      </c>
      <c r="N406" s="30" t="s">
        <v>152</v>
      </c>
      <c r="O406" s="24">
        <v>0</v>
      </c>
      <c r="P406" s="24">
        <v>0</v>
      </c>
      <c r="Q406" s="24">
        <v>80</v>
      </c>
      <c r="R406" s="24">
        <v>0</v>
      </c>
      <c r="S406" s="24">
        <v>0</v>
      </c>
      <c r="T406" s="24">
        <v>80</v>
      </c>
    </row>
    <row r="407" spans="1:20">
      <c r="A407" s="9" t="s">
        <v>306</v>
      </c>
      <c r="B407" s="30" t="s">
        <v>393</v>
      </c>
      <c r="C407" s="30" t="str">
        <f>CONCATENATE(VOL_VOLUMEN_SUMINISTROS[[#This Row],[Proyecto]],VOL_VOLUMEN_SUMINISTROS[[#This Row],[J]],VOL_VOLUMEN_SUMINISTROS[[#This Row],[FIN DE SEMANA]])</f>
        <v>1052-2MNO</v>
      </c>
      <c r="D407" s="365" t="str">
        <f>CONCATENATE(VOL_VOLUMEN_SUMINISTROS[[#This Row],[Grupo]],VOL_VOLUMEN_SUMINISTROS[[#This Row],[Proyecto]],VOL_VOLUMEN_SUMINISTROS[[#This Row],[FIN DE SEMANA]])</f>
        <v>251052-2NO</v>
      </c>
      <c r="E407" s="30" t="s">
        <v>183</v>
      </c>
      <c r="F407" s="30" t="s">
        <v>148</v>
      </c>
      <c r="G407" s="365">
        <v>25</v>
      </c>
      <c r="H407" s="30">
        <v>18</v>
      </c>
      <c r="I407" s="9" t="s">
        <v>308</v>
      </c>
      <c r="J407" s="9" t="s">
        <v>377</v>
      </c>
      <c r="K407" s="30">
        <v>1</v>
      </c>
      <c r="L407" s="9" t="s">
        <v>378</v>
      </c>
      <c r="M407" s="30" t="s">
        <v>84</v>
      </c>
      <c r="N407" s="30" t="s">
        <v>152</v>
      </c>
      <c r="O407" s="24">
        <v>0</v>
      </c>
      <c r="P407" s="24">
        <v>0</v>
      </c>
      <c r="Q407" s="24">
        <v>65</v>
      </c>
      <c r="R407" s="24">
        <v>0</v>
      </c>
      <c r="S407" s="24">
        <v>0</v>
      </c>
      <c r="T407" s="24">
        <v>65</v>
      </c>
    </row>
    <row r="408" spans="1:20">
      <c r="A408" s="9" t="s">
        <v>306</v>
      </c>
      <c r="B408" s="30" t="s">
        <v>393</v>
      </c>
      <c r="C408" s="30" t="str">
        <f>CONCATENATE(VOL_VOLUMEN_SUMINISTROS[[#This Row],[Proyecto]],VOL_VOLUMEN_SUMINISTROS[[#This Row],[J]],VOL_VOLUMEN_SUMINISTROS[[#This Row],[FIN DE SEMANA]])</f>
        <v>1052-2TNO</v>
      </c>
      <c r="D408" s="365" t="str">
        <f>CONCATENATE(VOL_VOLUMEN_SUMINISTROS[[#This Row],[Grupo]],VOL_VOLUMEN_SUMINISTROS[[#This Row],[Proyecto]],VOL_VOLUMEN_SUMINISTROS[[#This Row],[FIN DE SEMANA]])</f>
        <v>251052-2NO</v>
      </c>
      <c r="E408" s="30" t="s">
        <v>183</v>
      </c>
      <c r="F408" s="30" t="s">
        <v>148</v>
      </c>
      <c r="G408" s="365">
        <v>25</v>
      </c>
      <c r="H408" s="30">
        <v>18</v>
      </c>
      <c r="I408" s="9" t="s">
        <v>308</v>
      </c>
      <c r="J408" s="9" t="s">
        <v>377</v>
      </c>
      <c r="K408" s="30">
        <v>1</v>
      </c>
      <c r="L408" s="9" t="s">
        <v>378</v>
      </c>
      <c r="M408" s="30" t="s">
        <v>84</v>
      </c>
      <c r="N408" s="30" t="s">
        <v>155</v>
      </c>
      <c r="O408" s="24">
        <v>0</v>
      </c>
      <c r="P408" s="24">
        <v>0</v>
      </c>
      <c r="Q408" s="24">
        <v>105</v>
      </c>
      <c r="R408" s="24">
        <v>0</v>
      </c>
      <c r="S408" s="24">
        <v>0</v>
      </c>
      <c r="T408" s="24">
        <v>105</v>
      </c>
    </row>
    <row r="409" spans="1:20">
      <c r="A409" s="9" t="s">
        <v>306</v>
      </c>
      <c r="B409" s="30" t="s">
        <v>393</v>
      </c>
      <c r="C409" s="30" t="str">
        <f>CONCATENATE(VOL_VOLUMEN_SUMINISTROS[[#This Row],[Proyecto]],VOL_VOLUMEN_SUMINISTROS[[#This Row],[J]],VOL_VOLUMEN_SUMINISTROS[[#This Row],[FIN DE SEMANA]])</f>
        <v>1052-2MNO</v>
      </c>
      <c r="D409" s="365" t="str">
        <f>CONCATENATE(VOL_VOLUMEN_SUMINISTROS[[#This Row],[Grupo]],VOL_VOLUMEN_SUMINISTROS[[#This Row],[Proyecto]],VOL_VOLUMEN_SUMINISTROS[[#This Row],[FIN DE SEMANA]])</f>
        <v>251052-2NO</v>
      </c>
      <c r="E409" s="30" t="s">
        <v>183</v>
      </c>
      <c r="F409" s="30" t="s">
        <v>148</v>
      </c>
      <c r="G409" s="365">
        <v>25</v>
      </c>
      <c r="H409" s="30">
        <v>18</v>
      </c>
      <c r="I409" s="9" t="s">
        <v>308</v>
      </c>
      <c r="J409" s="9" t="s">
        <v>380</v>
      </c>
      <c r="K409" s="30">
        <v>1</v>
      </c>
      <c r="L409" s="9" t="s">
        <v>381</v>
      </c>
      <c r="M409" s="30" t="s">
        <v>84</v>
      </c>
      <c r="N409" s="30" t="s">
        <v>152</v>
      </c>
      <c r="O409" s="24">
        <v>0</v>
      </c>
      <c r="P409" s="24">
        <v>60</v>
      </c>
      <c r="Q409" s="24">
        <v>140</v>
      </c>
      <c r="R409" s="24">
        <v>0</v>
      </c>
      <c r="S409" s="24">
        <v>0</v>
      </c>
      <c r="T409" s="24">
        <v>200</v>
      </c>
    </row>
    <row r="410" spans="1:20">
      <c r="A410" s="9" t="s">
        <v>306</v>
      </c>
      <c r="B410" s="30" t="s">
        <v>393</v>
      </c>
      <c r="C410" s="30" t="str">
        <f>CONCATENATE(VOL_VOLUMEN_SUMINISTROS[[#This Row],[Proyecto]],VOL_VOLUMEN_SUMINISTROS[[#This Row],[J]],VOL_VOLUMEN_SUMINISTROS[[#This Row],[FIN DE SEMANA]])</f>
        <v>1052-2TNO</v>
      </c>
      <c r="D410" s="365" t="str">
        <f>CONCATENATE(VOL_VOLUMEN_SUMINISTROS[[#This Row],[Grupo]],VOL_VOLUMEN_SUMINISTROS[[#This Row],[Proyecto]],VOL_VOLUMEN_SUMINISTROS[[#This Row],[FIN DE SEMANA]])</f>
        <v>251052-2NO</v>
      </c>
      <c r="E410" s="30" t="s">
        <v>183</v>
      </c>
      <c r="F410" s="30" t="s">
        <v>148</v>
      </c>
      <c r="G410" s="365">
        <v>25</v>
      </c>
      <c r="H410" s="30">
        <v>18</v>
      </c>
      <c r="I410" s="9" t="s">
        <v>308</v>
      </c>
      <c r="J410" s="9" t="s">
        <v>380</v>
      </c>
      <c r="K410" s="30">
        <v>1</v>
      </c>
      <c r="L410" s="9" t="s">
        <v>382</v>
      </c>
      <c r="M410" s="30" t="s">
        <v>84</v>
      </c>
      <c r="N410" s="30" t="s">
        <v>155</v>
      </c>
      <c r="O410" s="24">
        <v>0</v>
      </c>
      <c r="P410" s="24">
        <v>99</v>
      </c>
      <c r="Q410" s="24">
        <v>143</v>
      </c>
      <c r="R410" s="24">
        <v>0</v>
      </c>
      <c r="S410" s="24">
        <v>0</v>
      </c>
      <c r="T410" s="24">
        <v>242</v>
      </c>
    </row>
    <row r="411" spans="1:20">
      <c r="A411" s="9" t="s">
        <v>306</v>
      </c>
      <c r="B411" s="30" t="s">
        <v>393</v>
      </c>
      <c r="C411" s="30" t="str">
        <f>CONCATENATE(VOL_VOLUMEN_SUMINISTROS[[#This Row],[Proyecto]],VOL_VOLUMEN_SUMINISTROS[[#This Row],[J]],VOL_VOLUMEN_SUMINISTROS[[#This Row],[FIN DE SEMANA]])</f>
        <v>1052-2MNO</v>
      </c>
      <c r="D411" s="365" t="str">
        <f>CONCATENATE(VOL_VOLUMEN_SUMINISTROS[[#This Row],[Grupo]],VOL_VOLUMEN_SUMINISTROS[[#This Row],[Proyecto]],VOL_VOLUMEN_SUMINISTROS[[#This Row],[FIN DE SEMANA]])</f>
        <v>251052-2NO</v>
      </c>
      <c r="E411" s="30" t="s">
        <v>183</v>
      </c>
      <c r="F411" s="30" t="s">
        <v>148</v>
      </c>
      <c r="G411" s="365">
        <v>25</v>
      </c>
      <c r="H411" s="30">
        <v>18</v>
      </c>
      <c r="I411" s="9" t="s">
        <v>308</v>
      </c>
      <c r="J411" s="9" t="s">
        <v>380</v>
      </c>
      <c r="K411" s="30">
        <v>2</v>
      </c>
      <c r="L411" s="9" t="s">
        <v>383</v>
      </c>
      <c r="M411" s="30" t="s">
        <v>84</v>
      </c>
      <c r="N411" s="30" t="s">
        <v>152</v>
      </c>
      <c r="O411" s="24">
        <v>100</v>
      </c>
      <c r="P411" s="24">
        <v>122</v>
      </c>
      <c r="Q411" s="24">
        <v>24</v>
      </c>
      <c r="R411" s="24">
        <v>0</v>
      </c>
      <c r="S411" s="24">
        <v>0</v>
      </c>
      <c r="T411" s="24">
        <v>246</v>
      </c>
    </row>
    <row r="412" spans="1:20">
      <c r="A412" s="9" t="s">
        <v>306</v>
      </c>
      <c r="B412" s="30" t="s">
        <v>393</v>
      </c>
      <c r="C412" s="30" t="str">
        <f>CONCATENATE(VOL_VOLUMEN_SUMINISTROS[[#This Row],[Proyecto]],VOL_VOLUMEN_SUMINISTROS[[#This Row],[J]],VOL_VOLUMEN_SUMINISTROS[[#This Row],[FIN DE SEMANA]])</f>
        <v>1052-2M1NO</v>
      </c>
      <c r="D412" s="365" t="str">
        <f>CONCATENATE(VOL_VOLUMEN_SUMINISTROS[[#This Row],[Grupo]],VOL_VOLUMEN_SUMINISTROS[[#This Row],[Proyecto]],VOL_VOLUMEN_SUMINISTROS[[#This Row],[FIN DE SEMANA]])</f>
        <v>251052-2NO</v>
      </c>
      <c r="E412" s="30" t="s">
        <v>183</v>
      </c>
      <c r="F412" s="30" t="s">
        <v>148</v>
      </c>
      <c r="G412" s="365">
        <v>25</v>
      </c>
      <c r="H412" s="30">
        <v>18</v>
      </c>
      <c r="I412" s="9" t="s">
        <v>308</v>
      </c>
      <c r="J412" s="9" t="s">
        <v>380</v>
      </c>
      <c r="K412" s="30">
        <v>2</v>
      </c>
      <c r="L412" s="9" t="s">
        <v>383</v>
      </c>
      <c r="M412" s="30" t="s">
        <v>84</v>
      </c>
      <c r="N412" s="30" t="s">
        <v>216</v>
      </c>
      <c r="O412" s="24">
        <v>120</v>
      </c>
      <c r="P412" s="24">
        <v>60</v>
      </c>
      <c r="Q412" s="24">
        <v>0</v>
      </c>
      <c r="R412" s="24">
        <v>0</v>
      </c>
      <c r="S412" s="24">
        <v>0</v>
      </c>
      <c r="T412" s="24">
        <v>180</v>
      </c>
    </row>
    <row r="413" spans="1:20">
      <c r="A413" s="9" t="s">
        <v>306</v>
      </c>
      <c r="B413" s="30" t="s">
        <v>393</v>
      </c>
      <c r="C413" s="30" t="str">
        <f>CONCATENATE(VOL_VOLUMEN_SUMINISTROS[[#This Row],[Proyecto]],VOL_VOLUMEN_SUMINISTROS[[#This Row],[J]],VOL_VOLUMEN_SUMINISTROS[[#This Row],[FIN DE SEMANA]])</f>
        <v>1052-2TNO</v>
      </c>
      <c r="D413" s="365" t="str">
        <f>CONCATENATE(VOL_VOLUMEN_SUMINISTROS[[#This Row],[Grupo]],VOL_VOLUMEN_SUMINISTROS[[#This Row],[Proyecto]],VOL_VOLUMEN_SUMINISTROS[[#This Row],[FIN DE SEMANA]])</f>
        <v>251052-2NO</v>
      </c>
      <c r="E413" s="30" t="s">
        <v>183</v>
      </c>
      <c r="F413" s="30" t="s">
        <v>148</v>
      </c>
      <c r="G413" s="365">
        <v>25</v>
      </c>
      <c r="H413" s="30">
        <v>18</v>
      </c>
      <c r="I413" s="9" t="s">
        <v>308</v>
      </c>
      <c r="J413" s="9" t="s">
        <v>380</v>
      </c>
      <c r="K413" s="30">
        <v>2</v>
      </c>
      <c r="L413" s="9" t="s">
        <v>383</v>
      </c>
      <c r="M413" s="30" t="s">
        <v>84</v>
      </c>
      <c r="N413" s="30" t="s">
        <v>155</v>
      </c>
      <c r="O413" s="24">
        <v>120</v>
      </c>
      <c r="P413" s="24">
        <v>126</v>
      </c>
      <c r="Q413" s="24">
        <v>22</v>
      </c>
      <c r="R413" s="24">
        <v>0</v>
      </c>
      <c r="S413" s="24">
        <v>0</v>
      </c>
      <c r="T413" s="24">
        <v>268</v>
      </c>
    </row>
    <row r="414" spans="1:20">
      <c r="A414" s="9" t="s">
        <v>306</v>
      </c>
      <c r="B414" s="30" t="s">
        <v>393</v>
      </c>
      <c r="C414" s="30" t="str">
        <f>CONCATENATE(VOL_VOLUMEN_SUMINISTROS[[#This Row],[Proyecto]],VOL_VOLUMEN_SUMINISTROS[[#This Row],[J]],VOL_VOLUMEN_SUMINISTROS[[#This Row],[FIN DE SEMANA]])</f>
        <v>1052-2M1NO</v>
      </c>
      <c r="D414" s="365" t="str">
        <f>CONCATENATE(VOL_VOLUMEN_SUMINISTROS[[#This Row],[Grupo]],VOL_VOLUMEN_SUMINISTROS[[#This Row],[Proyecto]],VOL_VOLUMEN_SUMINISTROS[[#This Row],[FIN DE SEMANA]])</f>
        <v>251052-2NO</v>
      </c>
      <c r="E414" s="30" t="s">
        <v>183</v>
      </c>
      <c r="F414" s="30" t="s">
        <v>148</v>
      </c>
      <c r="G414" s="365">
        <v>25</v>
      </c>
      <c r="H414" s="30">
        <v>18</v>
      </c>
      <c r="I414" s="9" t="s">
        <v>308</v>
      </c>
      <c r="J414" s="9" t="s">
        <v>380</v>
      </c>
      <c r="K414" s="30">
        <v>3</v>
      </c>
      <c r="L414" s="9" t="s">
        <v>384</v>
      </c>
      <c r="M414" s="30" t="s">
        <v>84</v>
      </c>
      <c r="N414" s="30" t="s">
        <v>216</v>
      </c>
      <c r="O414" s="24">
        <v>22</v>
      </c>
      <c r="P414" s="24">
        <v>41</v>
      </c>
      <c r="Q414" s="24">
        <v>10</v>
      </c>
      <c r="R414" s="24">
        <v>0</v>
      </c>
      <c r="S414" s="24">
        <v>0</v>
      </c>
      <c r="T414" s="24">
        <v>73</v>
      </c>
    </row>
    <row r="415" spans="1:20">
      <c r="A415" s="9" t="s">
        <v>306</v>
      </c>
      <c r="B415" s="30" t="s">
        <v>393</v>
      </c>
      <c r="C415" s="30" t="str">
        <f>CONCATENATE(VOL_VOLUMEN_SUMINISTROS[[#This Row],[Proyecto]],VOL_VOLUMEN_SUMINISTROS[[#This Row],[J]],VOL_VOLUMEN_SUMINISTROS[[#This Row],[FIN DE SEMANA]])</f>
        <v>1052-2MNO</v>
      </c>
      <c r="D415" s="365" t="str">
        <f>CONCATENATE(VOL_VOLUMEN_SUMINISTROS[[#This Row],[Grupo]],VOL_VOLUMEN_SUMINISTROS[[#This Row],[Proyecto]],VOL_VOLUMEN_SUMINISTROS[[#This Row],[FIN DE SEMANA]])</f>
        <v>251052-2NO</v>
      </c>
      <c r="E415" s="30" t="s">
        <v>183</v>
      </c>
      <c r="F415" s="30" t="s">
        <v>148</v>
      </c>
      <c r="G415" s="365">
        <v>25</v>
      </c>
      <c r="H415" s="30">
        <v>18</v>
      </c>
      <c r="I415" s="9" t="s">
        <v>308</v>
      </c>
      <c r="J415" s="9" t="s">
        <v>385</v>
      </c>
      <c r="K415" s="30">
        <v>2</v>
      </c>
      <c r="L415" s="9" t="s">
        <v>386</v>
      </c>
      <c r="M415" s="30" t="s">
        <v>84</v>
      </c>
      <c r="N415" s="30" t="s">
        <v>152</v>
      </c>
      <c r="O415" s="24">
        <v>129</v>
      </c>
      <c r="P415" s="24">
        <v>0</v>
      </c>
      <c r="Q415" s="24">
        <v>0</v>
      </c>
      <c r="R415" s="24">
        <v>0</v>
      </c>
      <c r="S415" s="24">
        <v>0</v>
      </c>
      <c r="T415" s="24">
        <v>129</v>
      </c>
    </row>
    <row r="416" spans="1:20">
      <c r="A416" s="9" t="s">
        <v>306</v>
      </c>
      <c r="B416" s="30" t="s">
        <v>393</v>
      </c>
      <c r="C416" s="30" t="str">
        <f>CONCATENATE(VOL_VOLUMEN_SUMINISTROS[[#This Row],[Proyecto]],VOL_VOLUMEN_SUMINISTROS[[#This Row],[J]],VOL_VOLUMEN_SUMINISTROS[[#This Row],[FIN DE SEMANA]])</f>
        <v>1052-2M1NO</v>
      </c>
      <c r="D416" s="365" t="str">
        <f>CONCATENATE(VOL_VOLUMEN_SUMINISTROS[[#This Row],[Grupo]],VOL_VOLUMEN_SUMINISTROS[[#This Row],[Proyecto]],VOL_VOLUMEN_SUMINISTROS[[#This Row],[FIN DE SEMANA]])</f>
        <v>251052-2NO</v>
      </c>
      <c r="E416" s="30" t="s">
        <v>183</v>
      </c>
      <c r="F416" s="30" t="s">
        <v>148</v>
      </c>
      <c r="G416" s="365">
        <v>25</v>
      </c>
      <c r="H416" s="30">
        <v>18</v>
      </c>
      <c r="I416" s="9" t="s">
        <v>308</v>
      </c>
      <c r="J416" s="9" t="s">
        <v>385</v>
      </c>
      <c r="K416" s="30">
        <v>2</v>
      </c>
      <c r="L416" s="9" t="s">
        <v>386</v>
      </c>
      <c r="M416" s="30" t="s">
        <v>84</v>
      </c>
      <c r="N416" s="30" t="s">
        <v>216</v>
      </c>
      <c r="O416" s="24">
        <v>128</v>
      </c>
      <c r="P416" s="24">
        <v>283</v>
      </c>
      <c r="Q416" s="24">
        <v>197</v>
      </c>
      <c r="R416" s="24">
        <v>0</v>
      </c>
      <c r="S416" s="24">
        <v>0</v>
      </c>
      <c r="T416" s="24">
        <v>608</v>
      </c>
    </row>
    <row r="417" spans="1:20">
      <c r="A417" s="9" t="s">
        <v>306</v>
      </c>
      <c r="B417" s="30" t="s">
        <v>393</v>
      </c>
      <c r="C417" s="30" t="str">
        <f>CONCATENATE(VOL_VOLUMEN_SUMINISTROS[[#This Row],[Proyecto]],VOL_VOLUMEN_SUMINISTROS[[#This Row],[J]],VOL_VOLUMEN_SUMINISTROS[[#This Row],[FIN DE SEMANA]])</f>
        <v>1052-2MNO</v>
      </c>
      <c r="D417" s="365" t="str">
        <f>CONCATENATE(VOL_VOLUMEN_SUMINISTROS[[#This Row],[Grupo]],VOL_VOLUMEN_SUMINISTROS[[#This Row],[Proyecto]],VOL_VOLUMEN_SUMINISTROS[[#This Row],[FIN DE SEMANA]])</f>
        <v>251052-2NO</v>
      </c>
      <c r="E417" s="30" t="s">
        <v>183</v>
      </c>
      <c r="F417" s="30" t="s">
        <v>148</v>
      </c>
      <c r="G417" s="365">
        <v>25</v>
      </c>
      <c r="H417" s="30">
        <v>18</v>
      </c>
      <c r="I417" s="9" t="s">
        <v>308</v>
      </c>
      <c r="J417" s="9" t="s">
        <v>385</v>
      </c>
      <c r="K417" s="30">
        <v>3</v>
      </c>
      <c r="L417" s="9" t="s">
        <v>387</v>
      </c>
      <c r="M417" s="30" t="s">
        <v>84</v>
      </c>
      <c r="N417" s="30" t="s">
        <v>152</v>
      </c>
      <c r="O417" s="24">
        <v>141</v>
      </c>
      <c r="P417" s="24">
        <v>0</v>
      </c>
      <c r="Q417" s="24">
        <v>0</v>
      </c>
      <c r="R417" s="24">
        <v>0</v>
      </c>
      <c r="S417" s="24">
        <v>0</v>
      </c>
      <c r="T417" s="24">
        <v>141</v>
      </c>
    </row>
    <row r="418" spans="1:20">
      <c r="A418" s="9" t="s">
        <v>306</v>
      </c>
      <c r="B418" s="30" t="s">
        <v>393</v>
      </c>
      <c r="C418" s="30" t="str">
        <f>CONCATENATE(VOL_VOLUMEN_SUMINISTROS[[#This Row],[Proyecto]],VOL_VOLUMEN_SUMINISTROS[[#This Row],[J]],VOL_VOLUMEN_SUMINISTROS[[#This Row],[FIN DE SEMANA]])</f>
        <v>1052-2M1NO</v>
      </c>
      <c r="D418" s="365" t="str">
        <f>CONCATENATE(VOL_VOLUMEN_SUMINISTROS[[#This Row],[Grupo]],VOL_VOLUMEN_SUMINISTROS[[#This Row],[Proyecto]],VOL_VOLUMEN_SUMINISTROS[[#This Row],[FIN DE SEMANA]])</f>
        <v>251052-2NO</v>
      </c>
      <c r="E418" s="30" t="s">
        <v>183</v>
      </c>
      <c r="F418" s="30" t="s">
        <v>148</v>
      </c>
      <c r="G418" s="365">
        <v>25</v>
      </c>
      <c r="H418" s="30">
        <v>18</v>
      </c>
      <c r="I418" s="9" t="s">
        <v>308</v>
      </c>
      <c r="J418" s="9" t="s">
        <v>385</v>
      </c>
      <c r="K418" s="30">
        <v>3</v>
      </c>
      <c r="L418" s="9" t="s">
        <v>387</v>
      </c>
      <c r="M418" s="30" t="s">
        <v>84</v>
      </c>
      <c r="N418" s="30" t="s">
        <v>216</v>
      </c>
      <c r="O418" s="24">
        <v>216</v>
      </c>
      <c r="P418" s="24">
        <v>252</v>
      </c>
      <c r="Q418" s="24">
        <v>48</v>
      </c>
      <c r="R418" s="24">
        <v>0</v>
      </c>
      <c r="S418" s="24">
        <v>0</v>
      </c>
      <c r="T418" s="24">
        <v>516</v>
      </c>
    </row>
    <row r="419" spans="1:20">
      <c r="A419" s="9" t="s">
        <v>306</v>
      </c>
      <c r="B419" s="30" t="s">
        <v>393</v>
      </c>
      <c r="C419" s="30" t="str">
        <f>CONCATENATE(VOL_VOLUMEN_SUMINISTROS[[#This Row],[Proyecto]],VOL_VOLUMEN_SUMINISTROS[[#This Row],[J]],VOL_VOLUMEN_SUMINISTROS[[#This Row],[FIN DE SEMANA]])</f>
        <v>1052-2MNO</v>
      </c>
      <c r="D419" s="365" t="str">
        <f>CONCATENATE(VOL_VOLUMEN_SUMINISTROS[[#This Row],[Grupo]],VOL_VOLUMEN_SUMINISTROS[[#This Row],[Proyecto]],VOL_VOLUMEN_SUMINISTROS[[#This Row],[FIN DE SEMANA]])</f>
        <v>251052-2NO</v>
      </c>
      <c r="E419" s="30" t="s">
        <v>183</v>
      </c>
      <c r="F419" s="30" t="s">
        <v>148</v>
      </c>
      <c r="G419" s="365">
        <v>25</v>
      </c>
      <c r="H419" s="30">
        <v>18</v>
      </c>
      <c r="I419" s="9" t="s">
        <v>308</v>
      </c>
      <c r="J419" s="9" t="s">
        <v>385</v>
      </c>
      <c r="K419" s="30">
        <v>4</v>
      </c>
      <c r="L419" s="9" t="s">
        <v>388</v>
      </c>
      <c r="M419" s="30" t="s">
        <v>84</v>
      </c>
      <c r="N419" s="30" t="s">
        <v>152</v>
      </c>
      <c r="O419" s="24">
        <v>139</v>
      </c>
      <c r="P419" s="24">
        <v>0</v>
      </c>
      <c r="Q419" s="24">
        <v>0</v>
      </c>
      <c r="R419" s="24">
        <v>0</v>
      </c>
      <c r="S419" s="24">
        <v>0</v>
      </c>
      <c r="T419" s="24">
        <v>139</v>
      </c>
    </row>
    <row r="420" spans="1:20">
      <c r="A420" s="9" t="s">
        <v>306</v>
      </c>
      <c r="B420" s="30" t="s">
        <v>393</v>
      </c>
      <c r="C420" s="30" t="str">
        <f>CONCATENATE(VOL_VOLUMEN_SUMINISTROS[[#This Row],[Proyecto]],VOL_VOLUMEN_SUMINISTROS[[#This Row],[J]],VOL_VOLUMEN_SUMINISTROS[[#This Row],[FIN DE SEMANA]])</f>
        <v>1052-2M1NO</v>
      </c>
      <c r="D420" s="365" t="str">
        <f>CONCATENATE(VOL_VOLUMEN_SUMINISTROS[[#This Row],[Grupo]],VOL_VOLUMEN_SUMINISTROS[[#This Row],[Proyecto]],VOL_VOLUMEN_SUMINISTROS[[#This Row],[FIN DE SEMANA]])</f>
        <v>251052-2NO</v>
      </c>
      <c r="E420" s="30" t="s">
        <v>183</v>
      </c>
      <c r="F420" s="30" t="s">
        <v>148</v>
      </c>
      <c r="G420" s="365">
        <v>25</v>
      </c>
      <c r="H420" s="30">
        <v>18</v>
      </c>
      <c r="I420" s="9" t="s">
        <v>308</v>
      </c>
      <c r="J420" s="9" t="s">
        <v>385</v>
      </c>
      <c r="K420" s="30">
        <v>4</v>
      </c>
      <c r="L420" s="9" t="s">
        <v>388</v>
      </c>
      <c r="M420" s="30" t="s">
        <v>84</v>
      </c>
      <c r="N420" s="30" t="s">
        <v>216</v>
      </c>
      <c r="O420" s="24">
        <v>170</v>
      </c>
      <c r="P420" s="24">
        <v>196</v>
      </c>
      <c r="Q420" s="24">
        <v>37</v>
      </c>
      <c r="R420" s="24">
        <v>0</v>
      </c>
      <c r="S420" s="24">
        <v>0</v>
      </c>
      <c r="T420" s="24">
        <v>403</v>
      </c>
    </row>
    <row r="421" spans="1:20">
      <c r="A421" s="9" t="s">
        <v>306</v>
      </c>
      <c r="B421" s="30" t="s">
        <v>393</v>
      </c>
      <c r="C421" s="30" t="str">
        <f>CONCATENATE(VOL_VOLUMEN_SUMINISTROS[[#This Row],[Proyecto]],VOL_VOLUMEN_SUMINISTROS[[#This Row],[J]],VOL_VOLUMEN_SUMINISTROS[[#This Row],[FIN DE SEMANA]])</f>
        <v>1052-2MNO</v>
      </c>
      <c r="D421" s="365" t="str">
        <f>CONCATENATE(VOL_VOLUMEN_SUMINISTROS[[#This Row],[Grupo]],VOL_VOLUMEN_SUMINISTROS[[#This Row],[Proyecto]],VOL_VOLUMEN_SUMINISTROS[[#This Row],[FIN DE SEMANA]])</f>
        <v>251052-2NO</v>
      </c>
      <c r="E421" s="30" t="s">
        <v>183</v>
      </c>
      <c r="F421" s="30" t="s">
        <v>148</v>
      </c>
      <c r="G421" s="365">
        <v>25</v>
      </c>
      <c r="H421" s="30">
        <v>18</v>
      </c>
      <c r="I421" s="9" t="s">
        <v>308</v>
      </c>
      <c r="J421" s="9" t="s">
        <v>391</v>
      </c>
      <c r="K421" s="30">
        <v>1</v>
      </c>
      <c r="L421" s="9" t="s">
        <v>392</v>
      </c>
      <c r="M421" s="30" t="s">
        <v>84</v>
      </c>
      <c r="N421" s="30" t="s">
        <v>152</v>
      </c>
      <c r="O421" s="24">
        <v>0</v>
      </c>
      <c r="P421" s="24">
        <v>0</v>
      </c>
      <c r="Q421" s="24">
        <v>75</v>
      </c>
      <c r="R421" s="24">
        <v>0</v>
      </c>
      <c r="S421" s="24">
        <v>0</v>
      </c>
      <c r="T421" s="24">
        <v>75</v>
      </c>
    </row>
    <row r="422" spans="1:20">
      <c r="A422" s="9" t="s">
        <v>306</v>
      </c>
      <c r="B422" s="30" t="s">
        <v>393</v>
      </c>
      <c r="C422" s="30" t="str">
        <f>CONCATENATE(VOL_VOLUMEN_SUMINISTROS[[#This Row],[Proyecto]],VOL_VOLUMEN_SUMINISTROS[[#This Row],[J]],VOL_VOLUMEN_SUMINISTROS[[#This Row],[FIN DE SEMANA]])</f>
        <v>1052-2TNO</v>
      </c>
      <c r="D422" s="365" t="str">
        <f>CONCATENATE(VOL_VOLUMEN_SUMINISTROS[[#This Row],[Grupo]],VOL_VOLUMEN_SUMINISTROS[[#This Row],[Proyecto]],VOL_VOLUMEN_SUMINISTROS[[#This Row],[FIN DE SEMANA]])</f>
        <v>251052-2NO</v>
      </c>
      <c r="E422" s="30" t="s">
        <v>183</v>
      </c>
      <c r="F422" s="30" t="s">
        <v>148</v>
      </c>
      <c r="G422" s="365">
        <v>25</v>
      </c>
      <c r="H422" s="30">
        <v>18</v>
      </c>
      <c r="I422" s="9" t="s">
        <v>308</v>
      </c>
      <c r="J422" s="9" t="s">
        <v>391</v>
      </c>
      <c r="K422" s="30">
        <v>1</v>
      </c>
      <c r="L422" s="9" t="s">
        <v>392</v>
      </c>
      <c r="M422" s="30" t="s">
        <v>84</v>
      </c>
      <c r="N422" s="30" t="s">
        <v>155</v>
      </c>
      <c r="O422" s="24">
        <v>0</v>
      </c>
      <c r="P422" s="24">
        <v>0</v>
      </c>
      <c r="Q422" s="24">
        <v>40</v>
      </c>
      <c r="R422" s="24">
        <v>0</v>
      </c>
      <c r="S422" s="24">
        <v>0</v>
      </c>
      <c r="T422" s="24">
        <v>40</v>
      </c>
    </row>
    <row r="423" spans="1:20">
      <c r="A423" s="9" t="s">
        <v>306</v>
      </c>
      <c r="B423" s="30" t="s">
        <v>394</v>
      </c>
      <c r="C423" s="30" t="str">
        <f>CONCATENATE(VOL_VOLUMEN_SUMINISTROS[[#This Row],[Proyecto]],VOL_VOLUMEN_SUMINISTROS[[#This Row],[J]],VOL_VOLUMEN_SUMINISTROS[[#This Row],[FIN DE SEMANA]])</f>
        <v>1052-2MNO</v>
      </c>
      <c r="D423" s="365" t="str">
        <f>CONCATENATE(VOL_VOLUMEN_SUMINISTROS[[#This Row],[Grupo]],VOL_VOLUMEN_SUMINISTROS[[#This Row],[Proyecto]],VOL_VOLUMEN_SUMINISTROS[[#This Row],[FIN DE SEMANA]])</f>
        <v>241052-2NO</v>
      </c>
      <c r="E423" s="30" t="s">
        <v>183</v>
      </c>
      <c r="F423" s="30" t="s">
        <v>148</v>
      </c>
      <c r="G423" s="365">
        <v>24</v>
      </c>
      <c r="H423" s="30">
        <v>15</v>
      </c>
      <c r="I423" s="9" t="s">
        <v>365</v>
      </c>
      <c r="J423" s="9" t="s">
        <v>370</v>
      </c>
      <c r="K423" s="30">
        <v>1</v>
      </c>
      <c r="L423" s="9" t="s">
        <v>371</v>
      </c>
      <c r="M423" s="30" t="s">
        <v>84</v>
      </c>
      <c r="N423" s="30" t="s">
        <v>152</v>
      </c>
      <c r="O423" s="24">
        <v>0</v>
      </c>
      <c r="P423" s="24">
        <v>0</v>
      </c>
      <c r="Q423" s="24">
        <v>225</v>
      </c>
      <c r="R423" s="24">
        <v>0</v>
      </c>
      <c r="S423" s="24">
        <v>0</v>
      </c>
      <c r="T423" s="24">
        <v>225</v>
      </c>
    </row>
    <row r="424" spans="1:20">
      <c r="A424" s="9" t="s">
        <v>306</v>
      </c>
      <c r="B424" s="30" t="s">
        <v>394</v>
      </c>
      <c r="C424" s="30" t="str">
        <f>CONCATENATE(VOL_VOLUMEN_SUMINISTROS[[#This Row],[Proyecto]],VOL_VOLUMEN_SUMINISTROS[[#This Row],[J]],VOL_VOLUMEN_SUMINISTROS[[#This Row],[FIN DE SEMANA]])</f>
        <v>1052-2M1NO</v>
      </c>
      <c r="D424" s="365" t="str">
        <f>CONCATENATE(VOL_VOLUMEN_SUMINISTROS[[#This Row],[Grupo]],VOL_VOLUMEN_SUMINISTROS[[#This Row],[Proyecto]],VOL_VOLUMEN_SUMINISTROS[[#This Row],[FIN DE SEMANA]])</f>
        <v>251052-2NO</v>
      </c>
      <c r="E424" s="30" t="s">
        <v>183</v>
      </c>
      <c r="F424" s="30" t="s">
        <v>148</v>
      </c>
      <c r="G424" s="365">
        <v>25</v>
      </c>
      <c r="H424" s="30">
        <v>15</v>
      </c>
      <c r="I424" s="9" t="s">
        <v>365</v>
      </c>
      <c r="J424" s="9" t="s">
        <v>370</v>
      </c>
      <c r="K424" s="30">
        <v>2</v>
      </c>
      <c r="L424" s="9" t="s">
        <v>372</v>
      </c>
      <c r="M424" s="30" t="s">
        <v>84</v>
      </c>
      <c r="N424" s="30" t="s">
        <v>216</v>
      </c>
      <c r="O424" s="24">
        <v>0</v>
      </c>
      <c r="P424" s="24">
        <v>333</v>
      </c>
      <c r="Q424" s="24">
        <v>330</v>
      </c>
      <c r="R424" s="24">
        <v>0</v>
      </c>
      <c r="S424" s="24">
        <v>0</v>
      </c>
      <c r="T424" s="24">
        <v>663</v>
      </c>
    </row>
    <row r="425" spans="1:20">
      <c r="A425" s="9" t="s">
        <v>306</v>
      </c>
      <c r="B425" s="30" t="s">
        <v>394</v>
      </c>
      <c r="C425" s="30" t="str">
        <f>CONCATENATE(VOL_VOLUMEN_SUMINISTROS[[#This Row],[Proyecto]],VOL_VOLUMEN_SUMINISTROS[[#This Row],[J]],VOL_VOLUMEN_SUMINISTROS[[#This Row],[FIN DE SEMANA]])</f>
        <v>1052-2MNO</v>
      </c>
      <c r="D425" s="365" t="str">
        <f>CONCATENATE(VOL_VOLUMEN_SUMINISTROS[[#This Row],[Grupo]],VOL_VOLUMEN_SUMINISTROS[[#This Row],[Proyecto]],VOL_VOLUMEN_SUMINISTROS[[#This Row],[FIN DE SEMANA]])</f>
        <v>251052-2NO</v>
      </c>
      <c r="E425" s="30" t="s">
        <v>183</v>
      </c>
      <c r="F425" s="30" t="s">
        <v>148</v>
      </c>
      <c r="G425" s="365">
        <v>25</v>
      </c>
      <c r="H425" s="30">
        <v>18</v>
      </c>
      <c r="I425" s="9" t="s">
        <v>308</v>
      </c>
      <c r="J425" s="9" t="s">
        <v>379</v>
      </c>
      <c r="K425" s="30">
        <v>1</v>
      </c>
      <c r="L425" s="9" t="s">
        <v>153</v>
      </c>
      <c r="M425" s="30" t="s">
        <v>84</v>
      </c>
      <c r="N425" s="30" t="s">
        <v>152</v>
      </c>
      <c r="O425" s="24">
        <v>0</v>
      </c>
      <c r="P425" s="24">
        <v>18</v>
      </c>
      <c r="Q425" s="24">
        <v>92</v>
      </c>
      <c r="R425" s="24">
        <v>0</v>
      </c>
      <c r="S425" s="24">
        <v>0</v>
      </c>
      <c r="T425" s="24">
        <v>110</v>
      </c>
    </row>
    <row r="426" spans="1:20">
      <c r="A426" s="9" t="s">
        <v>306</v>
      </c>
      <c r="B426" s="30" t="s">
        <v>394</v>
      </c>
      <c r="C426" s="30" t="str">
        <f>CONCATENATE(VOL_VOLUMEN_SUMINISTROS[[#This Row],[Proyecto]],VOL_VOLUMEN_SUMINISTROS[[#This Row],[J]],VOL_VOLUMEN_SUMINISTROS[[#This Row],[FIN DE SEMANA]])</f>
        <v>1052-2TNO</v>
      </c>
      <c r="D426" s="365" t="str">
        <f>CONCATENATE(VOL_VOLUMEN_SUMINISTROS[[#This Row],[Grupo]],VOL_VOLUMEN_SUMINISTROS[[#This Row],[Proyecto]],VOL_VOLUMEN_SUMINISTROS[[#This Row],[FIN DE SEMANA]])</f>
        <v>251052-2NO</v>
      </c>
      <c r="E426" s="30" t="s">
        <v>183</v>
      </c>
      <c r="F426" s="30" t="s">
        <v>148</v>
      </c>
      <c r="G426" s="365">
        <v>25</v>
      </c>
      <c r="H426" s="30">
        <v>18</v>
      </c>
      <c r="I426" s="9" t="s">
        <v>308</v>
      </c>
      <c r="J426" s="9" t="s">
        <v>379</v>
      </c>
      <c r="K426" s="30">
        <v>1</v>
      </c>
      <c r="L426" s="9" t="s">
        <v>153</v>
      </c>
      <c r="M426" s="30" t="s">
        <v>84</v>
      </c>
      <c r="N426" s="30" t="s">
        <v>155</v>
      </c>
      <c r="O426" s="24">
        <v>93</v>
      </c>
      <c r="P426" s="24">
        <v>0</v>
      </c>
      <c r="Q426" s="24">
        <v>0</v>
      </c>
      <c r="R426" s="24">
        <v>0</v>
      </c>
      <c r="S426" s="24">
        <v>0</v>
      </c>
      <c r="T426" s="24">
        <v>93</v>
      </c>
    </row>
    <row r="427" spans="1:20">
      <c r="A427" s="9" t="s">
        <v>306</v>
      </c>
      <c r="B427" s="30" t="s">
        <v>394</v>
      </c>
      <c r="C427" s="30" t="str">
        <f>CONCATENATE(VOL_VOLUMEN_SUMINISTROS[[#This Row],[Proyecto]],VOL_VOLUMEN_SUMINISTROS[[#This Row],[J]],VOL_VOLUMEN_SUMINISTROS[[#This Row],[FIN DE SEMANA]])</f>
        <v>1052-2M1NO</v>
      </c>
      <c r="D427" s="365" t="str">
        <f>CONCATENATE(VOL_VOLUMEN_SUMINISTROS[[#This Row],[Grupo]],VOL_VOLUMEN_SUMINISTROS[[#This Row],[Proyecto]],VOL_VOLUMEN_SUMINISTROS[[#This Row],[FIN DE SEMANA]])</f>
        <v>251052-2NO</v>
      </c>
      <c r="E427" s="30" t="s">
        <v>183</v>
      </c>
      <c r="F427" s="30" t="s">
        <v>148</v>
      </c>
      <c r="G427" s="365">
        <v>25</v>
      </c>
      <c r="H427" s="30">
        <v>18</v>
      </c>
      <c r="I427" s="9" t="s">
        <v>308</v>
      </c>
      <c r="J427" s="9" t="s">
        <v>385</v>
      </c>
      <c r="K427" s="30">
        <v>5</v>
      </c>
      <c r="L427" s="9" t="s">
        <v>390</v>
      </c>
      <c r="M427" s="30" t="s">
        <v>84</v>
      </c>
      <c r="N427" s="30" t="s">
        <v>216</v>
      </c>
      <c r="O427" s="24">
        <v>0</v>
      </c>
      <c r="P427" s="24">
        <v>90</v>
      </c>
      <c r="Q427" s="24">
        <v>30</v>
      </c>
      <c r="R427" s="24">
        <v>0</v>
      </c>
      <c r="S427" s="24">
        <v>0</v>
      </c>
      <c r="T427" s="24">
        <v>120</v>
      </c>
    </row>
    <row r="428" spans="1:20">
      <c r="A428" s="9" t="s">
        <v>395</v>
      </c>
      <c r="B428" s="30" t="s">
        <v>396</v>
      </c>
      <c r="C428" s="30" t="str">
        <f>CONCATENATE(VOL_VOLUMEN_SUMINISTROS[[#This Row],[Proyecto]],VOL_VOLUMEN_SUMINISTROS[[#This Row],[J]],VOL_VOLUMEN_SUMINISTROS[[#This Row],[FIN DE SEMANA]])</f>
        <v>1052-1MNO</v>
      </c>
      <c r="D428" s="365" t="str">
        <f>CONCATENATE(VOL_VOLUMEN_SUMINISTROS[[#This Row],[Grupo]],VOL_VOLUMEN_SUMINISTROS[[#This Row],[Proyecto]],VOL_VOLUMEN_SUMINISTROS[[#This Row],[FIN DE SEMANA]])</f>
        <v>161052-1NO</v>
      </c>
      <c r="E428" s="30" t="s">
        <v>147</v>
      </c>
      <c r="F428" s="30" t="s">
        <v>148</v>
      </c>
      <c r="G428" s="365">
        <v>16</v>
      </c>
      <c r="H428" s="30">
        <v>1</v>
      </c>
      <c r="I428" s="9" t="s">
        <v>397</v>
      </c>
      <c r="J428" s="9" t="s">
        <v>398</v>
      </c>
      <c r="K428" s="30">
        <v>1</v>
      </c>
      <c r="L428" s="9" t="s">
        <v>399</v>
      </c>
      <c r="M428" s="30" t="s">
        <v>84</v>
      </c>
      <c r="N428" s="30" t="s">
        <v>152</v>
      </c>
      <c r="O428" s="24">
        <v>0</v>
      </c>
      <c r="P428" s="24">
        <v>210</v>
      </c>
      <c r="Q428" s="24">
        <v>524</v>
      </c>
      <c r="R428" s="24">
        <v>0</v>
      </c>
      <c r="S428" s="24">
        <v>0</v>
      </c>
      <c r="T428" s="24">
        <v>734</v>
      </c>
    </row>
    <row r="429" spans="1:20">
      <c r="A429" s="9" t="s">
        <v>395</v>
      </c>
      <c r="B429" s="30" t="s">
        <v>396</v>
      </c>
      <c r="C429" s="30" t="str">
        <f>CONCATENATE(VOL_VOLUMEN_SUMINISTROS[[#This Row],[Proyecto]],VOL_VOLUMEN_SUMINISTROS[[#This Row],[J]],VOL_VOLUMEN_SUMINISTROS[[#This Row],[FIN DE SEMANA]])</f>
        <v>1052-1NNO</v>
      </c>
      <c r="D429" s="365" t="str">
        <f>CONCATENATE(VOL_VOLUMEN_SUMINISTROS[[#This Row],[Grupo]],VOL_VOLUMEN_SUMINISTROS[[#This Row],[Proyecto]],VOL_VOLUMEN_SUMINISTROS[[#This Row],[FIN DE SEMANA]])</f>
        <v>161052-1NO</v>
      </c>
      <c r="E429" s="30" t="s">
        <v>147</v>
      </c>
      <c r="F429" s="30" t="s">
        <v>148</v>
      </c>
      <c r="G429" s="365">
        <v>16</v>
      </c>
      <c r="H429" s="30">
        <v>1</v>
      </c>
      <c r="I429" s="9" t="s">
        <v>397</v>
      </c>
      <c r="J429" s="9" t="s">
        <v>398</v>
      </c>
      <c r="K429" s="30">
        <v>1</v>
      </c>
      <c r="L429" s="9" t="s">
        <v>399</v>
      </c>
      <c r="M429" s="30" t="s">
        <v>84</v>
      </c>
      <c r="N429" s="30" t="s">
        <v>154</v>
      </c>
      <c r="O429" s="24">
        <v>0</v>
      </c>
      <c r="P429" s="24">
        <v>0</v>
      </c>
      <c r="Q429" s="24">
        <v>0</v>
      </c>
      <c r="R429" s="24">
        <v>106</v>
      </c>
      <c r="S429" s="24">
        <v>114</v>
      </c>
      <c r="T429" s="24">
        <v>220</v>
      </c>
    </row>
    <row r="430" spans="1:20">
      <c r="A430" s="9" t="s">
        <v>395</v>
      </c>
      <c r="B430" s="30" t="s">
        <v>396</v>
      </c>
      <c r="C430" s="30" t="str">
        <f>CONCATENATE(VOL_VOLUMEN_SUMINISTROS[[#This Row],[Proyecto]],VOL_VOLUMEN_SUMINISTROS[[#This Row],[J]],VOL_VOLUMEN_SUMINISTROS[[#This Row],[FIN DE SEMANA]])</f>
        <v>1052-1TNO</v>
      </c>
      <c r="D430" s="365" t="str">
        <f>CONCATENATE(VOL_VOLUMEN_SUMINISTROS[[#This Row],[Grupo]],VOL_VOLUMEN_SUMINISTROS[[#This Row],[Proyecto]],VOL_VOLUMEN_SUMINISTROS[[#This Row],[FIN DE SEMANA]])</f>
        <v>161052-1NO</v>
      </c>
      <c r="E430" s="30" t="s">
        <v>147</v>
      </c>
      <c r="F430" s="30" t="s">
        <v>148</v>
      </c>
      <c r="G430" s="365">
        <v>16</v>
      </c>
      <c r="H430" s="30">
        <v>1</v>
      </c>
      <c r="I430" s="9" t="s">
        <v>397</v>
      </c>
      <c r="J430" s="9" t="s">
        <v>398</v>
      </c>
      <c r="K430" s="30">
        <v>1</v>
      </c>
      <c r="L430" s="9" t="s">
        <v>399</v>
      </c>
      <c r="M430" s="30" t="s">
        <v>84</v>
      </c>
      <c r="N430" s="30" t="s">
        <v>155</v>
      </c>
      <c r="O430" s="24">
        <v>0</v>
      </c>
      <c r="P430" s="24">
        <v>201</v>
      </c>
      <c r="Q430" s="24">
        <v>413</v>
      </c>
      <c r="R430" s="24">
        <v>0</v>
      </c>
      <c r="S430" s="24">
        <v>0</v>
      </c>
      <c r="T430" s="24">
        <v>614</v>
      </c>
    </row>
    <row r="431" spans="1:20">
      <c r="A431" s="9" t="s">
        <v>395</v>
      </c>
      <c r="B431" s="30" t="s">
        <v>396</v>
      </c>
      <c r="C431" s="30" t="str">
        <f>CONCATENATE(VOL_VOLUMEN_SUMINISTROS[[#This Row],[Proyecto]],VOL_VOLUMEN_SUMINISTROS[[#This Row],[J]],VOL_VOLUMEN_SUMINISTROS[[#This Row],[FIN DE SEMANA]])</f>
        <v>1052-1MNO</v>
      </c>
      <c r="D431" s="365" t="str">
        <f>CONCATENATE(VOL_VOLUMEN_SUMINISTROS[[#This Row],[Grupo]],VOL_VOLUMEN_SUMINISTROS[[#This Row],[Proyecto]],VOL_VOLUMEN_SUMINISTROS[[#This Row],[FIN DE SEMANA]])</f>
        <v>161052-1NO</v>
      </c>
      <c r="E431" s="30" t="s">
        <v>147</v>
      </c>
      <c r="F431" s="30" t="s">
        <v>148</v>
      </c>
      <c r="G431" s="365">
        <v>16</v>
      </c>
      <c r="H431" s="30">
        <v>1</v>
      </c>
      <c r="I431" s="9" t="s">
        <v>397</v>
      </c>
      <c r="J431" s="9" t="s">
        <v>398</v>
      </c>
      <c r="K431" s="30">
        <v>2</v>
      </c>
      <c r="L431" s="9" t="s">
        <v>400</v>
      </c>
      <c r="M431" s="30" t="s">
        <v>84</v>
      </c>
      <c r="N431" s="30" t="s">
        <v>152</v>
      </c>
      <c r="O431" s="24">
        <v>109</v>
      </c>
      <c r="P431" s="24">
        <v>89</v>
      </c>
      <c r="Q431" s="24">
        <v>19</v>
      </c>
      <c r="R431" s="24">
        <v>0</v>
      </c>
      <c r="S431" s="24">
        <v>0</v>
      </c>
      <c r="T431" s="24">
        <v>217</v>
      </c>
    </row>
    <row r="432" spans="1:20">
      <c r="A432" s="9" t="s">
        <v>395</v>
      </c>
      <c r="B432" s="30" t="s">
        <v>396</v>
      </c>
      <c r="C432" s="30" t="str">
        <f>CONCATENATE(VOL_VOLUMEN_SUMINISTROS[[#This Row],[Proyecto]],VOL_VOLUMEN_SUMINISTROS[[#This Row],[J]],VOL_VOLUMEN_SUMINISTROS[[#This Row],[FIN DE SEMANA]])</f>
        <v>1052-1TNO</v>
      </c>
      <c r="D432" s="365" t="str">
        <f>CONCATENATE(VOL_VOLUMEN_SUMINISTROS[[#This Row],[Grupo]],VOL_VOLUMEN_SUMINISTROS[[#This Row],[Proyecto]],VOL_VOLUMEN_SUMINISTROS[[#This Row],[FIN DE SEMANA]])</f>
        <v>161052-1NO</v>
      </c>
      <c r="E432" s="30" t="s">
        <v>147</v>
      </c>
      <c r="F432" s="30" t="s">
        <v>148</v>
      </c>
      <c r="G432" s="365">
        <v>16</v>
      </c>
      <c r="H432" s="30">
        <v>1</v>
      </c>
      <c r="I432" s="9" t="s">
        <v>397</v>
      </c>
      <c r="J432" s="9" t="s">
        <v>398</v>
      </c>
      <c r="K432" s="30">
        <v>2</v>
      </c>
      <c r="L432" s="9" t="s">
        <v>400</v>
      </c>
      <c r="M432" s="30" t="s">
        <v>84</v>
      </c>
      <c r="N432" s="30" t="s">
        <v>155</v>
      </c>
      <c r="O432" s="24">
        <v>102</v>
      </c>
      <c r="P432" s="24">
        <v>71</v>
      </c>
      <c r="Q432" s="24">
        <v>14</v>
      </c>
      <c r="R432" s="24">
        <v>0</v>
      </c>
      <c r="S432" s="24">
        <v>0</v>
      </c>
      <c r="T432" s="24">
        <v>187</v>
      </c>
    </row>
    <row r="433" spans="1:20">
      <c r="A433" s="9" t="s">
        <v>395</v>
      </c>
      <c r="B433" s="30" t="s">
        <v>396</v>
      </c>
      <c r="C433" s="30" t="str">
        <f>CONCATENATE(VOL_VOLUMEN_SUMINISTROS[[#This Row],[Proyecto]],VOL_VOLUMEN_SUMINISTROS[[#This Row],[J]],VOL_VOLUMEN_SUMINISTROS[[#This Row],[FIN DE SEMANA]])</f>
        <v>1052-1MNO</v>
      </c>
      <c r="D433" s="365" t="str">
        <f>CONCATENATE(VOL_VOLUMEN_SUMINISTROS[[#This Row],[Grupo]],VOL_VOLUMEN_SUMINISTROS[[#This Row],[Proyecto]],VOL_VOLUMEN_SUMINISTROS[[#This Row],[FIN DE SEMANA]])</f>
        <v>161052-1NO</v>
      </c>
      <c r="E433" s="30" t="s">
        <v>147</v>
      </c>
      <c r="F433" s="30" t="s">
        <v>148</v>
      </c>
      <c r="G433" s="365">
        <v>16</v>
      </c>
      <c r="H433" s="30">
        <v>1</v>
      </c>
      <c r="I433" s="9" t="s">
        <v>397</v>
      </c>
      <c r="J433" s="9" t="s">
        <v>398</v>
      </c>
      <c r="K433" s="30">
        <v>3</v>
      </c>
      <c r="L433" s="9" t="s">
        <v>401</v>
      </c>
      <c r="M433" s="30" t="s">
        <v>84</v>
      </c>
      <c r="N433" s="30" t="s">
        <v>152</v>
      </c>
      <c r="O433" s="24">
        <v>178</v>
      </c>
      <c r="P433" s="24">
        <v>119</v>
      </c>
      <c r="Q433" s="24">
        <v>20</v>
      </c>
      <c r="R433" s="24">
        <v>0</v>
      </c>
      <c r="S433" s="24">
        <v>0</v>
      </c>
      <c r="T433" s="24">
        <v>317</v>
      </c>
    </row>
    <row r="434" spans="1:20">
      <c r="A434" s="9" t="s">
        <v>395</v>
      </c>
      <c r="B434" s="30" t="s">
        <v>396</v>
      </c>
      <c r="C434" s="30" t="str">
        <f>CONCATENATE(VOL_VOLUMEN_SUMINISTROS[[#This Row],[Proyecto]],VOL_VOLUMEN_SUMINISTROS[[#This Row],[J]],VOL_VOLUMEN_SUMINISTROS[[#This Row],[FIN DE SEMANA]])</f>
        <v>1052-1MNO</v>
      </c>
      <c r="D434" s="365" t="str">
        <f>CONCATENATE(VOL_VOLUMEN_SUMINISTROS[[#This Row],[Grupo]],VOL_VOLUMEN_SUMINISTROS[[#This Row],[Proyecto]],VOL_VOLUMEN_SUMINISTROS[[#This Row],[FIN DE SEMANA]])</f>
        <v>161052-1NO</v>
      </c>
      <c r="E434" s="30" t="s">
        <v>147</v>
      </c>
      <c r="F434" s="30" t="s">
        <v>148</v>
      </c>
      <c r="G434" s="365">
        <v>16</v>
      </c>
      <c r="H434" s="30">
        <v>1</v>
      </c>
      <c r="I434" s="9" t="s">
        <v>397</v>
      </c>
      <c r="J434" s="9" t="s">
        <v>398</v>
      </c>
      <c r="K434" s="30">
        <v>6</v>
      </c>
      <c r="L434" s="9" t="s">
        <v>402</v>
      </c>
      <c r="M434" s="30" t="s">
        <v>84</v>
      </c>
      <c r="N434" s="30" t="s">
        <v>152</v>
      </c>
      <c r="O434" s="24">
        <v>152</v>
      </c>
      <c r="P434" s="24">
        <v>149</v>
      </c>
      <c r="Q434" s="24">
        <v>32</v>
      </c>
      <c r="R434" s="24">
        <v>0</v>
      </c>
      <c r="S434" s="24">
        <v>0</v>
      </c>
      <c r="T434" s="24">
        <v>333</v>
      </c>
    </row>
    <row r="435" spans="1:20">
      <c r="A435" s="9" t="s">
        <v>395</v>
      </c>
      <c r="B435" s="30" t="s">
        <v>396</v>
      </c>
      <c r="C435" s="30" t="str">
        <f>CONCATENATE(VOL_VOLUMEN_SUMINISTROS[[#This Row],[Proyecto]],VOL_VOLUMEN_SUMINISTROS[[#This Row],[J]],VOL_VOLUMEN_SUMINISTROS[[#This Row],[FIN DE SEMANA]])</f>
        <v>1052-1TNO</v>
      </c>
      <c r="D435" s="365" t="str">
        <f>CONCATENATE(VOL_VOLUMEN_SUMINISTROS[[#This Row],[Grupo]],VOL_VOLUMEN_SUMINISTROS[[#This Row],[Proyecto]],VOL_VOLUMEN_SUMINISTROS[[#This Row],[FIN DE SEMANA]])</f>
        <v>161052-1NO</v>
      </c>
      <c r="E435" s="30" t="s">
        <v>147</v>
      </c>
      <c r="F435" s="30" t="s">
        <v>148</v>
      </c>
      <c r="G435" s="365">
        <v>16</v>
      </c>
      <c r="H435" s="30">
        <v>1</v>
      </c>
      <c r="I435" s="9" t="s">
        <v>397</v>
      </c>
      <c r="J435" s="9" t="s">
        <v>398</v>
      </c>
      <c r="K435" s="30">
        <v>6</v>
      </c>
      <c r="L435" s="9" t="s">
        <v>402</v>
      </c>
      <c r="M435" s="30" t="s">
        <v>84</v>
      </c>
      <c r="N435" s="30" t="s">
        <v>155</v>
      </c>
      <c r="O435" s="24">
        <v>120</v>
      </c>
      <c r="P435" s="24">
        <v>152</v>
      </c>
      <c r="Q435" s="24">
        <v>35</v>
      </c>
      <c r="R435" s="24">
        <v>0</v>
      </c>
      <c r="S435" s="24">
        <v>0</v>
      </c>
      <c r="T435" s="24">
        <v>307</v>
      </c>
    </row>
    <row r="436" spans="1:20">
      <c r="A436" s="9" t="s">
        <v>395</v>
      </c>
      <c r="B436" s="30" t="s">
        <v>396</v>
      </c>
      <c r="C436" s="30" t="str">
        <f>CONCATENATE(VOL_VOLUMEN_SUMINISTROS[[#This Row],[Proyecto]],VOL_VOLUMEN_SUMINISTROS[[#This Row],[J]],VOL_VOLUMEN_SUMINISTROS[[#This Row],[FIN DE SEMANA]])</f>
        <v>1052-1MNO</v>
      </c>
      <c r="D436" s="365" t="str">
        <f>CONCATENATE(VOL_VOLUMEN_SUMINISTROS[[#This Row],[Grupo]],VOL_VOLUMEN_SUMINISTROS[[#This Row],[Proyecto]],VOL_VOLUMEN_SUMINISTROS[[#This Row],[FIN DE SEMANA]])</f>
        <v>161052-1NO</v>
      </c>
      <c r="E436" s="30" t="s">
        <v>147</v>
      </c>
      <c r="F436" s="30" t="s">
        <v>148</v>
      </c>
      <c r="G436" s="365">
        <v>16</v>
      </c>
      <c r="H436" s="30">
        <v>1</v>
      </c>
      <c r="I436" s="9" t="s">
        <v>397</v>
      </c>
      <c r="J436" s="9" t="s">
        <v>403</v>
      </c>
      <c r="K436" s="30">
        <v>2</v>
      </c>
      <c r="L436" s="9" t="s">
        <v>404</v>
      </c>
      <c r="M436" s="30" t="s">
        <v>84</v>
      </c>
      <c r="N436" s="30" t="s">
        <v>152</v>
      </c>
      <c r="O436" s="24">
        <v>70</v>
      </c>
      <c r="P436" s="24">
        <v>221</v>
      </c>
      <c r="Q436" s="24">
        <v>62</v>
      </c>
      <c r="R436" s="24">
        <v>0</v>
      </c>
      <c r="S436" s="24">
        <v>0</v>
      </c>
      <c r="T436" s="24">
        <v>353</v>
      </c>
    </row>
    <row r="437" spans="1:20">
      <c r="A437" s="9" t="s">
        <v>395</v>
      </c>
      <c r="B437" s="30" t="s">
        <v>396</v>
      </c>
      <c r="C437" s="30" t="str">
        <f>CONCATENATE(VOL_VOLUMEN_SUMINISTROS[[#This Row],[Proyecto]],VOL_VOLUMEN_SUMINISTROS[[#This Row],[J]],VOL_VOLUMEN_SUMINISTROS[[#This Row],[FIN DE SEMANA]])</f>
        <v>1052-1TNO</v>
      </c>
      <c r="D437" s="365" t="str">
        <f>CONCATENATE(VOL_VOLUMEN_SUMINISTROS[[#This Row],[Grupo]],VOL_VOLUMEN_SUMINISTROS[[#This Row],[Proyecto]],VOL_VOLUMEN_SUMINISTROS[[#This Row],[FIN DE SEMANA]])</f>
        <v>161052-1NO</v>
      </c>
      <c r="E437" s="30" t="s">
        <v>147</v>
      </c>
      <c r="F437" s="30" t="s">
        <v>148</v>
      </c>
      <c r="G437" s="365">
        <v>16</v>
      </c>
      <c r="H437" s="30">
        <v>1</v>
      </c>
      <c r="I437" s="9" t="s">
        <v>397</v>
      </c>
      <c r="J437" s="9" t="s">
        <v>403</v>
      </c>
      <c r="K437" s="30">
        <v>2</v>
      </c>
      <c r="L437" s="9" t="s">
        <v>404</v>
      </c>
      <c r="M437" s="30" t="s">
        <v>84</v>
      </c>
      <c r="N437" s="30" t="s">
        <v>155</v>
      </c>
      <c r="O437" s="24">
        <v>64</v>
      </c>
      <c r="P437" s="24">
        <v>179</v>
      </c>
      <c r="Q437" s="24">
        <v>49</v>
      </c>
      <c r="R437" s="24">
        <v>0</v>
      </c>
      <c r="S437" s="24">
        <v>0</v>
      </c>
      <c r="T437" s="24">
        <v>292</v>
      </c>
    </row>
    <row r="438" spans="1:20">
      <c r="A438" s="9" t="s">
        <v>395</v>
      </c>
      <c r="B438" s="30" t="s">
        <v>396</v>
      </c>
      <c r="C438" s="30" t="str">
        <f>CONCATENATE(VOL_VOLUMEN_SUMINISTROS[[#This Row],[Proyecto]],VOL_VOLUMEN_SUMINISTROS[[#This Row],[J]],VOL_VOLUMEN_SUMINISTROS[[#This Row],[FIN DE SEMANA]])</f>
        <v>1052-1MNO</v>
      </c>
      <c r="D438" s="365" t="str">
        <f>CONCATENATE(VOL_VOLUMEN_SUMINISTROS[[#This Row],[Grupo]],VOL_VOLUMEN_SUMINISTROS[[#This Row],[Proyecto]],VOL_VOLUMEN_SUMINISTROS[[#This Row],[FIN DE SEMANA]])</f>
        <v>161052-1NO</v>
      </c>
      <c r="E438" s="30" t="s">
        <v>147</v>
      </c>
      <c r="F438" s="30" t="s">
        <v>148</v>
      </c>
      <c r="G438" s="365">
        <v>16</v>
      </c>
      <c r="H438" s="30">
        <v>1</v>
      </c>
      <c r="I438" s="9" t="s">
        <v>397</v>
      </c>
      <c r="J438" s="9" t="s">
        <v>403</v>
      </c>
      <c r="K438" s="30">
        <v>3</v>
      </c>
      <c r="L438" s="9" t="s">
        <v>405</v>
      </c>
      <c r="M438" s="30" t="s">
        <v>84</v>
      </c>
      <c r="N438" s="30" t="s">
        <v>152</v>
      </c>
      <c r="O438" s="24">
        <v>196</v>
      </c>
      <c r="P438" s="24">
        <v>64</v>
      </c>
      <c r="Q438" s="24">
        <v>0</v>
      </c>
      <c r="R438" s="24">
        <v>0</v>
      </c>
      <c r="S438" s="24">
        <v>0</v>
      </c>
      <c r="T438" s="24">
        <v>260</v>
      </c>
    </row>
    <row r="439" spans="1:20">
      <c r="A439" s="9" t="s">
        <v>395</v>
      </c>
      <c r="B439" s="30" t="s">
        <v>396</v>
      </c>
      <c r="C439" s="30" t="str">
        <f>CONCATENATE(VOL_VOLUMEN_SUMINISTROS[[#This Row],[Proyecto]],VOL_VOLUMEN_SUMINISTROS[[#This Row],[J]],VOL_VOLUMEN_SUMINISTROS[[#This Row],[FIN DE SEMANA]])</f>
        <v>1052-1TNO</v>
      </c>
      <c r="D439" s="365" t="str">
        <f>CONCATENATE(VOL_VOLUMEN_SUMINISTROS[[#This Row],[Grupo]],VOL_VOLUMEN_SUMINISTROS[[#This Row],[Proyecto]],VOL_VOLUMEN_SUMINISTROS[[#This Row],[FIN DE SEMANA]])</f>
        <v>161052-1NO</v>
      </c>
      <c r="E439" s="30" t="s">
        <v>147</v>
      </c>
      <c r="F439" s="30" t="s">
        <v>148</v>
      </c>
      <c r="G439" s="365">
        <v>16</v>
      </c>
      <c r="H439" s="30">
        <v>1</v>
      </c>
      <c r="I439" s="9" t="s">
        <v>397</v>
      </c>
      <c r="J439" s="9" t="s">
        <v>403</v>
      </c>
      <c r="K439" s="30">
        <v>3</v>
      </c>
      <c r="L439" s="9" t="s">
        <v>405</v>
      </c>
      <c r="M439" s="30" t="s">
        <v>84</v>
      </c>
      <c r="N439" s="30" t="s">
        <v>155</v>
      </c>
      <c r="O439" s="24">
        <v>171</v>
      </c>
      <c r="P439" s="24">
        <v>54</v>
      </c>
      <c r="Q439" s="24">
        <v>0</v>
      </c>
      <c r="R439" s="24">
        <v>0</v>
      </c>
      <c r="S439" s="24">
        <v>0</v>
      </c>
      <c r="T439" s="24">
        <v>225</v>
      </c>
    </row>
    <row r="440" spans="1:20">
      <c r="A440" s="9" t="s">
        <v>395</v>
      </c>
      <c r="B440" s="30" t="s">
        <v>396</v>
      </c>
      <c r="C440" s="30" t="str">
        <f>CONCATENATE(VOL_VOLUMEN_SUMINISTROS[[#This Row],[Proyecto]],VOL_VOLUMEN_SUMINISTROS[[#This Row],[J]],VOL_VOLUMEN_SUMINISTROS[[#This Row],[FIN DE SEMANA]])</f>
        <v>1052-1MNO</v>
      </c>
      <c r="D440" s="365" t="str">
        <f>CONCATENATE(VOL_VOLUMEN_SUMINISTROS[[#This Row],[Grupo]],VOL_VOLUMEN_SUMINISTROS[[#This Row],[Proyecto]],VOL_VOLUMEN_SUMINISTROS[[#This Row],[FIN DE SEMANA]])</f>
        <v>161052-1NO</v>
      </c>
      <c r="E440" s="30" t="s">
        <v>147</v>
      </c>
      <c r="F440" s="30" t="s">
        <v>148</v>
      </c>
      <c r="G440" s="365">
        <v>16</v>
      </c>
      <c r="H440" s="30">
        <v>1</v>
      </c>
      <c r="I440" s="9" t="s">
        <v>397</v>
      </c>
      <c r="J440" s="9" t="s">
        <v>403</v>
      </c>
      <c r="K440" s="30">
        <v>4</v>
      </c>
      <c r="L440" s="9" t="s">
        <v>406</v>
      </c>
      <c r="M440" s="30" t="s">
        <v>84</v>
      </c>
      <c r="N440" s="30" t="s">
        <v>152</v>
      </c>
      <c r="O440" s="24">
        <v>62</v>
      </c>
      <c r="P440" s="24">
        <v>0</v>
      </c>
      <c r="Q440" s="24">
        <v>0</v>
      </c>
      <c r="R440" s="24">
        <v>0</v>
      </c>
      <c r="S440" s="24">
        <v>0</v>
      </c>
      <c r="T440" s="24">
        <v>62</v>
      </c>
    </row>
    <row r="441" spans="1:20">
      <c r="A441" s="9" t="s">
        <v>395</v>
      </c>
      <c r="B441" s="30" t="s">
        <v>396</v>
      </c>
      <c r="C441" s="30" t="str">
        <f>CONCATENATE(VOL_VOLUMEN_SUMINISTROS[[#This Row],[Proyecto]],VOL_VOLUMEN_SUMINISTROS[[#This Row],[J]],VOL_VOLUMEN_SUMINISTROS[[#This Row],[FIN DE SEMANA]])</f>
        <v>1052-1MNO</v>
      </c>
      <c r="D441" s="365" t="str">
        <f>CONCATENATE(VOL_VOLUMEN_SUMINISTROS[[#This Row],[Grupo]],VOL_VOLUMEN_SUMINISTROS[[#This Row],[Proyecto]],VOL_VOLUMEN_SUMINISTROS[[#This Row],[FIN DE SEMANA]])</f>
        <v>161052-1NO</v>
      </c>
      <c r="E441" s="30" t="s">
        <v>147</v>
      </c>
      <c r="F441" s="30" t="s">
        <v>148</v>
      </c>
      <c r="G441" s="365">
        <v>16</v>
      </c>
      <c r="H441" s="30">
        <v>1</v>
      </c>
      <c r="I441" s="9" t="s">
        <v>397</v>
      </c>
      <c r="J441" s="9" t="s">
        <v>407</v>
      </c>
      <c r="K441" s="30">
        <v>1</v>
      </c>
      <c r="L441" s="9" t="s">
        <v>408</v>
      </c>
      <c r="M441" s="30" t="s">
        <v>84</v>
      </c>
      <c r="N441" s="30" t="s">
        <v>152</v>
      </c>
      <c r="O441" s="24">
        <v>96</v>
      </c>
      <c r="P441" s="24">
        <v>255</v>
      </c>
      <c r="Q441" s="24">
        <v>69</v>
      </c>
      <c r="R441" s="24">
        <v>0</v>
      </c>
      <c r="S441" s="24">
        <v>0</v>
      </c>
      <c r="T441" s="24">
        <v>420</v>
      </c>
    </row>
    <row r="442" spans="1:20">
      <c r="A442" s="9" t="s">
        <v>395</v>
      </c>
      <c r="B442" s="30" t="s">
        <v>396</v>
      </c>
      <c r="C442" s="30" t="str">
        <f>CONCATENATE(VOL_VOLUMEN_SUMINISTROS[[#This Row],[Proyecto]],VOL_VOLUMEN_SUMINISTROS[[#This Row],[J]],VOL_VOLUMEN_SUMINISTROS[[#This Row],[FIN DE SEMANA]])</f>
        <v>1052-1TNO</v>
      </c>
      <c r="D442" s="365" t="str">
        <f>CONCATENATE(VOL_VOLUMEN_SUMINISTROS[[#This Row],[Grupo]],VOL_VOLUMEN_SUMINISTROS[[#This Row],[Proyecto]],VOL_VOLUMEN_SUMINISTROS[[#This Row],[FIN DE SEMANA]])</f>
        <v>161052-1NO</v>
      </c>
      <c r="E442" s="30" t="s">
        <v>147</v>
      </c>
      <c r="F442" s="30" t="s">
        <v>148</v>
      </c>
      <c r="G442" s="365">
        <v>16</v>
      </c>
      <c r="H442" s="30">
        <v>1</v>
      </c>
      <c r="I442" s="9" t="s">
        <v>397</v>
      </c>
      <c r="J442" s="9" t="s">
        <v>407</v>
      </c>
      <c r="K442" s="30">
        <v>1</v>
      </c>
      <c r="L442" s="9" t="s">
        <v>409</v>
      </c>
      <c r="M442" s="30" t="s">
        <v>84</v>
      </c>
      <c r="N442" s="30" t="s">
        <v>155</v>
      </c>
      <c r="O442" s="24">
        <v>0</v>
      </c>
      <c r="P442" s="24">
        <v>183</v>
      </c>
      <c r="Q442" s="24">
        <v>379</v>
      </c>
      <c r="R442" s="24">
        <v>0</v>
      </c>
      <c r="S442" s="24">
        <v>0</v>
      </c>
      <c r="T442" s="24">
        <v>562</v>
      </c>
    </row>
    <row r="443" spans="1:20">
      <c r="A443" s="9" t="s">
        <v>395</v>
      </c>
      <c r="B443" s="30" t="s">
        <v>396</v>
      </c>
      <c r="C443" s="30" t="str">
        <f>CONCATENATE(VOL_VOLUMEN_SUMINISTROS[[#This Row],[Proyecto]],VOL_VOLUMEN_SUMINISTROS[[#This Row],[J]],VOL_VOLUMEN_SUMINISTROS[[#This Row],[FIN DE SEMANA]])</f>
        <v>1052-1MNO</v>
      </c>
      <c r="D443" s="365" t="str">
        <f>CONCATENATE(VOL_VOLUMEN_SUMINISTROS[[#This Row],[Grupo]],VOL_VOLUMEN_SUMINISTROS[[#This Row],[Proyecto]],VOL_VOLUMEN_SUMINISTROS[[#This Row],[FIN DE SEMANA]])</f>
        <v>161052-1NO</v>
      </c>
      <c r="E443" s="30" t="s">
        <v>147</v>
      </c>
      <c r="F443" s="30" t="s">
        <v>148</v>
      </c>
      <c r="G443" s="365">
        <v>16</v>
      </c>
      <c r="H443" s="30">
        <v>1</v>
      </c>
      <c r="I443" s="9" t="s">
        <v>397</v>
      </c>
      <c r="J443" s="9" t="s">
        <v>407</v>
      </c>
      <c r="K443" s="30">
        <v>2</v>
      </c>
      <c r="L443" s="9" t="s">
        <v>410</v>
      </c>
      <c r="M443" s="30" t="s">
        <v>84</v>
      </c>
      <c r="N443" s="30" t="s">
        <v>152</v>
      </c>
      <c r="O443" s="24">
        <v>158</v>
      </c>
      <c r="P443" s="24">
        <v>49</v>
      </c>
      <c r="Q443" s="24">
        <v>0</v>
      </c>
      <c r="R443" s="24">
        <v>0</v>
      </c>
      <c r="S443" s="24">
        <v>0</v>
      </c>
      <c r="T443" s="24">
        <v>207</v>
      </c>
    </row>
    <row r="444" spans="1:20">
      <c r="A444" s="9" t="s">
        <v>395</v>
      </c>
      <c r="B444" s="30" t="s">
        <v>396</v>
      </c>
      <c r="C444" s="30" t="str">
        <f>CONCATENATE(VOL_VOLUMEN_SUMINISTROS[[#This Row],[Proyecto]],VOL_VOLUMEN_SUMINISTROS[[#This Row],[J]],VOL_VOLUMEN_SUMINISTROS[[#This Row],[FIN DE SEMANA]])</f>
        <v>1052-1TNO</v>
      </c>
      <c r="D444" s="365" t="str">
        <f>CONCATENATE(VOL_VOLUMEN_SUMINISTROS[[#This Row],[Grupo]],VOL_VOLUMEN_SUMINISTROS[[#This Row],[Proyecto]],VOL_VOLUMEN_SUMINISTROS[[#This Row],[FIN DE SEMANA]])</f>
        <v>161052-1NO</v>
      </c>
      <c r="E444" s="30" t="s">
        <v>147</v>
      </c>
      <c r="F444" s="30" t="s">
        <v>148</v>
      </c>
      <c r="G444" s="365">
        <v>16</v>
      </c>
      <c r="H444" s="30">
        <v>1</v>
      </c>
      <c r="I444" s="9" t="s">
        <v>397</v>
      </c>
      <c r="J444" s="9" t="s">
        <v>407</v>
      </c>
      <c r="K444" s="30">
        <v>2</v>
      </c>
      <c r="L444" s="9" t="s">
        <v>410</v>
      </c>
      <c r="M444" s="30" t="s">
        <v>84</v>
      </c>
      <c r="N444" s="30" t="s">
        <v>155</v>
      </c>
      <c r="O444" s="24">
        <v>158</v>
      </c>
      <c r="P444" s="24">
        <v>49</v>
      </c>
      <c r="Q444" s="24">
        <v>0</v>
      </c>
      <c r="R444" s="24">
        <v>0</v>
      </c>
      <c r="S444" s="24">
        <v>0</v>
      </c>
      <c r="T444" s="24">
        <v>207</v>
      </c>
    </row>
    <row r="445" spans="1:20">
      <c r="A445" s="9" t="s">
        <v>395</v>
      </c>
      <c r="B445" s="30" t="s">
        <v>396</v>
      </c>
      <c r="C445" s="30" t="str">
        <f>CONCATENATE(VOL_VOLUMEN_SUMINISTROS[[#This Row],[Proyecto]],VOL_VOLUMEN_SUMINISTROS[[#This Row],[J]],VOL_VOLUMEN_SUMINISTROS[[#This Row],[FIN DE SEMANA]])</f>
        <v>1052-1MNO</v>
      </c>
      <c r="D445" s="365" t="str">
        <f>CONCATENATE(VOL_VOLUMEN_SUMINISTROS[[#This Row],[Grupo]],VOL_VOLUMEN_SUMINISTROS[[#This Row],[Proyecto]],VOL_VOLUMEN_SUMINISTROS[[#This Row],[FIN DE SEMANA]])</f>
        <v>161052-1NO</v>
      </c>
      <c r="E445" s="30" t="s">
        <v>147</v>
      </c>
      <c r="F445" s="30" t="s">
        <v>148</v>
      </c>
      <c r="G445" s="365">
        <v>16</v>
      </c>
      <c r="H445" s="30">
        <v>1</v>
      </c>
      <c r="I445" s="9" t="s">
        <v>397</v>
      </c>
      <c r="J445" s="9" t="s">
        <v>411</v>
      </c>
      <c r="K445" s="30">
        <v>1</v>
      </c>
      <c r="L445" s="9" t="s">
        <v>412</v>
      </c>
      <c r="M445" s="30" t="s">
        <v>84</v>
      </c>
      <c r="N445" s="30" t="s">
        <v>152</v>
      </c>
      <c r="O445" s="24">
        <v>0</v>
      </c>
      <c r="P445" s="24">
        <v>183</v>
      </c>
      <c r="Q445" s="24">
        <v>516</v>
      </c>
      <c r="R445" s="24">
        <v>0</v>
      </c>
      <c r="S445" s="24">
        <v>0</v>
      </c>
      <c r="T445" s="24">
        <v>699</v>
      </c>
    </row>
    <row r="446" spans="1:20">
      <c r="A446" s="9" t="s">
        <v>395</v>
      </c>
      <c r="B446" s="30" t="s">
        <v>396</v>
      </c>
      <c r="C446" s="30" t="str">
        <f>CONCATENATE(VOL_VOLUMEN_SUMINISTROS[[#This Row],[Proyecto]],VOL_VOLUMEN_SUMINISTROS[[#This Row],[J]],VOL_VOLUMEN_SUMINISTROS[[#This Row],[FIN DE SEMANA]])</f>
        <v>1052-1NNO</v>
      </c>
      <c r="D446" s="365" t="str">
        <f>CONCATENATE(VOL_VOLUMEN_SUMINISTROS[[#This Row],[Grupo]],VOL_VOLUMEN_SUMINISTROS[[#This Row],[Proyecto]],VOL_VOLUMEN_SUMINISTROS[[#This Row],[FIN DE SEMANA]])</f>
        <v>161052-1NO</v>
      </c>
      <c r="E446" s="30" t="s">
        <v>147</v>
      </c>
      <c r="F446" s="30" t="s">
        <v>148</v>
      </c>
      <c r="G446" s="365">
        <v>16</v>
      </c>
      <c r="H446" s="30">
        <v>1</v>
      </c>
      <c r="I446" s="9" t="s">
        <v>397</v>
      </c>
      <c r="J446" s="9" t="s">
        <v>411</v>
      </c>
      <c r="K446" s="30">
        <v>1</v>
      </c>
      <c r="L446" s="9" t="s">
        <v>412</v>
      </c>
      <c r="M446" s="30" t="s">
        <v>84</v>
      </c>
      <c r="N446" s="30" t="s">
        <v>154</v>
      </c>
      <c r="O446" s="24">
        <v>0</v>
      </c>
      <c r="P446" s="24">
        <v>0</v>
      </c>
      <c r="Q446" s="24">
        <v>0</v>
      </c>
      <c r="R446" s="24">
        <v>109</v>
      </c>
      <c r="S446" s="24">
        <v>121</v>
      </c>
      <c r="T446" s="24">
        <v>230</v>
      </c>
    </row>
    <row r="447" spans="1:20">
      <c r="A447" s="9" t="s">
        <v>395</v>
      </c>
      <c r="B447" s="30" t="s">
        <v>396</v>
      </c>
      <c r="C447" s="30" t="str">
        <f>CONCATENATE(VOL_VOLUMEN_SUMINISTROS[[#This Row],[Proyecto]],VOL_VOLUMEN_SUMINISTROS[[#This Row],[J]],VOL_VOLUMEN_SUMINISTROS[[#This Row],[FIN DE SEMANA]])</f>
        <v>1052-1MNO</v>
      </c>
      <c r="D447" s="365" t="str">
        <f>CONCATENATE(VOL_VOLUMEN_SUMINISTROS[[#This Row],[Grupo]],VOL_VOLUMEN_SUMINISTROS[[#This Row],[Proyecto]],VOL_VOLUMEN_SUMINISTROS[[#This Row],[FIN DE SEMANA]])</f>
        <v>161052-1NO</v>
      </c>
      <c r="E447" s="30" t="s">
        <v>147</v>
      </c>
      <c r="F447" s="30" t="s">
        <v>148</v>
      </c>
      <c r="G447" s="365">
        <v>16</v>
      </c>
      <c r="H447" s="30">
        <v>1</v>
      </c>
      <c r="I447" s="9" t="s">
        <v>397</v>
      </c>
      <c r="J447" s="9" t="s">
        <v>411</v>
      </c>
      <c r="K447" s="30">
        <v>2</v>
      </c>
      <c r="L447" s="9" t="s">
        <v>413</v>
      </c>
      <c r="M447" s="30" t="s">
        <v>84</v>
      </c>
      <c r="N447" s="30" t="s">
        <v>152</v>
      </c>
      <c r="O447" s="24">
        <v>97</v>
      </c>
      <c r="P447" s="24">
        <v>93</v>
      </c>
      <c r="Q447" s="24">
        <v>19</v>
      </c>
      <c r="R447" s="24">
        <v>0</v>
      </c>
      <c r="S447" s="24">
        <v>0</v>
      </c>
      <c r="T447" s="24">
        <v>209</v>
      </c>
    </row>
    <row r="448" spans="1:20">
      <c r="A448" s="9" t="s">
        <v>395</v>
      </c>
      <c r="B448" s="30" t="s">
        <v>396</v>
      </c>
      <c r="C448" s="30" t="str">
        <f>CONCATENATE(VOL_VOLUMEN_SUMINISTROS[[#This Row],[Proyecto]],VOL_VOLUMEN_SUMINISTROS[[#This Row],[J]],VOL_VOLUMEN_SUMINISTROS[[#This Row],[FIN DE SEMANA]])</f>
        <v>1052-1MNO</v>
      </c>
      <c r="D448" s="365" t="str">
        <f>CONCATENATE(VOL_VOLUMEN_SUMINISTROS[[#This Row],[Grupo]],VOL_VOLUMEN_SUMINISTROS[[#This Row],[Proyecto]],VOL_VOLUMEN_SUMINISTROS[[#This Row],[FIN DE SEMANA]])</f>
        <v>161052-1NO</v>
      </c>
      <c r="E448" s="30" t="s">
        <v>147</v>
      </c>
      <c r="F448" s="30" t="s">
        <v>148</v>
      </c>
      <c r="G448" s="365">
        <v>16</v>
      </c>
      <c r="H448" s="30">
        <v>1</v>
      </c>
      <c r="I448" s="9" t="s">
        <v>397</v>
      </c>
      <c r="J448" s="9" t="s">
        <v>411</v>
      </c>
      <c r="K448" s="30">
        <v>3</v>
      </c>
      <c r="L448" s="9" t="s">
        <v>414</v>
      </c>
      <c r="M448" s="30" t="s">
        <v>84</v>
      </c>
      <c r="N448" s="30" t="s">
        <v>152</v>
      </c>
      <c r="O448" s="24">
        <v>85</v>
      </c>
      <c r="P448" s="24">
        <v>78</v>
      </c>
      <c r="Q448" s="24">
        <v>16</v>
      </c>
      <c r="R448" s="24">
        <v>0</v>
      </c>
      <c r="S448" s="24">
        <v>0</v>
      </c>
      <c r="T448" s="24">
        <v>179</v>
      </c>
    </row>
    <row r="449" spans="1:20">
      <c r="A449" s="9" t="s">
        <v>395</v>
      </c>
      <c r="B449" s="30" t="s">
        <v>396</v>
      </c>
      <c r="C449" s="30" t="str">
        <f>CONCATENATE(VOL_VOLUMEN_SUMINISTROS[[#This Row],[Proyecto]],VOL_VOLUMEN_SUMINISTROS[[#This Row],[J]],VOL_VOLUMEN_SUMINISTROS[[#This Row],[FIN DE SEMANA]])</f>
        <v>1052-1MNO</v>
      </c>
      <c r="D449" s="365" t="str">
        <f>CONCATENATE(VOL_VOLUMEN_SUMINISTROS[[#This Row],[Grupo]],VOL_VOLUMEN_SUMINISTROS[[#This Row],[Proyecto]],VOL_VOLUMEN_SUMINISTROS[[#This Row],[FIN DE SEMANA]])</f>
        <v>161052-1NO</v>
      </c>
      <c r="E449" s="30" t="s">
        <v>147</v>
      </c>
      <c r="F449" s="30" t="s">
        <v>148</v>
      </c>
      <c r="G449" s="365">
        <v>16</v>
      </c>
      <c r="H449" s="30">
        <v>1</v>
      </c>
      <c r="I449" s="9" t="s">
        <v>397</v>
      </c>
      <c r="J449" s="9" t="s">
        <v>415</v>
      </c>
      <c r="K449" s="30">
        <v>1</v>
      </c>
      <c r="L449" s="9" t="s">
        <v>416</v>
      </c>
      <c r="M449" s="30" t="s">
        <v>84</v>
      </c>
      <c r="N449" s="30" t="s">
        <v>152</v>
      </c>
      <c r="O449" s="24">
        <v>215</v>
      </c>
      <c r="P449" s="24">
        <v>223</v>
      </c>
      <c r="Q449" s="24">
        <v>51</v>
      </c>
      <c r="R449" s="24">
        <v>0</v>
      </c>
      <c r="S449" s="24">
        <v>0</v>
      </c>
      <c r="T449" s="24">
        <v>489</v>
      </c>
    </row>
    <row r="450" spans="1:20">
      <c r="A450" s="9" t="s">
        <v>395</v>
      </c>
      <c r="B450" s="30" t="s">
        <v>396</v>
      </c>
      <c r="C450" s="30" t="str">
        <f>CONCATENATE(VOL_VOLUMEN_SUMINISTROS[[#This Row],[Proyecto]],VOL_VOLUMEN_SUMINISTROS[[#This Row],[J]],VOL_VOLUMEN_SUMINISTROS[[#This Row],[FIN DE SEMANA]])</f>
        <v>1052-1NNO</v>
      </c>
      <c r="D450" s="365" t="str">
        <f>CONCATENATE(VOL_VOLUMEN_SUMINISTROS[[#This Row],[Grupo]],VOL_VOLUMEN_SUMINISTROS[[#This Row],[Proyecto]],VOL_VOLUMEN_SUMINISTROS[[#This Row],[FIN DE SEMANA]])</f>
        <v>161052-1NO</v>
      </c>
      <c r="E450" s="30" t="s">
        <v>147</v>
      </c>
      <c r="F450" s="30" t="s">
        <v>148</v>
      </c>
      <c r="G450" s="365">
        <v>16</v>
      </c>
      <c r="H450" s="30">
        <v>1</v>
      </c>
      <c r="I450" s="9" t="s">
        <v>397</v>
      </c>
      <c r="J450" s="9" t="s">
        <v>415</v>
      </c>
      <c r="K450" s="30">
        <v>1</v>
      </c>
      <c r="L450" s="9" t="s">
        <v>416</v>
      </c>
      <c r="M450" s="30" t="s">
        <v>84</v>
      </c>
      <c r="N450" s="30" t="s">
        <v>154</v>
      </c>
      <c r="O450" s="24">
        <v>0</v>
      </c>
      <c r="P450" s="24">
        <v>0</v>
      </c>
      <c r="Q450" s="24">
        <v>0</v>
      </c>
      <c r="R450" s="24">
        <v>28</v>
      </c>
      <c r="S450" s="24">
        <v>22</v>
      </c>
      <c r="T450" s="24">
        <v>50</v>
      </c>
    </row>
    <row r="451" spans="1:20">
      <c r="A451" s="9" t="s">
        <v>395</v>
      </c>
      <c r="B451" s="30" t="s">
        <v>396</v>
      </c>
      <c r="C451" s="30" t="str">
        <f>CONCATENATE(VOL_VOLUMEN_SUMINISTROS[[#This Row],[Proyecto]],VOL_VOLUMEN_SUMINISTROS[[#This Row],[J]],VOL_VOLUMEN_SUMINISTROS[[#This Row],[FIN DE SEMANA]])</f>
        <v>1052-1TNO</v>
      </c>
      <c r="D451" s="365" t="str">
        <f>CONCATENATE(VOL_VOLUMEN_SUMINISTROS[[#This Row],[Grupo]],VOL_VOLUMEN_SUMINISTROS[[#This Row],[Proyecto]],VOL_VOLUMEN_SUMINISTROS[[#This Row],[FIN DE SEMANA]])</f>
        <v>161052-1NO</v>
      </c>
      <c r="E451" s="30" t="s">
        <v>147</v>
      </c>
      <c r="F451" s="30" t="s">
        <v>148</v>
      </c>
      <c r="G451" s="365">
        <v>16</v>
      </c>
      <c r="H451" s="30">
        <v>1</v>
      </c>
      <c r="I451" s="9" t="s">
        <v>397</v>
      </c>
      <c r="J451" s="9" t="s">
        <v>415</v>
      </c>
      <c r="K451" s="30">
        <v>1</v>
      </c>
      <c r="L451" s="9" t="s">
        <v>416</v>
      </c>
      <c r="M451" s="30" t="s">
        <v>84</v>
      </c>
      <c r="N451" s="30" t="s">
        <v>155</v>
      </c>
      <c r="O451" s="24">
        <v>23</v>
      </c>
      <c r="P451" s="24">
        <v>129</v>
      </c>
      <c r="Q451" s="24">
        <v>341</v>
      </c>
      <c r="R451" s="24">
        <v>0</v>
      </c>
      <c r="S451" s="24">
        <v>0</v>
      </c>
      <c r="T451" s="24">
        <v>493</v>
      </c>
    </row>
    <row r="452" spans="1:20">
      <c r="A452" s="9" t="s">
        <v>395</v>
      </c>
      <c r="B452" s="30" t="s">
        <v>396</v>
      </c>
      <c r="C452" s="30" t="str">
        <f>CONCATENATE(VOL_VOLUMEN_SUMINISTROS[[#This Row],[Proyecto]],VOL_VOLUMEN_SUMINISTROS[[#This Row],[J]],VOL_VOLUMEN_SUMINISTROS[[#This Row],[FIN DE SEMANA]])</f>
        <v>1052-1MNO</v>
      </c>
      <c r="D452" s="365" t="str">
        <f>CONCATENATE(VOL_VOLUMEN_SUMINISTROS[[#This Row],[Grupo]],VOL_VOLUMEN_SUMINISTROS[[#This Row],[Proyecto]],VOL_VOLUMEN_SUMINISTROS[[#This Row],[FIN DE SEMANA]])</f>
        <v>261052-1NO</v>
      </c>
      <c r="E452" s="30" t="s">
        <v>147</v>
      </c>
      <c r="F452" s="30" t="s">
        <v>148</v>
      </c>
      <c r="G452" s="365">
        <v>26</v>
      </c>
      <c r="H452" s="30">
        <v>18</v>
      </c>
      <c r="I452" s="9" t="s">
        <v>308</v>
      </c>
      <c r="J452" s="9" t="s">
        <v>417</v>
      </c>
      <c r="K452" s="30">
        <v>1</v>
      </c>
      <c r="L452" s="9" t="s">
        <v>418</v>
      </c>
      <c r="M452" s="30" t="s">
        <v>84</v>
      </c>
      <c r="N452" s="30" t="s">
        <v>152</v>
      </c>
      <c r="O452" s="24">
        <v>0</v>
      </c>
      <c r="P452" s="24">
        <v>225</v>
      </c>
      <c r="Q452" s="24">
        <v>725</v>
      </c>
      <c r="R452" s="24">
        <v>0</v>
      </c>
      <c r="S452" s="24">
        <v>0</v>
      </c>
      <c r="T452" s="24">
        <v>950</v>
      </c>
    </row>
    <row r="453" spans="1:20">
      <c r="A453" s="9" t="s">
        <v>395</v>
      </c>
      <c r="B453" s="30" t="s">
        <v>396</v>
      </c>
      <c r="C453" s="30" t="str">
        <f>CONCATENATE(VOL_VOLUMEN_SUMINISTROS[[#This Row],[Proyecto]],VOL_VOLUMEN_SUMINISTROS[[#This Row],[J]],VOL_VOLUMEN_SUMINISTROS[[#This Row],[FIN DE SEMANA]])</f>
        <v>1052-1NNO</v>
      </c>
      <c r="D453" s="365" t="str">
        <f>CONCATENATE(VOL_VOLUMEN_SUMINISTROS[[#This Row],[Grupo]],VOL_VOLUMEN_SUMINISTROS[[#This Row],[Proyecto]],VOL_VOLUMEN_SUMINISTROS[[#This Row],[FIN DE SEMANA]])</f>
        <v>261052-1NO</v>
      </c>
      <c r="E453" s="30" t="s">
        <v>147</v>
      </c>
      <c r="F453" s="30" t="s">
        <v>148</v>
      </c>
      <c r="G453" s="365">
        <v>26</v>
      </c>
      <c r="H453" s="30">
        <v>18</v>
      </c>
      <c r="I453" s="9" t="s">
        <v>308</v>
      </c>
      <c r="J453" s="9" t="s">
        <v>417</v>
      </c>
      <c r="K453" s="30">
        <v>1</v>
      </c>
      <c r="L453" s="9" t="s">
        <v>418</v>
      </c>
      <c r="M453" s="30" t="s">
        <v>84</v>
      </c>
      <c r="N453" s="30" t="s">
        <v>154</v>
      </c>
      <c r="O453" s="24">
        <v>0</v>
      </c>
      <c r="P453" s="24">
        <v>0</v>
      </c>
      <c r="Q453" s="24">
        <v>0</v>
      </c>
      <c r="R453" s="24">
        <v>80</v>
      </c>
      <c r="S453" s="24">
        <v>90</v>
      </c>
      <c r="T453" s="24">
        <v>170</v>
      </c>
    </row>
    <row r="454" spans="1:20">
      <c r="A454" s="9" t="s">
        <v>395</v>
      </c>
      <c r="B454" s="30" t="s">
        <v>396</v>
      </c>
      <c r="C454" s="30" t="str">
        <f>CONCATENATE(VOL_VOLUMEN_SUMINISTROS[[#This Row],[Proyecto]],VOL_VOLUMEN_SUMINISTROS[[#This Row],[J]],VOL_VOLUMEN_SUMINISTROS[[#This Row],[FIN DE SEMANA]])</f>
        <v>1052-1TNO</v>
      </c>
      <c r="D454" s="365" t="str">
        <f>CONCATENATE(VOL_VOLUMEN_SUMINISTROS[[#This Row],[Grupo]],VOL_VOLUMEN_SUMINISTROS[[#This Row],[Proyecto]],VOL_VOLUMEN_SUMINISTROS[[#This Row],[FIN DE SEMANA]])</f>
        <v>261052-1NO</v>
      </c>
      <c r="E454" s="30" t="s">
        <v>147</v>
      </c>
      <c r="F454" s="30" t="s">
        <v>148</v>
      </c>
      <c r="G454" s="365">
        <v>26</v>
      </c>
      <c r="H454" s="30">
        <v>18</v>
      </c>
      <c r="I454" s="9" t="s">
        <v>308</v>
      </c>
      <c r="J454" s="9" t="s">
        <v>417</v>
      </c>
      <c r="K454" s="30">
        <v>1</v>
      </c>
      <c r="L454" s="9" t="s">
        <v>418</v>
      </c>
      <c r="M454" s="30" t="s">
        <v>84</v>
      </c>
      <c r="N454" s="30" t="s">
        <v>155</v>
      </c>
      <c r="O454" s="24">
        <v>0</v>
      </c>
      <c r="P454" s="24">
        <v>309</v>
      </c>
      <c r="Q454" s="24">
        <v>451</v>
      </c>
      <c r="R454" s="24">
        <v>0</v>
      </c>
      <c r="S454" s="24">
        <v>0</v>
      </c>
      <c r="T454" s="24">
        <v>760</v>
      </c>
    </row>
    <row r="455" spans="1:20">
      <c r="A455" s="9" t="s">
        <v>395</v>
      </c>
      <c r="B455" s="30" t="s">
        <v>396</v>
      </c>
      <c r="C455" s="30" t="str">
        <f>CONCATENATE(VOL_VOLUMEN_SUMINISTROS[[#This Row],[Proyecto]],VOL_VOLUMEN_SUMINISTROS[[#This Row],[J]],VOL_VOLUMEN_SUMINISTROS[[#This Row],[FIN DE SEMANA]])</f>
        <v>1052-1MNO</v>
      </c>
      <c r="D455" s="365" t="str">
        <f>CONCATENATE(VOL_VOLUMEN_SUMINISTROS[[#This Row],[Grupo]],VOL_VOLUMEN_SUMINISTROS[[#This Row],[Proyecto]],VOL_VOLUMEN_SUMINISTROS[[#This Row],[FIN DE SEMANA]])</f>
        <v>261052-1NO</v>
      </c>
      <c r="E455" s="30" t="s">
        <v>147</v>
      </c>
      <c r="F455" s="30" t="s">
        <v>148</v>
      </c>
      <c r="G455" s="365">
        <v>26</v>
      </c>
      <c r="H455" s="30">
        <v>18</v>
      </c>
      <c r="I455" s="9" t="s">
        <v>308</v>
      </c>
      <c r="J455" s="9" t="s">
        <v>417</v>
      </c>
      <c r="K455" s="30">
        <v>2</v>
      </c>
      <c r="L455" s="9" t="s">
        <v>419</v>
      </c>
      <c r="M455" s="30" t="s">
        <v>84</v>
      </c>
      <c r="N455" s="30" t="s">
        <v>152</v>
      </c>
      <c r="O455" s="24">
        <v>172</v>
      </c>
      <c r="P455" s="24">
        <v>135</v>
      </c>
      <c r="Q455" s="24">
        <v>27</v>
      </c>
      <c r="R455" s="24">
        <v>0</v>
      </c>
      <c r="S455" s="24">
        <v>0</v>
      </c>
      <c r="T455" s="24">
        <v>334</v>
      </c>
    </row>
    <row r="456" spans="1:20">
      <c r="A456" s="9" t="s">
        <v>395</v>
      </c>
      <c r="B456" s="30" t="s">
        <v>396</v>
      </c>
      <c r="C456" s="30" t="str">
        <f>CONCATENATE(VOL_VOLUMEN_SUMINISTROS[[#This Row],[Proyecto]],VOL_VOLUMEN_SUMINISTROS[[#This Row],[J]],VOL_VOLUMEN_SUMINISTROS[[#This Row],[FIN DE SEMANA]])</f>
        <v>1052-1TNO</v>
      </c>
      <c r="D456" s="365" t="str">
        <f>CONCATENATE(VOL_VOLUMEN_SUMINISTROS[[#This Row],[Grupo]],VOL_VOLUMEN_SUMINISTROS[[#This Row],[Proyecto]],VOL_VOLUMEN_SUMINISTROS[[#This Row],[FIN DE SEMANA]])</f>
        <v>261052-1NO</v>
      </c>
      <c r="E456" s="30" t="s">
        <v>147</v>
      </c>
      <c r="F456" s="30" t="s">
        <v>148</v>
      </c>
      <c r="G456" s="365">
        <v>26</v>
      </c>
      <c r="H456" s="30">
        <v>18</v>
      </c>
      <c r="I456" s="9" t="s">
        <v>308</v>
      </c>
      <c r="J456" s="9" t="s">
        <v>417</v>
      </c>
      <c r="K456" s="30">
        <v>2</v>
      </c>
      <c r="L456" s="9" t="s">
        <v>419</v>
      </c>
      <c r="M456" s="30" t="s">
        <v>84</v>
      </c>
      <c r="N456" s="30" t="s">
        <v>155</v>
      </c>
      <c r="O456" s="24">
        <v>136</v>
      </c>
      <c r="P456" s="24">
        <v>123</v>
      </c>
      <c r="Q456" s="24">
        <v>25</v>
      </c>
      <c r="R456" s="24">
        <v>0</v>
      </c>
      <c r="S456" s="24">
        <v>0</v>
      </c>
      <c r="T456" s="24">
        <v>284</v>
      </c>
    </row>
    <row r="457" spans="1:20">
      <c r="A457" s="9" t="s">
        <v>395</v>
      </c>
      <c r="B457" s="30" t="s">
        <v>396</v>
      </c>
      <c r="C457" s="30" t="str">
        <f>CONCATENATE(VOL_VOLUMEN_SUMINISTROS[[#This Row],[Proyecto]],VOL_VOLUMEN_SUMINISTROS[[#This Row],[J]],VOL_VOLUMEN_SUMINISTROS[[#This Row],[FIN DE SEMANA]])</f>
        <v>1052-1MNO</v>
      </c>
      <c r="D457" s="365" t="str">
        <f>CONCATENATE(VOL_VOLUMEN_SUMINISTROS[[#This Row],[Grupo]],VOL_VOLUMEN_SUMINISTROS[[#This Row],[Proyecto]],VOL_VOLUMEN_SUMINISTROS[[#This Row],[FIN DE SEMANA]])</f>
        <v>261052-1NO</v>
      </c>
      <c r="E457" s="30" t="s">
        <v>147</v>
      </c>
      <c r="F457" s="30" t="s">
        <v>148</v>
      </c>
      <c r="G457" s="365">
        <v>26</v>
      </c>
      <c r="H457" s="30">
        <v>18</v>
      </c>
      <c r="I457" s="9" t="s">
        <v>308</v>
      </c>
      <c r="J457" s="9" t="s">
        <v>417</v>
      </c>
      <c r="K457" s="30">
        <v>3</v>
      </c>
      <c r="L457" s="9" t="s">
        <v>420</v>
      </c>
      <c r="M457" s="30" t="s">
        <v>84</v>
      </c>
      <c r="N457" s="30" t="s">
        <v>152</v>
      </c>
      <c r="O457" s="24">
        <v>112</v>
      </c>
      <c r="P457" s="24">
        <v>134</v>
      </c>
      <c r="Q457" s="24">
        <v>30</v>
      </c>
      <c r="R457" s="24">
        <v>0</v>
      </c>
      <c r="S457" s="24">
        <v>0</v>
      </c>
      <c r="T457" s="24">
        <v>276</v>
      </c>
    </row>
    <row r="458" spans="1:20">
      <c r="A458" s="9" t="s">
        <v>395</v>
      </c>
      <c r="B458" s="30" t="s">
        <v>396</v>
      </c>
      <c r="C458" s="30" t="str">
        <f>CONCATENATE(VOL_VOLUMEN_SUMINISTROS[[#This Row],[Proyecto]],VOL_VOLUMEN_SUMINISTROS[[#This Row],[J]],VOL_VOLUMEN_SUMINISTROS[[#This Row],[FIN DE SEMANA]])</f>
        <v>1052-1TNO</v>
      </c>
      <c r="D458" s="365" t="str">
        <f>CONCATENATE(VOL_VOLUMEN_SUMINISTROS[[#This Row],[Grupo]],VOL_VOLUMEN_SUMINISTROS[[#This Row],[Proyecto]],VOL_VOLUMEN_SUMINISTROS[[#This Row],[FIN DE SEMANA]])</f>
        <v>261052-1NO</v>
      </c>
      <c r="E458" s="30" t="s">
        <v>147</v>
      </c>
      <c r="F458" s="30" t="s">
        <v>148</v>
      </c>
      <c r="G458" s="365">
        <v>26</v>
      </c>
      <c r="H458" s="30">
        <v>18</v>
      </c>
      <c r="I458" s="9" t="s">
        <v>308</v>
      </c>
      <c r="J458" s="9" t="s">
        <v>417</v>
      </c>
      <c r="K458" s="30">
        <v>3</v>
      </c>
      <c r="L458" s="9" t="s">
        <v>420</v>
      </c>
      <c r="M458" s="30" t="s">
        <v>84</v>
      </c>
      <c r="N458" s="30" t="s">
        <v>155</v>
      </c>
      <c r="O458" s="24">
        <v>98</v>
      </c>
      <c r="P458" s="24">
        <v>95</v>
      </c>
      <c r="Q458" s="24">
        <v>22</v>
      </c>
      <c r="R458" s="24">
        <v>0</v>
      </c>
      <c r="S458" s="24">
        <v>0</v>
      </c>
      <c r="T458" s="24">
        <v>215</v>
      </c>
    </row>
    <row r="459" spans="1:20">
      <c r="A459" s="9" t="s">
        <v>395</v>
      </c>
      <c r="B459" s="30" t="s">
        <v>396</v>
      </c>
      <c r="C459" s="30" t="str">
        <f>CONCATENATE(VOL_VOLUMEN_SUMINISTROS[[#This Row],[Proyecto]],VOL_VOLUMEN_SUMINISTROS[[#This Row],[J]],VOL_VOLUMEN_SUMINISTROS[[#This Row],[FIN DE SEMANA]])</f>
        <v>1052-1MNO</v>
      </c>
      <c r="D459" s="365" t="str">
        <f>CONCATENATE(VOL_VOLUMEN_SUMINISTROS[[#This Row],[Grupo]],VOL_VOLUMEN_SUMINISTROS[[#This Row],[Proyecto]],VOL_VOLUMEN_SUMINISTROS[[#This Row],[FIN DE SEMANA]])</f>
        <v>251052-1NO</v>
      </c>
      <c r="E459" s="30" t="s">
        <v>147</v>
      </c>
      <c r="F459" s="30" t="s">
        <v>148</v>
      </c>
      <c r="G459" s="365">
        <v>25</v>
      </c>
      <c r="H459" s="30">
        <v>18</v>
      </c>
      <c r="I459" s="9" t="s">
        <v>308</v>
      </c>
      <c r="J459" s="9" t="s">
        <v>421</v>
      </c>
      <c r="K459" s="30">
        <v>1</v>
      </c>
      <c r="L459" s="9" t="s">
        <v>422</v>
      </c>
      <c r="M459" s="30" t="s">
        <v>84</v>
      </c>
      <c r="N459" s="30" t="s">
        <v>152</v>
      </c>
      <c r="O459" s="24">
        <v>321</v>
      </c>
      <c r="P459" s="24">
        <v>377</v>
      </c>
      <c r="Q459" s="24">
        <v>535</v>
      </c>
      <c r="R459" s="24">
        <v>0</v>
      </c>
      <c r="S459" s="24">
        <v>0</v>
      </c>
      <c r="T459" s="24">
        <v>1233</v>
      </c>
    </row>
    <row r="460" spans="1:20">
      <c r="A460" s="9" t="s">
        <v>395</v>
      </c>
      <c r="B460" s="30" t="s">
        <v>396</v>
      </c>
      <c r="C460" s="30" t="str">
        <f>CONCATENATE(VOL_VOLUMEN_SUMINISTROS[[#This Row],[Proyecto]],VOL_VOLUMEN_SUMINISTROS[[#This Row],[J]],VOL_VOLUMEN_SUMINISTROS[[#This Row],[FIN DE SEMANA]])</f>
        <v>1052-1NNO</v>
      </c>
      <c r="D460" s="365" t="str">
        <f>CONCATENATE(VOL_VOLUMEN_SUMINISTROS[[#This Row],[Grupo]],VOL_VOLUMEN_SUMINISTROS[[#This Row],[Proyecto]],VOL_VOLUMEN_SUMINISTROS[[#This Row],[FIN DE SEMANA]])</f>
        <v>261052-1NO</v>
      </c>
      <c r="E460" s="30" t="s">
        <v>147</v>
      </c>
      <c r="F460" s="30" t="s">
        <v>148</v>
      </c>
      <c r="G460" s="365">
        <v>26</v>
      </c>
      <c r="H460" s="30">
        <v>18</v>
      </c>
      <c r="I460" s="9" t="s">
        <v>308</v>
      </c>
      <c r="J460" s="9" t="s">
        <v>421</v>
      </c>
      <c r="K460" s="30">
        <v>1</v>
      </c>
      <c r="L460" s="9" t="s">
        <v>422</v>
      </c>
      <c r="M460" s="30" t="s">
        <v>84</v>
      </c>
      <c r="N460" s="30" t="s">
        <v>154</v>
      </c>
      <c r="O460" s="24">
        <v>0</v>
      </c>
      <c r="P460" s="24">
        <v>0</v>
      </c>
      <c r="Q460" s="24">
        <v>0</v>
      </c>
      <c r="R460" s="24">
        <v>40</v>
      </c>
      <c r="S460" s="24">
        <v>60</v>
      </c>
      <c r="T460" s="24">
        <v>100</v>
      </c>
    </row>
    <row r="461" spans="1:20">
      <c r="A461" s="9" t="s">
        <v>395</v>
      </c>
      <c r="B461" s="30" t="s">
        <v>396</v>
      </c>
      <c r="C461" s="30" t="str">
        <f>CONCATENATE(VOL_VOLUMEN_SUMINISTROS[[#This Row],[Proyecto]],VOL_VOLUMEN_SUMINISTROS[[#This Row],[J]],VOL_VOLUMEN_SUMINISTROS[[#This Row],[FIN DE SEMANA]])</f>
        <v>1052-1TNO</v>
      </c>
      <c r="D461" s="365" t="str">
        <f>CONCATENATE(VOL_VOLUMEN_SUMINISTROS[[#This Row],[Grupo]],VOL_VOLUMEN_SUMINISTROS[[#This Row],[Proyecto]],VOL_VOLUMEN_SUMINISTROS[[#This Row],[FIN DE SEMANA]])</f>
        <v>251052-1NO</v>
      </c>
      <c r="E461" s="30" t="s">
        <v>147</v>
      </c>
      <c r="F461" s="30" t="s">
        <v>148</v>
      </c>
      <c r="G461" s="365">
        <v>25</v>
      </c>
      <c r="H461" s="30">
        <v>18</v>
      </c>
      <c r="I461" s="9" t="s">
        <v>308</v>
      </c>
      <c r="J461" s="9" t="s">
        <v>421</v>
      </c>
      <c r="K461" s="30">
        <v>1</v>
      </c>
      <c r="L461" s="9" t="s">
        <v>422</v>
      </c>
      <c r="M461" s="30" t="s">
        <v>84</v>
      </c>
      <c r="N461" s="30" t="s">
        <v>155</v>
      </c>
      <c r="O461" s="24">
        <v>267</v>
      </c>
      <c r="P461" s="24">
        <v>402</v>
      </c>
      <c r="Q461" s="24">
        <v>320</v>
      </c>
      <c r="R461" s="24">
        <v>0</v>
      </c>
      <c r="S461" s="24">
        <v>0</v>
      </c>
      <c r="T461" s="24">
        <v>989</v>
      </c>
    </row>
    <row r="462" spans="1:20">
      <c r="A462" s="9" t="s">
        <v>395</v>
      </c>
      <c r="B462" s="30" t="s">
        <v>396</v>
      </c>
      <c r="C462" s="30" t="str">
        <f>CONCATENATE(VOL_VOLUMEN_SUMINISTROS[[#This Row],[Proyecto]],VOL_VOLUMEN_SUMINISTROS[[#This Row],[J]],VOL_VOLUMEN_SUMINISTROS[[#This Row],[FIN DE SEMANA]])</f>
        <v>1052-1MNO</v>
      </c>
      <c r="D462" s="365" t="str">
        <f>CONCATENATE(VOL_VOLUMEN_SUMINISTROS[[#This Row],[Grupo]],VOL_VOLUMEN_SUMINISTROS[[#This Row],[Proyecto]],VOL_VOLUMEN_SUMINISTROS[[#This Row],[FIN DE SEMANA]])</f>
        <v>251052-1NO</v>
      </c>
      <c r="E462" s="30" t="s">
        <v>147</v>
      </c>
      <c r="F462" s="30" t="s">
        <v>148</v>
      </c>
      <c r="G462" s="365">
        <v>25</v>
      </c>
      <c r="H462" s="30">
        <v>18</v>
      </c>
      <c r="I462" s="9" t="s">
        <v>308</v>
      </c>
      <c r="J462" s="9" t="s">
        <v>423</v>
      </c>
      <c r="K462" s="30">
        <v>1</v>
      </c>
      <c r="L462" s="9" t="s">
        <v>424</v>
      </c>
      <c r="M462" s="30" t="s">
        <v>84</v>
      </c>
      <c r="N462" s="30" t="s">
        <v>152</v>
      </c>
      <c r="O462" s="24">
        <v>181</v>
      </c>
      <c r="P462" s="24">
        <v>233</v>
      </c>
      <c r="Q462" s="24">
        <v>434</v>
      </c>
      <c r="R462" s="24">
        <v>0</v>
      </c>
      <c r="S462" s="24">
        <v>0</v>
      </c>
      <c r="T462" s="24">
        <v>848</v>
      </c>
    </row>
    <row r="463" spans="1:20">
      <c r="A463" s="9" t="s">
        <v>395</v>
      </c>
      <c r="B463" s="30" t="s">
        <v>396</v>
      </c>
      <c r="C463" s="30" t="str">
        <f>CONCATENATE(VOL_VOLUMEN_SUMINISTROS[[#This Row],[Proyecto]],VOL_VOLUMEN_SUMINISTROS[[#This Row],[J]],VOL_VOLUMEN_SUMINISTROS[[#This Row],[FIN DE SEMANA]])</f>
        <v>1052-1TNO</v>
      </c>
      <c r="D463" s="365" t="str">
        <f>CONCATENATE(VOL_VOLUMEN_SUMINISTROS[[#This Row],[Grupo]],VOL_VOLUMEN_SUMINISTROS[[#This Row],[Proyecto]],VOL_VOLUMEN_SUMINISTROS[[#This Row],[FIN DE SEMANA]])</f>
        <v>251052-1NO</v>
      </c>
      <c r="E463" s="30" t="s">
        <v>147</v>
      </c>
      <c r="F463" s="30" t="s">
        <v>148</v>
      </c>
      <c r="G463" s="365">
        <v>25</v>
      </c>
      <c r="H463" s="30">
        <v>18</v>
      </c>
      <c r="I463" s="9" t="s">
        <v>308</v>
      </c>
      <c r="J463" s="9" t="s">
        <v>423</v>
      </c>
      <c r="K463" s="30">
        <v>1</v>
      </c>
      <c r="L463" s="9" t="s">
        <v>424</v>
      </c>
      <c r="M463" s="30" t="s">
        <v>84</v>
      </c>
      <c r="N463" s="30" t="s">
        <v>155</v>
      </c>
      <c r="O463" s="24">
        <v>155</v>
      </c>
      <c r="P463" s="24">
        <v>227</v>
      </c>
      <c r="Q463" s="24">
        <v>308</v>
      </c>
      <c r="R463" s="24">
        <v>0</v>
      </c>
      <c r="S463" s="24">
        <v>0</v>
      </c>
      <c r="T463" s="24">
        <v>690</v>
      </c>
    </row>
    <row r="464" spans="1:20">
      <c r="A464" s="9" t="s">
        <v>395</v>
      </c>
      <c r="B464" s="30" t="s">
        <v>396</v>
      </c>
      <c r="C464" s="30" t="str">
        <f>CONCATENATE(VOL_VOLUMEN_SUMINISTROS[[#This Row],[Proyecto]],VOL_VOLUMEN_SUMINISTROS[[#This Row],[J]],VOL_VOLUMEN_SUMINISTROS[[#This Row],[FIN DE SEMANA]])</f>
        <v>1052-1MNO</v>
      </c>
      <c r="D464" s="365" t="str">
        <f>CONCATENATE(VOL_VOLUMEN_SUMINISTROS[[#This Row],[Grupo]],VOL_VOLUMEN_SUMINISTROS[[#This Row],[Proyecto]],VOL_VOLUMEN_SUMINISTROS[[#This Row],[FIN DE SEMANA]])</f>
        <v>251052-1NO</v>
      </c>
      <c r="E464" s="30" t="s">
        <v>147</v>
      </c>
      <c r="F464" s="30" t="s">
        <v>148</v>
      </c>
      <c r="G464" s="365">
        <v>25</v>
      </c>
      <c r="H464" s="30">
        <v>18</v>
      </c>
      <c r="I464" s="9" t="s">
        <v>308</v>
      </c>
      <c r="J464" s="9" t="s">
        <v>423</v>
      </c>
      <c r="K464" s="30">
        <v>2</v>
      </c>
      <c r="L464" s="9" t="s">
        <v>425</v>
      </c>
      <c r="M464" s="30" t="s">
        <v>84</v>
      </c>
      <c r="N464" s="30" t="s">
        <v>152</v>
      </c>
      <c r="O464" s="24">
        <v>227</v>
      </c>
      <c r="P464" s="24">
        <v>165</v>
      </c>
      <c r="Q464" s="24">
        <v>33</v>
      </c>
      <c r="R464" s="24">
        <v>0</v>
      </c>
      <c r="S464" s="24">
        <v>0</v>
      </c>
      <c r="T464" s="24">
        <v>425</v>
      </c>
    </row>
    <row r="465" spans="1:20">
      <c r="A465" s="9" t="s">
        <v>395</v>
      </c>
      <c r="B465" s="30" t="s">
        <v>396</v>
      </c>
      <c r="C465" s="30" t="str">
        <f>CONCATENATE(VOL_VOLUMEN_SUMINISTROS[[#This Row],[Proyecto]],VOL_VOLUMEN_SUMINISTROS[[#This Row],[J]],VOL_VOLUMEN_SUMINISTROS[[#This Row],[FIN DE SEMANA]])</f>
        <v>1052-1TNO</v>
      </c>
      <c r="D465" s="365" t="str">
        <f>CONCATENATE(VOL_VOLUMEN_SUMINISTROS[[#This Row],[Grupo]],VOL_VOLUMEN_SUMINISTROS[[#This Row],[Proyecto]],VOL_VOLUMEN_SUMINISTROS[[#This Row],[FIN DE SEMANA]])</f>
        <v>251052-1NO</v>
      </c>
      <c r="E465" s="30" t="s">
        <v>147</v>
      </c>
      <c r="F465" s="30" t="s">
        <v>148</v>
      </c>
      <c r="G465" s="365">
        <v>25</v>
      </c>
      <c r="H465" s="30">
        <v>18</v>
      </c>
      <c r="I465" s="9" t="s">
        <v>308</v>
      </c>
      <c r="J465" s="9" t="s">
        <v>423</v>
      </c>
      <c r="K465" s="30">
        <v>2</v>
      </c>
      <c r="L465" s="9" t="s">
        <v>425</v>
      </c>
      <c r="M465" s="30" t="s">
        <v>84</v>
      </c>
      <c r="N465" s="30" t="s">
        <v>155</v>
      </c>
      <c r="O465" s="24">
        <v>194</v>
      </c>
      <c r="P465" s="24">
        <v>159</v>
      </c>
      <c r="Q465" s="24">
        <v>32</v>
      </c>
      <c r="R465" s="24">
        <v>0</v>
      </c>
      <c r="S465" s="24">
        <v>0</v>
      </c>
      <c r="T465" s="24">
        <v>385</v>
      </c>
    </row>
    <row r="466" spans="1:20">
      <c r="A466" s="9" t="s">
        <v>395</v>
      </c>
      <c r="B466" s="30" t="s">
        <v>396</v>
      </c>
      <c r="C466" s="30" t="str">
        <f>CONCATENATE(VOL_VOLUMEN_SUMINISTROS[[#This Row],[Proyecto]],VOL_VOLUMEN_SUMINISTROS[[#This Row],[J]],VOL_VOLUMEN_SUMINISTROS[[#This Row],[FIN DE SEMANA]])</f>
        <v>1052-1MNO</v>
      </c>
      <c r="D466" s="365" t="str">
        <f>CONCATENATE(VOL_VOLUMEN_SUMINISTROS[[#This Row],[Grupo]],VOL_VOLUMEN_SUMINISTROS[[#This Row],[Proyecto]],VOL_VOLUMEN_SUMINISTROS[[#This Row],[FIN DE SEMANA]])</f>
        <v>251052-1NO</v>
      </c>
      <c r="E466" s="30" t="s">
        <v>147</v>
      </c>
      <c r="F466" s="30" t="s">
        <v>148</v>
      </c>
      <c r="G466" s="365">
        <v>25</v>
      </c>
      <c r="H466" s="30">
        <v>18</v>
      </c>
      <c r="I466" s="9" t="s">
        <v>308</v>
      </c>
      <c r="J466" s="9" t="s">
        <v>426</v>
      </c>
      <c r="K466" s="30">
        <v>1</v>
      </c>
      <c r="L466" s="9" t="s">
        <v>427</v>
      </c>
      <c r="M466" s="30" t="s">
        <v>84</v>
      </c>
      <c r="N466" s="30" t="s">
        <v>152</v>
      </c>
      <c r="O466" s="24">
        <v>110</v>
      </c>
      <c r="P466" s="24">
        <v>334</v>
      </c>
      <c r="Q466" s="24">
        <v>509</v>
      </c>
      <c r="R466" s="24">
        <v>0</v>
      </c>
      <c r="S466" s="24">
        <v>0</v>
      </c>
      <c r="T466" s="24">
        <v>953</v>
      </c>
    </row>
    <row r="467" spans="1:20">
      <c r="A467" s="9" t="s">
        <v>395</v>
      </c>
      <c r="B467" s="30" t="s">
        <v>396</v>
      </c>
      <c r="C467" s="30" t="str">
        <f>CONCATENATE(VOL_VOLUMEN_SUMINISTROS[[#This Row],[Proyecto]],VOL_VOLUMEN_SUMINISTROS[[#This Row],[J]],VOL_VOLUMEN_SUMINISTROS[[#This Row],[FIN DE SEMANA]])</f>
        <v>1052-1TNO</v>
      </c>
      <c r="D467" s="365" t="str">
        <f>CONCATENATE(VOL_VOLUMEN_SUMINISTROS[[#This Row],[Grupo]],VOL_VOLUMEN_SUMINISTROS[[#This Row],[Proyecto]],VOL_VOLUMEN_SUMINISTROS[[#This Row],[FIN DE SEMANA]])</f>
        <v>251052-1NO</v>
      </c>
      <c r="E467" s="30" t="s">
        <v>147</v>
      </c>
      <c r="F467" s="30" t="s">
        <v>148</v>
      </c>
      <c r="G467" s="365">
        <v>25</v>
      </c>
      <c r="H467" s="30">
        <v>18</v>
      </c>
      <c r="I467" s="9" t="s">
        <v>308</v>
      </c>
      <c r="J467" s="9" t="s">
        <v>426</v>
      </c>
      <c r="K467" s="30">
        <v>1</v>
      </c>
      <c r="L467" s="9" t="s">
        <v>427</v>
      </c>
      <c r="M467" s="30" t="s">
        <v>84</v>
      </c>
      <c r="N467" s="30" t="s">
        <v>155</v>
      </c>
      <c r="O467" s="24">
        <v>112</v>
      </c>
      <c r="P467" s="24">
        <v>359</v>
      </c>
      <c r="Q467" s="24">
        <v>365</v>
      </c>
      <c r="R467" s="24">
        <v>0</v>
      </c>
      <c r="S467" s="24">
        <v>0</v>
      </c>
      <c r="T467" s="24">
        <v>836</v>
      </c>
    </row>
    <row r="468" spans="1:20">
      <c r="A468" s="9" t="s">
        <v>395</v>
      </c>
      <c r="B468" s="30" t="s">
        <v>396</v>
      </c>
      <c r="C468" s="30" t="str">
        <f>CONCATENATE(VOL_VOLUMEN_SUMINISTROS[[#This Row],[Proyecto]],VOL_VOLUMEN_SUMINISTROS[[#This Row],[J]],VOL_VOLUMEN_SUMINISTROS[[#This Row],[FIN DE SEMANA]])</f>
        <v>1052-1MNO</v>
      </c>
      <c r="D468" s="365" t="str">
        <f>CONCATENATE(VOL_VOLUMEN_SUMINISTROS[[#This Row],[Grupo]],VOL_VOLUMEN_SUMINISTROS[[#This Row],[Proyecto]],VOL_VOLUMEN_SUMINISTROS[[#This Row],[FIN DE SEMANA]])</f>
        <v>251052-1NO</v>
      </c>
      <c r="E468" s="30" t="s">
        <v>147</v>
      </c>
      <c r="F468" s="30" t="s">
        <v>148</v>
      </c>
      <c r="G468" s="365">
        <v>25</v>
      </c>
      <c r="H468" s="30">
        <v>18</v>
      </c>
      <c r="I468" s="9" t="s">
        <v>308</v>
      </c>
      <c r="J468" s="9" t="s">
        <v>426</v>
      </c>
      <c r="K468" s="30">
        <v>2</v>
      </c>
      <c r="L468" s="9" t="s">
        <v>428</v>
      </c>
      <c r="M468" s="30" t="s">
        <v>84</v>
      </c>
      <c r="N468" s="30" t="s">
        <v>152</v>
      </c>
      <c r="O468" s="24">
        <v>152</v>
      </c>
      <c r="P468" s="24">
        <v>61</v>
      </c>
      <c r="Q468" s="24">
        <v>7</v>
      </c>
      <c r="R468" s="24">
        <v>0</v>
      </c>
      <c r="S468" s="24">
        <v>0</v>
      </c>
      <c r="T468" s="24">
        <v>220</v>
      </c>
    </row>
    <row r="469" spans="1:20">
      <c r="A469" s="9" t="s">
        <v>395</v>
      </c>
      <c r="B469" s="30" t="s">
        <v>396</v>
      </c>
      <c r="C469" s="30" t="str">
        <f>CONCATENATE(VOL_VOLUMEN_SUMINISTROS[[#This Row],[Proyecto]],VOL_VOLUMEN_SUMINISTROS[[#This Row],[J]],VOL_VOLUMEN_SUMINISTROS[[#This Row],[FIN DE SEMANA]])</f>
        <v>1052-1TNO</v>
      </c>
      <c r="D469" s="365" t="str">
        <f>CONCATENATE(VOL_VOLUMEN_SUMINISTROS[[#This Row],[Grupo]],VOL_VOLUMEN_SUMINISTROS[[#This Row],[Proyecto]],VOL_VOLUMEN_SUMINISTROS[[#This Row],[FIN DE SEMANA]])</f>
        <v>251052-1NO</v>
      </c>
      <c r="E469" s="30" t="s">
        <v>147</v>
      </c>
      <c r="F469" s="30" t="s">
        <v>148</v>
      </c>
      <c r="G469" s="365">
        <v>25</v>
      </c>
      <c r="H469" s="30">
        <v>18</v>
      </c>
      <c r="I469" s="9" t="s">
        <v>308</v>
      </c>
      <c r="J469" s="9" t="s">
        <v>426</v>
      </c>
      <c r="K469" s="30">
        <v>2</v>
      </c>
      <c r="L469" s="9" t="s">
        <v>428</v>
      </c>
      <c r="M469" s="30" t="s">
        <v>84</v>
      </c>
      <c r="N469" s="30" t="s">
        <v>155</v>
      </c>
      <c r="O469" s="24">
        <v>97</v>
      </c>
      <c r="P469" s="24">
        <v>68</v>
      </c>
      <c r="Q469" s="24">
        <v>14</v>
      </c>
      <c r="R469" s="24">
        <v>0</v>
      </c>
      <c r="S469" s="24">
        <v>0</v>
      </c>
      <c r="T469" s="24">
        <v>179</v>
      </c>
    </row>
    <row r="470" spans="1:20">
      <c r="A470" s="9" t="s">
        <v>395</v>
      </c>
      <c r="B470" s="30" t="s">
        <v>396</v>
      </c>
      <c r="C470" s="30" t="str">
        <f>CONCATENATE(VOL_VOLUMEN_SUMINISTROS[[#This Row],[Proyecto]],VOL_VOLUMEN_SUMINISTROS[[#This Row],[J]],VOL_VOLUMEN_SUMINISTROS[[#This Row],[FIN DE SEMANA]])</f>
        <v>1052-1MNO</v>
      </c>
      <c r="D470" s="365" t="str">
        <f>CONCATENATE(VOL_VOLUMEN_SUMINISTROS[[#This Row],[Grupo]],VOL_VOLUMEN_SUMINISTROS[[#This Row],[Proyecto]],VOL_VOLUMEN_SUMINISTROS[[#This Row],[FIN DE SEMANA]])</f>
        <v>251052-1NO</v>
      </c>
      <c r="E470" s="30" t="s">
        <v>147</v>
      </c>
      <c r="F470" s="30" t="s">
        <v>148</v>
      </c>
      <c r="G470" s="365">
        <v>25</v>
      </c>
      <c r="H470" s="30">
        <v>18</v>
      </c>
      <c r="I470" s="9" t="s">
        <v>308</v>
      </c>
      <c r="J470" s="9" t="s">
        <v>426</v>
      </c>
      <c r="K470" s="30">
        <v>3</v>
      </c>
      <c r="L470" s="9" t="s">
        <v>429</v>
      </c>
      <c r="M470" s="30" t="s">
        <v>84</v>
      </c>
      <c r="N470" s="30" t="s">
        <v>152</v>
      </c>
      <c r="O470" s="24">
        <v>146</v>
      </c>
      <c r="P470" s="24">
        <v>99</v>
      </c>
      <c r="Q470" s="24">
        <v>17</v>
      </c>
      <c r="R470" s="24">
        <v>0</v>
      </c>
      <c r="S470" s="24">
        <v>0</v>
      </c>
      <c r="T470" s="24">
        <v>262</v>
      </c>
    </row>
    <row r="471" spans="1:20">
      <c r="A471" s="9" t="s">
        <v>395</v>
      </c>
      <c r="B471" s="30" t="s">
        <v>396</v>
      </c>
      <c r="C471" s="30" t="str">
        <f>CONCATENATE(VOL_VOLUMEN_SUMINISTROS[[#This Row],[Proyecto]],VOL_VOLUMEN_SUMINISTROS[[#This Row],[J]],VOL_VOLUMEN_SUMINISTROS[[#This Row],[FIN DE SEMANA]])</f>
        <v>1052-1MNO</v>
      </c>
      <c r="D471" s="365" t="str">
        <f>CONCATENATE(VOL_VOLUMEN_SUMINISTROS[[#This Row],[Grupo]],VOL_VOLUMEN_SUMINISTROS[[#This Row],[Proyecto]],VOL_VOLUMEN_SUMINISTROS[[#This Row],[FIN DE SEMANA]])</f>
        <v>251052-1NO</v>
      </c>
      <c r="E471" s="30" t="s">
        <v>147</v>
      </c>
      <c r="F471" s="30" t="s">
        <v>148</v>
      </c>
      <c r="G471" s="365">
        <v>25</v>
      </c>
      <c r="H471" s="30">
        <v>18</v>
      </c>
      <c r="I471" s="9" t="s">
        <v>308</v>
      </c>
      <c r="J471" s="9" t="s">
        <v>430</v>
      </c>
      <c r="K471" s="30">
        <v>1</v>
      </c>
      <c r="L471" s="9" t="s">
        <v>153</v>
      </c>
      <c r="M471" s="30" t="s">
        <v>84</v>
      </c>
      <c r="N471" s="30" t="s">
        <v>152</v>
      </c>
      <c r="O471" s="24">
        <v>494</v>
      </c>
      <c r="P471" s="24">
        <v>740</v>
      </c>
      <c r="Q471" s="24">
        <v>958</v>
      </c>
      <c r="R471" s="24">
        <v>0</v>
      </c>
      <c r="S471" s="24">
        <v>0</v>
      </c>
      <c r="T471" s="24">
        <v>2192</v>
      </c>
    </row>
    <row r="472" spans="1:20">
      <c r="A472" s="9" t="s">
        <v>395</v>
      </c>
      <c r="B472" s="30" t="s">
        <v>396</v>
      </c>
      <c r="C472" s="30" t="str">
        <f>CONCATENATE(VOL_VOLUMEN_SUMINISTROS[[#This Row],[Proyecto]],VOL_VOLUMEN_SUMINISTROS[[#This Row],[J]],VOL_VOLUMEN_SUMINISTROS[[#This Row],[FIN DE SEMANA]])</f>
        <v>1052-1TNO</v>
      </c>
      <c r="D472" s="365" t="str">
        <f>CONCATENATE(VOL_VOLUMEN_SUMINISTROS[[#This Row],[Grupo]],VOL_VOLUMEN_SUMINISTROS[[#This Row],[Proyecto]],VOL_VOLUMEN_SUMINISTROS[[#This Row],[FIN DE SEMANA]])</f>
        <v>251052-1NO</v>
      </c>
      <c r="E472" s="30" t="s">
        <v>147</v>
      </c>
      <c r="F472" s="30" t="s">
        <v>148</v>
      </c>
      <c r="G472" s="365">
        <v>25</v>
      </c>
      <c r="H472" s="30">
        <v>18</v>
      </c>
      <c r="I472" s="9" t="s">
        <v>308</v>
      </c>
      <c r="J472" s="9" t="s">
        <v>430</v>
      </c>
      <c r="K472" s="30">
        <v>1</v>
      </c>
      <c r="L472" s="9" t="s">
        <v>431</v>
      </c>
      <c r="M472" s="30" t="s">
        <v>84</v>
      </c>
      <c r="N472" s="30" t="s">
        <v>155</v>
      </c>
      <c r="O472" s="24">
        <v>443</v>
      </c>
      <c r="P472" s="24">
        <v>674</v>
      </c>
      <c r="Q472" s="24">
        <v>859</v>
      </c>
      <c r="R472" s="24">
        <v>0</v>
      </c>
      <c r="S472" s="24">
        <v>0</v>
      </c>
      <c r="T472" s="24">
        <v>1976</v>
      </c>
    </row>
    <row r="473" spans="1:20">
      <c r="A473" s="9" t="s">
        <v>395</v>
      </c>
      <c r="B473" s="30" t="s">
        <v>432</v>
      </c>
      <c r="C473" s="30" t="str">
        <f>CONCATENATE(VOL_VOLUMEN_SUMINISTROS[[#This Row],[Proyecto]],VOL_VOLUMEN_SUMINISTROS[[#This Row],[J]],VOL_VOLUMEN_SUMINISTROS[[#This Row],[FIN DE SEMANA]])</f>
        <v>1052-2MNO</v>
      </c>
      <c r="D473" s="365" t="str">
        <f>CONCATENATE(VOL_VOLUMEN_SUMINISTROS[[#This Row],[Grupo]],VOL_VOLUMEN_SUMINISTROS[[#This Row],[Proyecto]],VOL_VOLUMEN_SUMINISTROS[[#This Row],[FIN DE SEMANA]])</f>
        <v>251052-2NO</v>
      </c>
      <c r="E473" s="30" t="s">
        <v>183</v>
      </c>
      <c r="F473" s="30" t="s">
        <v>148</v>
      </c>
      <c r="G473" s="365">
        <v>25</v>
      </c>
      <c r="H473" s="30">
        <v>18</v>
      </c>
      <c r="I473" s="9" t="s">
        <v>308</v>
      </c>
      <c r="J473" s="9" t="s">
        <v>421</v>
      </c>
      <c r="K473" s="30">
        <v>1</v>
      </c>
      <c r="L473" s="9" t="s">
        <v>422</v>
      </c>
      <c r="M473" s="30" t="s">
        <v>84</v>
      </c>
      <c r="N473" s="30" t="s">
        <v>152</v>
      </c>
      <c r="O473" s="24">
        <v>0</v>
      </c>
      <c r="P473" s="24">
        <v>0</v>
      </c>
      <c r="Q473" s="24">
        <v>91</v>
      </c>
      <c r="R473" s="24">
        <v>0</v>
      </c>
      <c r="S473" s="24">
        <v>0</v>
      </c>
      <c r="T473" s="24">
        <v>91</v>
      </c>
    </row>
    <row r="474" spans="1:20">
      <c r="A474" s="9" t="s">
        <v>395</v>
      </c>
      <c r="B474" s="30" t="s">
        <v>432</v>
      </c>
      <c r="C474" s="30" t="str">
        <f>CONCATENATE(VOL_VOLUMEN_SUMINISTROS[[#This Row],[Proyecto]],VOL_VOLUMEN_SUMINISTROS[[#This Row],[J]],VOL_VOLUMEN_SUMINISTROS[[#This Row],[FIN DE SEMANA]])</f>
        <v>1052-2TNO</v>
      </c>
      <c r="D474" s="365" t="str">
        <f>CONCATENATE(VOL_VOLUMEN_SUMINISTROS[[#This Row],[Grupo]],VOL_VOLUMEN_SUMINISTROS[[#This Row],[Proyecto]],VOL_VOLUMEN_SUMINISTROS[[#This Row],[FIN DE SEMANA]])</f>
        <v>251052-2NO</v>
      </c>
      <c r="E474" s="30" t="s">
        <v>183</v>
      </c>
      <c r="F474" s="30" t="s">
        <v>148</v>
      </c>
      <c r="G474" s="365">
        <v>25</v>
      </c>
      <c r="H474" s="30">
        <v>18</v>
      </c>
      <c r="I474" s="9" t="s">
        <v>308</v>
      </c>
      <c r="J474" s="9" t="s">
        <v>421</v>
      </c>
      <c r="K474" s="30">
        <v>1</v>
      </c>
      <c r="L474" s="9" t="s">
        <v>422</v>
      </c>
      <c r="M474" s="30" t="s">
        <v>84</v>
      </c>
      <c r="N474" s="30" t="s">
        <v>155</v>
      </c>
      <c r="O474" s="24">
        <v>0</v>
      </c>
      <c r="P474" s="24">
        <v>0</v>
      </c>
      <c r="Q474" s="24">
        <v>188</v>
      </c>
      <c r="R474" s="24">
        <v>0</v>
      </c>
      <c r="S474" s="24">
        <v>0</v>
      </c>
      <c r="T474" s="24">
        <v>188</v>
      </c>
    </row>
    <row r="475" spans="1:20">
      <c r="A475" s="9" t="s">
        <v>395</v>
      </c>
      <c r="B475" s="30" t="s">
        <v>432</v>
      </c>
      <c r="C475" s="30" t="str">
        <f>CONCATENATE(VOL_VOLUMEN_SUMINISTROS[[#This Row],[Proyecto]],VOL_VOLUMEN_SUMINISTROS[[#This Row],[J]],VOL_VOLUMEN_SUMINISTROS[[#This Row],[FIN DE SEMANA]])</f>
        <v>1052-2MNO</v>
      </c>
      <c r="D475" s="365" t="str">
        <f>CONCATENATE(VOL_VOLUMEN_SUMINISTROS[[#This Row],[Grupo]],VOL_VOLUMEN_SUMINISTROS[[#This Row],[Proyecto]],VOL_VOLUMEN_SUMINISTROS[[#This Row],[FIN DE SEMANA]])</f>
        <v>251052-2NO</v>
      </c>
      <c r="E475" s="30" t="s">
        <v>183</v>
      </c>
      <c r="F475" s="30" t="s">
        <v>148</v>
      </c>
      <c r="G475" s="365">
        <v>25</v>
      </c>
      <c r="H475" s="30">
        <v>18</v>
      </c>
      <c r="I475" s="9" t="s">
        <v>308</v>
      </c>
      <c r="J475" s="9" t="s">
        <v>423</v>
      </c>
      <c r="K475" s="30">
        <v>1</v>
      </c>
      <c r="L475" s="9" t="s">
        <v>424</v>
      </c>
      <c r="M475" s="30" t="s">
        <v>84</v>
      </c>
      <c r="N475" s="30" t="s">
        <v>152</v>
      </c>
      <c r="O475" s="24">
        <v>56</v>
      </c>
      <c r="P475" s="24">
        <v>175</v>
      </c>
      <c r="Q475" s="24">
        <v>169</v>
      </c>
      <c r="R475" s="24">
        <v>0</v>
      </c>
      <c r="S475" s="24">
        <v>0</v>
      </c>
      <c r="T475" s="24">
        <v>400</v>
      </c>
    </row>
    <row r="476" spans="1:20">
      <c r="A476" s="9" t="s">
        <v>395</v>
      </c>
      <c r="B476" s="30" t="s">
        <v>432</v>
      </c>
      <c r="C476" s="30" t="str">
        <f>CONCATENATE(VOL_VOLUMEN_SUMINISTROS[[#This Row],[Proyecto]],VOL_VOLUMEN_SUMINISTROS[[#This Row],[J]],VOL_VOLUMEN_SUMINISTROS[[#This Row],[FIN DE SEMANA]])</f>
        <v>1052-2M1NO</v>
      </c>
      <c r="D476" s="365" t="str">
        <f>CONCATENATE(VOL_VOLUMEN_SUMINISTROS[[#This Row],[Grupo]],VOL_VOLUMEN_SUMINISTROS[[#This Row],[Proyecto]],VOL_VOLUMEN_SUMINISTROS[[#This Row],[FIN DE SEMANA]])</f>
        <v>261052-2NO</v>
      </c>
      <c r="E476" s="30" t="s">
        <v>183</v>
      </c>
      <c r="F476" s="30" t="s">
        <v>148</v>
      </c>
      <c r="G476" s="365">
        <v>26</v>
      </c>
      <c r="H476" s="30">
        <v>18</v>
      </c>
      <c r="I476" s="9" t="s">
        <v>308</v>
      </c>
      <c r="J476" s="9" t="s">
        <v>423</v>
      </c>
      <c r="K476" s="30">
        <v>1</v>
      </c>
      <c r="L476" s="9" t="s">
        <v>424</v>
      </c>
      <c r="M476" s="30" t="s">
        <v>84</v>
      </c>
      <c r="N476" s="30" t="s">
        <v>216</v>
      </c>
      <c r="O476" s="24">
        <v>56</v>
      </c>
      <c r="P476" s="24">
        <v>193</v>
      </c>
      <c r="Q476" s="24">
        <v>145</v>
      </c>
      <c r="R476" s="24">
        <v>0</v>
      </c>
      <c r="S476" s="24">
        <v>0</v>
      </c>
      <c r="T476" s="24">
        <v>394</v>
      </c>
    </row>
    <row r="477" spans="1:20">
      <c r="A477" s="9" t="s">
        <v>395</v>
      </c>
      <c r="B477" s="30" t="s">
        <v>432</v>
      </c>
      <c r="C477" s="30" t="str">
        <f>CONCATENATE(VOL_VOLUMEN_SUMINISTROS[[#This Row],[Proyecto]],VOL_VOLUMEN_SUMINISTROS[[#This Row],[J]],VOL_VOLUMEN_SUMINISTROS[[#This Row],[FIN DE SEMANA]])</f>
        <v>1052-2TNO</v>
      </c>
      <c r="D477" s="365" t="str">
        <f>CONCATENATE(VOL_VOLUMEN_SUMINISTROS[[#This Row],[Grupo]],VOL_VOLUMEN_SUMINISTROS[[#This Row],[Proyecto]],VOL_VOLUMEN_SUMINISTROS[[#This Row],[FIN DE SEMANA]])</f>
        <v>251052-2NO</v>
      </c>
      <c r="E477" s="30" t="s">
        <v>183</v>
      </c>
      <c r="F477" s="30" t="s">
        <v>148</v>
      </c>
      <c r="G477" s="365">
        <v>25</v>
      </c>
      <c r="H477" s="30">
        <v>18</v>
      </c>
      <c r="I477" s="9" t="s">
        <v>308</v>
      </c>
      <c r="J477" s="9" t="s">
        <v>423</v>
      </c>
      <c r="K477" s="30">
        <v>1</v>
      </c>
      <c r="L477" s="9" t="s">
        <v>424</v>
      </c>
      <c r="M477" s="30" t="s">
        <v>84</v>
      </c>
      <c r="N477" s="30" t="s">
        <v>155</v>
      </c>
      <c r="O477" s="24">
        <v>0</v>
      </c>
      <c r="P477" s="24">
        <v>0</v>
      </c>
      <c r="Q477" s="24">
        <v>80</v>
      </c>
      <c r="R477" s="24">
        <v>0</v>
      </c>
      <c r="S477" s="24">
        <v>0</v>
      </c>
      <c r="T477" s="24">
        <v>80</v>
      </c>
    </row>
    <row r="478" spans="1:20">
      <c r="A478" s="9" t="s">
        <v>395</v>
      </c>
      <c r="B478" s="30" t="s">
        <v>432</v>
      </c>
      <c r="C478" s="30" t="str">
        <f>CONCATENATE(VOL_VOLUMEN_SUMINISTROS[[#This Row],[Proyecto]],VOL_VOLUMEN_SUMINISTROS[[#This Row],[J]],VOL_VOLUMEN_SUMINISTROS[[#This Row],[FIN DE SEMANA]])</f>
        <v>1052-2MNO</v>
      </c>
      <c r="D478" s="365" t="str">
        <f>CONCATENATE(VOL_VOLUMEN_SUMINISTROS[[#This Row],[Grupo]],VOL_VOLUMEN_SUMINISTROS[[#This Row],[Proyecto]],VOL_VOLUMEN_SUMINISTROS[[#This Row],[FIN DE SEMANA]])</f>
        <v>251052-2NO</v>
      </c>
      <c r="E478" s="30" t="s">
        <v>183</v>
      </c>
      <c r="F478" s="30" t="s">
        <v>148</v>
      </c>
      <c r="G478" s="365">
        <v>25</v>
      </c>
      <c r="H478" s="30">
        <v>18</v>
      </c>
      <c r="I478" s="9" t="s">
        <v>308</v>
      </c>
      <c r="J478" s="9" t="s">
        <v>423</v>
      </c>
      <c r="K478" s="30">
        <v>2</v>
      </c>
      <c r="L478" s="9" t="s">
        <v>425</v>
      </c>
      <c r="M478" s="30" t="s">
        <v>84</v>
      </c>
      <c r="N478" s="30" t="s">
        <v>152</v>
      </c>
      <c r="O478" s="24">
        <v>50</v>
      </c>
      <c r="P478" s="24">
        <v>49</v>
      </c>
      <c r="Q478" s="24">
        <v>8</v>
      </c>
      <c r="R478" s="24">
        <v>0</v>
      </c>
      <c r="S478" s="24">
        <v>0</v>
      </c>
      <c r="T478" s="24">
        <v>107</v>
      </c>
    </row>
    <row r="479" spans="1:20">
      <c r="A479" s="9" t="s">
        <v>395</v>
      </c>
      <c r="B479" s="30" t="s">
        <v>432</v>
      </c>
      <c r="C479" s="30" t="str">
        <f>CONCATENATE(VOL_VOLUMEN_SUMINISTROS[[#This Row],[Proyecto]],VOL_VOLUMEN_SUMINISTROS[[#This Row],[J]],VOL_VOLUMEN_SUMINISTROS[[#This Row],[FIN DE SEMANA]])</f>
        <v>1052-2M1NO</v>
      </c>
      <c r="D479" s="365" t="str">
        <f>CONCATENATE(VOL_VOLUMEN_SUMINISTROS[[#This Row],[Grupo]],VOL_VOLUMEN_SUMINISTROS[[#This Row],[Proyecto]],VOL_VOLUMEN_SUMINISTROS[[#This Row],[FIN DE SEMANA]])</f>
        <v>261052-2NO</v>
      </c>
      <c r="E479" s="30" t="s">
        <v>183</v>
      </c>
      <c r="F479" s="30" t="s">
        <v>148</v>
      </c>
      <c r="G479" s="365">
        <v>26</v>
      </c>
      <c r="H479" s="30">
        <v>18</v>
      </c>
      <c r="I479" s="9" t="s">
        <v>308</v>
      </c>
      <c r="J479" s="9" t="s">
        <v>423</v>
      </c>
      <c r="K479" s="30">
        <v>2</v>
      </c>
      <c r="L479" s="9" t="s">
        <v>425</v>
      </c>
      <c r="M479" s="30" t="s">
        <v>84</v>
      </c>
      <c r="N479" s="30" t="s">
        <v>216</v>
      </c>
      <c r="O479" s="24">
        <v>50</v>
      </c>
      <c r="P479" s="24">
        <v>70</v>
      </c>
      <c r="Q479" s="24">
        <v>15</v>
      </c>
      <c r="R479" s="24">
        <v>0</v>
      </c>
      <c r="S479" s="24">
        <v>0</v>
      </c>
      <c r="T479" s="24">
        <v>135</v>
      </c>
    </row>
    <row r="480" spans="1:20">
      <c r="A480" s="9" t="s">
        <v>395</v>
      </c>
      <c r="B480" s="30" t="s">
        <v>432</v>
      </c>
      <c r="C480" s="30" t="str">
        <f>CONCATENATE(VOL_VOLUMEN_SUMINISTROS[[#This Row],[Proyecto]],VOL_VOLUMEN_SUMINISTROS[[#This Row],[J]],VOL_VOLUMEN_SUMINISTROS[[#This Row],[FIN DE SEMANA]])</f>
        <v>1052-2MNO</v>
      </c>
      <c r="D480" s="365" t="str">
        <f>CONCATENATE(VOL_VOLUMEN_SUMINISTROS[[#This Row],[Grupo]],VOL_VOLUMEN_SUMINISTROS[[#This Row],[Proyecto]],VOL_VOLUMEN_SUMINISTROS[[#This Row],[FIN DE SEMANA]])</f>
        <v>251052-2NO</v>
      </c>
      <c r="E480" s="30" t="s">
        <v>183</v>
      </c>
      <c r="F480" s="30" t="s">
        <v>148</v>
      </c>
      <c r="G480" s="365">
        <v>25</v>
      </c>
      <c r="H480" s="30">
        <v>18</v>
      </c>
      <c r="I480" s="9" t="s">
        <v>308</v>
      </c>
      <c r="J480" s="9" t="s">
        <v>426</v>
      </c>
      <c r="K480" s="30">
        <v>1</v>
      </c>
      <c r="L480" s="9" t="s">
        <v>427</v>
      </c>
      <c r="M480" s="30" t="s">
        <v>84</v>
      </c>
      <c r="N480" s="30" t="s">
        <v>152</v>
      </c>
      <c r="O480" s="24">
        <v>0</v>
      </c>
      <c r="P480" s="24">
        <v>0</v>
      </c>
      <c r="Q480" s="24">
        <v>75</v>
      </c>
      <c r="R480" s="24">
        <v>0</v>
      </c>
      <c r="S480" s="24">
        <v>0</v>
      </c>
      <c r="T480" s="24">
        <v>75</v>
      </c>
    </row>
    <row r="481" spans="1:20">
      <c r="A481" s="9" t="s">
        <v>395</v>
      </c>
      <c r="B481" s="30" t="s">
        <v>432</v>
      </c>
      <c r="C481" s="30" t="str">
        <f>CONCATENATE(VOL_VOLUMEN_SUMINISTROS[[#This Row],[Proyecto]],VOL_VOLUMEN_SUMINISTROS[[#This Row],[J]],VOL_VOLUMEN_SUMINISTROS[[#This Row],[FIN DE SEMANA]])</f>
        <v>1052-2M1NO</v>
      </c>
      <c r="D481" s="365" t="str">
        <f>CONCATENATE(VOL_VOLUMEN_SUMINISTROS[[#This Row],[Grupo]],VOL_VOLUMEN_SUMINISTROS[[#This Row],[Proyecto]],VOL_VOLUMEN_SUMINISTROS[[#This Row],[FIN DE SEMANA]])</f>
        <v>261052-2NO</v>
      </c>
      <c r="E481" s="30" t="s">
        <v>183</v>
      </c>
      <c r="F481" s="30" t="s">
        <v>148</v>
      </c>
      <c r="G481" s="365">
        <v>26</v>
      </c>
      <c r="H481" s="30">
        <v>18</v>
      </c>
      <c r="I481" s="9" t="s">
        <v>308</v>
      </c>
      <c r="J481" s="9" t="s">
        <v>426</v>
      </c>
      <c r="K481" s="30">
        <v>1</v>
      </c>
      <c r="L481" s="9" t="s">
        <v>427</v>
      </c>
      <c r="M481" s="30" t="s">
        <v>84</v>
      </c>
      <c r="N481" s="30" t="s">
        <v>216</v>
      </c>
      <c r="O481" s="24">
        <v>0</v>
      </c>
      <c r="P481" s="24">
        <v>138</v>
      </c>
      <c r="Q481" s="24">
        <v>46</v>
      </c>
      <c r="R481" s="24">
        <v>0</v>
      </c>
      <c r="S481" s="24">
        <v>0</v>
      </c>
      <c r="T481" s="24">
        <v>184</v>
      </c>
    </row>
    <row r="482" spans="1:20">
      <c r="A482" s="9" t="s">
        <v>395</v>
      </c>
      <c r="B482" s="30" t="s">
        <v>432</v>
      </c>
      <c r="C482" s="30" t="str">
        <f>CONCATENATE(VOL_VOLUMEN_SUMINISTROS[[#This Row],[Proyecto]],VOL_VOLUMEN_SUMINISTROS[[#This Row],[J]],VOL_VOLUMEN_SUMINISTROS[[#This Row],[FIN DE SEMANA]])</f>
        <v>1052-2TNO</v>
      </c>
      <c r="D482" s="365" t="str">
        <f>CONCATENATE(VOL_VOLUMEN_SUMINISTROS[[#This Row],[Grupo]],VOL_VOLUMEN_SUMINISTROS[[#This Row],[Proyecto]],VOL_VOLUMEN_SUMINISTROS[[#This Row],[FIN DE SEMANA]])</f>
        <v>251052-2NO</v>
      </c>
      <c r="E482" s="30" t="s">
        <v>183</v>
      </c>
      <c r="F482" s="30" t="s">
        <v>148</v>
      </c>
      <c r="G482" s="365">
        <v>25</v>
      </c>
      <c r="H482" s="30">
        <v>18</v>
      </c>
      <c r="I482" s="9" t="s">
        <v>308</v>
      </c>
      <c r="J482" s="9" t="s">
        <v>426</v>
      </c>
      <c r="K482" s="30">
        <v>1</v>
      </c>
      <c r="L482" s="9" t="s">
        <v>427</v>
      </c>
      <c r="M482" s="30" t="s">
        <v>84</v>
      </c>
      <c r="N482" s="30" t="s">
        <v>155</v>
      </c>
      <c r="O482" s="24">
        <v>0</v>
      </c>
      <c r="P482" s="24">
        <v>123</v>
      </c>
      <c r="Q482" s="24">
        <v>161</v>
      </c>
      <c r="R482" s="24">
        <v>0</v>
      </c>
      <c r="S482" s="24">
        <v>0</v>
      </c>
      <c r="T482" s="24">
        <v>284</v>
      </c>
    </row>
    <row r="483" spans="1:20">
      <c r="A483" s="9" t="s">
        <v>395</v>
      </c>
      <c r="B483" s="30" t="s">
        <v>432</v>
      </c>
      <c r="C483" s="30" t="str">
        <f>CONCATENATE(VOL_VOLUMEN_SUMINISTROS[[#This Row],[Proyecto]],VOL_VOLUMEN_SUMINISTROS[[#This Row],[J]],VOL_VOLUMEN_SUMINISTROS[[#This Row],[FIN DE SEMANA]])</f>
        <v>1052-2MNO</v>
      </c>
      <c r="D483" s="365" t="str">
        <f>CONCATENATE(VOL_VOLUMEN_SUMINISTROS[[#This Row],[Grupo]],VOL_VOLUMEN_SUMINISTROS[[#This Row],[Proyecto]],VOL_VOLUMEN_SUMINISTROS[[#This Row],[FIN DE SEMANA]])</f>
        <v>251052-2NO</v>
      </c>
      <c r="E483" s="30" t="s">
        <v>183</v>
      </c>
      <c r="F483" s="30" t="s">
        <v>148</v>
      </c>
      <c r="G483" s="365">
        <v>25</v>
      </c>
      <c r="H483" s="30">
        <v>18</v>
      </c>
      <c r="I483" s="9" t="s">
        <v>308</v>
      </c>
      <c r="J483" s="9" t="s">
        <v>426</v>
      </c>
      <c r="K483" s="30">
        <v>2</v>
      </c>
      <c r="L483" s="9" t="s">
        <v>428</v>
      </c>
      <c r="M483" s="30" t="s">
        <v>84</v>
      </c>
      <c r="N483" s="30" t="s">
        <v>152</v>
      </c>
      <c r="O483" s="24">
        <v>90</v>
      </c>
      <c r="P483" s="24">
        <v>0</v>
      </c>
      <c r="Q483" s="24">
        <v>0</v>
      </c>
      <c r="R483" s="24">
        <v>0</v>
      </c>
      <c r="S483" s="24">
        <v>0</v>
      </c>
      <c r="T483" s="24">
        <v>90</v>
      </c>
    </row>
    <row r="484" spans="1:20">
      <c r="A484" s="9" t="s">
        <v>395</v>
      </c>
      <c r="B484" s="30" t="s">
        <v>432</v>
      </c>
      <c r="C484" s="30" t="str">
        <f>CONCATENATE(VOL_VOLUMEN_SUMINISTROS[[#This Row],[Proyecto]],VOL_VOLUMEN_SUMINISTROS[[#This Row],[J]],VOL_VOLUMEN_SUMINISTROS[[#This Row],[FIN DE SEMANA]])</f>
        <v>1052-2TNO</v>
      </c>
      <c r="D484" s="365" t="str">
        <f>CONCATENATE(VOL_VOLUMEN_SUMINISTROS[[#This Row],[Grupo]],VOL_VOLUMEN_SUMINISTROS[[#This Row],[Proyecto]],VOL_VOLUMEN_SUMINISTROS[[#This Row],[FIN DE SEMANA]])</f>
        <v>251052-2NO</v>
      </c>
      <c r="E484" s="30" t="s">
        <v>183</v>
      </c>
      <c r="F484" s="30" t="s">
        <v>148</v>
      </c>
      <c r="G484" s="365">
        <v>25</v>
      </c>
      <c r="H484" s="30">
        <v>18</v>
      </c>
      <c r="I484" s="9" t="s">
        <v>308</v>
      </c>
      <c r="J484" s="9" t="s">
        <v>426</v>
      </c>
      <c r="K484" s="30">
        <v>2</v>
      </c>
      <c r="L484" s="9" t="s">
        <v>428</v>
      </c>
      <c r="M484" s="30" t="s">
        <v>84</v>
      </c>
      <c r="N484" s="30" t="s">
        <v>155</v>
      </c>
      <c r="O484" s="24">
        <v>50</v>
      </c>
      <c r="P484" s="24">
        <v>0</v>
      </c>
      <c r="Q484" s="24">
        <v>0</v>
      </c>
      <c r="R484" s="24">
        <v>0</v>
      </c>
      <c r="S484" s="24">
        <v>0</v>
      </c>
      <c r="T484" s="24">
        <v>50</v>
      </c>
    </row>
    <row r="485" spans="1:20">
      <c r="A485" s="9" t="s">
        <v>395</v>
      </c>
      <c r="B485" s="30" t="s">
        <v>432</v>
      </c>
      <c r="C485" s="30" t="str">
        <f>CONCATENATE(VOL_VOLUMEN_SUMINISTROS[[#This Row],[Proyecto]],VOL_VOLUMEN_SUMINISTROS[[#This Row],[J]],VOL_VOLUMEN_SUMINISTROS[[#This Row],[FIN DE SEMANA]])</f>
        <v>1052-2MNO</v>
      </c>
      <c r="D485" s="365" t="str">
        <f>CONCATENATE(VOL_VOLUMEN_SUMINISTROS[[#This Row],[Grupo]],VOL_VOLUMEN_SUMINISTROS[[#This Row],[Proyecto]],VOL_VOLUMEN_SUMINISTROS[[#This Row],[FIN DE SEMANA]])</f>
        <v>251052-2NO</v>
      </c>
      <c r="E485" s="30" t="s">
        <v>183</v>
      </c>
      <c r="F485" s="30" t="s">
        <v>148</v>
      </c>
      <c r="G485" s="365">
        <v>25</v>
      </c>
      <c r="H485" s="30">
        <v>18</v>
      </c>
      <c r="I485" s="9" t="s">
        <v>308</v>
      </c>
      <c r="J485" s="9" t="s">
        <v>426</v>
      </c>
      <c r="K485" s="30">
        <v>3</v>
      </c>
      <c r="L485" s="9" t="s">
        <v>429</v>
      </c>
      <c r="M485" s="30" t="s">
        <v>84</v>
      </c>
      <c r="N485" s="30" t="s">
        <v>152</v>
      </c>
      <c r="O485" s="24">
        <v>146</v>
      </c>
      <c r="P485" s="24">
        <v>99</v>
      </c>
      <c r="Q485" s="24">
        <v>17</v>
      </c>
      <c r="R485" s="24">
        <v>0</v>
      </c>
      <c r="S485" s="24">
        <v>0</v>
      </c>
      <c r="T485" s="24">
        <v>262</v>
      </c>
    </row>
    <row r="486" spans="1:20">
      <c r="A486" s="9" t="s">
        <v>395</v>
      </c>
      <c r="B486" s="30" t="s">
        <v>432</v>
      </c>
      <c r="C486" s="30" t="str">
        <f>CONCATENATE(VOL_VOLUMEN_SUMINISTROS[[#This Row],[Proyecto]],VOL_VOLUMEN_SUMINISTROS[[#This Row],[J]],VOL_VOLUMEN_SUMINISTROS[[#This Row],[FIN DE SEMANA]])</f>
        <v>1052-2MNO</v>
      </c>
      <c r="D486" s="365" t="str">
        <f>CONCATENATE(VOL_VOLUMEN_SUMINISTROS[[#This Row],[Grupo]],VOL_VOLUMEN_SUMINISTROS[[#This Row],[Proyecto]],VOL_VOLUMEN_SUMINISTROS[[#This Row],[FIN DE SEMANA]])</f>
        <v>251052-2NO</v>
      </c>
      <c r="E486" s="30" t="s">
        <v>183</v>
      </c>
      <c r="F486" s="30" t="s">
        <v>148</v>
      </c>
      <c r="G486" s="365">
        <v>25</v>
      </c>
      <c r="H486" s="30">
        <v>18</v>
      </c>
      <c r="I486" s="9" t="s">
        <v>308</v>
      </c>
      <c r="J486" s="9" t="s">
        <v>430</v>
      </c>
      <c r="K486" s="30">
        <v>1</v>
      </c>
      <c r="L486" s="9" t="s">
        <v>153</v>
      </c>
      <c r="M486" s="30" t="s">
        <v>84</v>
      </c>
      <c r="N486" s="30" t="s">
        <v>152</v>
      </c>
      <c r="O486" s="24">
        <v>200</v>
      </c>
      <c r="P486" s="24">
        <v>189</v>
      </c>
      <c r="Q486" s="24">
        <v>463</v>
      </c>
      <c r="R486" s="24">
        <v>0</v>
      </c>
      <c r="S486" s="24">
        <v>0</v>
      </c>
      <c r="T486" s="24">
        <v>852</v>
      </c>
    </row>
    <row r="487" spans="1:20">
      <c r="A487" s="9" t="s">
        <v>395</v>
      </c>
      <c r="B487" s="30" t="s">
        <v>432</v>
      </c>
      <c r="C487" s="30" t="str">
        <f>CONCATENATE(VOL_VOLUMEN_SUMINISTROS[[#This Row],[Proyecto]],VOL_VOLUMEN_SUMINISTROS[[#This Row],[J]],VOL_VOLUMEN_SUMINISTROS[[#This Row],[FIN DE SEMANA]])</f>
        <v>1052-2TNO</v>
      </c>
      <c r="D487" s="365" t="str">
        <f>CONCATENATE(VOL_VOLUMEN_SUMINISTROS[[#This Row],[Grupo]],VOL_VOLUMEN_SUMINISTROS[[#This Row],[Proyecto]],VOL_VOLUMEN_SUMINISTROS[[#This Row],[FIN DE SEMANA]])</f>
        <v>251052-2NO</v>
      </c>
      <c r="E487" s="30" t="s">
        <v>183</v>
      </c>
      <c r="F487" s="30" t="s">
        <v>148</v>
      </c>
      <c r="G487" s="365">
        <v>25</v>
      </c>
      <c r="H487" s="30">
        <v>18</v>
      </c>
      <c r="I487" s="9" t="s">
        <v>308</v>
      </c>
      <c r="J487" s="9" t="s">
        <v>430</v>
      </c>
      <c r="K487" s="30">
        <v>1</v>
      </c>
      <c r="L487" s="9" t="s">
        <v>431</v>
      </c>
      <c r="M487" s="30" t="s">
        <v>84</v>
      </c>
      <c r="N487" s="30" t="s">
        <v>155</v>
      </c>
      <c r="O487" s="24">
        <v>200</v>
      </c>
      <c r="P487" s="24">
        <v>189</v>
      </c>
      <c r="Q487" s="24">
        <v>483</v>
      </c>
      <c r="R487" s="24">
        <v>0</v>
      </c>
      <c r="S487" s="24">
        <v>0</v>
      </c>
      <c r="T487" s="24">
        <v>872</v>
      </c>
    </row>
    <row r="488" spans="1:20">
      <c r="A488" s="9" t="s">
        <v>433</v>
      </c>
      <c r="B488" s="30" t="s">
        <v>434</v>
      </c>
      <c r="C488" s="30" t="str">
        <f>CONCATENATE(VOL_VOLUMEN_SUMINISTROS[[#This Row],[Proyecto]],VOL_VOLUMEN_SUMINISTROS[[#This Row],[J]],VOL_VOLUMEN_SUMINISTROS[[#This Row],[FIN DE SEMANA]])</f>
        <v>1052-1MNO</v>
      </c>
      <c r="D488" s="365" t="str">
        <f>CONCATENATE(VOL_VOLUMEN_SUMINISTROS[[#This Row],[Grupo]],VOL_VOLUMEN_SUMINISTROS[[#This Row],[Proyecto]],VOL_VOLUMEN_SUMINISTROS[[#This Row],[FIN DE SEMANA]])</f>
        <v>71052-1NO</v>
      </c>
      <c r="E488" s="30" t="s">
        <v>147</v>
      </c>
      <c r="F488" s="30" t="s">
        <v>148</v>
      </c>
      <c r="G488" s="365">
        <v>7</v>
      </c>
      <c r="H488" s="30">
        <v>16</v>
      </c>
      <c r="I488" s="9" t="s">
        <v>435</v>
      </c>
      <c r="J488" s="9" t="s">
        <v>436</v>
      </c>
      <c r="K488" s="30">
        <v>1</v>
      </c>
      <c r="L488" s="9" t="s">
        <v>437</v>
      </c>
      <c r="M488" s="30" t="s">
        <v>84</v>
      </c>
      <c r="N488" s="30" t="s">
        <v>152</v>
      </c>
      <c r="O488" s="24">
        <v>179</v>
      </c>
      <c r="P488" s="24">
        <v>415</v>
      </c>
      <c r="Q488" s="24">
        <v>673</v>
      </c>
      <c r="R488" s="24">
        <v>0</v>
      </c>
      <c r="S488" s="24">
        <v>0</v>
      </c>
      <c r="T488" s="24">
        <v>1267</v>
      </c>
    </row>
    <row r="489" spans="1:20">
      <c r="A489" s="9" t="s">
        <v>433</v>
      </c>
      <c r="B489" s="30" t="s">
        <v>434</v>
      </c>
      <c r="C489" s="30" t="str">
        <f>CONCATENATE(VOL_VOLUMEN_SUMINISTROS[[#This Row],[Proyecto]],VOL_VOLUMEN_SUMINISTROS[[#This Row],[J]],VOL_VOLUMEN_SUMINISTROS[[#This Row],[FIN DE SEMANA]])</f>
        <v>1052-1NNO</v>
      </c>
      <c r="D489" s="365" t="str">
        <f>CONCATENATE(VOL_VOLUMEN_SUMINISTROS[[#This Row],[Grupo]],VOL_VOLUMEN_SUMINISTROS[[#This Row],[Proyecto]],VOL_VOLUMEN_SUMINISTROS[[#This Row],[FIN DE SEMANA]])</f>
        <v>71052-1NO</v>
      </c>
      <c r="E489" s="30" t="s">
        <v>147</v>
      </c>
      <c r="F489" s="30" t="s">
        <v>148</v>
      </c>
      <c r="G489" s="365">
        <v>7</v>
      </c>
      <c r="H489" s="30">
        <v>16</v>
      </c>
      <c r="I489" s="9" t="s">
        <v>435</v>
      </c>
      <c r="J489" s="9" t="s">
        <v>436</v>
      </c>
      <c r="K489" s="30">
        <v>1</v>
      </c>
      <c r="L489" s="9" t="s">
        <v>437</v>
      </c>
      <c r="M489" s="30" t="s">
        <v>84</v>
      </c>
      <c r="N489" s="30" t="s">
        <v>154</v>
      </c>
      <c r="O489" s="24">
        <v>0</v>
      </c>
      <c r="P489" s="24">
        <v>0</v>
      </c>
      <c r="Q489" s="24">
        <v>0</v>
      </c>
      <c r="R489" s="24">
        <v>82</v>
      </c>
      <c r="S489" s="24">
        <v>66</v>
      </c>
      <c r="T489" s="24">
        <v>148</v>
      </c>
    </row>
    <row r="490" spans="1:20">
      <c r="A490" s="9" t="s">
        <v>433</v>
      </c>
      <c r="B490" s="30" t="s">
        <v>434</v>
      </c>
      <c r="C490" s="30" t="str">
        <f>CONCATENATE(VOL_VOLUMEN_SUMINISTROS[[#This Row],[Proyecto]],VOL_VOLUMEN_SUMINISTROS[[#This Row],[J]],VOL_VOLUMEN_SUMINISTROS[[#This Row],[FIN DE SEMANA]])</f>
        <v>1052-1TNO</v>
      </c>
      <c r="D490" s="365" t="str">
        <f>CONCATENATE(VOL_VOLUMEN_SUMINISTROS[[#This Row],[Grupo]],VOL_VOLUMEN_SUMINISTROS[[#This Row],[Proyecto]],VOL_VOLUMEN_SUMINISTROS[[#This Row],[FIN DE SEMANA]])</f>
        <v>71052-1NO</v>
      </c>
      <c r="E490" s="30" t="s">
        <v>147</v>
      </c>
      <c r="F490" s="30" t="s">
        <v>148</v>
      </c>
      <c r="G490" s="365">
        <v>7</v>
      </c>
      <c r="H490" s="30">
        <v>16</v>
      </c>
      <c r="I490" s="9" t="s">
        <v>435</v>
      </c>
      <c r="J490" s="9" t="s">
        <v>436</v>
      </c>
      <c r="K490" s="30">
        <v>1</v>
      </c>
      <c r="L490" s="9" t="s">
        <v>437</v>
      </c>
      <c r="M490" s="30" t="s">
        <v>84</v>
      </c>
      <c r="N490" s="30" t="s">
        <v>155</v>
      </c>
      <c r="O490" s="24">
        <v>190</v>
      </c>
      <c r="P490" s="24">
        <v>243</v>
      </c>
      <c r="Q490" s="24">
        <v>471</v>
      </c>
      <c r="R490" s="24">
        <v>0</v>
      </c>
      <c r="S490" s="24">
        <v>0</v>
      </c>
      <c r="T490" s="24">
        <v>904</v>
      </c>
    </row>
    <row r="491" spans="1:20">
      <c r="A491" s="9" t="s">
        <v>433</v>
      </c>
      <c r="B491" s="30" t="s">
        <v>434</v>
      </c>
      <c r="C491" s="30" t="str">
        <f>CONCATENATE(VOL_VOLUMEN_SUMINISTROS[[#This Row],[Proyecto]],VOL_VOLUMEN_SUMINISTROS[[#This Row],[J]],VOL_VOLUMEN_SUMINISTROS[[#This Row],[FIN DE SEMANA]])</f>
        <v>1052-1MNO</v>
      </c>
      <c r="D491" s="365" t="str">
        <f>CONCATENATE(VOL_VOLUMEN_SUMINISTROS[[#This Row],[Grupo]],VOL_VOLUMEN_SUMINISTROS[[#This Row],[Proyecto]],VOL_VOLUMEN_SUMINISTROS[[#This Row],[FIN DE SEMANA]])</f>
        <v>71052-1NO</v>
      </c>
      <c r="E491" s="30" t="s">
        <v>147</v>
      </c>
      <c r="F491" s="30" t="s">
        <v>148</v>
      </c>
      <c r="G491" s="365">
        <v>7</v>
      </c>
      <c r="H491" s="30">
        <v>16</v>
      </c>
      <c r="I491" s="9" t="s">
        <v>435</v>
      </c>
      <c r="J491" s="9" t="s">
        <v>438</v>
      </c>
      <c r="K491" s="30">
        <v>1</v>
      </c>
      <c r="L491" s="9" t="s">
        <v>439</v>
      </c>
      <c r="M491" s="30" t="s">
        <v>84</v>
      </c>
      <c r="N491" s="30" t="s">
        <v>152</v>
      </c>
      <c r="O491" s="24">
        <v>107</v>
      </c>
      <c r="P491" s="24">
        <v>28</v>
      </c>
      <c r="Q491" s="24">
        <v>0</v>
      </c>
      <c r="R491" s="24">
        <v>0</v>
      </c>
      <c r="S491" s="24">
        <v>0</v>
      </c>
      <c r="T491" s="24">
        <v>135</v>
      </c>
    </row>
    <row r="492" spans="1:20">
      <c r="A492" s="9" t="s">
        <v>433</v>
      </c>
      <c r="B492" s="30" t="s">
        <v>434</v>
      </c>
      <c r="C492" s="30" t="str">
        <f>CONCATENATE(VOL_VOLUMEN_SUMINISTROS[[#This Row],[Proyecto]],VOL_VOLUMEN_SUMINISTROS[[#This Row],[J]],VOL_VOLUMEN_SUMINISTROS[[#This Row],[FIN DE SEMANA]])</f>
        <v>1052-1TNO</v>
      </c>
      <c r="D492" s="365" t="str">
        <f>CONCATENATE(VOL_VOLUMEN_SUMINISTROS[[#This Row],[Grupo]],VOL_VOLUMEN_SUMINISTROS[[#This Row],[Proyecto]],VOL_VOLUMEN_SUMINISTROS[[#This Row],[FIN DE SEMANA]])</f>
        <v>71052-1NO</v>
      </c>
      <c r="E492" s="30" t="s">
        <v>147</v>
      </c>
      <c r="F492" s="30" t="s">
        <v>148</v>
      </c>
      <c r="G492" s="365">
        <v>7</v>
      </c>
      <c r="H492" s="30">
        <v>16</v>
      </c>
      <c r="I492" s="9" t="s">
        <v>435</v>
      </c>
      <c r="J492" s="9" t="s">
        <v>438</v>
      </c>
      <c r="K492" s="30">
        <v>1</v>
      </c>
      <c r="L492" s="9" t="s">
        <v>440</v>
      </c>
      <c r="M492" s="30" t="s">
        <v>84</v>
      </c>
      <c r="N492" s="30" t="s">
        <v>155</v>
      </c>
      <c r="O492" s="24">
        <v>0</v>
      </c>
      <c r="P492" s="24">
        <v>57</v>
      </c>
      <c r="Q492" s="24">
        <v>19</v>
      </c>
      <c r="R492" s="24">
        <v>0</v>
      </c>
      <c r="S492" s="24">
        <v>0</v>
      </c>
      <c r="T492" s="24">
        <v>76</v>
      </c>
    </row>
    <row r="493" spans="1:20">
      <c r="A493" s="9" t="s">
        <v>433</v>
      </c>
      <c r="B493" s="30" t="s">
        <v>434</v>
      </c>
      <c r="C493" s="30" t="str">
        <f>CONCATENATE(VOL_VOLUMEN_SUMINISTROS[[#This Row],[Proyecto]],VOL_VOLUMEN_SUMINISTROS[[#This Row],[J]],VOL_VOLUMEN_SUMINISTROS[[#This Row],[FIN DE SEMANA]])</f>
        <v>1052-1MNO</v>
      </c>
      <c r="D493" s="365" t="str">
        <f>CONCATENATE(VOL_VOLUMEN_SUMINISTROS[[#This Row],[Grupo]],VOL_VOLUMEN_SUMINISTROS[[#This Row],[Proyecto]],VOL_VOLUMEN_SUMINISTROS[[#This Row],[FIN DE SEMANA]])</f>
        <v>71052-1NO</v>
      </c>
      <c r="E493" s="30" t="s">
        <v>147</v>
      </c>
      <c r="F493" s="30" t="s">
        <v>148</v>
      </c>
      <c r="G493" s="365">
        <v>7</v>
      </c>
      <c r="H493" s="30">
        <v>16</v>
      </c>
      <c r="I493" s="9" t="s">
        <v>435</v>
      </c>
      <c r="J493" s="9" t="s">
        <v>438</v>
      </c>
      <c r="K493" s="30">
        <v>2</v>
      </c>
      <c r="L493" s="9" t="s">
        <v>439</v>
      </c>
      <c r="M493" s="30" t="s">
        <v>84</v>
      </c>
      <c r="N493" s="30" t="s">
        <v>152</v>
      </c>
      <c r="O493" s="24">
        <v>28</v>
      </c>
      <c r="P493" s="24">
        <v>74</v>
      </c>
      <c r="Q493" s="24">
        <v>20</v>
      </c>
      <c r="R493" s="24">
        <v>0</v>
      </c>
      <c r="S493" s="24">
        <v>0</v>
      </c>
      <c r="T493" s="24">
        <v>122</v>
      </c>
    </row>
    <row r="494" spans="1:20">
      <c r="A494" s="9" t="s">
        <v>433</v>
      </c>
      <c r="B494" s="30" t="s">
        <v>434</v>
      </c>
      <c r="C494" s="30" t="str">
        <f>CONCATENATE(VOL_VOLUMEN_SUMINISTROS[[#This Row],[Proyecto]],VOL_VOLUMEN_SUMINISTROS[[#This Row],[J]],VOL_VOLUMEN_SUMINISTROS[[#This Row],[FIN DE SEMANA]])</f>
        <v>1052-1TNO</v>
      </c>
      <c r="D494" s="365" t="str">
        <f>CONCATENATE(VOL_VOLUMEN_SUMINISTROS[[#This Row],[Grupo]],VOL_VOLUMEN_SUMINISTROS[[#This Row],[Proyecto]],VOL_VOLUMEN_SUMINISTROS[[#This Row],[FIN DE SEMANA]])</f>
        <v>71052-1NO</v>
      </c>
      <c r="E494" s="30" t="s">
        <v>147</v>
      </c>
      <c r="F494" s="30" t="s">
        <v>148</v>
      </c>
      <c r="G494" s="365">
        <v>7</v>
      </c>
      <c r="H494" s="30">
        <v>16</v>
      </c>
      <c r="I494" s="9" t="s">
        <v>435</v>
      </c>
      <c r="J494" s="9" t="s">
        <v>438</v>
      </c>
      <c r="K494" s="30">
        <v>2</v>
      </c>
      <c r="L494" s="9" t="s">
        <v>439</v>
      </c>
      <c r="M494" s="30" t="s">
        <v>84</v>
      </c>
      <c r="N494" s="30" t="s">
        <v>155</v>
      </c>
      <c r="O494" s="24">
        <v>0</v>
      </c>
      <c r="P494" s="24">
        <v>24</v>
      </c>
      <c r="Q494" s="24">
        <v>70</v>
      </c>
      <c r="R494" s="24">
        <v>0</v>
      </c>
      <c r="S494" s="24">
        <v>0</v>
      </c>
      <c r="T494" s="24">
        <v>94</v>
      </c>
    </row>
    <row r="495" spans="1:20">
      <c r="A495" s="9" t="s">
        <v>433</v>
      </c>
      <c r="B495" s="30" t="s">
        <v>434</v>
      </c>
      <c r="C495" s="30" t="str">
        <f>CONCATENATE(VOL_VOLUMEN_SUMINISTROS[[#This Row],[Proyecto]],VOL_VOLUMEN_SUMINISTROS[[#This Row],[J]],VOL_VOLUMEN_SUMINISTROS[[#This Row],[FIN DE SEMANA]])</f>
        <v>1052-1MNO</v>
      </c>
      <c r="D495" s="365" t="str">
        <f>CONCATENATE(VOL_VOLUMEN_SUMINISTROS[[#This Row],[Grupo]],VOL_VOLUMEN_SUMINISTROS[[#This Row],[Proyecto]],VOL_VOLUMEN_SUMINISTROS[[#This Row],[FIN DE SEMANA]])</f>
        <v>101052-1NO</v>
      </c>
      <c r="E495" s="30" t="s">
        <v>147</v>
      </c>
      <c r="F495" s="30" t="s">
        <v>148</v>
      </c>
      <c r="G495" s="365">
        <v>10</v>
      </c>
      <c r="H495" s="30">
        <v>8</v>
      </c>
      <c r="I495" s="9" t="s">
        <v>149</v>
      </c>
      <c r="J495" s="9" t="s">
        <v>441</v>
      </c>
      <c r="K495" s="30">
        <v>1</v>
      </c>
      <c r="L495" s="9" t="s">
        <v>442</v>
      </c>
      <c r="M495" s="30" t="s">
        <v>84</v>
      </c>
      <c r="N495" s="30" t="s">
        <v>152</v>
      </c>
      <c r="O495" s="24">
        <v>0</v>
      </c>
      <c r="P495" s="24">
        <v>210</v>
      </c>
      <c r="Q495" s="24">
        <v>404</v>
      </c>
      <c r="R495" s="24">
        <v>0</v>
      </c>
      <c r="S495" s="24">
        <v>0</v>
      </c>
      <c r="T495" s="24">
        <v>614</v>
      </c>
    </row>
    <row r="496" spans="1:20">
      <c r="A496" s="9" t="s">
        <v>433</v>
      </c>
      <c r="B496" s="30" t="s">
        <v>434</v>
      </c>
      <c r="C496" s="30" t="str">
        <f>CONCATENATE(VOL_VOLUMEN_SUMINISTROS[[#This Row],[Proyecto]],VOL_VOLUMEN_SUMINISTROS[[#This Row],[J]],VOL_VOLUMEN_SUMINISTROS[[#This Row],[FIN DE SEMANA]])</f>
        <v>1052-1TNO</v>
      </c>
      <c r="D496" s="365" t="str">
        <f>CONCATENATE(VOL_VOLUMEN_SUMINISTROS[[#This Row],[Grupo]],VOL_VOLUMEN_SUMINISTROS[[#This Row],[Proyecto]],VOL_VOLUMEN_SUMINISTROS[[#This Row],[FIN DE SEMANA]])</f>
        <v>101052-1NO</v>
      </c>
      <c r="E496" s="30" t="s">
        <v>147</v>
      </c>
      <c r="F496" s="30" t="s">
        <v>148</v>
      </c>
      <c r="G496" s="365">
        <v>10</v>
      </c>
      <c r="H496" s="30">
        <v>8</v>
      </c>
      <c r="I496" s="9" t="s">
        <v>149</v>
      </c>
      <c r="J496" s="9" t="s">
        <v>441</v>
      </c>
      <c r="K496" s="30">
        <v>1</v>
      </c>
      <c r="L496" s="9" t="s">
        <v>442</v>
      </c>
      <c r="M496" s="30" t="s">
        <v>84</v>
      </c>
      <c r="N496" s="30" t="s">
        <v>155</v>
      </c>
      <c r="O496" s="24">
        <v>0</v>
      </c>
      <c r="P496" s="24">
        <v>207</v>
      </c>
      <c r="Q496" s="24">
        <v>403</v>
      </c>
      <c r="R496" s="24">
        <v>0</v>
      </c>
      <c r="S496" s="24">
        <v>0</v>
      </c>
      <c r="T496" s="24">
        <v>610</v>
      </c>
    </row>
    <row r="497" spans="1:20">
      <c r="A497" s="9" t="s">
        <v>433</v>
      </c>
      <c r="B497" s="30" t="s">
        <v>434</v>
      </c>
      <c r="C497" s="30" t="str">
        <f>CONCATENATE(VOL_VOLUMEN_SUMINISTROS[[#This Row],[Proyecto]],VOL_VOLUMEN_SUMINISTROS[[#This Row],[J]],VOL_VOLUMEN_SUMINISTROS[[#This Row],[FIN DE SEMANA]])</f>
        <v>1052-1MNO</v>
      </c>
      <c r="D497" s="365" t="str">
        <f>CONCATENATE(VOL_VOLUMEN_SUMINISTROS[[#This Row],[Grupo]],VOL_VOLUMEN_SUMINISTROS[[#This Row],[Proyecto]],VOL_VOLUMEN_SUMINISTROS[[#This Row],[FIN DE SEMANA]])</f>
        <v>101052-1NO</v>
      </c>
      <c r="E497" s="30" t="s">
        <v>147</v>
      </c>
      <c r="F497" s="30" t="s">
        <v>148</v>
      </c>
      <c r="G497" s="365">
        <v>10</v>
      </c>
      <c r="H497" s="30">
        <v>8</v>
      </c>
      <c r="I497" s="9" t="s">
        <v>149</v>
      </c>
      <c r="J497" s="9" t="s">
        <v>441</v>
      </c>
      <c r="K497" s="30">
        <v>2</v>
      </c>
      <c r="L497" s="9" t="s">
        <v>443</v>
      </c>
      <c r="M497" s="30" t="s">
        <v>84</v>
      </c>
      <c r="N497" s="30" t="s">
        <v>152</v>
      </c>
      <c r="O497" s="24">
        <v>120</v>
      </c>
      <c r="P497" s="24">
        <v>141</v>
      </c>
      <c r="Q497" s="24">
        <v>27</v>
      </c>
      <c r="R497" s="24">
        <v>0</v>
      </c>
      <c r="S497" s="24">
        <v>0</v>
      </c>
      <c r="T497" s="24">
        <v>288</v>
      </c>
    </row>
    <row r="498" spans="1:20">
      <c r="A498" s="9" t="s">
        <v>433</v>
      </c>
      <c r="B498" s="30" t="s">
        <v>434</v>
      </c>
      <c r="C498" s="30" t="str">
        <f>CONCATENATE(VOL_VOLUMEN_SUMINISTROS[[#This Row],[Proyecto]],VOL_VOLUMEN_SUMINISTROS[[#This Row],[J]],VOL_VOLUMEN_SUMINISTROS[[#This Row],[FIN DE SEMANA]])</f>
        <v>1052-1TNO</v>
      </c>
      <c r="D498" s="365" t="str">
        <f>CONCATENATE(VOL_VOLUMEN_SUMINISTROS[[#This Row],[Grupo]],VOL_VOLUMEN_SUMINISTROS[[#This Row],[Proyecto]],VOL_VOLUMEN_SUMINISTROS[[#This Row],[FIN DE SEMANA]])</f>
        <v>101052-1NO</v>
      </c>
      <c r="E498" s="30" t="s">
        <v>147</v>
      </c>
      <c r="F498" s="30" t="s">
        <v>148</v>
      </c>
      <c r="G498" s="365">
        <v>10</v>
      </c>
      <c r="H498" s="30">
        <v>8</v>
      </c>
      <c r="I498" s="9" t="s">
        <v>149</v>
      </c>
      <c r="J498" s="9" t="s">
        <v>441</v>
      </c>
      <c r="K498" s="30">
        <v>2</v>
      </c>
      <c r="L498" s="9" t="s">
        <v>443</v>
      </c>
      <c r="M498" s="30" t="s">
        <v>84</v>
      </c>
      <c r="N498" s="30" t="s">
        <v>155</v>
      </c>
      <c r="O498" s="24">
        <v>118</v>
      </c>
      <c r="P498" s="24">
        <v>140</v>
      </c>
      <c r="Q498" s="24">
        <v>27</v>
      </c>
      <c r="R498" s="24">
        <v>0</v>
      </c>
      <c r="S498" s="24">
        <v>0</v>
      </c>
      <c r="T498" s="24">
        <v>285</v>
      </c>
    </row>
    <row r="499" spans="1:20">
      <c r="A499" s="9" t="s">
        <v>433</v>
      </c>
      <c r="B499" s="30" t="s">
        <v>434</v>
      </c>
      <c r="C499" s="30" t="str">
        <f>CONCATENATE(VOL_VOLUMEN_SUMINISTROS[[#This Row],[Proyecto]],VOL_VOLUMEN_SUMINISTROS[[#This Row],[J]],VOL_VOLUMEN_SUMINISTROS[[#This Row],[FIN DE SEMANA]])</f>
        <v>1052-1MNO</v>
      </c>
      <c r="D499" s="365" t="str">
        <f>CONCATENATE(VOL_VOLUMEN_SUMINISTROS[[#This Row],[Grupo]],VOL_VOLUMEN_SUMINISTROS[[#This Row],[Proyecto]],VOL_VOLUMEN_SUMINISTROS[[#This Row],[FIN DE SEMANA]])</f>
        <v>101052-1NO</v>
      </c>
      <c r="E499" s="30" t="s">
        <v>147</v>
      </c>
      <c r="F499" s="30" t="s">
        <v>148</v>
      </c>
      <c r="G499" s="365">
        <v>10</v>
      </c>
      <c r="H499" s="30">
        <v>8</v>
      </c>
      <c r="I499" s="9" t="s">
        <v>149</v>
      </c>
      <c r="J499" s="9" t="s">
        <v>441</v>
      </c>
      <c r="K499" s="30">
        <v>3</v>
      </c>
      <c r="L499" s="9" t="s">
        <v>444</v>
      </c>
      <c r="M499" s="30" t="s">
        <v>84</v>
      </c>
      <c r="N499" s="30" t="s">
        <v>152</v>
      </c>
      <c r="O499" s="24">
        <v>101</v>
      </c>
      <c r="P499" s="24">
        <v>13</v>
      </c>
      <c r="Q499" s="24">
        <v>0</v>
      </c>
      <c r="R499" s="24">
        <v>0</v>
      </c>
      <c r="S499" s="24">
        <v>0</v>
      </c>
      <c r="T499" s="24">
        <v>114</v>
      </c>
    </row>
    <row r="500" spans="1:20">
      <c r="A500" s="9" t="s">
        <v>433</v>
      </c>
      <c r="B500" s="30" t="s">
        <v>434</v>
      </c>
      <c r="C500" s="30" t="str">
        <f>CONCATENATE(VOL_VOLUMEN_SUMINISTROS[[#This Row],[Proyecto]],VOL_VOLUMEN_SUMINISTROS[[#This Row],[J]],VOL_VOLUMEN_SUMINISTROS[[#This Row],[FIN DE SEMANA]])</f>
        <v>1052-1TNO</v>
      </c>
      <c r="D500" s="365" t="str">
        <f>CONCATENATE(VOL_VOLUMEN_SUMINISTROS[[#This Row],[Grupo]],VOL_VOLUMEN_SUMINISTROS[[#This Row],[Proyecto]],VOL_VOLUMEN_SUMINISTROS[[#This Row],[FIN DE SEMANA]])</f>
        <v>101052-1NO</v>
      </c>
      <c r="E500" s="30" t="s">
        <v>147</v>
      </c>
      <c r="F500" s="30" t="s">
        <v>148</v>
      </c>
      <c r="G500" s="365">
        <v>10</v>
      </c>
      <c r="H500" s="30">
        <v>8</v>
      </c>
      <c r="I500" s="9" t="s">
        <v>149</v>
      </c>
      <c r="J500" s="9" t="s">
        <v>441</v>
      </c>
      <c r="K500" s="30">
        <v>3</v>
      </c>
      <c r="L500" s="9" t="s">
        <v>444</v>
      </c>
      <c r="M500" s="30" t="s">
        <v>84</v>
      </c>
      <c r="N500" s="30" t="s">
        <v>155</v>
      </c>
      <c r="O500" s="24">
        <v>99</v>
      </c>
      <c r="P500" s="24">
        <v>12</v>
      </c>
      <c r="Q500" s="24">
        <v>0</v>
      </c>
      <c r="R500" s="24">
        <v>0</v>
      </c>
      <c r="S500" s="24">
        <v>0</v>
      </c>
      <c r="T500" s="24">
        <v>111</v>
      </c>
    </row>
    <row r="501" spans="1:20">
      <c r="A501" s="9" t="s">
        <v>433</v>
      </c>
      <c r="B501" s="30" t="s">
        <v>434</v>
      </c>
      <c r="C501" s="30" t="str">
        <f>CONCATENATE(VOL_VOLUMEN_SUMINISTROS[[#This Row],[Proyecto]],VOL_VOLUMEN_SUMINISTROS[[#This Row],[J]],VOL_VOLUMEN_SUMINISTROS[[#This Row],[FIN DE SEMANA]])</f>
        <v>1052-1MNO</v>
      </c>
      <c r="D501" s="365" t="str">
        <f>CONCATENATE(VOL_VOLUMEN_SUMINISTROS[[#This Row],[Grupo]],VOL_VOLUMEN_SUMINISTROS[[#This Row],[Proyecto]],VOL_VOLUMEN_SUMINISTROS[[#This Row],[FIN DE SEMANA]])</f>
        <v>11052-1NO</v>
      </c>
      <c r="E501" s="30" t="s">
        <v>147</v>
      </c>
      <c r="F501" s="30" t="s">
        <v>148</v>
      </c>
      <c r="G501" s="365">
        <v>1</v>
      </c>
      <c r="H501" s="30">
        <v>8</v>
      </c>
      <c r="I501" s="9" t="s">
        <v>149</v>
      </c>
      <c r="J501" s="9" t="s">
        <v>445</v>
      </c>
      <c r="K501" s="30">
        <v>1</v>
      </c>
      <c r="L501" s="9" t="s">
        <v>446</v>
      </c>
      <c r="M501" s="30" t="s">
        <v>84</v>
      </c>
      <c r="N501" s="30" t="s">
        <v>152</v>
      </c>
      <c r="O501" s="24">
        <v>185</v>
      </c>
      <c r="P501" s="24">
        <v>380</v>
      </c>
      <c r="Q501" s="24">
        <v>648</v>
      </c>
      <c r="R501" s="24">
        <v>0</v>
      </c>
      <c r="S501" s="24">
        <v>0</v>
      </c>
      <c r="T501" s="24">
        <v>1213</v>
      </c>
    </row>
    <row r="502" spans="1:20">
      <c r="A502" s="9" t="s">
        <v>433</v>
      </c>
      <c r="B502" s="30" t="s">
        <v>434</v>
      </c>
      <c r="C502" s="30" t="str">
        <f>CONCATENATE(VOL_VOLUMEN_SUMINISTROS[[#This Row],[Proyecto]],VOL_VOLUMEN_SUMINISTROS[[#This Row],[J]],VOL_VOLUMEN_SUMINISTROS[[#This Row],[FIN DE SEMANA]])</f>
        <v>1052-1NNO</v>
      </c>
      <c r="D502" s="365" t="str">
        <f>CONCATENATE(VOL_VOLUMEN_SUMINISTROS[[#This Row],[Grupo]],VOL_VOLUMEN_SUMINISTROS[[#This Row],[Proyecto]],VOL_VOLUMEN_SUMINISTROS[[#This Row],[FIN DE SEMANA]])</f>
        <v>11052-1NO</v>
      </c>
      <c r="E502" s="30" t="s">
        <v>147</v>
      </c>
      <c r="F502" s="30" t="s">
        <v>148</v>
      </c>
      <c r="G502" s="365">
        <v>1</v>
      </c>
      <c r="H502" s="30">
        <v>8</v>
      </c>
      <c r="I502" s="9" t="s">
        <v>149</v>
      </c>
      <c r="J502" s="9" t="s">
        <v>445</v>
      </c>
      <c r="K502" s="30">
        <v>1</v>
      </c>
      <c r="L502" s="9" t="s">
        <v>446</v>
      </c>
      <c r="M502" s="30" t="s">
        <v>84</v>
      </c>
      <c r="N502" s="30" t="s">
        <v>154</v>
      </c>
      <c r="O502" s="24">
        <v>0</v>
      </c>
      <c r="P502" s="24">
        <v>0</v>
      </c>
      <c r="Q502" s="24">
        <v>0</v>
      </c>
      <c r="R502" s="24">
        <v>180</v>
      </c>
      <c r="S502" s="24">
        <v>180</v>
      </c>
      <c r="T502" s="24">
        <v>360</v>
      </c>
    </row>
    <row r="503" spans="1:20">
      <c r="A503" s="9" t="s">
        <v>433</v>
      </c>
      <c r="B503" s="30" t="s">
        <v>434</v>
      </c>
      <c r="C503" s="30" t="str">
        <f>CONCATENATE(VOL_VOLUMEN_SUMINISTROS[[#This Row],[Proyecto]],VOL_VOLUMEN_SUMINISTROS[[#This Row],[J]],VOL_VOLUMEN_SUMINISTROS[[#This Row],[FIN DE SEMANA]])</f>
        <v>1052-1TNO</v>
      </c>
      <c r="D503" s="365" t="str">
        <f>CONCATENATE(VOL_VOLUMEN_SUMINISTROS[[#This Row],[Grupo]],VOL_VOLUMEN_SUMINISTROS[[#This Row],[Proyecto]],VOL_VOLUMEN_SUMINISTROS[[#This Row],[FIN DE SEMANA]])</f>
        <v>11052-1NO</v>
      </c>
      <c r="E503" s="30" t="s">
        <v>147</v>
      </c>
      <c r="F503" s="30" t="s">
        <v>148</v>
      </c>
      <c r="G503" s="365">
        <v>1</v>
      </c>
      <c r="H503" s="30">
        <v>8</v>
      </c>
      <c r="I503" s="9" t="s">
        <v>149</v>
      </c>
      <c r="J503" s="9" t="s">
        <v>445</v>
      </c>
      <c r="K503" s="30">
        <v>1</v>
      </c>
      <c r="L503" s="9" t="s">
        <v>446</v>
      </c>
      <c r="M503" s="30" t="s">
        <v>84</v>
      </c>
      <c r="N503" s="30" t="s">
        <v>155</v>
      </c>
      <c r="O503" s="24">
        <v>165</v>
      </c>
      <c r="P503" s="24">
        <v>443</v>
      </c>
      <c r="Q503" s="24">
        <v>399</v>
      </c>
      <c r="R503" s="24">
        <v>0</v>
      </c>
      <c r="S503" s="24">
        <v>0</v>
      </c>
      <c r="T503" s="24">
        <v>1007</v>
      </c>
    </row>
    <row r="504" spans="1:20">
      <c r="A504" s="9" t="s">
        <v>433</v>
      </c>
      <c r="B504" s="30" t="s">
        <v>434</v>
      </c>
      <c r="C504" s="30" t="str">
        <f>CONCATENATE(VOL_VOLUMEN_SUMINISTROS[[#This Row],[Proyecto]],VOL_VOLUMEN_SUMINISTROS[[#This Row],[J]],VOL_VOLUMEN_SUMINISTROS[[#This Row],[FIN DE SEMANA]])</f>
        <v>1052-1MNO</v>
      </c>
      <c r="D504" s="365" t="str">
        <f>CONCATENATE(VOL_VOLUMEN_SUMINISTROS[[#This Row],[Grupo]],VOL_VOLUMEN_SUMINISTROS[[#This Row],[Proyecto]],VOL_VOLUMEN_SUMINISTROS[[#This Row],[FIN DE SEMANA]])</f>
        <v>11052-1NO</v>
      </c>
      <c r="E504" s="30" t="s">
        <v>147</v>
      </c>
      <c r="F504" s="30" t="s">
        <v>148</v>
      </c>
      <c r="G504" s="365">
        <v>1</v>
      </c>
      <c r="H504" s="30">
        <v>8</v>
      </c>
      <c r="I504" s="9" t="s">
        <v>149</v>
      </c>
      <c r="J504" s="9" t="s">
        <v>445</v>
      </c>
      <c r="K504" s="30">
        <v>2</v>
      </c>
      <c r="L504" s="9" t="s">
        <v>447</v>
      </c>
      <c r="M504" s="30" t="s">
        <v>84</v>
      </c>
      <c r="N504" s="30" t="s">
        <v>152</v>
      </c>
      <c r="O504" s="24">
        <v>95</v>
      </c>
      <c r="P504" s="24">
        <v>86</v>
      </c>
      <c r="Q504" s="24">
        <v>17</v>
      </c>
      <c r="R504" s="24">
        <v>0</v>
      </c>
      <c r="S504" s="24">
        <v>0</v>
      </c>
      <c r="T504" s="24">
        <v>198</v>
      </c>
    </row>
    <row r="505" spans="1:20">
      <c r="A505" s="9" t="s">
        <v>433</v>
      </c>
      <c r="B505" s="30" t="s">
        <v>434</v>
      </c>
      <c r="C505" s="30" t="str">
        <f>CONCATENATE(VOL_VOLUMEN_SUMINISTROS[[#This Row],[Proyecto]],VOL_VOLUMEN_SUMINISTROS[[#This Row],[J]],VOL_VOLUMEN_SUMINISTROS[[#This Row],[FIN DE SEMANA]])</f>
        <v>1052-1TNO</v>
      </c>
      <c r="D505" s="365" t="str">
        <f>CONCATENATE(VOL_VOLUMEN_SUMINISTROS[[#This Row],[Grupo]],VOL_VOLUMEN_SUMINISTROS[[#This Row],[Proyecto]],VOL_VOLUMEN_SUMINISTROS[[#This Row],[FIN DE SEMANA]])</f>
        <v>11052-1NO</v>
      </c>
      <c r="E505" s="30" t="s">
        <v>147</v>
      </c>
      <c r="F505" s="30" t="s">
        <v>148</v>
      </c>
      <c r="G505" s="365">
        <v>1</v>
      </c>
      <c r="H505" s="30">
        <v>8</v>
      </c>
      <c r="I505" s="9" t="s">
        <v>149</v>
      </c>
      <c r="J505" s="9" t="s">
        <v>445</v>
      </c>
      <c r="K505" s="30">
        <v>2</v>
      </c>
      <c r="L505" s="9" t="s">
        <v>447</v>
      </c>
      <c r="M505" s="30" t="s">
        <v>84</v>
      </c>
      <c r="N505" s="30" t="s">
        <v>155</v>
      </c>
      <c r="O505" s="24">
        <v>100</v>
      </c>
      <c r="P505" s="24">
        <v>89</v>
      </c>
      <c r="Q505" s="24">
        <v>18</v>
      </c>
      <c r="R505" s="24">
        <v>0</v>
      </c>
      <c r="S505" s="24">
        <v>0</v>
      </c>
      <c r="T505" s="24">
        <v>207</v>
      </c>
    </row>
    <row r="506" spans="1:20">
      <c r="A506" s="9" t="s">
        <v>433</v>
      </c>
      <c r="B506" s="30" t="s">
        <v>434</v>
      </c>
      <c r="C506" s="30" t="str">
        <f>CONCATENATE(VOL_VOLUMEN_SUMINISTROS[[#This Row],[Proyecto]],VOL_VOLUMEN_SUMINISTROS[[#This Row],[J]],VOL_VOLUMEN_SUMINISTROS[[#This Row],[FIN DE SEMANA]])</f>
        <v>1052-1MNO</v>
      </c>
      <c r="D506" s="365" t="str">
        <f>CONCATENATE(VOL_VOLUMEN_SUMINISTROS[[#This Row],[Grupo]],VOL_VOLUMEN_SUMINISTROS[[#This Row],[Proyecto]],VOL_VOLUMEN_SUMINISTROS[[#This Row],[FIN DE SEMANA]])</f>
        <v>11052-1NO</v>
      </c>
      <c r="E506" s="30" t="s">
        <v>147</v>
      </c>
      <c r="F506" s="30" t="s">
        <v>148</v>
      </c>
      <c r="G506" s="365">
        <v>1</v>
      </c>
      <c r="H506" s="30">
        <v>8</v>
      </c>
      <c r="I506" s="9" t="s">
        <v>149</v>
      </c>
      <c r="J506" s="9" t="s">
        <v>445</v>
      </c>
      <c r="K506" s="30">
        <v>3</v>
      </c>
      <c r="L506" s="9" t="s">
        <v>448</v>
      </c>
      <c r="M506" s="30" t="s">
        <v>84</v>
      </c>
      <c r="N506" s="30" t="s">
        <v>152</v>
      </c>
      <c r="O506" s="24">
        <v>95</v>
      </c>
      <c r="P506" s="24">
        <v>89</v>
      </c>
      <c r="Q506" s="24">
        <v>18</v>
      </c>
      <c r="R506" s="24">
        <v>0</v>
      </c>
      <c r="S506" s="24">
        <v>0</v>
      </c>
      <c r="T506" s="24">
        <v>202</v>
      </c>
    </row>
    <row r="507" spans="1:20">
      <c r="A507" s="9" t="s">
        <v>433</v>
      </c>
      <c r="B507" s="30" t="s">
        <v>434</v>
      </c>
      <c r="C507" s="30" t="str">
        <f>CONCATENATE(VOL_VOLUMEN_SUMINISTROS[[#This Row],[Proyecto]],VOL_VOLUMEN_SUMINISTROS[[#This Row],[J]],VOL_VOLUMEN_SUMINISTROS[[#This Row],[FIN DE SEMANA]])</f>
        <v>1052-1TNO</v>
      </c>
      <c r="D507" s="365" t="str">
        <f>CONCATENATE(VOL_VOLUMEN_SUMINISTROS[[#This Row],[Grupo]],VOL_VOLUMEN_SUMINISTROS[[#This Row],[Proyecto]],VOL_VOLUMEN_SUMINISTROS[[#This Row],[FIN DE SEMANA]])</f>
        <v>11052-1NO</v>
      </c>
      <c r="E507" s="30" t="s">
        <v>147</v>
      </c>
      <c r="F507" s="30" t="s">
        <v>148</v>
      </c>
      <c r="G507" s="365">
        <v>1</v>
      </c>
      <c r="H507" s="30">
        <v>8</v>
      </c>
      <c r="I507" s="9" t="s">
        <v>149</v>
      </c>
      <c r="J507" s="9" t="s">
        <v>445</v>
      </c>
      <c r="K507" s="30">
        <v>3</v>
      </c>
      <c r="L507" s="9" t="s">
        <v>448</v>
      </c>
      <c r="M507" s="30" t="s">
        <v>84</v>
      </c>
      <c r="N507" s="30" t="s">
        <v>155</v>
      </c>
      <c r="O507" s="24">
        <v>84</v>
      </c>
      <c r="P507" s="24">
        <v>85</v>
      </c>
      <c r="Q507" s="24">
        <v>18</v>
      </c>
      <c r="R507" s="24">
        <v>0</v>
      </c>
      <c r="S507" s="24">
        <v>0</v>
      </c>
      <c r="T507" s="24">
        <v>187</v>
      </c>
    </row>
    <row r="508" spans="1:20">
      <c r="A508" s="9" t="s">
        <v>433</v>
      </c>
      <c r="B508" s="30" t="s">
        <v>434</v>
      </c>
      <c r="C508" s="30" t="str">
        <f>CONCATENATE(VOL_VOLUMEN_SUMINISTROS[[#This Row],[Proyecto]],VOL_VOLUMEN_SUMINISTROS[[#This Row],[J]],VOL_VOLUMEN_SUMINISTROS[[#This Row],[FIN DE SEMANA]])</f>
        <v>1052-1MNO</v>
      </c>
      <c r="D508" s="365" t="str">
        <f>CONCATENATE(VOL_VOLUMEN_SUMINISTROS[[#This Row],[Grupo]],VOL_VOLUMEN_SUMINISTROS[[#This Row],[Proyecto]],VOL_VOLUMEN_SUMINISTROS[[#This Row],[FIN DE SEMANA]])</f>
        <v>11052-1NO</v>
      </c>
      <c r="E508" s="30" t="s">
        <v>147</v>
      </c>
      <c r="F508" s="30" t="s">
        <v>148</v>
      </c>
      <c r="G508" s="365">
        <v>1</v>
      </c>
      <c r="H508" s="30">
        <v>8</v>
      </c>
      <c r="I508" s="9" t="s">
        <v>149</v>
      </c>
      <c r="J508" s="9" t="s">
        <v>449</v>
      </c>
      <c r="K508" s="30">
        <v>1</v>
      </c>
      <c r="L508" s="9" t="s">
        <v>450</v>
      </c>
      <c r="M508" s="30" t="s">
        <v>84</v>
      </c>
      <c r="N508" s="30" t="s">
        <v>152</v>
      </c>
      <c r="O508" s="24">
        <v>211</v>
      </c>
      <c r="P508" s="24">
        <v>371</v>
      </c>
      <c r="Q508" s="24">
        <v>555</v>
      </c>
      <c r="R508" s="24">
        <v>0</v>
      </c>
      <c r="S508" s="24">
        <v>0</v>
      </c>
      <c r="T508" s="24">
        <v>1137</v>
      </c>
    </row>
    <row r="509" spans="1:20">
      <c r="A509" s="9" t="s">
        <v>433</v>
      </c>
      <c r="B509" s="30" t="s">
        <v>434</v>
      </c>
      <c r="C509" s="30" t="str">
        <f>CONCATENATE(VOL_VOLUMEN_SUMINISTROS[[#This Row],[Proyecto]],VOL_VOLUMEN_SUMINISTROS[[#This Row],[J]],VOL_VOLUMEN_SUMINISTROS[[#This Row],[FIN DE SEMANA]])</f>
        <v>1052-1NNO</v>
      </c>
      <c r="D509" s="365" t="str">
        <f>CONCATENATE(VOL_VOLUMEN_SUMINISTROS[[#This Row],[Grupo]],VOL_VOLUMEN_SUMINISTROS[[#This Row],[Proyecto]],VOL_VOLUMEN_SUMINISTROS[[#This Row],[FIN DE SEMANA]])</f>
        <v>11052-1NO</v>
      </c>
      <c r="E509" s="30" t="s">
        <v>147</v>
      </c>
      <c r="F509" s="30" t="s">
        <v>148</v>
      </c>
      <c r="G509" s="365">
        <v>1</v>
      </c>
      <c r="H509" s="30">
        <v>8</v>
      </c>
      <c r="I509" s="9" t="s">
        <v>149</v>
      </c>
      <c r="J509" s="9" t="s">
        <v>449</v>
      </c>
      <c r="K509" s="30">
        <v>1</v>
      </c>
      <c r="L509" s="9" t="s">
        <v>450</v>
      </c>
      <c r="M509" s="30" t="s">
        <v>84</v>
      </c>
      <c r="N509" s="30" t="s">
        <v>154</v>
      </c>
      <c r="O509" s="24">
        <v>0</v>
      </c>
      <c r="P509" s="24">
        <v>0</v>
      </c>
      <c r="Q509" s="24">
        <v>0</v>
      </c>
      <c r="R509" s="24">
        <v>204</v>
      </c>
      <c r="S509" s="24">
        <v>215</v>
      </c>
      <c r="T509" s="24">
        <v>419</v>
      </c>
    </row>
    <row r="510" spans="1:20">
      <c r="A510" s="9" t="s">
        <v>433</v>
      </c>
      <c r="B510" s="30" t="s">
        <v>434</v>
      </c>
      <c r="C510" s="30" t="str">
        <f>CONCATENATE(VOL_VOLUMEN_SUMINISTROS[[#This Row],[Proyecto]],VOL_VOLUMEN_SUMINISTROS[[#This Row],[J]],VOL_VOLUMEN_SUMINISTROS[[#This Row],[FIN DE SEMANA]])</f>
        <v>1052-1TNO</v>
      </c>
      <c r="D510" s="365" t="str">
        <f>CONCATENATE(VOL_VOLUMEN_SUMINISTROS[[#This Row],[Grupo]],VOL_VOLUMEN_SUMINISTROS[[#This Row],[Proyecto]],VOL_VOLUMEN_SUMINISTROS[[#This Row],[FIN DE SEMANA]])</f>
        <v>11052-1NO</v>
      </c>
      <c r="E510" s="30" t="s">
        <v>147</v>
      </c>
      <c r="F510" s="30" t="s">
        <v>148</v>
      </c>
      <c r="G510" s="365">
        <v>1</v>
      </c>
      <c r="H510" s="30">
        <v>8</v>
      </c>
      <c r="I510" s="9" t="s">
        <v>149</v>
      </c>
      <c r="J510" s="9" t="s">
        <v>449</v>
      </c>
      <c r="K510" s="30">
        <v>1</v>
      </c>
      <c r="L510" s="9" t="s">
        <v>450</v>
      </c>
      <c r="M510" s="30" t="s">
        <v>84</v>
      </c>
      <c r="N510" s="30" t="s">
        <v>155</v>
      </c>
      <c r="O510" s="24">
        <v>211</v>
      </c>
      <c r="P510" s="24">
        <v>362</v>
      </c>
      <c r="Q510" s="24">
        <v>475</v>
      </c>
      <c r="R510" s="24">
        <v>0</v>
      </c>
      <c r="S510" s="24">
        <v>0</v>
      </c>
      <c r="T510" s="24">
        <v>1048</v>
      </c>
    </row>
    <row r="511" spans="1:20">
      <c r="A511" s="9" t="s">
        <v>433</v>
      </c>
      <c r="B511" s="30" t="s">
        <v>434</v>
      </c>
      <c r="C511" s="30" t="str">
        <f>CONCATENATE(VOL_VOLUMEN_SUMINISTROS[[#This Row],[Proyecto]],VOL_VOLUMEN_SUMINISTROS[[#This Row],[J]],VOL_VOLUMEN_SUMINISTROS[[#This Row],[FIN DE SEMANA]])</f>
        <v>1052-1MNO</v>
      </c>
      <c r="D511" s="365" t="str">
        <f>CONCATENATE(VOL_VOLUMEN_SUMINISTROS[[#This Row],[Grupo]],VOL_VOLUMEN_SUMINISTROS[[#This Row],[Proyecto]],VOL_VOLUMEN_SUMINISTROS[[#This Row],[FIN DE SEMANA]])</f>
        <v>11052-1NO</v>
      </c>
      <c r="E511" s="30" t="s">
        <v>147</v>
      </c>
      <c r="F511" s="30" t="s">
        <v>148</v>
      </c>
      <c r="G511" s="365">
        <v>1</v>
      </c>
      <c r="H511" s="30">
        <v>8</v>
      </c>
      <c r="I511" s="9" t="s">
        <v>149</v>
      </c>
      <c r="J511" s="9" t="s">
        <v>451</v>
      </c>
      <c r="K511" s="30">
        <v>1</v>
      </c>
      <c r="L511" s="9" t="s">
        <v>452</v>
      </c>
      <c r="M511" s="30" t="s">
        <v>84</v>
      </c>
      <c r="N511" s="30" t="s">
        <v>152</v>
      </c>
      <c r="O511" s="24">
        <v>191</v>
      </c>
      <c r="P511" s="24">
        <v>486</v>
      </c>
      <c r="Q511" s="24">
        <v>666</v>
      </c>
      <c r="R511" s="24">
        <v>0</v>
      </c>
      <c r="S511" s="24">
        <v>0</v>
      </c>
      <c r="T511" s="24">
        <v>1343</v>
      </c>
    </row>
    <row r="512" spans="1:20">
      <c r="A512" s="9" t="s">
        <v>433</v>
      </c>
      <c r="B512" s="30" t="s">
        <v>434</v>
      </c>
      <c r="C512" s="30" t="str">
        <f>CONCATENATE(VOL_VOLUMEN_SUMINISTROS[[#This Row],[Proyecto]],VOL_VOLUMEN_SUMINISTROS[[#This Row],[J]],VOL_VOLUMEN_SUMINISTROS[[#This Row],[FIN DE SEMANA]])</f>
        <v>1052-1TNO</v>
      </c>
      <c r="D512" s="365" t="str">
        <f>CONCATENATE(VOL_VOLUMEN_SUMINISTROS[[#This Row],[Grupo]],VOL_VOLUMEN_SUMINISTROS[[#This Row],[Proyecto]],VOL_VOLUMEN_SUMINISTROS[[#This Row],[FIN DE SEMANA]])</f>
        <v>11052-1NO</v>
      </c>
      <c r="E512" s="30" t="s">
        <v>147</v>
      </c>
      <c r="F512" s="30" t="s">
        <v>148</v>
      </c>
      <c r="G512" s="365">
        <v>1</v>
      </c>
      <c r="H512" s="30">
        <v>8</v>
      </c>
      <c r="I512" s="9" t="s">
        <v>149</v>
      </c>
      <c r="J512" s="9" t="s">
        <v>451</v>
      </c>
      <c r="K512" s="30">
        <v>1</v>
      </c>
      <c r="L512" s="9" t="s">
        <v>452</v>
      </c>
      <c r="M512" s="30" t="s">
        <v>84</v>
      </c>
      <c r="N512" s="30" t="s">
        <v>155</v>
      </c>
      <c r="O512" s="24">
        <v>309</v>
      </c>
      <c r="P512" s="24">
        <v>447</v>
      </c>
      <c r="Q512" s="24">
        <v>459</v>
      </c>
      <c r="R512" s="24">
        <v>0</v>
      </c>
      <c r="S512" s="24">
        <v>0</v>
      </c>
      <c r="T512" s="24">
        <v>1215</v>
      </c>
    </row>
    <row r="513" spans="1:20">
      <c r="A513" s="9" t="s">
        <v>433</v>
      </c>
      <c r="B513" s="30" t="s">
        <v>434</v>
      </c>
      <c r="C513" s="30" t="str">
        <f>CONCATENATE(VOL_VOLUMEN_SUMINISTROS[[#This Row],[Proyecto]],VOL_VOLUMEN_SUMINISTROS[[#This Row],[J]],VOL_VOLUMEN_SUMINISTROS[[#This Row],[FIN DE SEMANA]])</f>
        <v>1052-1MNO</v>
      </c>
      <c r="D513" s="365" t="str">
        <f>CONCATENATE(VOL_VOLUMEN_SUMINISTROS[[#This Row],[Grupo]],VOL_VOLUMEN_SUMINISTROS[[#This Row],[Proyecto]],VOL_VOLUMEN_SUMINISTROS[[#This Row],[FIN DE SEMANA]])</f>
        <v>11052-1NO</v>
      </c>
      <c r="E513" s="30" t="s">
        <v>147</v>
      </c>
      <c r="F513" s="30" t="s">
        <v>148</v>
      </c>
      <c r="G513" s="365">
        <v>1</v>
      </c>
      <c r="H513" s="30">
        <v>8</v>
      </c>
      <c r="I513" s="9" t="s">
        <v>149</v>
      </c>
      <c r="J513" s="9" t="s">
        <v>453</v>
      </c>
      <c r="K513" s="30">
        <v>1</v>
      </c>
      <c r="L513" s="9" t="s">
        <v>454</v>
      </c>
      <c r="M513" s="30" t="s">
        <v>84</v>
      </c>
      <c r="N513" s="30" t="s">
        <v>152</v>
      </c>
      <c r="O513" s="24">
        <v>206</v>
      </c>
      <c r="P513" s="24">
        <v>327</v>
      </c>
      <c r="Q513" s="24">
        <v>395</v>
      </c>
      <c r="R513" s="24">
        <v>0</v>
      </c>
      <c r="S513" s="24">
        <v>0</v>
      </c>
      <c r="T513" s="24">
        <v>928</v>
      </c>
    </row>
    <row r="514" spans="1:20">
      <c r="A514" s="9" t="s">
        <v>433</v>
      </c>
      <c r="B514" s="30" t="s">
        <v>434</v>
      </c>
      <c r="C514" s="30" t="str">
        <f>CONCATENATE(VOL_VOLUMEN_SUMINISTROS[[#This Row],[Proyecto]],VOL_VOLUMEN_SUMINISTROS[[#This Row],[J]],VOL_VOLUMEN_SUMINISTROS[[#This Row],[FIN DE SEMANA]])</f>
        <v>1052-1TNO</v>
      </c>
      <c r="D514" s="365" t="str">
        <f>CONCATENATE(VOL_VOLUMEN_SUMINISTROS[[#This Row],[Grupo]],VOL_VOLUMEN_SUMINISTROS[[#This Row],[Proyecto]],VOL_VOLUMEN_SUMINISTROS[[#This Row],[FIN DE SEMANA]])</f>
        <v>11052-1NO</v>
      </c>
      <c r="E514" s="30" t="s">
        <v>147</v>
      </c>
      <c r="F514" s="30" t="s">
        <v>148</v>
      </c>
      <c r="G514" s="365">
        <v>1</v>
      </c>
      <c r="H514" s="30">
        <v>8</v>
      </c>
      <c r="I514" s="9" t="s">
        <v>149</v>
      </c>
      <c r="J514" s="9" t="s">
        <v>453</v>
      </c>
      <c r="K514" s="30">
        <v>1</v>
      </c>
      <c r="L514" s="9" t="s">
        <v>454</v>
      </c>
      <c r="M514" s="30" t="s">
        <v>84</v>
      </c>
      <c r="N514" s="30" t="s">
        <v>155</v>
      </c>
      <c r="O514" s="24">
        <v>205</v>
      </c>
      <c r="P514" s="24">
        <v>335</v>
      </c>
      <c r="Q514" s="24">
        <v>332</v>
      </c>
      <c r="R514" s="24">
        <v>0</v>
      </c>
      <c r="S514" s="24">
        <v>0</v>
      </c>
      <c r="T514" s="24">
        <v>872</v>
      </c>
    </row>
    <row r="515" spans="1:20">
      <c r="A515" s="9" t="s">
        <v>433</v>
      </c>
      <c r="B515" s="30" t="s">
        <v>434</v>
      </c>
      <c r="C515" s="30" t="str">
        <f>CONCATENATE(VOL_VOLUMEN_SUMINISTROS[[#This Row],[Proyecto]],VOL_VOLUMEN_SUMINISTROS[[#This Row],[J]],VOL_VOLUMEN_SUMINISTROS[[#This Row],[FIN DE SEMANA]])</f>
        <v>1052-1MNO</v>
      </c>
      <c r="D515" s="365" t="str">
        <f>CONCATENATE(VOL_VOLUMEN_SUMINISTROS[[#This Row],[Grupo]],VOL_VOLUMEN_SUMINISTROS[[#This Row],[Proyecto]],VOL_VOLUMEN_SUMINISTROS[[#This Row],[FIN DE SEMANA]])</f>
        <v>11052-1NO</v>
      </c>
      <c r="E515" s="30" t="s">
        <v>147</v>
      </c>
      <c r="F515" s="30" t="s">
        <v>148</v>
      </c>
      <c r="G515" s="365">
        <v>1</v>
      </c>
      <c r="H515" s="30">
        <v>8</v>
      </c>
      <c r="I515" s="9" t="s">
        <v>149</v>
      </c>
      <c r="J515" s="9" t="s">
        <v>455</v>
      </c>
      <c r="K515" s="30">
        <v>1</v>
      </c>
      <c r="L515" s="9" t="s">
        <v>456</v>
      </c>
      <c r="M515" s="30" t="s">
        <v>84</v>
      </c>
      <c r="N515" s="30" t="s">
        <v>152</v>
      </c>
      <c r="O515" s="24">
        <v>0</v>
      </c>
      <c r="P515" s="24">
        <v>261</v>
      </c>
      <c r="Q515" s="24">
        <v>451</v>
      </c>
      <c r="R515" s="24">
        <v>0</v>
      </c>
      <c r="S515" s="24">
        <v>0</v>
      </c>
      <c r="T515" s="24">
        <v>712</v>
      </c>
    </row>
    <row r="516" spans="1:20">
      <c r="A516" s="9" t="s">
        <v>433</v>
      </c>
      <c r="B516" s="30" t="s">
        <v>434</v>
      </c>
      <c r="C516" s="30" t="str">
        <f>CONCATENATE(VOL_VOLUMEN_SUMINISTROS[[#This Row],[Proyecto]],VOL_VOLUMEN_SUMINISTROS[[#This Row],[J]],VOL_VOLUMEN_SUMINISTROS[[#This Row],[FIN DE SEMANA]])</f>
        <v>1052-1TNO</v>
      </c>
      <c r="D516" s="365" t="str">
        <f>CONCATENATE(VOL_VOLUMEN_SUMINISTROS[[#This Row],[Grupo]],VOL_VOLUMEN_SUMINISTROS[[#This Row],[Proyecto]],VOL_VOLUMEN_SUMINISTROS[[#This Row],[FIN DE SEMANA]])</f>
        <v>11052-1NO</v>
      </c>
      <c r="E516" s="30" t="s">
        <v>147</v>
      </c>
      <c r="F516" s="30" t="s">
        <v>148</v>
      </c>
      <c r="G516" s="365">
        <v>1</v>
      </c>
      <c r="H516" s="30">
        <v>8</v>
      </c>
      <c r="I516" s="9" t="s">
        <v>149</v>
      </c>
      <c r="J516" s="9" t="s">
        <v>455</v>
      </c>
      <c r="K516" s="30">
        <v>1</v>
      </c>
      <c r="L516" s="9" t="s">
        <v>456</v>
      </c>
      <c r="M516" s="30" t="s">
        <v>84</v>
      </c>
      <c r="N516" s="30" t="s">
        <v>155</v>
      </c>
      <c r="O516" s="24">
        <v>0</v>
      </c>
      <c r="P516" s="24">
        <v>249</v>
      </c>
      <c r="Q516" s="24">
        <v>365</v>
      </c>
      <c r="R516" s="24">
        <v>0</v>
      </c>
      <c r="S516" s="24">
        <v>0</v>
      </c>
      <c r="T516" s="24">
        <v>614</v>
      </c>
    </row>
    <row r="517" spans="1:20">
      <c r="A517" s="9" t="s">
        <v>433</v>
      </c>
      <c r="B517" s="30" t="s">
        <v>434</v>
      </c>
      <c r="C517" s="30" t="str">
        <f>CONCATENATE(VOL_VOLUMEN_SUMINISTROS[[#This Row],[Proyecto]],VOL_VOLUMEN_SUMINISTROS[[#This Row],[J]],VOL_VOLUMEN_SUMINISTROS[[#This Row],[FIN DE SEMANA]])</f>
        <v>1052-1MNO</v>
      </c>
      <c r="D517" s="365" t="str">
        <f>CONCATENATE(VOL_VOLUMEN_SUMINISTROS[[#This Row],[Grupo]],VOL_VOLUMEN_SUMINISTROS[[#This Row],[Proyecto]],VOL_VOLUMEN_SUMINISTROS[[#This Row],[FIN DE SEMANA]])</f>
        <v>11052-1NO</v>
      </c>
      <c r="E517" s="30" t="s">
        <v>147</v>
      </c>
      <c r="F517" s="30" t="s">
        <v>148</v>
      </c>
      <c r="G517" s="365">
        <v>1</v>
      </c>
      <c r="H517" s="30">
        <v>8</v>
      </c>
      <c r="I517" s="9" t="s">
        <v>149</v>
      </c>
      <c r="J517" s="9" t="s">
        <v>455</v>
      </c>
      <c r="K517" s="30">
        <v>2</v>
      </c>
      <c r="L517" s="9" t="s">
        <v>457</v>
      </c>
      <c r="M517" s="30" t="s">
        <v>84</v>
      </c>
      <c r="N517" s="30" t="s">
        <v>152</v>
      </c>
      <c r="O517" s="24">
        <v>340</v>
      </c>
      <c r="P517" s="24">
        <v>228</v>
      </c>
      <c r="Q517" s="24">
        <v>36</v>
      </c>
      <c r="R517" s="24">
        <v>0</v>
      </c>
      <c r="S517" s="24">
        <v>0</v>
      </c>
      <c r="T517" s="24">
        <v>604</v>
      </c>
    </row>
    <row r="518" spans="1:20">
      <c r="A518" s="9" t="s">
        <v>433</v>
      </c>
      <c r="B518" s="30" t="s">
        <v>434</v>
      </c>
      <c r="C518" s="30" t="str">
        <f>CONCATENATE(VOL_VOLUMEN_SUMINISTROS[[#This Row],[Proyecto]],VOL_VOLUMEN_SUMINISTROS[[#This Row],[J]],VOL_VOLUMEN_SUMINISTROS[[#This Row],[FIN DE SEMANA]])</f>
        <v>1052-1TNO</v>
      </c>
      <c r="D518" s="365" t="str">
        <f>CONCATENATE(VOL_VOLUMEN_SUMINISTROS[[#This Row],[Grupo]],VOL_VOLUMEN_SUMINISTROS[[#This Row],[Proyecto]],VOL_VOLUMEN_SUMINISTROS[[#This Row],[FIN DE SEMANA]])</f>
        <v>11052-1NO</v>
      </c>
      <c r="E518" s="30" t="s">
        <v>147</v>
      </c>
      <c r="F518" s="30" t="s">
        <v>148</v>
      </c>
      <c r="G518" s="365">
        <v>1</v>
      </c>
      <c r="H518" s="30">
        <v>8</v>
      </c>
      <c r="I518" s="9" t="s">
        <v>149</v>
      </c>
      <c r="J518" s="9" t="s">
        <v>455</v>
      </c>
      <c r="K518" s="30">
        <v>2</v>
      </c>
      <c r="L518" s="9" t="s">
        <v>457</v>
      </c>
      <c r="M518" s="30" t="s">
        <v>84</v>
      </c>
      <c r="N518" s="30" t="s">
        <v>155</v>
      </c>
      <c r="O518" s="24">
        <v>330</v>
      </c>
      <c r="P518" s="24">
        <v>211</v>
      </c>
      <c r="Q518" s="24">
        <v>32</v>
      </c>
      <c r="R518" s="24">
        <v>0</v>
      </c>
      <c r="S518" s="24">
        <v>0</v>
      </c>
      <c r="T518" s="24">
        <v>573</v>
      </c>
    </row>
    <row r="519" spans="1:20">
      <c r="A519" s="9" t="s">
        <v>433</v>
      </c>
      <c r="B519" s="30" t="s">
        <v>434</v>
      </c>
      <c r="C519" s="30" t="str">
        <f>CONCATENATE(VOL_VOLUMEN_SUMINISTROS[[#This Row],[Proyecto]],VOL_VOLUMEN_SUMINISTROS[[#This Row],[J]],VOL_VOLUMEN_SUMINISTROS[[#This Row],[FIN DE SEMANA]])</f>
        <v>1052-1MNO</v>
      </c>
      <c r="D519" s="365" t="str">
        <f>CONCATENATE(VOL_VOLUMEN_SUMINISTROS[[#This Row],[Grupo]],VOL_VOLUMEN_SUMINISTROS[[#This Row],[Proyecto]],VOL_VOLUMEN_SUMINISTROS[[#This Row],[FIN DE SEMANA]])</f>
        <v>11052-1NO</v>
      </c>
      <c r="E519" s="30" t="s">
        <v>147</v>
      </c>
      <c r="F519" s="30" t="s">
        <v>148</v>
      </c>
      <c r="G519" s="365">
        <v>1</v>
      </c>
      <c r="H519" s="30">
        <v>8</v>
      </c>
      <c r="I519" s="9" t="s">
        <v>149</v>
      </c>
      <c r="J519" s="9" t="s">
        <v>455</v>
      </c>
      <c r="K519" s="30">
        <v>3</v>
      </c>
      <c r="L519" s="9" t="s">
        <v>458</v>
      </c>
      <c r="M519" s="30" t="s">
        <v>84</v>
      </c>
      <c r="N519" s="30" t="s">
        <v>152</v>
      </c>
      <c r="O519" s="24">
        <v>113</v>
      </c>
      <c r="P519" s="24">
        <v>0</v>
      </c>
      <c r="Q519" s="24">
        <v>0</v>
      </c>
      <c r="R519" s="24">
        <v>0</v>
      </c>
      <c r="S519" s="24">
        <v>0</v>
      </c>
      <c r="T519" s="24">
        <v>113</v>
      </c>
    </row>
    <row r="520" spans="1:20">
      <c r="A520" s="9" t="s">
        <v>433</v>
      </c>
      <c r="B520" s="30" t="s">
        <v>434</v>
      </c>
      <c r="C520" s="30" t="str">
        <f>CONCATENATE(VOL_VOLUMEN_SUMINISTROS[[#This Row],[Proyecto]],VOL_VOLUMEN_SUMINISTROS[[#This Row],[J]],VOL_VOLUMEN_SUMINISTROS[[#This Row],[FIN DE SEMANA]])</f>
        <v>1052-1MNO</v>
      </c>
      <c r="D520" s="365" t="str">
        <f>CONCATENATE(VOL_VOLUMEN_SUMINISTROS[[#This Row],[Grupo]],VOL_VOLUMEN_SUMINISTROS[[#This Row],[Proyecto]],VOL_VOLUMEN_SUMINISTROS[[#This Row],[FIN DE SEMANA]])</f>
        <v>11052-1NO</v>
      </c>
      <c r="E520" s="30" t="s">
        <v>147</v>
      </c>
      <c r="F520" s="30" t="s">
        <v>148</v>
      </c>
      <c r="G520" s="365">
        <v>1</v>
      </c>
      <c r="H520" s="30">
        <v>8</v>
      </c>
      <c r="I520" s="9" t="s">
        <v>149</v>
      </c>
      <c r="J520" s="9" t="s">
        <v>459</v>
      </c>
      <c r="K520" s="30">
        <v>1</v>
      </c>
      <c r="L520" s="9" t="s">
        <v>460</v>
      </c>
      <c r="M520" s="30" t="s">
        <v>84</v>
      </c>
      <c r="N520" s="30" t="s">
        <v>152</v>
      </c>
      <c r="O520" s="24">
        <v>221</v>
      </c>
      <c r="P520" s="24">
        <v>305</v>
      </c>
      <c r="Q520" s="24">
        <v>228</v>
      </c>
      <c r="R520" s="24">
        <v>0</v>
      </c>
      <c r="S520" s="24">
        <v>0</v>
      </c>
      <c r="T520" s="24">
        <v>754</v>
      </c>
    </row>
    <row r="521" spans="1:20">
      <c r="A521" s="9" t="s">
        <v>433</v>
      </c>
      <c r="B521" s="30" t="s">
        <v>434</v>
      </c>
      <c r="C521" s="30" t="str">
        <f>CONCATENATE(VOL_VOLUMEN_SUMINISTROS[[#This Row],[Proyecto]],VOL_VOLUMEN_SUMINISTROS[[#This Row],[J]],VOL_VOLUMEN_SUMINISTROS[[#This Row],[FIN DE SEMANA]])</f>
        <v>1052-1TNO</v>
      </c>
      <c r="D521" s="365" t="str">
        <f>CONCATENATE(VOL_VOLUMEN_SUMINISTROS[[#This Row],[Grupo]],VOL_VOLUMEN_SUMINISTROS[[#This Row],[Proyecto]],VOL_VOLUMEN_SUMINISTROS[[#This Row],[FIN DE SEMANA]])</f>
        <v>11052-1NO</v>
      </c>
      <c r="E521" s="30" t="s">
        <v>147</v>
      </c>
      <c r="F521" s="30" t="s">
        <v>148</v>
      </c>
      <c r="G521" s="365">
        <v>1</v>
      </c>
      <c r="H521" s="30">
        <v>8</v>
      </c>
      <c r="I521" s="9" t="s">
        <v>149</v>
      </c>
      <c r="J521" s="9" t="s">
        <v>459</v>
      </c>
      <c r="K521" s="30">
        <v>1</v>
      </c>
      <c r="L521" s="9" t="s">
        <v>460</v>
      </c>
      <c r="M521" s="30" t="s">
        <v>84</v>
      </c>
      <c r="N521" s="30" t="s">
        <v>155</v>
      </c>
      <c r="O521" s="24">
        <v>221</v>
      </c>
      <c r="P521" s="24">
        <v>307</v>
      </c>
      <c r="Q521" s="24">
        <v>215</v>
      </c>
      <c r="R521" s="24">
        <v>0</v>
      </c>
      <c r="S521" s="24">
        <v>0</v>
      </c>
      <c r="T521" s="24">
        <v>743</v>
      </c>
    </row>
    <row r="522" spans="1:20">
      <c r="A522" s="9" t="s">
        <v>433</v>
      </c>
      <c r="B522" s="30" t="s">
        <v>434</v>
      </c>
      <c r="C522" s="30" t="str">
        <f>CONCATENATE(VOL_VOLUMEN_SUMINISTROS[[#This Row],[Proyecto]],VOL_VOLUMEN_SUMINISTROS[[#This Row],[J]],VOL_VOLUMEN_SUMINISTROS[[#This Row],[FIN DE SEMANA]])</f>
        <v>1052-1MNO</v>
      </c>
      <c r="D522" s="365" t="str">
        <f>CONCATENATE(VOL_VOLUMEN_SUMINISTROS[[#This Row],[Grupo]],VOL_VOLUMEN_SUMINISTROS[[#This Row],[Proyecto]],VOL_VOLUMEN_SUMINISTROS[[#This Row],[FIN DE SEMANA]])</f>
        <v>41052-1NO</v>
      </c>
      <c r="E522" s="30" t="s">
        <v>147</v>
      </c>
      <c r="F522" s="30" t="s">
        <v>148</v>
      </c>
      <c r="G522" s="365">
        <v>4</v>
      </c>
      <c r="H522" s="30">
        <v>8</v>
      </c>
      <c r="I522" s="9" t="s">
        <v>149</v>
      </c>
      <c r="J522" s="9" t="s">
        <v>461</v>
      </c>
      <c r="K522" s="30">
        <v>1</v>
      </c>
      <c r="L522" s="9" t="s">
        <v>462</v>
      </c>
      <c r="M522" s="30" t="s">
        <v>84</v>
      </c>
      <c r="N522" s="30" t="s">
        <v>152</v>
      </c>
      <c r="O522" s="24">
        <v>269</v>
      </c>
      <c r="P522" s="24">
        <v>328</v>
      </c>
      <c r="Q522" s="24">
        <v>419</v>
      </c>
      <c r="R522" s="24">
        <v>0</v>
      </c>
      <c r="S522" s="24">
        <v>0</v>
      </c>
      <c r="T522" s="24">
        <v>1016</v>
      </c>
    </row>
    <row r="523" spans="1:20">
      <c r="A523" s="9" t="s">
        <v>433</v>
      </c>
      <c r="B523" s="30" t="s">
        <v>434</v>
      </c>
      <c r="C523" s="30" t="str">
        <f>CONCATENATE(VOL_VOLUMEN_SUMINISTROS[[#This Row],[Proyecto]],VOL_VOLUMEN_SUMINISTROS[[#This Row],[J]],VOL_VOLUMEN_SUMINISTROS[[#This Row],[FIN DE SEMANA]])</f>
        <v>1052-1TNO</v>
      </c>
      <c r="D523" s="365" t="str">
        <f>CONCATENATE(VOL_VOLUMEN_SUMINISTROS[[#This Row],[Grupo]],VOL_VOLUMEN_SUMINISTROS[[#This Row],[Proyecto]],VOL_VOLUMEN_SUMINISTROS[[#This Row],[FIN DE SEMANA]])</f>
        <v>41052-1NO</v>
      </c>
      <c r="E523" s="30" t="s">
        <v>147</v>
      </c>
      <c r="F523" s="30" t="s">
        <v>148</v>
      </c>
      <c r="G523" s="365">
        <v>4</v>
      </c>
      <c r="H523" s="30">
        <v>8</v>
      </c>
      <c r="I523" s="9" t="s">
        <v>149</v>
      </c>
      <c r="J523" s="9" t="s">
        <v>461</v>
      </c>
      <c r="K523" s="30">
        <v>1</v>
      </c>
      <c r="L523" s="9" t="s">
        <v>462</v>
      </c>
      <c r="M523" s="30" t="s">
        <v>84</v>
      </c>
      <c r="N523" s="30" t="s">
        <v>155</v>
      </c>
      <c r="O523" s="24">
        <v>243</v>
      </c>
      <c r="P523" s="24">
        <v>366</v>
      </c>
      <c r="Q523" s="24">
        <v>414</v>
      </c>
      <c r="R523" s="24">
        <v>0</v>
      </c>
      <c r="S523" s="24">
        <v>0</v>
      </c>
      <c r="T523" s="24">
        <v>1023</v>
      </c>
    </row>
    <row r="524" spans="1:20">
      <c r="A524" s="9" t="s">
        <v>433</v>
      </c>
      <c r="B524" s="30" t="s">
        <v>434</v>
      </c>
      <c r="C524" s="30" t="str">
        <f>CONCATENATE(VOL_VOLUMEN_SUMINISTROS[[#This Row],[Proyecto]],VOL_VOLUMEN_SUMINISTROS[[#This Row],[J]],VOL_VOLUMEN_SUMINISTROS[[#This Row],[FIN DE SEMANA]])</f>
        <v>1052-1MNO</v>
      </c>
      <c r="D524" s="365" t="str">
        <f>CONCATENATE(VOL_VOLUMEN_SUMINISTROS[[#This Row],[Grupo]],VOL_VOLUMEN_SUMINISTROS[[#This Row],[Proyecto]],VOL_VOLUMEN_SUMINISTROS[[#This Row],[FIN DE SEMANA]])</f>
        <v>11052-1NO</v>
      </c>
      <c r="E524" s="30" t="s">
        <v>147</v>
      </c>
      <c r="F524" s="30" t="s">
        <v>148</v>
      </c>
      <c r="G524" s="365">
        <v>1</v>
      </c>
      <c r="H524" s="30">
        <v>8</v>
      </c>
      <c r="I524" s="9" t="s">
        <v>149</v>
      </c>
      <c r="J524" s="9" t="s">
        <v>463</v>
      </c>
      <c r="K524" s="30">
        <v>1</v>
      </c>
      <c r="L524" s="9" t="s">
        <v>464</v>
      </c>
      <c r="M524" s="30" t="s">
        <v>84</v>
      </c>
      <c r="N524" s="30" t="s">
        <v>152</v>
      </c>
      <c r="O524" s="24">
        <v>20</v>
      </c>
      <c r="P524" s="24">
        <v>147</v>
      </c>
      <c r="Q524" s="24">
        <v>346</v>
      </c>
      <c r="R524" s="24">
        <v>0</v>
      </c>
      <c r="S524" s="24">
        <v>0</v>
      </c>
      <c r="T524" s="24">
        <v>513</v>
      </c>
    </row>
    <row r="525" spans="1:20">
      <c r="A525" s="9" t="s">
        <v>433</v>
      </c>
      <c r="B525" s="30" t="s">
        <v>434</v>
      </c>
      <c r="C525" s="30" t="str">
        <f>CONCATENATE(VOL_VOLUMEN_SUMINISTROS[[#This Row],[Proyecto]],VOL_VOLUMEN_SUMINISTROS[[#This Row],[J]],VOL_VOLUMEN_SUMINISTROS[[#This Row],[FIN DE SEMANA]])</f>
        <v>1052-1TNO</v>
      </c>
      <c r="D525" s="365" t="str">
        <f>CONCATENATE(VOL_VOLUMEN_SUMINISTROS[[#This Row],[Grupo]],VOL_VOLUMEN_SUMINISTROS[[#This Row],[Proyecto]],VOL_VOLUMEN_SUMINISTROS[[#This Row],[FIN DE SEMANA]])</f>
        <v>11052-1NO</v>
      </c>
      <c r="E525" s="30" t="s">
        <v>147</v>
      </c>
      <c r="F525" s="30" t="s">
        <v>148</v>
      </c>
      <c r="G525" s="365">
        <v>1</v>
      </c>
      <c r="H525" s="30">
        <v>8</v>
      </c>
      <c r="I525" s="9" t="s">
        <v>149</v>
      </c>
      <c r="J525" s="9" t="s">
        <v>463</v>
      </c>
      <c r="K525" s="30">
        <v>1</v>
      </c>
      <c r="L525" s="9" t="s">
        <v>464</v>
      </c>
      <c r="M525" s="30" t="s">
        <v>84</v>
      </c>
      <c r="N525" s="30" t="s">
        <v>155</v>
      </c>
      <c r="O525" s="24">
        <v>25</v>
      </c>
      <c r="P525" s="24">
        <v>147</v>
      </c>
      <c r="Q525" s="24">
        <v>306</v>
      </c>
      <c r="R525" s="24">
        <v>0</v>
      </c>
      <c r="S525" s="24">
        <v>0</v>
      </c>
      <c r="T525" s="24">
        <v>478</v>
      </c>
    </row>
    <row r="526" spans="1:20">
      <c r="A526" s="9" t="s">
        <v>433</v>
      </c>
      <c r="B526" s="30" t="s">
        <v>434</v>
      </c>
      <c r="C526" s="30" t="str">
        <f>CONCATENATE(VOL_VOLUMEN_SUMINISTROS[[#This Row],[Proyecto]],VOL_VOLUMEN_SUMINISTROS[[#This Row],[J]],VOL_VOLUMEN_SUMINISTROS[[#This Row],[FIN DE SEMANA]])</f>
        <v>1052-1MNO</v>
      </c>
      <c r="D526" s="365" t="str">
        <f>CONCATENATE(VOL_VOLUMEN_SUMINISTROS[[#This Row],[Grupo]],VOL_VOLUMEN_SUMINISTROS[[#This Row],[Proyecto]],VOL_VOLUMEN_SUMINISTROS[[#This Row],[FIN DE SEMANA]])</f>
        <v>11052-1NO</v>
      </c>
      <c r="E526" s="30" t="s">
        <v>147</v>
      </c>
      <c r="F526" s="30" t="s">
        <v>148</v>
      </c>
      <c r="G526" s="365">
        <v>1</v>
      </c>
      <c r="H526" s="30">
        <v>8</v>
      </c>
      <c r="I526" s="9" t="s">
        <v>149</v>
      </c>
      <c r="J526" s="9" t="s">
        <v>463</v>
      </c>
      <c r="K526" s="30">
        <v>2</v>
      </c>
      <c r="L526" s="9" t="s">
        <v>465</v>
      </c>
      <c r="M526" s="30" t="s">
        <v>84</v>
      </c>
      <c r="N526" s="30" t="s">
        <v>152</v>
      </c>
      <c r="O526" s="24">
        <v>272</v>
      </c>
      <c r="P526" s="24">
        <v>253</v>
      </c>
      <c r="Q526" s="24">
        <v>51</v>
      </c>
      <c r="R526" s="24">
        <v>0</v>
      </c>
      <c r="S526" s="24">
        <v>0</v>
      </c>
      <c r="T526" s="24">
        <v>576</v>
      </c>
    </row>
    <row r="527" spans="1:20">
      <c r="A527" s="9" t="s">
        <v>433</v>
      </c>
      <c r="B527" s="30" t="s">
        <v>434</v>
      </c>
      <c r="C527" s="30" t="str">
        <f>CONCATENATE(VOL_VOLUMEN_SUMINISTROS[[#This Row],[Proyecto]],VOL_VOLUMEN_SUMINISTROS[[#This Row],[J]],VOL_VOLUMEN_SUMINISTROS[[#This Row],[FIN DE SEMANA]])</f>
        <v>1052-1TNO</v>
      </c>
      <c r="D527" s="365" t="str">
        <f>CONCATENATE(VOL_VOLUMEN_SUMINISTROS[[#This Row],[Grupo]],VOL_VOLUMEN_SUMINISTROS[[#This Row],[Proyecto]],VOL_VOLUMEN_SUMINISTROS[[#This Row],[FIN DE SEMANA]])</f>
        <v>11052-1NO</v>
      </c>
      <c r="E527" s="30" t="s">
        <v>147</v>
      </c>
      <c r="F527" s="30" t="s">
        <v>148</v>
      </c>
      <c r="G527" s="365">
        <v>1</v>
      </c>
      <c r="H527" s="30">
        <v>8</v>
      </c>
      <c r="I527" s="9" t="s">
        <v>149</v>
      </c>
      <c r="J527" s="9" t="s">
        <v>463</v>
      </c>
      <c r="K527" s="30">
        <v>2</v>
      </c>
      <c r="L527" s="9" t="s">
        <v>465</v>
      </c>
      <c r="M527" s="30" t="s">
        <v>84</v>
      </c>
      <c r="N527" s="30" t="s">
        <v>155</v>
      </c>
      <c r="O527" s="24">
        <v>280</v>
      </c>
      <c r="P527" s="24">
        <v>255</v>
      </c>
      <c r="Q527" s="24">
        <v>51</v>
      </c>
      <c r="R527" s="24">
        <v>0</v>
      </c>
      <c r="S527" s="24">
        <v>0</v>
      </c>
      <c r="T527" s="24">
        <v>586</v>
      </c>
    </row>
    <row r="528" spans="1:20">
      <c r="A528" s="9" t="s">
        <v>433</v>
      </c>
      <c r="B528" s="30" t="s">
        <v>434</v>
      </c>
      <c r="C528" s="30" t="str">
        <f>CONCATENATE(VOL_VOLUMEN_SUMINISTROS[[#This Row],[Proyecto]],VOL_VOLUMEN_SUMINISTROS[[#This Row],[J]],VOL_VOLUMEN_SUMINISTROS[[#This Row],[FIN DE SEMANA]])</f>
        <v>1052-1MNO</v>
      </c>
      <c r="D528" s="365" t="str">
        <f>CONCATENATE(VOL_VOLUMEN_SUMINISTROS[[#This Row],[Grupo]],VOL_VOLUMEN_SUMINISTROS[[#This Row],[Proyecto]],VOL_VOLUMEN_SUMINISTROS[[#This Row],[FIN DE SEMANA]])</f>
        <v>11052-1NO</v>
      </c>
      <c r="E528" s="30" t="s">
        <v>147</v>
      </c>
      <c r="F528" s="30" t="s">
        <v>148</v>
      </c>
      <c r="G528" s="365">
        <v>1</v>
      </c>
      <c r="H528" s="30">
        <v>8</v>
      </c>
      <c r="I528" s="9" t="s">
        <v>149</v>
      </c>
      <c r="J528" s="9" t="s">
        <v>466</v>
      </c>
      <c r="K528" s="30">
        <v>1</v>
      </c>
      <c r="L528" s="9" t="s">
        <v>467</v>
      </c>
      <c r="M528" s="30" t="s">
        <v>84</v>
      </c>
      <c r="N528" s="30" t="s">
        <v>152</v>
      </c>
      <c r="O528" s="24">
        <v>0</v>
      </c>
      <c r="P528" s="24">
        <v>324</v>
      </c>
      <c r="Q528" s="24">
        <v>495</v>
      </c>
      <c r="R528" s="24">
        <v>0</v>
      </c>
      <c r="S528" s="24">
        <v>0</v>
      </c>
      <c r="T528" s="24">
        <v>819</v>
      </c>
    </row>
    <row r="529" spans="1:20">
      <c r="A529" s="9" t="s">
        <v>433</v>
      </c>
      <c r="B529" s="30" t="s">
        <v>434</v>
      </c>
      <c r="C529" s="30" t="str">
        <f>CONCATENATE(VOL_VOLUMEN_SUMINISTROS[[#This Row],[Proyecto]],VOL_VOLUMEN_SUMINISTROS[[#This Row],[J]],VOL_VOLUMEN_SUMINISTROS[[#This Row],[FIN DE SEMANA]])</f>
        <v>1052-1TNO</v>
      </c>
      <c r="D529" s="365" t="str">
        <f>CONCATENATE(VOL_VOLUMEN_SUMINISTROS[[#This Row],[Grupo]],VOL_VOLUMEN_SUMINISTROS[[#This Row],[Proyecto]],VOL_VOLUMEN_SUMINISTROS[[#This Row],[FIN DE SEMANA]])</f>
        <v>11052-1NO</v>
      </c>
      <c r="E529" s="30" t="s">
        <v>147</v>
      </c>
      <c r="F529" s="30" t="s">
        <v>148</v>
      </c>
      <c r="G529" s="365">
        <v>1</v>
      </c>
      <c r="H529" s="30">
        <v>8</v>
      </c>
      <c r="I529" s="9" t="s">
        <v>149</v>
      </c>
      <c r="J529" s="9" t="s">
        <v>466</v>
      </c>
      <c r="K529" s="30">
        <v>1</v>
      </c>
      <c r="L529" s="9" t="s">
        <v>467</v>
      </c>
      <c r="M529" s="30" t="s">
        <v>84</v>
      </c>
      <c r="N529" s="30" t="s">
        <v>155</v>
      </c>
      <c r="O529" s="24">
        <v>0</v>
      </c>
      <c r="P529" s="24">
        <v>342</v>
      </c>
      <c r="Q529" s="24">
        <v>438</v>
      </c>
      <c r="R529" s="24">
        <v>0</v>
      </c>
      <c r="S529" s="24">
        <v>0</v>
      </c>
      <c r="T529" s="24">
        <v>780</v>
      </c>
    </row>
    <row r="530" spans="1:20">
      <c r="A530" s="9" t="s">
        <v>433</v>
      </c>
      <c r="B530" s="30" t="s">
        <v>434</v>
      </c>
      <c r="C530" s="30" t="str">
        <f>CONCATENATE(VOL_VOLUMEN_SUMINISTROS[[#This Row],[Proyecto]],VOL_VOLUMEN_SUMINISTROS[[#This Row],[J]],VOL_VOLUMEN_SUMINISTROS[[#This Row],[FIN DE SEMANA]])</f>
        <v>1052-1MNO</v>
      </c>
      <c r="D530" s="365" t="str">
        <f>CONCATENATE(VOL_VOLUMEN_SUMINISTROS[[#This Row],[Grupo]],VOL_VOLUMEN_SUMINISTROS[[#This Row],[Proyecto]],VOL_VOLUMEN_SUMINISTROS[[#This Row],[FIN DE SEMANA]])</f>
        <v>11052-1NO</v>
      </c>
      <c r="E530" s="30" t="s">
        <v>147</v>
      </c>
      <c r="F530" s="30" t="s">
        <v>148</v>
      </c>
      <c r="G530" s="365">
        <v>1</v>
      </c>
      <c r="H530" s="30">
        <v>8</v>
      </c>
      <c r="I530" s="9" t="s">
        <v>149</v>
      </c>
      <c r="J530" s="9" t="s">
        <v>466</v>
      </c>
      <c r="K530" s="30">
        <v>2</v>
      </c>
      <c r="L530" s="9" t="s">
        <v>468</v>
      </c>
      <c r="M530" s="30" t="s">
        <v>84</v>
      </c>
      <c r="N530" s="30" t="s">
        <v>152</v>
      </c>
      <c r="O530" s="24">
        <v>148</v>
      </c>
      <c r="P530" s="24">
        <v>0</v>
      </c>
      <c r="Q530" s="24">
        <v>0</v>
      </c>
      <c r="R530" s="24">
        <v>0</v>
      </c>
      <c r="S530" s="24">
        <v>0</v>
      </c>
      <c r="T530" s="24">
        <v>148</v>
      </c>
    </row>
    <row r="531" spans="1:20">
      <c r="A531" s="9" t="s">
        <v>433</v>
      </c>
      <c r="B531" s="30" t="s">
        <v>434</v>
      </c>
      <c r="C531" s="30" t="str">
        <f>CONCATENATE(VOL_VOLUMEN_SUMINISTROS[[#This Row],[Proyecto]],VOL_VOLUMEN_SUMINISTROS[[#This Row],[J]],VOL_VOLUMEN_SUMINISTROS[[#This Row],[FIN DE SEMANA]])</f>
        <v>1052-1TNO</v>
      </c>
      <c r="D531" s="365" t="str">
        <f>CONCATENATE(VOL_VOLUMEN_SUMINISTROS[[#This Row],[Grupo]],VOL_VOLUMEN_SUMINISTROS[[#This Row],[Proyecto]],VOL_VOLUMEN_SUMINISTROS[[#This Row],[FIN DE SEMANA]])</f>
        <v>11052-1NO</v>
      </c>
      <c r="E531" s="30" t="s">
        <v>147</v>
      </c>
      <c r="F531" s="30" t="s">
        <v>148</v>
      </c>
      <c r="G531" s="365">
        <v>1</v>
      </c>
      <c r="H531" s="30">
        <v>8</v>
      </c>
      <c r="I531" s="9" t="s">
        <v>149</v>
      </c>
      <c r="J531" s="9" t="s">
        <v>466</v>
      </c>
      <c r="K531" s="30">
        <v>2</v>
      </c>
      <c r="L531" s="9" t="s">
        <v>468</v>
      </c>
      <c r="M531" s="30" t="s">
        <v>84</v>
      </c>
      <c r="N531" s="30" t="s">
        <v>155</v>
      </c>
      <c r="O531" s="24">
        <v>142</v>
      </c>
      <c r="P531" s="24">
        <v>0</v>
      </c>
      <c r="Q531" s="24">
        <v>0</v>
      </c>
      <c r="R531" s="24">
        <v>0</v>
      </c>
      <c r="S531" s="24">
        <v>0</v>
      </c>
      <c r="T531" s="24">
        <v>142</v>
      </c>
    </row>
    <row r="532" spans="1:20">
      <c r="A532" s="9" t="s">
        <v>433</v>
      </c>
      <c r="B532" s="30" t="s">
        <v>434</v>
      </c>
      <c r="C532" s="30" t="str">
        <f>CONCATENATE(VOL_VOLUMEN_SUMINISTROS[[#This Row],[Proyecto]],VOL_VOLUMEN_SUMINISTROS[[#This Row],[J]],VOL_VOLUMEN_SUMINISTROS[[#This Row],[FIN DE SEMANA]])</f>
        <v>1052-1MNO</v>
      </c>
      <c r="D532" s="365" t="str">
        <f>CONCATENATE(VOL_VOLUMEN_SUMINISTROS[[#This Row],[Grupo]],VOL_VOLUMEN_SUMINISTROS[[#This Row],[Proyecto]],VOL_VOLUMEN_SUMINISTROS[[#This Row],[FIN DE SEMANA]])</f>
        <v>11052-1NO</v>
      </c>
      <c r="E532" s="30" t="s">
        <v>147</v>
      </c>
      <c r="F532" s="30" t="s">
        <v>148</v>
      </c>
      <c r="G532" s="365">
        <v>1</v>
      </c>
      <c r="H532" s="30">
        <v>8</v>
      </c>
      <c r="I532" s="9" t="s">
        <v>149</v>
      </c>
      <c r="J532" s="9" t="s">
        <v>466</v>
      </c>
      <c r="K532" s="30">
        <v>3</v>
      </c>
      <c r="L532" s="9" t="s">
        <v>469</v>
      </c>
      <c r="M532" s="30" t="s">
        <v>84</v>
      </c>
      <c r="N532" s="30" t="s">
        <v>152</v>
      </c>
      <c r="O532" s="24">
        <v>403</v>
      </c>
      <c r="P532" s="24">
        <v>230</v>
      </c>
      <c r="Q532" s="24">
        <v>33</v>
      </c>
      <c r="R532" s="24">
        <v>0</v>
      </c>
      <c r="S532" s="24">
        <v>0</v>
      </c>
      <c r="T532" s="24">
        <v>666</v>
      </c>
    </row>
    <row r="533" spans="1:20">
      <c r="A533" s="9" t="s">
        <v>433</v>
      </c>
      <c r="B533" s="30" t="s">
        <v>434</v>
      </c>
      <c r="C533" s="30" t="str">
        <f>CONCATENATE(VOL_VOLUMEN_SUMINISTROS[[#This Row],[Proyecto]],VOL_VOLUMEN_SUMINISTROS[[#This Row],[J]],VOL_VOLUMEN_SUMINISTROS[[#This Row],[FIN DE SEMANA]])</f>
        <v>1052-1TNO</v>
      </c>
      <c r="D533" s="365" t="str">
        <f>CONCATENATE(VOL_VOLUMEN_SUMINISTROS[[#This Row],[Grupo]],VOL_VOLUMEN_SUMINISTROS[[#This Row],[Proyecto]],VOL_VOLUMEN_SUMINISTROS[[#This Row],[FIN DE SEMANA]])</f>
        <v>11052-1NO</v>
      </c>
      <c r="E533" s="30" t="s">
        <v>147</v>
      </c>
      <c r="F533" s="30" t="s">
        <v>148</v>
      </c>
      <c r="G533" s="365">
        <v>1</v>
      </c>
      <c r="H533" s="30">
        <v>8</v>
      </c>
      <c r="I533" s="9" t="s">
        <v>149</v>
      </c>
      <c r="J533" s="9" t="s">
        <v>466</v>
      </c>
      <c r="K533" s="30">
        <v>3</v>
      </c>
      <c r="L533" s="9" t="s">
        <v>469</v>
      </c>
      <c r="M533" s="30" t="s">
        <v>84</v>
      </c>
      <c r="N533" s="30" t="s">
        <v>155</v>
      </c>
      <c r="O533" s="24">
        <v>394</v>
      </c>
      <c r="P533" s="24">
        <v>227</v>
      </c>
      <c r="Q533" s="24">
        <v>32</v>
      </c>
      <c r="R533" s="24">
        <v>0</v>
      </c>
      <c r="S533" s="24">
        <v>0</v>
      </c>
      <c r="T533" s="24">
        <v>653</v>
      </c>
    </row>
    <row r="534" spans="1:20">
      <c r="A534" s="9" t="s">
        <v>433</v>
      </c>
      <c r="B534" s="30" t="s">
        <v>470</v>
      </c>
      <c r="C534" s="30" t="str">
        <f>CONCATENATE(VOL_VOLUMEN_SUMINISTROS[[#This Row],[Proyecto]],VOL_VOLUMEN_SUMINISTROS[[#This Row],[J]],VOL_VOLUMEN_SUMINISTROS[[#This Row],[FIN DE SEMANA]])</f>
        <v>1052-2MNO</v>
      </c>
      <c r="D534" s="365" t="str">
        <f>CONCATENATE(VOL_VOLUMEN_SUMINISTROS[[#This Row],[Grupo]],VOL_VOLUMEN_SUMINISTROS[[#This Row],[Proyecto]],VOL_VOLUMEN_SUMINISTROS[[#This Row],[FIN DE SEMANA]])</f>
        <v>71052-2NO</v>
      </c>
      <c r="E534" s="30" t="s">
        <v>183</v>
      </c>
      <c r="F534" s="30" t="s">
        <v>148</v>
      </c>
      <c r="G534" s="365">
        <v>7</v>
      </c>
      <c r="H534" s="30">
        <v>16</v>
      </c>
      <c r="I534" s="9" t="s">
        <v>435</v>
      </c>
      <c r="J534" s="9" t="s">
        <v>438</v>
      </c>
      <c r="K534" s="30">
        <v>1</v>
      </c>
      <c r="L534" s="9" t="s">
        <v>439</v>
      </c>
      <c r="M534" s="30" t="s">
        <v>84</v>
      </c>
      <c r="N534" s="30" t="s">
        <v>152</v>
      </c>
      <c r="O534" s="24">
        <v>0</v>
      </c>
      <c r="P534" s="24">
        <v>12</v>
      </c>
      <c r="Q534" s="24">
        <v>29</v>
      </c>
      <c r="R534" s="24">
        <v>0</v>
      </c>
      <c r="S534" s="24">
        <v>0</v>
      </c>
      <c r="T534" s="24">
        <v>41</v>
      </c>
    </row>
    <row r="535" spans="1:20">
      <c r="A535" s="9" t="s">
        <v>433</v>
      </c>
      <c r="B535" s="30" t="s">
        <v>470</v>
      </c>
      <c r="C535" s="30" t="str">
        <f>CONCATENATE(VOL_VOLUMEN_SUMINISTROS[[#This Row],[Proyecto]],VOL_VOLUMEN_SUMINISTROS[[#This Row],[J]],VOL_VOLUMEN_SUMINISTROS[[#This Row],[FIN DE SEMANA]])</f>
        <v>1052-2M1NO</v>
      </c>
      <c r="D535" s="365" t="str">
        <f>CONCATENATE(VOL_VOLUMEN_SUMINISTROS[[#This Row],[Grupo]],VOL_VOLUMEN_SUMINISTROS[[#This Row],[Proyecto]],VOL_VOLUMEN_SUMINISTROS[[#This Row],[FIN DE SEMANA]])</f>
        <v>71052-2NO</v>
      </c>
      <c r="E535" s="30" t="s">
        <v>183</v>
      </c>
      <c r="F535" s="30" t="s">
        <v>148</v>
      </c>
      <c r="G535" s="365">
        <v>7</v>
      </c>
      <c r="H535" s="30">
        <v>16</v>
      </c>
      <c r="I535" s="9" t="s">
        <v>435</v>
      </c>
      <c r="J535" s="9" t="s">
        <v>438</v>
      </c>
      <c r="K535" s="30">
        <v>1</v>
      </c>
      <c r="L535" s="9" t="s">
        <v>439</v>
      </c>
      <c r="M535" s="30" t="s">
        <v>84</v>
      </c>
      <c r="N535" s="30" t="s">
        <v>216</v>
      </c>
      <c r="O535" s="24">
        <v>14</v>
      </c>
      <c r="P535" s="24">
        <v>49</v>
      </c>
      <c r="Q535" s="24">
        <v>79</v>
      </c>
      <c r="R535" s="24">
        <v>0</v>
      </c>
      <c r="S535" s="24">
        <v>0</v>
      </c>
      <c r="T535" s="24">
        <v>142</v>
      </c>
    </row>
    <row r="536" spans="1:20">
      <c r="A536" s="9" t="s">
        <v>433</v>
      </c>
      <c r="B536" s="30" t="s">
        <v>470</v>
      </c>
      <c r="C536" s="30" t="str">
        <f>CONCATENATE(VOL_VOLUMEN_SUMINISTROS[[#This Row],[Proyecto]],VOL_VOLUMEN_SUMINISTROS[[#This Row],[J]],VOL_VOLUMEN_SUMINISTROS[[#This Row],[FIN DE SEMANA]])</f>
        <v>1052-2TNO</v>
      </c>
      <c r="D536" s="365" t="str">
        <f>CONCATENATE(VOL_VOLUMEN_SUMINISTROS[[#This Row],[Grupo]],VOL_VOLUMEN_SUMINISTROS[[#This Row],[Proyecto]],VOL_VOLUMEN_SUMINISTROS[[#This Row],[FIN DE SEMANA]])</f>
        <v>71052-2NO</v>
      </c>
      <c r="E536" s="30" t="s">
        <v>183</v>
      </c>
      <c r="F536" s="30" t="s">
        <v>148</v>
      </c>
      <c r="G536" s="365">
        <v>7</v>
      </c>
      <c r="H536" s="30">
        <v>16</v>
      </c>
      <c r="I536" s="9" t="s">
        <v>435</v>
      </c>
      <c r="J536" s="9" t="s">
        <v>438</v>
      </c>
      <c r="K536" s="30">
        <v>1</v>
      </c>
      <c r="L536" s="9" t="s">
        <v>440</v>
      </c>
      <c r="M536" s="30" t="s">
        <v>84</v>
      </c>
      <c r="N536" s="30" t="s">
        <v>155</v>
      </c>
      <c r="O536" s="24">
        <v>60</v>
      </c>
      <c r="P536" s="24">
        <v>78</v>
      </c>
      <c r="Q536" s="24">
        <v>16</v>
      </c>
      <c r="R536" s="24">
        <v>0</v>
      </c>
      <c r="S536" s="24">
        <v>0</v>
      </c>
      <c r="T536" s="24">
        <v>154</v>
      </c>
    </row>
    <row r="537" spans="1:20">
      <c r="A537" s="9" t="s">
        <v>433</v>
      </c>
      <c r="B537" s="30" t="s">
        <v>471</v>
      </c>
      <c r="C537" s="30" t="str">
        <f>CONCATENATE(VOL_VOLUMEN_SUMINISTROS[[#This Row],[Proyecto]],VOL_VOLUMEN_SUMINISTROS[[#This Row],[J]],VOL_VOLUMEN_SUMINISTROS[[#This Row],[FIN DE SEMANA]])</f>
        <v>1052-2MNO</v>
      </c>
      <c r="D537" s="365" t="str">
        <f>CONCATENATE(VOL_VOLUMEN_SUMINISTROS[[#This Row],[Grupo]],VOL_VOLUMEN_SUMINISTROS[[#This Row],[Proyecto]],VOL_VOLUMEN_SUMINISTROS[[#This Row],[FIN DE SEMANA]])</f>
        <v>71052-2NO</v>
      </c>
      <c r="E537" s="30" t="s">
        <v>183</v>
      </c>
      <c r="F537" s="30" t="s">
        <v>148</v>
      </c>
      <c r="G537" s="365">
        <v>7</v>
      </c>
      <c r="H537" s="30">
        <v>16</v>
      </c>
      <c r="I537" s="9" t="s">
        <v>435</v>
      </c>
      <c r="J537" s="9" t="s">
        <v>436</v>
      </c>
      <c r="K537" s="30">
        <v>1</v>
      </c>
      <c r="L537" s="9" t="s">
        <v>437</v>
      </c>
      <c r="M537" s="30" t="s">
        <v>84</v>
      </c>
      <c r="N537" s="30" t="s">
        <v>152</v>
      </c>
      <c r="O537" s="24">
        <v>0</v>
      </c>
      <c r="P537" s="24">
        <v>0</v>
      </c>
      <c r="Q537" s="24">
        <v>131</v>
      </c>
      <c r="R537" s="24">
        <v>0</v>
      </c>
      <c r="S537" s="24">
        <v>0</v>
      </c>
      <c r="T537" s="24">
        <v>131</v>
      </c>
    </row>
    <row r="538" spans="1:20">
      <c r="A538" s="9" t="s">
        <v>433</v>
      </c>
      <c r="B538" s="30" t="s">
        <v>471</v>
      </c>
      <c r="C538" s="30" t="str">
        <f>CONCATENATE(VOL_VOLUMEN_SUMINISTROS[[#This Row],[Proyecto]],VOL_VOLUMEN_SUMINISTROS[[#This Row],[J]],VOL_VOLUMEN_SUMINISTROS[[#This Row],[FIN DE SEMANA]])</f>
        <v>1052-2TNO</v>
      </c>
      <c r="D538" s="365" t="str">
        <f>CONCATENATE(VOL_VOLUMEN_SUMINISTROS[[#This Row],[Grupo]],VOL_VOLUMEN_SUMINISTROS[[#This Row],[Proyecto]],VOL_VOLUMEN_SUMINISTROS[[#This Row],[FIN DE SEMANA]])</f>
        <v>71052-2NO</v>
      </c>
      <c r="E538" s="30" t="s">
        <v>183</v>
      </c>
      <c r="F538" s="30" t="s">
        <v>148</v>
      </c>
      <c r="G538" s="365">
        <v>7</v>
      </c>
      <c r="H538" s="30">
        <v>16</v>
      </c>
      <c r="I538" s="9" t="s">
        <v>435</v>
      </c>
      <c r="J538" s="9" t="s">
        <v>436</v>
      </c>
      <c r="K538" s="30">
        <v>1</v>
      </c>
      <c r="L538" s="9" t="s">
        <v>437</v>
      </c>
      <c r="M538" s="30" t="s">
        <v>84</v>
      </c>
      <c r="N538" s="30" t="s">
        <v>155</v>
      </c>
      <c r="O538" s="24">
        <v>0</v>
      </c>
      <c r="P538" s="24">
        <v>0</v>
      </c>
      <c r="Q538" s="24">
        <v>131</v>
      </c>
      <c r="R538" s="24">
        <v>0</v>
      </c>
      <c r="S538" s="24">
        <v>0</v>
      </c>
      <c r="T538" s="24">
        <v>131</v>
      </c>
    </row>
    <row r="539" spans="1:20">
      <c r="A539" s="9" t="s">
        <v>433</v>
      </c>
      <c r="B539" s="30" t="s">
        <v>471</v>
      </c>
      <c r="C539" s="30" t="str">
        <f>CONCATENATE(VOL_VOLUMEN_SUMINISTROS[[#This Row],[Proyecto]],VOL_VOLUMEN_SUMINISTROS[[#This Row],[J]],VOL_VOLUMEN_SUMINISTROS[[#This Row],[FIN DE SEMANA]])</f>
        <v>1052-2MNO</v>
      </c>
      <c r="D539" s="365" t="str">
        <f>CONCATENATE(VOL_VOLUMEN_SUMINISTROS[[#This Row],[Grupo]],VOL_VOLUMEN_SUMINISTROS[[#This Row],[Proyecto]],VOL_VOLUMEN_SUMINISTROS[[#This Row],[FIN DE SEMANA]])</f>
        <v>71052-2NO</v>
      </c>
      <c r="E539" s="30" t="s">
        <v>183</v>
      </c>
      <c r="F539" s="30" t="s">
        <v>148</v>
      </c>
      <c r="G539" s="365">
        <v>7</v>
      </c>
      <c r="H539" s="30">
        <v>16</v>
      </c>
      <c r="I539" s="9" t="s">
        <v>435</v>
      </c>
      <c r="J539" s="9" t="s">
        <v>438</v>
      </c>
      <c r="K539" s="30">
        <v>1</v>
      </c>
      <c r="L539" s="9" t="s">
        <v>439</v>
      </c>
      <c r="M539" s="30" t="s">
        <v>84</v>
      </c>
      <c r="N539" s="30" t="s">
        <v>152</v>
      </c>
      <c r="O539" s="24">
        <v>0</v>
      </c>
      <c r="P539" s="24">
        <v>0</v>
      </c>
      <c r="Q539" s="24">
        <v>38</v>
      </c>
      <c r="R539" s="24">
        <v>0</v>
      </c>
      <c r="S539" s="24">
        <v>0</v>
      </c>
      <c r="T539" s="24">
        <v>38</v>
      </c>
    </row>
    <row r="540" spans="1:20">
      <c r="A540" s="9" t="s">
        <v>433</v>
      </c>
      <c r="B540" s="30" t="s">
        <v>471</v>
      </c>
      <c r="C540" s="30" t="str">
        <f>CONCATENATE(VOL_VOLUMEN_SUMINISTROS[[#This Row],[Proyecto]],VOL_VOLUMEN_SUMINISTROS[[#This Row],[J]],VOL_VOLUMEN_SUMINISTROS[[#This Row],[FIN DE SEMANA]])</f>
        <v>1052-2MNO</v>
      </c>
      <c r="D540" s="365" t="str">
        <f>CONCATENATE(VOL_VOLUMEN_SUMINISTROS[[#This Row],[Grupo]],VOL_VOLUMEN_SUMINISTROS[[#This Row],[Proyecto]],VOL_VOLUMEN_SUMINISTROS[[#This Row],[FIN DE SEMANA]])</f>
        <v>101052-2NO</v>
      </c>
      <c r="E540" s="30" t="s">
        <v>183</v>
      </c>
      <c r="F540" s="30" t="s">
        <v>148</v>
      </c>
      <c r="G540" s="365">
        <v>10</v>
      </c>
      <c r="H540" s="30">
        <v>8</v>
      </c>
      <c r="I540" s="9" t="s">
        <v>149</v>
      </c>
      <c r="J540" s="9" t="s">
        <v>441</v>
      </c>
      <c r="K540" s="30">
        <v>1</v>
      </c>
      <c r="L540" s="9" t="s">
        <v>442</v>
      </c>
      <c r="M540" s="30" t="s">
        <v>84</v>
      </c>
      <c r="N540" s="30" t="s">
        <v>152</v>
      </c>
      <c r="O540" s="24">
        <v>0</v>
      </c>
      <c r="P540" s="24">
        <v>0</v>
      </c>
      <c r="Q540" s="24">
        <v>78</v>
      </c>
      <c r="R540" s="24">
        <v>0</v>
      </c>
      <c r="S540" s="24">
        <v>0</v>
      </c>
      <c r="T540" s="24">
        <v>78</v>
      </c>
    </row>
    <row r="541" spans="1:20">
      <c r="A541" s="9" t="s">
        <v>433</v>
      </c>
      <c r="B541" s="30" t="s">
        <v>471</v>
      </c>
      <c r="C541" s="30" t="str">
        <f>CONCATENATE(VOL_VOLUMEN_SUMINISTROS[[#This Row],[Proyecto]],VOL_VOLUMEN_SUMINISTROS[[#This Row],[J]],VOL_VOLUMEN_SUMINISTROS[[#This Row],[FIN DE SEMANA]])</f>
        <v>1052-2TNO</v>
      </c>
      <c r="D541" s="365" t="str">
        <f>CONCATENATE(VOL_VOLUMEN_SUMINISTROS[[#This Row],[Grupo]],VOL_VOLUMEN_SUMINISTROS[[#This Row],[Proyecto]],VOL_VOLUMEN_SUMINISTROS[[#This Row],[FIN DE SEMANA]])</f>
        <v>101052-2NO</v>
      </c>
      <c r="E541" s="30" t="s">
        <v>183</v>
      </c>
      <c r="F541" s="30" t="s">
        <v>148</v>
      </c>
      <c r="G541" s="365">
        <v>10</v>
      </c>
      <c r="H541" s="30">
        <v>8</v>
      </c>
      <c r="I541" s="9" t="s">
        <v>149</v>
      </c>
      <c r="J541" s="9" t="s">
        <v>441</v>
      </c>
      <c r="K541" s="30">
        <v>1</v>
      </c>
      <c r="L541" s="9" t="s">
        <v>442</v>
      </c>
      <c r="M541" s="30" t="s">
        <v>84</v>
      </c>
      <c r="N541" s="30" t="s">
        <v>155</v>
      </c>
      <c r="O541" s="24">
        <v>0</v>
      </c>
      <c r="P541" s="24">
        <v>0</v>
      </c>
      <c r="Q541" s="24">
        <v>74</v>
      </c>
      <c r="R541" s="24">
        <v>0</v>
      </c>
      <c r="S541" s="24">
        <v>0</v>
      </c>
      <c r="T541" s="24">
        <v>74</v>
      </c>
    </row>
    <row r="542" spans="1:20">
      <c r="A542" s="9" t="s">
        <v>433</v>
      </c>
      <c r="B542" s="30" t="s">
        <v>471</v>
      </c>
      <c r="C542" s="30" t="str">
        <f>CONCATENATE(VOL_VOLUMEN_SUMINISTROS[[#This Row],[Proyecto]],VOL_VOLUMEN_SUMINISTROS[[#This Row],[J]],VOL_VOLUMEN_SUMINISTROS[[#This Row],[FIN DE SEMANA]])</f>
        <v>1052-2M1NO</v>
      </c>
      <c r="D542" s="365" t="str">
        <f>CONCATENATE(VOL_VOLUMEN_SUMINISTROS[[#This Row],[Grupo]],VOL_VOLUMEN_SUMINISTROS[[#This Row],[Proyecto]],VOL_VOLUMEN_SUMINISTROS[[#This Row],[FIN DE SEMANA]])</f>
        <v>41052-2NO</v>
      </c>
      <c r="E542" s="30" t="s">
        <v>183</v>
      </c>
      <c r="F542" s="30" t="s">
        <v>148</v>
      </c>
      <c r="G542" s="365">
        <v>4</v>
      </c>
      <c r="H542" s="30">
        <v>8</v>
      </c>
      <c r="I542" s="9" t="s">
        <v>149</v>
      </c>
      <c r="J542" s="9" t="s">
        <v>449</v>
      </c>
      <c r="K542" s="30">
        <v>1</v>
      </c>
      <c r="L542" s="9" t="s">
        <v>450</v>
      </c>
      <c r="M542" s="30" t="s">
        <v>84</v>
      </c>
      <c r="N542" s="30" t="s">
        <v>216</v>
      </c>
      <c r="O542" s="24">
        <v>0</v>
      </c>
      <c r="P542" s="24">
        <v>0</v>
      </c>
      <c r="Q542" s="24">
        <v>171</v>
      </c>
      <c r="R542" s="24">
        <v>0</v>
      </c>
      <c r="S542" s="24">
        <v>0</v>
      </c>
      <c r="T542" s="24">
        <v>171</v>
      </c>
    </row>
    <row r="543" spans="1:20">
      <c r="A543" s="9" t="s">
        <v>433</v>
      </c>
      <c r="B543" s="30" t="s">
        <v>471</v>
      </c>
      <c r="C543" s="30" t="str">
        <f>CONCATENATE(VOL_VOLUMEN_SUMINISTROS[[#This Row],[Proyecto]],VOL_VOLUMEN_SUMINISTROS[[#This Row],[J]],VOL_VOLUMEN_SUMINISTROS[[#This Row],[FIN DE SEMANA]])</f>
        <v>1052-2TNO</v>
      </c>
      <c r="D543" s="365" t="str">
        <f>CONCATENATE(VOL_VOLUMEN_SUMINISTROS[[#This Row],[Grupo]],VOL_VOLUMEN_SUMINISTROS[[#This Row],[Proyecto]],VOL_VOLUMEN_SUMINISTROS[[#This Row],[FIN DE SEMANA]])</f>
        <v>11052-2NO</v>
      </c>
      <c r="E543" s="30" t="s">
        <v>183</v>
      </c>
      <c r="F543" s="30" t="s">
        <v>148</v>
      </c>
      <c r="G543" s="365">
        <v>1</v>
      </c>
      <c r="H543" s="30">
        <v>8</v>
      </c>
      <c r="I543" s="9" t="s">
        <v>149</v>
      </c>
      <c r="J543" s="9" t="s">
        <v>449</v>
      </c>
      <c r="K543" s="30">
        <v>1</v>
      </c>
      <c r="L543" s="9" t="s">
        <v>450</v>
      </c>
      <c r="M543" s="30" t="s">
        <v>84</v>
      </c>
      <c r="N543" s="30" t="s">
        <v>155</v>
      </c>
      <c r="O543" s="24">
        <v>0</v>
      </c>
      <c r="P543" s="24">
        <v>0</v>
      </c>
      <c r="Q543" s="24">
        <v>197</v>
      </c>
      <c r="R543" s="24">
        <v>0</v>
      </c>
      <c r="S543" s="24">
        <v>0</v>
      </c>
      <c r="T543" s="24">
        <v>197</v>
      </c>
    </row>
    <row r="544" spans="1:20">
      <c r="A544" s="9" t="s">
        <v>433</v>
      </c>
      <c r="B544" s="30" t="s">
        <v>471</v>
      </c>
      <c r="C544" s="30" t="str">
        <f>CONCATENATE(VOL_VOLUMEN_SUMINISTROS[[#This Row],[Proyecto]],VOL_VOLUMEN_SUMINISTROS[[#This Row],[J]],VOL_VOLUMEN_SUMINISTROS[[#This Row],[FIN DE SEMANA]])</f>
        <v>1052-2TNO</v>
      </c>
      <c r="D544" s="365" t="str">
        <f>CONCATENATE(VOL_VOLUMEN_SUMINISTROS[[#This Row],[Grupo]],VOL_VOLUMEN_SUMINISTROS[[#This Row],[Proyecto]],VOL_VOLUMEN_SUMINISTROS[[#This Row],[FIN DE SEMANA]])</f>
        <v>11052-2NO</v>
      </c>
      <c r="E544" s="30" t="s">
        <v>183</v>
      </c>
      <c r="F544" s="30" t="s">
        <v>148</v>
      </c>
      <c r="G544" s="365">
        <v>1</v>
      </c>
      <c r="H544" s="30">
        <v>8</v>
      </c>
      <c r="I544" s="9" t="s">
        <v>149</v>
      </c>
      <c r="J544" s="9" t="s">
        <v>451</v>
      </c>
      <c r="K544" s="30">
        <v>1</v>
      </c>
      <c r="L544" s="9" t="s">
        <v>452</v>
      </c>
      <c r="M544" s="30" t="s">
        <v>84</v>
      </c>
      <c r="N544" s="30" t="s">
        <v>155</v>
      </c>
      <c r="O544" s="24">
        <v>0</v>
      </c>
      <c r="P544" s="24">
        <v>0</v>
      </c>
      <c r="Q544" s="24">
        <v>150</v>
      </c>
      <c r="R544" s="24">
        <v>0</v>
      </c>
      <c r="S544" s="24">
        <v>0</v>
      </c>
      <c r="T544" s="24">
        <v>150</v>
      </c>
    </row>
    <row r="545" spans="1:20">
      <c r="A545" s="9" t="s">
        <v>433</v>
      </c>
      <c r="B545" s="30" t="s">
        <v>471</v>
      </c>
      <c r="C545" s="30" t="str">
        <f>CONCATENATE(VOL_VOLUMEN_SUMINISTROS[[#This Row],[Proyecto]],VOL_VOLUMEN_SUMINISTROS[[#This Row],[J]],VOL_VOLUMEN_SUMINISTROS[[#This Row],[FIN DE SEMANA]])</f>
        <v>1052-2MNO</v>
      </c>
      <c r="D545" s="365" t="str">
        <f>CONCATENATE(VOL_VOLUMEN_SUMINISTROS[[#This Row],[Grupo]],VOL_VOLUMEN_SUMINISTROS[[#This Row],[Proyecto]],VOL_VOLUMEN_SUMINISTROS[[#This Row],[FIN DE SEMANA]])</f>
        <v>41052-2NO</v>
      </c>
      <c r="E545" s="30" t="s">
        <v>183</v>
      </c>
      <c r="F545" s="30" t="s">
        <v>148</v>
      </c>
      <c r="G545" s="365">
        <v>4</v>
      </c>
      <c r="H545" s="30">
        <v>8</v>
      </c>
      <c r="I545" s="9" t="s">
        <v>149</v>
      </c>
      <c r="J545" s="9" t="s">
        <v>461</v>
      </c>
      <c r="K545" s="30">
        <v>1</v>
      </c>
      <c r="L545" s="9" t="s">
        <v>462</v>
      </c>
      <c r="M545" s="30" t="s">
        <v>84</v>
      </c>
      <c r="N545" s="30" t="s">
        <v>152</v>
      </c>
      <c r="O545" s="24">
        <v>0</v>
      </c>
      <c r="P545" s="24">
        <v>0</v>
      </c>
      <c r="Q545" s="24">
        <v>120</v>
      </c>
      <c r="R545" s="24">
        <v>0</v>
      </c>
      <c r="S545" s="24">
        <v>0</v>
      </c>
      <c r="T545" s="24">
        <v>120</v>
      </c>
    </row>
    <row r="546" spans="1:20">
      <c r="A546" s="9" t="s">
        <v>433</v>
      </c>
      <c r="B546" s="30" t="s">
        <v>471</v>
      </c>
      <c r="C546" s="30" t="str">
        <f>CONCATENATE(VOL_VOLUMEN_SUMINISTROS[[#This Row],[Proyecto]],VOL_VOLUMEN_SUMINISTROS[[#This Row],[J]],VOL_VOLUMEN_SUMINISTROS[[#This Row],[FIN DE SEMANA]])</f>
        <v>1052-2TNO</v>
      </c>
      <c r="D546" s="365" t="str">
        <f>CONCATENATE(VOL_VOLUMEN_SUMINISTROS[[#This Row],[Grupo]],VOL_VOLUMEN_SUMINISTROS[[#This Row],[Proyecto]],VOL_VOLUMEN_SUMINISTROS[[#This Row],[FIN DE SEMANA]])</f>
        <v>41052-2NO</v>
      </c>
      <c r="E546" s="30" t="s">
        <v>183</v>
      </c>
      <c r="F546" s="30" t="s">
        <v>148</v>
      </c>
      <c r="G546" s="365">
        <v>4</v>
      </c>
      <c r="H546" s="30">
        <v>8</v>
      </c>
      <c r="I546" s="9" t="s">
        <v>149</v>
      </c>
      <c r="J546" s="9" t="s">
        <v>461</v>
      </c>
      <c r="K546" s="30">
        <v>1</v>
      </c>
      <c r="L546" s="9" t="s">
        <v>462</v>
      </c>
      <c r="M546" s="30" t="s">
        <v>84</v>
      </c>
      <c r="N546" s="30" t="s">
        <v>155</v>
      </c>
      <c r="O546" s="24">
        <v>0</v>
      </c>
      <c r="P546" s="24">
        <v>0</v>
      </c>
      <c r="Q546" s="24">
        <v>120</v>
      </c>
      <c r="R546" s="24">
        <v>0</v>
      </c>
      <c r="S546" s="24">
        <v>0</v>
      </c>
      <c r="T546" s="24">
        <v>120</v>
      </c>
    </row>
    <row r="547" spans="1:20">
      <c r="A547" s="9" t="s">
        <v>433</v>
      </c>
      <c r="B547" s="30" t="s">
        <v>471</v>
      </c>
      <c r="C547" s="30" t="str">
        <f>CONCATENATE(VOL_VOLUMEN_SUMINISTROS[[#This Row],[Proyecto]],VOL_VOLUMEN_SUMINISTROS[[#This Row],[J]],VOL_VOLUMEN_SUMINISTROS[[#This Row],[FIN DE SEMANA]])</f>
        <v>1052-2MNO</v>
      </c>
      <c r="D547" s="365" t="str">
        <f>CONCATENATE(VOL_VOLUMEN_SUMINISTROS[[#This Row],[Grupo]],VOL_VOLUMEN_SUMINISTROS[[#This Row],[Proyecto]],VOL_VOLUMEN_SUMINISTROS[[#This Row],[FIN DE SEMANA]])</f>
        <v>11052-2NO</v>
      </c>
      <c r="E547" s="30" t="s">
        <v>183</v>
      </c>
      <c r="F547" s="30" t="s">
        <v>148</v>
      </c>
      <c r="G547" s="365">
        <v>1</v>
      </c>
      <c r="H547" s="30">
        <v>8</v>
      </c>
      <c r="I547" s="9" t="s">
        <v>149</v>
      </c>
      <c r="J547" s="9" t="s">
        <v>463</v>
      </c>
      <c r="K547" s="30">
        <v>1</v>
      </c>
      <c r="L547" s="9" t="s">
        <v>464</v>
      </c>
      <c r="M547" s="30" t="s">
        <v>84</v>
      </c>
      <c r="N547" s="30" t="s">
        <v>152</v>
      </c>
      <c r="O547" s="24">
        <v>0</v>
      </c>
      <c r="P547" s="24">
        <v>0</v>
      </c>
      <c r="Q547" s="24">
        <v>74</v>
      </c>
      <c r="R547" s="24">
        <v>0</v>
      </c>
      <c r="S547" s="24">
        <v>0</v>
      </c>
      <c r="T547" s="24">
        <v>74</v>
      </c>
    </row>
    <row r="548" spans="1:20">
      <c r="A548" s="9" t="s">
        <v>433</v>
      </c>
      <c r="B548" s="30" t="s">
        <v>471</v>
      </c>
      <c r="C548" s="30" t="str">
        <f>CONCATENATE(VOL_VOLUMEN_SUMINISTROS[[#This Row],[Proyecto]],VOL_VOLUMEN_SUMINISTROS[[#This Row],[J]],VOL_VOLUMEN_SUMINISTROS[[#This Row],[FIN DE SEMANA]])</f>
        <v>1052-2TNO</v>
      </c>
      <c r="D548" s="365" t="str">
        <f>CONCATENATE(VOL_VOLUMEN_SUMINISTROS[[#This Row],[Grupo]],VOL_VOLUMEN_SUMINISTROS[[#This Row],[Proyecto]],VOL_VOLUMEN_SUMINISTROS[[#This Row],[FIN DE SEMANA]])</f>
        <v>11052-2NO</v>
      </c>
      <c r="E548" s="30" t="s">
        <v>183</v>
      </c>
      <c r="F548" s="30" t="s">
        <v>148</v>
      </c>
      <c r="G548" s="365">
        <v>1</v>
      </c>
      <c r="H548" s="30">
        <v>8</v>
      </c>
      <c r="I548" s="9" t="s">
        <v>149</v>
      </c>
      <c r="J548" s="9" t="s">
        <v>463</v>
      </c>
      <c r="K548" s="30">
        <v>1</v>
      </c>
      <c r="L548" s="9" t="s">
        <v>464</v>
      </c>
      <c r="M548" s="30" t="s">
        <v>84</v>
      </c>
      <c r="N548" s="30" t="s">
        <v>155</v>
      </c>
      <c r="O548" s="24">
        <v>0</v>
      </c>
      <c r="P548" s="24">
        <v>0</v>
      </c>
      <c r="Q548" s="24">
        <v>116</v>
      </c>
      <c r="R548" s="24">
        <v>0</v>
      </c>
      <c r="S548" s="24">
        <v>0</v>
      </c>
      <c r="T548" s="24">
        <v>116</v>
      </c>
    </row>
    <row r="549" spans="1:20">
      <c r="A549" s="9" t="s">
        <v>433</v>
      </c>
      <c r="B549" s="30" t="s">
        <v>471</v>
      </c>
      <c r="C549" s="30" t="str">
        <f>CONCATENATE(VOL_VOLUMEN_SUMINISTROS[[#This Row],[Proyecto]],VOL_VOLUMEN_SUMINISTROS[[#This Row],[J]],VOL_VOLUMEN_SUMINISTROS[[#This Row],[FIN DE SEMANA]])</f>
        <v>1052-2MNO</v>
      </c>
      <c r="D549" s="365" t="str">
        <f>CONCATENATE(VOL_VOLUMEN_SUMINISTROS[[#This Row],[Grupo]],VOL_VOLUMEN_SUMINISTROS[[#This Row],[Proyecto]],VOL_VOLUMEN_SUMINISTROS[[#This Row],[FIN DE SEMANA]])</f>
        <v>11052-2NO</v>
      </c>
      <c r="E549" s="30" t="s">
        <v>183</v>
      </c>
      <c r="F549" s="30" t="s">
        <v>148</v>
      </c>
      <c r="G549" s="365">
        <v>1</v>
      </c>
      <c r="H549" s="30">
        <v>8</v>
      </c>
      <c r="I549" s="9" t="s">
        <v>149</v>
      </c>
      <c r="J549" s="9" t="s">
        <v>466</v>
      </c>
      <c r="K549" s="30">
        <v>1</v>
      </c>
      <c r="L549" s="9" t="s">
        <v>467</v>
      </c>
      <c r="M549" s="30" t="s">
        <v>84</v>
      </c>
      <c r="N549" s="30" t="s">
        <v>152</v>
      </c>
      <c r="O549" s="24">
        <v>0</v>
      </c>
      <c r="P549" s="24">
        <v>0</v>
      </c>
      <c r="Q549" s="24">
        <v>59</v>
      </c>
      <c r="R549" s="24">
        <v>0</v>
      </c>
      <c r="S549" s="24">
        <v>0</v>
      </c>
      <c r="T549" s="24">
        <v>59</v>
      </c>
    </row>
    <row r="550" spans="1:20">
      <c r="A550" s="9" t="s">
        <v>433</v>
      </c>
      <c r="B550" s="30" t="s">
        <v>471</v>
      </c>
      <c r="C550" s="30" t="str">
        <f>CONCATENATE(VOL_VOLUMEN_SUMINISTROS[[#This Row],[Proyecto]],VOL_VOLUMEN_SUMINISTROS[[#This Row],[J]],VOL_VOLUMEN_SUMINISTROS[[#This Row],[FIN DE SEMANA]])</f>
        <v>1052-2TNO</v>
      </c>
      <c r="D550" s="365" t="str">
        <f>CONCATENATE(VOL_VOLUMEN_SUMINISTROS[[#This Row],[Grupo]],VOL_VOLUMEN_SUMINISTROS[[#This Row],[Proyecto]],VOL_VOLUMEN_SUMINISTROS[[#This Row],[FIN DE SEMANA]])</f>
        <v>11052-2NO</v>
      </c>
      <c r="E550" s="30" t="s">
        <v>183</v>
      </c>
      <c r="F550" s="30" t="s">
        <v>148</v>
      </c>
      <c r="G550" s="365">
        <v>1</v>
      </c>
      <c r="H550" s="30">
        <v>8</v>
      </c>
      <c r="I550" s="9" t="s">
        <v>149</v>
      </c>
      <c r="J550" s="9" t="s">
        <v>466</v>
      </c>
      <c r="K550" s="30">
        <v>1</v>
      </c>
      <c r="L550" s="9" t="s">
        <v>467</v>
      </c>
      <c r="M550" s="30" t="s">
        <v>84</v>
      </c>
      <c r="N550" s="30" t="s">
        <v>155</v>
      </c>
      <c r="O550" s="24">
        <v>0</v>
      </c>
      <c r="P550" s="24">
        <v>0</v>
      </c>
      <c r="Q550" s="24">
        <v>63</v>
      </c>
      <c r="R550" s="24">
        <v>0</v>
      </c>
      <c r="S550" s="24">
        <v>0</v>
      </c>
      <c r="T550" s="24">
        <v>63</v>
      </c>
    </row>
    <row r="551" spans="1:20">
      <c r="A551" s="9" t="s">
        <v>433</v>
      </c>
      <c r="B551" s="30" t="s">
        <v>472</v>
      </c>
      <c r="C551" s="30" t="str">
        <f>CONCATENATE(VOL_VOLUMEN_SUMINISTROS[[#This Row],[Proyecto]],VOL_VOLUMEN_SUMINISTROS[[#This Row],[J]],VOL_VOLUMEN_SUMINISTROS[[#This Row],[FIN DE SEMANA]])</f>
        <v>1052-2MNO</v>
      </c>
      <c r="D551" s="365" t="str">
        <f>CONCATENATE(VOL_VOLUMEN_SUMINISTROS[[#This Row],[Grupo]],VOL_VOLUMEN_SUMINISTROS[[#This Row],[Proyecto]],VOL_VOLUMEN_SUMINISTROS[[#This Row],[FIN DE SEMANA]])</f>
        <v>71052-2NO</v>
      </c>
      <c r="E551" s="30" t="s">
        <v>183</v>
      </c>
      <c r="F551" s="30" t="s">
        <v>148</v>
      </c>
      <c r="G551" s="365">
        <v>7</v>
      </c>
      <c r="H551" s="30">
        <v>16</v>
      </c>
      <c r="I551" s="9" t="s">
        <v>435</v>
      </c>
      <c r="J551" s="9" t="s">
        <v>438</v>
      </c>
      <c r="K551" s="30">
        <v>1</v>
      </c>
      <c r="L551" s="9" t="s">
        <v>439</v>
      </c>
      <c r="M551" s="30" t="s">
        <v>84</v>
      </c>
      <c r="N551" s="30" t="s">
        <v>152</v>
      </c>
      <c r="O551" s="24">
        <v>49</v>
      </c>
      <c r="P551" s="24">
        <v>0</v>
      </c>
      <c r="Q551" s="24">
        <v>0</v>
      </c>
      <c r="R551" s="24">
        <v>0</v>
      </c>
      <c r="S551" s="24">
        <v>0</v>
      </c>
      <c r="T551" s="24">
        <v>49</v>
      </c>
    </row>
    <row r="552" spans="1:20">
      <c r="A552" s="9" t="s">
        <v>433</v>
      </c>
      <c r="B552" s="30" t="s">
        <v>473</v>
      </c>
      <c r="C552" s="30" t="str">
        <f>CONCATENATE(VOL_VOLUMEN_SUMINISTROS[[#This Row],[Proyecto]],VOL_VOLUMEN_SUMINISTROS[[#This Row],[J]],VOL_VOLUMEN_SUMINISTROS[[#This Row],[FIN DE SEMANA]])</f>
        <v>1052-1MNO</v>
      </c>
      <c r="D552" s="365" t="str">
        <f>CONCATENATE(VOL_VOLUMEN_SUMINISTROS[[#This Row],[Grupo]],VOL_VOLUMEN_SUMINISTROS[[#This Row],[Proyecto]],VOL_VOLUMEN_SUMINISTROS[[#This Row],[FIN DE SEMANA]])</f>
        <v>291052-1NO</v>
      </c>
      <c r="E552" s="30" t="s">
        <v>147</v>
      </c>
      <c r="F552" s="30" t="s">
        <v>148</v>
      </c>
      <c r="G552" s="365">
        <v>29</v>
      </c>
      <c r="H552" s="30">
        <v>7</v>
      </c>
      <c r="I552" s="9" t="s">
        <v>221</v>
      </c>
      <c r="J552" s="9" t="s">
        <v>474</v>
      </c>
      <c r="K552" s="30">
        <v>1</v>
      </c>
      <c r="L552" s="9" t="s">
        <v>475</v>
      </c>
      <c r="M552" s="30" t="s">
        <v>84</v>
      </c>
      <c r="N552" s="30" t="s">
        <v>152</v>
      </c>
      <c r="O552" s="24">
        <v>0</v>
      </c>
      <c r="P552" s="24">
        <v>369</v>
      </c>
      <c r="Q552" s="24">
        <v>712</v>
      </c>
      <c r="R552" s="24">
        <v>0</v>
      </c>
      <c r="S552" s="24">
        <v>0</v>
      </c>
      <c r="T552" s="24">
        <v>1081</v>
      </c>
    </row>
    <row r="553" spans="1:20">
      <c r="A553" s="9" t="s">
        <v>433</v>
      </c>
      <c r="B553" s="30" t="s">
        <v>473</v>
      </c>
      <c r="C553" s="30" t="str">
        <f>CONCATENATE(VOL_VOLUMEN_SUMINISTROS[[#This Row],[Proyecto]],VOL_VOLUMEN_SUMINISTROS[[#This Row],[J]],VOL_VOLUMEN_SUMINISTROS[[#This Row],[FIN DE SEMANA]])</f>
        <v>1052-1TNO</v>
      </c>
      <c r="D553" s="365" t="str">
        <f>CONCATENATE(VOL_VOLUMEN_SUMINISTROS[[#This Row],[Grupo]],VOL_VOLUMEN_SUMINISTROS[[#This Row],[Proyecto]],VOL_VOLUMEN_SUMINISTROS[[#This Row],[FIN DE SEMANA]])</f>
        <v>291052-1NO</v>
      </c>
      <c r="E553" s="30" t="s">
        <v>147</v>
      </c>
      <c r="F553" s="30" t="s">
        <v>148</v>
      </c>
      <c r="G553" s="365">
        <v>29</v>
      </c>
      <c r="H553" s="30">
        <v>7</v>
      </c>
      <c r="I553" s="9" t="s">
        <v>221</v>
      </c>
      <c r="J553" s="9" t="s">
        <v>474</v>
      </c>
      <c r="K553" s="30">
        <v>1</v>
      </c>
      <c r="L553" s="9" t="s">
        <v>475</v>
      </c>
      <c r="M553" s="30" t="s">
        <v>84</v>
      </c>
      <c r="N553" s="30" t="s">
        <v>155</v>
      </c>
      <c r="O553" s="24">
        <v>0</v>
      </c>
      <c r="P553" s="24">
        <v>363</v>
      </c>
      <c r="Q553" s="24">
        <v>734</v>
      </c>
      <c r="R553" s="24">
        <v>0</v>
      </c>
      <c r="S553" s="24">
        <v>0</v>
      </c>
      <c r="T553" s="24">
        <v>1097</v>
      </c>
    </row>
    <row r="554" spans="1:20">
      <c r="A554" s="9" t="s">
        <v>433</v>
      </c>
      <c r="B554" s="30" t="s">
        <v>473</v>
      </c>
      <c r="C554" s="30" t="str">
        <f>CONCATENATE(VOL_VOLUMEN_SUMINISTROS[[#This Row],[Proyecto]],VOL_VOLUMEN_SUMINISTROS[[#This Row],[J]],VOL_VOLUMEN_SUMINISTROS[[#This Row],[FIN DE SEMANA]])</f>
        <v>1052-1MNO</v>
      </c>
      <c r="D554" s="365" t="str">
        <f>CONCATENATE(VOL_VOLUMEN_SUMINISTROS[[#This Row],[Grupo]],VOL_VOLUMEN_SUMINISTROS[[#This Row],[Proyecto]],VOL_VOLUMEN_SUMINISTROS[[#This Row],[FIN DE SEMANA]])</f>
        <v>291052-1NO</v>
      </c>
      <c r="E554" s="30" t="s">
        <v>147</v>
      </c>
      <c r="F554" s="30" t="s">
        <v>148</v>
      </c>
      <c r="G554" s="365">
        <v>29</v>
      </c>
      <c r="H554" s="30">
        <v>7</v>
      </c>
      <c r="I554" s="9" t="s">
        <v>221</v>
      </c>
      <c r="J554" s="9" t="s">
        <v>474</v>
      </c>
      <c r="K554" s="30">
        <v>2</v>
      </c>
      <c r="L554" s="9" t="s">
        <v>476</v>
      </c>
      <c r="M554" s="30" t="s">
        <v>84</v>
      </c>
      <c r="N554" s="30" t="s">
        <v>152</v>
      </c>
      <c r="O554" s="24">
        <v>312</v>
      </c>
      <c r="P554" s="24">
        <v>71</v>
      </c>
      <c r="Q554" s="24">
        <v>0</v>
      </c>
      <c r="R554" s="24">
        <v>0</v>
      </c>
      <c r="S554" s="24">
        <v>0</v>
      </c>
      <c r="T554" s="24">
        <v>383</v>
      </c>
    </row>
    <row r="555" spans="1:20">
      <c r="A555" s="9" t="s">
        <v>433</v>
      </c>
      <c r="B555" s="30" t="s">
        <v>473</v>
      </c>
      <c r="C555" s="30" t="str">
        <f>CONCATENATE(VOL_VOLUMEN_SUMINISTROS[[#This Row],[Proyecto]],VOL_VOLUMEN_SUMINISTROS[[#This Row],[J]],VOL_VOLUMEN_SUMINISTROS[[#This Row],[FIN DE SEMANA]])</f>
        <v>1052-1TNO</v>
      </c>
      <c r="D555" s="365" t="str">
        <f>CONCATENATE(VOL_VOLUMEN_SUMINISTROS[[#This Row],[Grupo]],VOL_VOLUMEN_SUMINISTROS[[#This Row],[Proyecto]],VOL_VOLUMEN_SUMINISTROS[[#This Row],[FIN DE SEMANA]])</f>
        <v>291052-1NO</v>
      </c>
      <c r="E555" s="30" t="s">
        <v>147</v>
      </c>
      <c r="F555" s="30" t="s">
        <v>148</v>
      </c>
      <c r="G555" s="365">
        <v>29</v>
      </c>
      <c r="H555" s="30">
        <v>7</v>
      </c>
      <c r="I555" s="9" t="s">
        <v>221</v>
      </c>
      <c r="J555" s="9" t="s">
        <v>474</v>
      </c>
      <c r="K555" s="30">
        <v>2</v>
      </c>
      <c r="L555" s="9" t="s">
        <v>476</v>
      </c>
      <c r="M555" s="30" t="s">
        <v>84</v>
      </c>
      <c r="N555" s="30" t="s">
        <v>155</v>
      </c>
      <c r="O555" s="24">
        <v>305</v>
      </c>
      <c r="P555" s="24">
        <v>70</v>
      </c>
      <c r="Q555" s="24">
        <v>0</v>
      </c>
      <c r="R555" s="24">
        <v>0</v>
      </c>
      <c r="S555" s="24">
        <v>0</v>
      </c>
      <c r="T555" s="24">
        <v>375</v>
      </c>
    </row>
    <row r="556" spans="1:20">
      <c r="A556" s="9" t="s">
        <v>433</v>
      </c>
      <c r="B556" s="30" t="s">
        <v>473</v>
      </c>
      <c r="C556" s="30" t="str">
        <f>CONCATENATE(VOL_VOLUMEN_SUMINISTROS[[#This Row],[Proyecto]],VOL_VOLUMEN_SUMINISTROS[[#This Row],[J]],VOL_VOLUMEN_SUMINISTROS[[#This Row],[FIN DE SEMANA]])</f>
        <v>1052-1MNO</v>
      </c>
      <c r="D556" s="365" t="str">
        <f>CONCATENATE(VOL_VOLUMEN_SUMINISTROS[[#This Row],[Grupo]],VOL_VOLUMEN_SUMINISTROS[[#This Row],[Proyecto]],VOL_VOLUMEN_SUMINISTROS[[#This Row],[FIN DE SEMANA]])</f>
        <v>291052-1NO</v>
      </c>
      <c r="E556" s="30" t="s">
        <v>147</v>
      </c>
      <c r="F556" s="30" t="s">
        <v>148</v>
      </c>
      <c r="G556" s="365">
        <v>29</v>
      </c>
      <c r="H556" s="30">
        <v>7</v>
      </c>
      <c r="I556" s="9" t="s">
        <v>221</v>
      </c>
      <c r="J556" s="9" t="s">
        <v>474</v>
      </c>
      <c r="K556" s="30">
        <v>3</v>
      </c>
      <c r="L556" s="9" t="s">
        <v>477</v>
      </c>
      <c r="M556" s="30" t="s">
        <v>84</v>
      </c>
      <c r="N556" s="30" t="s">
        <v>152</v>
      </c>
      <c r="O556" s="24">
        <v>112</v>
      </c>
      <c r="P556" s="24">
        <v>176</v>
      </c>
      <c r="Q556" s="24">
        <v>40</v>
      </c>
      <c r="R556" s="24">
        <v>0</v>
      </c>
      <c r="S556" s="24">
        <v>0</v>
      </c>
      <c r="T556" s="24">
        <v>328</v>
      </c>
    </row>
    <row r="557" spans="1:20">
      <c r="A557" s="9" t="s">
        <v>433</v>
      </c>
      <c r="B557" s="30" t="s">
        <v>473</v>
      </c>
      <c r="C557" s="30" t="str">
        <f>CONCATENATE(VOL_VOLUMEN_SUMINISTROS[[#This Row],[Proyecto]],VOL_VOLUMEN_SUMINISTROS[[#This Row],[J]],VOL_VOLUMEN_SUMINISTROS[[#This Row],[FIN DE SEMANA]])</f>
        <v>1052-1TNO</v>
      </c>
      <c r="D557" s="365" t="str">
        <f>CONCATENATE(VOL_VOLUMEN_SUMINISTROS[[#This Row],[Grupo]],VOL_VOLUMEN_SUMINISTROS[[#This Row],[Proyecto]],VOL_VOLUMEN_SUMINISTROS[[#This Row],[FIN DE SEMANA]])</f>
        <v>291052-1NO</v>
      </c>
      <c r="E557" s="30" t="s">
        <v>147</v>
      </c>
      <c r="F557" s="30" t="s">
        <v>148</v>
      </c>
      <c r="G557" s="365">
        <v>29</v>
      </c>
      <c r="H557" s="30">
        <v>7</v>
      </c>
      <c r="I557" s="9" t="s">
        <v>221</v>
      </c>
      <c r="J557" s="9" t="s">
        <v>474</v>
      </c>
      <c r="K557" s="30">
        <v>3</v>
      </c>
      <c r="L557" s="9" t="s">
        <v>477</v>
      </c>
      <c r="M557" s="30" t="s">
        <v>84</v>
      </c>
      <c r="N557" s="30" t="s">
        <v>155</v>
      </c>
      <c r="O557" s="24">
        <v>110</v>
      </c>
      <c r="P557" s="24">
        <v>175</v>
      </c>
      <c r="Q557" s="24">
        <v>40</v>
      </c>
      <c r="R557" s="24">
        <v>0</v>
      </c>
      <c r="S557" s="24">
        <v>0</v>
      </c>
      <c r="T557" s="24">
        <v>325</v>
      </c>
    </row>
    <row r="558" spans="1:20">
      <c r="A558" s="9" t="s">
        <v>433</v>
      </c>
      <c r="B558" s="30" t="s">
        <v>473</v>
      </c>
      <c r="C558" s="30" t="str">
        <f>CONCATENATE(VOL_VOLUMEN_SUMINISTROS[[#This Row],[Proyecto]],VOL_VOLUMEN_SUMINISTROS[[#This Row],[J]],VOL_VOLUMEN_SUMINISTROS[[#This Row],[FIN DE SEMANA]])</f>
        <v>1052-1MNO</v>
      </c>
      <c r="D558" s="365" t="str">
        <f>CONCATENATE(VOL_VOLUMEN_SUMINISTROS[[#This Row],[Grupo]],VOL_VOLUMEN_SUMINISTROS[[#This Row],[Proyecto]],VOL_VOLUMEN_SUMINISTROS[[#This Row],[FIN DE SEMANA]])</f>
        <v>291052-1NO</v>
      </c>
      <c r="E558" s="30" t="s">
        <v>147</v>
      </c>
      <c r="F558" s="30" t="s">
        <v>148</v>
      </c>
      <c r="G558" s="365">
        <v>29</v>
      </c>
      <c r="H558" s="30">
        <v>7</v>
      </c>
      <c r="I558" s="9" t="s">
        <v>221</v>
      </c>
      <c r="J558" s="9" t="s">
        <v>474</v>
      </c>
      <c r="K558" s="30">
        <v>4</v>
      </c>
      <c r="L558" s="9" t="s">
        <v>226</v>
      </c>
      <c r="M558" s="30" t="s">
        <v>84</v>
      </c>
      <c r="N558" s="30" t="s">
        <v>152</v>
      </c>
      <c r="O558" s="24">
        <v>75</v>
      </c>
      <c r="P558" s="24">
        <v>0</v>
      </c>
      <c r="Q558" s="24">
        <v>0</v>
      </c>
      <c r="R558" s="24">
        <v>0</v>
      </c>
      <c r="S558" s="24">
        <v>0</v>
      </c>
      <c r="T558" s="24">
        <v>75</v>
      </c>
    </row>
    <row r="559" spans="1:20">
      <c r="A559" s="9" t="s">
        <v>433</v>
      </c>
      <c r="B559" s="30" t="s">
        <v>473</v>
      </c>
      <c r="C559" s="30" t="str">
        <f>CONCATENATE(VOL_VOLUMEN_SUMINISTROS[[#This Row],[Proyecto]],VOL_VOLUMEN_SUMINISTROS[[#This Row],[J]],VOL_VOLUMEN_SUMINISTROS[[#This Row],[FIN DE SEMANA]])</f>
        <v>1052-1TNO</v>
      </c>
      <c r="D559" s="365" t="str">
        <f>CONCATENATE(VOL_VOLUMEN_SUMINISTROS[[#This Row],[Grupo]],VOL_VOLUMEN_SUMINISTROS[[#This Row],[Proyecto]],VOL_VOLUMEN_SUMINISTROS[[#This Row],[FIN DE SEMANA]])</f>
        <v>291052-1NO</v>
      </c>
      <c r="E559" s="30" t="s">
        <v>147</v>
      </c>
      <c r="F559" s="30" t="s">
        <v>148</v>
      </c>
      <c r="G559" s="365">
        <v>29</v>
      </c>
      <c r="H559" s="30">
        <v>7</v>
      </c>
      <c r="I559" s="9" t="s">
        <v>221</v>
      </c>
      <c r="J559" s="9" t="s">
        <v>474</v>
      </c>
      <c r="K559" s="30">
        <v>4</v>
      </c>
      <c r="L559" s="9" t="s">
        <v>226</v>
      </c>
      <c r="M559" s="30" t="s">
        <v>84</v>
      </c>
      <c r="N559" s="30" t="s">
        <v>155</v>
      </c>
      <c r="O559" s="24">
        <v>75</v>
      </c>
      <c r="P559" s="24">
        <v>0</v>
      </c>
      <c r="Q559" s="24">
        <v>0</v>
      </c>
      <c r="R559" s="24">
        <v>0</v>
      </c>
      <c r="S559" s="24">
        <v>0</v>
      </c>
      <c r="T559" s="24">
        <v>75</v>
      </c>
    </row>
    <row r="560" spans="1:20">
      <c r="A560" s="9" t="s">
        <v>433</v>
      </c>
      <c r="B560" s="30" t="s">
        <v>473</v>
      </c>
      <c r="C560" s="30" t="str">
        <f>CONCATENATE(VOL_VOLUMEN_SUMINISTROS[[#This Row],[Proyecto]],VOL_VOLUMEN_SUMINISTROS[[#This Row],[J]],VOL_VOLUMEN_SUMINISTROS[[#This Row],[FIN DE SEMANA]])</f>
        <v>1052-1MNO</v>
      </c>
      <c r="D560" s="365" t="str">
        <f>CONCATENATE(VOL_VOLUMEN_SUMINISTROS[[#This Row],[Grupo]],VOL_VOLUMEN_SUMINISTROS[[#This Row],[Proyecto]],VOL_VOLUMEN_SUMINISTROS[[#This Row],[FIN DE SEMANA]])</f>
        <v>271052-1NO</v>
      </c>
      <c r="E560" s="30" t="s">
        <v>147</v>
      </c>
      <c r="F560" s="30" t="s">
        <v>148</v>
      </c>
      <c r="G560" s="365">
        <v>27</v>
      </c>
      <c r="H560" s="30">
        <v>7</v>
      </c>
      <c r="I560" s="9" t="s">
        <v>221</v>
      </c>
      <c r="J560" s="9" t="s">
        <v>478</v>
      </c>
      <c r="K560" s="30">
        <v>1</v>
      </c>
      <c r="L560" s="9" t="s">
        <v>479</v>
      </c>
      <c r="M560" s="30" t="s">
        <v>84</v>
      </c>
      <c r="N560" s="30" t="s">
        <v>152</v>
      </c>
      <c r="O560" s="24">
        <v>117</v>
      </c>
      <c r="P560" s="24">
        <v>89</v>
      </c>
      <c r="Q560" s="24">
        <v>18</v>
      </c>
      <c r="R560" s="24">
        <v>0</v>
      </c>
      <c r="S560" s="24">
        <v>0</v>
      </c>
      <c r="T560" s="24">
        <v>224</v>
      </c>
    </row>
    <row r="561" spans="1:20">
      <c r="A561" s="9" t="s">
        <v>433</v>
      </c>
      <c r="B561" s="30" t="s">
        <v>473</v>
      </c>
      <c r="C561" s="30" t="str">
        <f>CONCATENATE(VOL_VOLUMEN_SUMINISTROS[[#This Row],[Proyecto]],VOL_VOLUMEN_SUMINISTROS[[#This Row],[J]],VOL_VOLUMEN_SUMINISTROS[[#This Row],[FIN DE SEMANA]])</f>
        <v>1052-1TNO</v>
      </c>
      <c r="D561" s="365" t="str">
        <f>CONCATENATE(VOL_VOLUMEN_SUMINISTROS[[#This Row],[Grupo]],VOL_VOLUMEN_SUMINISTROS[[#This Row],[Proyecto]],VOL_VOLUMEN_SUMINISTROS[[#This Row],[FIN DE SEMANA]])</f>
        <v>271052-1NO</v>
      </c>
      <c r="E561" s="30" t="s">
        <v>147</v>
      </c>
      <c r="F561" s="30" t="s">
        <v>148</v>
      </c>
      <c r="G561" s="365">
        <v>27</v>
      </c>
      <c r="H561" s="30">
        <v>7</v>
      </c>
      <c r="I561" s="9" t="s">
        <v>221</v>
      </c>
      <c r="J561" s="9" t="s">
        <v>478</v>
      </c>
      <c r="K561" s="30">
        <v>1</v>
      </c>
      <c r="L561" s="9" t="s">
        <v>479</v>
      </c>
      <c r="M561" s="30" t="s">
        <v>84</v>
      </c>
      <c r="N561" s="30" t="s">
        <v>155</v>
      </c>
      <c r="O561" s="24">
        <v>110</v>
      </c>
      <c r="P561" s="24">
        <v>80</v>
      </c>
      <c r="Q561" s="24">
        <v>16</v>
      </c>
      <c r="R561" s="24">
        <v>0</v>
      </c>
      <c r="S561" s="24">
        <v>0</v>
      </c>
      <c r="T561" s="24">
        <v>206</v>
      </c>
    </row>
    <row r="562" spans="1:20">
      <c r="A562" s="9" t="s">
        <v>433</v>
      </c>
      <c r="B562" s="30" t="s">
        <v>473</v>
      </c>
      <c r="C562" s="30" t="str">
        <f>CONCATENATE(VOL_VOLUMEN_SUMINISTROS[[#This Row],[Proyecto]],VOL_VOLUMEN_SUMINISTROS[[#This Row],[J]],VOL_VOLUMEN_SUMINISTROS[[#This Row],[FIN DE SEMANA]])</f>
        <v>1052-1MNO</v>
      </c>
      <c r="D562" s="365" t="str">
        <f>CONCATENATE(VOL_VOLUMEN_SUMINISTROS[[#This Row],[Grupo]],VOL_VOLUMEN_SUMINISTROS[[#This Row],[Proyecto]],VOL_VOLUMEN_SUMINISTROS[[#This Row],[FIN DE SEMANA]])</f>
        <v>271052-1NO</v>
      </c>
      <c r="E562" s="30" t="s">
        <v>147</v>
      </c>
      <c r="F562" s="30" t="s">
        <v>148</v>
      </c>
      <c r="G562" s="365">
        <v>27</v>
      </c>
      <c r="H562" s="30">
        <v>7</v>
      </c>
      <c r="I562" s="9" t="s">
        <v>221</v>
      </c>
      <c r="J562" s="9" t="s">
        <v>480</v>
      </c>
      <c r="K562" s="30">
        <v>1</v>
      </c>
      <c r="L562" s="9" t="s">
        <v>481</v>
      </c>
      <c r="M562" s="30" t="s">
        <v>84</v>
      </c>
      <c r="N562" s="30" t="s">
        <v>152</v>
      </c>
      <c r="O562" s="24">
        <v>252</v>
      </c>
      <c r="P562" s="24">
        <v>372</v>
      </c>
      <c r="Q562" s="24">
        <v>400</v>
      </c>
      <c r="R562" s="24">
        <v>0</v>
      </c>
      <c r="S562" s="24">
        <v>0</v>
      </c>
      <c r="T562" s="24">
        <v>1024</v>
      </c>
    </row>
    <row r="563" spans="1:20">
      <c r="A563" s="9" t="s">
        <v>433</v>
      </c>
      <c r="B563" s="30" t="s">
        <v>473</v>
      </c>
      <c r="C563" s="30" t="str">
        <f>CONCATENATE(VOL_VOLUMEN_SUMINISTROS[[#This Row],[Proyecto]],VOL_VOLUMEN_SUMINISTROS[[#This Row],[J]],VOL_VOLUMEN_SUMINISTROS[[#This Row],[FIN DE SEMANA]])</f>
        <v>1052-1TNO</v>
      </c>
      <c r="D563" s="365" t="str">
        <f>CONCATENATE(VOL_VOLUMEN_SUMINISTROS[[#This Row],[Grupo]],VOL_VOLUMEN_SUMINISTROS[[#This Row],[Proyecto]],VOL_VOLUMEN_SUMINISTROS[[#This Row],[FIN DE SEMANA]])</f>
        <v>271052-1NO</v>
      </c>
      <c r="E563" s="30" t="s">
        <v>147</v>
      </c>
      <c r="F563" s="30" t="s">
        <v>148</v>
      </c>
      <c r="G563" s="365">
        <v>27</v>
      </c>
      <c r="H563" s="30">
        <v>7</v>
      </c>
      <c r="I563" s="9" t="s">
        <v>221</v>
      </c>
      <c r="J563" s="9" t="s">
        <v>480</v>
      </c>
      <c r="K563" s="30">
        <v>1</v>
      </c>
      <c r="L563" s="9" t="s">
        <v>481</v>
      </c>
      <c r="M563" s="30" t="s">
        <v>84</v>
      </c>
      <c r="N563" s="30" t="s">
        <v>155</v>
      </c>
      <c r="O563" s="24">
        <v>275</v>
      </c>
      <c r="P563" s="24">
        <v>330</v>
      </c>
      <c r="Q563" s="24">
        <v>364</v>
      </c>
      <c r="R563" s="24">
        <v>0</v>
      </c>
      <c r="S563" s="24">
        <v>0</v>
      </c>
      <c r="T563" s="24">
        <v>969</v>
      </c>
    </row>
    <row r="564" spans="1:20">
      <c r="A564" s="9" t="s">
        <v>433</v>
      </c>
      <c r="B564" s="30" t="s">
        <v>473</v>
      </c>
      <c r="C564" s="30" t="str">
        <f>CONCATENATE(VOL_VOLUMEN_SUMINISTROS[[#This Row],[Proyecto]],VOL_VOLUMEN_SUMINISTROS[[#This Row],[J]],VOL_VOLUMEN_SUMINISTROS[[#This Row],[FIN DE SEMANA]])</f>
        <v>1052-1MNO</v>
      </c>
      <c r="D564" s="365" t="str">
        <f>CONCATENATE(VOL_VOLUMEN_SUMINISTROS[[#This Row],[Grupo]],VOL_VOLUMEN_SUMINISTROS[[#This Row],[Proyecto]],VOL_VOLUMEN_SUMINISTROS[[#This Row],[FIN DE SEMANA]])</f>
        <v>271052-1NO</v>
      </c>
      <c r="E564" s="30" t="s">
        <v>147</v>
      </c>
      <c r="F564" s="30" t="s">
        <v>148</v>
      </c>
      <c r="G564" s="365">
        <v>27</v>
      </c>
      <c r="H564" s="30">
        <v>7</v>
      </c>
      <c r="I564" s="9" t="s">
        <v>221</v>
      </c>
      <c r="J564" s="9" t="s">
        <v>482</v>
      </c>
      <c r="K564" s="30">
        <v>2</v>
      </c>
      <c r="L564" s="9" t="s">
        <v>483</v>
      </c>
      <c r="M564" s="30" t="s">
        <v>84</v>
      </c>
      <c r="N564" s="30" t="s">
        <v>152</v>
      </c>
      <c r="O564" s="24">
        <v>224</v>
      </c>
      <c r="P564" s="24">
        <v>466</v>
      </c>
      <c r="Q564" s="24">
        <v>118</v>
      </c>
      <c r="R564" s="24">
        <v>0</v>
      </c>
      <c r="S564" s="24">
        <v>0</v>
      </c>
      <c r="T564" s="24">
        <v>808</v>
      </c>
    </row>
    <row r="565" spans="1:20">
      <c r="A565" s="9" t="s">
        <v>433</v>
      </c>
      <c r="B565" s="30" t="s">
        <v>473</v>
      </c>
      <c r="C565" s="30" t="str">
        <f>CONCATENATE(VOL_VOLUMEN_SUMINISTROS[[#This Row],[Proyecto]],VOL_VOLUMEN_SUMINISTROS[[#This Row],[J]],VOL_VOLUMEN_SUMINISTROS[[#This Row],[FIN DE SEMANA]])</f>
        <v>1052-1TNO</v>
      </c>
      <c r="D565" s="365" t="str">
        <f>CONCATENATE(VOL_VOLUMEN_SUMINISTROS[[#This Row],[Grupo]],VOL_VOLUMEN_SUMINISTROS[[#This Row],[Proyecto]],VOL_VOLUMEN_SUMINISTROS[[#This Row],[FIN DE SEMANA]])</f>
        <v>271052-1NO</v>
      </c>
      <c r="E565" s="30" t="s">
        <v>147</v>
      </c>
      <c r="F565" s="30" t="s">
        <v>148</v>
      </c>
      <c r="G565" s="365">
        <v>27</v>
      </c>
      <c r="H565" s="30">
        <v>7</v>
      </c>
      <c r="I565" s="9" t="s">
        <v>221</v>
      </c>
      <c r="J565" s="9" t="s">
        <v>482</v>
      </c>
      <c r="K565" s="30">
        <v>2</v>
      </c>
      <c r="L565" s="9" t="s">
        <v>483</v>
      </c>
      <c r="M565" s="30" t="s">
        <v>84</v>
      </c>
      <c r="N565" s="30" t="s">
        <v>155</v>
      </c>
      <c r="O565" s="24">
        <v>212</v>
      </c>
      <c r="P565" s="24">
        <v>466</v>
      </c>
      <c r="Q565" s="24">
        <v>120</v>
      </c>
      <c r="R565" s="24">
        <v>0</v>
      </c>
      <c r="S565" s="24">
        <v>0</v>
      </c>
      <c r="T565" s="24">
        <v>798</v>
      </c>
    </row>
    <row r="566" spans="1:20">
      <c r="A566" s="9" t="s">
        <v>433</v>
      </c>
      <c r="B566" s="30" t="s">
        <v>473</v>
      </c>
      <c r="C566" s="30" t="str">
        <f>CONCATENATE(VOL_VOLUMEN_SUMINISTROS[[#This Row],[Proyecto]],VOL_VOLUMEN_SUMINISTROS[[#This Row],[J]],VOL_VOLUMEN_SUMINISTROS[[#This Row],[FIN DE SEMANA]])</f>
        <v>1052-1MNO</v>
      </c>
      <c r="D566" s="365" t="str">
        <f>CONCATENATE(VOL_VOLUMEN_SUMINISTROS[[#This Row],[Grupo]],VOL_VOLUMEN_SUMINISTROS[[#This Row],[Proyecto]],VOL_VOLUMEN_SUMINISTROS[[#This Row],[FIN DE SEMANA]])</f>
        <v>291052-1NO</v>
      </c>
      <c r="E566" s="30" t="s">
        <v>147</v>
      </c>
      <c r="F566" s="30" t="s">
        <v>148</v>
      </c>
      <c r="G566" s="365">
        <v>29</v>
      </c>
      <c r="H566" s="30">
        <v>7</v>
      </c>
      <c r="I566" s="9" t="s">
        <v>221</v>
      </c>
      <c r="J566" s="9" t="s">
        <v>484</v>
      </c>
      <c r="K566" s="30">
        <v>2</v>
      </c>
      <c r="L566" s="9" t="s">
        <v>485</v>
      </c>
      <c r="M566" s="30" t="s">
        <v>84</v>
      </c>
      <c r="N566" s="30" t="s">
        <v>152</v>
      </c>
      <c r="O566" s="24">
        <v>188</v>
      </c>
      <c r="P566" s="24">
        <v>330</v>
      </c>
      <c r="Q566" s="24">
        <v>230</v>
      </c>
      <c r="R566" s="24">
        <v>0</v>
      </c>
      <c r="S566" s="24">
        <v>0</v>
      </c>
      <c r="T566" s="24">
        <v>748</v>
      </c>
    </row>
    <row r="567" spans="1:20">
      <c r="A567" s="9" t="s">
        <v>433</v>
      </c>
      <c r="B567" s="30" t="s">
        <v>473</v>
      </c>
      <c r="C567" s="30" t="str">
        <f>CONCATENATE(VOL_VOLUMEN_SUMINISTROS[[#This Row],[Proyecto]],VOL_VOLUMEN_SUMINISTROS[[#This Row],[J]],VOL_VOLUMEN_SUMINISTROS[[#This Row],[FIN DE SEMANA]])</f>
        <v>1052-1TNO</v>
      </c>
      <c r="D567" s="365" t="str">
        <f>CONCATENATE(VOL_VOLUMEN_SUMINISTROS[[#This Row],[Grupo]],VOL_VOLUMEN_SUMINISTROS[[#This Row],[Proyecto]],VOL_VOLUMEN_SUMINISTROS[[#This Row],[FIN DE SEMANA]])</f>
        <v>291052-1NO</v>
      </c>
      <c r="E567" s="30" t="s">
        <v>147</v>
      </c>
      <c r="F567" s="30" t="s">
        <v>148</v>
      </c>
      <c r="G567" s="365">
        <v>29</v>
      </c>
      <c r="H567" s="30">
        <v>7</v>
      </c>
      <c r="I567" s="9" t="s">
        <v>221</v>
      </c>
      <c r="J567" s="9" t="s">
        <v>484</v>
      </c>
      <c r="K567" s="30">
        <v>2</v>
      </c>
      <c r="L567" s="9" t="s">
        <v>485</v>
      </c>
      <c r="M567" s="30" t="s">
        <v>84</v>
      </c>
      <c r="N567" s="30" t="s">
        <v>155</v>
      </c>
      <c r="O567" s="24">
        <v>168</v>
      </c>
      <c r="P567" s="24">
        <v>356</v>
      </c>
      <c r="Q567" s="24">
        <v>238</v>
      </c>
      <c r="R567" s="24">
        <v>0</v>
      </c>
      <c r="S567" s="24">
        <v>0</v>
      </c>
      <c r="T567" s="24">
        <v>762</v>
      </c>
    </row>
    <row r="568" spans="1:20">
      <c r="A568" s="9" t="s">
        <v>433</v>
      </c>
      <c r="B568" s="30" t="s">
        <v>473</v>
      </c>
      <c r="C568" s="30" t="str">
        <f>CONCATENATE(VOL_VOLUMEN_SUMINISTROS[[#This Row],[Proyecto]],VOL_VOLUMEN_SUMINISTROS[[#This Row],[J]],VOL_VOLUMEN_SUMINISTROS[[#This Row],[FIN DE SEMANA]])</f>
        <v>1052-1MNO</v>
      </c>
      <c r="D568" s="365" t="str">
        <f>CONCATENATE(VOL_VOLUMEN_SUMINISTROS[[#This Row],[Grupo]],VOL_VOLUMEN_SUMINISTROS[[#This Row],[Proyecto]],VOL_VOLUMEN_SUMINISTROS[[#This Row],[FIN DE SEMANA]])</f>
        <v>291052-1NO</v>
      </c>
      <c r="E568" s="30" t="s">
        <v>147</v>
      </c>
      <c r="F568" s="30" t="s">
        <v>148</v>
      </c>
      <c r="G568" s="365">
        <v>29</v>
      </c>
      <c r="H568" s="30">
        <v>7</v>
      </c>
      <c r="I568" s="9" t="s">
        <v>221</v>
      </c>
      <c r="J568" s="9" t="s">
        <v>486</v>
      </c>
      <c r="K568" s="30">
        <v>2</v>
      </c>
      <c r="L568" s="9" t="s">
        <v>324</v>
      </c>
      <c r="M568" s="30" t="s">
        <v>84</v>
      </c>
      <c r="N568" s="30" t="s">
        <v>152</v>
      </c>
      <c r="O568" s="24">
        <v>102</v>
      </c>
      <c r="P568" s="24">
        <v>152</v>
      </c>
      <c r="Q568" s="24">
        <v>196</v>
      </c>
      <c r="R568" s="24">
        <v>0</v>
      </c>
      <c r="S568" s="24">
        <v>0</v>
      </c>
      <c r="T568" s="24">
        <v>450</v>
      </c>
    </row>
    <row r="569" spans="1:20">
      <c r="A569" s="9" t="s">
        <v>433</v>
      </c>
      <c r="B569" s="30" t="s">
        <v>473</v>
      </c>
      <c r="C569" s="30" t="str">
        <f>CONCATENATE(VOL_VOLUMEN_SUMINISTROS[[#This Row],[Proyecto]],VOL_VOLUMEN_SUMINISTROS[[#This Row],[J]],VOL_VOLUMEN_SUMINISTROS[[#This Row],[FIN DE SEMANA]])</f>
        <v>1052-1TNO</v>
      </c>
      <c r="D569" s="365" t="str">
        <f>CONCATENATE(VOL_VOLUMEN_SUMINISTROS[[#This Row],[Grupo]],VOL_VOLUMEN_SUMINISTROS[[#This Row],[Proyecto]],VOL_VOLUMEN_SUMINISTROS[[#This Row],[FIN DE SEMANA]])</f>
        <v>291052-1NO</v>
      </c>
      <c r="E569" s="30" t="s">
        <v>147</v>
      </c>
      <c r="F569" s="30" t="s">
        <v>148</v>
      </c>
      <c r="G569" s="365">
        <v>29</v>
      </c>
      <c r="H569" s="30">
        <v>7</v>
      </c>
      <c r="I569" s="9" t="s">
        <v>221</v>
      </c>
      <c r="J569" s="9" t="s">
        <v>486</v>
      </c>
      <c r="K569" s="30">
        <v>2</v>
      </c>
      <c r="L569" s="9" t="s">
        <v>487</v>
      </c>
      <c r="M569" s="30" t="s">
        <v>84</v>
      </c>
      <c r="N569" s="30" t="s">
        <v>155</v>
      </c>
      <c r="O569" s="24">
        <v>112</v>
      </c>
      <c r="P569" s="24">
        <v>160</v>
      </c>
      <c r="Q569" s="24">
        <v>226</v>
      </c>
      <c r="R569" s="24">
        <v>0</v>
      </c>
      <c r="S569" s="24">
        <v>0</v>
      </c>
      <c r="T569" s="24">
        <v>498</v>
      </c>
    </row>
    <row r="570" spans="1:20">
      <c r="A570" s="9" t="s">
        <v>433</v>
      </c>
      <c r="B570" s="30" t="s">
        <v>473</v>
      </c>
      <c r="C570" s="30" t="str">
        <f>CONCATENATE(VOL_VOLUMEN_SUMINISTROS[[#This Row],[Proyecto]],VOL_VOLUMEN_SUMINISTROS[[#This Row],[J]],VOL_VOLUMEN_SUMINISTROS[[#This Row],[FIN DE SEMANA]])</f>
        <v>1052-1MNO</v>
      </c>
      <c r="D570" s="365" t="str">
        <f>CONCATENATE(VOL_VOLUMEN_SUMINISTROS[[#This Row],[Grupo]],VOL_VOLUMEN_SUMINISTROS[[#This Row],[Proyecto]],VOL_VOLUMEN_SUMINISTROS[[#This Row],[FIN DE SEMANA]])</f>
        <v>281052-1NO</v>
      </c>
      <c r="E570" s="30" t="s">
        <v>147</v>
      </c>
      <c r="F570" s="30" t="s">
        <v>148</v>
      </c>
      <c r="G570" s="365">
        <v>28</v>
      </c>
      <c r="H570" s="30">
        <v>7</v>
      </c>
      <c r="I570" s="9" t="s">
        <v>221</v>
      </c>
      <c r="J570" s="9" t="s">
        <v>488</v>
      </c>
      <c r="K570" s="30">
        <v>1</v>
      </c>
      <c r="L570" s="9" t="s">
        <v>489</v>
      </c>
      <c r="M570" s="30" t="s">
        <v>84</v>
      </c>
      <c r="N570" s="30" t="s">
        <v>152</v>
      </c>
      <c r="O570" s="24">
        <v>155</v>
      </c>
      <c r="P570" s="24">
        <v>210</v>
      </c>
      <c r="Q570" s="24">
        <v>339</v>
      </c>
      <c r="R570" s="24">
        <v>0</v>
      </c>
      <c r="S570" s="24">
        <v>0</v>
      </c>
      <c r="T570" s="24">
        <v>704</v>
      </c>
    </row>
    <row r="571" spans="1:20">
      <c r="A571" s="9" t="s">
        <v>433</v>
      </c>
      <c r="B571" s="30" t="s">
        <v>473</v>
      </c>
      <c r="C571" s="30" t="str">
        <f>CONCATENATE(VOL_VOLUMEN_SUMINISTROS[[#This Row],[Proyecto]],VOL_VOLUMEN_SUMINISTROS[[#This Row],[J]],VOL_VOLUMEN_SUMINISTROS[[#This Row],[FIN DE SEMANA]])</f>
        <v>1052-1TNO</v>
      </c>
      <c r="D571" s="365" t="str">
        <f>CONCATENATE(VOL_VOLUMEN_SUMINISTROS[[#This Row],[Grupo]],VOL_VOLUMEN_SUMINISTROS[[#This Row],[Proyecto]],VOL_VOLUMEN_SUMINISTROS[[#This Row],[FIN DE SEMANA]])</f>
        <v>281052-1NO</v>
      </c>
      <c r="E571" s="30" t="s">
        <v>147</v>
      </c>
      <c r="F571" s="30" t="s">
        <v>148</v>
      </c>
      <c r="G571" s="365">
        <v>28</v>
      </c>
      <c r="H571" s="30">
        <v>7</v>
      </c>
      <c r="I571" s="9" t="s">
        <v>221</v>
      </c>
      <c r="J571" s="9" t="s">
        <v>488</v>
      </c>
      <c r="K571" s="30">
        <v>1</v>
      </c>
      <c r="L571" s="9" t="s">
        <v>489</v>
      </c>
      <c r="M571" s="30" t="s">
        <v>84</v>
      </c>
      <c r="N571" s="30" t="s">
        <v>155</v>
      </c>
      <c r="O571" s="24">
        <v>179</v>
      </c>
      <c r="P571" s="24">
        <v>315</v>
      </c>
      <c r="Q571" s="24">
        <v>248</v>
      </c>
      <c r="R571" s="24">
        <v>0</v>
      </c>
      <c r="S571" s="24">
        <v>0</v>
      </c>
      <c r="T571" s="24">
        <v>742</v>
      </c>
    </row>
    <row r="572" spans="1:20">
      <c r="A572" s="9" t="s">
        <v>433</v>
      </c>
      <c r="B572" s="30" t="s">
        <v>473</v>
      </c>
      <c r="C572" s="30" t="str">
        <f>CONCATENATE(VOL_VOLUMEN_SUMINISTROS[[#This Row],[Proyecto]],VOL_VOLUMEN_SUMINISTROS[[#This Row],[J]],VOL_VOLUMEN_SUMINISTROS[[#This Row],[FIN DE SEMANA]])</f>
        <v>1052-1NNO</v>
      </c>
      <c r="D572" s="365" t="str">
        <f>CONCATENATE(VOL_VOLUMEN_SUMINISTROS[[#This Row],[Grupo]],VOL_VOLUMEN_SUMINISTROS[[#This Row],[Proyecto]],VOL_VOLUMEN_SUMINISTROS[[#This Row],[FIN DE SEMANA]])</f>
        <v>291052-1NO</v>
      </c>
      <c r="E572" s="30" t="s">
        <v>147</v>
      </c>
      <c r="F572" s="30" t="s">
        <v>148</v>
      </c>
      <c r="G572" s="365">
        <v>29</v>
      </c>
      <c r="H572" s="30">
        <v>7</v>
      </c>
      <c r="I572" s="9" t="s">
        <v>221</v>
      </c>
      <c r="J572" s="9" t="s">
        <v>490</v>
      </c>
      <c r="K572" s="30">
        <v>1</v>
      </c>
      <c r="L572" s="9" t="s">
        <v>491</v>
      </c>
      <c r="M572" s="30" t="s">
        <v>84</v>
      </c>
      <c r="N572" s="30" t="s">
        <v>154</v>
      </c>
      <c r="O572" s="24">
        <v>0</v>
      </c>
      <c r="P572" s="24">
        <v>0</v>
      </c>
      <c r="Q572" s="24">
        <v>0</v>
      </c>
      <c r="R572" s="24">
        <v>251</v>
      </c>
      <c r="S572" s="24">
        <v>297</v>
      </c>
      <c r="T572" s="24">
        <v>548</v>
      </c>
    </row>
    <row r="573" spans="1:20">
      <c r="A573" s="9" t="s">
        <v>433</v>
      </c>
      <c r="B573" s="30" t="s">
        <v>473</v>
      </c>
      <c r="C573" s="30" t="str">
        <f>CONCATENATE(VOL_VOLUMEN_SUMINISTROS[[#This Row],[Proyecto]],VOL_VOLUMEN_SUMINISTROS[[#This Row],[J]],VOL_VOLUMEN_SUMINISTROS[[#This Row],[FIN DE SEMANA]])</f>
        <v>1052-1MNO</v>
      </c>
      <c r="D573" s="365" t="str">
        <f>CONCATENATE(VOL_VOLUMEN_SUMINISTROS[[#This Row],[Grupo]],VOL_VOLUMEN_SUMINISTROS[[#This Row],[Proyecto]],VOL_VOLUMEN_SUMINISTROS[[#This Row],[FIN DE SEMANA]])</f>
        <v>291052-1NO</v>
      </c>
      <c r="E573" s="30" t="s">
        <v>147</v>
      </c>
      <c r="F573" s="30" t="s">
        <v>148</v>
      </c>
      <c r="G573" s="365">
        <v>29</v>
      </c>
      <c r="H573" s="30">
        <v>7</v>
      </c>
      <c r="I573" s="9" t="s">
        <v>221</v>
      </c>
      <c r="J573" s="9" t="s">
        <v>490</v>
      </c>
      <c r="K573" s="30">
        <v>2</v>
      </c>
      <c r="L573" s="9" t="s">
        <v>492</v>
      </c>
      <c r="M573" s="30" t="s">
        <v>84</v>
      </c>
      <c r="N573" s="30" t="s">
        <v>152</v>
      </c>
      <c r="O573" s="24">
        <v>174</v>
      </c>
      <c r="P573" s="24">
        <v>63</v>
      </c>
      <c r="Q573" s="24">
        <v>0</v>
      </c>
      <c r="R573" s="24">
        <v>0</v>
      </c>
      <c r="S573" s="24">
        <v>0</v>
      </c>
      <c r="T573" s="24">
        <v>237</v>
      </c>
    </row>
    <row r="574" spans="1:20">
      <c r="A574" s="9" t="s">
        <v>433</v>
      </c>
      <c r="B574" s="30" t="s">
        <v>473</v>
      </c>
      <c r="C574" s="30" t="str">
        <f>CONCATENATE(VOL_VOLUMEN_SUMINISTROS[[#This Row],[Proyecto]],VOL_VOLUMEN_SUMINISTROS[[#This Row],[J]],VOL_VOLUMEN_SUMINISTROS[[#This Row],[FIN DE SEMANA]])</f>
        <v>1052-1TNO</v>
      </c>
      <c r="D574" s="365" t="str">
        <f>CONCATENATE(VOL_VOLUMEN_SUMINISTROS[[#This Row],[Grupo]],VOL_VOLUMEN_SUMINISTROS[[#This Row],[Proyecto]],VOL_VOLUMEN_SUMINISTROS[[#This Row],[FIN DE SEMANA]])</f>
        <v>291052-1NO</v>
      </c>
      <c r="E574" s="30" t="s">
        <v>147</v>
      </c>
      <c r="F574" s="30" t="s">
        <v>148</v>
      </c>
      <c r="G574" s="365">
        <v>29</v>
      </c>
      <c r="H574" s="30">
        <v>7</v>
      </c>
      <c r="I574" s="9" t="s">
        <v>221</v>
      </c>
      <c r="J574" s="9" t="s">
        <v>490</v>
      </c>
      <c r="K574" s="30">
        <v>2</v>
      </c>
      <c r="L574" s="9" t="s">
        <v>492</v>
      </c>
      <c r="M574" s="30" t="s">
        <v>84</v>
      </c>
      <c r="N574" s="30" t="s">
        <v>155</v>
      </c>
      <c r="O574" s="24">
        <v>170</v>
      </c>
      <c r="P574" s="24">
        <v>61</v>
      </c>
      <c r="Q574" s="24">
        <v>0</v>
      </c>
      <c r="R574" s="24">
        <v>0</v>
      </c>
      <c r="S574" s="24">
        <v>0</v>
      </c>
      <c r="T574" s="24">
        <v>231</v>
      </c>
    </row>
    <row r="575" spans="1:20">
      <c r="A575" s="9" t="s">
        <v>433</v>
      </c>
      <c r="B575" s="30" t="s">
        <v>473</v>
      </c>
      <c r="C575" s="30" t="str">
        <f>CONCATENATE(VOL_VOLUMEN_SUMINISTROS[[#This Row],[Proyecto]],VOL_VOLUMEN_SUMINISTROS[[#This Row],[J]],VOL_VOLUMEN_SUMINISTROS[[#This Row],[FIN DE SEMANA]])</f>
        <v>1052-1MNO</v>
      </c>
      <c r="D575" s="365" t="str">
        <f>CONCATENATE(VOL_VOLUMEN_SUMINISTROS[[#This Row],[Grupo]],VOL_VOLUMEN_SUMINISTROS[[#This Row],[Proyecto]],VOL_VOLUMEN_SUMINISTROS[[#This Row],[FIN DE SEMANA]])</f>
        <v>291052-1NO</v>
      </c>
      <c r="E575" s="30" t="s">
        <v>147</v>
      </c>
      <c r="F575" s="30" t="s">
        <v>148</v>
      </c>
      <c r="G575" s="365">
        <v>29</v>
      </c>
      <c r="H575" s="30">
        <v>7</v>
      </c>
      <c r="I575" s="9" t="s">
        <v>221</v>
      </c>
      <c r="J575" s="9" t="s">
        <v>490</v>
      </c>
      <c r="K575" s="30">
        <v>3</v>
      </c>
      <c r="L575" s="9" t="s">
        <v>493</v>
      </c>
      <c r="M575" s="30" t="s">
        <v>84</v>
      </c>
      <c r="N575" s="30" t="s">
        <v>152</v>
      </c>
      <c r="O575" s="24">
        <v>172</v>
      </c>
      <c r="P575" s="24">
        <v>64</v>
      </c>
      <c r="Q575" s="24">
        <v>0</v>
      </c>
      <c r="R575" s="24">
        <v>0</v>
      </c>
      <c r="S575" s="24">
        <v>0</v>
      </c>
      <c r="T575" s="24">
        <v>236</v>
      </c>
    </row>
    <row r="576" spans="1:20">
      <c r="A576" s="9" t="s">
        <v>433</v>
      </c>
      <c r="B576" s="30" t="s">
        <v>473</v>
      </c>
      <c r="C576" s="30" t="str">
        <f>CONCATENATE(VOL_VOLUMEN_SUMINISTROS[[#This Row],[Proyecto]],VOL_VOLUMEN_SUMINISTROS[[#This Row],[J]],VOL_VOLUMEN_SUMINISTROS[[#This Row],[FIN DE SEMANA]])</f>
        <v>1052-1TNO</v>
      </c>
      <c r="D576" s="365" t="str">
        <f>CONCATENATE(VOL_VOLUMEN_SUMINISTROS[[#This Row],[Grupo]],VOL_VOLUMEN_SUMINISTROS[[#This Row],[Proyecto]],VOL_VOLUMEN_SUMINISTROS[[#This Row],[FIN DE SEMANA]])</f>
        <v>291052-1NO</v>
      </c>
      <c r="E576" s="30" t="s">
        <v>147</v>
      </c>
      <c r="F576" s="30" t="s">
        <v>148</v>
      </c>
      <c r="G576" s="365">
        <v>29</v>
      </c>
      <c r="H576" s="30">
        <v>7</v>
      </c>
      <c r="I576" s="9" t="s">
        <v>221</v>
      </c>
      <c r="J576" s="9" t="s">
        <v>490</v>
      </c>
      <c r="K576" s="30">
        <v>3</v>
      </c>
      <c r="L576" s="9" t="s">
        <v>493</v>
      </c>
      <c r="M576" s="30" t="s">
        <v>84</v>
      </c>
      <c r="N576" s="30" t="s">
        <v>155</v>
      </c>
      <c r="O576" s="24">
        <v>182</v>
      </c>
      <c r="P576" s="24">
        <v>66</v>
      </c>
      <c r="Q576" s="24">
        <v>0</v>
      </c>
      <c r="R576" s="24">
        <v>0</v>
      </c>
      <c r="S576" s="24">
        <v>0</v>
      </c>
      <c r="T576" s="24">
        <v>248</v>
      </c>
    </row>
    <row r="577" spans="1:20">
      <c r="A577" s="9" t="s">
        <v>433</v>
      </c>
      <c r="B577" s="30" t="s">
        <v>473</v>
      </c>
      <c r="C577" s="30" t="str">
        <f>CONCATENATE(VOL_VOLUMEN_SUMINISTROS[[#This Row],[Proyecto]],VOL_VOLUMEN_SUMINISTROS[[#This Row],[J]],VOL_VOLUMEN_SUMINISTROS[[#This Row],[FIN DE SEMANA]])</f>
        <v>1052-1MNO</v>
      </c>
      <c r="D577" s="365" t="str">
        <f>CONCATENATE(VOL_VOLUMEN_SUMINISTROS[[#This Row],[Grupo]],VOL_VOLUMEN_SUMINISTROS[[#This Row],[Proyecto]],VOL_VOLUMEN_SUMINISTROS[[#This Row],[FIN DE SEMANA]])</f>
        <v>291052-1NO</v>
      </c>
      <c r="E577" s="30" t="s">
        <v>147</v>
      </c>
      <c r="F577" s="30" t="s">
        <v>148</v>
      </c>
      <c r="G577" s="365">
        <v>29</v>
      </c>
      <c r="H577" s="30">
        <v>7</v>
      </c>
      <c r="I577" s="9" t="s">
        <v>221</v>
      </c>
      <c r="J577" s="9" t="s">
        <v>490</v>
      </c>
      <c r="K577" s="30">
        <v>4</v>
      </c>
      <c r="L577" s="9" t="s">
        <v>494</v>
      </c>
      <c r="M577" s="30" t="s">
        <v>84</v>
      </c>
      <c r="N577" s="30" t="s">
        <v>152</v>
      </c>
      <c r="O577" s="24">
        <v>122</v>
      </c>
      <c r="P577" s="24">
        <v>41</v>
      </c>
      <c r="Q577" s="24">
        <v>0</v>
      </c>
      <c r="R577" s="24">
        <v>0</v>
      </c>
      <c r="S577" s="24">
        <v>0</v>
      </c>
      <c r="T577" s="24">
        <v>163</v>
      </c>
    </row>
    <row r="578" spans="1:20">
      <c r="A578" s="9" t="s">
        <v>433</v>
      </c>
      <c r="B578" s="30" t="s">
        <v>473</v>
      </c>
      <c r="C578" s="30" t="str">
        <f>CONCATENATE(VOL_VOLUMEN_SUMINISTROS[[#This Row],[Proyecto]],VOL_VOLUMEN_SUMINISTROS[[#This Row],[J]],VOL_VOLUMEN_SUMINISTROS[[#This Row],[FIN DE SEMANA]])</f>
        <v>1052-1TNO</v>
      </c>
      <c r="D578" s="365" t="str">
        <f>CONCATENATE(VOL_VOLUMEN_SUMINISTROS[[#This Row],[Grupo]],VOL_VOLUMEN_SUMINISTROS[[#This Row],[Proyecto]],VOL_VOLUMEN_SUMINISTROS[[#This Row],[FIN DE SEMANA]])</f>
        <v>291052-1NO</v>
      </c>
      <c r="E578" s="30" t="s">
        <v>147</v>
      </c>
      <c r="F578" s="30" t="s">
        <v>148</v>
      </c>
      <c r="G578" s="365">
        <v>29</v>
      </c>
      <c r="H578" s="30">
        <v>7</v>
      </c>
      <c r="I578" s="9" t="s">
        <v>221</v>
      </c>
      <c r="J578" s="9" t="s">
        <v>490</v>
      </c>
      <c r="K578" s="30">
        <v>4</v>
      </c>
      <c r="L578" s="9" t="s">
        <v>494</v>
      </c>
      <c r="M578" s="30" t="s">
        <v>84</v>
      </c>
      <c r="N578" s="30" t="s">
        <v>155</v>
      </c>
      <c r="O578" s="24">
        <v>119</v>
      </c>
      <c r="P578" s="24">
        <v>39</v>
      </c>
      <c r="Q578" s="24">
        <v>0</v>
      </c>
      <c r="R578" s="24">
        <v>0</v>
      </c>
      <c r="S578" s="24">
        <v>0</v>
      </c>
      <c r="T578" s="24">
        <v>158</v>
      </c>
    </row>
    <row r="579" spans="1:20">
      <c r="A579" s="9" t="s">
        <v>433</v>
      </c>
      <c r="B579" s="30" t="s">
        <v>473</v>
      </c>
      <c r="C579" s="30" t="str">
        <f>CONCATENATE(VOL_VOLUMEN_SUMINISTROS[[#This Row],[Proyecto]],VOL_VOLUMEN_SUMINISTROS[[#This Row],[J]],VOL_VOLUMEN_SUMINISTROS[[#This Row],[FIN DE SEMANA]])</f>
        <v>1052-1MNO</v>
      </c>
      <c r="D579" s="365" t="str">
        <f>CONCATENATE(VOL_VOLUMEN_SUMINISTROS[[#This Row],[Grupo]],VOL_VOLUMEN_SUMINISTROS[[#This Row],[Proyecto]],VOL_VOLUMEN_SUMINISTROS[[#This Row],[FIN DE SEMANA]])</f>
        <v>291052-1NO</v>
      </c>
      <c r="E579" s="30" t="s">
        <v>147</v>
      </c>
      <c r="F579" s="30" t="s">
        <v>148</v>
      </c>
      <c r="G579" s="365">
        <v>29</v>
      </c>
      <c r="H579" s="30">
        <v>7</v>
      </c>
      <c r="I579" s="9" t="s">
        <v>221</v>
      </c>
      <c r="J579" s="9" t="s">
        <v>490</v>
      </c>
      <c r="K579" s="30">
        <v>5</v>
      </c>
      <c r="L579" s="9" t="s">
        <v>495</v>
      </c>
      <c r="M579" s="30" t="s">
        <v>84</v>
      </c>
      <c r="N579" s="30" t="s">
        <v>152</v>
      </c>
      <c r="O579" s="24">
        <v>92</v>
      </c>
      <c r="P579" s="24">
        <v>0</v>
      </c>
      <c r="Q579" s="24">
        <v>0</v>
      </c>
      <c r="R579" s="24">
        <v>0</v>
      </c>
      <c r="S579" s="24">
        <v>0</v>
      </c>
      <c r="T579" s="24">
        <v>92</v>
      </c>
    </row>
    <row r="580" spans="1:20">
      <c r="A580" s="9" t="s">
        <v>433</v>
      </c>
      <c r="B580" s="30" t="s">
        <v>473</v>
      </c>
      <c r="C580" s="30" t="str">
        <f>CONCATENATE(VOL_VOLUMEN_SUMINISTROS[[#This Row],[Proyecto]],VOL_VOLUMEN_SUMINISTROS[[#This Row],[J]],VOL_VOLUMEN_SUMINISTROS[[#This Row],[FIN DE SEMANA]])</f>
        <v>1052-1MNO</v>
      </c>
      <c r="D580" s="365" t="str">
        <f>CONCATENATE(VOL_VOLUMEN_SUMINISTROS[[#This Row],[Grupo]],VOL_VOLUMEN_SUMINISTROS[[#This Row],[Proyecto]],VOL_VOLUMEN_SUMINISTROS[[#This Row],[FIN DE SEMANA]])</f>
        <v>291052-1NO</v>
      </c>
      <c r="E580" s="30" t="s">
        <v>147</v>
      </c>
      <c r="F580" s="30" t="s">
        <v>148</v>
      </c>
      <c r="G580" s="365">
        <v>29</v>
      </c>
      <c r="H580" s="30">
        <v>7</v>
      </c>
      <c r="I580" s="9" t="s">
        <v>221</v>
      </c>
      <c r="J580" s="9" t="s">
        <v>490</v>
      </c>
      <c r="K580" s="30">
        <v>7</v>
      </c>
      <c r="L580" s="9" t="s">
        <v>496</v>
      </c>
      <c r="M580" s="30" t="s">
        <v>84</v>
      </c>
      <c r="N580" s="30" t="s">
        <v>152</v>
      </c>
      <c r="O580" s="24">
        <v>62</v>
      </c>
      <c r="P580" s="24">
        <v>0</v>
      </c>
      <c r="Q580" s="24">
        <v>0</v>
      </c>
      <c r="R580" s="24">
        <v>0</v>
      </c>
      <c r="S580" s="24">
        <v>0</v>
      </c>
      <c r="T580" s="24">
        <v>62</v>
      </c>
    </row>
    <row r="581" spans="1:20">
      <c r="A581" s="9" t="s">
        <v>433</v>
      </c>
      <c r="B581" s="30" t="s">
        <v>473</v>
      </c>
      <c r="C581" s="30" t="str">
        <f>CONCATENATE(VOL_VOLUMEN_SUMINISTROS[[#This Row],[Proyecto]],VOL_VOLUMEN_SUMINISTROS[[#This Row],[J]],VOL_VOLUMEN_SUMINISTROS[[#This Row],[FIN DE SEMANA]])</f>
        <v>1052-1TNO</v>
      </c>
      <c r="D581" s="365" t="str">
        <f>CONCATENATE(VOL_VOLUMEN_SUMINISTROS[[#This Row],[Grupo]],VOL_VOLUMEN_SUMINISTROS[[#This Row],[Proyecto]],VOL_VOLUMEN_SUMINISTROS[[#This Row],[FIN DE SEMANA]])</f>
        <v>291052-1NO</v>
      </c>
      <c r="E581" s="30" t="s">
        <v>147</v>
      </c>
      <c r="F581" s="30" t="s">
        <v>148</v>
      </c>
      <c r="G581" s="365">
        <v>29</v>
      </c>
      <c r="H581" s="30">
        <v>7</v>
      </c>
      <c r="I581" s="9" t="s">
        <v>221</v>
      </c>
      <c r="J581" s="9" t="s">
        <v>490</v>
      </c>
      <c r="K581" s="30">
        <v>7</v>
      </c>
      <c r="L581" s="9" t="s">
        <v>496</v>
      </c>
      <c r="M581" s="30" t="s">
        <v>84</v>
      </c>
      <c r="N581" s="30" t="s">
        <v>155</v>
      </c>
      <c r="O581" s="24">
        <v>66</v>
      </c>
      <c r="P581" s="24">
        <v>0</v>
      </c>
      <c r="Q581" s="24">
        <v>0</v>
      </c>
      <c r="R581" s="24">
        <v>0</v>
      </c>
      <c r="S581" s="24">
        <v>0</v>
      </c>
      <c r="T581" s="24">
        <v>66</v>
      </c>
    </row>
    <row r="582" spans="1:20">
      <c r="A582" s="9" t="s">
        <v>433</v>
      </c>
      <c r="B582" s="30" t="s">
        <v>473</v>
      </c>
      <c r="C582" s="30" t="str">
        <f>CONCATENATE(VOL_VOLUMEN_SUMINISTROS[[#This Row],[Proyecto]],VOL_VOLUMEN_SUMINISTROS[[#This Row],[J]],VOL_VOLUMEN_SUMINISTROS[[#This Row],[FIN DE SEMANA]])</f>
        <v>1052-1MNO</v>
      </c>
      <c r="D582" s="365" t="str">
        <f>CONCATENATE(VOL_VOLUMEN_SUMINISTROS[[#This Row],[Grupo]],VOL_VOLUMEN_SUMINISTROS[[#This Row],[Proyecto]],VOL_VOLUMEN_SUMINISTROS[[#This Row],[FIN DE SEMANA]])</f>
        <v>291052-1NO</v>
      </c>
      <c r="E582" s="30" t="s">
        <v>147</v>
      </c>
      <c r="F582" s="30" t="s">
        <v>148</v>
      </c>
      <c r="G582" s="365">
        <v>29</v>
      </c>
      <c r="H582" s="30">
        <v>7</v>
      </c>
      <c r="I582" s="9" t="s">
        <v>221</v>
      </c>
      <c r="J582" s="9" t="s">
        <v>497</v>
      </c>
      <c r="K582" s="30">
        <v>2</v>
      </c>
      <c r="L582" s="9" t="s">
        <v>498</v>
      </c>
      <c r="M582" s="30" t="s">
        <v>84</v>
      </c>
      <c r="N582" s="30" t="s">
        <v>152</v>
      </c>
      <c r="O582" s="24">
        <v>104</v>
      </c>
      <c r="P582" s="24">
        <v>0</v>
      </c>
      <c r="Q582" s="24">
        <v>0</v>
      </c>
      <c r="R582" s="24">
        <v>0</v>
      </c>
      <c r="S582" s="24">
        <v>0</v>
      </c>
      <c r="T582" s="24">
        <v>104</v>
      </c>
    </row>
    <row r="583" spans="1:20">
      <c r="A583" s="9" t="s">
        <v>433</v>
      </c>
      <c r="B583" s="30" t="s">
        <v>473</v>
      </c>
      <c r="C583" s="30" t="str">
        <f>CONCATENATE(VOL_VOLUMEN_SUMINISTROS[[#This Row],[Proyecto]],VOL_VOLUMEN_SUMINISTROS[[#This Row],[J]],VOL_VOLUMEN_SUMINISTROS[[#This Row],[FIN DE SEMANA]])</f>
        <v>1052-1MNO</v>
      </c>
      <c r="D583" s="365" t="str">
        <f>CONCATENATE(VOL_VOLUMEN_SUMINISTROS[[#This Row],[Grupo]],VOL_VOLUMEN_SUMINISTROS[[#This Row],[Proyecto]],VOL_VOLUMEN_SUMINISTROS[[#This Row],[FIN DE SEMANA]])</f>
        <v>291052-1NO</v>
      </c>
      <c r="E583" s="30" t="s">
        <v>147</v>
      </c>
      <c r="F583" s="30" t="s">
        <v>148</v>
      </c>
      <c r="G583" s="365">
        <v>29</v>
      </c>
      <c r="H583" s="30">
        <v>7</v>
      </c>
      <c r="I583" s="9" t="s">
        <v>221</v>
      </c>
      <c r="J583" s="9" t="s">
        <v>499</v>
      </c>
      <c r="K583" s="30">
        <v>1</v>
      </c>
      <c r="L583" s="9" t="s">
        <v>500</v>
      </c>
      <c r="M583" s="30" t="s">
        <v>84</v>
      </c>
      <c r="N583" s="30" t="s">
        <v>152</v>
      </c>
      <c r="O583" s="24">
        <v>221</v>
      </c>
      <c r="P583" s="24">
        <v>355</v>
      </c>
      <c r="Q583" s="24">
        <v>365</v>
      </c>
      <c r="R583" s="24">
        <v>0</v>
      </c>
      <c r="S583" s="24">
        <v>0</v>
      </c>
      <c r="T583" s="24">
        <v>941</v>
      </c>
    </row>
    <row r="584" spans="1:20">
      <c r="A584" s="9" t="s">
        <v>433</v>
      </c>
      <c r="B584" s="30" t="s">
        <v>473</v>
      </c>
      <c r="C584" s="30" t="str">
        <f>CONCATENATE(VOL_VOLUMEN_SUMINISTROS[[#This Row],[Proyecto]],VOL_VOLUMEN_SUMINISTROS[[#This Row],[J]],VOL_VOLUMEN_SUMINISTROS[[#This Row],[FIN DE SEMANA]])</f>
        <v>1052-1TNO</v>
      </c>
      <c r="D584" s="365" t="str">
        <f>CONCATENATE(VOL_VOLUMEN_SUMINISTROS[[#This Row],[Grupo]],VOL_VOLUMEN_SUMINISTROS[[#This Row],[Proyecto]],VOL_VOLUMEN_SUMINISTROS[[#This Row],[FIN DE SEMANA]])</f>
        <v>291052-1NO</v>
      </c>
      <c r="E584" s="30" t="s">
        <v>147</v>
      </c>
      <c r="F584" s="30" t="s">
        <v>148</v>
      </c>
      <c r="G584" s="365">
        <v>29</v>
      </c>
      <c r="H584" s="30">
        <v>7</v>
      </c>
      <c r="I584" s="9" t="s">
        <v>221</v>
      </c>
      <c r="J584" s="9" t="s">
        <v>499</v>
      </c>
      <c r="K584" s="30">
        <v>1</v>
      </c>
      <c r="L584" s="9" t="s">
        <v>500</v>
      </c>
      <c r="M584" s="30" t="s">
        <v>84</v>
      </c>
      <c r="N584" s="30" t="s">
        <v>155</v>
      </c>
      <c r="O584" s="24">
        <v>244</v>
      </c>
      <c r="P584" s="24">
        <v>439</v>
      </c>
      <c r="Q584" s="24">
        <v>391</v>
      </c>
      <c r="R584" s="24">
        <v>0</v>
      </c>
      <c r="S584" s="24">
        <v>0</v>
      </c>
      <c r="T584" s="24">
        <v>1074</v>
      </c>
    </row>
    <row r="585" spans="1:20">
      <c r="A585" s="9" t="s">
        <v>433</v>
      </c>
      <c r="B585" s="30" t="s">
        <v>473</v>
      </c>
      <c r="C585" s="30" t="str">
        <f>CONCATENATE(VOL_VOLUMEN_SUMINISTROS[[#This Row],[Proyecto]],VOL_VOLUMEN_SUMINISTROS[[#This Row],[J]],VOL_VOLUMEN_SUMINISTROS[[#This Row],[FIN DE SEMANA]])</f>
        <v>1052-1MNO</v>
      </c>
      <c r="D585" s="365" t="str">
        <f>CONCATENATE(VOL_VOLUMEN_SUMINISTROS[[#This Row],[Grupo]],VOL_VOLUMEN_SUMINISTROS[[#This Row],[Proyecto]],VOL_VOLUMEN_SUMINISTROS[[#This Row],[FIN DE SEMANA]])</f>
        <v>291052-1NO</v>
      </c>
      <c r="E585" s="30" t="s">
        <v>147</v>
      </c>
      <c r="F585" s="30" t="s">
        <v>148</v>
      </c>
      <c r="G585" s="365">
        <v>29</v>
      </c>
      <c r="H585" s="30">
        <v>7</v>
      </c>
      <c r="I585" s="9" t="s">
        <v>221</v>
      </c>
      <c r="J585" s="9" t="s">
        <v>501</v>
      </c>
      <c r="K585" s="30">
        <v>2</v>
      </c>
      <c r="L585" s="9" t="s">
        <v>502</v>
      </c>
      <c r="M585" s="30" t="s">
        <v>84</v>
      </c>
      <c r="N585" s="30" t="s">
        <v>152</v>
      </c>
      <c r="O585" s="24">
        <v>245</v>
      </c>
      <c r="P585" s="24">
        <v>327</v>
      </c>
      <c r="Q585" s="24">
        <v>398</v>
      </c>
      <c r="R585" s="24">
        <v>0</v>
      </c>
      <c r="S585" s="24">
        <v>0</v>
      </c>
      <c r="T585" s="24">
        <v>970</v>
      </c>
    </row>
    <row r="586" spans="1:20">
      <c r="A586" s="9" t="s">
        <v>433</v>
      </c>
      <c r="B586" s="30" t="s">
        <v>473</v>
      </c>
      <c r="C586" s="30" t="str">
        <f>CONCATENATE(VOL_VOLUMEN_SUMINISTROS[[#This Row],[Proyecto]],VOL_VOLUMEN_SUMINISTROS[[#This Row],[J]],VOL_VOLUMEN_SUMINISTROS[[#This Row],[FIN DE SEMANA]])</f>
        <v>1052-1TNO</v>
      </c>
      <c r="D586" s="365" t="str">
        <f>CONCATENATE(VOL_VOLUMEN_SUMINISTROS[[#This Row],[Grupo]],VOL_VOLUMEN_SUMINISTROS[[#This Row],[Proyecto]],VOL_VOLUMEN_SUMINISTROS[[#This Row],[FIN DE SEMANA]])</f>
        <v>291052-1NO</v>
      </c>
      <c r="E586" s="30" t="s">
        <v>147</v>
      </c>
      <c r="F586" s="30" t="s">
        <v>148</v>
      </c>
      <c r="G586" s="365">
        <v>29</v>
      </c>
      <c r="H586" s="30">
        <v>7</v>
      </c>
      <c r="I586" s="9" t="s">
        <v>221</v>
      </c>
      <c r="J586" s="9" t="s">
        <v>501</v>
      </c>
      <c r="K586" s="30">
        <v>2</v>
      </c>
      <c r="L586" s="9" t="s">
        <v>502</v>
      </c>
      <c r="M586" s="30" t="s">
        <v>84</v>
      </c>
      <c r="N586" s="30" t="s">
        <v>155</v>
      </c>
      <c r="O586" s="24">
        <v>245</v>
      </c>
      <c r="P586" s="24">
        <v>349</v>
      </c>
      <c r="Q586" s="24">
        <v>383</v>
      </c>
      <c r="R586" s="24">
        <v>0</v>
      </c>
      <c r="S586" s="24">
        <v>0</v>
      </c>
      <c r="T586" s="24">
        <v>977</v>
      </c>
    </row>
    <row r="587" spans="1:20">
      <c r="A587" s="9" t="s">
        <v>433</v>
      </c>
      <c r="B587" s="30" t="s">
        <v>473</v>
      </c>
      <c r="C587" s="30" t="str">
        <f>CONCATENATE(VOL_VOLUMEN_SUMINISTROS[[#This Row],[Proyecto]],VOL_VOLUMEN_SUMINISTROS[[#This Row],[J]],VOL_VOLUMEN_SUMINISTROS[[#This Row],[FIN DE SEMANA]])</f>
        <v>1052-1MNO</v>
      </c>
      <c r="D587" s="365" t="str">
        <f>CONCATENATE(VOL_VOLUMEN_SUMINISTROS[[#This Row],[Grupo]],VOL_VOLUMEN_SUMINISTROS[[#This Row],[Proyecto]],VOL_VOLUMEN_SUMINISTROS[[#This Row],[FIN DE SEMANA]])</f>
        <v>291052-1NO</v>
      </c>
      <c r="E587" s="30" t="s">
        <v>147</v>
      </c>
      <c r="F587" s="30" t="s">
        <v>148</v>
      </c>
      <c r="G587" s="365">
        <v>29</v>
      </c>
      <c r="H587" s="30">
        <v>7</v>
      </c>
      <c r="I587" s="9" t="s">
        <v>221</v>
      </c>
      <c r="J587" s="9" t="s">
        <v>503</v>
      </c>
      <c r="K587" s="30">
        <v>1</v>
      </c>
      <c r="L587" s="9" t="s">
        <v>504</v>
      </c>
      <c r="M587" s="30" t="s">
        <v>84</v>
      </c>
      <c r="N587" s="30" t="s">
        <v>152</v>
      </c>
      <c r="O587" s="24">
        <v>170</v>
      </c>
      <c r="P587" s="24">
        <v>239</v>
      </c>
      <c r="Q587" s="24">
        <v>307</v>
      </c>
      <c r="R587" s="24">
        <v>0</v>
      </c>
      <c r="S587" s="24">
        <v>0</v>
      </c>
      <c r="T587" s="24">
        <v>716</v>
      </c>
    </row>
    <row r="588" spans="1:20">
      <c r="A588" s="9" t="s">
        <v>433</v>
      </c>
      <c r="B588" s="30" t="s">
        <v>473</v>
      </c>
      <c r="C588" s="30" t="str">
        <f>CONCATENATE(VOL_VOLUMEN_SUMINISTROS[[#This Row],[Proyecto]],VOL_VOLUMEN_SUMINISTROS[[#This Row],[J]],VOL_VOLUMEN_SUMINISTROS[[#This Row],[FIN DE SEMANA]])</f>
        <v>1052-1TNO</v>
      </c>
      <c r="D588" s="365" t="str">
        <f>CONCATENATE(VOL_VOLUMEN_SUMINISTROS[[#This Row],[Grupo]],VOL_VOLUMEN_SUMINISTROS[[#This Row],[Proyecto]],VOL_VOLUMEN_SUMINISTROS[[#This Row],[FIN DE SEMANA]])</f>
        <v>291052-1NO</v>
      </c>
      <c r="E588" s="30" t="s">
        <v>147</v>
      </c>
      <c r="F588" s="30" t="s">
        <v>148</v>
      </c>
      <c r="G588" s="365">
        <v>29</v>
      </c>
      <c r="H588" s="30">
        <v>7</v>
      </c>
      <c r="I588" s="9" t="s">
        <v>221</v>
      </c>
      <c r="J588" s="9" t="s">
        <v>503</v>
      </c>
      <c r="K588" s="30">
        <v>1</v>
      </c>
      <c r="L588" s="9" t="s">
        <v>504</v>
      </c>
      <c r="M588" s="30" t="s">
        <v>84</v>
      </c>
      <c r="N588" s="30" t="s">
        <v>155</v>
      </c>
      <c r="O588" s="24">
        <v>159</v>
      </c>
      <c r="P588" s="24">
        <v>253</v>
      </c>
      <c r="Q588" s="24">
        <v>290</v>
      </c>
      <c r="R588" s="24">
        <v>0</v>
      </c>
      <c r="S588" s="24">
        <v>0</v>
      </c>
      <c r="T588" s="24">
        <v>702</v>
      </c>
    </row>
    <row r="589" spans="1:20">
      <c r="A589" s="9" t="s">
        <v>433</v>
      </c>
      <c r="B589" s="30" t="s">
        <v>473</v>
      </c>
      <c r="C589" s="30" t="str">
        <f>CONCATENATE(VOL_VOLUMEN_SUMINISTROS[[#This Row],[Proyecto]],VOL_VOLUMEN_SUMINISTROS[[#This Row],[J]],VOL_VOLUMEN_SUMINISTROS[[#This Row],[FIN DE SEMANA]])</f>
        <v>1052-1MNO</v>
      </c>
      <c r="D589" s="365" t="str">
        <f>CONCATENATE(VOL_VOLUMEN_SUMINISTROS[[#This Row],[Grupo]],VOL_VOLUMEN_SUMINISTROS[[#This Row],[Proyecto]],VOL_VOLUMEN_SUMINISTROS[[#This Row],[FIN DE SEMANA]])</f>
        <v>291052-1NO</v>
      </c>
      <c r="E589" s="30" t="s">
        <v>147</v>
      </c>
      <c r="F589" s="30" t="s">
        <v>148</v>
      </c>
      <c r="G589" s="365">
        <v>29</v>
      </c>
      <c r="H589" s="30">
        <v>7</v>
      </c>
      <c r="I589" s="9" t="s">
        <v>221</v>
      </c>
      <c r="J589" s="9" t="s">
        <v>503</v>
      </c>
      <c r="K589" s="30">
        <v>2</v>
      </c>
      <c r="L589" s="9" t="s">
        <v>505</v>
      </c>
      <c r="M589" s="30" t="s">
        <v>84</v>
      </c>
      <c r="N589" s="30" t="s">
        <v>152</v>
      </c>
      <c r="O589" s="24">
        <v>309</v>
      </c>
      <c r="P589" s="24">
        <v>206</v>
      </c>
      <c r="Q589" s="24">
        <v>40</v>
      </c>
      <c r="R589" s="24">
        <v>0</v>
      </c>
      <c r="S589" s="24">
        <v>0</v>
      </c>
      <c r="T589" s="24">
        <v>555</v>
      </c>
    </row>
    <row r="590" spans="1:20">
      <c r="A590" s="9" t="s">
        <v>433</v>
      </c>
      <c r="B590" s="30" t="s">
        <v>473</v>
      </c>
      <c r="C590" s="30" t="str">
        <f>CONCATENATE(VOL_VOLUMEN_SUMINISTROS[[#This Row],[Proyecto]],VOL_VOLUMEN_SUMINISTROS[[#This Row],[J]],VOL_VOLUMEN_SUMINISTROS[[#This Row],[FIN DE SEMANA]])</f>
        <v>1052-1TNO</v>
      </c>
      <c r="D590" s="365" t="str">
        <f>CONCATENATE(VOL_VOLUMEN_SUMINISTROS[[#This Row],[Grupo]],VOL_VOLUMEN_SUMINISTROS[[#This Row],[Proyecto]],VOL_VOLUMEN_SUMINISTROS[[#This Row],[FIN DE SEMANA]])</f>
        <v>291052-1NO</v>
      </c>
      <c r="E590" s="30" t="s">
        <v>147</v>
      </c>
      <c r="F590" s="30" t="s">
        <v>148</v>
      </c>
      <c r="G590" s="365">
        <v>29</v>
      </c>
      <c r="H590" s="30">
        <v>7</v>
      </c>
      <c r="I590" s="9" t="s">
        <v>221</v>
      </c>
      <c r="J590" s="9" t="s">
        <v>503</v>
      </c>
      <c r="K590" s="30">
        <v>2</v>
      </c>
      <c r="L590" s="9" t="s">
        <v>505</v>
      </c>
      <c r="M590" s="30" t="s">
        <v>84</v>
      </c>
      <c r="N590" s="30" t="s">
        <v>155</v>
      </c>
      <c r="O590" s="24">
        <v>322</v>
      </c>
      <c r="P590" s="24">
        <v>175</v>
      </c>
      <c r="Q590" s="24">
        <v>31</v>
      </c>
      <c r="R590" s="24">
        <v>0</v>
      </c>
      <c r="S590" s="24">
        <v>0</v>
      </c>
      <c r="T590" s="24">
        <v>528</v>
      </c>
    </row>
    <row r="591" spans="1:20">
      <c r="A591" s="9" t="s">
        <v>433</v>
      </c>
      <c r="B591" s="30" t="s">
        <v>506</v>
      </c>
      <c r="C591" s="30" t="str">
        <f>CONCATENATE(VOL_VOLUMEN_SUMINISTROS[[#This Row],[Proyecto]],VOL_VOLUMEN_SUMINISTROS[[#This Row],[J]],VOL_VOLUMEN_SUMINISTROS[[#This Row],[FIN DE SEMANA]])</f>
        <v>1052-2M1NO</v>
      </c>
      <c r="D591" s="365" t="str">
        <f>CONCATENATE(VOL_VOLUMEN_SUMINISTROS[[#This Row],[Grupo]],VOL_VOLUMEN_SUMINISTROS[[#This Row],[Proyecto]],VOL_VOLUMEN_SUMINISTROS[[#This Row],[FIN DE SEMANA]])</f>
        <v>271052-2NO</v>
      </c>
      <c r="E591" s="30" t="s">
        <v>183</v>
      </c>
      <c r="F591" s="30" t="s">
        <v>148</v>
      </c>
      <c r="G591" s="365">
        <v>27</v>
      </c>
      <c r="H591" s="30">
        <v>7</v>
      </c>
      <c r="I591" s="9" t="s">
        <v>221</v>
      </c>
      <c r="J591" s="9" t="s">
        <v>482</v>
      </c>
      <c r="K591" s="30">
        <v>1</v>
      </c>
      <c r="L591" s="9" t="s">
        <v>507</v>
      </c>
      <c r="M591" s="30" t="s">
        <v>84</v>
      </c>
      <c r="N591" s="30" t="s">
        <v>216</v>
      </c>
      <c r="O591" s="24">
        <v>28</v>
      </c>
      <c r="P591" s="24">
        <v>194</v>
      </c>
      <c r="Q591" s="24">
        <v>280</v>
      </c>
      <c r="R591" s="24">
        <v>0</v>
      </c>
      <c r="S591" s="24">
        <v>0</v>
      </c>
      <c r="T591" s="24">
        <v>502</v>
      </c>
    </row>
    <row r="592" spans="1:20">
      <c r="A592" s="9" t="s">
        <v>433</v>
      </c>
      <c r="B592" s="30" t="s">
        <v>506</v>
      </c>
      <c r="C592" s="30" t="str">
        <f>CONCATENATE(VOL_VOLUMEN_SUMINISTROS[[#This Row],[Proyecto]],VOL_VOLUMEN_SUMINISTROS[[#This Row],[J]],VOL_VOLUMEN_SUMINISTROS[[#This Row],[FIN DE SEMANA]])</f>
        <v>1052-2TNO</v>
      </c>
      <c r="D592" s="365" t="str">
        <f>CONCATENATE(VOL_VOLUMEN_SUMINISTROS[[#This Row],[Grupo]],VOL_VOLUMEN_SUMINISTROS[[#This Row],[Proyecto]],VOL_VOLUMEN_SUMINISTROS[[#This Row],[FIN DE SEMANA]])</f>
        <v>271052-2NO</v>
      </c>
      <c r="E592" s="30" t="s">
        <v>183</v>
      </c>
      <c r="F592" s="30" t="s">
        <v>148</v>
      </c>
      <c r="G592" s="365">
        <v>27</v>
      </c>
      <c r="H592" s="30">
        <v>7</v>
      </c>
      <c r="I592" s="9" t="s">
        <v>221</v>
      </c>
      <c r="J592" s="9" t="s">
        <v>482</v>
      </c>
      <c r="K592" s="30">
        <v>1</v>
      </c>
      <c r="L592" s="9" t="s">
        <v>507</v>
      </c>
      <c r="M592" s="30" t="s">
        <v>84</v>
      </c>
      <c r="N592" s="30" t="s">
        <v>155</v>
      </c>
      <c r="O592" s="24">
        <v>0</v>
      </c>
      <c r="P592" s="24">
        <v>120</v>
      </c>
      <c r="Q592" s="24">
        <v>220</v>
      </c>
      <c r="R592" s="24">
        <v>0</v>
      </c>
      <c r="S592" s="24">
        <v>0</v>
      </c>
      <c r="T592" s="24">
        <v>340</v>
      </c>
    </row>
    <row r="593" spans="1:20">
      <c r="A593" s="9" t="s">
        <v>433</v>
      </c>
      <c r="B593" s="30" t="s">
        <v>506</v>
      </c>
      <c r="C593" s="30" t="str">
        <f>CONCATENATE(VOL_VOLUMEN_SUMINISTROS[[#This Row],[Proyecto]],VOL_VOLUMEN_SUMINISTROS[[#This Row],[J]],VOL_VOLUMEN_SUMINISTROS[[#This Row],[FIN DE SEMANA]])</f>
        <v>1052-2M1NO</v>
      </c>
      <c r="D593" s="365" t="str">
        <f>CONCATENATE(VOL_VOLUMEN_SUMINISTROS[[#This Row],[Grupo]],VOL_VOLUMEN_SUMINISTROS[[#This Row],[Proyecto]],VOL_VOLUMEN_SUMINISTROS[[#This Row],[FIN DE SEMANA]])</f>
        <v>291052-2NO</v>
      </c>
      <c r="E593" s="30" t="s">
        <v>183</v>
      </c>
      <c r="F593" s="30" t="s">
        <v>148</v>
      </c>
      <c r="G593" s="365">
        <v>29</v>
      </c>
      <c r="H593" s="30">
        <v>7</v>
      </c>
      <c r="I593" s="9" t="s">
        <v>221</v>
      </c>
      <c r="J593" s="9" t="s">
        <v>486</v>
      </c>
      <c r="K593" s="30">
        <v>1</v>
      </c>
      <c r="L593" s="9" t="s">
        <v>508</v>
      </c>
      <c r="M593" s="30" t="s">
        <v>84</v>
      </c>
      <c r="N593" s="30" t="s">
        <v>216</v>
      </c>
      <c r="O593" s="24">
        <v>0</v>
      </c>
      <c r="P593" s="24">
        <v>21</v>
      </c>
      <c r="Q593" s="24">
        <v>7</v>
      </c>
      <c r="R593" s="24">
        <v>0</v>
      </c>
      <c r="S593" s="24">
        <v>0</v>
      </c>
      <c r="T593" s="24">
        <v>28</v>
      </c>
    </row>
    <row r="594" spans="1:20">
      <c r="A594" s="9" t="s">
        <v>433</v>
      </c>
      <c r="B594" s="30" t="s">
        <v>506</v>
      </c>
      <c r="C594" s="30" t="str">
        <f>CONCATENATE(VOL_VOLUMEN_SUMINISTROS[[#This Row],[Proyecto]],VOL_VOLUMEN_SUMINISTROS[[#This Row],[J]],VOL_VOLUMEN_SUMINISTROS[[#This Row],[FIN DE SEMANA]])</f>
        <v>1052-2M1NO</v>
      </c>
      <c r="D594" s="365" t="str">
        <f>CONCATENATE(VOL_VOLUMEN_SUMINISTROS[[#This Row],[Grupo]],VOL_VOLUMEN_SUMINISTROS[[#This Row],[Proyecto]],VOL_VOLUMEN_SUMINISTROS[[#This Row],[FIN DE SEMANA]])</f>
        <v>291052-2NO</v>
      </c>
      <c r="E594" s="30" t="s">
        <v>183</v>
      </c>
      <c r="F594" s="30" t="s">
        <v>148</v>
      </c>
      <c r="G594" s="365">
        <v>29</v>
      </c>
      <c r="H594" s="30">
        <v>7</v>
      </c>
      <c r="I594" s="9" t="s">
        <v>221</v>
      </c>
      <c r="J594" s="9" t="s">
        <v>486</v>
      </c>
      <c r="K594" s="30">
        <v>2</v>
      </c>
      <c r="L594" s="9" t="s">
        <v>324</v>
      </c>
      <c r="M594" s="30" t="s">
        <v>84</v>
      </c>
      <c r="N594" s="30" t="s">
        <v>216</v>
      </c>
      <c r="O594" s="24">
        <v>0</v>
      </c>
      <c r="P594" s="24">
        <v>69</v>
      </c>
      <c r="Q594" s="24">
        <v>23</v>
      </c>
      <c r="R594" s="24">
        <v>0</v>
      </c>
      <c r="S594" s="24">
        <v>0</v>
      </c>
      <c r="T594" s="24">
        <v>92</v>
      </c>
    </row>
    <row r="595" spans="1:20">
      <c r="A595" s="9" t="s">
        <v>433</v>
      </c>
      <c r="B595" s="30" t="s">
        <v>506</v>
      </c>
      <c r="C595" s="30" t="str">
        <f>CONCATENATE(VOL_VOLUMEN_SUMINISTROS[[#This Row],[Proyecto]],VOL_VOLUMEN_SUMINISTROS[[#This Row],[J]],VOL_VOLUMEN_SUMINISTROS[[#This Row],[FIN DE SEMANA]])</f>
        <v>1052-2TNO</v>
      </c>
      <c r="D595" s="365" t="str">
        <f>CONCATENATE(VOL_VOLUMEN_SUMINISTROS[[#This Row],[Grupo]],VOL_VOLUMEN_SUMINISTROS[[#This Row],[Proyecto]],VOL_VOLUMEN_SUMINISTROS[[#This Row],[FIN DE SEMANA]])</f>
        <v>291052-2NO</v>
      </c>
      <c r="E595" s="30" t="s">
        <v>183</v>
      </c>
      <c r="F595" s="30" t="s">
        <v>148</v>
      </c>
      <c r="G595" s="365">
        <v>29</v>
      </c>
      <c r="H595" s="30">
        <v>7</v>
      </c>
      <c r="I595" s="9" t="s">
        <v>221</v>
      </c>
      <c r="J595" s="9" t="s">
        <v>486</v>
      </c>
      <c r="K595" s="30">
        <v>2</v>
      </c>
      <c r="L595" s="9" t="s">
        <v>487</v>
      </c>
      <c r="M595" s="30" t="s">
        <v>84</v>
      </c>
      <c r="N595" s="30" t="s">
        <v>155</v>
      </c>
      <c r="O595" s="24">
        <v>0</v>
      </c>
      <c r="P595" s="24">
        <v>69</v>
      </c>
      <c r="Q595" s="24">
        <v>23</v>
      </c>
      <c r="R595" s="24">
        <v>0</v>
      </c>
      <c r="S595" s="24">
        <v>0</v>
      </c>
      <c r="T595" s="24">
        <v>92</v>
      </c>
    </row>
    <row r="596" spans="1:20">
      <c r="A596" s="9" t="s">
        <v>433</v>
      </c>
      <c r="B596" s="30" t="s">
        <v>506</v>
      </c>
      <c r="C596" s="30" t="str">
        <f>CONCATENATE(VOL_VOLUMEN_SUMINISTROS[[#This Row],[Proyecto]],VOL_VOLUMEN_SUMINISTROS[[#This Row],[J]],VOL_VOLUMEN_SUMINISTROS[[#This Row],[FIN DE SEMANA]])</f>
        <v>1052-2M1NO</v>
      </c>
      <c r="D596" s="365" t="str">
        <f>CONCATENATE(VOL_VOLUMEN_SUMINISTROS[[#This Row],[Grupo]],VOL_VOLUMEN_SUMINISTROS[[#This Row],[Proyecto]],VOL_VOLUMEN_SUMINISTROS[[#This Row],[FIN DE SEMANA]])</f>
        <v>291052-2NO</v>
      </c>
      <c r="E596" s="30" t="s">
        <v>183</v>
      </c>
      <c r="F596" s="30" t="s">
        <v>148</v>
      </c>
      <c r="G596" s="365">
        <v>29</v>
      </c>
      <c r="H596" s="30">
        <v>7</v>
      </c>
      <c r="I596" s="9" t="s">
        <v>221</v>
      </c>
      <c r="J596" s="9" t="s">
        <v>497</v>
      </c>
      <c r="K596" s="30">
        <v>1</v>
      </c>
      <c r="L596" s="9" t="s">
        <v>509</v>
      </c>
      <c r="M596" s="30" t="s">
        <v>84</v>
      </c>
      <c r="N596" s="30" t="s">
        <v>216</v>
      </c>
      <c r="O596" s="24">
        <v>68</v>
      </c>
      <c r="P596" s="24">
        <v>133</v>
      </c>
      <c r="Q596" s="24">
        <v>53</v>
      </c>
      <c r="R596" s="24">
        <v>0</v>
      </c>
      <c r="S596" s="24">
        <v>0</v>
      </c>
      <c r="T596" s="24">
        <v>254</v>
      </c>
    </row>
    <row r="597" spans="1:20">
      <c r="A597" s="9" t="s">
        <v>433</v>
      </c>
      <c r="B597" s="30" t="s">
        <v>506</v>
      </c>
      <c r="C597" s="30" t="str">
        <f>CONCATENATE(VOL_VOLUMEN_SUMINISTROS[[#This Row],[Proyecto]],VOL_VOLUMEN_SUMINISTROS[[#This Row],[J]],VOL_VOLUMEN_SUMINISTROS[[#This Row],[FIN DE SEMANA]])</f>
        <v>1052-2TNO</v>
      </c>
      <c r="D597" s="365" t="str">
        <f>CONCATENATE(VOL_VOLUMEN_SUMINISTROS[[#This Row],[Grupo]],VOL_VOLUMEN_SUMINISTROS[[#This Row],[Proyecto]],VOL_VOLUMEN_SUMINISTROS[[#This Row],[FIN DE SEMANA]])</f>
        <v>291052-2NO</v>
      </c>
      <c r="E597" s="30" t="s">
        <v>183</v>
      </c>
      <c r="F597" s="30" t="s">
        <v>148</v>
      </c>
      <c r="G597" s="365">
        <v>29</v>
      </c>
      <c r="H597" s="30">
        <v>7</v>
      </c>
      <c r="I597" s="9" t="s">
        <v>221</v>
      </c>
      <c r="J597" s="9" t="s">
        <v>497</v>
      </c>
      <c r="K597" s="30">
        <v>1</v>
      </c>
      <c r="L597" s="9" t="s">
        <v>510</v>
      </c>
      <c r="M597" s="30" t="s">
        <v>84</v>
      </c>
      <c r="N597" s="30" t="s">
        <v>155</v>
      </c>
      <c r="O597" s="24">
        <v>68</v>
      </c>
      <c r="P597" s="24">
        <v>139</v>
      </c>
      <c r="Q597" s="24">
        <v>75</v>
      </c>
      <c r="R597" s="24">
        <v>0</v>
      </c>
      <c r="S597" s="24">
        <v>0</v>
      </c>
      <c r="T597" s="24">
        <v>282</v>
      </c>
    </row>
    <row r="598" spans="1:20">
      <c r="A598" s="9" t="s">
        <v>433</v>
      </c>
      <c r="B598" s="30" t="s">
        <v>506</v>
      </c>
      <c r="C598" s="30" t="str">
        <f>CONCATENATE(VOL_VOLUMEN_SUMINISTROS[[#This Row],[Proyecto]],VOL_VOLUMEN_SUMINISTROS[[#This Row],[J]],VOL_VOLUMEN_SUMINISTROS[[#This Row],[FIN DE SEMANA]])</f>
        <v>1052-2M1NO</v>
      </c>
      <c r="D598" s="365" t="str">
        <f>CONCATENATE(VOL_VOLUMEN_SUMINISTROS[[#This Row],[Grupo]],VOL_VOLUMEN_SUMINISTROS[[#This Row],[Proyecto]],VOL_VOLUMEN_SUMINISTROS[[#This Row],[FIN DE SEMANA]])</f>
        <v>291052-2NO</v>
      </c>
      <c r="E598" s="30" t="s">
        <v>183</v>
      </c>
      <c r="F598" s="30" t="s">
        <v>148</v>
      </c>
      <c r="G598" s="365">
        <v>29</v>
      </c>
      <c r="H598" s="30">
        <v>7</v>
      </c>
      <c r="I598" s="9" t="s">
        <v>221</v>
      </c>
      <c r="J598" s="9" t="s">
        <v>501</v>
      </c>
      <c r="K598" s="30">
        <v>1</v>
      </c>
      <c r="L598" s="9" t="s">
        <v>511</v>
      </c>
      <c r="M598" s="30" t="s">
        <v>84</v>
      </c>
      <c r="N598" s="30" t="s">
        <v>216</v>
      </c>
      <c r="O598" s="24">
        <v>18</v>
      </c>
      <c r="P598" s="24">
        <v>105</v>
      </c>
      <c r="Q598" s="24">
        <v>32</v>
      </c>
      <c r="R598" s="24">
        <v>0</v>
      </c>
      <c r="S598" s="24">
        <v>0</v>
      </c>
      <c r="T598" s="24">
        <v>155</v>
      </c>
    </row>
    <row r="599" spans="1:20">
      <c r="A599" s="9" t="s">
        <v>433</v>
      </c>
      <c r="B599" s="30" t="s">
        <v>506</v>
      </c>
      <c r="C599" s="30" t="str">
        <f>CONCATENATE(VOL_VOLUMEN_SUMINISTROS[[#This Row],[Proyecto]],VOL_VOLUMEN_SUMINISTROS[[#This Row],[J]],VOL_VOLUMEN_SUMINISTROS[[#This Row],[FIN DE SEMANA]])</f>
        <v>1052-2MNO</v>
      </c>
      <c r="D599" s="365" t="str">
        <f>CONCATENATE(VOL_VOLUMEN_SUMINISTROS[[#This Row],[Grupo]],VOL_VOLUMEN_SUMINISTROS[[#This Row],[Proyecto]],VOL_VOLUMEN_SUMINISTROS[[#This Row],[FIN DE SEMANA]])</f>
        <v>291052-2NO</v>
      </c>
      <c r="E599" s="30" t="s">
        <v>183</v>
      </c>
      <c r="F599" s="30" t="s">
        <v>148</v>
      </c>
      <c r="G599" s="365">
        <v>29</v>
      </c>
      <c r="H599" s="30">
        <v>7</v>
      </c>
      <c r="I599" s="9" t="s">
        <v>221</v>
      </c>
      <c r="J599" s="9" t="s">
        <v>501</v>
      </c>
      <c r="K599" s="30">
        <v>2</v>
      </c>
      <c r="L599" s="9" t="s">
        <v>502</v>
      </c>
      <c r="M599" s="30" t="s">
        <v>84</v>
      </c>
      <c r="N599" s="30" t="s">
        <v>152</v>
      </c>
      <c r="O599" s="24">
        <v>0</v>
      </c>
      <c r="P599" s="24">
        <v>90</v>
      </c>
      <c r="Q599" s="24">
        <v>30</v>
      </c>
      <c r="R599" s="24">
        <v>0</v>
      </c>
      <c r="S599" s="24">
        <v>0</v>
      </c>
      <c r="T599" s="24">
        <v>120</v>
      </c>
    </row>
    <row r="600" spans="1:20">
      <c r="A600" s="9" t="s">
        <v>433</v>
      </c>
      <c r="B600" s="30" t="s">
        <v>506</v>
      </c>
      <c r="C600" s="30" t="str">
        <f>CONCATENATE(VOL_VOLUMEN_SUMINISTROS[[#This Row],[Proyecto]],VOL_VOLUMEN_SUMINISTROS[[#This Row],[J]],VOL_VOLUMEN_SUMINISTROS[[#This Row],[FIN DE SEMANA]])</f>
        <v>1052-2TNO</v>
      </c>
      <c r="D600" s="365" t="str">
        <f>CONCATENATE(VOL_VOLUMEN_SUMINISTROS[[#This Row],[Grupo]],VOL_VOLUMEN_SUMINISTROS[[#This Row],[Proyecto]],VOL_VOLUMEN_SUMINISTROS[[#This Row],[FIN DE SEMANA]])</f>
        <v>291052-2NO</v>
      </c>
      <c r="E600" s="30" t="s">
        <v>183</v>
      </c>
      <c r="F600" s="30" t="s">
        <v>148</v>
      </c>
      <c r="G600" s="365">
        <v>29</v>
      </c>
      <c r="H600" s="30">
        <v>7</v>
      </c>
      <c r="I600" s="9" t="s">
        <v>221</v>
      </c>
      <c r="J600" s="9" t="s">
        <v>501</v>
      </c>
      <c r="K600" s="30">
        <v>2</v>
      </c>
      <c r="L600" s="9" t="s">
        <v>502</v>
      </c>
      <c r="M600" s="30" t="s">
        <v>84</v>
      </c>
      <c r="N600" s="30" t="s">
        <v>155</v>
      </c>
      <c r="O600" s="24">
        <v>0</v>
      </c>
      <c r="P600" s="24">
        <v>90</v>
      </c>
      <c r="Q600" s="24">
        <v>30</v>
      </c>
      <c r="R600" s="24">
        <v>0</v>
      </c>
      <c r="S600" s="24">
        <v>0</v>
      </c>
      <c r="T600" s="24">
        <v>120</v>
      </c>
    </row>
    <row r="601" spans="1:20">
      <c r="A601" s="9" t="s">
        <v>433</v>
      </c>
      <c r="B601" s="30" t="s">
        <v>512</v>
      </c>
      <c r="C601" s="30" t="str">
        <f>CONCATENATE(VOL_VOLUMEN_SUMINISTROS[[#This Row],[Proyecto]],VOL_VOLUMEN_SUMINISTROS[[#This Row],[J]],VOL_VOLUMEN_SUMINISTROS[[#This Row],[FIN DE SEMANA]])</f>
        <v>1052-2MNO</v>
      </c>
      <c r="D601" s="365" t="str">
        <f>CONCATENATE(VOL_VOLUMEN_SUMINISTROS[[#This Row],[Grupo]],VOL_VOLUMEN_SUMINISTROS[[#This Row],[Proyecto]],VOL_VOLUMEN_SUMINISTROS[[#This Row],[FIN DE SEMANA]])</f>
        <v>291052-2NO</v>
      </c>
      <c r="E601" s="30" t="s">
        <v>183</v>
      </c>
      <c r="F601" s="30" t="s">
        <v>148</v>
      </c>
      <c r="G601" s="365">
        <v>29</v>
      </c>
      <c r="H601" s="30">
        <v>7</v>
      </c>
      <c r="I601" s="9" t="s">
        <v>221</v>
      </c>
      <c r="J601" s="9" t="s">
        <v>503</v>
      </c>
      <c r="K601" s="30">
        <v>2</v>
      </c>
      <c r="L601" s="9" t="s">
        <v>505</v>
      </c>
      <c r="M601" s="30" t="s">
        <v>84</v>
      </c>
      <c r="N601" s="30" t="s">
        <v>152</v>
      </c>
      <c r="O601" s="24">
        <v>0</v>
      </c>
      <c r="P601" s="24">
        <v>0</v>
      </c>
      <c r="Q601" s="24">
        <v>66</v>
      </c>
      <c r="R601" s="24">
        <v>0</v>
      </c>
      <c r="S601" s="24">
        <v>0</v>
      </c>
      <c r="T601" s="24">
        <v>66</v>
      </c>
    </row>
    <row r="602" spans="1:20">
      <c r="A602" s="9" t="s">
        <v>433</v>
      </c>
      <c r="B602" s="30" t="s">
        <v>512</v>
      </c>
      <c r="C602" s="30" t="str">
        <f>CONCATENATE(VOL_VOLUMEN_SUMINISTROS[[#This Row],[Proyecto]],VOL_VOLUMEN_SUMINISTROS[[#This Row],[J]],VOL_VOLUMEN_SUMINISTROS[[#This Row],[FIN DE SEMANA]])</f>
        <v>1052-2TNO</v>
      </c>
      <c r="D602" s="365" t="str">
        <f>CONCATENATE(VOL_VOLUMEN_SUMINISTROS[[#This Row],[Grupo]],VOL_VOLUMEN_SUMINISTROS[[#This Row],[Proyecto]],VOL_VOLUMEN_SUMINISTROS[[#This Row],[FIN DE SEMANA]])</f>
        <v>291052-2NO</v>
      </c>
      <c r="E602" s="30" t="s">
        <v>183</v>
      </c>
      <c r="F602" s="30" t="s">
        <v>148</v>
      </c>
      <c r="G602" s="365">
        <v>29</v>
      </c>
      <c r="H602" s="30">
        <v>7</v>
      </c>
      <c r="I602" s="9" t="s">
        <v>221</v>
      </c>
      <c r="J602" s="9" t="s">
        <v>503</v>
      </c>
      <c r="K602" s="30">
        <v>2</v>
      </c>
      <c r="L602" s="9" t="s">
        <v>505</v>
      </c>
      <c r="M602" s="30" t="s">
        <v>84</v>
      </c>
      <c r="N602" s="30" t="s">
        <v>155</v>
      </c>
      <c r="O602" s="24">
        <v>0</v>
      </c>
      <c r="P602" s="24">
        <v>0</v>
      </c>
      <c r="Q602" s="24">
        <v>70</v>
      </c>
      <c r="R602" s="24">
        <v>0</v>
      </c>
      <c r="S602" s="24">
        <v>0</v>
      </c>
      <c r="T602" s="24">
        <v>70</v>
      </c>
    </row>
    <row r="603" spans="1:20">
      <c r="A603" s="9" t="s">
        <v>433</v>
      </c>
      <c r="B603" s="30" t="s">
        <v>513</v>
      </c>
      <c r="C603" s="30" t="str">
        <f>CONCATENATE(VOL_VOLUMEN_SUMINISTROS[[#This Row],[Proyecto]],VOL_VOLUMEN_SUMINISTROS[[#This Row],[J]],VOL_VOLUMEN_SUMINISTROS[[#This Row],[FIN DE SEMANA]])</f>
        <v>1052-2MNO</v>
      </c>
      <c r="D603" s="365" t="str">
        <f>CONCATENATE(VOL_VOLUMEN_SUMINISTROS[[#This Row],[Grupo]],VOL_VOLUMEN_SUMINISTROS[[#This Row],[Proyecto]],VOL_VOLUMEN_SUMINISTROS[[#This Row],[FIN DE SEMANA]])</f>
        <v>271052-2NO</v>
      </c>
      <c r="E603" s="30" t="s">
        <v>183</v>
      </c>
      <c r="F603" s="30" t="s">
        <v>148</v>
      </c>
      <c r="G603" s="365">
        <v>27</v>
      </c>
      <c r="H603" s="30">
        <v>7</v>
      </c>
      <c r="I603" s="9" t="s">
        <v>221</v>
      </c>
      <c r="J603" s="9" t="s">
        <v>482</v>
      </c>
      <c r="K603" s="30">
        <v>1</v>
      </c>
      <c r="L603" s="9" t="s">
        <v>507</v>
      </c>
      <c r="M603" s="30" t="s">
        <v>84</v>
      </c>
      <c r="N603" s="30" t="s">
        <v>152</v>
      </c>
      <c r="O603" s="24">
        <v>235</v>
      </c>
      <c r="P603" s="24">
        <v>0</v>
      </c>
      <c r="Q603" s="24">
        <v>0</v>
      </c>
      <c r="R603" s="24">
        <v>0</v>
      </c>
      <c r="S603" s="24">
        <v>0</v>
      </c>
      <c r="T603" s="24">
        <v>235</v>
      </c>
    </row>
    <row r="604" spans="1:20">
      <c r="A604" s="9" t="s">
        <v>433</v>
      </c>
      <c r="B604" s="30" t="s">
        <v>513</v>
      </c>
      <c r="C604" s="30" t="str">
        <f>CONCATENATE(VOL_VOLUMEN_SUMINISTROS[[#This Row],[Proyecto]],VOL_VOLUMEN_SUMINISTROS[[#This Row],[J]],VOL_VOLUMEN_SUMINISTROS[[#This Row],[FIN DE SEMANA]])</f>
        <v>1052-2TNO</v>
      </c>
      <c r="D604" s="365" t="str">
        <f>CONCATENATE(VOL_VOLUMEN_SUMINISTROS[[#This Row],[Grupo]],VOL_VOLUMEN_SUMINISTROS[[#This Row],[Proyecto]],VOL_VOLUMEN_SUMINISTROS[[#This Row],[FIN DE SEMANA]])</f>
        <v>271052-2NO</v>
      </c>
      <c r="E604" s="30" t="s">
        <v>183</v>
      </c>
      <c r="F604" s="30" t="s">
        <v>148</v>
      </c>
      <c r="G604" s="365">
        <v>27</v>
      </c>
      <c r="H604" s="30">
        <v>7</v>
      </c>
      <c r="I604" s="9" t="s">
        <v>221</v>
      </c>
      <c r="J604" s="9" t="s">
        <v>482</v>
      </c>
      <c r="K604" s="30">
        <v>1</v>
      </c>
      <c r="L604" s="9" t="s">
        <v>507</v>
      </c>
      <c r="M604" s="30" t="s">
        <v>84</v>
      </c>
      <c r="N604" s="30" t="s">
        <v>155</v>
      </c>
      <c r="O604" s="24">
        <v>235</v>
      </c>
      <c r="P604" s="24">
        <v>0</v>
      </c>
      <c r="Q604" s="24">
        <v>0</v>
      </c>
      <c r="R604" s="24">
        <v>0</v>
      </c>
      <c r="S604" s="24">
        <v>0</v>
      </c>
      <c r="T604" s="24">
        <v>235</v>
      </c>
    </row>
    <row r="605" spans="1:20">
      <c r="A605" s="9" t="s">
        <v>433</v>
      </c>
      <c r="B605" s="30" t="s">
        <v>513</v>
      </c>
      <c r="C605" s="30" t="str">
        <f>CONCATENATE(VOL_VOLUMEN_SUMINISTROS[[#This Row],[Proyecto]],VOL_VOLUMEN_SUMINISTROS[[#This Row],[J]],VOL_VOLUMEN_SUMINISTROS[[#This Row],[FIN DE SEMANA]])</f>
        <v>1052-2MNO</v>
      </c>
      <c r="D605" s="365" t="str">
        <f>CONCATENATE(VOL_VOLUMEN_SUMINISTROS[[#This Row],[Grupo]],VOL_VOLUMEN_SUMINISTROS[[#This Row],[Proyecto]],VOL_VOLUMEN_SUMINISTROS[[#This Row],[FIN DE SEMANA]])</f>
        <v>291052-2NO</v>
      </c>
      <c r="E605" s="30" t="s">
        <v>183</v>
      </c>
      <c r="F605" s="30" t="s">
        <v>148</v>
      </c>
      <c r="G605" s="365">
        <v>29</v>
      </c>
      <c r="H605" s="30">
        <v>7</v>
      </c>
      <c r="I605" s="9" t="s">
        <v>221</v>
      </c>
      <c r="J605" s="9" t="s">
        <v>486</v>
      </c>
      <c r="K605" s="30">
        <v>1</v>
      </c>
      <c r="L605" s="9" t="s">
        <v>508</v>
      </c>
      <c r="M605" s="30" t="s">
        <v>84</v>
      </c>
      <c r="N605" s="30" t="s">
        <v>152</v>
      </c>
      <c r="O605" s="24">
        <v>75</v>
      </c>
      <c r="P605" s="24">
        <v>0</v>
      </c>
      <c r="Q605" s="24">
        <v>0</v>
      </c>
      <c r="R605" s="24">
        <v>0</v>
      </c>
      <c r="S605" s="24">
        <v>0</v>
      </c>
      <c r="T605" s="24">
        <v>75</v>
      </c>
    </row>
    <row r="606" spans="1:20">
      <c r="A606" s="9" t="s">
        <v>433</v>
      </c>
      <c r="B606" s="30" t="s">
        <v>513</v>
      </c>
      <c r="C606" s="30" t="str">
        <f>CONCATENATE(VOL_VOLUMEN_SUMINISTROS[[#This Row],[Proyecto]],VOL_VOLUMEN_SUMINISTROS[[#This Row],[J]],VOL_VOLUMEN_SUMINISTROS[[#This Row],[FIN DE SEMANA]])</f>
        <v>1052-2TNO</v>
      </c>
      <c r="D606" s="365" t="str">
        <f>CONCATENATE(VOL_VOLUMEN_SUMINISTROS[[#This Row],[Grupo]],VOL_VOLUMEN_SUMINISTROS[[#This Row],[Proyecto]],VOL_VOLUMEN_SUMINISTROS[[#This Row],[FIN DE SEMANA]])</f>
        <v>291052-2NO</v>
      </c>
      <c r="E606" s="30" t="s">
        <v>183</v>
      </c>
      <c r="F606" s="30" t="s">
        <v>148</v>
      </c>
      <c r="G606" s="365">
        <v>29</v>
      </c>
      <c r="H606" s="30">
        <v>7</v>
      </c>
      <c r="I606" s="9" t="s">
        <v>221</v>
      </c>
      <c r="J606" s="9" t="s">
        <v>486</v>
      </c>
      <c r="K606" s="30">
        <v>1</v>
      </c>
      <c r="L606" s="9" t="s">
        <v>508</v>
      </c>
      <c r="M606" s="30" t="s">
        <v>84</v>
      </c>
      <c r="N606" s="30" t="s">
        <v>155</v>
      </c>
      <c r="O606" s="24">
        <v>75</v>
      </c>
      <c r="P606" s="24">
        <v>0</v>
      </c>
      <c r="Q606" s="24">
        <v>0</v>
      </c>
      <c r="R606" s="24">
        <v>0</v>
      </c>
      <c r="S606" s="24">
        <v>0</v>
      </c>
      <c r="T606" s="24">
        <v>75</v>
      </c>
    </row>
    <row r="607" spans="1:20">
      <c r="A607" s="9" t="s">
        <v>433</v>
      </c>
      <c r="B607" s="30" t="s">
        <v>513</v>
      </c>
      <c r="C607" s="30" t="str">
        <f>CONCATENATE(VOL_VOLUMEN_SUMINISTROS[[#This Row],[Proyecto]],VOL_VOLUMEN_SUMINISTROS[[#This Row],[J]],VOL_VOLUMEN_SUMINISTROS[[#This Row],[FIN DE SEMANA]])</f>
        <v>1052-2MNO</v>
      </c>
      <c r="D607" s="365" t="str">
        <f>CONCATENATE(VOL_VOLUMEN_SUMINISTROS[[#This Row],[Grupo]],VOL_VOLUMEN_SUMINISTROS[[#This Row],[Proyecto]],VOL_VOLUMEN_SUMINISTROS[[#This Row],[FIN DE SEMANA]])</f>
        <v>291052-2NO</v>
      </c>
      <c r="E607" s="30" t="s">
        <v>183</v>
      </c>
      <c r="F607" s="30" t="s">
        <v>148</v>
      </c>
      <c r="G607" s="365">
        <v>29</v>
      </c>
      <c r="H607" s="30">
        <v>7</v>
      </c>
      <c r="I607" s="9" t="s">
        <v>221</v>
      </c>
      <c r="J607" s="9" t="s">
        <v>486</v>
      </c>
      <c r="K607" s="30">
        <v>2</v>
      </c>
      <c r="L607" s="9" t="s">
        <v>324</v>
      </c>
      <c r="M607" s="30" t="s">
        <v>84</v>
      </c>
      <c r="N607" s="30" t="s">
        <v>152</v>
      </c>
      <c r="O607" s="24">
        <v>50</v>
      </c>
      <c r="P607" s="24">
        <v>0</v>
      </c>
      <c r="Q607" s="24">
        <v>0</v>
      </c>
      <c r="R607" s="24">
        <v>0</v>
      </c>
      <c r="S607" s="24">
        <v>0</v>
      </c>
      <c r="T607" s="24">
        <v>50</v>
      </c>
    </row>
    <row r="608" spans="1:20">
      <c r="A608" s="9" t="s">
        <v>433</v>
      </c>
      <c r="B608" s="30" t="s">
        <v>513</v>
      </c>
      <c r="C608" s="30" t="str">
        <f>CONCATENATE(VOL_VOLUMEN_SUMINISTROS[[#This Row],[Proyecto]],VOL_VOLUMEN_SUMINISTROS[[#This Row],[J]],VOL_VOLUMEN_SUMINISTROS[[#This Row],[FIN DE SEMANA]])</f>
        <v>1052-2TNO</v>
      </c>
      <c r="D608" s="365" t="str">
        <f>CONCATENATE(VOL_VOLUMEN_SUMINISTROS[[#This Row],[Grupo]],VOL_VOLUMEN_SUMINISTROS[[#This Row],[Proyecto]],VOL_VOLUMEN_SUMINISTROS[[#This Row],[FIN DE SEMANA]])</f>
        <v>291052-2NO</v>
      </c>
      <c r="E608" s="30" t="s">
        <v>183</v>
      </c>
      <c r="F608" s="30" t="s">
        <v>148</v>
      </c>
      <c r="G608" s="365">
        <v>29</v>
      </c>
      <c r="H608" s="30">
        <v>7</v>
      </c>
      <c r="I608" s="9" t="s">
        <v>221</v>
      </c>
      <c r="J608" s="9" t="s">
        <v>486</v>
      </c>
      <c r="K608" s="30">
        <v>2</v>
      </c>
      <c r="L608" s="9" t="s">
        <v>487</v>
      </c>
      <c r="M608" s="30" t="s">
        <v>84</v>
      </c>
      <c r="N608" s="30" t="s">
        <v>155</v>
      </c>
      <c r="O608" s="24">
        <v>50</v>
      </c>
      <c r="P608" s="24">
        <v>0</v>
      </c>
      <c r="Q608" s="24">
        <v>0</v>
      </c>
      <c r="R608" s="24">
        <v>0</v>
      </c>
      <c r="S608" s="24">
        <v>0</v>
      </c>
      <c r="T608" s="24">
        <v>50</v>
      </c>
    </row>
    <row r="609" spans="1:20">
      <c r="A609" s="9" t="s">
        <v>433</v>
      </c>
      <c r="B609" s="30" t="s">
        <v>513</v>
      </c>
      <c r="C609" s="30" t="str">
        <f>CONCATENATE(VOL_VOLUMEN_SUMINISTROS[[#This Row],[Proyecto]],VOL_VOLUMEN_SUMINISTROS[[#This Row],[J]],VOL_VOLUMEN_SUMINISTROS[[#This Row],[FIN DE SEMANA]])</f>
        <v>1052-2MNO</v>
      </c>
      <c r="D609" s="365" t="str">
        <f>CONCATENATE(VOL_VOLUMEN_SUMINISTROS[[#This Row],[Grupo]],VOL_VOLUMEN_SUMINISTROS[[#This Row],[Proyecto]],VOL_VOLUMEN_SUMINISTROS[[#This Row],[FIN DE SEMANA]])</f>
        <v>291052-2NO</v>
      </c>
      <c r="E609" s="30" t="s">
        <v>183</v>
      </c>
      <c r="F609" s="30" t="s">
        <v>148</v>
      </c>
      <c r="G609" s="365">
        <v>29</v>
      </c>
      <c r="H609" s="30">
        <v>7</v>
      </c>
      <c r="I609" s="9" t="s">
        <v>221</v>
      </c>
      <c r="J609" s="9" t="s">
        <v>490</v>
      </c>
      <c r="K609" s="30">
        <v>7</v>
      </c>
      <c r="L609" s="9" t="s">
        <v>496</v>
      </c>
      <c r="M609" s="30" t="s">
        <v>84</v>
      </c>
      <c r="N609" s="30" t="s">
        <v>152</v>
      </c>
      <c r="O609" s="24">
        <v>68</v>
      </c>
      <c r="P609" s="24">
        <v>0</v>
      </c>
      <c r="Q609" s="24">
        <v>0</v>
      </c>
      <c r="R609" s="24">
        <v>0</v>
      </c>
      <c r="S609" s="24">
        <v>0</v>
      </c>
      <c r="T609" s="24">
        <v>68</v>
      </c>
    </row>
    <row r="610" spans="1:20">
      <c r="A610" s="9" t="s">
        <v>433</v>
      </c>
      <c r="B610" s="30" t="s">
        <v>513</v>
      </c>
      <c r="C610" s="30" t="str">
        <f>CONCATENATE(VOL_VOLUMEN_SUMINISTROS[[#This Row],[Proyecto]],VOL_VOLUMEN_SUMINISTROS[[#This Row],[J]],VOL_VOLUMEN_SUMINISTROS[[#This Row],[FIN DE SEMANA]])</f>
        <v>1052-2TNO</v>
      </c>
      <c r="D610" s="365" t="str">
        <f>CONCATENATE(VOL_VOLUMEN_SUMINISTROS[[#This Row],[Grupo]],VOL_VOLUMEN_SUMINISTROS[[#This Row],[Proyecto]],VOL_VOLUMEN_SUMINISTROS[[#This Row],[FIN DE SEMANA]])</f>
        <v>291052-2NO</v>
      </c>
      <c r="E610" s="30" t="s">
        <v>183</v>
      </c>
      <c r="F610" s="30" t="s">
        <v>148</v>
      </c>
      <c r="G610" s="365">
        <v>29</v>
      </c>
      <c r="H610" s="30">
        <v>7</v>
      </c>
      <c r="I610" s="9" t="s">
        <v>221</v>
      </c>
      <c r="J610" s="9" t="s">
        <v>490</v>
      </c>
      <c r="K610" s="30">
        <v>7</v>
      </c>
      <c r="L610" s="9" t="s">
        <v>496</v>
      </c>
      <c r="M610" s="30" t="s">
        <v>84</v>
      </c>
      <c r="N610" s="30" t="s">
        <v>155</v>
      </c>
      <c r="O610" s="24">
        <v>70</v>
      </c>
      <c r="P610" s="24">
        <v>0</v>
      </c>
      <c r="Q610" s="24">
        <v>0</v>
      </c>
      <c r="R610" s="24">
        <v>0</v>
      </c>
      <c r="S610" s="24">
        <v>0</v>
      </c>
      <c r="T610" s="24">
        <v>70</v>
      </c>
    </row>
    <row r="611" spans="1:20">
      <c r="A611" s="9" t="s">
        <v>433</v>
      </c>
      <c r="B611" s="30" t="s">
        <v>513</v>
      </c>
      <c r="C611" s="30" t="str">
        <f>CONCATENATE(VOL_VOLUMEN_SUMINISTROS[[#This Row],[Proyecto]],VOL_VOLUMEN_SUMINISTROS[[#This Row],[J]],VOL_VOLUMEN_SUMINISTROS[[#This Row],[FIN DE SEMANA]])</f>
        <v>1052-2MNO</v>
      </c>
      <c r="D611" s="365" t="str">
        <f>CONCATENATE(VOL_VOLUMEN_SUMINISTROS[[#This Row],[Grupo]],VOL_VOLUMEN_SUMINISTROS[[#This Row],[Proyecto]],VOL_VOLUMEN_SUMINISTROS[[#This Row],[FIN DE SEMANA]])</f>
        <v>291052-2NO</v>
      </c>
      <c r="E611" s="30" t="s">
        <v>183</v>
      </c>
      <c r="F611" s="30" t="s">
        <v>148</v>
      </c>
      <c r="G611" s="365">
        <v>29</v>
      </c>
      <c r="H611" s="30">
        <v>7</v>
      </c>
      <c r="I611" s="9" t="s">
        <v>221</v>
      </c>
      <c r="J611" s="9" t="s">
        <v>497</v>
      </c>
      <c r="K611" s="30">
        <v>1</v>
      </c>
      <c r="L611" s="9" t="s">
        <v>509</v>
      </c>
      <c r="M611" s="30" t="s">
        <v>84</v>
      </c>
      <c r="N611" s="30" t="s">
        <v>152</v>
      </c>
      <c r="O611" s="24">
        <v>80</v>
      </c>
      <c r="P611" s="24">
        <v>0</v>
      </c>
      <c r="Q611" s="24">
        <v>0</v>
      </c>
      <c r="R611" s="24">
        <v>0</v>
      </c>
      <c r="S611" s="24">
        <v>0</v>
      </c>
      <c r="T611" s="24">
        <v>80</v>
      </c>
    </row>
    <row r="612" spans="1:20">
      <c r="A612" s="9" t="s">
        <v>433</v>
      </c>
      <c r="B612" s="30" t="s">
        <v>513</v>
      </c>
      <c r="C612" s="30" t="str">
        <f>CONCATENATE(VOL_VOLUMEN_SUMINISTROS[[#This Row],[Proyecto]],VOL_VOLUMEN_SUMINISTROS[[#This Row],[J]],VOL_VOLUMEN_SUMINISTROS[[#This Row],[FIN DE SEMANA]])</f>
        <v>1052-2TNO</v>
      </c>
      <c r="D612" s="365" t="str">
        <f>CONCATENATE(VOL_VOLUMEN_SUMINISTROS[[#This Row],[Grupo]],VOL_VOLUMEN_SUMINISTROS[[#This Row],[Proyecto]],VOL_VOLUMEN_SUMINISTROS[[#This Row],[FIN DE SEMANA]])</f>
        <v>291052-2NO</v>
      </c>
      <c r="E612" s="30" t="s">
        <v>183</v>
      </c>
      <c r="F612" s="30" t="s">
        <v>148</v>
      </c>
      <c r="G612" s="365">
        <v>29</v>
      </c>
      <c r="H612" s="30">
        <v>7</v>
      </c>
      <c r="I612" s="9" t="s">
        <v>221</v>
      </c>
      <c r="J612" s="9" t="s">
        <v>497</v>
      </c>
      <c r="K612" s="30">
        <v>1</v>
      </c>
      <c r="L612" s="9" t="s">
        <v>510</v>
      </c>
      <c r="M612" s="30" t="s">
        <v>84</v>
      </c>
      <c r="N612" s="30" t="s">
        <v>155</v>
      </c>
      <c r="O612" s="24">
        <v>80</v>
      </c>
      <c r="P612" s="24">
        <v>0</v>
      </c>
      <c r="Q612" s="24">
        <v>0</v>
      </c>
      <c r="R612" s="24">
        <v>0</v>
      </c>
      <c r="S612" s="24">
        <v>0</v>
      </c>
      <c r="T612" s="24">
        <v>80</v>
      </c>
    </row>
    <row r="613" spans="1:20">
      <c r="A613" s="9" t="s">
        <v>433</v>
      </c>
      <c r="B613" s="30" t="s">
        <v>513</v>
      </c>
      <c r="C613" s="30" t="str">
        <f>CONCATENATE(VOL_VOLUMEN_SUMINISTROS[[#This Row],[Proyecto]],VOL_VOLUMEN_SUMINISTROS[[#This Row],[J]],VOL_VOLUMEN_SUMINISTROS[[#This Row],[FIN DE SEMANA]])</f>
        <v>1052-2MNO</v>
      </c>
      <c r="D613" s="365" t="str">
        <f>CONCATENATE(VOL_VOLUMEN_SUMINISTROS[[#This Row],[Grupo]],VOL_VOLUMEN_SUMINISTROS[[#This Row],[Proyecto]],VOL_VOLUMEN_SUMINISTROS[[#This Row],[FIN DE SEMANA]])</f>
        <v>291052-2NO</v>
      </c>
      <c r="E613" s="30" t="s">
        <v>183</v>
      </c>
      <c r="F613" s="30" t="s">
        <v>148</v>
      </c>
      <c r="G613" s="365">
        <v>29</v>
      </c>
      <c r="H613" s="30">
        <v>7</v>
      </c>
      <c r="I613" s="9" t="s">
        <v>221</v>
      </c>
      <c r="J613" s="9" t="s">
        <v>501</v>
      </c>
      <c r="K613" s="30">
        <v>1</v>
      </c>
      <c r="L613" s="9" t="s">
        <v>511</v>
      </c>
      <c r="M613" s="30" t="s">
        <v>84</v>
      </c>
      <c r="N613" s="30" t="s">
        <v>152</v>
      </c>
      <c r="O613" s="24">
        <v>120</v>
      </c>
      <c r="P613" s="24">
        <v>0</v>
      </c>
      <c r="Q613" s="24">
        <v>0</v>
      </c>
      <c r="R613" s="24">
        <v>0</v>
      </c>
      <c r="S613" s="24">
        <v>0</v>
      </c>
      <c r="T613" s="24">
        <v>120</v>
      </c>
    </row>
    <row r="614" spans="1:20">
      <c r="A614" s="9" t="s">
        <v>433</v>
      </c>
      <c r="B614" s="30" t="s">
        <v>513</v>
      </c>
      <c r="C614" s="30" t="str">
        <f>CONCATENATE(VOL_VOLUMEN_SUMINISTROS[[#This Row],[Proyecto]],VOL_VOLUMEN_SUMINISTROS[[#This Row],[J]],VOL_VOLUMEN_SUMINISTROS[[#This Row],[FIN DE SEMANA]])</f>
        <v>1052-2TNO</v>
      </c>
      <c r="D614" s="365" t="str">
        <f>CONCATENATE(VOL_VOLUMEN_SUMINISTROS[[#This Row],[Grupo]],VOL_VOLUMEN_SUMINISTROS[[#This Row],[Proyecto]],VOL_VOLUMEN_SUMINISTROS[[#This Row],[FIN DE SEMANA]])</f>
        <v>291052-2NO</v>
      </c>
      <c r="E614" s="30" t="s">
        <v>183</v>
      </c>
      <c r="F614" s="30" t="s">
        <v>148</v>
      </c>
      <c r="G614" s="365">
        <v>29</v>
      </c>
      <c r="H614" s="30">
        <v>7</v>
      </c>
      <c r="I614" s="9" t="s">
        <v>221</v>
      </c>
      <c r="J614" s="9" t="s">
        <v>501</v>
      </c>
      <c r="K614" s="30">
        <v>1</v>
      </c>
      <c r="L614" s="9" t="s">
        <v>511</v>
      </c>
      <c r="M614" s="30" t="s">
        <v>84</v>
      </c>
      <c r="N614" s="30" t="s">
        <v>155</v>
      </c>
      <c r="O614" s="24">
        <v>120</v>
      </c>
      <c r="P614" s="24">
        <v>0</v>
      </c>
      <c r="Q614" s="24">
        <v>0</v>
      </c>
      <c r="R614" s="24">
        <v>0</v>
      </c>
      <c r="S614" s="24">
        <v>0</v>
      </c>
      <c r="T614" s="24">
        <v>120</v>
      </c>
    </row>
    <row r="615" spans="1:20">
      <c r="A615" s="9" t="s">
        <v>433</v>
      </c>
      <c r="B615" s="30" t="s">
        <v>513</v>
      </c>
      <c r="C615" s="30" t="str">
        <f>CONCATENATE(VOL_VOLUMEN_SUMINISTROS[[#This Row],[Proyecto]],VOL_VOLUMEN_SUMINISTROS[[#This Row],[J]],VOL_VOLUMEN_SUMINISTROS[[#This Row],[FIN DE SEMANA]])</f>
        <v>1052-2MNO</v>
      </c>
      <c r="D615" s="365" t="str">
        <f>CONCATENATE(VOL_VOLUMEN_SUMINISTROS[[#This Row],[Grupo]],VOL_VOLUMEN_SUMINISTROS[[#This Row],[Proyecto]],VOL_VOLUMEN_SUMINISTROS[[#This Row],[FIN DE SEMANA]])</f>
        <v>291052-2NO</v>
      </c>
      <c r="E615" s="30" t="s">
        <v>183</v>
      </c>
      <c r="F615" s="30" t="s">
        <v>148</v>
      </c>
      <c r="G615" s="365">
        <v>29</v>
      </c>
      <c r="H615" s="30">
        <v>7</v>
      </c>
      <c r="I615" s="9" t="s">
        <v>221</v>
      </c>
      <c r="J615" s="9" t="s">
        <v>501</v>
      </c>
      <c r="K615" s="30">
        <v>2</v>
      </c>
      <c r="L615" s="9" t="s">
        <v>502</v>
      </c>
      <c r="M615" s="30" t="s">
        <v>84</v>
      </c>
      <c r="N615" s="30" t="s">
        <v>152</v>
      </c>
      <c r="O615" s="24">
        <v>90</v>
      </c>
      <c r="P615" s="24">
        <v>0</v>
      </c>
      <c r="Q615" s="24">
        <v>0</v>
      </c>
      <c r="R615" s="24">
        <v>0</v>
      </c>
      <c r="S615" s="24">
        <v>0</v>
      </c>
      <c r="T615" s="24">
        <v>90</v>
      </c>
    </row>
    <row r="616" spans="1:20">
      <c r="A616" s="9" t="s">
        <v>433</v>
      </c>
      <c r="B616" s="30" t="s">
        <v>513</v>
      </c>
      <c r="C616" s="30" t="str">
        <f>CONCATENATE(VOL_VOLUMEN_SUMINISTROS[[#This Row],[Proyecto]],VOL_VOLUMEN_SUMINISTROS[[#This Row],[J]],VOL_VOLUMEN_SUMINISTROS[[#This Row],[FIN DE SEMANA]])</f>
        <v>1052-2TNO</v>
      </c>
      <c r="D616" s="365" t="str">
        <f>CONCATENATE(VOL_VOLUMEN_SUMINISTROS[[#This Row],[Grupo]],VOL_VOLUMEN_SUMINISTROS[[#This Row],[Proyecto]],VOL_VOLUMEN_SUMINISTROS[[#This Row],[FIN DE SEMANA]])</f>
        <v>291052-2NO</v>
      </c>
      <c r="E616" s="30" t="s">
        <v>183</v>
      </c>
      <c r="F616" s="30" t="s">
        <v>148</v>
      </c>
      <c r="G616" s="365">
        <v>29</v>
      </c>
      <c r="H616" s="30">
        <v>7</v>
      </c>
      <c r="I616" s="9" t="s">
        <v>221</v>
      </c>
      <c r="J616" s="9" t="s">
        <v>501</v>
      </c>
      <c r="K616" s="30">
        <v>2</v>
      </c>
      <c r="L616" s="9" t="s">
        <v>502</v>
      </c>
      <c r="M616" s="30" t="s">
        <v>84</v>
      </c>
      <c r="N616" s="30" t="s">
        <v>155</v>
      </c>
      <c r="O616" s="24">
        <v>90</v>
      </c>
      <c r="P616" s="24">
        <v>0</v>
      </c>
      <c r="Q616" s="24">
        <v>0</v>
      </c>
      <c r="R616" s="24">
        <v>0</v>
      </c>
      <c r="S616" s="24">
        <v>0</v>
      </c>
      <c r="T616" s="24">
        <v>90</v>
      </c>
    </row>
    <row r="617" spans="1:20">
      <c r="A617" s="9" t="s">
        <v>433</v>
      </c>
      <c r="B617" s="30" t="s">
        <v>513</v>
      </c>
      <c r="C617" s="30" t="str">
        <f>CONCATENATE(VOL_VOLUMEN_SUMINISTROS[[#This Row],[Proyecto]],VOL_VOLUMEN_SUMINISTROS[[#This Row],[J]],VOL_VOLUMEN_SUMINISTROS[[#This Row],[FIN DE SEMANA]])</f>
        <v>1052-2TNO</v>
      </c>
      <c r="D617" s="365" t="str">
        <f>CONCATENATE(VOL_VOLUMEN_SUMINISTROS[[#This Row],[Grupo]],VOL_VOLUMEN_SUMINISTROS[[#This Row],[Proyecto]],VOL_VOLUMEN_SUMINISTROS[[#This Row],[FIN DE SEMANA]])</f>
        <v>291052-2NO</v>
      </c>
      <c r="E617" s="30" t="s">
        <v>183</v>
      </c>
      <c r="F617" s="30" t="s">
        <v>148</v>
      </c>
      <c r="G617" s="365">
        <v>29</v>
      </c>
      <c r="H617" s="30">
        <v>7</v>
      </c>
      <c r="I617" s="9" t="s">
        <v>221</v>
      </c>
      <c r="J617" s="9" t="s">
        <v>503</v>
      </c>
      <c r="K617" s="30">
        <v>2</v>
      </c>
      <c r="L617" s="9" t="s">
        <v>505</v>
      </c>
      <c r="M617" s="30" t="s">
        <v>84</v>
      </c>
      <c r="N617" s="30" t="s">
        <v>155</v>
      </c>
      <c r="O617" s="24">
        <v>155</v>
      </c>
      <c r="P617" s="24">
        <v>0</v>
      </c>
      <c r="Q617" s="24">
        <v>0</v>
      </c>
      <c r="R617" s="24">
        <v>0</v>
      </c>
      <c r="S617" s="24">
        <v>0</v>
      </c>
      <c r="T617" s="24">
        <v>155</v>
      </c>
    </row>
    <row r="618" spans="1:20">
      <c r="A618" s="9" t="s">
        <v>433</v>
      </c>
      <c r="B618" s="30" t="s">
        <v>514</v>
      </c>
      <c r="C618" s="30" t="str">
        <f>CONCATENATE(VOL_VOLUMEN_SUMINISTROS[[#This Row],[Proyecto]],VOL_VOLUMEN_SUMINISTROS[[#This Row],[J]],VOL_VOLUMEN_SUMINISTROS[[#This Row],[FIN DE SEMANA]])</f>
        <v>1052-1MNO</v>
      </c>
      <c r="D618" s="365" t="str">
        <f>CONCATENATE(VOL_VOLUMEN_SUMINISTROS[[#This Row],[Grupo]],VOL_VOLUMEN_SUMINISTROS[[#This Row],[Proyecto]],VOL_VOLUMEN_SUMINISTROS[[#This Row],[FIN DE SEMANA]])</f>
        <v>71052-1NO</v>
      </c>
      <c r="E618" s="30" t="s">
        <v>147</v>
      </c>
      <c r="F618" s="30" t="s">
        <v>148</v>
      </c>
      <c r="G618" s="365">
        <v>7</v>
      </c>
      <c r="H618" s="30">
        <v>16</v>
      </c>
      <c r="I618" s="9" t="s">
        <v>435</v>
      </c>
      <c r="J618" s="9" t="s">
        <v>515</v>
      </c>
      <c r="K618" s="30">
        <v>1</v>
      </c>
      <c r="L618" s="9" t="s">
        <v>516</v>
      </c>
      <c r="M618" s="30" t="s">
        <v>84</v>
      </c>
      <c r="N618" s="30" t="s">
        <v>152</v>
      </c>
      <c r="O618" s="24">
        <v>0</v>
      </c>
      <c r="P618" s="24">
        <v>0</v>
      </c>
      <c r="Q618" s="24">
        <v>461</v>
      </c>
      <c r="R618" s="24">
        <v>0</v>
      </c>
      <c r="S618" s="24">
        <v>0</v>
      </c>
      <c r="T618" s="24">
        <v>461</v>
      </c>
    </row>
    <row r="619" spans="1:20">
      <c r="A619" s="9" t="s">
        <v>433</v>
      </c>
      <c r="B619" s="30" t="s">
        <v>514</v>
      </c>
      <c r="C619" s="30" t="str">
        <f>CONCATENATE(VOL_VOLUMEN_SUMINISTROS[[#This Row],[Proyecto]],VOL_VOLUMEN_SUMINISTROS[[#This Row],[J]],VOL_VOLUMEN_SUMINISTROS[[#This Row],[FIN DE SEMANA]])</f>
        <v>1052-1MNO</v>
      </c>
      <c r="D619" s="365" t="str">
        <f>CONCATENATE(VOL_VOLUMEN_SUMINISTROS[[#This Row],[Grupo]],VOL_VOLUMEN_SUMINISTROS[[#This Row],[Proyecto]],VOL_VOLUMEN_SUMINISTROS[[#This Row],[FIN DE SEMANA]])</f>
        <v>71052-1NO</v>
      </c>
      <c r="E619" s="30" t="s">
        <v>147</v>
      </c>
      <c r="F619" s="30" t="s">
        <v>148</v>
      </c>
      <c r="G619" s="365">
        <v>7</v>
      </c>
      <c r="H619" s="30">
        <v>16</v>
      </c>
      <c r="I619" s="9" t="s">
        <v>435</v>
      </c>
      <c r="J619" s="9" t="s">
        <v>515</v>
      </c>
      <c r="K619" s="30">
        <v>2</v>
      </c>
      <c r="L619" s="9" t="s">
        <v>165</v>
      </c>
      <c r="M619" s="30" t="s">
        <v>84</v>
      </c>
      <c r="N619" s="30" t="s">
        <v>152</v>
      </c>
      <c r="O619" s="24">
        <v>224</v>
      </c>
      <c r="P619" s="24">
        <v>62</v>
      </c>
      <c r="Q619" s="24">
        <v>0</v>
      </c>
      <c r="R619" s="24">
        <v>0</v>
      </c>
      <c r="S619" s="24">
        <v>0</v>
      </c>
      <c r="T619" s="24">
        <v>286</v>
      </c>
    </row>
    <row r="620" spans="1:20">
      <c r="A620" s="9" t="s">
        <v>433</v>
      </c>
      <c r="B620" s="30" t="s">
        <v>514</v>
      </c>
      <c r="C620" s="30" t="str">
        <f>CONCATENATE(VOL_VOLUMEN_SUMINISTROS[[#This Row],[Proyecto]],VOL_VOLUMEN_SUMINISTROS[[#This Row],[J]],VOL_VOLUMEN_SUMINISTROS[[#This Row],[FIN DE SEMANA]])</f>
        <v>1052-1TNO</v>
      </c>
      <c r="D620" s="365" t="str">
        <f>CONCATENATE(VOL_VOLUMEN_SUMINISTROS[[#This Row],[Grupo]],VOL_VOLUMEN_SUMINISTROS[[#This Row],[Proyecto]],VOL_VOLUMEN_SUMINISTROS[[#This Row],[FIN DE SEMANA]])</f>
        <v>71052-1NO</v>
      </c>
      <c r="E620" s="30" t="s">
        <v>147</v>
      </c>
      <c r="F620" s="30" t="s">
        <v>148</v>
      </c>
      <c r="G620" s="365">
        <v>7</v>
      </c>
      <c r="H620" s="30">
        <v>16</v>
      </c>
      <c r="I620" s="9" t="s">
        <v>435</v>
      </c>
      <c r="J620" s="9" t="s">
        <v>515</v>
      </c>
      <c r="K620" s="30">
        <v>2</v>
      </c>
      <c r="L620" s="9" t="s">
        <v>165</v>
      </c>
      <c r="M620" s="30" t="s">
        <v>84</v>
      </c>
      <c r="N620" s="30" t="s">
        <v>155</v>
      </c>
      <c r="O620" s="24">
        <v>115</v>
      </c>
      <c r="P620" s="24">
        <v>37</v>
      </c>
      <c r="Q620" s="24">
        <v>5</v>
      </c>
      <c r="R620" s="24">
        <v>0</v>
      </c>
      <c r="S620" s="24">
        <v>0</v>
      </c>
      <c r="T620" s="24">
        <v>157</v>
      </c>
    </row>
    <row r="621" spans="1:20">
      <c r="A621" s="9" t="s">
        <v>433</v>
      </c>
      <c r="B621" s="30" t="s">
        <v>514</v>
      </c>
      <c r="C621" s="30" t="str">
        <f>CONCATENATE(VOL_VOLUMEN_SUMINISTROS[[#This Row],[Proyecto]],VOL_VOLUMEN_SUMINISTROS[[#This Row],[J]],VOL_VOLUMEN_SUMINISTROS[[#This Row],[FIN DE SEMANA]])</f>
        <v>1052-1MNO</v>
      </c>
      <c r="D621" s="365" t="str">
        <f>CONCATENATE(VOL_VOLUMEN_SUMINISTROS[[#This Row],[Grupo]],VOL_VOLUMEN_SUMINISTROS[[#This Row],[Proyecto]],VOL_VOLUMEN_SUMINISTROS[[#This Row],[FIN DE SEMANA]])</f>
        <v>71052-1NO</v>
      </c>
      <c r="E621" s="30" t="s">
        <v>147</v>
      </c>
      <c r="F621" s="30" t="s">
        <v>148</v>
      </c>
      <c r="G621" s="365">
        <v>7</v>
      </c>
      <c r="H621" s="30">
        <v>16</v>
      </c>
      <c r="I621" s="9" t="s">
        <v>435</v>
      </c>
      <c r="J621" s="9" t="s">
        <v>515</v>
      </c>
      <c r="K621" s="30">
        <v>3</v>
      </c>
      <c r="L621" s="9" t="s">
        <v>458</v>
      </c>
      <c r="M621" s="30" t="s">
        <v>84</v>
      </c>
      <c r="N621" s="30" t="s">
        <v>152</v>
      </c>
      <c r="O621" s="24">
        <v>0</v>
      </c>
      <c r="P621" s="24">
        <v>234</v>
      </c>
      <c r="Q621" s="24">
        <v>78</v>
      </c>
      <c r="R621" s="24">
        <v>0</v>
      </c>
      <c r="S621" s="24">
        <v>0</v>
      </c>
      <c r="T621" s="24">
        <v>312</v>
      </c>
    </row>
    <row r="622" spans="1:20">
      <c r="A622" s="9" t="s">
        <v>433</v>
      </c>
      <c r="B622" s="30" t="s">
        <v>514</v>
      </c>
      <c r="C622" s="30" t="str">
        <f>CONCATENATE(VOL_VOLUMEN_SUMINISTROS[[#This Row],[Proyecto]],VOL_VOLUMEN_SUMINISTROS[[#This Row],[J]],VOL_VOLUMEN_SUMINISTROS[[#This Row],[FIN DE SEMANA]])</f>
        <v>1052-1MNO</v>
      </c>
      <c r="D622" s="365" t="str">
        <f>CONCATENATE(VOL_VOLUMEN_SUMINISTROS[[#This Row],[Grupo]],VOL_VOLUMEN_SUMINISTROS[[#This Row],[Proyecto]],VOL_VOLUMEN_SUMINISTROS[[#This Row],[FIN DE SEMANA]])</f>
        <v>71052-1NO</v>
      </c>
      <c r="E622" s="30" t="s">
        <v>147</v>
      </c>
      <c r="F622" s="30" t="s">
        <v>148</v>
      </c>
      <c r="G622" s="365">
        <v>7</v>
      </c>
      <c r="H622" s="30">
        <v>16</v>
      </c>
      <c r="I622" s="9" t="s">
        <v>435</v>
      </c>
      <c r="J622" s="9" t="s">
        <v>517</v>
      </c>
      <c r="K622" s="30">
        <v>1</v>
      </c>
      <c r="L622" s="9" t="s">
        <v>518</v>
      </c>
      <c r="M622" s="30" t="s">
        <v>84</v>
      </c>
      <c r="N622" s="30" t="s">
        <v>152</v>
      </c>
      <c r="O622" s="24">
        <v>344</v>
      </c>
      <c r="P622" s="24">
        <v>640</v>
      </c>
      <c r="Q622" s="24">
        <v>743</v>
      </c>
      <c r="R622" s="24">
        <v>0</v>
      </c>
      <c r="S622" s="24">
        <v>0</v>
      </c>
      <c r="T622" s="24">
        <v>1727</v>
      </c>
    </row>
    <row r="623" spans="1:20">
      <c r="A623" s="9" t="s">
        <v>433</v>
      </c>
      <c r="B623" s="30" t="s">
        <v>514</v>
      </c>
      <c r="C623" s="30" t="str">
        <f>CONCATENATE(VOL_VOLUMEN_SUMINISTROS[[#This Row],[Proyecto]],VOL_VOLUMEN_SUMINISTROS[[#This Row],[J]],VOL_VOLUMEN_SUMINISTROS[[#This Row],[FIN DE SEMANA]])</f>
        <v>1052-1NNO</v>
      </c>
      <c r="D623" s="365" t="str">
        <f>CONCATENATE(VOL_VOLUMEN_SUMINISTROS[[#This Row],[Grupo]],VOL_VOLUMEN_SUMINISTROS[[#This Row],[Proyecto]],VOL_VOLUMEN_SUMINISTROS[[#This Row],[FIN DE SEMANA]])</f>
        <v>71052-1NO</v>
      </c>
      <c r="E623" s="30" t="s">
        <v>147</v>
      </c>
      <c r="F623" s="30" t="s">
        <v>148</v>
      </c>
      <c r="G623" s="365">
        <v>7</v>
      </c>
      <c r="H623" s="30">
        <v>16</v>
      </c>
      <c r="I623" s="9" t="s">
        <v>435</v>
      </c>
      <c r="J623" s="9" t="s">
        <v>517</v>
      </c>
      <c r="K623" s="30">
        <v>1</v>
      </c>
      <c r="L623" s="9" t="s">
        <v>518</v>
      </c>
      <c r="M623" s="30" t="s">
        <v>84</v>
      </c>
      <c r="N623" s="30" t="s">
        <v>154</v>
      </c>
      <c r="O623" s="24">
        <v>0</v>
      </c>
      <c r="P623" s="24">
        <v>0</v>
      </c>
      <c r="Q623" s="24">
        <v>0</v>
      </c>
      <c r="R623" s="24">
        <v>82</v>
      </c>
      <c r="S623" s="24">
        <v>94</v>
      </c>
      <c r="T623" s="24">
        <v>176</v>
      </c>
    </row>
    <row r="624" spans="1:20">
      <c r="A624" s="9" t="s">
        <v>433</v>
      </c>
      <c r="B624" s="30" t="s">
        <v>514</v>
      </c>
      <c r="C624" s="30" t="str">
        <f>CONCATENATE(VOL_VOLUMEN_SUMINISTROS[[#This Row],[Proyecto]],VOL_VOLUMEN_SUMINISTROS[[#This Row],[J]],VOL_VOLUMEN_SUMINISTROS[[#This Row],[FIN DE SEMANA]])</f>
        <v>1052-1TNO</v>
      </c>
      <c r="D624" s="365" t="str">
        <f>CONCATENATE(VOL_VOLUMEN_SUMINISTROS[[#This Row],[Grupo]],VOL_VOLUMEN_SUMINISTROS[[#This Row],[Proyecto]],VOL_VOLUMEN_SUMINISTROS[[#This Row],[FIN DE SEMANA]])</f>
        <v>71052-1NO</v>
      </c>
      <c r="E624" s="30" t="s">
        <v>147</v>
      </c>
      <c r="F624" s="30" t="s">
        <v>148</v>
      </c>
      <c r="G624" s="365">
        <v>7</v>
      </c>
      <c r="H624" s="30">
        <v>16</v>
      </c>
      <c r="I624" s="9" t="s">
        <v>435</v>
      </c>
      <c r="J624" s="9" t="s">
        <v>517</v>
      </c>
      <c r="K624" s="30">
        <v>1</v>
      </c>
      <c r="L624" s="9" t="s">
        <v>518</v>
      </c>
      <c r="M624" s="30" t="s">
        <v>84</v>
      </c>
      <c r="N624" s="30" t="s">
        <v>155</v>
      </c>
      <c r="O624" s="24">
        <v>398</v>
      </c>
      <c r="P624" s="24">
        <v>658</v>
      </c>
      <c r="Q624" s="24">
        <v>840</v>
      </c>
      <c r="R624" s="24">
        <v>0</v>
      </c>
      <c r="S624" s="24">
        <v>0</v>
      </c>
      <c r="T624" s="24">
        <v>1896</v>
      </c>
    </row>
    <row r="625" spans="1:20">
      <c r="A625" s="9" t="s">
        <v>433</v>
      </c>
      <c r="B625" s="30" t="s">
        <v>514</v>
      </c>
      <c r="C625" s="30" t="str">
        <f>CONCATENATE(VOL_VOLUMEN_SUMINISTROS[[#This Row],[Proyecto]],VOL_VOLUMEN_SUMINISTROS[[#This Row],[J]],VOL_VOLUMEN_SUMINISTROS[[#This Row],[FIN DE SEMANA]])</f>
        <v>1052-1MNO</v>
      </c>
      <c r="D625" s="365" t="str">
        <f>CONCATENATE(VOL_VOLUMEN_SUMINISTROS[[#This Row],[Grupo]],VOL_VOLUMEN_SUMINISTROS[[#This Row],[Proyecto]],VOL_VOLUMEN_SUMINISTROS[[#This Row],[FIN DE SEMANA]])</f>
        <v>71052-1NO</v>
      </c>
      <c r="E625" s="30" t="s">
        <v>147</v>
      </c>
      <c r="F625" s="30" t="s">
        <v>148</v>
      </c>
      <c r="G625" s="365">
        <v>7</v>
      </c>
      <c r="H625" s="30">
        <v>16</v>
      </c>
      <c r="I625" s="9" t="s">
        <v>435</v>
      </c>
      <c r="J625" s="9" t="s">
        <v>519</v>
      </c>
      <c r="K625" s="30">
        <v>1</v>
      </c>
      <c r="L625" s="9" t="s">
        <v>520</v>
      </c>
      <c r="M625" s="30" t="s">
        <v>84</v>
      </c>
      <c r="N625" s="30" t="s">
        <v>152</v>
      </c>
      <c r="O625" s="24">
        <v>0</v>
      </c>
      <c r="P625" s="24">
        <v>144</v>
      </c>
      <c r="Q625" s="24">
        <v>413</v>
      </c>
      <c r="R625" s="24">
        <v>0</v>
      </c>
      <c r="S625" s="24">
        <v>0</v>
      </c>
      <c r="T625" s="24">
        <v>557</v>
      </c>
    </row>
    <row r="626" spans="1:20">
      <c r="A626" s="9" t="s">
        <v>433</v>
      </c>
      <c r="B626" s="30" t="s">
        <v>514</v>
      </c>
      <c r="C626" s="30" t="str">
        <f>CONCATENATE(VOL_VOLUMEN_SUMINISTROS[[#This Row],[Proyecto]],VOL_VOLUMEN_SUMINISTROS[[#This Row],[J]],VOL_VOLUMEN_SUMINISTROS[[#This Row],[FIN DE SEMANA]])</f>
        <v>1052-1TNO</v>
      </c>
      <c r="D626" s="365" t="str">
        <f>CONCATENATE(VOL_VOLUMEN_SUMINISTROS[[#This Row],[Grupo]],VOL_VOLUMEN_SUMINISTROS[[#This Row],[Proyecto]],VOL_VOLUMEN_SUMINISTROS[[#This Row],[FIN DE SEMANA]])</f>
        <v>71052-1NO</v>
      </c>
      <c r="E626" s="30" t="s">
        <v>147</v>
      </c>
      <c r="F626" s="30" t="s">
        <v>148</v>
      </c>
      <c r="G626" s="365">
        <v>7</v>
      </c>
      <c r="H626" s="30">
        <v>16</v>
      </c>
      <c r="I626" s="9" t="s">
        <v>435</v>
      </c>
      <c r="J626" s="9" t="s">
        <v>519</v>
      </c>
      <c r="K626" s="30">
        <v>1</v>
      </c>
      <c r="L626" s="9" t="s">
        <v>520</v>
      </c>
      <c r="M626" s="30" t="s">
        <v>84</v>
      </c>
      <c r="N626" s="30" t="s">
        <v>155</v>
      </c>
      <c r="O626" s="24">
        <v>0</v>
      </c>
      <c r="P626" s="24">
        <v>120</v>
      </c>
      <c r="Q626" s="24">
        <v>297</v>
      </c>
      <c r="R626" s="24">
        <v>0</v>
      </c>
      <c r="S626" s="24">
        <v>0</v>
      </c>
      <c r="T626" s="24">
        <v>417</v>
      </c>
    </row>
    <row r="627" spans="1:20">
      <c r="A627" s="9" t="s">
        <v>433</v>
      </c>
      <c r="B627" s="30" t="s">
        <v>514</v>
      </c>
      <c r="C627" s="30" t="str">
        <f>CONCATENATE(VOL_VOLUMEN_SUMINISTROS[[#This Row],[Proyecto]],VOL_VOLUMEN_SUMINISTROS[[#This Row],[J]],VOL_VOLUMEN_SUMINISTROS[[#This Row],[FIN DE SEMANA]])</f>
        <v>1052-1MNO</v>
      </c>
      <c r="D627" s="365" t="str">
        <f>CONCATENATE(VOL_VOLUMEN_SUMINISTROS[[#This Row],[Grupo]],VOL_VOLUMEN_SUMINISTROS[[#This Row],[Proyecto]],VOL_VOLUMEN_SUMINISTROS[[#This Row],[FIN DE SEMANA]])</f>
        <v>71052-1NO</v>
      </c>
      <c r="E627" s="30" t="s">
        <v>147</v>
      </c>
      <c r="F627" s="30" t="s">
        <v>148</v>
      </c>
      <c r="G627" s="365">
        <v>7</v>
      </c>
      <c r="H627" s="30">
        <v>16</v>
      </c>
      <c r="I627" s="9" t="s">
        <v>435</v>
      </c>
      <c r="J627" s="9" t="s">
        <v>519</v>
      </c>
      <c r="K627" s="30">
        <v>2</v>
      </c>
      <c r="L627" s="9" t="s">
        <v>521</v>
      </c>
      <c r="M627" s="30" t="s">
        <v>84</v>
      </c>
      <c r="N627" s="30" t="s">
        <v>152</v>
      </c>
      <c r="O627" s="24">
        <v>215</v>
      </c>
      <c r="P627" s="24">
        <v>148</v>
      </c>
      <c r="Q627" s="24">
        <v>29</v>
      </c>
      <c r="R627" s="24">
        <v>0</v>
      </c>
      <c r="S627" s="24">
        <v>0</v>
      </c>
      <c r="T627" s="24">
        <v>392</v>
      </c>
    </row>
    <row r="628" spans="1:20">
      <c r="A628" s="9" t="s">
        <v>433</v>
      </c>
      <c r="B628" s="30" t="s">
        <v>514</v>
      </c>
      <c r="C628" s="30" t="str">
        <f>CONCATENATE(VOL_VOLUMEN_SUMINISTROS[[#This Row],[Proyecto]],VOL_VOLUMEN_SUMINISTROS[[#This Row],[J]],VOL_VOLUMEN_SUMINISTROS[[#This Row],[FIN DE SEMANA]])</f>
        <v>1052-1TNO</v>
      </c>
      <c r="D628" s="365" t="str">
        <f>CONCATENATE(VOL_VOLUMEN_SUMINISTROS[[#This Row],[Grupo]],VOL_VOLUMEN_SUMINISTROS[[#This Row],[Proyecto]],VOL_VOLUMEN_SUMINISTROS[[#This Row],[FIN DE SEMANA]])</f>
        <v>71052-1NO</v>
      </c>
      <c r="E628" s="30" t="s">
        <v>147</v>
      </c>
      <c r="F628" s="30" t="s">
        <v>148</v>
      </c>
      <c r="G628" s="365">
        <v>7</v>
      </c>
      <c r="H628" s="30">
        <v>16</v>
      </c>
      <c r="I628" s="9" t="s">
        <v>435</v>
      </c>
      <c r="J628" s="9" t="s">
        <v>519</v>
      </c>
      <c r="K628" s="30">
        <v>2</v>
      </c>
      <c r="L628" s="9" t="s">
        <v>521</v>
      </c>
      <c r="M628" s="30" t="s">
        <v>84</v>
      </c>
      <c r="N628" s="30" t="s">
        <v>155</v>
      </c>
      <c r="O628" s="24">
        <v>199</v>
      </c>
      <c r="P628" s="24">
        <v>148</v>
      </c>
      <c r="Q628" s="24">
        <v>31</v>
      </c>
      <c r="R628" s="24">
        <v>0</v>
      </c>
      <c r="S628" s="24">
        <v>0</v>
      </c>
      <c r="T628" s="24">
        <v>378</v>
      </c>
    </row>
    <row r="629" spans="1:20">
      <c r="A629" s="9" t="s">
        <v>433</v>
      </c>
      <c r="B629" s="30" t="s">
        <v>514</v>
      </c>
      <c r="C629" s="30" t="str">
        <f>CONCATENATE(VOL_VOLUMEN_SUMINISTROS[[#This Row],[Proyecto]],VOL_VOLUMEN_SUMINISTROS[[#This Row],[J]],VOL_VOLUMEN_SUMINISTROS[[#This Row],[FIN DE SEMANA]])</f>
        <v>1052-1MNO</v>
      </c>
      <c r="D629" s="365" t="str">
        <f>CONCATENATE(VOL_VOLUMEN_SUMINISTROS[[#This Row],[Grupo]],VOL_VOLUMEN_SUMINISTROS[[#This Row],[Proyecto]],VOL_VOLUMEN_SUMINISTROS[[#This Row],[FIN DE SEMANA]])</f>
        <v>71052-1NO</v>
      </c>
      <c r="E629" s="30" t="s">
        <v>147</v>
      </c>
      <c r="F629" s="30" t="s">
        <v>148</v>
      </c>
      <c r="G629" s="365">
        <v>7</v>
      </c>
      <c r="H629" s="30">
        <v>16</v>
      </c>
      <c r="I629" s="9" t="s">
        <v>435</v>
      </c>
      <c r="J629" s="9" t="s">
        <v>519</v>
      </c>
      <c r="K629" s="30">
        <v>3</v>
      </c>
      <c r="L629" s="9" t="s">
        <v>522</v>
      </c>
      <c r="M629" s="30" t="s">
        <v>84</v>
      </c>
      <c r="N629" s="30" t="s">
        <v>152</v>
      </c>
      <c r="O629" s="24">
        <v>123</v>
      </c>
      <c r="P629" s="24">
        <v>93</v>
      </c>
      <c r="Q629" s="24">
        <v>17</v>
      </c>
      <c r="R629" s="24">
        <v>0</v>
      </c>
      <c r="S629" s="24">
        <v>0</v>
      </c>
      <c r="T629" s="24">
        <v>233</v>
      </c>
    </row>
    <row r="630" spans="1:20">
      <c r="A630" s="9" t="s">
        <v>433</v>
      </c>
      <c r="B630" s="30" t="s">
        <v>514</v>
      </c>
      <c r="C630" s="30" t="str">
        <f>CONCATENATE(VOL_VOLUMEN_SUMINISTROS[[#This Row],[Proyecto]],VOL_VOLUMEN_SUMINISTROS[[#This Row],[J]],VOL_VOLUMEN_SUMINISTROS[[#This Row],[FIN DE SEMANA]])</f>
        <v>1052-1TNO</v>
      </c>
      <c r="D630" s="365" t="str">
        <f>CONCATENATE(VOL_VOLUMEN_SUMINISTROS[[#This Row],[Grupo]],VOL_VOLUMEN_SUMINISTROS[[#This Row],[Proyecto]],VOL_VOLUMEN_SUMINISTROS[[#This Row],[FIN DE SEMANA]])</f>
        <v>71052-1NO</v>
      </c>
      <c r="E630" s="30" t="s">
        <v>147</v>
      </c>
      <c r="F630" s="30" t="s">
        <v>148</v>
      </c>
      <c r="G630" s="365">
        <v>7</v>
      </c>
      <c r="H630" s="30">
        <v>16</v>
      </c>
      <c r="I630" s="9" t="s">
        <v>435</v>
      </c>
      <c r="J630" s="9" t="s">
        <v>519</v>
      </c>
      <c r="K630" s="30">
        <v>3</v>
      </c>
      <c r="L630" s="9" t="s">
        <v>522</v>
      </c>
      <c r="M630" s="30" t="s">
        <v>84</v>
      </c>
      <c r="N630" s="30" t="s">
        <v>155</v>
      </c>
      <c r="O630" s="24">
        <v>91</v>
      </c>
      <c r="P630" s="24">
        <v>72</v>
      </c>
      <c r="Q630" s="24">
        <v>15</v>
      </c>
      <c r="R630" s="24">
        <v>0</v>
      </c>
      <c r="S630" s="24">
        <v>0</v>
      </c>
      <c r="T630" s="24">
        <v>178</v>
      </c>
    </row>
    <row r="631" spans="1:20">
      <c r="A631" s="9" t="s">
        <v>433</v>
      </c>
      <c r="B631" s="30" t="s">
        <v>514</v>
      </c>
      <c r="C631" s="30" t="str">
        <f>CONCATENATE(VOL_VOLUMEN_SUMINISTROS[[#This Row],[Proyecto]],VOL_VOLUMEN_SUMINISTROS[[#This Row],[J]],VOL_VOLUMEN_SUMINISTROS[[#This Row],[FIN DE SEMANA]])</f>
        <v>1052-1MNO</v>
      </c>
      <c r="D631" s="365" t="str">
        <f>CONCATENATE(VOL_VOLUMEN_SUMINISTROS[[#This Row],[Grupo]],VOL_VOLUMEN_SUMINISTROS[[#This Row],[Proyecto]],VOL_VOLUMEN_SUMINISTROS[[#This Row],[FIN DE SEMANA]])</f>
        <v>71052-1NO</v>
      </c>
      <c r="E631" s="30" t="s">
        <v>147</v>
      </c>
      <c r="F631" s="30" t="s">
        <v>148</v>
      </c>
      <c r="G631" s="365">
        <v>7</v>
      </c>
      <c r="H631" s="30">
        <v>16</v>
      </c>
      <c r="I631" s="9" t="s">
        <v>435</v>
      </c>
      <c r="J631" s="9" t="s">
        <v>523</v>
      </c>
      <c r="K631" s="30">
        <v>1</v>
      </c>
      <c r="L631" s="9" t="s">
        <v>524</v>
      </c>
      <c r="M631" s="30" t="s">
        <v>84</v>
      </c>
      <c r="N631" s="30" t="s">
        <v>152</v>
      </c>
      <c r="O631" s="24">
        <v>76</v>
      </c>
      <c r="P631" s="24">
        <v>234</v>
      </c>
      <c r="Q631" s="24">
        <v>409</v>
      </c>
      <c r="R631" s="24">
        <v>0</v>
      </c>
      <c r="S631" s="24">
        <v>0</v>
      </c>
      <c r="T631" s="24">
        <v>719</v>
      </c>
    </row>
    <row r="632" spans="1:20">
      <c r="A632" s="9" t="s">
        <v>433</v>
      </c>
      <c r="B632" s="30" t="s">
        <v>514</v>
      </c>
      <c r="C632" s="30" t="str">
        <f>CONCATENATE(VOL_VOLUMEN_SUMINISTROS[[#This Row],[Proyecto]],VOL_VOLUMEN_SUMINISTROS[[#This Row],[J]],VOL_VOLUMEN_SUMINISTROS[[#This Row],[FIN DE SEMANA]])</f>
        <v>1052-1TNO</v>
      </c>
      <c r="D632" s="365" t="str">
        <f>CONCATENATE(VOL_VOLUMEN_SUMINISTROS[[#This Row],[Grupo]],VOL_VOLUMEN_SUMINISTROS[[#This Row],[Proyecto]],VOL_VOLUMEN_SUMINISTROS[[#This Row],[FIN DE SEMANA]])</f>
        <v>71052-1NO</v>
      </c>
      <c r="E632" s="30" t="s">
        <v>147</v>
      </c>
      <c r="F632" s="30" t="s">
        <v>148</v>
      </c>
      <c r="G632" s="365">
        <v>7</v>
      </c>
      <c r="H632" s="30">
        <v>16</v>
      </c>
      <c r="I632" s="9" t="s">
        <v>435</v>
      </c>
      <c r="J632" s="9" t="s">
        <v>523</v>
      </c>
      <c r="K632" s="30">
        <v>1</v>
      </c>
      <c r="L632" s="9" t="s">
        <v>524</v>
      </c>
      <c r="M632" s="30" t="s">
        <v>84</v>
      </c>
      <c r="N632" s="30" t="s">
        <v>155</v>
      </c>
      <c r="O632" s="24">
        <v>38</v>
      </c>
      <c r="P632" s="24">
        <v>151</v>
      </c>
      <c r="Q632" s="24">
        <v>305</v>
      </c>
      <c r="R632" s="24">
        <v>0</v>
      </c>
      <c r="S632" s="24">
        <v>0</v>
      </c>
      <c r="T632" s="24">
        <v>494</v>
      </c>
    </row>
    <row r="633" spans="1:20">
      <c r="A633" s="9" t="s">
        <v>433</v>
      </c>
      <c r="B633" s="30" t="s">
        <v>514</v>
      </c>
      <c r="C633" s="30" t="str">
        <f>CONCATENATE(VOL_VOLUMEN_SUMINISTROS[[#This Row],[Proyecto]],VOL_VOLUMEN_SUMINISTROS[[#This Row],[J]],VOL_VOLUMEN_SUMINISTROS[[#This Row],[FIN DE SEMANA]])</f>
        <v>1052-1MNO</v>
      </c>
      <c r="D633" s="365" t="str">
        <f>CONCATENATE(VOL_VOLUMEN_SUMINISTROS[[#This Row],[Grupo]],VOL_VOLUMEN_SUMINISTROS[[#This Row],[Proyecto]],VOL_VOLUMEN_SUMINISTROS[[#This Row],[FIN DE SEMANA]])</f>
        <v>71052-1NO</v>
      </c>
      <c r="E633" s="30" t="s">
        <v>147</v>
      </c>
      <c r="F633" s="30" t="s">
        <v>148</v>
      </c>
      <c r="G633" s="365">
        <v>7</v>
      </c>
      <c r="H633" s="30">
        <v>16</v>
      </c>
      <c r="I633" s="9" t="s">
        <v>435</v>
      </c>
      <c r="J633" s="9" t="s">
        <v>523</v>
      </c>
      <c r="K633" s="30">
        <v>2</v>
      </c>
      <c r="L633" s="9" t="s">
        <v>525</v>
      </c>
      <c r="M633" s="30" t="s">
        <v>84</v>
      </c>
      <c r="N633" s="30" t="s">
        <v>152</v>
      </c>
      <c r="O633" s="24">
        <v>158</v>
      </c>
      <c r="P633" s="24">
        <v>112</v>
      </c>
      <c r="Q633" s="24">
        <v>21</v>
      </c>
      <c r="R633" s="24">
        <v>0</v>
      </c>
      <c r="S633" s="24">
        <v>0</v>
      </c>
      <c r="T633" s="24">
        <v>291</v>
      </c>
    </row>
    <row r="634" spans="1:20">
      <c r="A634" s="9" t="s">
        <v>433</v>
      </c>
      <c r="B634" s="30" t="s">
        <v>514</v>
      </c>
      <c r="C634" s="30" t="str">
        <f>CONCATENATE(VOL_VOLUMEN_SUMINISTROS[[#This Row],[Proyecto]],VOL_VOLUMEN_SUMINISTROS[[#This Row],[J]],VOL_VOLUMEN_SUMINISTROS[[#This Row],[FIN DE SEMANA]])</f>
        <v>1052-1TNO</v>
      </c>
      <c r="D634" s="365" t="str">
        <f>CONCATENATE(VOL_VOLUMEN_SUMINISTROS[[#This Row],[Grupo]],VOL_VOLUMEN_SUMINISTROS[[#This Row],[Proyecto]],VOL_VOLUMEN_SUMINISTROS[[#This Row],[FIN DE SEMANA]])</f>
        <v>71052-1NO</v>
      </c>
      <c r="E634" s="30" t="s">
        <v>147</v>
      </c>
      <c r="F634" s="30" t="s">
        <v>148</v>
      </c>
      <c r="G634" s="365">
        <v>7</v>
      </c>
      <c r="H634" s="30">
        <v>16</v>
      </c>
      <c r="I634" s="9" t="s">
        <v>435</v>
      </c>
      <c r="J634" s="9" t="s">
        <v>523</v>
      </c>
      <c r="K634" s="30">
        <v>2</v>
      </c>
      <c r="L634" s="9" t="s">
        <v>525</v>
      </c>
      <c r="M634" s="30" t="s">
        <v>84</v>
      </c>
      <c r="N634" s="30" t="s">
        <v>155</v>
      </c>
      <c r="O634" s="24">
        <v>151</v>
      </c>
      <c r="P634" s="24">
        <v>78</v>
      </c>
      <c r="Q634" s="24">
        <v>14</v>
      </c>
      <c r="R634" s="24">
        <v>0</v>
      </c>
      <c r="S634" s="24">
        <v>0</v>
      </c>
      <c r="T634" s="24">
        <v>243</v>
      </c>
    </row>
    <row r="635" spans="1:20">
      <c r="A635" s="9" t="s">
        <v>433</v>
      </c>
      <c r="B635" s="30" t="s">
        <v>514</v>
      </c>
      <c r="C635" s="30" t="str">
        <f>CONCATENATE(VOL_VOLUMEN_SUMINISTROS[[#This Row],[Proyecto]],VOL_VOLUMEN_SUMINISTROS[[#This Row],[J]],VOL_VOLUMEN_SUMINISTROS[[#This Row],[FIN DE SEMANA]])</f>
        <v>1052-1MNO</v>
      </c>
      <c r="D635" s="365" t="str">
        <f>CONCATENATE(VOL_VOLUMEN_SUMINISTROS[[#This Row],[Grupo]],VOL_VOLUMEN_SUMINISTROS[[#This Row],[Proyecto]],VOL_VOLUMEN_SUMINISTROS[[#This Row],[FIN DE SEMANA]])</f>
        <v>71052-1NO</v>
      </c>
      <c r="E635" s="30" t="s">
        <v>147</v>
      </c>
      <c r="F635" s="30" t="s">
        <v>148</v>
      </c>
      <c r="G635" s="365">
        <v>7</v>
      </c>
      <c r="H635" s="30">
        <v>16</v>
      </c>
      <c r="I635" s="9" t="s">
        <v>435</v>
      </c>
      <c r="J635" s="9" t="s">
        <v>526</v>
      </c>
      <c r="K635" s="30">
        <v>1</v>
      </c>
      <c r="L635" s="9" t="s">
        <v>527</v>
      </c>
      <c r="M635" s="30" t="s">
        <v>84</v>
      </c>
      <c r="N635" s="30" t="s">
        <v>152</v>
      </c>
      <c r="O635" s="24">
        <v>0</v>
      </c>
      <c r="P635" s="24">
        <v>90</v>
      </c>
      <c r="Q635" s="24">
        <v>159</v>
      </c>
      <c r="R635" s="24">
        <v>0</v>
      </c>
      <c r="S635" s="24">
        <v>0</v>
      </c>
      <c r="T635" s="24">
        <v>249</v>
      </c>
    </row>
    <row r="636" spans="1:20">
      <c r="A636" s="9" t="s">
        <v>433</v>
      </c>
      <c r="B636" s="30" t="s">
        <v>514</v>
      </c>
      <c r="C636" s="30" t="str">
        <f>CONCATENATE(VOL_VOLUMEN_SUMINISTROS[[#This Row],[Proyecto]],VOL_VOLUMEN_SUMINISTROS[[#This Row],[J]],VOL_VOLUMEN_SUMINISTROS[[#This Row],[FIN DE SEMANA]])</f>
        <v>1052-1TNO</v>
      </c>
      <c r="D636" s="365" t="str">
        <f>CONCATENATE(VOL_VOLUMEN_SUMINISTROS[[#This Row],[Grupo]],VOL_VOLUMEN_SUMINISTROS[[#This Row],[Proyecto]],VOL_VOLUMEN_SUMINISTROS[[#This Row],[FIN DE SEMANA]])</f>
        <v>71052-1NO</v>
      </c>
      <c r="E636" s="30" t="s">
        <v>147</v>
      </c>
      <c r="F636" s="30" t="s">
        <v>148</v>
      </c>
      <c r="G636" s="365">
        <v>7</v>
      </c>
      <c r="H636" s="30">
        <v>16</v>
      </c>
      <c r="I636" s="9" t="s">
        <v>435</v>
      </c>
      <c r="J636" s="9" t="s">
        <v>526</v>
      </c>
      <c r="K636" s="30">
        <v>1</v>
      </c>
      <c r="L636" s="9" t="s">
        <v>527</v>
      </c>
      <c r="M636" s="30" t="s">
        <v>84</v>
      </c>
      <c r="N636" s="30" t="s">
        <v>155</v>
      </c>
      <c r="O636" s="24">
        <v>0</v>
      </c>
      <c r="P636" s="24">
        <v>111</v>
      </c>
      <c r="Q636" s="24">
        <v>37</v>
      </c>
      <c r="R636" s="24">
        <v>0</v>
      </c>
      <c r="S636" s="24">
        <v>0</v>
      </c>
      <c r="T636" s="24">
        <v>148</v>
      </c>
    </row>
    <row r="637" spans="1:20">
      <c r="A637" s="9" t="s">
        <v>433</v>
      </c>
      <c r="B637" s="30" t="s">
        <v>514</v>
      </c>
      <c r="C637" s="30" t="str">
        <f>CONCATENATE(VOL_VOLUMEN_SUMINISTROS[[#This Row],[Proyecto]],VOL_VOLUMEN_SUMINISTROS[[#This Row],[J]],VOL_VOLUMEN_SUMINISTROS[[#This Row],[FIN DE SEMANA]])</f>
        <v>1052-1MNO</v>
      </c>
      <c r="D637" s="365" t="str">
        <f>CONCATENATE(VOL_VOLUMEN_SUMINISTROS[[#This Row],[Grupo]],VOL_VOLUMEN_SUMINISTROS[[#This Row],[Proyecto]],VOL_VOLUMEN_SUMINISTROS[[#This Row],[FIN DE SEMANA]])</f>
        <v>71052-1NO</v>
      </c>
      <c r="E637" s="30" t="s">
        <v>147</v>
      </c>
      <c r="F637" s="30" t="s">
        <v>148</v>
      </c>
      <c r="G637" s="365">
        <v>7</v>
      </c>
      <c r="H637" s="30">
        <v>16</v>
      </c>
      <c r="I637" s="9" t="s">
        <v>435</v>
      </c>
      <c r="J637" s="9" t="s">
        <v>526</v>
      </c>
      <c r="K637" s="30">
        <v>2</v>
      </c>
      <c r="L637" s="9" t="s">
        <v>528</v>
      </c>
      <c r="M637" s="30" t="s">
        <v>84</v>
      </c>
      <c r="N637" s="30" t="s">
        <v>152</v>
      </c>
      <c r="O637" s="24">
        <v>102</v>
      </c>
      <c r="P637" s="24">
        <v>67</v>
      </c>
      <c r="Q637" s="24">
        <v>14</v>
      </c>
      <c r="R637" s="24">
        <v>0</v>
      </c>
      <c r="S637" s="24">
        <v>0</v>
      </c>
      <c r="T637" s="24">
        <v>183</v>
      </c>
    </row>
    <row r="638" spans="1:20">
      <c r="A638" s="9" t="s">
        <v>433</v>
      </c>
      <c r="B638" s="30" t="s">
        <v>514</v>
      </c>
      <c r="C638" s="30" t="str">
        <f>CONCATENATE(VOL_VOLUMEN_SUMINISTROS[[#This Row],[Proyecto]],VOL_VOLUMEN_SUMINISTROS[[#This Row],[J]],VOL_VOLUMEN_SUMINISTROS[[#This Row],[FIN DE SEMANA]])</f>
        <v>1052-1TNO</v>
      </c>
      <c r="D638" s="365" t="str">
        <f>CONCATENATE(VOL_VOLUMEN_SUMINISTROS[[#This Row],[Grupo]],VOL_VOLUMEN_SUMINISTROS[[#This Row],[Proyecto]],VOL_VOLUMEN_SUMINISTROS[[#This Row],[FIN DE SEMANA]])</f>
        <v>71052-1NO</v>
      </c>
      <c r="E638" s="30" t="s">
        <v>147</v>
      </c>
      <c r="F638" s="30" t="s">
        <v>148</v>
      </c>
      <c r="G638" s="365">
        <v>7</v>
      </c>
      <c r="H638" s="30">
        <v>16</v>
      </c>
      <c r="I638" s="9" t="s">
        <v>435</v>
      </c>
      <c r="J638" s="9" t="s">
        <v>526</v>
      </c>
      <c r="K638" s="30">
        <v>2</v>
      </c>
      <c r="L638" s="9" t="s">
        <v>528</v>
      </c>
      <c r="M638" s="30" t="s">
        <v>84</v>
      </c>
      <c r="N638" s="30" t="s">
        <v>155</v>
      </c>
      <c r="O638" s="24">
        <v>52</v>
      </c>
      <c r="P638" s="24">
        <v>69</v>
      </c>
      <c r="Q638" s="24">
        <v>18</v>
      </c>
      <c r="R638" s="24">
        <v>0</v>
      </c>
      <c r="S638" s="24">
        <v>0</v>
      </c>
      <c r="T638" s="24">
        <v>139</v>
      </c>
    </row>
    <row r="639" spans="1:20">
      <c r="A639" s="9" t="s">
        <v>433</v>
      </c>
      <c r="B639" s="30" t="s">
        <v>514</v>
      </c>
      <c r="C639" s="30" t="str">
        <f>CONCATENATE(VOL_VOLUMEN_SUMINISTROS[[#This Row],[Proyecto]],VOL_VOLUMEN_SUMINISTROS[[#This Row],[J]],VOL_VOLUMEN_SUMINISTROS[[#This Row],[FIN DE SEMANA]])</f>
        <v>1052-1MNO</v>
      </c>
      <c r="D639" s="365" t="str">
        <f>CONCATENATE(VOL_VOLUMEN_SUMINISTROS[[#This Row],[Grupo]],VOL_VOLUMEN_SUMINISTROS[[#This Row],[Proyecto]],VOL_VOLUMEN_SUMINISTROS[[#This Row],[FIN DE SEMANA]])</f>
        <v>71052-1NO</v>
      </c>
      <c r="E639" s="30" t="s">
        <v>147</v>
      </c>
      <c r="F639" s="30" t="s">
        <v>148</v>
      </c>
      <c r="G639" s="365">
        <v>7</v>
      </c>
      <c r="H639" s="30">
        <v>16</v>
      </c>
      <c r="I639" s="9" t="s">
        <v>435</v>
      </c>
      <c r="J639" s="9" t="s">
        <v>529</v>
      </c>
      <c r="K639" s="30">
        <v>1</v>
      </c>
      <c r="L639" s="9" t="s">
        <v>530</v>
      </c>
      <c r="M639" s="30" t="s">
        <v>84</v>
      </c>
      <c r="N639" s="30" t="s">
        <v>152</v>
      </c>
      <c r="O639" s="24">
        <v>0</v>
      </c>
      <c r="P639" s="24">
        <v>222</v>
      </c>
      <c r="Q639" s="24">
        <v>535</v>
      </c>
      <c r="R639" s="24">
        <v>0</v>
      </c>
      <c r="S639" s="24">
        <v>0</v>
      </c>
      <c r="T639" s="24">
        <v>757</v>
      </c>
    </row>
    <row r="640" spans="1:20">
      <c r="A640" s="9" t="s">
        <v>433</v>
      </c>
      <c r="B640" s="30" t="s">
        <v>514</v>
      </c>
      <c r="C640" s="30" t="str">
        <f>CONCATENATE(VOL_VOLUMEN_SUMINISTROS[[#This Row],[Proyecto]],VOL_VOLUMEN_SUMINISTROS[[#This Row],[J]],VOL_VOLUMEN_SUMINISTROS[[#This Row],[FIN DE SEMANA]])</f>
        <v>1052-1TNO</v>
      </c>
      <c r="D640" s="365" t="str">
        <f>CONCATENATE(VOL_VOLUMEN_SUMINISTROS[[#This Row],[Grupo]],VOL_VOLUMEN_SUMINISTROS[[#This Row],[Proyecto]],VOL_VOLUMEN_SUMINISTROS[[#This Row],[FIN DE SEMANA]])</f>
        <v>71052-1NO</v>
      </c>
      <c r="E640" s="30" t="s">
        <v>147</v>
      </c>
      <c r="F640" s="30" t="s">
        <v>148</v>
      </c>
      <c r="G640" s="365">
        <v>7</v>
      </c>
      <c r="H640" s="30">
        <v>16</v>
      </c>
      <c r="I640" s="9" t="s">
        <v>435</v>
      </c>
      <c r="J640" s="9" t="s">
        <v>529</v>
      </c>
      <c r="K640" s="30">
        <v>1</v>
      </c>
      <c r="L640" s="9" t="s">
        <v>530</v>
      </c>
      <c r="M640" s="30" t="s">
        <v>84</v>
      </c>
      <c r="N640" s="30" t="s">
        <v>155</v>
      </c>
      <c r="O640" s="24">
        <v>0</v>
      </c>
      <c r="P640" s="24">
        <v>171</v>
      </c>
      <c r="Q640" s="24">
        <v>414</v>
      </c>
      <c r="R640" s="24">
        <v>0</v>
      </c>
      <c r="S640" s="24">
        <v>0</v>
      </c>
      <c r="T640" s="24">
        <v>585</v>
      </c>
    </row>
    <row r="641" spans="1:20">
      <c r="A641" s="9" t="s">
        <v>433</v>
      </c>
      <c r="B641" s="30" t="s">
        <v>514</v>
      </c>
      <c r="C641" s="30" t="str">
        <f>CONCATENATE(VOL_VOLUMEN_SUMINISTROS[[#This Row],[Proyecto]],VOL_VOLUMEN_SUMINISTROS[[#This Row],[J]],VOL_VOLUMEN_SUMINISTROS[[#This Row],[FIN DE SEMANA]])</f>
        <v>1052-1MNO</v>
      </c>
      <c r="D641" s="365" t="str">
        <f>CONCATENATE(VOL_VOLUMEN_SUMINISTROS[[#This Row],[Grupo]],VOL_VOLUMEN_SUMINISTROS[[#This Row],[Proyecto]],VOL_VOLUMEN_SUMINISTROS[[#This Row],[FIN DE SEMANA]])</f>
        <v>71052-1NO</v>
      </c>
      <c r="E641" s="30" t="s">
        <v>147</v>
      </c>
      <c r="F641" s="30" t="s">
        <v>148</v>
      </c>
      <c r="G641" s="365">
        <v>7</v>
      </c>
      <c r="H641" s="30">
        <v>16</v>
      </c>
      <c r="I641" s="9" t="s">
        <v>435</v>
      </c>
      <c r="J641" s="9" t="s">
        <v>529</v>
      </c>
      <c r="K641" s="30">
        <v>3</v>
      </c>
      <c r="L641" s="9" t="s">
        <v>531</v>
      </c>
      <c r="M641" s="30" t="s">
        <v>84</v>
      </c>
      <c r="N641" s="30" t="s">
        <v>152</v>
      </c>
      <c r="O641" s="24">
        <v>98</v>
      </c>
      <c r="P641" s="24">
        <v>91</v>
      </c>
      <c r="Q641" s="24">
        <v>18</v>
      </c>
      <c r="R641" s="24">
        <v>0</v>
      </c>
      <c r="S641" s="24">
        <v>0</v>
      </c>
      <c r="T641" s="24">
        <v>207</v>
      </c>
    </row>
    <row r="642" spans="1:20">
      <c r="A642" s="9" t="s">
        <v>433</v>
      </c>
      <c r="B642" s="30" t="s">
        <v>514</v>
      </c>
      <c r="C642" s="30" t="str">
        <f>CONCATENATE(VOL_VOLUMEN_SUMINISTROS[[#This Row],[Proyecto]],VOL_VOLUMEN_SUMINISTROS[[#This Row],[J]],VOL_VOLUMEN_SUMINISTROS[[#This Row],[FIN DE SEMANA]])</f>
        <v>1052-1TNO</v>
      </c>
      <c r="D642" s="365" t="str">
        <f>CONCATENATE(VOL_VOLUMEN_SUMINISTROS[[#This Row],[Grupo]],VOL_VOLUMEN_SUMINISTROS[[#This Row],[Proyecto]],VOL_VOLUMEN_SUMINISTROS[[#This Row],[FIN DE SEMANA]])</f>
        <v>71052-1NO</v>
      </c>
      <c r="E642" s="30" t="s">
        <v>147</v>
      </c>
      <c r="F642" s="30" t="s">
        <v>148</v>
      </c>
      <c r="G642" s="365">
        <v>7</v>
      </c>
      <c r="H642" s="30">
        <v>16</v>
      </c>
      <c r="I642" s="9" t="s">
        <v>435</v>
      </c>
      <c r="J642" s="9" t="s">
        <v>529</v>
      </c>
      <c r="K642" s="30">
        <v>3</v>
      </c>
      <c r="L642" s="9" t="s">
        <v>531</v>
      </c>
      <c r="M642" s="30" t="s">
        <v>84</v>
      </c>
      <c r="N642" s="30" t="s">
        <v>155</v>
      </c>
      <c r="O642" s="24">
        <v>76</v>
      </c>
      <c r="P642" s="24">
        <v>90</v>
      </c>
      <c r="Q642" s="24">
        <v>20</v>
      </c>
      <c r="R642" s="24">
        <v>0</v>
      </c>
      <c r="S642" s="24">
        <v>0</v>
      </c>
      <c r="T642" s="24">
        <v>186</v>
      </c>
    </row>
    <row r="643" spans="1:20">
      <c r="A643" s="9" t="s">
        <v>433</v>
      </c>
      <c r="B643" s="30" t="s">
        <v>514</v>
      </c>
      <c r="C643" s="30" t="str">
        <f>CONCATENATE(VOL_VOLUMEN_SUMINISTROS[[#This Row],[Proyecto]],VOL_VOLUMEN_SUMINISTROS[[#This Row],[J]],VOL_VOLUMEN_SUMINISTROS[[#This Row],[FIN DE SEMANA]])</f>
        <v>1052-1MNO</v>
      </c>
      <c r="D643" s="365" t="str">
        <f>CONCATENATE(VOL_VOLUMEN_SUMINISTROS[[#This Row],[Grupo]],VOL_VOLUMEN_SUMINISTROS[[#This Row],[Proyecto]],VOL_VOLUMEN_SUMINISTROS[[#This Row],[FIN DE SEMANA]])</f>
        <v>71052-1NO</v>
      </c>
      <c r="E643" s="30" t="s">
        <v>147</v>
      </c>
      <c r="F643" s="30" t="s">
        <v>148</v>
      </c>
      <c r="G643" s="365">
        <v>7</v>
      </c>
      <c r="H643" s="30">
        <v>16</v>
      </c>
      <c r="I643" s="9" t="s">
        <v>435</v>
      </c>
      <c r="J643" s="9" t="s">
        <v>532</v>
      </c>
      <c r="K643" s="30">
        <v>1</v>
      </c>
      <c r="L643" s="9" t="s">
        <v>533</v>
      </c>
      <c r="M643" s="30" t="s">
        <v>84</v>
      </c>
      <c r="N643" s="30" t="s">
        <v>152</v>
      </c>
      <c r="O643" s="24">
        <v>154</v>
      </c>
      <c r="P643" s="24">
        <v>89</v>
      </c>
      <c r="Q643" s="24">
        <v>16</v>
      </c>
      <c r="R643" s="24">
        <v>0</v>
      </c>
      <c r="S643" s="24">
        <v>0</v>
      </c>
      <c r="T643" s="24">
        <v>259</v>
      </c>
    </row>
    <row r="644" spans="1:20">
      <c r="A644" s="9" t="s">
        <v>433</v>
      </c>
      <c r="B644" s="30" t="s">
        <v>514</v>
      </c>
      <c r="C644" s="30" t="str">
        <f>CONCATENATE(VOL_VOLUMEN_SUMINISTROS[[#This Row],[Proyecto]],VOL_VOLUMEN_SUMINISTROS[[#This Row],[J]],VOL_VOLUMEN_SUMINISTROS[[#This Row],[FIN DE SEMANA]])</f>
        <v>1052-1TNO</v>
      </c>
      <c r="D644" s="365" t="str">
        <f>CONCATENATE(VOL_VOLUMEN_SUMINISTROS[[#This Row],[Grupo]],VOL_VOLUMEN_SUMINISTROS[[#This Row],[Proyecto]],VOL_VOLUMEN_SUMINISTROS[[#This Row],[FIN DE SEMANA]])</f>
        <v>71052-1NO</v>
      </c>
      <c r="E644" s="30" t="s">
        <v>147</v>
      </c>
      <c r="F644" s="30" t="s">
        <v>148</v>
      </c>
      <c r="G644" s="365">
        <v>7</v>
      </c>
      <c r="H644" s="30">
        <v>16</v>
      </c>
      <c r="I644" s="9" t="s">
        <v>435</v>
      </c>
      <c r="J644" s="9" t="s">
        <v>532</v>
      </c>
      <c r="K644" s="30">
        <v>1</v>
      </c>
      <c r="L644" s="9" t="s">
        <v>533</v>
      </c>
      <c r="M644" s="30" t="s">
        <v>84</v>
      </c>
      <c r="N644" s="30" t="s">
        <v>155</v>
      </c>
      <c r="O644" s="24">
        <v>0</v>
      </c>
      <c r="P644" s="24">
        <v>60</v>
      </c>
      <c r="Q644" s="24">
        <v>167</v>
      </c>
      <c r="R644" s="24">
        <v>0</v>
      </c>
      <c r="S644" s="24">
        <v>0</v>
      </c>
      <c r="T644" s="24">
        <v>227</v>
      </c>
    </row>
    <row r="645" spans="1:20">
      <c r="A645" s="9" t="s">
        <v>433</v>
      </c>
      <c r="B645" s="30" t="s">
        <v>514</v>
      </c>
      <c r="C645" s="30" t="str">
        <f>CONCATENATE(VOL_VOLUMEN_SUMINISTROS[[#This Row],[Proyecto]],VOL_VOLUMEN_SUMINISTROS[[#This Row],[J]],VOL_VOLUMEN_SUMINISTROS[[#This Row],[FIN DE SEMANA]])</f>
        <v>1052-1MNO</v>
      </c>
      <c r="D645" s="365" t="str">
        <f>CONCATENATE(VOL_VOLUMEN_SUMINISTROS[[#This Row],[Grupo]],VOL_VOLUMEN_SUMINISTROS[[#This Row],[Proyecto]],VOL_VOLUMEN_SUMINISTROS[[#This Row],[FIN DE SEMANA]])</f>
        <v>71052-1NO</v>
      </c>
      <c r="E645" s="30" t="s">
        <v>147</v>
      </c>
      <c r="F645" s="30" t="s">
        <v>148</v>
      </c>
      <c r="G645" s="365">
        <v>7</v>
      </c>
      <c r="H645" s="30">
        <v>16</v>
      </c>
      <c r="I645" s="9" t="s">
        <v>435</v>
      </c>
      <c r="J645" s="9" t="s">
        <v>534</v>
      </c>
      <c r="K645" s="30">
        <v>1</v>
      </c>
      <c r="L645" s="9" t="s">
        <v>535</v>
      </c>
      <c r="M645" s="30" t="s">
        <v>84</v>
      </c>
      <c r="N645" s="30" t="s">
        <v>152</v>
      </c>
      <c r="O645" s="24">
        <v>0</v>
      </c>
      <c r="P645" s="24">
        <v>0</v>
      </c>
      <c r="Q645" s="24">
        <v>275</v>
      </c>
      <c r="R645" s="24">
        <v>0</v>
      </c>
      <c r="S645" s="24">
        <v>0</v>
      </c>
      <c r="T645" s="24">
        <v>275</v>
      </c>
    </row>
    <row r="646" spans="1:20">
      <c r="A646" s="9" t="s">
        <v>433</v>
      </c>
      <c r="B646" s="30" t="s">
        <v>514</v>
      </c>
      <c r="C646" s="30" t="str">
        <f>CONCATENATE(VOL_VOLUMEN_SUMINISTROS[[#This Row],[Proyecto]],VOL_VOLUMEN_SUMINISTROS[[#This Row],[J]],VOL_VOLUMEN_SUMINISTROS[[#This Row],[FIN DE SEMANA]])</f>
        <v>1052-1TNO</v>
      </c>
      <c r="D646" s="365" t="str">
        <f>CONCATENATE(VOL_VOLUMEN_SUMINISTROS[[#This Row],[Grupo]],VOL_VOLUMEN_SUMINISTROS[[#This Row],[Proyecto]],VOL_VOLUMEN_SUMINISTROS[[#This Row],[FIN DE SEMANA]])</f>
        <v>71052-1NO</v>
      </c>
      <c r="E646" s="30" t="s">
        <v>147</v>
      </c>
      <c r="F646" s="30" t="s">
        <v>148</v>
      </c>
      <c r="G646" s="365">
        <v>7</v>
      </c>
      <c r="H646" s="30">
        <v>16</v>
      </c>
      <c r="I646" s="9" t="s">
        <v>435</v>
      </c>
      <c r="J646" s="9" t="s">
        <v>534</v>
      </c>
      <c r="K646" s="30">
        <v>1</v>
      </c>
      <c r="L646" s="9" t="s">
        <v>535</v>
      </c>
      <c r="M646" s="30" t="s">
        <v>84</v>
      </c>
      <c r="N646" s="30" t="s">
        <v>155</v>
      </c>
      <c r="O646" s="24">
        <v>0</v>
      </c>
      <c r="P646" s="24">
        <v>123</v>
      </c>
      <c r="Q646" s="24">
        <v>130</v>
      </c>
      <c r="R646" s="24">
        <v>0</v>
      </c>
      <c r="S646" s="24">
        <v>0</v>
      </c>
      <c r="T646" s="24">
        <v>253</v>
      </c>
    </row>
    <row r="647" spans="1:20">
      <c r="A647" s="9" t="s">
        <v>433</v>
      </c>
      <c r="B647" s="30" t="s">
        <v>514</v>
      </c>
      <c r="C647" s="30" t="str">
        <f>CONCATENATE(VOL_VOLUMEN_SUMINISTROS[[#This Row],[Proyecto]],VOL_VOLUMEN_SUMINISTROS[[#This Row],[J]],VOL_VOLUMEN_SUMINISTROS[[#This Row],[FIN DE SEMANA]])</f>
        <v>1052-1MNO</v>
      </c>
      <c r="D647" s="365" t="str">
        <f>CONCATENATE(VOL_VOLUMEN_SUMINISTROS[[#This Row],[Grupo]],VOL_VOLUMEN_SUMINISTROS[[#This Row],[Proyecto]],VOL_VOLUMEN_SUMINISTROS[[#This Row],[FIN DE SEMANA]])</f>
        <v>71052-1NO</v>
      </c>
      <c r="E647" s="30" t="s">
        <v>147</v>
      </c>
      <c r="F647" s="30" t="s">
        <v>148</v>
      </c>
      <c r="G647" s="365">
        <v>7</v>
      </c>
      <c r="H647" s="30">
        <v>16</v>
      </c>
      <c r="I647" s="9" t="s">
        <v>435</v>
      </c>
      <c r="J647" s="9" t="s">
        <v>534</v>
      </c>
      <c r="K647" s="30">
        <v>2</v>
      </c>
      <c r="L647" s="9" t="s">
        <v>536</v>
      </c>
      <c r="M647" s="30" t="s">
        <v>84</v>
      </c>
      <c r="N647" s="30" t="s">
        <v>152</v>
      </c>
      <c r="O647" s="24">
        <v>100</v>
      </c>
      <c r="P647" s="24">
        <v>164</v>
      </c>
      <c r="Q647" s="24">
        <v>38</v>
      </c>
      <c r="R647" s="24">
        <v>0</v>
      </c>
      <c r="S647" s="24">
        <v>0</v>
      </c>
      <c r="T647" s="24">
        <v>302</v>
      </c>
    </row>
    <row r="648" spans="1:20">
      <c r="A648" s="9" t="s">
        <v>433</v>
      </c>
      <c r="B648" s="30" t="s">
        <v>514</v>
      </c>
      <c r="C648" s="30" t="str">
        <f>CONCATENATE(VOL_VOLUMEN_SUMINISTROS[[#This Row],[Proyecto]],VOL_VOLUMEN_SUMINISTROS[[#This Row],[J]],VOL_VOLUMEN_SUMINISTROS[[#This Row],[FIN DE SEMANA]])</f>
        <v>1052-1TNO</v>
      </c>
      <c r="D648" s="365" t="str">
        <f>CONCATENATE(VOL_VOLUMEN_SUMINISTROS[[#This Row],[Grupo]],VOL_VOLUMEN_SUMINISTROS[[#This Row],[Proyecto]],VOL_VOLUMEN_SUMINISTROS[[#This Row],[FIN DE SEMANA]])</f>
        <v>71052-1NO</v>
      </c>
      <c r="E648" s="30" t="s">
        <v>147</v>
      </c>
      <c r="F648" s="30" t="s">
        <v>148</v>
      </c>
      <c r="G648" s="365">
        <v>7</v>
      </c>
      <c r="H648" s="30">
        <v>16</v>
      </c>
      <c r="I648" s="9" t="s">
        <v>435</v>
      </c>
      <c r="J648" s="9" t="s">
        <v>534</v>
      </c>
      <c r="K648" s="30">
        <v>2</v>
      </c>
      <c r="L648" s="9" t="s">
        <v>536</v>
      </c>
      <c r="M648" s="30" t="s">
        <v>84</v>
      </c>
      <c r="N648" s="30" t="s">
        <v>155</v>
      </c>
      <c r="O648" s="24">
        <v>66</v>
      </c>
      <c r="P648" s="24">
        <v>105</v>
      </c>
      <c r="Q648" s="24">
        <v>24</v>
      </c>
      <c r="R648" s="24">
        <v>0</v>
      </c>
      <c r="S648" s="24">
        <v>0</v>
      </c>
      <c r="T648" s="24">
        <v>195</v>
      </c>
    </row>
    <row r="649" spans="1:20">
      <c r="A649" s="9" t="s">
        <v>433</v>
      </c>
      <c r="B649" s="30" t="s">
        <v>514</v>
      </c>
      <c r="C649" s="30" t="str">
        <f>CONCATENATE(VOL_VOLUMEN_SUMINISTROS[[#This Row],[Proyecto]],VOL_VOLUMEN_SUMINISTROS[[#This Row],[J]],VOL_VOLUMEN_SUMINISTROS[[#This Row],[FIN DE SEMANA]])</f>
        <v>1052-1MNO</v>
      </c>
      <c r="D649" s="365" t="str">
        <f>CONCATENATE(VOL_VOLUMEN_SUMINISTROS[[#This Row],[Grupo]],VOL_VOLUMEN_SUMINISTROS[[#This Row],[Proyecto]],VOL_VOLUMEN_SUMINISTROS[[#This Row],[FIN DE SEMANA]])</f>
        <v>71052-1NO</v>
      </c>
      <c r="E649" s="30" t="s">
        <v>147</v>
      </c>
      <c r="F649" s="30" t="s">
        <v>148</v>
      </c>
      <c r="G649" s="365">
        <v>7</v>
      </c>
      <c r="H649" s="30">
        <v>16</v>
      </c>
      <c r="I649" s="9" t="s">
        <v>435</v>
      </c>
      <c r="J649" s="9" t="s">
        <v>534</v>
      </c>
      <c r="K649" s="30">
        <v>3</v>
      </c>
      <c r="L649" s="9" t="s">
        <v>537</v>
      </c>
      <c r="M649" s="30" t="s">
        <v>84</v>
      </c>
      <c r="N649" s="30" t="s">
        <v>152</v>
      </c>
      <c r="O649" s="24">
        <v>128</v>
      </c>
      <c r="P649" s="24">
        <v>28</v>
      </c>
      <c r="Q649" s="24">
        <v>0</v>
      </c>
      <c r="R649" s="24">
        <v>0</v>
      </c>
      <c r="S649" s="24">
        <v>0</v>
      </c>
      <c r="T649" s="24">
        <v>156</v>
      </c>
    </row>
    <row r="650" spans="1:20">
      <c r="A650" s="9" t="s">
        <v>433</v>
      </c>
      <c r="B650" s="30" t="s">
        <v>514</v>
      </c>
      <c r="C650" s="30" t="str">
        <f>CONCATENATE(VOL_VOLUMEN_SUMINISTROS[[#This Row],[Proyecto]],VOL_VOLUMEN_SUMINISTROS[[#This Row],[J]],VOL_VOLUMEN_SUMINISTROS[[#This Row],[FIN DE SEMANA]])</f>
        <v>1052-1TNO</v>
      </c>
      <c r="D650" s="365" t="str">
        <f>CONCATENATE(VOL_VOLUMEN_SUMINISTROS[[#This Row],[Grupo]],VOL_VOLUMEN_SUMINISTROS[[#This Row],[Proyecto]],VOL_VOLUMEN_SUMINISTROS[[#This Row],[FIN DE SEMANA]])</f>
        <v>71052-1NO</v>
      </c>
      <c r="E650" s="30" t="s">
        <v>147</v>
      </c>
      <c r="F650" s="30" t="s">
        <v>148</v>
      </c>
      <c r="G650" s="365">
        <v>7</v>
      </c>
      <c r="H650" s="30">
        <v>16</v>
      </c>
      <c r="I650" s="9" t="s">
        <v>435</v>
      </c>
      <c r="J650" s="9" t="s">
        <v>534</v>
      </c>
      <c r="K650" s="30">
        <v>3</v>
      </c>
      <c r="L650" s="9" t="s">
        <v>537</v>
      </c>
      <c r="M650" s="30" t="s">
        <v>84</v>
      </c>
      <c r="N650" s="30" t="s">
        <v>155</v>
      </c>
      <c r="O650" s="24">
        <v>106</v>
      </c>
      <c r="P650" s="24">
        <v>18</v>
      </c>
      <c r="Q650" s="24">
        <v>0</v>
      </c>
      <c r="R650" s="24">
        <v>0</v>
      </c>
      <c r="S650" s="24">
        <v>0</v>
      </c>
      <c r="T650" s="24">
        <v>124</v>
      </c>
    </row>
    <row r="651" spans="1:20">
      <c r="A651" s="9" t="s">
        <v>433</v>
      </c>
      <c r="B651" s="30" t="s">
        <v>514</v>
      </c>
      <c r="C651" s="30" t="str">
        <f>CONCATENATE(VOL_VOLUMEN_SUMINISTROS[[#This Row],[Proyecto]],VOL_VOLUMEN_SUMINISTROS[[#This Row],[J]],VOL_VOLUMEN_SUMINISTROS[[#This Row],[FIN DE SEMANA]])</f>
        <v>1052-1MNO</v>
      </c>
      <c r="D651" s="365" t="str">
        <f>CONCATENATE(VOL_VOLUMEN_SUMINISTROS[[#This Row],[Grupo]],VOL_VOLUMEN_SUMINISTROS[[#This Row],[Proyecto]],VOL_VOLUMEN_SUMINISTROS[[#This Row],[FIN DE SEMANA]])</f>
        <v>71052-1NO</v>
      </c>
      <c r="E651" s="30" t="s">
        <v>147</v>
      </c>
      <c r="F651" s="30" t="s">
        <v>148</v>
      </c>
      <c r="G651" s="365">
        <v>7</v>
      </c>
      <c r="H651" s="30">
        <v>16</v>
      </c>
      <c r="I651" s="9" t="s">
        <v>435</v>
      </c>
      <c r="J651" s="9" t="s">
        <v>538</v>
      </c>
      <c r="K651" s="30">
        <v>1</v>
      </c>
      <c r="L651" s="9" t="s">
        <v>539</v>
      </c>
      <c r="M651" s="30" t="s">
        <v>84</v>
      </c>
      <c r="N651" s="30" t="s">
        <v>152</v>
      </c>
      <c r="O651" s="24">
        <v>0</v>
      </c>
      <c r="P651" s="24">
        <v>219</v>
      </c>
      <c r="Q651" s="24">
        <v>389</v>
      </c>
      <c r="R651" s="24">
        <v>0</v>
      </c>
      <c r="S651" s="24">
        <v>0</v>
      </c>
      <c r="T651" s="24">
        <v>608</v>
      </c>
    </row>
    <row r="652" spans="1:20">
      <c r="A652" s="9" t="s">
        <v>433</v>
      </c>
      <c r="B652" s="30" t="s">
        <v>514</v>
      </c>
      <c r="C652" s="30" t="str">
        <f>CONCATENATE(VOL_VOLUMEN_SUMINISTROS[[#This Row],[Proyecto]],VOL_VOLUMEN_SUMINISTROS[[#This Row],[J]],VOL_VOLUMEN_SUMINISTROS[[#This Row],[FIN DE SEMANA]])</f>
        <v>1052-1TNO</v>
      </c>
      <c r="D652" s="365" t="str">
        <f>CONCATENATE(VOL_VOLUMEN_SUMINISTROS[[#This Row],[Grupo]],VOL_VOLUMEN_SUMINISTROS[[#This Row],[Proyecto]],VOL_VOLUMEN_SUMINISTROS[[#This Row],[FIN DE SEMANA]])</f>
        <v>71052-1NO</v>
      </c>
      <c r="E652" s="30" t="s">
        <v>147</v>
      </c>
      <c r="F652" s="30" t="s">
        <v>148</v>
      </c>
      <c r="G652" s="365">
        <v>7</v>
      </c>
      <c r="H652" s="30">
        <v>16</v>
      </c>
      <c r="I652" s="9" t="s">
        <v>435</v>
      </c>
      <c r="J652" s="9" t="s">
        <v>538</v>
      </c>
      <c r="K652" s="30">
        <v>1</v>
      </c>
      <c r="L652" s="9" t="s">
        <v>539</v>
      </c>
      <c r="M652" s="30" t="s">
        <v>84</v>
      </c>
      <c r="N652" s="30" t="s">
        <v>155</v>
      </c>
      <c r="O652" s="24">
        <v>24</v>
      </c>
      <c r="P652" s="24">
        <v>63</v>
      </c>
      <c r="Q652" s="24">
        <v>17</v>
      </c>
      <c r="R652" s="24">
        <v>0</v>
      </c>
      <c r="S652" s="24">
        <v>0</v>
      </c>
      <c r="T652" s="24">
        <v>104</v>
      </c>
    </row>
    <row r="653" spans="1:20">
      <c r="A653" s="9" t="s">
        <v>433</v>
      </c>
      <c r="B653" s="30" t="s">
        <v>514</v>
      </c>
      <c r="C653" s="30" t="str">
        <f>CONCATENATE(VOL_VOLUMEN_SUMINISTROS[[#This Row],[Proyecto]],VOL_VOLUMEN_SUMINISTROS[[#This Row],[J]],VOL_VOLUMEN_SUMINISTROS[[#This Row],[FIN DE SEMANA]])</f>
        <v>1052-1MNO</v>
      </c>
      <c r="D653" s="365" t="str">
        <f>CONCATENATE(VOL_VOLUMEN_SUMINISTROS[[#This Row],[Grupo]],VOL_VOLUMEN_SUMINISTROS[[#This Row],[Proyecto]],VOL_VOLUMEN_SUMINISTROS[[#This Row],[FIN DE SEMANA]])</f>
        <v>71052-1NO</v>
      </c>
      <c r="E653" s="30" t="s">
        <v>147</v>
      </c>
      <c r="F653" s="30" t="s">
        <v>148</v>
      </c>
      <c r="G653" s="365">
        <v>7</v>
      </c>
      <c r="H653" s="30">
        <v>16</v>
      </c>
      <c r="I653" s="9" t="s">
        <v>435</v>
      </c>
      <c r="J653" s="9" t="s">
        <v>538</v>
      </c>
      <c r="K653" s="30">
        <v>2</v>
      </c>
      <c r="L653" s="9" t="s">
        <v>540</v>
      </c>
      <c r="M653" s="30" t="s">
        <v>84</v>
      </c>
      <c r="N653" s="30" t="s">
        <v>152</v>
      </c>
      <c r="O653" s="24">
        <v>137</v>
      </c>
      <c r="P653" s="24">
        <v>90</v>
      </c>
      <c r="Q653" s="24">
        <v>15</v>
      </c>
      <c r="R653" s="24">
        <v>0</v>
      </c>
      <c r="S653" s="24">
        <v>0</v>
      </c>
      <c r="T653" s="24">
        <v>242</v>
      </c>
    </row>
    <row r="654" spans="1:20">
      <c r="A654" s="9" t="s">
        <v>433</v>
      </c>
      <c r="B654" s="30" t="s">
        <v>514</v>
      </c>
      <c r="C654" s="30" t="str">
        <f>CONCATENATE(VOL_VOLUMEN_SUMINISTROS[[#This Row],[Proyecto]],VOL_VOLUMEN_SUMINISTROS[[#This Row],[J]],VOL_VOLUMEN_SUMINISTROS[[#This Row],[FIN DE SEMANA]])</f>
        <v>1052-1TNO</v>
      </c>
      <c r="D654" s="365" t="str">
        <f>CONCATENATE(VOL_VOLUMEN_SUMINISTROS[[#This Row],[Grupo]],VOL_VOLUMEN_SUMINISTROS[[#This Row],[Proyecto]],VOL_VOLUMEN_SUMINISTROS[[#This Row],[FIN DE SEMANA]])</f>
        <v>71052-1NO</v>
      </c>
      <c r="E654" s="30" t="s">
        <v>147</v>
      </c>
      <c r="F654" s="30" t="s">
        <v>148</v>
      </c>
      <c r="G654" s="365">
        <v>7</v>
      </c>
      <c r="H654" s="30">
        <v>16</v>
      </c>
      <c r="I654" s="9" t="s">
        <v>435</v>
      </c>
      <c r="J654" s="9" t="s">
        <v>538</v>
      </c>
      <c r="K654" s="30">
        <v>2</v>
      </c>
      <c r="L654" s="9" t="s">
        <v>540</v>
      </c>
      <c r="M654" s="30" t="s">
        <v>84</v>
      </c>
      <c r="N654" s="30" t="s">
        <v>155</v>
      </c>
      <c r="O654" s="24">
        <v>164</v>
      </c>
      <c r="P654" s="24">
        <v>37</v>
      </c>
      <c r="Q654" s="24">
        <v>0</v>
      </c>
      <c r="R654" s="24">
        <v>0</v>
      </c>
      <c r="S654" s="24">
        <v>0</v>
      </c>
      <c r="T654" s="24">
        <v>201</v>
      </c>
    </row>
    <row r="655" spans="1:20">
      <c r="A655" s="9" t="s">
        <v>433</v>
      </c>
      <c r="B655" s="30" t="s">
        <v>514</v>
      </c>
      <c r="C655" s="30" t="str">
        <f>CONCATENATE(VOL_VOLUMEN_SUMINISTROS[[#This Row],[Proyecto]],VOL_VOLUMEN_SUMINISTROS[[#This Row],[J]],VOL_VOLUMEN_SUMINISTROS[[#This Row],[FIN DE SEMANA]])</f>
        <v>1052-1MNO</v>
      </c>
      <c r="D655" s="365" t="str">
        <f>CONCATENATE(VOL_VOLUMEN_SUMINISTROS[[#This Row],[Grupo]],VOL_VOLUMEN_SUMINISTROS[[#This Row],[Proyecto]],VOL_VOLUMEN_SUMINISTROS[[#This Row],[FIN DE SEMANA]])</f>
        <v>71052-1NO</v>
      </c>
      <c r="E655" s="30" t="s">
        <v>147</v>
      </c>
      <c r="F655" s="30" t="s">
        <v>148</v>
      </c>
      <c r="G655" s="365">
        <v>7</v>
      </c>
      <c r="H655" s="30">
        <v>16</v>
      </c>
      <c r="I655" s="9" t="s">
        <v>435</v>
      </c>
      <c r="J655" s="9" t="s">
        <v>541</v>
      </c>
      <c r="K655" s="30">
        <v>1</v>
      </c>
      <c r="L655" s="9" t="s">
        <v>542</v>
      </c>
      <c r="M655" s="30" t="s">
        <v>84</v>
      </c>
      <c r="N655" s="30" t="s">
        <v>152</v>
      </c>
      <c r="O655" s="24">
        <v>0</v>
      </c>
      <c r="P655" s="24">
        <v>180</v>
      </c>
      <c r="Q655" s="24">
        <v>412</v>
      </c>
      <c r="R655" s="24">
        <v>0</v>
      </c>
      <c r="S655" s="24">
        <v>0</v>
      </c>
      <c r="T655" s="24">
        <v>592</v>
      </c>
    </row>
    <row r="656" spans="1:20">
      <c r="A656" s="9" t="s">
        <v>433</v>
      </c>
      <c r="B656" s="30" t="s">
        <v>514</v>
      </c>
      <c r="C656" s="30" t="str">
        <f>CONCATENATE(VOL_VOLUMEN_SUMINISTROS[[#This Row],[Proyecto]],VOL_VOLUMEN_SUMINISTROS[[#This Row],[J]],VOL_VOLUMEN_SUMINISTROS[[#This Row],[FIN DE SEMANA]])</f>
        <v>1052-1TNO</v>
      </c>
      <c r="D656" s="365" t="str">
        <f>CONCATENATE(VOL_VOLUMEN_SUMINISTROS[[#This Row],[Grupo]],VOL_VOLUMEN_SUMINISTROS[[#This Row],[Proyecto]],VOL_VOLUMEN_SUMINISTROS[[#This Row],[FIN DE SEMANA]])</f>
        <v>71052-1NO</v>
      </c>
      <c r="E656" s="30" t="s">
        <v>147</v>
      </c>
      <c r="F656" s="30" t="s">
        <v>148</v>
      </c>
      <c r="G656" s="365">
        <v>7</v>
      </c>
      <c r="H656" s="30">
        <v>16</v>
      </c>
      <c r="I656" s="9" t="s">
        <v>435</v>
      </c>
      <c r="J656" s="9" t="s">
        <v>541</v>
      </c>
      <c r="K656" s="30">
        <v>1</v>
      </c>
      <c r="L656" s="9" t="s">
        <v>542</v>
      </c>
      <c r="M656" s="30" t="s">
        <v>84</v>
      </c>
      <c r="N656" s="30" t="s">
        <v>155</v>
      </c>
      <c r="O656" s="24">
        <v>0</v>
      </c>
      <c r="P656" s="24">
        <v>168</v>
      </c>
      <c r="Q656" s="24">
        <v>385</v>
      </c>
      <c r="R656" s="24">
        <v>0</v>
      </c>
      <c r="S656" s="24">
        <v>0</v>
      </c>
      <c r="T656" s="24">
        <v>553</v>
      </c>
    </row>
    <row r="657" spans="1:20">
      <c r="A657" s="9" t="s">
        <v>433</v>
      </c>
      <c r="B657" s="30" t="s">
        <v>514</v>
      </c>
      <c r="C657" s="30" t="str">
        <f>CONCATENATE(VOL_VOLUMEN_SUMINISTROS[[#This Row],[Proyecto]],VOL_VOLUMEN_SUMINISTROS[[#This Row],[J]],VOL_VOLUMEN_SUMINISTROS[[#This Row],[FIN DE SEMANA]])</f>
        <v>1052-1MNO</v>
      </c>
      <c r="D657" s="365" t="str">
        <f>CONCATENATE(VOL_VOLUMEN_SUMINISTROS[[#This Row],[Grupo]],VOL_VOLUMEN_SUMINISTROS[[#This Row],[Proyecto]],VOL_VOLUMEN_SUMINISTROS[[#This Row],[FIN DE SEMANA]])</f>
        <v>71052-1NO</v>
      </c>
      <c r="E657" s="30" t="s">
        <v>147</v>
      </c>
      <c r="F657" s="30" t="s">
        <v>148</v>
      </c>
      <c r="G657" s="365">
        <v>7</v>
      </c>
      <c r="H657" s="30">
        <v>16</v>
      </c>
      <c r="I657" s="9" t="s">
        <v>435</v>
      </c>
      <c r="J657" s="9" t="s">
        <v>541</v>
      </c>
      <c r="K657" s="30">
        <v>2</v>
      </c>
      <c r="L657" s="9" t="s">
        <v>543</v>
      </c>
      <c r="M657" s="30" t="s">
        <v>84</v>
      </c>
      <c r="N657" s="30" t="s">
        <v>152</v>
      </c>
      <c r="O657" s="24">
        <v>277</v>
      </c>
      <c r="P657" s="24">
        <v>257</v>
      </c>
      <c r="Q657" s="24">
        <v>52</v>
      </c>
      <c r="R657" s="24">
        <v>0</v>
      </c>
      <c r="S657" s="24">
        <v>0</v>
      </c>
      <c r="T657" s="24">
        <v>586</v>
      </c>
    </row>
    <row r="658" spans="1:20">
      <c r="A658" s="9" t="s">
        <v>433</v>
      </c>
      <c r="B658" s="30" t="s">
        <v>514</v>
      </c>
      <c r="C658" s="30" t="str">
        <f>CONCATENATE(VOL_VOLUMEN_SUMINISTROS[[#This Row],[Proyecto]],VOL_VOLUMEN_SUMINISTROS[[#This Row],[J]],VOL_VOLUMEN_SUMINISTROS[[#This Row],[FIN DE SEMANA]])</f>
        <v>1052-1TNO</v>
      </c>
      <c r="D658" s="365" t="str">
        <f>CONCATENATE(VOL_VOLUMEN_SUMINISTROS[[#This Row],[Grupo]],VOL_VOLUMEN_SUMINISTROS[[#This Row],[Proyecto]],VOL_VOLUMEN_SUMINISTROS[[#This Row],[FIN DE SEMANA]])</f>
        <v>71052-1NO</v>
      </c>
      <c r="E658" s="30" t="s">
        <v>147</v>
      </c>
      <c r="F658" s="30" t="s">
        <v>148</v>
      </c>
      <c r="G658" s="365">
        <v>7</v>
      </c>
      <c r="H658" s="30">
        <v>16</v>
      </c>
      <c r="I658" s="9" t="s">
        <v>435</v>
      </c>
      <c r="J658" s="9" t="s">
        <v>541</v>
      </c>
      <c r="K658" s="30">
        <v>2</v>
      </c>
      <c r="L658" s="9" t="s">
        <v>543</v>
      </c>
      <c r="M658" s="30" t="s">
        <v>84</v>
      </c>
      <c r="N658" s="30" t="s">
        <v>155</v>
      </c>
      <c r="O658" s="24">
        <v>280</v>
      </c>
      <c r="P658" s="24">
        <v>257</v>
      </c>
      <c r="Q658" s="24">
        <v>51</v>
      </c>
      <c r="R658" s="24">
        <v>0</v>
      </c>
      <c r="S658" s="24">
        <v>0</v>
      </c>
      <c r="T658" s="24">
        <v>588</v>
      </c>
    </row>
    <row r="659" spans="1:20">
      <c r="A659" s="9" t="s">
        <v>433</v>
      </c>
      <c r="B659" s="30" t="s">
        <v>514</v>
      </c>
      <c r="C659" s="30" t="str">
        <f>CONCATENATE(VOL_VOLUMEN_SUMINISTROS[[#This Row],[Proyecto]],VOL_VOLUMEN_SUMINISTROS[[#This Row],[J]],VOL_VOLUMEN_SUMINISTROS[[#This Row],[FIN DE SEMANA]])</f>
        <v>1052-1MNO</v>
      </c>
      <c r="D659" s="365" t="str">
        <f>CONCATENATE(VOL_VOLUMEN_SUMINISTROS[[#This Row],[Grupo]],VOL_VOLUMEN_SUMINISTROS[[#This Row],[Proyecto]],VOL_VOLUMEN_SUMINISTROS[[#This Row],[FIN DE SEMANA]])</f>
        <v>71052-1NO</v>
      </c>
      <c r="E659" s="30" t="s">
        <v>147</v>
      </c>
      <c r="F659" s="30" t="s">
        <v>148</v>
      </c>
      <c r="G659" s="365">
        <v>7</v>
      </c>
      <c r="H659" s="30">
        <v>16</v>
      </c>
      <c r="I659" s="9" t="s">
        <v>435</v>
      </c>
      <c r="J659" s="9" t="s">
        <v>544</v>
      </c>
      <c r="K659" s="30">
        <v>1</v>
      </c>
      <c r="L659" s="9" t="s">
        <v>545</v>
      </c>
      <c r="M659" s="30" t="s">
        <v>84</v>
      </c>
      <c r="N659" s="30" t="s">
        <v>152</v>
      </c>
      <c r="O659" s="24">
        <v>300</v>
      </c>
      <c r="P659" s="24">
        <v>429</v>
      </c>
      <c r="Q659" s="24">
        <v>408</v>
      </c>
      <c r="R659" s="24">
        <v>0</v>
      </c>
      <c r="S659" s="24">
        <v>0</v>
      </c>
      <c r="T659" s="24">
        <v>1137</v>
      </c>
    </row>
    <row r="660" spans="1:20">
      <c r="A660" s="9" t="s">
        <v>433</v>
      </c>
      <c r="B660" s="30" t="s">
        <v>514</v>
      </c>
      <c r="C660" s="30" t="str">
        <f>CONCATENATE(VOL_VOLUMEN_SUMINISTROS[[#This Row],[Proyecto]],VOL_VOLUMEN_SUMINISTROS[[#This Row],[J]],VOL_VOLUMEN_SUMINISTROS[[#This Row],[FIN DE SEMANA]])</f>
        <v>1052-1MNO</v>
      </c>
      <c r="D660" s="365" t="str">
        <f>CONCATENATE(VOL_VOLUMEN_SUMINISTROS[[#This Row],[Grupo]],VOL_VOLUMEN_SUMINISTROS[[#This Row],[Proyecto]],VOL_VOLUMEN_SUMINISTROS[[#This Row],[FIN DE SEMANA]])</f>
        <v>71052-1NO</v>
      </c>
      <c r="E660" s="30" t="s">
        <v>147</v>
      </c>
      <c r="F660" s="30" t="s">
        <v>148</v>
      </c>
      <c r="G660" s="365">
        <v>7</v>
      </c>
      <c r="H660" s="30">
        <v>16</v>
      </c>
      <c r="I660" s="9" t="s">
        <v>435</v>
      </c>
      <c r="J660" s="9" t="s">
        <v>546</v>
      </c>
      <c r="K660" s="30">
        <v>1</v>
      </c>
      <c r="L660" s="9" t="s">
        <v>547</v>
      </c>
      <c r="M660" s="30" t="s">
        <v>84</v>
      </c>
      <c r="N660" s="30" t="s">
        <v>152</v>
      </c>
      <c r="O660" s="24">
        <v>111</v>
      </c>
      <c r="P660" s="24">
        <v>234</v>
      </c>
      <c r="Q660" s="24">
        <v>369</v>
      </c>
      <c r="R660" s="24">
        <v>0</v>
      </c>
      <c r="S660" s="24">
        <v>0</v>
      </c>
      <c r="T660" s="24">
        <v>714</v>
      </c>
    </row>
    <row r="661" spans="1:20">
      <c r="A661" s="9" t="s">
        <v>433</v>
      </c>
      <c r="B661" s="30" t="s">
        <v>514</v>
      </c>
      <c r="C661" s="30" t="str">
        <f>CONCATENATE(VOL_VOLUMEN_SUMINISTROS[[#This Row],[Proyecto]],VOL_VOLUMEN_SUMINISTROS[[#This Row],[J]],VOL_VOLUMEN_SUMINISTROS[[#This Row],[FIN DE SEMANA]])</f>
        <v>1052-1TNO</v>
      </c>
      <c r="D661" s="365" t="str">
        <f>CONCATENATE(VOL_VOLUMEN_SUMINISTROS[[#This Row],[Grupo]],VOL_VOLUMEN_SUMINISTROS[[#This Row],[Proyecto]],VOL_VOLUMEN_SUMINISTROS[[#This Row],[FIN DE SEMANA]])</f>
        <v>71052-1NO</v>
      </c>
      <c r="E661" s="30" t="s">
        <v>147</v>
      </c>
      <c r="F661" s="30" t="s">
        <v>148</v>
      </c>
      <c r="G661" s="365">
        <v>7</v>
      </c>
      <c r="H661" s="30">
        <v>16</v>
      </c>
      <c r="I661" s="9" t="s">
        <v>435</v>
      </c>
      <c r="J661" s="9" t="s">
        <v>546</v>
      </c>
      <c r="K661" s="30">
        <v>1</v>
      </c>
      <c r="L661" s="9" t="s">
        <v>547</v>
      </c>
      <c r="M661" s="30" t="s">
        <v>84</v>
      </c>
      <c r="N661" s="30" t="s">
        <v>155</v>
      </c>
      <c r="O661" s="24">
        <v>124</v>
      </c>
      <c r="P661" s="24">
        <v>220</v>
      </c>
      <c r="Q661" s="24">
        <v>293</v>
      </c>
      <c r="R661" s="24">
        <v>0</v>
      </c>
      <c r="S661" s="24">
        <v>0</v>
      </c>
      <c r="T661" s="24">
        <v>637</v>
      </c>
    </row>
    <row r="662" spans="1:20">
      <c r="A662" s="9" t="s">
        <v>433</v>
      </c>
      <c r="B662" s="30" t="s">
        <v>514</v>
      </c>
      <c r="C662" s="30" t="str">
        <f>CONCATENATE(VOL_VOLUMEN_SUMINISTROS[[#This Row],[Proyecto]],VOL_VOLUMEN_SUMINISTROS[[#This Row],[J]],VOL_VOLUMEN_SUMINISTROS[[#This Row],[FIN DE SEMANA]])</f>
        <v>1052-1MNO</v>
      </c>
      <c r="D662" s="365" t="str">
        <f>CONCATENATE(VOL_VOLUMEN_SUMINISTROS[[#This Row],[Grupo]],VOL_VOLUMEN_SUMINISTROS[[#This Row],[Proyecto]],VOL_VOLUMEN_SUMINISTROS[[#This Row],[FIN DE SEMANA]])</f>
        <v>71052-1NO</v>
      </c>
      <c r="E662" s="30" t="s">
        <v>147</v>
      </c>
      <c r="F662" s="30" t="s">
        <v>148</v>
      </c>
      <c r="G662" s="365">
        <v>7</v>
      </c>
      <c r="H662" s="30">
        <v>16</v>
      </c>
      <c r="I662" s="9" t="s">
        <v>435</v>
      </c>
      <c r="J662" s="9" t="s">
        <v>548</v>
      </c>
      <c r="K662" s="30">
        <v>1</v>
      </c>
      <c r="L662" s="9" t="s">
        <v>549</v>
      </c>
      <c r="M662" s="30" t="s">
        <v>84</v>
      </c>
      <c r="N662" s="30" t="s">
        <v>152</v>
      </c>
      <c r="O662" s="24">
        <v>260</v>
      </c>
      <c r="P662" s="24">
        <v>221</v>
      </c>
      <c r="Q662" s="24">
        <v>46</v>
      </c>
      <c r="R662" s="24">
        <v>0</v>
      </c>
      <c r="S662" s="24">
        <v>0</v>
      </c>
      <c r="T662" s="24">
        <v>527</v>
      </c>
    </row>
    <row r="663" spans="1:20">
      <c r="A663" s="9" t="s">
        <v>433</v>
      </c>
      <c r="B663" s="30" t="s">
        <v>514</v>
      </c>
      <c r="C663" s="30" t="str">
        <f>CONCATENATE(VOL_VOLUMEN_SUMINISTROS[[#This Row],[Proyecto]],VOL_VOLUMEN_SUMINISTROS[[#This Row],[J]],VOL_VOLUMEN_SUMINISTROS[[#This Row],[FIN DE SEMANA]])</f>
        <v>1052-1TNO</v>
      </c>
      <c r="D663" s="365" t="str">
        <f>CONCATENATE(VOL_VOLUMEN_SUMINISTROS[[#This Row],[Grupo]],VOL_VOLUMEN_SUMINISTROS[[#This Row],[Proyecto]],VOL_VOLUMEN_SUMINISTROS[[#This Row],[FIN DE SEMANA]])</f>
        <v>71052-1NO</v>
      </c>
      <c r="E663" s="30" t="s">
        <v>147</v>
      </c>
      <c r="F663" s="30" t="s">
        <v>148</v>
      </c>
      <c r="G663" s="365">
        <v>7</v>
      </c>
      <c r="H663" s="30">
        <v>16</v>
      </c>
      <c r="I663" s="9" t="s">
        <v>435</v>
      </c>
      <c r="J663" s="9" t="s">
        <v>548</v>
      </c>
      <c r="K663" s="30">
        <v>1</v>
      </c>
      <c r="L663" s="9" t="s">
        <v>549</v>
      </c>
      <c r="M663" s="30" t="s">
        <v>84</v>
      </c>
      <c r="N663" s="30" t="s">
        <v>155</v>
      </c>
      <c r="O663" s="24">
        <v>229</v>
      </c>
      <c r="P663" s="24">
        <v>151</v>
      </c>
      <c r="Q663" s="24">
        <v>29</v>
      </c>
      <c r="R663" s="24">
        <v>0</v>
      </c>
      <c r="S663" s="24">
        <v>0</v>
      </c>
      <c r="T663" s="24">
        <v>409</v>
      </c>
    </row>
    <row r="664" spans="1:20">
      <c r="A664" s="9" t="s">
        <v>433</v>
      </c>
      <c r="B664" s="30" t="s">
        <v>514</v>
      </c>
      <c r="C664" s="30" t="str">
        <f>CONCATENATE(VOL_VOLUMEN_SUMINISTROS[[#This Row],[Proyecto]],VOL_VOLUMEN_SUMINISTROS[[#This Row],[J]],VOL_VOLUMEN_SUMINISTROS[[#This Row],[FIN DE SEMANA]])</f>
        <v>1052-1MNO</v>
      </c>
      <c r="D664" s="365" t="str">
        <f>CONCATENATE(VOL_VOLUMEN_SUMINISTROS[[#This Row],[Grupo]],VOL_VOLUMEN_SUMINISTROS[[#This Row],[Proyecto]],VOL_VOLUMEN_SUMINISTROS[[#This Row],[FIN DE SEMANA]])</f>
        <v>71052-1NO</v>
      </c>
      <c r="E664" s="30" t="s">
        <v>147</v>
      </c>
      <c r="F664" s="30" t="s">
        <v>148</v>
      </c>
      <c r="G664" s="365">
        <v>7</v>
      </c>
      <c r="H664" s="30">
        <v>16</v>
      </c>
      <c r="I664" s="9" t="s">
        <v>435</v>
      </c>
      <c r="J664" s="9" t="s">
        <v>548</v>
      </c>
      <c r="K664" s="30">
        <v>2</v>
      </c>
      <c r="L664" s="9" t="s">
        <v>550</v>
      </c>
      <c r="M664" s="30" t="s">
        <v>84</v>
      </c>
      <c r="N664" s="30" t="s">
        <v>152</v>
      </c>
      <c r="O664" s="24">
        <v>0</v>
      </c>
      <c r="P664" s="24">
        <v>0</v>
      </c>
      <c r="Q664" s="24">
        <v>288</v>
      </c>
      <c r="R664" s="24">
        <v>0</v>
      </c>
      <c r="S664" s="24">
        <v>0</v>
      </c>
      <c r="T664" s="24">
        <v>288</v>
      </c>
    </row>
    <row r="665" spans="1:20">
      <c r="A665" s="9" t="s">
        <v>433</v>
      </c>
      <c r="B665" s="30" t="s">
        <v>514</v>
      </c>
      <c r="C665" s="30" t="str">
        <f>CONCATENATE(VOL_VOLUMEN_SUMINISTROS[[#This Row],[Proyecto]],VOL_VOLUMEN_SUMINISTROS[[#This Row],[J]],VOL_VOLUMEN_SUMINISTROS[[#This Row],[FIN DE SEMANA]])</f>
        <v>1052-1TNO</v>
      </c>
      <c r="D665" s="365" t="str">
        <f>CONCATENATE(VOL_VOLUMEN_SUMINISTROS[[#This Row],[Grupo]],VOL_VOLUMEN_SUMINISTROS[[#This Row],[Proyecto]],VOL_VOLUMEN_SUMINISTROS[[#This Row],[FIN DE SEMANA]])</f>
        <v>71052-1NO</v>
      </c>
      <c r="E665" s="30" t="s">
        <v>147</v>
      </c>
      <c r="F665" s="30" t="s">
        <v>148</v>
      </c>
      <c r="G665" s="365">
        <v>7</v>
      </c>
      <c r="H665" s="30">
        <v>16</v>
      </c>
      <c r="I665" s="9" t="s">
        <v>435</v>
      </c>
      <c r="J665" s="9" t="s">
        <v>548</v>
      </c>
      <c r="K665" s="30">
        <v>2</v>
      </c>
      <c r="L665" s="9" t="s">
        <v>550</v>
      </c>
      <c r="M665" s="30" t="s">
        <v>84</v>
      </c>
      <c r="N665" s="30" t="s">
        <v>155</v>
      </c>
      <c r="O665" s="24">
        <v>0</v>
      </c>
      <c r="P665" s="24">
        <v>81</v>
      </c>
      <c r="Q665" s="24">
        <v>190</v>
      </c>
      <c r="R665" s="24">
        <v>0</v>
      </c>
      <c r="S665" s="24">
        <v>0</v>
      </c>
      <c r="T665" s="24">
        <v>271</v>
      </c>
    </row>
    <row r="666" spans="1:20">
      <c r="A666" s="9" t="s">
        <v>433</v>
      </c>
      <c r="B666" s="30" t="s">
        <v>514</v>
      </c>
      <c r="C666" s="30" t="str">
        <f>CONCATENATE(VOL_VOLUMEN_SUMINISTROS[[#This Row],[Proyecto]],VOL_VOLUMEN_SUMINISTROS[[#This Row],[J]],VOL_VOLUMEN_SUMINISTROS[[#This Row],[FIN DE SEMANA]])</f>
        <v>1052-1MNO</v>
      </c>
      <c r="D666" s="365" t="str">
        <f>CONCATENATE(VOL_VOLUMEN_SUMINISTROS[[#This Row],[Grupo]],VOL_VOLUMEN_SUMINISTROS[[#This Row],[Proyecto]],VOL_VOLUMEN_SUMINISTROS[[#This Row],[FIN DE SEMANA]])</f>
        <v>71052-1NO</v>
      </c>
      <c r="E666" s="30" t="s">
        <v>147</v>
      </c>
      <c r="F666" s="30" t="s">
        <v>148</v>
      </c>
      <c r="G666" s="365">
        <v>7</v>
      </c>
      <c r="H666" s="30">
        <v>16</v>
      </c>
      <c r="I666" s="9" t="s">
        <v>435</v>
      </c>
      <c r="J666" s="9" t="s">
        <v>548</v>
      </c>
      <c r="K666" s="30">
        <v>3</v>
      </c>
      <c r="L666" s="9" t="s">
        <v>551</v>
      </c>
      <c r="M666" s="30" t="s">
        <v>84</v>
      </c>
      <c r="N666" s="30" t="s">
        <v>152</v>
      </c>
      <c r="O666" s="24">
        <v>0</v>
      </c>
      <c r="P666" s="24">
        <v>117</v>
      </c>
      <c r="Q666" s="24">
        <v>66</v>
      </c>
      <c r="R666" s="24">
        <v>0</v>
      </c>
      <c r="S666" s="24">
        <v>0</v>
      </c>
      <c r="T666" s="24">
        <v>183</v>
      </c>
    </row>
    <row r="667" spans="1:20">
      <c r="A667" s="9" t="s">
        <v>433</v>
      </c>
      <c r="B667" s="30" t="s">
        <v>514</v>
      </c>
      <c r="C667" s="30" t="str">
        <f>CONCATENATE(VOL_VOLUMEN_SUMINISTROS[[#This Row],[Proyecto]],VOL_VOLUMEN_SUMINISTROS[[#This Row],[J]],VOL_VOLUMEN_SUMINISTROS[[#This Row],[FIN DE SEMANA]])</f>
        <v>1052-1TNO</v>
      </c>
      <c r="D667" s="365" t="str">
        <f>CONCATENATE(VOL_VOLUMEN_SUMINISTROS[[#This Row],[Grupo]],VOL_VOLUMEN_SUMINISTROS[[#This Row],[Proyecto]],VOL_VOLUMEN_SUMINISTROS[[#This Row],[FIN DE SEMANA]])</f>
        <v>71052-1NO</v>
      </c>
      <c r="E667" s="30" t="s">
        <v>147</v>
      </c>
      <c r="F667" s="30" t="s">
        <v>148</v>
      </c>
      <c r="G667" s="365">
        <v>7</v>
      </c>
      <c r="H667" s="30">
        <v>16</v>
      </c>
      <c r="I667" s="9" t="s">
        <v>435</v>
      </c>
      <c r="J667" s="9" t="s">
        <v>548</v>
      </c>
      <c r="K667" s="30">
        <v>3</v>
      </c>
      <c r="L667" s="9" t="s">
        <v>551</v>
      </c>
      <c r="M667" s="30" t="s">
        <v>84</v>
      </c>
      <c r="N667" s="30" t="s">
        <v>155</v>
      </c>
      <c r="O667" s="24">
        <v>0</v>
      </c>
      <c r="P667" s="24">
        <v>24</v>
      </c>
      <c r="Q667" s="24">
        <v>8</v>
      </c>
      <c r="R667" s="24">
        <v>0</v>
      </c>
      <c r="S667" s="24">
        <v>0</v>
      </c>
      <c r="T667" s="24">
        <v>32</v>
      </c>
    </row>
    <row r="668" spans="1:20">
      <c r="A668" s="9" t="s">
        <v>433</v>
      </c>
      <c r="B668" s="30" t="s">
        <v>552</v>
      </c>
      <c r="C668" s="30" t="str">
        <f>CONCATENATE(VOL_VOLUMEN_SUMINISTROS[[#This Row],[Proyecto]],VOL_VOLUMEN_SUMINISTROS[[#This Row],[J]],VOL_VOLUMEN_SUMINISTROS[[#This Row],[FIN DE SEMANA]])</f>
        <v>1052-2M1NO</v>
      </c>
      <c r="D668" s="365" t="str">
        <f>CONCATENATE(VOL_VOLUMEN_SUMINISTROS[[#This Row],[Grupo]],VOL_VOLUMEN_SUMINISTROS[[#This Row],[Proyecto]],VOL_VOLUMEN_SUMINISTROS[[#This Row],[FIN DE SEMANA]])</f>
        <v>71052-2NO</v>
      </c>
      <c r="E668" s="30" t="s">
        <v>183</v>
      </c>
      <c r="F668" s="30" t="s">
        <v>148</v>
      </c>
      <c r="G668" s="365">
        <v>7</v>
      </c>
      <c r="H668" s="30">
        <v>16</v>
      </c>
      <c r="I668" s="9" t="s">
        <v>435</v>
      </c>
      <c r="J668" s="9" t="s">
        <v>515</v>
      </c>
      <c r="K668" s="30">
        <v>1</v>
      </c>
      <c r="L668" s="9" t="s">
        <v>516</v>
      </c>
      <c r="M668" s="30" t="s">
        <v>84</v>
      </c>
      <c r="N668" s="30" t="s">
        <v>216</v>
      </c>
      <c r="O668" s="24">
        <v>0</v>
      </c>
      <c r="P668" s="24">
        <v>60</v>
      </c>
      <c r="Q668" s="24">
        <v>300</v>
      </c>
      <c r="R668" s="24">
        <v>0</v>
      </c>
      <c r="S668" s="24">
        <v>0</v>
      </c>
      <c r="T668" s="24">
        <v>360</v>
      </c>
    </row>
    <row r="669" spans="1:20">
      <c r="A669" s="9" t="s">
        <v>433</v>
      </c>
      <c r="B669" s="30" t="s">
        <v>552</v>
      </c>
      <c r="C669" s="30" t="str">
        <f>CONCATENATE(VOL_VOLUMEN_SUMINISTROS[[#This Row],[Proyecto]],VOL_VOLUMEN_SUMINISTROS[[#This Row],[J]],VOL_VOLUMEN_SUMINISTROS[[#This Row],[FIN DE SEMANA]])</f>
        <v>1052-2M1NO</v>
      </c>
      <c r="D669" s="365" t="str">
        <f>CONCATENATE(VOL_VOLUMEN_SUMINISTROS[[#This Row],[Grupo]],VOL_VOLUMEN_SUMINISTROS[[#This Row],[Proyecto]],VOL_VOLUMEN_SUMINISTROS[[#This Row],[FIN DE SEMANA]])</f>
        <v>71052-2NO</v>
      </c>
      <c r="E669" s="30" t="s">
        <v>183</v>
      </c>
      <c r="F669" s="30" t="s">
        <v>148</v>
      </c>
      <c r="G669" s="365">
        <v>7</v>
      </c>
      <c r="H669" s="30">
        <v>16</v>
      </c>
      <c r="I669" s="9" t="s">
        <v>435</v>
      </c>
      <c r="J669" s="9" t="s">
        <v>515</v>
      </c>
      <c r="K669" s="30">
        <v>2</v>
      </c>
      <c r="L669" s="9" t="s">
        <v>165</v>
      </c>
      <c r="M669" s="30" t="s">
        <v>84</v>
      </c>
      <c r="N669" s="30" t="s">
        <v>216</v>
      </c>
      <c r="O669" s="24">
        <v>176</v>
      </c>
      <c r="P669" s="24">
        <v>109</v>
      </c>
      <c r="Q669" s="24">
        <v>7</v>
      </c>
      <c r="R669" s="24">
        <v>0</v>
      </c>
      <c r="S669" s="24">
        <v>0</v>
      </c>
      <c r="T669" s="24">
        <v>292</v>
      </c>
    </row>
    <row r="670" spans="1:20">
      <c r="A670" s="9" t="s">
        <v>433</v>
      </c>
      <c r="B670" s="30" t="s">
        <v>552</v>
      </c>
      <c r="C670" s="30" t="str">
        <f>CONCATENATE(VOL_VOLUMEN_SUMINISTROS[[#This Row],[Proyecto]],VOL_VOLUMEN_SUMINISTROS[[#This Row],[J]],VOL_VOLUMEN_SUMINISTROS[[#This Row],[FIN DE SEMANA]])</f>
        <v>1052-2M1NO</v>
      </c>
      <c r="D670" s="365" t="str">
        <f>CONCATENATE(VOL_VOLUMEN_SUMINISTROS[[#This Row],[Grupo]],VOL_VOLUMEN_SUMINISTROS[[#This Row],[Proyecto]],VOL_VOLUMEN_SUMINISTROS[[#This Row],[FIN DE SEMANA]])</f>
        <v>71052-2NO</v>
      </c>
      <c r="E670" s="30" t="s">
        <v>183</v>
      </c>
      <c r="F670" s="30" t="s">
        <v>148</v>
      </c>
      <c r="G670" s="365">
        <v>7</v>
      </c>
      <c r="H670" s="30">
        <v>16</v>
      </c>
      <c r="I670" s="9" t="s">
        <v>435</v>
      </c>
      <c r="J670" s="9" t="s">
        <v>515</v>
      </c>
      <c r="K670" s="30">
        <v>3</v>
      </c>
      <c r="L670" s="9" t="s">
        <v>458</v>
      </c>
      <c r="M670" s="30" t="s">
        <v>84</v>
      </c>
      <c r="N670" s="30" t="s">
        <v>216</v>
      </c>
      <c r="O670" s="24">
        <v>0</v>
      </c>
      <c r="P670" s="24">
        <v>234</v>
      </c>
      <c r="Q670" s="24">
        <v>78</v>
      </c>
      <c r="R670" s="24">
        <v>0</v>
      </c>
      <c r="S670" s="24">
        <v>0</v>
      </c>
      <c r="T670" s="24">
        <v>312</v>
      </c>
    </row>
    <row r="671" spans="1:20">
      <c r="A671" s="9" t="s">
        <v>433</v>
      </c>
      <c r="B671" s="30" t="s">
        <v>552</v>
      </c>
      <c r="C671" s="30" t="str">
        <f>CONCATENATE(VOL_VOLUMEN_SUMINISTROS[[#This Row],[Proyecto]],VOL_VOLUMEN_SUMINISTROS[[#This Row],[J]],VOL_VOLUMEN_SUMINISTROS[[#This Row],[FIN DE SEMANA]])</f>
        <v>1052-2M1NO</v>
      </c>
      <c r="D671" s="365" t="str">
        <f>CONCATENATE(VOL_VOLUMEN_SUMINISTROS[[#This Row],[Grupo]],VOL_VOLUMEN_SUMINISTROS[[#This Row],[Proyecto]],VOL_VOLUMEN_SUMINISTROS[[#This Row],[FIN DE SEMANA]])</f>
        <v>71052-2NO</v>
      </c>
      <c r="E671" s="30" t="s">
        <v>183</v>
      </c>
      <c r="F671" s="30" t="s">
        <v>148</v>
      </c>
      <c r="G671" s="365">
        <v>7</v>
      </c>
      <c r="H671" s="30">
        <v>16</v>
      </c>
      <c r="I671" s="9" t="s">
        <v>435</v>
      </c>
      <c r="J671" s="9" t="s">
        <v>526</v>
      </c>
      <c r="K671" s="30">
        <v>2</v>
      </c>
      <c r="L671" s="9" t="s">
        <v>527</v>
      </c>
      <c r="M671" s="30" t="s">
        <v>84</v>
      </c>
      <c r="N671" s="30" t="s">
        <v>216</v>
      </c>
      <c r="O671" s="24">
        <v>50</v>
      </c>
      <c r="P671" s="24">
        <v>67</v>
      </c>
      <c r="Q671" s="24">
        <v>14</v>
      </c>
      <c r="R671" s="24">
        <v>0</v>
      </c>
      <c r="S671" s="24">
        <v>0</v>
      </c>
      <c r="T671" s="24">
        <v>131</v>
      </c>
    </row>
    <row r="672" spans="1:20">
      <c r="A672" s="9" t="s">
        <v>433</v>
      </c>
      <c r="B672" s="30" t="s">
        <v>552</v>
      </c>
      <c r="C672" s="30" t="str">
        <f>CONCATENATE(VOL_VOLUMEN_SUMINISTROS[[#This Row],[Proyecto]],VOL_VOLUMEN_SUMINISTROS[[#This Row],[J]],VOL_VOLUMEN_SUMINISTROS[[#This Row],[FIN DE SEMANA]])</f>
        <v>1052-2TNO</v>
      </c>
      <c r="D672" s="365" t="str">
        <f>CONCATENATE(VOL_VOLUMEN_SUMINISTROS[[#This Row],[Grupo]],VOL_VOLUMEN_SUMINISTROS[[#This Row],[Proyecto]],VOL_VOLUMEN_SUMINISTROS[[#This Row],[FIN DE SEMANA]])</f>
        <v>71052-2NO</v>
      </c>
      <c r="E672" s="30" t="s">
        <v>183</v>
      </c>
      <c r="F672" s="30" t="s">
        <v>148</v>
      </c>
      <c r="G672" s="365">
        <v>7</v>
      </c>
      <c r="H672" s="30">
        <v>16</v>
      </c>
      <c r="I672" s="9" t="s">
        <v>435</v>
      </c>
      <c r="J672" s="9" t="s">
        <v>526</v>
      </c>
      <c r="K672" s="30">
        <v>2</v>
      </c>
      <c r="L672" s="9" t="s">
        <v>528</v>
      </c>
      <c r="M672" s="30" t="s">
        <v>84</v>
      </c>
      <c r="N672" s="30" t="s">
        <v>155</v>
      </c>
      <c r="O672" s="24">
        <v>32</v>
      </c>
      <c r="P672" s="24">
        <v>52</v>
      </c>
      <c r="Q672" s="24">
        <v>12</v>
      </c>
      <c r="R672" s="24">
        <v>0</v>
      </c>
      <c r="S672" s="24">
        <v>0</v>
      </c>
      <c r="T672" s="24">
        <v>96</v>
      </c>
    </row>
    <row r="673" spans="1:20">
      <c r="A673" s="9" t="s">
        <v>433</v>
      </c>
      <c r="B673" s="30" t="s">
        <v>552</v>
      </c>
      <c r="C673" s="30" t="str">
        <f>CONCATENATE(VOL_VOLUMEN_SUMINISTROS[[#This Row],[Proyecto]],VOL_VOLUMEN_SUMINISTROS[[#This Row],[J]],VOL_VOLUMEN_SUMINISTROS[[#This Row],[FIN DE SEMANA]])</f>
        <v>1052-2M1NO</v>
      </c>
      <c r="D673" s="365" t="str">
        <f>CONCATENATE(VOL_VOLUMEN_SUMINISTROS[[#This Row],[Grupo]],VOL_VOLUMEN_SUMINISTROS[[#This Row],[Proyecto]],VOL_VOLUMEN_SUMINISTROS[[#This Row],[FIN DE SEMANA]])</f>
        <v>71052-2NO</v>
      </c>
      <c r="E673" s="30" t="s">
        <v>183</v>
      </c>
      <c r="F673" s="30" t="s">
        <v>148</v>
      </c>
      <c r="G673" s="365">
        <v>7</v>
      </c>
      <c r="H673" s="30">
        <v>16</v>
      </c>
      <c r="I673" s="9" t="s">
        <v>435</v>
      </c>
      <c r="J673" s="9" t="s">
        <v>532</v>
      </c>
      <c r="K673" s="30">
        <v>1</v>
      </c>
      <c r="L673" s="9" t="s">
        <v>533</v>
      </c>
      <c r="M673" s="30" t="s">
        <v>84</v>
      </c>
      <c r="N673" s="30" t="s">
        <v>216</v>
      </c>
      <c r="O673" s="24">
        <v>0</v>
      </c>
      <c r="P673" s="24">
        <v>39</v>
      </c>
      <c r="Q673" s="24">
        <v>13</v>
      </c>
      <c r="R673" s="24">
        <v>0</v>
      </c>
      <c r="S673" s="24">
        <v>0</v>
      </c>
      <c r="T673" s="24">
        <v>52</v>
      </c>
    </row>
    <row r="674" spans="1:20">
      <c r="A674" s="9" t="s">
        <v>433</v>
      </c>
      <c r="B674" s="30" t="s">
        <v>552</v>
      </c>
      <c r="C674" s="30" t="str">
        <f>CONCATENATE(VOL_VOLUMEN_SUMINISTROS[[#This Row],[Proyecto]],VOL_VOLUMEN_SUMINISTROS[[#This Row],[J]],VOL_VOLUMEN_SUMINISTROS[[#This Row],[FIN DE SEMANA]])</f>
        <v>1052-2TNO</v>
      </c>
      <c r="D674" s="365" t="str">
        <f>CONCATENATE(VOL_VOLUMEN_SUMINISTROS[[#This Row],[Grupo]],VOL_VOLUMEN_SUMINISTROS[[#This Row],[Proyecto]],VOL_VOLUMEN_SUMINISTROS[[#This Row],[FIN DE SEMANA]])</f>
        <v>71052-2NO</v>
      </c>
      <c r="E674" s="30" t="s">
        <v>183</v>
      </c>
      <c r="F674" s="30" t="s">
        <v>148</v>
      </c>
      <c r="G674" s="365">
        <v>7</v>
      </c>
      <c r="H674" s="30">
        <v>16</v>
      </c>
      <c r="I674" s="9" t="s">
        <v>435</v>
      </c>
      <c r="J674" s="9" t="s">
        <v>538</v>
      </c>
      <c r="K674" s="30">
        <v>1</v>
      </c>
      <c r="L674" s="9" t="s">
        <v>539</v>
      </c>
      <c r="M674" s="30" t="s">
        <v>84</v>
      </c>
      <c r="N674" s="30" t="s">
        <v>155</v>
      </c>
      <c r="O674" s="24">
        <v>0</v>
      </c>
      <c r="P674" s="24">
        <v>21</v>
      </c>
      <c r="Q674" s="24">
        <v>34</v>
      </c>
      <c r="R674" s="24">
        <v>0</v>
      </c>
      <c r="S674" s="24">
        <v>0</v>
      </c>
      <c r="T674" s="24">
        <v>55</v>
      </c>
    </row>
    <row r="675" spans="1:20">
      <c r="A675" s="9" t="s">
        <v>433</v>
      </c>
      <c r="B675" s="30" t="s">
        <v>552</v>
      </c>
      <c r="C675" s="30" t="str">
        <f>CONCATENATE(VOL_VOLUMEN_SUMINISTROS[[#This Row],[Proyecto]],VOL_VOLUMEN_SUMINISTROS[[#This Row],[J]],VOL_VOLUMEN_SUMINISTROS[[#This Row],[FIN DE SEMANA]])</f>
        <v>1052-2M1NO</v>
      </c>
      <c r="D675" s="365" t="str">
        <f>CONCATENATE(VOL_VOLUMEN_SUMINISTROS[[#This Row],[Grupo]],VOL_VOLUMEN_SUMINISTROS[[#This Row],[Proyecto]],VOL_VOLUMEN_SUMINISTROS[[#This Row],[FIN DE SEMANA]])</f>
        <v>71052-2NO</v>
      </c>
      <c r="E675" s="30" t="s">
        <v>183</v>
      </c>
      <c r="F675" s="30" t="s">
        <v>148</v>
      </c>
      <c r="G675" s="365">
        <v>7</v>
      </c>
      <c r="H675" s="30">
        <v>16</v>
      </c>
      <c r="I675" s="9" t="s">
        <v>435</v>
      </c>
      <c r="J675" s="9" t="s">
        <v>544</v>
      </c>
      <c r="K675" s="30">
        <v>1</v>
      </c>
      <c r="L675" s="9" t="s">
        <v>545</v>
      </c>
      <c r="M675" s="30" t="s">
        <v>84</v>
      </c>
      <c r="N675" s="30" t="s">
        <v>216</v>
      </c>
      <c r="O675" s="24">
        <v>210</v>
      </c>
      <c r="P675" s="24">
        <v>429</v>
      </c>
      <c r="Q675" s="24">
        <v>408</v>
      </c>
      <c r="R675" s="24">
        <v>0</v>
      </c>
      <c r="S675" s="24">
        <v>0</v>
      </c>
      <c r="T675" s="24">
        <v>1047</v>
      </c>
    </row>
    <row r="676" spans="1:20">
      <c r="A676" s="9" t="s">
        <v>433</v>
      </c>
      <c r="B676" s="30" t="s">
        <v>553</v>
      </c>
      <c r="C676" s="30" t="str">
        <f>CONCATENATE(VOL_VOLUMEN_SUMINISTROS[[#This Row],[Proyecto]],VOL_VOLUMEN_SUMINISTROS[[#This Row],[J]],VOL_VOLUMEN_SUMINISTROS[[#This Row],[FIN DE SEMANA]])</f>
        <v>1052-2MNO</v>
      </c>
      <c r="D676" s="365" t="str">
        <f>CONCATENATE(VOL_VOLUMEN_SUMINISTROS[[#This Row],[Grupo]],VOL_VOLUMEN_SUMINISTROS[[#This Row],[Proyecto]],VOL_VOLUMEN_SUMINISTROS[[#This Row],[FIN DE SEMANA]])</f>
        <v>71052-2NO</v>
      </c>
      <c r="E676" s="30" t="s">
        <v>183</v>
      </c>
      <c r="F676" s="30" t="s">
        <v>148</v>
      </c>
      <c r="G676" s="365">
        <v>7</v>
      </c>
      <c r="H676" s="30">
        <v>16</v>
      </c>
      <c r="I676" s="9" t="s">
        <v>435</v>
      </c>
      <c r="J676" s="9" t="s">
        <v>517</v>
      </c>
      <c r="K676" s="30">
        <v>1</v>
      </c>
      <c r="L676" s="9" t="s">
        <v>518</v>
      </c>
      <c r="M676" s="30" t="s">
        <v>84</v>
      </c>
      <c r="N676" s="30" t="s">
        <v>152</v>
      </c>
      <c r="O676" s="24">
        <v>0</v>
      </c>
      <c r="P676" s="24">
        <v>0</v>
      </c>
      <c r="Q676" s="24">
        <v>30</v>
      </c>
      <c r="R676" s="24">
        <v>0</v>
      </c>
      <c r="S676" s="24">
        <v>0</v>
      </c>
      <c r="T676" s="24">
        <v>30</v>
      </c>
    </row>
    <row r="677" spans="1:20">
      <c r="A677" s="9" t="s">
        <v>433</v>
      </c>
      <c r="B677" s="30" t="s">
        <v>553</v>
      </c>
      <c r="C677" s="30" t="str">
        <f>CONCATENATE(VOL_VOLUMEN_SUMINISTROS[[#This Row],[Proyecto]],VOL_VOLUMEN_SUMINISTROS[[#This Row],[J]],VOL_VOLUMEN_SUMINISTROS[[#This Row],[FIN DE SEMANA]])</f>
        <v>1052-2MNO</v>
      </c>
      <c r="D677" s="365" t="str">
        <f>CONCATENATE(VOL_VOLUMEN_SUMINISTROS[[#This Row],[Grupo]],VOL_VOLUMEN_SUMINISTROS[[#This Row],[Proyecto]],VOL_VOLUMEN_SUMINISTROS[[#This Row],[FIN DE SEMANA]])</f>
        <v>71052-2NO</v>
      </c>
      <c r="E677" s="30" t="s">
        <v>183</v>
      </c>
      <c r="F677" s="30" t="s">
        <v>148</v>
      </c>
      <c r="G677" s="365">
        <v>7</v>
      </c>
      <c r="H677" s="30">
        <v>16</v>
      </c>
      <c r="I677" s="9" t="s">
        <v>435</v>
      </c>
      <c r="J677" s="9" t="s">
        <v>519</v>
      </c>
      <c r="K677" s="30">
        <v>1</v>
      </c>
      <c r="L677" s="9" t="s">
        <v>520</v>
      </c>
      <c r="M677" s="30" t="s">
        <v>84</v>
      </c>
      <c r="N677" s="30" t="s">
        <v>152</v>
      </c>
      <c r="O677" s="24">
        <v>0</v>
      </c>
      <c r="P677" s="24">
        <v>0</v>
      </c>
      <c r="Q677" s="24">
        <v>40</v>
      </c>
      <c r="R677" s="24">
        <v>0</v>
      </c>
      <c r="S677" s="24">
        <v>0</v>
      </c>
      <c r="T677" s="24">
        <v>40</v>
      </c>
    </row>
    <row r="678" spans="1:20">
      <c r="A678" s="9" t="s">
        <v>433</v>
      </c>
      <c r="B678" s="30" t="s">
        <v>553</v>
      </c>
      <c r="C678" s="30" t="str">
        <f>CONCATENATE(VOL_VOLUMEN_SUMINISTROS[[#This Row],[Proyecto]],VOL_VOLUMEN_SUMINISTROS[[#This Row],[J]],VOL_VOLUMEN_SUMINISTROS[[#This Row],[FIN DE SEMANA]])</f>
        <v>1052-2TNO</v>
      </c>
      <c r="D678" s="365" t="str">
        <f>CONCATENATE(VOL_VOLUMEN_SUMINISTROS[[#This Row],[Grupo]],VOL_VOLUMEN_SUMINISTROS[[#This Row],[Proyecto]],VOL_VOLUMEN_SUMINISTROS[[#This Row],[FIN DE SEMANA]])</f>
        <v>71052-2NO</v>
      </c>
      <c r="E678" s="30" t="s">
        <v>183</v>
      </c>
      <c r="F678" s="30" t="s">
        <v>148</v>
      </c>
      <c r="G678" s="365">
        <v>7</v>
      </c>
      <c r="H678" s="30">
        <v>16</v>
      </c>
      <c r="I678" s="9" t="s">
        <v>435</v>
      </c>
      <c r="J678" s="9" t="s">
        <v>519</v>
      </c>
      <c r="K678" s="30">
        <v>1</v>
      </c>
      <c r="L678" s="9" t="s">
        <v>520</v>
      </c>
      <c r="M678" s="30" t="s">
        <v>84</v>
      </c>
      <c r="N678" s="30" t="s">
        <v>155</v>
      </c>
      <c r="O678" s="24">
        <v>0</v>
      </c>
      <c r="P678" s="24">
        <v>0</v>
      </c>
      <c r="Q678" s="24">
        <v>60</v>
      </c>
      <c r="R678" s="24">
        <v>0</v>
      </c>
      <c r="S678" s="24">
        <v>0</v>
      </c>
      <c r="T678" s="24">
        <v>60</v>
      </c>
    </row>
    <row r="679" spans="1:20">
      <c r="A679" s="9" t="s">
        <v>433</v>
      </c>
      <c r="B679" s="30" t="s">
        <v>553</v>
      </c>
      <c r="C679" s="30" t="str">
        <f>CONCATENATE(VOL_VOLUMEN_SUMINISTROS[[#This Row],[Proyecto]],VOL_VOLUMEN_SUMINISTROS[[#This Row],[J]],VOL_VOLUMEN_SUMINISTROS[[#This Row],[FIN DE SEMANA]])</f>
        <v>1052-2MNO</v>
      </c>
      <c r="D679" s="365" t="str">
        <f>CONCATENATE(VOL_VOLUMEN_SUMINISTROS[[#This Row],[Grupo]],VOL_VOLUMEN_SUMINISTROS[[#This Row],[Proyecto]],VOL_VOLUMEN_SUMINISTROS[[#This Row],[FIN DE SEMANA]])</f>
        <v>71052-2NO</v>
      </c>
      <c r="E679" s="30" t="s">
        <v>183</v>
      </c>
      <c r="F679" s="30" t="s">
        <v>148</v>
      </c>
      <c r="G679" s="365">
        <v>7</v>
      </c>
      <c r="H679" s="30">
        <v>16</v>
      </c>
      <c r="I679" s="9" t="s">
        <v>435</v>
      </c>
      <c r="J679" s="9" t="s">
        <v>523</v>
      </c>
      <c r="K679" s="30">
        <v>1</v>
      </c>
      <c r="L679" s="9" t="s">
        <v>524</v>
      </c>
      <c r="M679" s="30" t="s">
        <v>84</v>
      </c>
      <c r="N679" s="30" t="s">
        <v>152</v>
      </c>
      <c r="O679" s="24">
        <v>0</v>
      </c>
      <c r="P679" s="24">
        <v>0</v>
      </c>
      <c r="Q679" s="24">
        <v>74</v>
      </c>
      <c r="R679" s="24">
        <v>0</v>
      </c>
      <c r="S679" s="24">
        <v>0</v>
      </c>
      <c r="T679" s="24">
        <v>74</v>
      </c>
    </row>
    <row r="680" spans="1:20">
      <c r="A680" s="9" t="s">
        <v>433</v>
      </c>
      <c r="B680" s="30" t="s">
        <v>553</v>
      </c>
      <c r="C680" s="30" t="str">
        <f>CONCATENATE(VOL_VOLUMEN_SUMINISTROS[[#This Row],[Proyecto]],VOL_VOLUMEN_SUMINISTROS[[#This Row],[J]],VOL_VOLUMEN_SUMINISTROS[[#This Row],[FIN DE SEMANA]])</f>
        <v>1052-2TNO</v>
      </c>
      <c r="D680" s="365" t="str">
        <f>CONCATENATE(VOL_VOLUMEN_SUMINISTROS[[#This Row],[Grupo]],VOL_VOLUMEN_SUMINISTROS[[#This Row],[Proyecto]],VOL_VOLUMEN_SUMINISTROS[[#This Row],[FIN DE SEMANA]])</f>
        <v>71052-2NO</v>
      </c>
      <c r="E680" s="30" t="s">
        <v>183</v>
      </c>
      <c r="F680" s="30" t="s">
        <v>148</v>
      </c>
      <c r="G680" s="365">
        <v>7</v>
      </c>
      <c r="H680" s="30">
        <v>16</v>
      </c>
      <c r="I680" s="9" t="s">
        <v>435</v>
      </c>
      <c r="J680" s="9" t="s">
        <v>523</v>
      </c>
      <c r="K680" s="30">
        <v>1</v>
      </c>
      <c r="L680" s="9" t="s">
        <v>524</v>
      </c>
      <c r="M680" s="30" t="s">
        <v>84</v>
      </c>
      <c r="N680" s="30" t="s">
        <v>155</v>
      </c>
      <c r="O680" s="24">
        <v>0</v>
      </c>
      <c r="P680" s="24">
        <v>0</v>
      </c>
      <c r="Q680" s="24">
        <v>90</v>
      </c>
      <c r="R680" s="24">
        <v>0</v>
      </c>
      <c r="S680" s="24">
        <v>0</v>
      </c>
      <c r="T680" s="24">
        <v>90</v>
      </c>
    </row>
    <row r="681" spans="1:20">
      <c r="A681" s="9" t="s">
        <v>433</v>
      </c>
      <c r="B681" s="30" t="s">
        <v>553</v>
      </c>
      <c r="C681" s="30" t="str">
        <f>CONCATENATE(VOL_VOLUMEN_SUMINISTROS[[#This Row],[Proyecto]],VOL_VOLUMEN_SUMINISTROS[[#This Row],[J]],VOL_VOLUMEN_SUMINISTROS[[#This Row],[FIN DE SEMANA]])</f>
        <v>1052-2TNO</v>
      </c>
      <c r="D681" s="365" t="str">
        <f>CONCATENATE(VOL_VOLUMEN_SUMINISTROS[[#This Row],[Grupo]],VOL_VOLUMEN_SUMINISTROS[[#This Row],[Proyecto]],VOL_VOLUMEN_SUMINISTROS[[#This Row],[FIN DE SEMANA]])</f>
        <v>71052-2NO</v>
      </c>
      <c r="E681" s="30" t="s">
        <v>183</v>
      </c>
      <c r="F681" s="30" t="s">
        <v>148</v>
      </c>
      <c r="G681" s="365">
        <v>7</v>
      </c>
      <c r="H681" s="30">
        <v>16</v>
      </c>
      <c r="I681" s="9" t="s">
        <v>435</v>
      </c>
      <c r="J681" s="9" t="s">
        <v>526</v>
      </c>
      <c r="K681" s="30">
        <v>1</v>
      </c>
      <c r="L681" s="9" t="s">
        <v>527</v>
      </c>
      <c r="M681" s="30" t="s">
        <v>84</v>
      </c>
      <c r="N681" s="30" t="s">
        <v>155</v>
      </c>
      <c r="O681" s="24">
        <v>0</v>
      </c>
      <c r="P681" s="24">
        <v>0</v>
      </c>
      <c r="Q681" s="24">
        <v>68</v>
      </c>
      <c r="R681" s="24">
        <v>0</v>
      </c>
      <c r="S681" s="24">
        <v>0</v>
      </c>
      <c r="T681" s="24">
        <v>68</v>
      </c>
    </row>
    <row r="682" spans="1:20">
      <c r="A682" s="9" t="s">
        <v>433</v>
      </c>
      <c r="B682" s="30" t="s">
        <v>553</v>
      </c>
      <c r="C682" s="30" t="str">
        <f>CONCATENATE(VOL_VOLUMEN_SUMINISTROS[[#This Row],[Proyecto]],VOL_VOLUMEN_SUMINISTROS[[#This Row],[J]],VOL_VOLUMEN_SUMINISTROS[[#This Row],[FIN DE SEMANA]])</f>
        <v>1052-2TNO</v>
      </c>
      <c r="D682" s="365" t="str">
        <f>CONCATENATE(VOL_VOLUMEN_SUMINISTROS[[#This Row],[Grupo]],VOL_VOLUMEN_SUMINISTROS[[#This Row],[Proyecto]],VOL_VOLUMEN_SUMINISTROS[[#This Row],[FIN DE SEMANA]])</f>
        <v>71052-2NO</v>
      </c>
      <c r="E682" s="30" t="s">
        <v>183</v>
      </c>
      <c r="F682" s="30" t="s">
        <v>148</v>
      </c>
      <c r="G682" s="365">
        <v>7</v>
      </c>
      <c r="H682" s="30">
        <v>16</v>
      </c>
      <c r="I682" s="9" t="s">
        <v>435</v>
      </c>
      <c r="J682" s="9" t="s">
        <v>534</v>
      </c>
      <c r="K682" s="30">
        <v>1</v>
      </c>
      <c r="L682" s="9" t="s">
        <v>535</v>
      </c>
      <c r="M682" s="30" t="s">
        <v>84</v>
      </c>
      <c r="N682" s="30" t="s">
        <v>155</v>
      </c>
      <c r="O682" s="24">
        <v>0</v>
      </c>
      <c r="P682" s="24">
        <v>0</v>
      </c>
      <c r="Q682" s="24">
        <v>99</v>
      </c>
      <c r="R682" s="24">
        <v>0</v>
      </c>
      <c r="S682" s="24">
        <v>0</v>
      </c>
      <c r="T682" s="24">
        <v>99</v>
      </c>
    </row>
    <row r="683" spans="1:20">
      <c r="A683" s="9" t="s">
        <v>433</v>
      </c>
      <c r="B683" s="30" t="s">
        <v>553</v>
      </c>
      <c r="C683" s="30" t="str">
        <f>CONCATENATE(VOL_VOLUMEN_SUMINISTROS[[#This Row],[Proyecto]],VOL_VOLUMEN_SUMINISTROS[[#This Row],[J]],VOL_VOLUMEN_SUMINISTROS[[#This Row],[FIN DE SEMANA]])</f>
        <v>1052-2TNO</v>
      </c>
      <c r="D683" s="365" t="str">
        <f>CONCATENATE(VOL_VOLUMEN_SUMINISTROS[[#This Row],[Grupo]],VOL_VOLUMEN_SUMINISTROS[[#This Row],[Proyecto]],VOL_VOLUMEN_SUMINISTROS[[#This Row],[FIN DE SEMANA]])</f>
        <v>71052-2NO</v>
      </c>
      <c r="E683" s="30" t="s">
        <v>183</v>
      </c>
      <c r="F683" s="30" t="s">
        <v>148</v>
      </c>
      <c r="G683" s="365">
        <v>7</v>
      </c>
      <c r="H683" s="30">
        <v>16</v>
      </c>
      <c r="I683" s="9" t="s">
        <v>435</v>
      </c>
      <c r="J683" s="9" t="s">
        <v>538</v>
      </c>
      <c r="K683" s="30">
        <v>1</v>
      </c>
      <c r="L683" s="9" t="s">
        <v>539</v>
      </c>
      <c r="M683" s="30" t="s">
        <v>84</v>
      </c>
      <c r="N683" s="30" t="s">
        <v>155</v>
      </c>
      <c r="O683" s="24">
        <v>0</v>
      </c>
      <c r="P683" s="24">
        <v>0</v>
      </c>
      <c r="Q683" s="24">
        <v>96</v>
      </c>
      <c r="R683" s="24">
        <v>0</v>
      </c>
      <c r="S683" s="24">
        <v>0</v>
      </c>
      <c r="T683" s="24">
        <v>96</v>
      </c>
    </row>
    <row r="684" spans="1:20">
      <c r="A684" s="9" t="s">
        <v>433</v>
      </c>
      <c r="B684" s="30" t="s">
        <v>553</v>
      </c>
      <c r="C684" s="30" t="str">
        <f>CONCATENATE(VOL_VOLUMEN_SUMINISTROS[[#This Row],[Proyecto]],VOL_VOLUMEN_SUMINISTROS[[#This Row],[J]],VOL_VOLUMEN_SUMINISTROS[[#This Row],[FIN DE SEMANA]])</f>
        <v>1052-2MNO</v>
      </c>
      <c r="D684" s="365" t="str">
        <f>CONCATENATE(VOL_VOLUMEN_SUMINISTROS[[#This Row],[Grupo]],VOL_VOLUMEN_SUMINISTROS[[#This Row],[Proyecto]],VOL_VOLUMEN_SUMINISTROS[[#This Row],[FIN DE SEMANA]])</f>
        <v>71052-2NO</v>
      </c>
      <c r="E684" s="30" t="s">
        <v>183</v>
      </c>
      <c r="F684" s="30" t="s">
        <v>148</v>
      </c>
      <c r="G684" s="365">
        <v>7</v>
      </c>
      <c r="H684" s="30">
        <v>16</v>
      </c>
      <c r="I684" s="9" t="s">
        <v>435</v>
      </c>
      <c r="J684" s="9" t="s">
        <v>541</v>
      </c>
      <c r="K684" s="30">
        <v>1</v>
      </c>
      <c r="L684" s="9" t="s">
        <v>542</v>
      </c>
      <c r="M684" s="30" t="s">
        <v>84</v>
      </c>
      <c r="N684" s="30" t="s">
        <v>152</v>
      </c>
      <c r="O684" s="24">
        <v>0</v>
      </c>
      <c r="P684" s="24">
        <v>0</v>
      </c>
      <c r="Q684" s="24">
        <v>75</v>
      </c>
      <c r="R684" s="24">
        <v>0</v>
      </c>
      <c r="S684" s="24">
        <v>0</v>
      </c>
      <c r="T684" s="24">
        <v>75</v>
      </c>
    </row>
    <row r="685" spans="1:20">
      <c r="A685" s="9" t="s">
        <v>433</v>
      </c>
      <c r="B685" s="30" t="s">
        <v>553</v>
      </c>
      <c r="C685" s="30" t="str">
        <f>CONCATENATE(VOL_VOLUMEN_SUMINISTROS[[#This Row],[Proyecto]],VOL_VOLUMEN_SUMINISTROS[[#This Row],[J]],VOL_VOLUMEN_SUMINISTROS[[#This Row],[FIN DE SEMANA]])</f>
        <v>1052-2TNO</v>
      </c>
      <c r="D685" s="365" t="str">
        <f>CONCATENATE(VOL_VOLUMEN_SUMINISTROS[[#This Row],[Grupo]],VOL_VOLUMEN_SUMINISTROS[[#This Row],[Proyecto]],VOL_VOLUMEN_SUMINISTROS[[#This Row],[FIN DE SEMANA]])</f>
        <v>71052-2NO</v>
      </c>
      <c r="E685" s="30" t="s">
        <v>183</v>
      </c>
      <c r="F685" s="30" t="s">
        <v>148</v>
      </c>
      <c r="G685" s="365">
        <v>7</v>
      </c>
      <c r="H685" s="30">
        <v>16</v>
      </c>
      <c r="I685" s="9" t="s">
        <v>435</v>
      </c>
      <c r="J685" s="9" t="s">
        <v>541</v>
      </c>
      <c r="K685" s="30">
        <v>1</v>
      </c>
      <c r="L685" s="9" t="s">
        <v>542</v>
      </c>
      <c r="M685" s="30" t="s">
        <v>84</v>
      </c>
      <c r="N685" s="30" t="s">
        <v>155</v>
      </c>
      <c r="O685" s="24">
        <v>0</v>
      </c>
      <c r="P685" s="24">
        <v>0</v>
      </c>
      <c r="Q685" s="24">
        <v>78</v>
      </c>
      <c r="R685" s="24">
        <v>0</v>
      </c>
      <c r="S685" s="24">
        <v>0</v>
      </c>
      <c r="T685" s="24">
        <v>78</v>
      </c>
    </row>
    <row r="686" spans="1:20">
      <c r="A686" s="9" t="s">
        <v>433</v>
      </c>
      <c r="B686" s="30" t="s">
        <v>553</v>
      </c>
      <c r="C686" s="30" t="str">
        <f>CONCATENATE(VOL_VOLUMEN_SUMINISTROS[[#This Row],[Proyecto]],VOL_VOLUMEN_SUMINISTROS[[#This Row],[J]],VOL_VOLUMEN_SUMINISTROS[[#This Row],[FIN DE SEMANA]])</f>
        <v>1052-2MNO</v>
      </c>
      <c r="D686" s="365" t="str">
        <f>CONCATENATE(VOL_VOLUMEN_SUMINISTROS[[#This Row],[Grupo]],VOL_VOLUMEN_SUMINISTROS[[#This Row],[Proyecto]],VOL_VOLUMEN_SUMINISTROS[[#This Row],[FIN DE SEMANA]])</f>
        <v>71052-2NO</v>
      </c>
      <c r="E686" s="30" t="s">
        <v>183</v>
      </c>
      <c r="F686" s="30" t="s">
        <v>148</v>
      </c>
      <c r="G686" s="365">
        <v>7</v>
      </c>
      <c r="H686" s="30">
        <v>16</v>
      </c>
      <c r="I686" s="9" t="s">
        <v>435</v>
      </c>
      <c r="J686" s="9" t="s">
        <v>548</v>
      </c>
      <c r="K686" s="30">
        <v>2</v>
      </c>
      <c r="L686" s="9" t="s">
        <v>550</v>
      </c>
      <c r="M686" s="30" t="s">
        <v>84</v>
      </c>
      <c r="N686" s="30" t="s">
        <v>152</v>
      </c>
      <c r="O686" s="24">
        <v>0</v>
      </c>
      <c r="P686" s="24">
        <v>0</v>
      </c>
      <c r="Q686" s="24">
        <v>52</v>
      </c>
      <c r="R686" s="24">
        <v>0</v>
      </c>
      <c r="S686" s="24">
        <v>0</v>
      </c>
      <c r="T686" s="24">
        <v>52</v>
      </c>
    </row>
    <row r="687" spans="1:20">
      <c r="A687" s="9" t="s">
        <v>433</v>
      </c>
      <c r="B687" s="30" t="s">
        <v>553</v>
      </c>
      <c r="C687" s="30" t="str">
        <f>CONCATENATE(VOL_VOLUMEN_SUMINISTROS[[#This Row],[Proyecto]],VOL_VOLUMEN_SUMINISTROS[[#This Row],[J]],VOL_VOLUMEN_SUMINISTROS[[#This Row],[FIN DE SEMANA]])</f>
        <v>1052-2TNO</v>
      </c>
      <c r="D687" s="365" t="str">
        <f>CONCATENATE(VOL_VOLUMEN_SUMINISTROS[[#This Row],[Grupo]],VOL_VOLUMEN_SUMINISTROS[[#This Row],[Proyecto]],VOL_VOLUMEN_SUMINISTROS[[#This Row],[FIN DE SEMANA]])</f>
        <v>71052-2NO</v>
      </c>
      <c r="E687" s="30" t="s">
        <v>183</v>
      </c>
      <c r="F687" s="30" t="s">
        <v>148</v>
      </c>
      <c r="G687" s="365">
        <v>7</v>
      </c>
      <c r="H687" s="30">
        <v>16</v>
      </c>
      <c r="I687" s="9" t="s">
        <v>435</v>
      </c>
      <c r="J687" s="9" t="s">
        <v>548</v>
      </c>
      <c r="K687" s="30">
        <v>2</v>
      </c>
      <c r="L687" s="9" t="s">
        <v>550</v>
      </c>
      <c r="M687" s="30" t="s">
        <v>84</v>
      </c>
      <c r="N687" s="30" t="s">
        <v>155</v>
      </c>
      <c r="O687" s="24">
        <v>0</v>
      </c>
      <c r="P687" s="24">
        <v>0</v>
      </c>
      <c r="Q687" s="24">
        <v>65</v>
      </c>
      <c r="R687" s="24">
        <v>0</v>
      </c>
      <c r="S687" s="24">
        <v>0</v>
      </c>
      <c r="T687" s="24">
        <v>65</v>
      </c>
    </row>
    <row r="688" spans="1:20">
      <c r="A688" s="9" t="s">
        <v>433</v>
      </c>
      <c r="B688" s="30" t="s">
        <v>554</v>
      </c>
      <c r="C688" s="30" t="str">
        <f>CONCATENATE(VOL_VOLUMEN_SUMINISTROS[[#This Row],[Proyecto]],VOL_VOLUMEN_SUMINISTROS[[#This Row],[J]],VOL_VOLUMEN_SUMINISTROS[[#This Row],[FIN DE SEMANA]])</f>
        <v>1052-2MNO</v>
      </c>
      <c r="D688" s="365" t="str">
        <f>CONCATENATE(VOL_VOLUMEN_SUMINISTROS[[#This Row],[Grupo]],VOL_VOLUMEN_SUMINISTROS[[#This Row],[Proyecto]],VOL_VOLUMEN_SUMINISTROS[[#This Row],[FIN DE SEMANA]])</f>
        <v>71052-2NO</v>
      </c>
      <c r="E688" s="30" t="s">
        <v>183</v>
      </c>
      <c r="F688" s="30" t="s">
        <v>148</v>
      </c>
      <c r="G688" s="365">
        <v>7</v>
      </c>
      <c r="H688" s="30">
        <v>16</v>
      </c>
      <c r="I688" s="9" t="s">
        <v>435</v>
      </c>
      <c r="J688" s="9" t="s">
        <v>515</v>
      </c>
      <c r="K688" s="30">
        <v>2</v>
      </c>
      <c r="L688" s="9" t="s">
        <v>165</v>
      </c>
      <c r="M688" s="30" t="s">
        <v>84</v>
      </c>
      <c r="N688" s="30" t="s">
        <v>152</v>
      </c>
      <c r="O688" s="24">
        <v>103</v>
      </c>
      <c r="P688" s="24">
        <v>0</v>
      </c>
      <c r="Q688" s="24">
        <v>0</v>
      </c>
      <c r="R688" s="24">
        <v>0</v>
      </c>
      <c r="S688" s="24">
        <v>0</v>
      </c>
      <c r="T688" s="24">
        <v>103</v>
      </c>
    </row>
    <row r="689" spans="1:20">
      <c r="A689" s="9" t="s">
        <v>433</v>
      </c>
      <c r="B689" s="30" t="s">
        <v>554</v>
      </c>
      <c r="C689" s="30" t="str">
        <f>CONCATENATE(VOL_VOLUMEN_SUMINISTROS[[#This Row],[Proyecto]],VOL_VOLUMEN_SUMINISTROS[[#This Row],[J]],VOL_VOLUMEN_SUMINISTROS[[#This Row],[FIN DE SEMANA]])</f>
        <v>1052-2TNO</v>
      </c>
      <c r="D689" s="365" t="str">
        <f>CONCATENATE(VOL_VOLUMEN_SUMINISTROS[[#This Row],[Grupo]],VOL_VOLUMEN_SUMINISTROS[[#This Row],[Proyecto]],VOL_VOLUMEN_SUMINISTROS[[#This Row],[FIN DE SEMANA]])</f>
        <v>71052-2NO</v>
      </c>
      <c r="E689" s="30" t="s">
        <v>183</v>
      </c>
      <c r="F689" s="30" t="s">
        <v>148</v>
      </c>
      <c r="G689" s="365">
        <v>7</v>
      </c>
      <c r="H689" s="30">
        <v>16</v>
      </c>
      <c r="I689" s="9" t="s">
        <v>435</v>
      </c>
      <c r="J689" s="9" t="s">
        <v>515</v>
      </c>
      <c r="K689" s="30">
        <v>2</v>
      </c>
      <c r="L689" s="9" t="s">
        <v>165</v>
      </c>
      <c r="M689" s="30" t="s">
        <v>84</v>
      </c>
      <c r="N689" s="30" t="s">
        <v>155</v>
      </c>
      <c r="O689" s="24">
        <v>61</v>
      </c>
      <c r="P689" s="24">
        <v>0</v>
      </c>
      <c r="Q689" s="24">
        <v>0</v>
      </c>
      <c r="R689" s="24">
        <v>0</v>
      </c>
      <c r="S689" s="24">
        <v>0</v>
      </c>
      <c r="T689" s="24">
        <v>61</v>
      </c>
    </row>
    <row r="690" spans="1:20">
      <c r="A690" s="9" t="s">
        <v>433</v>
      </c>
      <c r="B690" s="30" t="s">
        <v>554</v>
      </c>
      <c r="C690" s="30" t="str">
        <f>CONCATENATE(VOL_VOLUMEN_SUMINISTROS[[#This Row],[Proyecto]],VOL_VOLUMEN_SUMINISTROS[[#This Row],[J]],VOL_VOLUMEN_SUMINISTROS[[#This Row],[FIN DE SEMANA]])</f>
        <v>1052-2MNO</v>
      </c>
      <c r="D690" s="365" t="str">
        <f>CONCATENATE(VOL_VOLUMEN_SUMINISTROS[[#This Row],[Grupo]],VOL_VOLUMEN_SUMINISTROS[[#This Row],[Proyecto]],VOL_VOLUMEN_SUMINISTROS[[#This Row],[FIN DE SEMANA]])</f>
        <v>71052-2NO</v>
      </c>
      <c r="E690" s="30" t="s">
        <v>183</v>
      </c>
      <c r="F690" s="30" t="s">
        <v>148</v>
      </c>
      <c r="G690" s="365">
        <v>7</v>
      </c>
      <c r="H690" s="30">
        <v>16</v>
      </c>
      <c r="I690" s="9" t="s">
        <v>435</v>
      </c>
      <c r="J690" s="9" t="s">
        <v>526</v>
      </c>
      <c r="K690" s="30">
        <v>2</v>
      </c>
      <c r="L690" s="9" t="s">
        <v>528</v>
      </c>
      <c r="M690" s="30" t="s">
        <v>84</v>
      </c>
      <c r="N690" s="30" t="s">
        <v>152</v>
      </c>
      <c r="O690" s="24">
        <v>79</v>
      </c>
      <c r="P690" s="24">
        <v>0</v>
      </c>
      <c r="Q690" s="24">
        <v>0</v>
      </c>
      <c r="R690" s="24">
        <v>0</v>
      </c>
      <c r="S690" s="24">
        <v>0</v>
      </c>
      <c r="T690" s="24">
        <v>79</v>
      </c>
    </row>
    <row r="691" spans="1:20">
      <c r="A691" s="9" t="s">
        <v>433</v>
      </c>
      <c r="B691" s="30" t="s">
        <v>554</v>
      </c>
      <c r="C691" s="30" t="str">
        <f>CONCATENATE(VOL_VOLUMEN_SUMINISTROS[[#This Row],[Proyecto]],VOL_VOLUMEN_SUMINISTROS[[#This Row],[J]],VOL_VOLUMEN_SUMINISTROS[[#This Row],[FIN DE SEMANA]])</f>
        <v>1052-2MNO</v>
      </c>
      <c r="D691" s="365" t="str">
        <f>CONCATENATE(VOL_VOLUMEN_SUMINISTROS[[#This Row],[Grupo]],VOL_VOLUMEN_SUMINISTROS[[#This Row],[Proyecto]],VOL_VOLUMEN_SUMINISTROS[[#This Row],[FIN DE SEMANA]])</f>
        <v>71052-2NO</v>
      </c>
      <c r="E691" s="30" t="s">
        <v>183</v>
      </c>
      <c r="F691" s="30" t="s">
        <v>148</v>
      </c>
      <c r="G691" s="365">
        <v>7</v>
      </c>
      <c r="H691" s="30">
        <v>16</v>
      </c>
      <c r="I691" s="9" t="s">
        <v>435</v>
      </c>
      <c r="J691" s="9" t="s">
        <v>538</v>
      </c>
      <c r="K691" s="30">
        <v>2</v>
      </c>
      <c r="L691" s="9" t="s">
        <v>540</v>
      </c>
      <c r="M691" s="30" t="s">
        <v>84</v>
      </c>
      <c r="N691" s="30" t="s">
        <v>152</v>
      </c>
      <c r="O691" s="24">
        <v>50</v>
      </c>
      <c r="P691" s="24">
        <v>0</v>
      </c>
      <c r="Q691" s="24">
        <v>0</v>
      </c>
      <c r="R691" s="24">
        <v>0</v>
      </c>
      <c r="S691" s="24">
        <v>0</v>
      </c>
      <c r="T691" s="24">
        <v>50</v>
      </c>
    </row>
    <row r="692" spans="1:20">
      <c r="A692" s="9" t="s">
        <v>433</v>
      </c>
      <c r="B692" s="30" t="s">
        <v>554</v>
      </c>
      <c r="C692" s="30" t="str">
        <f>CONCATENATE(VOL_VOLUMEN_SUMINISTROS[[#This Row],[Proyecto]],VOL_VOLUMEN_SUMINISTROS[[#This Row],[J]],VOL_VOLUMEN_SUMINISTROS[[#This Row],[FIN DE SEMANA]])</f>
        <v>1052-2MNO</v>
      </c>
      <c r="D692" s="365" t="str">
        <f>CONCATENATE(VOL_VOLUMEN_SUMINISTROS[[#This Row],[Grupo]],VOL_VOLUMEN_SUMINISTROS[[#This Row],[Proyecto]],VOL_VOLUMEN_SUMINISTROS[[#This Row],[FIN DE SEMANA]])</f>
        <v>71052-2NO</v>
      </c>
      <c r="E692" s="30" t="s">
        <v>183</v>
      </c>
      <c r="F692" s="30" t="s">
        <v>148</v>
      </c>
      <c r="G692" s="365">
        <v>7</v>
      </c>
      <c r="H692" s="30">
        <v>16</v>
      </c>
      <c r="I692" s="9" t="s">
        <v>435</v>
      </c>
      <c r="J692" s="9" t="s">
        <v>544</v>
      </c>
      <c r="K692" s="30">
        <v>1</v>
      </c>
      <c r="L692" s="9" t="s">
        <v>545</v>
      </c>
      <c r="M692" s="30" t="s">
        <v>84</v>
      </c>
      <c r="N692" s="30" t="s">
        <v>152</v>
      </c>
      <c r="O692" s="24">
        <v>90</v>
      </c>
      <c r="P692" s="24">
        <v>0</v>
      </c>
      <c r="Q692" s="24">
        <v>0</v>
      </c>
      <c r="R692" s="24">
        <v>0</v>
      </c>
      <c r="S692" s="24">
        <v>0</v>
      </c>
      <c r="T692" s="24">
        <v>90</v>
      </c>
    </row>
    <row r="693" spans="1:20">
      <c r="A693" s="9" t="s">
        <v>555</v>
      </c>
      <c r="B693" s="30" t="s">
        <v>556</v>
      </c>
      <c r="C693" s="30" t="str">
        <f>CONCATENATE(VOL_VOLUMEN_SUMINISTROS[[#This Row],[Proyecto]],VOL_VOLUMEN_SUMINISTROS[[#This Row],[J]],VOL_VOLUMEN_SUMINISTROS[[#This Row],[FIN DE SEMANA]])</f>
        <v>1052-1MNO</v>
      </c>
      <c r="D693" s="365" t="str">
        <f>CONCATENATE(VOL_VOLUMEN_SUMINISTROS[[#This Row],[Grupo]],VOL_VOLUMEN_SUMINISTROS[[#This Row],[Proyecto]],VOL_VOLUMEN_SUMINISTROS[[#This Row],[FIN DE SEMANA]])</f>
        <v>141052-1NO</v>
      </c>
      <c r="E693" s="30" t="s">
        <v>147</v>
      </c>
      <c r="F693" s="30" t="s">
        <v>148</v>
      </c>
      <c r="G693" s="365">
        <v>14</v>
      </c>
      <c r="H693" s="30">
        <v>14</v>
      </c>
      <c r="I693" s="9" t="s">
        <v>557</v>
      </c>
      <c r="J693" s="9" t="s">
        <v>558</v>
      </c>
      <c r="K693" s="30">
        <v>1</v>
      </c>
      <c r="L693" s="9" t="s">
        <v>153</v>
      </c>
      <c r="M693" s="30" t="s">
        <v>84</v>
      </c>
      <c r="N693" s="30" t="s">
        <v>152</v>
      </c>
      <c r="O693" s="24">
        <v>142</v>
      </c>
      <c r="P693" s="24">
        <v>305</v>
      </c>
      <c r="Q693" s="24">
        <v>331</v>
      </c>
      <c r="R693" s="24">
        <v>0</v>
      </c>
      <c r="S693" s="24">
        <v>0</v>
      </c>
      <c r="T693" s="24">
        <v>778</v>
      </c>
    </row>
    <row r="694" spans="1:20">
      <c r="A694" s="9" t="s">
        <v>555</v>
      </c>
      <c r="B694" s="30" t="s">
        <v>556</v>
      </c>
      <c r="C694" s="30" t="str">
        <f>CONCATENATE(VOL_VOLUMEN_SUMINISTROS[[#This Row],[Proyecto]],VOL_VOLUMEN_SUMINISTROS[[#This Row],[J]],VOL_VOLUMEN_SUMINISTROS[[#This Row],[FIN DE SEMANA]])</f>
        <v>1052-1TNO</v>
      </c>
      <c r="D694" s="365" t="str">
        <f>CONCATENATE(VOL_VOLUMEN_SUMINISTROS[[#This Row],[Grupo]],VOL_VOLUMEN_SUMINISTROS[[#This Row],[Proyecto]],VOL_VOLUMEN_SUMINISTROS[[#This Row],[FIN DE SEMANA]])</f>
        <v>141052-1NO</v>
      </c>
      <c r="E694" s="30" t="s">
        <v>147</v>
      </c>
      <c r="F694" s="30" t="s">
        <v>148</v>
      </c>
      <c r="G694" s="365">
        <v>14</v>
      </c>
      <c r="H694" s="30">
        <v>14</v>
      </c>
      <c r="I694" s="9" t="s">
        <v>557</v>
      </c>
      <c r="J694" s="9" t="s">
        <v>558</v>
      </c>
      <c r="K694" s="30">
        <v>1</v>
      </c>
      <c r="L694" s="9" t="s">
        <v>153</v>
      </c>
      <c r="M694" s="30" t="s">
        <v>84</v>
      </c>
      <c r="N694" s="30" t="s">
        <v>155</v>
      </c>
      <c r="O694" s="24">
        <v>114</v>
      </c>
      <c r="P694" s="24">
        <v>276</v>
      </c>
      <c r="Q694" s="24">
        <v>234</v>
      </c>
      <c r="R694" s="24">
        <v>0</v>
      </c>
      <c r="S694" s="24">
        <v>0</v>
      </c>
      <c r="T694" s="24">
        <v>624</v>
      </c>
    </row>
    <row r="695" spans="1:20">
      <c r="A695" s="9" t="s">
        <v>555</v>
      </c>
      <c r="B695" s="30" t="s">
        <v>556</v>
      </c>
      <c r="C695" s="30" t="str">
        <f>CONCATENATE(VOL_VOLUMEN_SUMINISTROS[[#This Row],[Proyecto]],VOL_VOLUMEN_SUMINISTROS[[#This Row],[J]],VOL_VOLUMEN_SUMINISTROS[[#This Row],[FIN DE SEMANA]])</f>
        <v>1052-1MNO</v>
      </c>
      <c r="D695" s="365" t="str">
        <f>CONCATENATE(VOL_VOLUMEN_SUMINISTROS[[#This Row],[Grupo]],VOL_VOLUMEN_SUMINISTROS[[#This Row],[Proyecto]],VOL_VOLUMEN_SUMINISTROS[[#This Row],[FIN DE SEMANA]])</f>
        <v>141052-1NO</v>
      </c>
      <c r="E695" s="30" t="s">
        <v>147</v>
      </c>
      <c r="F695" s="30" t="s">
        <v>148</v>
      </c>
      <c r="G695" s="365">
        <v>14</v>
      </c>
      <c r="H695" s="30">
        <v>14</v>
      </c>
      <c r="I695" s="9" t="s">
        <v>557</v>
      </c>
      <c r="J695" s="9" t="s">
        <v>558</v>
      </c>
      <c r="K695" s="30">
        <v>2</v>
      </c>
      <c r="L695" s="9" t="s">
        <v>165</v>
      </c>
      <c r="M695" s="30" t="s">
        <v>84</v>
      </c>
      <c r="N695" s="30" t="s">
        <v>152</v>
      </c>
      <c r="O695" s="24">
        <v>124</v>
      </c>
      <c r="P695" s="24">
        <v>0</v>
      </c>
      <c r="Q695" s="24">
        <v>0</v>
      </c>
      <c r="R695" s="24">
        <v>0</v>
      </c>
      <c r="S695" s="24">
        <v>0</v>
      </c>
      <c r="T695" s="24">
        <v>124</v>
      </c>
    </row>
    <row r="696" spans="1:20">
      <c r="A696" s="9" t="s">
        <v>555</v>
      </c>
      <c r="B696" s="30" t="s">
        <v>556</v>
      </c>
      <c r="C696" s="30" t="str">
        <f>CONCATENATE(VOL_VOLUMEN_SUMINISTROS[[#This Row],[Proyecto]],VOL_VOLUMEN_SUMINISTROS[[#This Row],[J]],VOL_VOLUMEN_SUMINISTROS[[#This Row],[FIN DE SEMANA]])</f>
        <v>1052-1TNO</v>
      </c>
      <c r="D696" s="365" t="str">
        <f>CONCATENATE(VOL_VOLUMEN_SUMINISTROS[[#This Row],[Grupo]],VOL_VOLUMEN_SUMINISTROS[[#This Row],[Proyecto]],VOL_VOLUMEN_SUMINISTROS[[#This Row],[FIN DE SEMANA]])</f>
        <v>141052-1NO</v>
      </c>
      <c r="E696" s="30" t="s">
        <v>147</v>
      </c>
      <c r="F696" s="30" t="s">
        <v>148</v>
      </c>
      <c r="G696" s="365">
        <v>14</v>
      </c>
      <c r="H696" s="30">
        <v>14</v>
      </c>
      <c r="I696" s="9" t="s">
        <v>557</v>
      </c>
      <c r="J696" s="9" t="s">
        <v>558</v>
      </c>
      <c r="K696" s="30">
        <v>2</v>
      </c>
      <c r="L696" s="9" t="s">
        <v>165</v>
      </c>
      <c r="M696" s="30" t="s">
        <v>84</v>
      </c>
      <c r="N696" s="30" t="s">
        <v>155</v>
      </c>
      <c r="O696" s="24">
        <v>31</v>
      </c>
      <c r="P696" s="24">
        <v>0</v>
      </c>
      <c r="Q696" s="24">
        <v>0</v>
      </c>
      <c r="R696" s="24">
        <v>0</v>
      </c>
      <c r="S696" s="24">
        <v>0</v>
      </c>
      <c r="T696" s="24">
        <v>31</v>
      </c>
    </row>
    <row r="697" spans="1:20">
      <c r="A697" s="9" t="s">
        <v>555</v>
      </c>
      <c r="B697" s="30" t="s">
        <v>556</v>
      </c>
      <c r="C697" s="30" t="str">
        <f>CONCATENATE(VOL_VOLUMEN_SUMINISTROS[[#This Row],[Proyecto]],VOL_VOLUMEN_SUMINISTROS[[#This Row],[J]],VOL_VOLUMEN_SUMINISTROS[[#This Row],[FIN DE SEMANA]])</f>
        <v>1052-1MNO</v>
      </c>
      <c r="D697" s="365" t="str">
        <f>CONCATENATE(VOL_VOLUMEN_SUMINISTROS[[#This Row],[Grupo]],VOL_VOLUMEN_SUMINISTROS[[#This Row],[Proyecto]],VOL_VOLUMEN_SUMINISTROS[[#This Row],[FIN DE SEMANA]])</f>
        <v>141052-1NO</v>
      </c>
      <c r="E697" s="30" t="s">
        <v>147</v>
      </c>
      <c r="F697" s="30" t="s">
        <v>148</v>
      </c>
      <c r="G697" s="365">
        <v>14</v>
      </c>
      <c r="H697" s="30">
        <v>14</v>
      </c>
      <c r="I697" s="9" t="s">
        <v>557</v>
      </c>
      <c r="J697" s="9" t="s">
        <v>559</v>
      </c>
      <c r="K697" s="30">
        <v>1</v>
      </c>
      <c r="L697" s="9" t="s">
        <v>153</v>
      </c>
      <c r="M697" s="30" t="s">
        <v>84</v>
      </c>
      <c r="N697" s="30" t="s">
        <v>152</v>
      </c>
      <c r="O697" s="24">
        <v>0</v>
      </c>
      <c r="P697" s="24">
        <v>123</v>
      </c>
      <c r="Q697" s="24">
        <v>204</v>
      </c>
      <c r="R697" s="24">
        <v>0</v>
      </c>
      <c r="S697" s="24">
        <v>0</v>
      </c>
      <c r="T697" s="24">
        <v>327</v>
      </c>
    </row>
    <row r="698" spans="1:20">
      <c r="A698" s="9" t="s">
        <v>555</v>
      </c>
      <c r="B698" s="30" t="s">
        <v>556</v>
      </c>
      <c r="C698" s="30" t="str">
        <f>CONCATENATE(VOL_VOLUMEN_SUMINISTROS[[#This Row],[Proyecto]],VOL_VOLUMEN_SUMINISTROS[[#This Row],[J]],VOL_VOLUMEN_SUMINISTROS[[#This Row],[FIN DE SEMANA]])</f>
        <v>1052-1TNO</v>
      </c>
      <c r="D698" s="365" t="str">
        <f>CONCATENATE(VOL_VOLUMEN_SUMINISTROS[[#This Row],[Grupo]],VOL_VOLUMEN_SUMINISTROS[[#This Row],[Proyecto]],VOL_VOLUMEN_SUMINISTROS[[#This Row],[FIN DE SEMANA]])</f>
        <v>141052-1NO</v>
      </c>
      <c r="E698" s="30" t="s">
        <v>147</v>
      </c>
      <c r="F698" s="30" t="s">
        <v>148</v>
      </c>
      <c r="G698" s="365">
        <v>14</v>
      </c>
      <c r="H698" s="30">
        <v>14</v>
      </c>
      <c r="I698" s="9" t="s">
        <v>557</v>
      </c>
      <c r="J698" s="9" t="s">
        <v>559</v>
      </c>
      <c r="K698" s="30">
        <v>1</v>
      </c>
      <c r="L698" s="9" t="s">
        <v>153</v>
      </c>
      <c r="M698" s="30" t="s">
        <v>84</v>
      </c>
      <c r="N698" s="30" t="s">
        <v>155</v>
      </c>
      <c r="O698" s="24">
        <v>14</v>
      </c>
      <c r="P698" s="24">
        <v>139</v>
      </c>
      <c r="Q698" s="24">
        <v>142</v>
      </c>
      <c r="R698" s="24">
        <v>0</v>
      </c>
      <c r="S698" s="24">
        <v>0</v>
      </c>
      <c r="T698" s="24">
        <v>295</v>
      </c>
    </row>
    <row r="699" spans="1:20">
      <c r="A699" s="9" t="s">
        <v>555</v>
      </c>
      <c r="B699" s="30" t="s">
        <v>556</v>
      </c>
      <c r="C699" s="30" t="str">
        <f>CONCATENATE(VOL_VOLUMEN_SUMINISTROS[[#This Row],[Proyecto]],VOL_VOLUMEN_SUMINISTROS[[#This Row],[J]],VOL_VOLUMEN_SUMINISTROS[[#This Row],[FIN DE SEMANA]])</f>
        <v>1052-1MNO</v>
      </c>
      <c r="D699" s="365" t="str">
        <f>CONCATENATE(VOL_VOLUMEN_SUMINISTROS[[#This Row],[Grupo]],VOL_VOLUMEN_SUMINISTROS[[#This Row],[Proyecto]],VOL_VOLUMEN_SUMINISTROS[[#This Row],[FIN DE SEMANA]])</f>
        <v>141052-1NO</v>
      </c>
      <c r="E699" s="30" t="s">
        <v>147</v>
      </c>
      <c r="F699" s="30" t="s">
        <v>148</v>
      </c>
      <c r="G699" s="365">
        <v>14</v>
      </c>
      <c r="H699" s="30">
        <v>14</v>
      </c>
      <c r="I699" s="9" t="s">
        <v>557</v>
      </c>
      <c r="J699" s="9" t="s">
        <v>559</v>
      </c>
      <c r="K699" s="30">
        <v>2</v>
      </c>
      <c r="L699" s="9" t="s">
        <v>165</v>
      </c>
      <c r="M699" s="30" t="s">
        <v>84</v>
      </c>
      <c r="N699" s="30" t="s">
        <v>152</v>
      </c>
      <c r="O699" s="24">
        <v>116</v>
      </c>
      <c r="P699" s="24">
        <v>69</v>
      </c>
      <c r="Q699" s="24">
        <v>9</v>
      </c>
      <c r="R699" s="24">
        <v>0</v>
      </c>
      <c r="S699" s="24">
        <v>0</v>
      </c>
      <c r="T699" s="24">
        <v>194</v>
      </c>
    </row>
    <row r="700" spans="1:20">
      <c r="A700" s="9" t="s">
        <v>555</v>
      </c>
      <c r="B700" s="30" t="s">
        <v>556</v>
      </c>
      <c r="C700" s="30" t="str">
        <f>CONCATENATE(VOL_VOLUMEN_SUMINISTROS[[#This Row],[Proyecto]],VOL_VOLUMEN_SUMINISTROS[[#This Row],[J]],VOL_VOLUMEN_SUMINISTROS[[#This Row],[FIN DE SEMANA]])</f>
        <v>1052-1TNO</v>
      </c>
      <c r="D700" s="365" t="str">
        <f>CONCATENATE(VOL_VOLUMEN_SUMINISTROS[[#This Row],[Grupo]],VOL_VOLUMEN_SUMINISTROS[[#This Row],[Proyecto]],VOL_VOLUMEN_SUMINISTROS[[#This Row],[FIN DE SEMANA]])</f>
        <v>141052-1NO</v>
      </c>
      <c r="E700" s="30" t="s">
        <v>147</v>
      </c>
      <c r="F700" s="30" t="s">
        <v>148</v>
      </c>
      <c r="G700" s="365">
        <v>14</v>
      </c>
      <c r="H700" s="30">
        <v>14</v>
      </c>
      <c r="I700" s="9" t="s">
        <v>557</v>
      </c>
      <c r="J700" s="9" t="s">
        <v>559</v>
      </c>
      <c r="K700" s="30">
        <v>2</v>
      </c>
      <c r="L700" s="9" t="s">
        <v>165</v>
      </c>
      <c r="M700" s="30" t="s">
        <v>84</v>
      </c>
      <c r="N700" s="30" t="s">
        <v>155</v>
      </c>
      <c r="O700" s="24">
        <v>120</v>
      </c>
      <c r="P700" s="24">
        <v>56</v>
      </c>
      <c r="Q700" s="24">
        <v>4</v>
      </c>
      <c r="R700" s="24">
        <v>0</v>
      </c>
      <c r="S700" s="24">
        <v>0</v>
      </c>
      <c r="T700" s="24">
        <v>180</v>
      </c>
    </row>
    <row r="701" spans="1:20">
      <c r="A701" s="9" t="s">
        <v>555</v>
      </c>
      <c r="B701" s="30" t="s">
        <v>556</v>
      </c>
      <c r="C701" s="30" t="str">
        <f>CONCATENATE(VOL_VOLUMEN_SUMINISTROS[[#This Row],[Proyecto]],VOL_VOLUMEN_SUMINISTROS[[#This Row],[J]],VOL_VOLUMEN_SUMINISTROS[[#This Row],[FIN DE SEMANA]])</f>
        <v>1052-1MNO</v>
      </c>
      <c r="D701" s="365" t="str">
        <f>CONCATENATE(VOL_VOLUMEN_SUMINISTROS[[#This Row],[Grupo]],VOL_VOLUMEN_SUMINISTROS[[#This Row],[Proyecto]],VOL_VOLUMEN_SUMINISTROS[[#This Row],[FIN DE SEMANA]])</f>
        <v>141052-1NO</v>
      </c>
      <c r="E701" s="30" t="s">
        <v>147</v>
      </c>
      <c r="F701" s="30" t="s">
        <v>148</v>
      </c>
      <c r="G701" s="365">
        <v>14</v>
      </c>
      <c r="H701" s="30">
        <v>14</v>
      </c>
      <c r="I701" s="9" t="s">
        <v>557</v>
      </c>
      <c r="J701" s="9" t="s">
        <v>560</v>
      </c>
      <c r="K701" s="30">
        <v>1</v>
      </c>
      <c r="L701" s="9" t="s">
        <v>561</v>
      </c>
      <c r="M701" s="30" t="s">
        <v>84</v>
      </c>
      <c r="N701" s="30" t="s">
        <v>152</v>
      </c>
      <c r="O701" s="24">
        <v>0</v>
      </c>
      <c r="P701" s="24">
        <v>141</v>
      </c>
      <c r="Q701" s="24">
        <v>386</v>
      </c>
      <c r="R701" s="24">
        <v>0</v>
      </c>
      <c r="S701" s="24">
        <v>0</v>
      </c>
      <c r="T701" s="24">
        <v>527</v>
      </c>
    </row>
    <row r="702" spans="1:20">
      <c r="A702" s="9" t="s">
        <v>555</v>
      </c>
      <c r="B702" s="30" t="s">
        <v>556</v>
      </c>
      <c r="C702" s="30" t="str">
        <f>CONCATENATE(VOL_VOLUMEN_SUMINISTROS[[#This Row],[Proyecto]],VOL_VOLUMEN_SUMINISTROS[[#This Row],[J]],VOL_VOLUMEN_SUMINISTROS[[#This Row],[FIN DE SEMANA]])</f>
        <v>1052-1TNO</v>
      </c>
      <c r="D702" s="365" t="str">
        <f>CONCATENATE(VOL_VOLUMEN_SUMINISTROS[[#This Row],[Grupo]],VOL_VOLUMEN_SUMINISTROS[[#This Row],[Proyecto]],VOL_VOLUMEN_SUMINISTROS[[#This Row],[FIN DE SEMANA]])</f>
        <v>141052-1NO</v>
      </c>
      <c r="E702" s="30" t="s">
        <v>147</v>
      </c>
      <c r="F702" s="30" t="s">
        <v>148</v>
      </c>
      <c r="G702" s="365">
        <v>14</v>
      </c>
      <c r="H702" s="30">
        <v>14</v>
      </c>
      <c r="I702" s="9" t="s">
        <v>557</v>
      </c>
      <c r="J702" s="9" t="s">
        <v>560</v>
      </c>
      <c r="K702" s="30">
        <v>1</v>
      </c>
      <c r="L702" s="9" t="s">
        <v>561</v>
      </c>
      <c r="M702" s="30" t="s">
        <v>84</v>
      </c>
      <c r="N702" s="30" t="s">
        <v>155</v>
      </c>
      <c r="O702" s="24">
        <v>0</v>
      </c>
      <c r="P702" s="24">
        <v>135</v>
      </c>
      <c r="Q702" s="24">
        <v>357</v>
      </c>
      <c r="R702" s="24">
        <v>0</v>
      </c>
      <c r="S702" s="24">
        <v>0</v>
      </c>
      <c r="T702" s="24">
        <v>492</v>
      </c>
    </row>
    <row r="703" spans="1:20">
      <c r="A703" s="9" t="s">
        <v>555</v>
      </c>
      <c r="B703" s="30" t="s">
        <v>556</v>
      </c>
      <c r="C703" s="30" t="str">
        <f>CONCATENATE(VOL_VOLUMEN_SUMINISTROS[[#This Row],[Proyecto]],VOL_VOLUMEN_SUMINISTROS[[#This Row],[J]],VOL_VOLUMEN_SUMINISTROS[[#This Row],[FIN DE SEMANA]])</f>
        <v>1052-1MNO</v>
      </c>
      <c r="D703" s="365" t="str">
        <f>CONCATENATE(VOL_VOLUMEN_SUMINISTROS[[#This Row],[Grupo]],VOL_VOLUMEN_SUMINISTROS[[#This Row],[Proyecto]],VOL_VOLUMEN_SUMINISTROS[[#This Row],[FIN DE SEMANA]])</f>
        <v>141052-1NO</v>
      </c>
      <c r="E703" s="30" t="s">
        <v>147</v>
      </c>
      <c r="F703" s="30" t="s">
        <v>148</v>
      </c>
      <c r="G703" s="365">
        <v>14</v>
      </c>
      <c r="H703" s="30">
        <v>14</v>
      </c>
      <c r="I703" s="9" t="s">
        <v>557</v>
      </c>
      <c r="J703" s="9" t="s">
        <v>560</v>
      </c>
      <c r="K703" s="30">
        <v>2</v>
      </c>
      <c r="L703" s="9" t="s">
        <v>165</v>
      </c>
      <c r="M703" s="30" t="s">
        <v>84</v>
      </c>
      <c r="N703" s="30" t="s">
        <v>152</v>
      </c>
      <c r="O703" s="24">
        <v>191</v>
      </c>
      <c r="P703" s="24">
        <v>169</v>
      </c>
      <c r="Q703" s="24">
        <v>34</v>
      </c>
      <c r="R703" s="24">
        <v>0</v>
      </c>
      <c r="S703" s="24">
        <v>0</v>
      </c>
      <c r="T703" s="24">
        <v>394</v>
      </c>
    </row>
    <row r="704" spans="1:20">
      <c r="A704" s="9" t="s">
        <v>555</v>
      </c>
      <c r="B704" s="30" t="s">
        <v>556</v>
      </c>
      <c r="C704" s="30" t="str">
        <f>CONCATENATE(VOL_VOLUMEN_SUMINISTROS[[#This Row],[Proyecto]],VOL_VOLUMEN_SUMINISTROS[[#This Row],[J]],VOL_VOLUMEN_SUMINISTROS[[#This Row],[FIN DE SEMANA]])</f>
        <v>1052-1TNO</v>
      </c>
      <c r="D704" s="365" t="str">
        <f>CONCATENATE(VOL_VOLUMEN_SUMINISTROS[[#This Row],[Grupo]],VOL_VOLUMEN_SUMINISTROS[[#This Row],[Proyecto]],VOL_VOLUMEN_SUMINISTROS[[#This Row],[FIN DE SEMANA]])</f>
        <v>141052-1NO</v>
      </c>
      <c r="E704" s="30" t="s">
        <v>147</v>
      </c>
      <c r="F704" s="30" t="s">
        <v>148</v>
      </c>
      <c r="G704" s="365">
        <v>14</v>
      </c>
      <c r="H704" s="30">
        <v>14</v>
      </c>
      <c r="I704" s="9" t="s">
        <v>557</v>
      </c>
      <c r="J704" s="9" t="s">
        <v>560</v>
      </c>
      <c r="K704" s="30">
        <v>2</v>
      </c>
      <c r="L704" s="9" t="s">
        <v>165</v>
      </c>
      <c r="M704" s="30" t="s">
        <v>84</v>
      </c>
      <c r="N704" s="30" t="s">
        <v>155</v>
      </c>
      <c r="O704" s="24">
        <v>175</v>
      </c>
      <c r="P704" s="24">
        <v>190</v>
      </c>
      <c r="Q704" s="24">
        <v>41</v>
      </c>
      <c r="R704" s="24">
        <v>0</v>
      </c>
      <c r="S704" s="24">
        <v>0</v>
      </c>
      <c r="T704" s="24">
        <v>406</v>
      </c>
    </row>
    <row r="705" spans="1:20">
      <c r="A705" s="9" t="s">
        <v>555</v>
      </c>
      <c r="B705" s="30" t="s">
        <v>556</v>
      </c>
      <c r="C705" s="30" t="str">
        <f>CONCATENATE(VOL_VOLUMEN_SUMINISTROS[[#This Row],[Proyecto]],VOL_VOLUMEN_SUMINISTROS[[#This Row],[J]],VOL_VOLUMEN_SUMINISTROS[[#This Row],[FIN DE SEMANA]])</f>
        <v>1052-1MNO</v>
      </c>
      <c r="D705" s="365" t="str">
        <f>CONCATENATE(VOL_VOLUMEN_SUMINISTROS[[#This Row],[Grupo]],VOL_VOLUMEN_SUMINISTROS[[#This Row],[Proyecto]],VOL_VOLUMEN_SUMINISTROS[[#This Row],[FIN DE SEMANA]])</f>
        <v>141052-1NO</v>
      </c>
      <c r="E705" s="30" t="s">
        <v>147</v>
      </c>
      <c r="F705" s="30" t="s">
        <v>148</v>
      </c>
      <c r="G705" s="365">
        <v>14</v>
      </c>
      <c r="H705" s="30">
        <v>14</v>
      </c>
      <c r="I705" s="9" t="s">
        <v>557</v>
      </c>
      <c r="J705" s="9" t="s">
        <v>562</v>
      </c>
      <c r="K705" s="30">
        <v>1</v>
      </c>
      <c r="L705" s="9" t="s">
        <v>563</v>
      </c>
      <c r="M705" s="30" t="s">
        <v>84</v>
      </c>
      <c r="N705" s="30" t="s">
        <v>152</v>
      </c>
      <c r="O705" s="24">
        <v>104</v>
      </c>
      <c r="P705" s="24">
        <v>205</v>
      </c>
      <c r="Q705" s="24">
        <v>246</v>
      </c>
      <c r="R705" s="24">
        <v>0</v>
      </c>
      <c r="S705" s="24">
        <v>0</v>
      </c>
      <c r="T705" s="24">
        <v>555</v>
      </c>
    </row>
    <row r="706" spans="1:20">
      <c r="A706" s="9" t="s">
        <v>555</v>
      </c>
      <c r="B706" s="30" t="s">
        <v>556</v>
      </c>
      <c r="C706" s="30" t="str">
        <f>CONCATENATE(VOL_VOLUMEN_SUMINISTROS[[#This Row],[Proyecto]],VOL_VOLUMEN_SUMINISTROS[[#This Row],[J]],VOL_VOLUMEN_SUMINISTROS[[#This Row],[FIN DE SEMANA]])</f>
        <v>1052-1TNO</v>
      </c>
      <c r="D706" s="365" t="str">
        <f>CONCATENATE(VOL_VOLUMEN_SUMINISTROS[[#This Row],[Grupo]],VOL_VOLUMEN_SUMINISTROS[[#This Row],[Proyecto]],VOL_VOLUMEN_SUMINISTROS[[#This Row],[FIN DE SEMANA]])</f>
        <v>141052-1NO</v>
      </c>
      <c r="E706" s="30" t="s">
        <v>147</v>
      </c>
      <c r="F706" s="30" t="s">
        <v>148</v>
      </c>
      <c r="G706" s="365">
        <v>14</v>
      </c>
      <c r="H706" s="30">
        <v>14</v>
      </c>
      <c r="I706" s="9" t="s">
        <v>557</v>
      </c>
      <c r="J706" s="9" t="s">
        <v>562</v>
      </c>
      <c r="K706" s="30">
        <v>1</v>
      </c>
      <c r="L706" s="9" t="s">
        <v>563</v>
      </c>
      <c r="M706" s="30" t="s">
        <v>84</v>
      </c>
      <c r="N706" s="30" t="s">
        <v>155</v>
      </c>
      <c r="O706" s="24">
        <v>112</v>
      </c>
      <c r="P706" s="24">
        <v>227</v>
      </c>
      <c r="Q706" s="24">
        <v>265</v>
      </c>
      <c r="R706" s="24">
        <v>0</v>
      </c>
      <c r="S706" s="24">
        <v>0</v>
      </c>
      <c r="T706" s="24">
        <v>604</v>
      </c>
    </row>
    <row r="707" spans="1:20">
      <c r="A707" s="9" t="s">
        <v>555</v>
      </c>
      <c r="B707" s="30" t="s">
        <v>556</v>
      </c>
      <c r="C707" s="30" t="str">
        <f>CONCATENATE(VOL_VOLUMEN_SUMINISTROS[[#This Row],[Proyecto]],VOL_VOLUMEN_SUMINISTROS[[#This Row],[J]],VOL_VOLUMEN_SUMINISTROS[[#This Row],[FIN DE SEMANA]])</f>
        <v>1052-1MNO</v>
      </c>
      <c r="D707" s="365" t="str">
        <f>CONCATENATE(VOL_VOLUMEN_SUMINISTROS[[#This Row],[Grupo]],VOL_VOLUMEN_SUMINISTROS[[#This Row],[Proyecto]],VOL_VOLUMEN_SUMINISTROS[[#This Row],[FIN DE SEMANA]])</f>
        <v>141052-1NO</v>
      </c>
      <c r="E707" s="30" t="s">
        <v>147</v>
      </c>
      <c r="F707" s="30" t="s">
        <v>148</v>
      </c>
      <c r="G707" s="365">
        <v>14</v>
      </c>
      <c r="H707" s="30">
        <v>14</v>
      </c>
      <c r="I707" s="9" t="s">
        <v>557</v>
      </c>
      <c r="J707" s="9" t="s">
        <v>562</v>
      </c>
      <c r="K707" s="30">
        <v>2</v>
      </c>
      <c r="L707" s="9" t="s">
        <v>165</v>
      </c>
      <c r="M707" s="30" t="s">
        <v>84</v>
      </c>
      <c r="N707" s="30" t="s">
        <v>152</v>
      </c>
      <c r="O707" s="24">
        <v>90</v>
      </c>
      <c r="P707" s="24">
        <v>0</v>
      </c>
      <c r="Q707" s="24">
        <v>0</v>
      </c>
      <c r="R707" s="24">
        <v>0</v>
      </c>
      <c r="S707" s="24">
        <v>0</v>
      </c>
      <c r="T707" s="24">
        <v>90</v>
      </c>
    </row>
    <row r="708" spans="1:20">
      <c r="A708" s="9" t="s">
        <v>555</v>
      </c>
      <c r="B708" s="30" t="s">
        <v>556</v>
      </c>
      <c r="C708" s="30" t="str">
        <f>CONCATENATE(VOL_VOLUMEN_SUMINISTROS[[#This Row],[Proyecto]],VOL_VOLUMEN_SUMINISTROS[[#This Row],[J]],VOL_VOLUMEN_SUMINISTROS[[#This Row],[FIN DE SEMANA]])</f>
        <v>1052-1TNO</v>
      </c>
      <c r="D708" s="365" t="str">
        <f>CONCATENATE(VOL_VOLUMEN_SUMINISTROS[[#This Row],[Grupo]],VOL_VOLUMEN_SUMINISTROS[[#This Row],[Proyecto]],VOL_VOLUMEN_SUMINISTROS[[#This Row],[FIN DE SEMANA]])</f>
        <v>141052-1NO</v>
      </c>
      <c r="E708" s="30" t="s">
        <v>147</v>
      </c>
      <c r="F708" s="30" t="s">
        <v>148</v>
      </c>
      <c r="G708" s="365">
        <v>14</v>
      </c>
      <c r="H708" s="30">
        <v>14</v>
      </c>
      <c r="I708" s="9" t="s">
        <v>557</v>
      </c>
      <c r="J708" s="9" t="s">
        <v>562</v>
      </c>
      <c r="K708" s="30">
        <v>2</v>
      </c>
      <c r="L708" s="9" t="s">
        <v>165</v>
      </c>
      <c r="M708" s="30" t="s">
        <v>84</v>
      </c>
      <c r="N708" s="30" t="s">
        <v>155</v>
      </c>
      <c r="O708" s="24">
        <v>90</v>
      </c>
      <c r="P708" s="24">
        <v>0</v>
      </c>
      <c r="Q708" s="24">
        <v>0</v>
      </c>
      <c r="R708" s="24">
        <v>0</v>
      </c>
      <c r="S708" s="24">
        <v>0</v>
      </c>
      <c r="T708" s="24">
        <v>90</v>
      </c>
    </row>
    <row r="709" spans="1:20">
      <c r="A709" s="9" t="s">
        <v>555</v>
      </c>
      <c r="B709" s="30" t="s">
        <v>556</v>
      </c>
      <c r="C709" s="30" t="str">
        <f>CONCATENATE(VOL_VOLUMEN_SUMINISTROS[[#This Row],[Proyecto]],VOL_VOLUMEN_SUMINISTROS[[#This Row],[J]],VOL_VOLUMEN_SUMINISTROS[[#This Row],[FIN DE SEMANA]])</f>
        <v>1052-1MNO</v>
      </c>
      <c r="D709" s="365" t="str">
        <f>CONCATENATE(VOL_VOLUMEN_SUMINISTROS[[#This Row],[Grupo]],VOL_VOLUMEN_SUMINISTROS[[#This Row],[Proyecto]],VOL_VOLUMEN_SUMINISTROS[[#This Row],[FIN DE SEMANA]])</f>
        <v>141052-1NO</v>
      </c>
      <c r="E709" s="30" t="s">
        <v>147</v>
      </c>
      <c r="F709" s="30" t="s">
        <v>148</v>
      </c>
      <c r="G709" s="365">
        <v>14</v>
      </c>
      <c r="H709" s="30">
        <v>14</v>
      </c>
      <c r="I709" s="9" t="s">
        <v>557</v>
      </c>
      <c r="J709" s="9" t="s">
        <v>564</v>
      </c>
      <c r="K709" s="30">
        <v>1</v>
      </c>
      <c r="L709" s="9" t="s">
        <v>565</v>
      </c>
      <c r="M709" s="30" t="s">
        <v>84</v>
      </c>
      <c r="N709" s="30" t="s">
        <v>152</v>
      </c>
      <c r="O709" s="24">
        <v>101</v>
      </c>
      <c r="P709" s="24">
        <v>115</v>
      </c>
      <c r="Q709" s="24">
        <v>25</v>
      </c>
      <c r="R709" s="24">
        <v>0</v>
      </c>
      <c r="S709" s="24">
        <v>0</v>
      </c>
      <c r="T709" s="24">
        <v>241</v>
      </c>
    </row>
    <row r="710" spans="1:20">
      <c r="A710" s="9" t="s">
        <v>555</v>
      </c>
      <c r="B710" s="30" t="s">
        <v>556</v>
      </c>
      <c r="C710" s="30" t="str">
        <f>CONCATENATE(VOL_VOLUMEN_SUMINISTROS[[#This Row],[Proyecto]],VOL_VOLUMEN_SUMINISTROS[[#This Row],[J]],VOL_VOLUMEN_SUMINISTROS[[#This Row],[FIN DE SEMANA]])</f>
        <v>1052-1NNO</v>
      </c>
      <c r="D710" s="365" t="str">
        <f>CONCATENATE(VOL_VOLUMEN_SUMINISTROS[[#This Row],[Grupo]],VOL_VOLUMEN_SUMINISTROS[[#This Row],[Proyecto]],VOL_VOLUMEN_SUMINISTROS[[#This Row],[FIN DE SEMANA]])</f>
        <v>141052-1NO</v>
      </c>
      <c r="E710" s="30" t="s">
        <v>147</v>
      </c>
      <c r="F710" s="30" t="s">
        <v>148</v>
      </c>
      <c r="G710" s="365">
        <v>14</v>
      </c>
      <c r="H710" s="30">
        <v>14</v>
      </c>
      <c r="I710" s="9" t="s">
        <v>557</v>
      </c>
      <c r="J710" s="9" t="s">
        <v>564</v>
      </c>
      <c r="K710" s="30">
        <v>1</v>
      </c>
      <c r="L710" s="9" t="s">
        <v>566</v>
      </c>
      <c r="M710" s="30" t="s">
        <v>84</v>
      </c>
      <c r="N710" s="30" t="s">
        <v>154</v>
      </c>
      <c r="O710" s="24">
        <v>0</v>
      </c>
      <c r="P710" s="24">
        <v>0</v>
      </c>
      <c r="Q710" s="24">
        <v>0</v>
      </c>
      <c r="R710" s="24">
        <v>115</v>
      </c>
      <c r="S710" s="24">
        <v>85</v>
      </c>
      <c r="T710" s="24">
        <v>200</v>
      </c>
    </row>
    <row r="711" spans="1:20">
      <c r="A711" s="9" t="s">
        <v>555</v>
      </c>
      <c r="B711" s="30" t="s">
        <v>556</v>
      </c>
      <c r="C711" s="30" t="str">
        <f>CONCATENATE(VOL_VOLUMEN_SUMINISTROS[[#This Row],[Proyecto]],VOL_VOLUMEN_SUMINISTROS[[#This Row],[J]],VOL_VOLUMEN_SUMINISTROS[[#This Row],[FIN DE SEMANA]])</f>
        <v>1052-1TNO</v>
      </c>
      <c r="D711" s="365" t="str">
        <f>CONCATENATE(VOL_VOLUMEN_SUMINISTROS[[#This Row],[Grupo]],VOL_VOLUMEN_SUMINISTROS[[#This Row],[Proyecto]],VOL_VOLUMEN_SUMINISTROS[[#This Row],[FIN DE SEMANA]])</f>
        <v>141052-1NO</v>
      </c>
      <c r="E711" s="30" t="s">
        <v>147</v>
      </c>
      <c r="F711" s="30" t="s">
        <v>148</v>
      </c>
      <c r="G711" s="365">
        <v>14</v>
      </c>
      <c r="H711" s="30">
        <v>14</v>
      </c>
      <c r="I711" s="9" t="s">
        <v>557</v>
      </c>
      <c r="J711" s="9" t="s">
        <v>564</v>
      </c>
      <c r="K711" s="30">
        <v>1</v>
      </c>
      <c r="L711" s="9" t="s">
        <v>566</v>
      </c>
      <c r="M711" s="30" t="s">
        <v>84</v>
      </c>
      <c r="N711" s="30" t="s">
        <v>155</v>
      </c>
      <c r="O711" s="24">
        <v>22</v>
      </c>
      <c r="P711" s="24">
        <v>60</v>
      </c>
      <c r="Q711" s="24">
        <v>137</v>
      </c>
      <c r="R711" s="24">
        <v>0</v>
      </c>
      <c r="S711" s="24">
        <v>0</v>
      </c>
      <c r="T711" s="24">
        <v>219</v>
      </c>
    </row>
    <row r="712" spans="1:20">
      <c r="A712" s="9" t="s">
        <v>555</v>
      </c>
      <c r="B712" s="30" t="s">
        <v>556</v>
      </c>
      <c r="C712" s="30" t="str">
        <f>CONCATENATE(VOL_VOLUMEN_SUMINISTROS[[#This Row],[Proyecto]],VOL_VOLUMEN_SUMINISTROS[[#This Row],[J]],VOL_VOLUMEN_SUMINISTROS[[#This Row],[FIN DE SEMANA]])</f>
        <v>1052-1MNO</v>
      </c>
      <c r="D712" s="365" t="str">
        <f>CONCATENATE(VOL_VOLUMEN_SUMINISTROS[[#This Row],[Grupo]],VOL_VOLUMEN_SUMINISTROS[[#This Row],[Proyecto]],VOL_VOLUMEN_SUMINISTROS[[#This Row],[FIN DE SEMANA]])</f>
        <v>141052-1NO</v>
      </c>
      <c r="E712" s="30" t="s">
        <v>147</v>
      </c>
      <c r="F712" s="30" t="s">
        <v>148</v>
      </c>
      <c r="G712" s="365">
        <v>14</v>
      </c>
      <c r="H712" s="30">
        <v>14</v>
      </c>
      <c r="I712" s="9" t="s">
        <v>557</v>
      </c>
      <c r="J712" s="9" t="s">
        <v>567</v>
      </c>
      <c r="K712" s="30">
        <v>1</v>
      </c>
      <c r="L712" s="9" t="s">
        <v>153</v>
      </c>
      <c r="M712" s="30" t="s">
        <v>84</v>
      </c>
      <c r="N712" s="30" t="s">
        <v>152</v>
      </c>
      <c r="O712" s="24">
        <v>0</v>
      </c>
      <c r="P712" s="24">
        <v>192</v>
      </c>
      <c r="Q712" s="24">
        <v>318</v>
      </c>
      <c r="R712" s="24">
        <v>0</v>
      </c>
      <c r="S712" s="24">
        <v>0</v>
      </c>
      <c r="T712" s="24">
        <v>510</v>
      </c>
    </row>
    <row r="713" spans="1:20">
      <c r="A713" s="9" t="s">
        <v>555</v>
      </c>
      <c r="B713" s="30" t="s">
        <v>556</v>
      </c>
      <c r="C713" s="30" t="str">
        <f>CONCATENATE(VOL_VOLUMEN_SUMINISTROS[[#This Row],[Proyecto]],VOL_VOLUMEN_SUMINISTROS[[#This Row],[J]],VOL_VOLUMEN_SUMINISTROS[[#This Row],[FIN DE SEMANA]])</f>
        <v>1052-1TNO</v>
      </c>
      <c r="D713" s="365" t="str">
        <f>CONCATENATE(VOL_VOLUMEN_SUMINISTROS[[#This Row],[Grupo]],VOL_VOLUMEN_SUMINISTROS[[#This Row],[Proyecto]],VOL_VOLUMEN_SUMINISTROS[[#This Row],[FIN DE SEMANA]])</f>
        <v>141052-1NO</v>
      </c>
      <c r="E713" s="30" t="s">
        <v>147</v>
      </c>
      <c r="F713" s="30" t="s">
        <v>148</v>
      </c>
      <c r="G713" s="365">
        <v>14</v>
      </c>
      <c r="H713" s="30">
        <v>14</v>
      </c>
      <c r="I713" s="9" t="s">
        <v>557</v>
      </c>
      <c r="J713" s="9" t="s">
        <v>567</v>
      </c>
      <c r="K713" s="30">
        <v>1</v>
      </c>
      <c r="L713" s="9" t="s">
        <v>153</v>
      </c>
      <c r="M713" s="30" t="s">
        <v>84</v>
      </c>
      <c r="N713" s="30" t="s">
        <v>155</v>
      </c>
      <c r="O713" s="24">
        <v>0</v>
      </c>
      <c r="P713" s="24">
        <v>186</v>
      </c>
      <c r="Q713" s="24">
        <v>246</v>
      </c>
      <c r="R713" s="24">
        <v>0</v>
      </c>
      <c r="S713" s="24">
        <v>0</v>
      </c>
      <c r="T713" s="24">
        <v>432</v>
      </c>
    </row>
    <row r="714" spans="1:20">
      <c r="A714" s="9" t="s">
        <v>555</v>
      </c>
      <c r="B714" s="30" t="s">
        <v>556</v>
      </c>
      <c r="C714" s="30" t="str">
        <f>CONCATENATE(VOL_VOLUMEN_SUMINISTROS[[#This Row],[Proyecto]],VOL_VOLUMEN_SUMINISTROS[[#This Row],[J]],VOL_VOLUMEN_SUMINISTROS[[#This Row],[FIN DE SEMANA]])</f>
        <v>1052-1MNO</v>
      </c>
      <c r="D714" s="365" t="str">
        <f>CONCATENATE(VOL_VOLUMEN_SUMINISTROS[[#This Row],[Grupo]],VOL_VOLUMEN_SUMINISTROS[[#This Row],[Proyecto]],VOL_VOLUMEN_SUMINISTROS[[#This Row],[FIN DE SEMANA]])</f>
        <v>141052-1NO</v>
      </c>
      <c r="E714" s="30" t="s">
        <v>147</v>
      </c>
      <c r="F714" s="30" t="s">
        <v>148</v>
      </c>
      <c r="G714" s="365">
        <v>14</v>
      </c>
      <c r="H714" s="30">
        <v>14</v>
      </c>
      <c r="I714" s="9" t="s">
        <v>557</v>
      </c>
      <c r="J714" s="9" t="s">
        <v>567</v>
      </c>
      <c r="K714" s="30">
        <v>2</v>
      </c>
      <c r="L714" s="9" t="s">
        <v>568</v>
      </c>
      <c r="M714" s="30" t="s">
        <v>84</v>
      </c>
      <c r="N714" s="30" t="s">
        <v>152</v>
      </c>
      <c r="O714" s="24">
        <v>133</v>
      </c>
      <c r="P714" s="24">
        <v>50</v>
      </c>
      <c r="Q714" s="24">
        <v>0</v>
      </c>
      <c r="R714" s="24">
        <v>0</v>
      </c>
      <c r="S714" s="24">
        <v>0</v>
      </c>
      <c r="T714" s="24">
        <v>183</v>
      </c>
    </row>
    <row r="715" spans="1:20">
      <c r="A715" s="9" t="s">
        <v>555</v>
      </c>
      <c r="B715" s="30" t="s">
        <v>556</v>
      </c>
      <c r="C715" s="30" t="str">
        <f>CONCATENATE(VOL_VOLUMEN_SUMINISTROS[[#This Row],[Proyecto]],VOL_VOLUMEN_SUMINISTROS[[#This Row],[J]],VOL_VOLUMEN_SUMINISTROS[[#This Row],[FIN DE SEMANA]])</f>
        <v>1052-1TNO</v>
      </c>
      <c r="D715" s="365" t="str">
        <f>CONCATENATE(VOL_VOLUMEN_SUMINISTROS[[#This Row],[Grupo]],VOL_VOLUMEN_SUMINISTROS[[#This Row],[Proyecto]],VOL_VOLUMEN_SUMINISTROS[[#This Row],[FIN DE SEMANA]])</f>
        <v>141052-1NO</v>
      </c>
      <c r="E715" s="30" t="s">
        <v>147</v>
      </c>
      <c r="F715" s="30" t="s">
        <v>148</v>
      </c>
      <c r="G715" s="365">
        <v>14</v>
      </c>
      <c r="H715" s="30">
        <v>14</v>
      </c>
      <c r="I715" s="9" t="s">
        <v>557</v>
      </c>
      <c r="J715" s="9" t="s">
        <v>567</v>
      </c>
      <c r="K715" s="30">
        <v>2</v>
      </c>
      <c r="L715" s="9" t="s">
        <v>568</v>
      </c>
      <c r="M715" s="30" t="s">
        <v>84</v>
      </c>
      <c r="N715" s="30" t="s">
        <v>155</v>
      </c>
      <c r="O715" s="24">
        <v>145</v>
      </c>
      <c r="P715" s="24">
        <v>48</v>
      </c>
      <c r="Q715" s="24">
        <v>0</v>
      </c>
      <c r="R715" s="24">
        <v>0</v>
      </c>
      <c r="S715" s="24">
        <v>0</v>
      </c>
      <c r="T715" s="24">
        <v>193</v>
      </c>
    </row>
    <row r="716" spans="1:20">
      <c r="A716" s="9" t="s">
        <v>555</v>
      </c>
      <c r="B716" s="30" t="s">
        <v>556</v>
      </c>
      <c r="C716" s="30" t="str">
        <f>CONCATENATE(VOL_VOLUMEN_SUMINISTROS[[#This Row],[Proyecto]],VOL_VOLUMEN_SUMINISTROS[[#This Row],[J]],VOL_VOLUMEN_SUMINISTROS[[#This Row],[FIN DE SEMANA]])</f>
        <v>1052-1MNO</v>
      </c>
      <c r="D716" s="365" t="str">
        <f>CONCATENATE(VOL_VOLUMEN_SUMINISTROS[[#This Row],[Grupo]],VOL_VOLUMEN_SUMINISTROS[[#This Row],[Proyecto]],VOL_VOLUMEN_SUMINISTROS[[#This Row],[FIN DE SEMANA]])</f>
        <v>141052-1NO</v>
      </c>
      <c r="E716" s="30" t="s">
        <v>147</v>
      </c>
      <c r="F716" s="30" t="s">
        <v>148</v>
      </c>
      <c r="G716" s="365">
        <v>14</v>
      </c>
      <c r="H716" s="30">
        <v>14</v>
      </c>
      <c r="I716" s="9" t="s">
        <v>557</v>
      </c>
      <c r="J716" s="9" t="s">
        <v>569</v>
      </c>
      <c r="K716" s="30">
        <v>1</v>
      </c>
      <c r="L716" s="9" t="s">
        <v>570</v>
      </c>
      <c r="M716" s="30" t="s">
        <v>84</v>
      </c>
      <c r="N716" s="30" t="s">
        <v>152</v>
      </c>
      <c r="O716" s="24">
        <v>0</v>
      </c>
      <c r="P716" s="24">
        <v>111</v>
      </c>
      <c r="Q716" s="24">
        <v>322</v>
      </c>
      <c r="R716" s="24">
        <v>0</v>
      </c>
      <c r="S716" s="24">
        <v>0</v>
      </c>
      <c r="T716" s="24">
        <v>433</v>
      </c>
    </row>
    <row r="717" spans="1:20">
      <c r="A717" s="9" t="s">
        <v>555</v>
      </c>
      <c r="B717" s="30" t="s">
        <v>556</v>
      </c>
      <c r="C717" s="30" t="str">
        <f>CONCATENATE(VOL_VOLUMEN_SUMINISTROS[[#This Row],[Proyecto]],VOL_VOLUMEN_SUMINISTROS[[#This Row],[J]],VOL_VOLUMEN_SUMINISTROS[[#This Row],[FIN DE SEMANA]])</f>
        <v>1052-1TNO</v>
      </c>
      <c r="D717" s="365" t="str">
        <f>CONCATENATE(VOL_VOLUMEN_SUMINISTROS[[#This Row],[Grupo]],VOL_VOLUMEN_SUMINISTROS[[#This Row],[Proyecto]],VOL_VOLUMEN_SUMINISTROS[[#This Row],[FIN DE SEMANA]])</f>
        <v>141052-1NO</v>
      </c>
      <c r="E717" s="30" t="s">
        <v>147</v>
      </c>
      <c r="F717" s="30" t="s">
        <v>148</v>
      </c>
      <c r="G717" s="365">
        <v>14</v>
      </c>
      <c r="H717" s="30">
        <v>14</v>
      </c>
      <c r="I717" s="9" t="s">
        <v>557</v>
      </c>
      <c r="J717" s="9" t="s">
        <v>569</v>
      </c>
      <c r="K717" s="30">
        <v>1</v>
      </c>
      <c r="L717" s="9" t="s">
        <v>570</v>
      </c>
      <c r="M717" s="30" t="s">
        <v>84</v>
      </c>
      <c r="N717" s="30" t="s">
        <v>155</v>
      </c>
      <c r="O717" s="24">
        <v>0</v>
      </c>
      <c r="P717" s="24">
        <v>105</v>
      </c>
      <c r="Q717" s="24">
        <v>248</v>
      </c>
      <c r="R717" s="24">
        <v>0</v>
      </c>
      <c r="S717" s="24">
        <v>0</v>
      </c>
      <c r="T717" s="24">
        <v>353</v>
      </c>
    </row>
    <row r="718" spans="1:20">
      <c r="A718" s="9" t="s">
        <v>555</v>
      </c>
      <c r="B718" s="30" t="s">
        <v>556</v>
      </c>
      <c r="C718" s="30" t="str">
        <f>CONCATENATE(VOL_VOLUMEN_SUMINISTROS[[#This Row],[Proyecto]],VOL_VOLUMEN_SUMINISTROS[[#This Row],[J]],VOL_VOLUMEN_SUMINISTROS[[#This Row],[FIN DE SEMANA]])</f>
        <v>1052-1MNO</v>
      </c>
      <c r="D718" s="365" t="str">
        <f>CONCATENATE(VOL_VOLUMEN_SUMINISTROS[[#This Row],[Grupo]],VOL_VOLUMEN_SUMINISTROS[[#This Row],[Proyecto]],VOL_VOLUMEN_SUMINISTROS[[#This Row],[FIN DE SEMANA]])</f>
        <v>141052-1NO</v>
      </c>
      <c r="E718" s="30" t="s">
        <v>147</v>
      </c>
      <c r="F718" s="30" t="s">
        <v>148</v>
      </c>
      <c r="G718" s="365">
        <v>14</v>
      </c>
      <c r="H718" s="30">
        <v>14</v>
      </c>
      <c r="I718" s="9" t="s">
        <v>557</v>
      </c>
      <c r="J718" s="9" t="s">
        <v>569</v>
      </c>
      <c r="K718" s="30">
        <v>2</v>
      </c>
      <c r="L718" s="9" t="s">
        <v>571</v>
      </c>
      <c r="M718" s="30" t="s">
        <v>84</v>
      </c>
      <c r="N718" s="30" t="s">
        <v>152</v>
      </c>
      <c r="O718" s="24">
        <v>185</v>
      </c>
      <c r="P718" s="24">
        <v>151</v>
      </c>
      <c r="Q718" s="24">
        <v>30</v>
      </c>
      <c r="R718" s="24">
        <v>0</v>
      </c>
      <c r="S718" s="24">
        <v>0</v>
      </c>
      <c r="T718" s="24">
        <v>366</v>
      </c>
    </row>
    <row r="719" spans="1:20">
      <c r="A719" s="9" t="s">
        <v>555</v>
      </c>
      <c r="B719" s="30" t="s">
        <v>556</v>
      </c>
      <c r="C719" s="30" t="str">
        <f>CONCATENATE(VOL_VOLUMEN_SUMINISTROS[[#This Row],[Proyecto]],VOL_VOLUMEN_SUMINISTROS[[#This Row],[J]],VOL_VOLUMEN_SUMINISTROS[[#This Row],[FIN DE SEMANA]])</f>
        <v>1052-1TNO</v>
      </c>
      <c r="D719" s="365" t="str">
        <f>CONCATENATE(VOL_VOLUMEN_SUMINISTROS[[#This Row],[Grupo]],VOL_VOLUMEN_SUMINISTROS[[#This Row],[Proyecto]],VOL_VOLUMEN_SUMINISTROS[[#This Row],[FIN DE SEMANA]])</f>
        <v>141052-1NO</v>
      </c>
      <c r="E719" s="30" t="s">
        <v>147</v>
      </c>
      <c r="F719" s="30" t="s">
        <v>148</v>
      </c>
      <c r="G719" s="365">
        <v>14</v>
      </c>
      <c r="H719" s="30">
        <v>14</v>
      </c>
      <c r="I719" s="9" t="s">
        <v>557</v>
      </c>
      <c r="J719" s="9" t="s">
        <v>569</v>
      </c>
      <c r="K719" s="30">
        <v>2</v>
      </c>
      <c r="L719" s="9" t="s">
        <v>571</v>
      </c>
      <c r="M719" s="30" t="s">
        <v>84</v>
      </c>
      <c r="N719" s="30" t="s">
        <v>155</v>
      </c>
      <c r="O719" s="24">
        <v>165</v>
      </c>
      <c r="P719" s="24">
        <v>150</v>
      </c>
      <c r="Q719" s="24">
        <v>31</v>
      </c>
      <c r="R719" s="24">
        <v>0</v>
      </c>
      <c r="S719" s="24">
        <v>0</v>
      </c>
      <c r="T719" s="24">
        <v>346</v>
      </c>
    </row>
    <row r="720" spans="1:20">
      <c r="A720" s="9" t="s">
        <v>555</v>
      </c>
      <c r="B720" s="30" t="s">
        <v>556</v>
      </c>
      <c r="C720" s="30" t="str">
        <f>CONCATENATE(VOL_VOLUMEN_SUMINISTROS[[#This Row],[Proyecto]],VOL_VOLUMEN_SUMINISTROS[[#This Row],[J]],VOL_VOLUMEN_SUMINISTROS[[#This Row],[FIN DE SEMANA]])</f>
        <v>1052-1MNO</v>
      </c>
      <c r="D720" s="365" t="str">
        <f>CONCATENATE(VOL_VOLUMEN_SUMINISTROS[[#This Row],[Grupo]],VOL_VOLUMEN_SUMINISTROS[[#This Row],[Proyecto]],VOL_VOLUMEN_SUMINISTROS[[#This Row],[FIN DE SEMANA]])</f>
        <v>141052-1NO</v>
      </c>
      <c r="E720" s="30" t="s">
        <v>147</v>
      </c>
      <c r="F720" s="30" t="s">
        <v>148</v>
      </c>
      <c r="G720" s="365">
        <v>14</v>
      </c>
      <c r="H720" s="30">
        <v>17</v>
      </c>
      <c r="I720" s="9" t="s">
        <v>572</v>
      </c>
      <c r="J720" s="9" t="s">
        <v>573</v>
      </c>
      <c r="K720" s="30">
        <v>2</v>
      </c>
      <c r="L720" s="9" t="s">
        <v>574</v>
      </c>
      <c r="M720" s="30" t="s">
        <v>84</v>
      </c>
      <c r="N720" s="30" t="s">
        <v>152</v>
      </c>
      <c r="O720" s="24">
        <v>183</v>
      </c>
      <c r="P720" s="24">
        <v>285</v>
      </c>
      <c r="Q720" s="24">
        <v>380</v>
      </c>
      <c r="R720" s="24">
        <v>0</v>
      </c>
      <c r="S720" s="24">
        <v>0</v>
      </c>
      <c r="T720" s="24">
        <v>848</v>
      </c>
    </row>
    <row r="721" spans="1:20">
      <c r="A721" s="9" t="s">
        <v>555</v>
      </c>
      <c r="B721" s="30" t="s">
        <v>556</v>
      </c>
      <c r="C721" s="30" t="str">
        <f>CONCATENATE(VOL_VOLUMEN_SUMINISTROS[[#This Row],[Proyecto]],VOL_VOLUMEN_SUMINISTROS[[#This Row],[J]],VOL_VOLUMEN_SUMINISTROS[[#This Row],[FIN DE SEMANA]])</f>
        <v>1052-1TNO</v>
      </c>
      <c r="D721" s="365" t="str">
        <f>CONCATENATE(VOL_VOLUMEN_SUMINISTROS[[#This Row],[Grupo]],VOL_VOLUMEN_SUMINISTROS[[#This Row],[Proyecto]],VOL_VOLUMEN_SUMINISTROS[[#This Row],[FIN DE SEMANA]])</f>
        <v>141052-1NO</v>
      </c>
      <c r="E721" s="30" t="s">
        <v>147</v>
      </c>
      <c r="F721" s="30" t="s">
        <v>148</v>
      </c>
      <c r="G721" s="365">
        <v>14</v>
      </c>
      <c r="H721" s="30">
        <v>17</v>
      </c>
      <c r="I721" s="9" t="s">
        <v>572</v>
      </c>
      <c r="J721" s="9" t="s">
        <v>573</v>
      </c>
      <c r="K721" s="30">
        <v>2</v>
      </c>
      <c r="L721" s="9" t="s">
        <v>574</v>
      </c>
      <c r="M721" s="30" t="s">
        <v>84</v>
      </c>
      <c r="N721" s="30" t="s">
        <v>155</v>
      </c>
      <c r="O721" s="24">
        <v>195</v>
      </c>
      <c r="P721" s="24">
        <v>310</v>
      </c>
      <c r="Q721" s="24">
        <v>317</v>
      </c>
      <c r="R721" s="24">
        <v>0</v>
      </c>
      <c r="S721" s="24">
        <v>0</v>
      </c>
      <c r="T721" s="24">
        <v>822</v>
      </c>
    </row>
    <row r="722" spans="1:20">
      <c r="A722" s="9" t="s">
        <v>555</v>
      </c>
      <c r="B722" s="30" t="s">
        <v>556</v>
      </c>
      <c r="C722" s="30" t="str">
        <f>CONCATENATE(VOL_VOLUMEN_SUMINISTROS[[#This Row],[Proyecto]],VOL_VOLUMEN_SUMINISTROS[[#This Row],[J]],VOL_VOLUMEN_SUMINISTROS[[#This Row],[FIN DE SEMANA]])</f>
        <v>1052-1MNO</v>
      </c>
      <c r="D722" s="365" t="str">
        <f>CONCATENATE(VOL_VOLUMEN_SUMINISTROS[[#This Row],[Grupo]],VOL_VOLUMEN_SUMINISTROS[[#This Row],[Proyecto]],VOL_VOLUMEN_SUMINISTROS[[#This Row],[FIN DE SEMANA]])</f>
        <v>141052-1NO</v>
      </c>
      <c r="E722" s="30" t="s">
        <v>147</v>
      </c>
      <c r="F722" s="30" t="s">
        <v>148</v>
      </c>
      <c r="G722" s="365">
        <v>14</v>
      </c>
      <c r="H722" s="30">
        <v>17</v>
      </c>
      <c r="I722" s="9" t="s">
        <v>572</v>
      </c>
      <c r="J722" s="9" t="s">
        <v>575</v>
      </c>
      <c r="K722" s="30">
        <v>1</v>
      </c>
      <c r="L722" s="9" t="s">
        <v>153</v>
      </c>
      <c r="M722" s="30" t="s">
        <v>84</v>
      </c>
      <c r="N722" s="30" t="s">
        <v>152</v>
      </c>
      <c r="O722" s="24">
        <v>0</v>
      </c>
      <c r="P722" s="24">
        <v>99</v>
      </c>
      <c r="Q722" s="24">
        <v>225</v>
      </c>
      <c r="R722" s="24">
        <v>0</v>
      </c>
      <c r="S722" s="24">
        <v>0</v>
      </c>
      <c r="T722" s="24">
        <v>324</v>
      </c>
    </row>
    <row r="723" spans="1:20">
      <c r="A723" s="9" t="s">
        <v>555</v>
      </c>
      <c r="B723" s="30" t="s">
        <v>556</v>
      </c>
      <c r="C723" s="30" t="str">
        <f>CONCATENATE(VOL_VOLUMEN_SUMINISTROS[[#This Row],[Proyecto]],VOL_VOLUMEN_SUMINISTROS[[#This Row],[J]],VOL_VOLUMEN_SUMINISTROS[[#This Row],[FIN DE SEMANA]])</f>
        <v>1052-1NNO</v>
      </c>
      <c r="D723" s="365" t="str">
        <f>CONCATENATE(VOL_VOLUMEN_SUMINISTROS[[#This Row],[Grupo]],VOL_VOLUMEN_SUMINISTROS[[#This Row],[Proyecto]],VOL_VOLUMEN_SUMINISTROS[[#This Row],[FIN DE SEMANA]])</f>
        <v>141052-1NO</v>
      </c>
      <c r="E723" s="30" t="s">
        <v>147</v>
      </c>
      <c r="F723" s="30" t="s">
        <v>148</v>
      </c>
      <c r="G723" s="365">
        <v>14</v>
      </c>
      <c r="H723" s="30">
        <v>17</v>
      </c>
      <c r="I723" s="9" t="s">
        <v>572</v>
      </c>
      <c r="J723" s="9" t="s">
        <v>575</v>
      </c>
      <c r="K723" s="30">
        <v>1</v>
      </c>
      <c r="L723" s="9" t="s">
        <v>153</v>
      </c>
      <c r="M723" s="30" t="s">
        <v>84</v>
      </c>
      <c r="N723" s="30" t="s">
        <v>154</v>
      </c>
      <c r="O723" s="24">
        <v>0</v>
      </c>
      <c r="P723" s="24">
        <v>0</v>
      </c>
      <c r="Q723" s="24">
        <v>0</v>
      </c>
      <c r="R723" s="24">
        <v>58</v>
      </c>
      <c r="S723" s="24">
        <v>87</v>
      </c>
      <c r="T723" s="24">
        <v>145</v>
      </c>
    </row>
    <row r="724" spans="1:20">
      <c r="A724" s="9" t="s">
        <v>555</v>
      </c>
      <c r="B724" s="30" t="s">
        <v>556</v>
      </c>
      <c r="C724" s="30" t="str">
        <f>CONCATENATE(VOL_VOLUMEN_SUMINISTROS[[#This Row],[Proyecto]],VOL_VOLUMEN_SUMINISTROS[[#This Row],[J]],VOL_VOLUMEN_SUMINISTROS[[#This Row],[FIN DE SEMANA]])</f>
        <v>1052-1TNO</v>
      </c>
      <c r="D724" s="365" t="str">
        <f>CONCATENATE(VOL_VOLUMEN_SUMINISTROS[[#This Row],[Grupo]],VOL_VOLUMEN_SUMINISTROS[[#This Row],[Proyecto]],VOL_VOLUMEN_SUMINISTROS[[#This Row],[FIN DE SEMANA]])</f>
        <v>141052-1NO</v>
      </c>
      <c r="E724" s="30" t="s">
        <v>147</v>
      </c>
      <c r="F724" s="30" t="s">
        <v>148</v>
      </c>
      <c r="G724" s="365">
        <v>14</v>
      </c>
      <c r="H724" s="30">
        <v>17</v>
      </c>
      <c r="I724" s="9" t="s">
        <v>572</v>
      </c>
      <c r="J724" s="9" t="s">
        <v>575</v>
      </c>
      <c r="K724" s="30">
        <v>1</v>
      </c>
      <c r="L724" s="9" t="s">
        <v>153</v>
      </c>
      <c r="M724" s="30" t="s">
        <v>84</v>
      </c>
      <c r="N724" s="30" t="s">
        <v>155</v>
      </c>
      <c r="O724" s="24">
        <v>0</v>
      </c>
      <c r="P724" s="24">
        <v>66</v>
      </c>
      <c r="Q724" s="24">
        <v>187</v>
      </c>
      <c r="R724" s="24">
        <v>0</v>
      </c>
      <c r="S724" s="24">
        <v>0</v>
      </c>
      <c r="T724" s="24">
        <v>253</v>
      </c>
    </row>
    <row r="725" spans="1:20">
      <c r="A725" s="9" t="s">
        <v>555</v>
      </c>
      <c r="B725" s="30" t="s">
        <v>556</v>
      </c>
      <c r="C725" s="30" t="str">
        <f>CONCATENATE(VOL_VOLUMEN_SUMINISTROS[[#This Row],[Proyecto]],VOL_VOLUMEN_SUMINISTROS[[#This Row],[J]],VOL_VOLUMEN_SUMINISTROS[[#This Row],[FIN DE SEMANA]])</f>
        <v>1052-1MNO</v>
      </c>
      <c r="D725" s="365" t="str">
        <f>CONCATENATE(VOL_VOLUMEN_SUMINISTROS[[#This Row],[Grupo]],VOL_VOLUMEN_SUMINISTROS[[#This Row],[Proyecto]],VOL_VOLUMEN_SUMINISTROS[[#This Row],[FIN DE SEMANA]])</f>
        <v>141052-1NO</v>
      </c>
      <c r="E725" s="30" t="s">
        <v>147</v>
      </c>
      <c r="F725" s="30" t="s">
        <v>148</v>
      </c>
      <c r="G725" s="365">
        <v>14</v>
      </c>
      <c r="H725" s="30">
        <v>17</v>
      </c>
      <c r="I725" s="9" t="s">
        <v>572</v>
      </c>
      <c r="J725" s="9" t="s">
        <v>575</v>
      </c>
      <c r="K725" s="30">
        <v>2</v>
      </c>
      <c r="L725" s="9" t="s">
        <v>576</v>
      </c>
      <c r="M725" s="30" t="s">
        <v>84</v>
      </c>
      <c r="N725" s="30" t="s">
        <v>152</v>
      </c>
      <c r="O725" s="24">
        <v>0</v>
      </c>
      <c r="P725" s="24">
        <v>84</v>
      </c>
      <c r="Q725" s="24">
        <v>28</v>
      </c>
      <c r="R725" s="24">
        <v>0</v>
      </c>
      <c r="S725" s="24">
        <v>0</v>
      </c>
      <c r="T725" s="24">
        <v>112</v>
      </c>
    </row>
    <row r="726" spans="1:20">
      <c r="A726" s="9" t="s">
        <v>555</v>
      </c>
      <c r="B726" s="30" t="s">
        <v>556</v>
      </c>
      <c r="C726" s="30" t="str">
        <f>CONCATENATE(VOL_VOLUMEN_SUMINISTROS[[#This Row],[Proyecto]],VOL_VOLUMEN_SUMINISTROS[[#This Row],[J]],VOL_VOLUMEN_SUMINISTROS[[#This Row],[FIN DE SEMANA]])</f>
        <v>1052-1TNO</v>
      </c>
      <c r="D726" s="365" t="str">
        <f>CONCATENATE(VOL_VOLUMEN_SUMINISTROS[[#This Row],[Grupo]],VOL_VOLUMEN_SUMINISTROS[[#This Row],[Proyecto]],VOL_VOLUMEN_SUMINISTROS[[#This Row],[FIN DE SEMANA]])</f>
        <v>141052-1NO</v>
      </c>
      <c r="E726" s="30" t="s">
        <v>147</v>
      </c>
      <c r="F726" s="30" t="s">
        <v>148</v>
      </c>
      <c r="G726" s="365">
        <v>14</v>
      </c>
      <c r="H726" s="30">
        <v>17</v>
      </c>
      <c r="I726" s="9" t="s">
        <v>572</v>
      </c>
      <c r="J726" s="9" t="s">
        <v>575</v>
      </c>
      <c r="K726" s="30">
        <v>2</v>
      </c>
      <c r="L726" s="9" t="s">
        <v>576</v>
      </c>
      <c r="M726" s="30" t="s">
        <v>84</v>
      </c>
      <c r="N726" s="30" t="s">
        <v>155</v>
      </c>
      <c r="O726" s="24">
        <v>0</v>
      </c>
      <c r="P726" s="24">
        <v>99</v>
      </c>
      <c r="Q726" s="24">
        <v>33</v>
      </c>
      <c r="R726" s="24">
        <v>0</v>
      </c>
      <c r="S726" s="24">
        <v>0</v>
      </c>
      <c r="T726" s="24">
        <v>132</v>
      </c>
    </row>
    <row r="727" spans="1:20">
      <c r="A727" s="9" t="s">
        <v>555</v>
      </c>
      <c r="B727" s="30" t="s">
        <v>556</v>
      </c>
      <c r="C727" s="30" t="str">
        <f>CONCATENATE(VOL_VOLUMEN_SUMINISTROS[[#This Row],[Proyecto]],VOL_VOLUMEN_SUMINISTROS[[#This Row],[J]],VOL_VOLUMEN_SUMINISTROS[[#This Row],[FIN DE SEMANA]])</f>
        <v>1052-1MNO</v>
      </c>
      <c r="D727" s="365" t="str">
        <f>CONCATENATE(VOL_VOLUMEN_SUMINISTROS[[#This Row],[Grupo]],VOL_VOLUMEN_SUMINISTROS[[#This Row],[Proyecto]],VOL_VOLUMEN_SUMINISTROS[[#This Row],[FIN DE SEMANA]])</f>
        <v>141052-1NO</v>
      </c>
      <c r="E727" s="30" t="s">
        <v>147</v>
      </c>
      <c r="F727" s="30" t="s">
        <v>148</v>
      </c>
      <c r="G727" s="365">
        <v>14</v>
      </c>
      <c r="H727" s="30">
        <v>17</v>
      </c>
      <c r="I727" s="9" t="s">
        <v>572</v>
      </c>
      <c r="J727" s="9" t="s">
        <v>575</v>
      </c>
      <c r="K727" s="30">
        <v>3</v>
      </c>
      <c r="L727" s="9" t="s">
        <v>577</v>
      </c>
      <c r="M727" s="30" t="s">
        <v>84</v>
      </c>
      <c r="N727" s="30" t="s">
        <v>152</v>
      </c>
      <c r="O727" s="24">
        <v>191</v>
      </c>
      <c r="P727" s="24">
        <v>59</v>
      </c>
      <c r="Q727" s="24">
        <v>0</v>
      </c>
      <c r="R727" s="24">
        <v>0</v>
      </c>
      <c r="S727" s="24">
        <v>0</v>
      </c>
      <c r="T727" s="24">
        <v>250</v>
      </c>
    </row>
    <row r="728" spans="1:20">
      <c r="A728" s="9" t="s">
        <v>555</v>
      </c>
      <c r="B728" s="30" t="s">
        <v>556</v>
      </c>
      <c r="C728" s="30" t="str">
        <f>CONCATENATE(VOL_VOLUMEN_SUMINISTROS[[#This Row],[Proyecto]],VOL_VOLUMEN_SUMINISTROS[[#This Row],[J]],VOL_VOLUMEN_SUMINISTROS[[#This Row],[FIN DE SEMANA]])</f>
        <v>1052-1TNO</v>
      </c>
      <c r="D728" s="365" t="str">
        <f>CONCATENATE(VOL_VOLUMEN_SUMINISTROS[[#This Row],[Grupo]],VOL_VOLUMEN_SUMINISTROS[[#This Row],[Proyecto]],VOL_VOLUMEN_SUMINISTROS[[#This Row],[FIN DE SEMANA]])</f>
        <v>141052-1NO</v>
      </c>
      <c r="E728" s="30" t="s">
        <v>147</v>
      </c>
      <c r="F728" s="30" t="s">
        <v>148</v>
      </c>
      <c r="G728" s="365">
        <v>14</v>
      </c>
      <c r="H728" s="30">
        <v>17</v>
      </c>
      <c r="I728" s="9" t="s">
        <v>572</v>
      </c>
      <c r="J728" s="9" t="s">
        <v>575</v>
      </c>
      <c r="K728" s="30">
        <v>3</v>
      </c>
      <c r="L728" s="9" t="s">
        <v>577</v>
      </c>
      <c r="M728" s="30" t="s">
        <v>84</v>
      </c>
      <c r="N728" s="30" t="s">
        <v>155</v>
      </c>
      <c r="O728" s="24">
        <v>76</v>
      </c>
      <c r="P728" s="24">
        <v>59</v>
      </c>
      <c r="Q728" s="24">
        <v>11</v>
      </c>
      <c r="R728" s="24">
        <v>0</v>
      </c>
      <c r="S728" s="24">
        <v>0</v>
      </c>
      <c r="T728" s="24">
        <v>146</v>
      </c>
    </row>
    <row r="729" spans="1:20">
      <c r="A729" s="9" t="s">
        <v>555</v>
      </c>
      <c r="B729" s="30" t="s">
        <v>556</v>
      </c>
      <c r="C729" s="30" t="str">
        <f>CONCATENATE(VOL_VOLUMEN_SUMINISTROS[[#This Row],[Proyecto]],VOL_VOLUMEN_SUMINISTROS[[#This Row],[J]],VOL_VOLUMEN_SUMINISTROS[[#This Row],[FIN DE SEMANA]])</f>
        <v>1052-1MNO</v>
      </c>
      <c r="D729" s="365" t="str">
        <f>CONCATENATE(VOL_VOLUMEN_SUMINISTROS[[#This Row],[Grupo]],VOL_VOLUMEN_SUMINISTROS[[#This Row],[Proyecto]],VOL_VOLUMEN_SUMINISTROS[[#This Row],[FIN DE SEMANA]])</f>
        <v>141052-1NO</v>
      </c>
      <c r="E729" s="30" t="s">
        <v>147</v>
      </c>
      <c r="F729" s="30" t="s">
        <v>148</v>
      </c>
      <c r="G729" s="365">
        <v>14</v>
      </c>
      <c r="H729" s="30">
        <v>3</v>
      </c>
      <c r="I729" s="9" t="s">
        <v>578</v>
      </c>
      <c r="J729" s="9" t="s">
        <v>579</v>
      </c>
      <c r="K729" s="30">
        <v>1</v>
      </c>
      <c r="L729" s="9" t="s">
        <v>151</v>
      </c>
      <c r="M729" s="30" t="s">
        <v>84</v>
      </c>
      <c r="N729" s="30" t="s">
        <v>152</v>
      </c>
      <c r="O729" s="24">
        <v>18</v>
      </c>
      <c r="P729" s="24">
        <v>288</v>
      </c>
      <c r="Q729" s="24">
        <v>452</v>
      </c>
      <c r="R729" s="24">
        <v>0</v>
      </c>
      <c r="S729" s="24">
        <v>0</v>
      </c>
      <c r="T729" s="24">
        <v>758</v>
      </c>
    </row>
    <row r="730" spans="1:20">
      <c r="A730" s="9" t="s">
        <v>555</v>
      </c>
      <c r="B730" s="30" t="s">
        <v>556</v>
      </c>
      <c r="C730" s="30" t="str">
        <f>CONCATENATE(VOL_VOLUMEN_SUMINISTROS[[#This Row],[Proyecto]],VOL_VOLUMEN_SUMINISTROS[[#This Row],[J]],VOL_VOLUMEN_SUMINISTROS[[#This Row],[FIN DE SEMANA]])</f>
        <v>1052-1MNO</v>
      </c>
      <c r="D730" s="365" t="str">
        <f>CONCATENATE(VOL_VOLUMEN_SUMINISTROS[[#This Row],[Grupo]],VOL_VOLUMEN_SUMINISTROS[[#This Row],[Proyecto]],VOL_VOLUMEN_SUMINISTROS[[#This Row],[FIN DE SEMANA]])</f>
        <v>141052-1NO</v>
      </c>
      <c r="E730" s="30" t="s">
        <v>147</v>
      </c>
      <c r="F730" s="30" t="s">
        <v>148</v>
      </c>
      <c r="G730" s="365">
        <v>14</v>
      </c>
      <c r="H730" s="30">
        <v>3</v>
      </c>
      <c r="I730" s="9" t="s">
        <v>578</v>
      </c>
      <c r="J730" s="9" t="s">
        <v>579</v>
      </c>
      <c r="K730" s="30">
        <v>2</v>
      </c>
      <c r="L730" s="9" t="s">
        <v>165</v>
      </c>
      <c r="M730" s="30" t="s">
        <v>84</v>
      </c>
      <c r="N730" s="30" t="s">
        <v>152</v>
      </c>
      <c r="O730" s="24">
        <v>162</v>
      </c>
      <c r="P730" s="24">
        <v>105</v>
      </c>
      <c r="Q730" s="24">
        <v>16</v>
      </c>
      <c r="R730" s="24">
        <v>0</v>
      </c>
      <c r="S730" s="24">
        <v>0</v>
      </c>
      <c r="T730" s="24">
        <v>283</v>
      </c>
    </row>
    <row r="731" spans="1:20">
      <c r="A731" s="9" t="s">
        <v>555</v>
      </c>
      <c r="B731" s="30" t="s">
        <v>556</v>
      </c>
      <c r="C731" s="30" t="str">
        <f>CONCATENATE(VOL_VOLUMEN_SUMINISTROS[[#This Row],[Proyecto]],VOL_VOLUMEN_SUMINISTROS[[#This Row],[J]],VOL_VOLUMEN_SUMINISTROS[[#This Row],[FIN DE SEMANA]])</f>
        <v>1052-1TNO</v>
      </c>
      <c r="D731" s="365" t="str">
        <f>CONCATENATE(VOL_VOLUMEN_SUMINISTROS[[#This Row],[Grupo]],VOL_VOLUMEN_SUMINISTROS[[#This Row],[Proyecto]],VOL_VOLUMEN_SUMINISTROS[[#This Row],[FIN DE SEMANA]])</f>
        <v>141052-1NO</v>
      </c>
      <c r="E731" s="30" t="s">
        <v>147</v>
      </c>
      <c r="F731" s="30" t="s">
        <v>148</v>
      </c>
      <c r="G731" s="365">
        <v>14</v>
      </c>
      <c r="H731" s="30">
        <v>3</v>
      </c>
      <c r="I731" s="9" t="s">
        <v>578</v>
      </c>
      <c r="J731" s="9" t="s">
        <v>579</v>
      </c>
      <c r="K731" s="30">
        <v>2</v>
      </c>
      <c r="L731" s="9" t="s">
        <v>165</v>
      </c>
      <c r="M731" s="30" t="s">
        <v>84</v>
      </c>
      <c r="N731" s="30" t="s">
        <v>155</v>
      </c>
      <c r="O731" s="24">
        <v>149</v>
      </c>
      <c r="P731" s="24">
        <v>93</v>
      </c>
      <c r="Q731" s="24">
        <v>13</v>
      </c>
      <c r="R731" s="24">
        <v>0</v>
      </c>
      <c r="S731" s="24">
        <v>0</v>
      </c>
      <c r="T731" s="24">
        <v>255</v>
      </c>
    </row>
    <row r="732" spans="1:20">
      <c r="A732" s="9" t="s">
        <v>555</v>
      </c>
      <c r="B732" s="30" t="s">
        <v>556</v>
      </c>
      <c r="C732" s="30" t="str">
        <f>CONCATENATE(VOL_VOLUMEN_SUMINISTROS[[#This Row],[Proyecto]],VOL_VOLUMEN_SUMINISTROS[[#This Row],[J]],VOL_VOLUMEN_SUMINISTROS[[#This Row],[FIN DE SEMANA]])</f>
        <v>1052-1MNO</v>
      </c>
      <c r="D732" s="365" t="str">
        <f>CONCATENATE(VOL_VOLUMEN_SUMINISTROS[[#This Row],[Grupo]],VOL_VOLUMEN_SUMINISTROS[[#This Row],[Proyecto]],VOL_VOLUMEN_SUMINISTROS[[#This Row],[FIN DE SEMANA]])</f>
        <v>141052-1NO</v>
      </c>
      <c r="E732" s="30" t="s">
        <v>147</v>
      </c>
      <c r="F732" s="30" t="s">
        <v>148</v>
      </c>
      <c r="G732" s="365">
        <v>14</v>
      </c>
      <c r="H732" s="30">
        <v>3</v>
      </c>
      <c r="I732" s="9" t="s">
        <v>578</v>
      </c>
      <c r="J732" s="9" t="s">
        <v>580</v>
      </c>
      <c r="K732" s="30">
        <v>1</v>
      </c>
      <c r="L732" s="9" t="s">
        <v>581</v>
      </c>
      <c r="M732" s="30" t="s">
        <v>84</v>
      </c>
      <c r="N732" s="30" t="s">
        <v>152</v>
      </c>
      <c r="O732" s="24">
        <v>130</v>
      </c>
      <c r="P732" s="24">
        <v>180</v>
      </c>
      <c r="Q732" s="24">
        <v>269</v>
      </c>
      <c r="R732" s="24">
        <v>0</v>
      </c>
      <c r="S732" s="24">
        <v>0</v>
      </c>
      <c r="T732" s="24">
        <v>579</v>
      </c>
    </row>
    <row r="733" spans="1:20">
      <c r="A733" s="9" t="s">
        <v>555</v>
      </c>
      <c r="B733" s="30" t="s">
        <v>556</v>
      </c>
      <c r="C733" s="30" t="str">
        <f>CONCATENATE(VOL_VOLUMEN_SUMINISTROS[[#This Row],[Proyecto]],VOL_VOLUMEN_SUMINISTROS[[#This Row],[J]],VOL_VOLUMEN_SUMINISTROS[[#This Row],[FIN DE SEMANA]])</f>
        <v>1052-1NNO</v>
      </c>
      <c r="D733" s="365" t="str">
        <f>CONCATENATE(VOL_VOLUMEN_SUMINISTROS[[#This Row],[Grupo]],VOL_VOLUMEN_SUMINISTROS[[#This Row],[Proyecto]],VOL_VOLUMEN_SUMINISTROS[[#This Row],[FIN DE SEMANA]])</f>
        <v>141052-1NO</v>
      </c>
      <c r="E733" s="30" t="s">
        <v>147</v>
      </c>
      <c r="F733" s="30" t="s">
        <v>148</v>
      </c>
      <c r="G733" s="365">
        <v>14</v>
      </c>
      <c r="H733" s="30">
        <v>3</v>
      </c>
      <c r="I733" s="9" t="s">
        <v>578</v>
      </c>
      <c r="J733" s="9" t="s">
        <v>580</v>
      </c>
      <c r="K733" s="30">
        <v>1</v>
      </c>
      <c r="L733" s="9" t="s">
        <v>581</v>
      </c>
      <c r="M733" s="30" t="s">
        <v>84</v>
      </c>
      <c r="N733" s="30" t="s">
        <v>154</v>
      </c>
      <c r="O733" s="24">
        <v>0</v>
      </c>
      <c r="P733" s="24">
        <v>0</v>
      </c>
      <c r="Q733" s="24">
        <v>0</v>
      </c>
      <c r="R733" s="24">
        <v>54</v>
      </c>
      <c r="S733" s="24">
        <v>72</v>
      </c>
      <c r="T733" s="24">
        <v>126</v>
      </c>
    </row>
    <row r="734" spans="1:20">
      <c r="A734" s="9" t="s">
        <v>555</v>
      </c>
      <c r="B734" s="30" t="s">
        <v>556</v>
      </c>
      <c r="C734" s="30" t="str">
        <f>CONCATENATE(VOL_VOLUMEN_SUMINISTROS[[#This Row],[Proyecto]],VOL_VOLUMEN_SUMINISTROS[[#This Row],[J]],VOL_VOLUMEN_SUMINISTROS[[#This Row],[FIN DE SEMANA]])</f>
        <v>1052-1MNO</v>
      </c>
      <c r="D734" s="365" t="str">
        <f>CONCATENATE(VOL_VOLUMEN_SUMINISTROS[[#This Row],[Grupo]],VOL_VOLUMEN_SUMINISTROS[[#This Row],[Proyecto]],VOL_VOLUMEN_SUMINISTROS[[#This Row],[FIN DE SEMANA]])</f>
        <v>141052-1NO</v>
      </c>
      <c r="E734" s="30" t="s">
        <v>147</v>
      </c>
      <c r="F734" s="30" t="s">
        <v>148</v>
      </c>
      <c r="G734" s="365">
        <v>14</v>
      </c>
      <c r="H734" s="30">
        <v>3</v>
      </c>
      <c r="I734" s="9" t="s">
        <v>578</v>
      </c>
      <c r="J734" s="9" t="s">
        <v>582</v>
      </c>
      <c r="K734" s="30">
        <v>2</v>
      </c>
      <c r="L734" s="9" t="s">
        <v>583</v>
      </c>
      <c r="M734" s="30" t="s">
        <v>84</v>
      </c>
      <c r="N734" s="30" t="s">
        <v>152</v>
      </c>
      <c r="O734" s="24">
        <v>149</v>
      </c>
      <c r="P734" s="24">
        <v>113</v>
      </c>
      <c r="Q734" s="24">
        <v>22</v>
      </c>
      <c r="R734" s="24">
        <v>0</v>
      </c>
      <c r="S734" s="24">
        <v>0</v>
      </c>
      <c r="T734" s="24">
        <v>284</v>
      </c>
    </row>
    <row r="735" spans="1:20">
      <c r="A735" s="9" t="s">
        <v>555</v>
      </c>
      <c r="B735" s="30" t="s">
        <v>556</v>
      </c>
      <c r="C735" s="30" t="str">
        <f>CONCATENATE(VOL_VOLUMEN_SUMINISTROS[[#This Row],[Proyecto]],VOL_VOLUMEN_SUMINISTROS[[#This Row],[J]],VOL_VOLUMEN_SUMINISTROS[[#This Row],[FIN DE SEMANA]])</f>
        <v>1052-1MNO</v>
      </c>
      <c r="D735" s="365" t="str">
        <f>CONCATENATE(VOL_VOLUMEN_SUMINISTROS[[#This Row],[Grupo]],VOL_VOLUMEN_SUMINISTROS[[#This Row],[Proyecto]],VOL_VOLUMEN_SUMINISTROS[[#This Row],[FIN DE SEMANA]])</f>
        <v>141052-1NO</v>
      </c>
      <c r="E735" s="30" t="s">
        <v>147</v>
      </c>
      <c r="F735" s="30" t="s">
        <v>148</v>
      </c>
      <c r="G735" s="365">
        <v>14</v>
      </c>
      <c r="H735" s="30">
        <v>3</v>
      </c>
      <c r="I735" s="9" t="s">
        <v>578</v>
      </c>
      <c r="J735" s="9" t="s">
        <v>582</v>
      </c>
      <c r="K735" s="30">
        <v>3</v>
      </c>
      <c r="L735" s="9" t="s">
        <v>584</v>
      </c>
      <c r="M735" s="30" t="s">
        <v>84</v>
      </c>
      <c r="N735" s="30" t="s">
        <v>152</v>
      </c>
      <c r="O735" s="24">
        <v>76</v>
      </c>
      <c r="P735" s="24">
        <v>72</v>
      </c>
      <c r="Q735" s="24">
        <v>15</v>
      </c>
      <c r="R735" s="24">
        <v>0</v>
      </c>
      <c r="S735" s="24">
        <v>0</v>
      </c>
      <c r="T735" s="24">
        <v>163</v>
      </c>
    </row>
    <row r="736" spans="1:20">
      <c r="A736" s="9" t="s">
        <v>555</v>
      </c>
      <c r="B736" s="30" t="s">
        <v>556</v>
      </c>
      <c r="C736" s="30" t="str">
        <f>CONCATENATE(VOL_VOLUMEN_SUMINISTROS[[#This Row],[Proyecto]],VOL_VOLUMEN_SUMINISTROS[[#This Row],[J]],VOL_VOLUMEN_SUMINISTROS[[#This Row],[FIN DE SEMANA]])</f>
        <v>1052-1NNO</v>
      </c>
      <c r="D736" s="365" t="str">
        <f>CONCATENATE(VOL_VOLUMEN_SUMINISTROS[[#This Row],[Grupo]],VOL_VOLUMEN_SUMINISTROS[[#This Row],[Proyecto]],VOL_VOLUMEN_SUMINISTROS[[#This Row],[FIN DE SEMANA]])</f>
        <v>141052-1NO</v>
      </c>
      <c r="E736" s="30" t="s">
        <v>147</v>
      </c>
      <c r="F736" s="30" t="s">
        <v>148</v>
      </c>
      <c r="G736" s="365">
        <v>14</v>
      </c>
      <c r="H736" s="30">
        <v>3</v>
      </c>
      <c r="I736" s="9" t="s">
        <v>578</v>
      </c>
      <c r="J736" s="9" t="s">
        <v>585</v>
      </c>
      <c r="K736" s="30">
        <v>1</v>
      </c>
      <c r="L736" s="9" t="s">
        <v>586</v>
      </c>
      <c r="M736" s="30" t="s">
        <v>84</v>
      </c>
      <c r="N736" s="30" t="s">
        <v>154</v>
      </c>
      <c r="O736" s="24">
        <v>0</v>
      </c>
      <c r="P736" s="24">
        <v>0</v>
      </c>
      <c r="Q736" s="24">
        <v>0</v>
      </c>
      <c r="R736" s="24">
        <v>70</v>
      </c>
      <c r="S736" s="24">
        <v>70</v>
      </c>
      <c r="T736" s="24">
        <v>140</v>
      </c>
    </row>
    <row r="737" spans="1:20">
      <c r="A737" s="9" t="s">
        <v>555</v>
      </c>
      <c r="B737" s="30" t="s">
        <v>556</v>
      </c>
      <c r="C737" s="30" t="str">
        <f>CONCATENATE(VOL_VOLUMEN_SUMINISTROS[[#This Row],[Proyecto]],VOL_VOLUMEN_SUMINISTROS[[#This Row],[J]],VOL_VOLUMEN_SUMINISTROS[[#This Row],[FIN DE SEMANA]])</f>
        <v>1052-1MNO</v>
      </c>
      <c r="D737" s="365" t="str">
        <f>CONCATENATE(VOL_VOLUMEN_SUMINISTROS[[#This Row],[Grupo]],VOL_VOLUMEN_SUMINISTROS[[#This Row],[Proyecto]],VOL_VOLUMEN_SUMINISTROS[[#This Row],[FIN DE SEMANA]])</f>
        <v>141052-1NO</v>
      </c>
      <c r="E737" s="30" t="s">
        <v>147</v>
      </c>
      <c r="F737" s="30" t="s">
        <v>148</v>
      </c>
      <c r="G737" s="365">
        <v>14</v>
      </c>
      <c r="H737" s="30">
        <v>3</v>
      </c>
      <c r="I737" s="9" t="s">
        <v>578</v>
      </c>
      <c r="J737" s="9" t="s">
        <v>585</v>
      </c>
      <c r="K737" s="30">
        <v>2</v>
      </c>
      <c r="L737" s="9" t="s">
        <v>587</v>
      </c>
      <c r="M737" s="30" t="s">
        <v>84</v>
      </c>
      <c r="N737" s="30" t="s">
        <v>152</v>
      </c>
      <c r="O737" s="24">
        <v>150</v>
      </c>
      <c r="P737" s="24">
        <v>0</v>
      </c>
      <c r="Q737" s="24">
        <v>0</v>
      </c>
      <c r="R737" s="24">
        <v>0</v>
      </c>
      <c r="S737" s="24">
        <v>0</v>
      </c>
      <c r="T737" s="24">
        <v>150</v>
      </c>
    </row>
    <row r="738" spans="1:20">
      <c r="A738" s="9" t="s">
        <v>555</v>
      </c>
      <c r="B738" s="30" t="s">
        <v>556</v>
      </c>
      <c r="C738" s="30" t="str">
        <f>CONCATENATE(VOL_VOLUMEN_SUMINISTROS[[#This Row],[Proyecto]],VOL_VOLUMEN_SUMINISTROS[[#This Row],[J]],VOL_VOLUMEN_SUMINISTROS[[#This Row],[FIN DE SEMANA]])</f>
        <v>1052-1MNO</v>
      </c>
      <c r="D738" s="365" t="str">
        <f>CONCATENATE(VOL_VOLUMEN_SUMINISTROS[[#This Row],[Grupo]],VOL_VOLUMEN_SUMINISTROS[[#This Row],[Proyecto]],VOL_VOLUMEN_SUMINISTROS[[#This Row],[FIN DE SEMANA]])</f>
        <v>141052-1NO</v>
      </c>
      <c r="E738" s="30" t="s">
        <v>147</v>
      </c>
      <c r="F738" s="30" t="s">
        <v>148</v>
      </c>
      <c r="G738" s="365">
        <v>14</v>
      </c>
      <c r="H738" s="30">
        <v>3</v>
      </c>
      <c r="I738" s="9" t="s">
        <v>578</v>
      </c>
      <c r="J738" s="9" t="s">
        <v>588</v>
      </c>
      <c r="K738" s="30">
        <v>1</v>
      </c>
      <c r="L738" s="9" t="s">
        <v>589</v>
      </c>
      <c r="M738" s="30" t="s">
        <v>84</v>
      </c>
      <c r="N738" s="30" t="s">
        <v>152</v>
      </c>
      <c r="O738" s="24">
        <v>104</v>
      </c>
      <c r="P738" s="24">
        <v>126</v>
      </c>
      <c r="Q738" s="24">
        <v>126</v>
      </c>
      <c r="R738" s="24">
        <v>0</v>
      </c>
      <c r="S738" s="24">
        <v>0</v>
      </c>
      <c r="T738" s="24">
        <v>356</v>
      </c>
    </row>
    <row r="739" spans="1:20">
      <c r="A739" s="9" t="s">
        <v>555</v>
      </c>
      <c r="B739" s="30" t="s">
        <v>556</v>
      </c>
      <c r="C739" s="30" t="str">
        <f>CONCATENATE(VOL_VOLUMEN_SUMINISTROS[[#This Row],[Proyecto]],VOL_VOLUMEN_SUMINISTROS[[#This Row],[J]],VOL_VOLUMEN_SUMINISTROS[[#This Row],[FIN DE SEMANA]])</f>
        <v>1052-1NNO</v>
      </c>
      <c r="D739" s="365" t="str">
        <f>CONCATENATE(VOL_VOLUMEN_SUMINISTROS[[#This Row],[Grupo]],VOL_VOLUMEN_SUMINISTROS[[#This Row],[Proyecto]],VOL_VOLUMEN_SUMINISTROS[[#This Row],[FIN DE SEMANA]])</f>
        <v>141052-1NO</v>
      </c>
      <c r="E739" s="30" t="s">
        <v>147</v>
      </c>
      <c r="F739" s="30" t="s">
        <v>148</v>
      </c>
      <c r="G739" s="365">
        <v>14</v>
      </c>
      <c r="H739" s="30">
        <v>3</v>
      </c>
      <c r="I739" s="9" t="s">
        <v>578</v>
      </c>
      <c r="J739" s="9" t="s">
        <v>590</v>
      </c>
      <c r="K739" s="30">
        <v>1</v>
      </c>
      <c r="L739" s="9" t="s">
        <v>591</v>
      </c>
      <c r="M739" s="30" t="s">
        <v>84</v>
      </c>
      <c r="N739" s="30" t="s">
        <v>154</v>
      </c>
      <c r="O739" s="24">
        <v>0</v>
      </c>
      <c r="P739" s="24">
        <v>0</v>
      </c>
      <c r="Q739" s="24">
        <v>0</v>
      </c>
      <c r="R739" s="24">
        <v>168</v>
      </c>
      <c r="S739" s="24">
        <v>86</v>
      </c>
      <c r="T739" s="24">
        <v>254</v>
      </c>
    </row>
    <row r="740" spans="1:20">
      <c r="A740" s="9" t="s">
        <v>555</v>
      </c>
      <c r="B740" s="30" t="s">
        <v>556</v>
      </c>
      <c r="C740" s="30" t="str">
        <f>CONCATENATE(VOL_VOLUMEN_SUMINISTROS[[#This Row],[Proyecto]],VOL_VOLUMEN_SUMINISTROS[[#This Row],[J]],VOL_VOLUMEN_SUMINISTROS[[#This Row],[FIN DE SEMANA]])</f>
        <v>1052-1MNO</v>
      </c>
      <c r="D740" s="365" t="str">
        <f>CONCATENATE(VOL_VOLUMEN_SUMINISTROS[[#This Row],[Grupo]],VOL_VOLUMEN_SUMINISTROS[[#This Row],[Proyecto]],VOL_VOLUMEN_SUMINISTROS[[#This Row],[FIN DE SEMANA]])</f>
        <v>141052-1NO</v>
      </c>
      <c r="E740" s="30" t="s">
        <v>147</v>
      </c>
      <c r="F740" s="30" t="s">
        <v>148</v>
      </c>
      <c r="G740" s="365">
        <v>14</v>
      </c>
      <c r="H740" s="30">
        <v>3</v>
      </c>
      <c r="I740" s="9" t="s">
        <v>578</v>
      </c>
      <c r="J740" s="9" t="s">
        <v>590</v>
      </c>
      <c r="K740" s="30">
        <v>2</v>
      </c>
      <c r="L740" s="9" t="s">
        <v>592</v>
      </c>
      <c r="M740" s="30" t="s">
        <v>84</v>
      </c>
      <c r="N740" s="30" t="s">
        <v>152</v>
      </c>
      <c r="O740" s="24">
        <v>116</v>
      </c>
      <c r="P740" s="24">
        <v>32</v>
      </c>
      <c r="Q740" s="24">
        <v>0</v>
      </c>
      <c r="R740" s="24">
        <v>0</v>
      </c>
      <c r="S740" s="24">
        <v>0</v>
      </c>
      <c r="T740" s="24">
        <v>148</v>
      </c>
    </row>
    <row r="741" spans="1:20">
      <c r="A741" s="9" t="s">
        <v>555</v>
      </c>
      <c r="B741" s="30" t="s">
        <v>556</v>
      </c>
      <c r="C741" s="30" t="str">
        <f>CONCATENATE(VOL_VOLUMEN_SUMINISTROS[[#This Row],[Proyecto]],VOL_VOLUMEN_SUMINISTROS[[#This Row],[J]],VOL_VOLUMEN_SUMINISTROS[[#This Row],[FIN DE SEMANA]])</f>
        <v>1052-1TNO</v>
      </c>
      <c r="D741" s="365" t="str">
        <f>CONCATENATE(VOL_VOLUMEN_SUMINISTROS[[#This Row],[Grupo]],VOL_VOLUMEN_SUMINISTROS[[#This Row],[Proyecto]],VOL_VOLUMEN_SUMINISTROS[[#This Row],[FIN DE SEMANA]])</f>
        <v>141052-1NO</v>
      </c>
      <c r="E741" s="30" t="s">
        <v>147</v>
      </c>
      <c r="F741" s="30" t="s">
        <v>148</v>
      </c>
      <c r="G741" s="365">
        <v>14</v>
      </c>
      <c r="H741" s="30">
        <v>3</v>
      </c>
      <c r="I741" s="9" t="s">
        <v>578</v>
      </c>
      <c r="J741" s="9" t="s">
        <v>590</v>
      </c>
      <c r="K741" s="30">
        <v>2</v>
      </c>
      <c r="L741" s="9" t="s">
        <v>592</v>
      </c>
      <c r="M741" s="30" t="s">
        <v>84</v>
      </c>
      <c r="N741" s="30" t="s">
        <v>155</v>
      </c>
      <c r="O741" s="24">
        <v>114</v>
      </c>
      <c r="P741" s="24">
        <v>33</v>
      </c>
      <c r="Q741" s="24">
        <v>0</v>
      </c>
      <c r="R741" s="24">
        <v>0</v>
      </c>
      <c r="S741" s="24">
        <v>0</v>
      </c>
      <c r="T741" s="24">
        <v>147</v>
      </c>
    </row>
    <row r="742" spans="1:20">
      <c r="A742" s="9" t="s">
        <v>555</v>
      </c>
      <c r="B742" s="30" t="s">
        <v>556</v>
      </c>
      <c r="C742" s="30" t="str">
        <f>CONCATENATE(VOL_VOLUMEN_SUMINISTROS[[#This Row],[Proyecto]],VOL_VOLUMEN_SUMINISTROS[[#This Row],[J]],VOL_VOLUMEN_SUMINISTROS[[#This Row],[FIN DE SEMANA]])</f>
        <v>1052-1MNO</v>
      </c>
      <c r="D742" s="365" t="str">
        <f>CONCATENATE(VOL_VOLUMEN_SUMINISTROS[[#This Row],[Grupo]],VOL_VOLUMEN_SUMINISTROS[[#This Row],[Proyecto]],VOL_VOLUMEN_SUMINISTROS[[#This Row],[FIN DE SEMANA]])</f>
        <v>141052-1NO</v>
      </c>
      <c r="E742" s="30" t="s">
        <v>147</v>
      </c>
      <c r="F742" s="30" t="s">
        <v>148</v>
      </c>
      <c r="G742" s="365">
        <v>14</v>
      </c>
      <c r="H742" s="30">
        <v>3</v>
      </c>
      <c r="I742" s="9" t="s">
        <v>578</v>
      </c>
      <c r="J742" s="9" t="s">
        <v>593</v>
      </c>
      <c r="K742" s="30">
        <v>1</v>
      </c>
      <c r="L742" s="9" t="s">
        <v>594</v>
      </c>
      <c r="M742" s="30" t="s">
        <v>84</v>
      </c>
      <c r="N742" s="30" t="s">
        <v>152</v>
      </c>
      <c r="O742" s="24">
        <v>65</v>
      </c>
      <c r="P742" s="24">
        <v>88</v>
      </c>
      <c r="Q742" s="24">
        <v>98</v>
      </c>
      <c r="R742" s="24">
        <v>0</v>
      </c>
      <c r="S742" s="24">
        <v>0</v>
      </c>
      <c r="T742" s="24">
        <v>251</v>
      </c>
    </row>
    <row r="743" spans="1:20">
      <c r="A743" s="9" t="s">
        <v>555</v>
      </c>
      <c r="B743" s="30" t="s">
        <v>556</v>
      </c>
      <c r="C743" s="30" t="str">
        <f>CONCATENATE(VOL_VOLUMEN_SUMINISTROS[[#This Row],[Proyecto]],VOL_VOLUMEN_SUMINISTROS[[#This Row],[J]],VOL_VOLUMEN_SUMINISTROS[[#This Row],[FIN DE SEMANA]])</f>
        <v>1052-1MNO</v>
      </c>
      <c r="D743" s="365" t="str">
        <f>CONCATENATE(VOL_VOLUMEN_SUMINISTROS[[#This Row],[Grupo]],VOL_VOLUMEN_SUMINISTROS[[#This Row],[Proyecto]],VOL_VOLUMEN_SUMINISTROS[[#This Row],[FIN DE SEMANA]])</f>
        <v>141052-1NO</v>
      </c>
      <c r="E743" s="30" t="s">
        <v>147</v>
      </c>
      <c r="F743" s="30" t="s">
        <v>148</v>
      </c>
      <c r="G743" s="365">
        <v>14</v>
      </c>
      <c r="H743" s="30">
        <v>3</v>
      </c>
      <c r="I743" s="9" t="s">
        <v>578</v>
      </c>
      <c r="J743" s="9" t="s">
        <v>595</v>
      </c>
      <c r="K743" s="30">
        <v>1</v>
      </c>
      <c r="L743" s="9" t="s">
        <v>596</v>
      </c>
      <c r="M743" s="30" t="s">
        <v>84</v>
      </c>
      <c r="N743" s="30" t="s">
        <v>152</v>
      </c>
      <c r="O743" s="24">
        <v>0</v>
      </c>
      <c r="P743" s="24">
        <v>111</v>
      </c>
      <c r="Q743" s="24">
        <v>187</v>
      </c>
      <c r="R743" s="24">
        <v>0</v>
      </c>
      <c r="S743" s="24">
        <v>0</v>
      </c>
      <c r="T743" s="24">
        <v>298</v>
      </c>
    </row>
    <row r="744" spans="1:20">
      <c r="A744" s="9" t="s">
        <v>555</v>
      </c>
      <c r="B744" s="30" t="s">
        <v>556</v>
      </c>
      <c r="C744" s="30" t="str">
        <f>CONCATENATE(VOL_VOLUMEN_SUMINISTROS[[#This Row],[Proyecto]],VOL_VOLUMEN_SUMINISTROS[[#This Row],[J]],VOL_VOLUMEN_SUMINISTROS[[#This Row],[FIN DE SEMANA]])</f>
        <v>1052-1TNO</v>
      </c>
      <c r="D744" s="365" t="str">
        <f>CONCATENATE(VOL_VOLUMEN_SUMINISTROS[[#This Row],[Grupo]],VOL_VOLUMEN_SUMINISTROS[[#This Row],[Proyecto]],VOL_VOLUMEN_SUMINISTROS[[#This Row],[FIN DE SEMANA]])</f>
        <v>141052-1NO</v>
      </c>
      <c r="E744" s="30" t="s">
        <v>147</v>
      </c>
      <c r="F744" s="30" t="s">
        <v>148</v>
      </c>
      <c r="G744" s="365">
        <v>14</v>
      </c>
      <c r="H744" s="30">
        <v>3</v>
      </c>
      <c r="I744" s="9" t="s">
        <v>578</v>
      </c>
      <c r="J744" s="9" t="s">
        <v>595</v>
      </c>
      <c r="K744" s="30">
        <v>1</v>
      </c>
      <c r="L744" s="9" t="s">
        <v>596</v>
      </c>
      <c r="M744" s="30" t="s">
        <v>84</v>
      </c>
      <c r="N744" s="30" t="s">
        <v>155</v>
      </c>
      <c r="O744" s="24">
        <v>0</v>
      </c>
      <c r="P744" s="24">
        <v>51</v>
      </c>
      <c r="Q744" s="24">
        <v>108</v>
      </c>
      <c r="R744" s="24">
        <v>0</v>
      </c>
      <c r="S744" s="24">
        <v>0</v>
      </c>
      <c r="T744" s="24">
        <v>159</v>
      </c>
    </row>
    <row r="745" spans="1:20">
      <c r="A745" s="9" t="s">
        <v>555</v>
      </c>
      <c r="B745" s="30" t="s">
        <v>556</v>
      </c>
      <c r="C745" s="30" t="str">
        <f>CONCATENATE(VOL_VOLUMEN_SUMINISTROS[[#This Row],[Proyecto]],VOL_VOLUMEN_SUMINISTROS[[#This Row],[J]],VOL_VOLUMEN_SUMINISTROS[[#This Row],[FIN DE SEMANA]])</f>
        <v>1052-1MNO</v>
      </c>
      <c r="D745" s="365" t="str">
        <f>CONCATENATE(VOL_VOLUMEN_SUMINISTROS[[#This Row],[Grupo]],VOL_VOLUMEN_SUMINISTROS[[#This Row],[Proyecto]],VOL_VOLUMEN_SUMINISTROS[[#This Row],[FIN DE SEMANA]])</f>
        <v>141052-1NO</v>
      </c>
      <c r="E745" s="30" t="s">
        <v>147</v>
      </c>
      <c r="F745" s="30" t="s">
        <v>148</v>
      </c>
      <c r="G745" s="365">
        <v>14</v>
      </c>
      <c r="H745" s="30">
        <v>3</v>
      </c>
      <c r="I745" s="9" t="s">
        <v>578</v>
      </c>
      <c r="J745" s="9" t="s">
        <v>595</v>
      </c>
      <c r="K745" s="30">
        <v>2</v>
      </c>
      <c r="L745" s="9" t="s">
        <v>597</v>
      </c>
      <c r="M745" s="30" t="s">
        <v>84</v>
      </c>
      <c r="N745" s="30" t="s">
        <v>152</v>
      </c>
      <c r="O745" s="24">
        <v>171</v>
      </c>
      <c r="P745" s="24">
        <v>151</v>
      </c>
      <c r="Q745" s="24">
        <v>28</v>
      </c>
      <c r="R745" s="24">
        <v>0</v>
      </c>
      <c r="S745" s="24">
        <v>0</v>
      </c>
      <c r="T745" s="24">
        <v>350</v>
      </c>
    </row>
    <row r="746" spans="1:20">
      <c r="A746" s="9" t="s">
        <v>555</v>
      </c>
      <c r="B746" s="30" t="s">
        <v>556</v>
      </c>
      <c r="C746" s="30" t="str">
        <f>CONCATENATE(VOL_VOLUMEN_SUMINISTROS[[#This Row],[Proyecto]],VOL_VOLUMEN_SUMINISTROS[[#This Row],[J]],VOL_VOLUMEN_SUMINISTROS[[#This Row],[FIN DE SEMANA]])</f>
        <v>1052-1TNO</v>
      </c>
      <c r="D746" s="365" t="str">
        <f>CONCATENATE(VOL_VOLUMEN_SUMINISTROS[[#This Row],[Grupo]],VOL_VOLUMEN_SUMINISTROS[[#This Row],[Proyecto]],VOL_VOLUMEN_SUMINISTROS[[#This Row],[FIN DE SEMANA]])</f>
        <v>141052-1NO</v>
      </c>
      <c r="E746" s="30" t="s">
        <v>147</v>
      </c>
      <c r="F746" s="30" t="s">
        <v>148</v>
      </c>
      <c r="G746" s="365">
        <v>14</v>
      </c>
      <c r="H746" s="30">
        <v>3</v>
      </c>
      <c r="I746" s="9" t="s">
        <v>578</v>
      </c>
      <c r="J746" s="9" t="s">
        <v>595</v>
      </c>
      <c r="K746" s="30">
        <v>2</v>
      </c>
      <c r="L746" s="9" t="s">
        <v>598</v>
      </c>
      <c r="M746" s="30" t="s">
        <v>84</v>
      </c>
      <c r="N746" s="30" t="s">
        <v>155</v>
      </c>
      <c r="O746" s="24">
        <v>14</v>
      </c>
      <c r="P746" s="24">
        <v>40</v>
      </c>
      <c r="Q746" s="24">
        <v>11</v>
      </c>
      <c r="R746" s="24">
        <v>0</v>
      </c>
      <c r="S746" s="24">
        <v>0</v>
      </c>
      <c r="T746" s="24">
        <v>65</v>
      </c>
    </row>
    <row r="747" spans="1:20">
      <c r="A747" s="9" t="s">
        <v>555</v>
      </c>
      <c r="B747" s="30" t="s">
        <v>556</v>
      </c>
      <c r="C747" s="30" t="str">
        <f>CONCATENATE(VOL_VOLUMEN_SUMINISTROS[[#This Row],[Proyecto]],VOL_VOLUMEN_SUMINISTROS[[#This Row],[J]],VOL_VOLUMEN_SUMINISTROS[[#This Row],[FIN DE SEMANA]])</f>
        <v>1052-1MNO</v>
      </c>
      <c r="D747" s="365" t="str">
        <f>CONCATENATE(VOL_VOLUMEN_SUMINISTROS[[#This Row],[Grupo]],VOL_VOLUMEN_SUMINISTROS[[#This Row],[Proyecto]],VOL_VOLUMEN_SUMINISTROS[[#This Row],[FIN DE SEMANA]])</f>
        <v>141052-1NO</v>
      </c>
      <c r="E747" s="30" t="s">
        <v>147</v>
      </c>
      <c r="F747" s="30" t="s">
        <v>148</v>
      </c>
      <c r="G747" s="365">
        <v>14</v>
      </c>
      <c r="H747" s="30">
        <v>3</v>
      </c>
      <c r="I747" s="9" t="s">
        <v>578</v>
      </c>
      <c r="J747" s="9" t="s">
        <v>595</v>
      </c>
      <c r="K747" s="30">
        <v>3</v>
      </c>
      <c r="L747" s="9" t="s">
        <v>599</v>
      </c>
      <c r="M747" s="30" t="s">
        <v>84</v>
      </c>
      <c r="N747" s="30" t="s">
        <v>152</v>
      </c>
      <c r="O747" s="24">
        <v>75</v>
      </c>
      <c r="P747" s="24">
        <v>41</v>
      </c>
      <c r="Q747" s="24">
        <v>8</v>
      </c>
      <c r="R747" s="24">
        <v>0</v>
      </c>
      <c r="S747" s="24">
        <v>0</v>
      </c>
      <c r="T747" s="24">
        <v>124</v>
      </c>
    </row>
    <row r="748" spans="1:20">
      <c r="A748" s="9" t="s">
        <v>555</v>
      </c>
      <c r="B748" s="30" t="s">
        <v>600</v>
      </c>
      <c r="C748" s="30" t="str">
        <f>CONCATENATE(VOL_VOLUMEN_SUMINISTROS[[#This Row],[Proyecto]],VOL_VOLUMEN_SUMINISTROS[[#This Row],[J]],VOL_VOLUMEN_SUMINISTROS[[#This Row],[FIN DE SEMANA]])</f>
        <v>1052-2M1NO</v>
      </c>
      <c r="D748" s="365" t="str">
        <f>CONCATENATE(VOL_VOLUMEN_SUMINISTROS[[#This Row],[Grupo]],VOL_VOLUMEN_SUMINISTROS[[#This Row],[Proyecto]],VOL_VOLUMEN_SUMINISTROS[[#This Row],[FIN DE SEMANA]])</f>
        <v>141052-2NO</v>
      </c>
      <c r="E748" s="30" t="s">
        <v>183</v>
      </c>
      <c r="F748" s="30" t="s">
        <v>148</v>
      </c>
      <c r="G748" s="365">
        <v>14</v>
      </c>
      <c r="H748" s="30">
        <v>14</v>
      </c>
      <c r="I748" s="9" t="s">
        <v>557</v>
      </c>
      <c r="J748" s="9" t="s">
        <v>558</v>
      </c>
      <c r="K748" s="30">
        <v>1</v>
      </c>
      <c r="L748" s="9" t="s">
        <v>153</v>
      </c>
      <c r="M748" s="30" t="s">
        <v>84</v>
      </c>
      <c r="N748" s="30" t="s">
        <v>216</v>
      </c>
      <c r="O748" s="24">
        <v>190</v>
      </c>
      <c r="P748" s="24">
        <v>275</v>
      </c>
      <c r="Q748" s="24">
        <v>80</v>
      </c>
      <c r="R748" s="24">
        <v>0</v>
      </c>
      <c r="S748" s="24">
        <v>0</v>
      </c>
      <c r="T748" s="24">
        <v>545</v>
      </c>
    </row>
    <row r="749" spans="1:20">
      <c r="A749" s="9" t="s">
        <v>555</v>
      </c>
      <c r="B749" s="30" t="s">
        <v>600</v>
      </c>
      <c r="C749" s="30" t="str">
        <f>CONCATENATE(VOL_VOLUMEN_SUMINISTROS[[#This Row],[Proyecto]],VOL_VOLUMEN_SUMINISTROS[[#This Row],[J]],VOL_VOLUMEN_SUMINISTROS[[#This Row],[FIN DE SEMANA]])</f>
        <v>1052-2TNO</v>
      </c>
      <c r="D749" s="365" t="str">
        <f>CONCATENATE(VOL_VOLUMEN_SUMINISTROS[[#This Row],[Grupo]],VOL_VOLUMEN_SUMINISTROS[[#This Row],[Proyecto]],VOL_VOLUMEN_SUMINISTROS[[#This Row],[FIN DE SEMANA]])</f>
        <v>141052-2NO</v>
      </c>
      <c r="E749" s="30" t="s">
        <v>183</v>
      </c>
      <c r="F749" s="30" t="s">
        <v>148</v>
      </c>
      <c r="G749" s="365">
        <v>14</v>
      </c>
      <c r="H749" s="30">
        <v>14</v>
      </c>
      <c r="I749" s="9" t="s">
        <v>557</v>
      </c>
      <c r="J749" s="9" t="s">
        <v>558</v>
      </c>
      <c r="K749" s="30">
        <v>1</v>
      </c>
      <c r="L749" s="9" t="s">
        <v>153</v>
      </c>
      <c r="M749" s="30" t="s">
        <v>84</v>
      </c>
      <c r="N749" s="30" t="s">
        <v>155</v>
      </c>
      <c r="O749" s="24">
        <v>0</v>
      </c>
      <c r="P749" s="24">
        <v>108</v>
      </c>
      <c r="Q749" s="24">
        <v>96</v>
      </c>
      <c r="R749" s="24">
        <v>0</v>
      </c>
      <c r="S749" s="24">
        <v>0</v>
      </c>
      <c r="T749" s="24">
        <v>204</v>
      </c>
    </row>
    <row r="750" spans="1:20">
      <c r="A750" s="9" t="s">
        <v>555</v>
      </c>
      <c r="B750" s="30" t="s">
        <v>600</v>
      </c>
      <c r="C750" s="30" t="str">
        <f>CONCATENATE(VOL_VOLUMEN_SUMINISTROS[[#This Row],[Proyecto]],VOL_VOLUMEN_SUMINISTROS[[#This Row],[J]],VOL_VOLUMEN_SUMINISTROS[[#This Row],[FIN DE SEMANA]])</f>
        <v>1052-2MNO</v>
      </c>
      <c r="D750" s="365" t="str">
        <f>CONCATENATE(VOL_VOLUMEN_SUMINISTROS[[#This Row],[Grupo]],VOL_VOLUMEN_SUMINISTROS[[#This Row],[Proyecto]],VOL_VOLUMEN_SUMINISTROS[[#This Row],[FIN DE SEMANA]])</f>
        <v>141052-2NO</v>
      </c>
      <c r="E750" s="30" t="s">
        <v>183</v>
      </c>
      <c r="F750" s="30" t="s">
        <v>148</v>
      </c>
      <c r="G750" s="365">
        <v>14</v>
      </c>
      <c r="H750" s="30">
        <v>14</v>
      </c>
      <c r="I750" s="9" t="s">
        <v>557</v>
      </c>
      <c r="J750" s="9" t="s">
        <v>562</v>
      </c>
      <c r="K750" s="30">
        <v>1</v>
      </c>
      <c r="L750" s="9" t="s">
        <v>563</v>
      </c>
      <c r="M750" s="30" t="s">
        <v>84</v>
      </c>
      <c r="N750" s="30" t="s">
        <v>152</v>
      </c>
      <c r="O750" s="24">
        <v>40</v>
      </c>
      <c r="P750" s="24">
        <v>110</v>
      </c>
      <c r="Q750" s="24">
        <v>30</v>
      </c>
      <c r="R750" s="24">
        <v>0</v>
      </c>
      <c r="S750" s="24">
        <v>0</v>
      </c>
      <c r="T750" s="24">
        <v>180</v>
      </c>
    </row>
    <row r="751" spans="1:20">
      <c r="A751" s="9" t="s">
        <v>555</v>
      </c>
      <c r="B751" s="30" t="s">
        <v>600</v>
      </c>
      <c r="C751" s="30" t="str">
        <f>CONCATENATE(VOL_VOLUMEN_SUMINISTROS[[#This Row],[Proyecto]],VOL_VOLUMEN_SUMINISTROS[[#This Row],[J]],VOL_VOLUMEN_SUMINISTROS[[#This Row],[FIN DE SEMANA]])</f>
        <v>1052-2TNO</v>
      </c>
      <c r="D751" s="365" t="str">
        <f>CONCATENATE(VOL_VOLUMEN_SUMINISTROS[[#This Row],[Grupo]],VOL_VOLUMEN_SUMINISTROS[[#This Row],[Proyecto]],VOL_VOLUMEN_SUMINISTROS[[#This Row],[FIN DE SEMANA]])</f>
        <v>141052-2NO</v>
      </c>
      <c r="E751" s="30" t="s">
        <v>183</v>
      </c>
      <c r="F751" s="30" t="s">
        <v>148</v>
      </c>
      <c r="G751" s="365">
        <v>14</v>
      </c>
      <c r="H751" s="30">
        <v>14</v>
      </c>
      <c r="I751" s="9" t="s">
        <v>557</v>
      </c>
      <c r="J751" s="9" t="s">
        <v>562</v>
      </c>
      <c r="K751" s="30">
        <v>1</v>
      </c>
      <c r="L751" s="9" t="s">
        <v>563</v>
      </c>
      <c r="M751" s="30" t="s">
        <v>84</v>
      </c>
      <c r="N751" s="30" t="s">
        <v>155</v>
      </c>
      <c r="O751" s="24">
        <v>40</v>
      </c>
      <c r="P751" s="24">
        <v>110</v>
      </c>
      <c r="Q751" s="24">
        <v>30</v>
      </c>
      <c r="R751" s="24">
        <v>0</v>
      </c>
      <c r="S751" s="24">
        <v>0</v>
      </c>
      <c r="T751" s="24">
        <v>180</v>
      </c>
    </row>
    <row r="752" spans="1:20">
      <c r="A752" s="9" t="s">
        <v>555</v>
      </c>
      <c r="B752" s="30" t="s">
        <v>600</v>
      </c>
      <c r="C752" s="30" t="str">
        <f>CONCATENATE(VOL_VOLUMEN_SUMINISTROS[[#This Row],[Proyecto]],VOL_VOLUMEN_SUMINISTROS[[#This Row],[J]],VOL_VOLUMEN_SUMINISTROS[[#This Row],[FIN DE SEMANA]])</f>
        <v>1052-2MNO</v>
      </c>
      <c r="D752" s="365" t="str">
        <f>CONCATENATE(VOL_VOLUMEN_SUMINISTROS[[#This Row],[Grupo]],VOL_VOLUMEN_SUMINISTROS[[#This Row],[Proyecto]],VOL_VOLUMEN_SUMINISTROS[[#This Row],[FIN DE SEMANA]])</f>
        <v>141052-2NO</v>
      </c>
      <c r="E752" s="30" t="s">
        <v>183</v>
      </c>
      <c r="F752" s="30" t="s">
        <v>148</v>
      </c>
      <c r="G752" s="365">
        <v>14</v>
      </c>
      <c r="H752" s="30">
        <v>14</v>
      </c>
      <c r="I752" s="9" t="s">
        <v>557</v>
      </c>
      <c r="J752" s="9" t="s">
        <v>567</v>
      </c>
      <c r="K752" s="30">
        <v>1</v>
      </c>
      <c r="L752" s="9" t="s">
        <v>153</v>
      </c>
      <c r="M752" s="30" t="s">
        <v>84</v>
      </c>
      <c r="N752" s="30" t="s">
        <v>152</v>
      </c>
      <c r="O752" s="24">
        <v>0</v>
      </c>
      <c r="P752" s="24">
        <v>66</v>
      </c>
      <c r="Q752" s="24">
        <v>22</v>
      </c>
      <c r="R752" s="24">
        <v>0</v>
      </c>
      <c r="S752" s="24">
        <v>0</v>
      </c>
      <c r="T752" s="24">
        <v>88</v>
      </c>
    </row>
    <row r="753" spans="1:20">
      <c r="A753" s="9" t="s">
        <v>555</v>
      </c>
      <c r="B753" s="30" t="s">
        <v>600</v>
      </c>
      <c r="C753" s="30" t="str">
        <f>CONCATENATE(VOL_VOLUMEN_SUMINISTROS[[#This Row],[Proyecto]],VOL_VOLUMEN_SUMINISTROS[[#This Row],[J]],VOL_VOLUMEN_SUMINISTROS[[#This Row],[FIN DE SEMANA]])</f>
        <v>1052-2M1NO</v>
      </c>
      <c r="D753" s="365" t="str">
        <f>CONCATENATE(VOL_VOLUMEN_SUMINISTROS[[#This Row],[Grupo]],VOL_VOLUMEN_SUMINISTROS[[#This Row],[Proyecto]],VOL_VOLUMEN_SUMINISTROS[[#This Row],[FIN DE SEMANA]])</f>
        <v>141052-2NO</v>
      </c>
      <c r="E753" s="30" t="s">
        <v>183</v>
      </c>
      <c r="F753" s="30" t="s">
        <v>148</v>
      </c>
      <c r="G753" s="365">
        <v>14</v>
      </c>
      <c r="H753" s="30">
        <v>14</v>
      </c>
      <c r="I753" s="9" t="s">
        <v>557</v>
      </c>
      <c r="J753" s="9" t="s">
        <v>567</v>
      </c>
      <c r="K753" s="30">
        <v>1</v>
      </c>
      <c r="L753" s="9" t="s">
        <v>153</v>
      </c>
      <c r="M753" s="30" t="s">
        <v>84</v>
      </c>
      <c r="N753" s="30" t="s">
        <v>216</v>
      </c>
      <c r="O753" s="24">
        <v>0</v>
      </c>
      <c r="P753" s="24">
        <v>129</v>
      </c>
      <c r="Q753" s="24">
        <v>43</v>
      </c>
      <c r="R753" s="24">
        <v>0</v>
      </c>
      <c r="S753" s="24">
        <v>0</v>
      </c>
      <c r="T753" s="24">
        <v>172</v>
      </c>
    </row>
    <row r="754" spans="1:20">
      <c r="A754" s="9" t="s">
        <v>555</v>
      </c>
      <c r="B754" s="30" t="s">
        <v>600</v>
      </c>
      <c r="C754" s="30" t="str">
        <f>CONCATENATE(VOL_VOLUMEN_SUMINISTROS[[#This Row],[Proyecto]],VOL_VOLUMEN_SUMINISTROS[[#This Row],[J]],VOL_VOLUMEN_SUMINISTROS[[#This Row],[FIN DE SEMANA]])</f>
        <v>1052-2M1NO</v>
      </c>
      <c r="D754" s="365" t="str">
        <f>CONCATENATE(VOL_VOLUMEN_SUMINISTROS[[#This Row],[Grupo]],VOL_VOLUMEN_SUMINISTROS[[#This Row],[Proyecto]],VOL_VOLUMEN_SUMINISTROS[[#This Row],[FIN DE SEMANA]])</f>
        <v>141052-2NO</v>
      </c>
      <c r="E754" s="30" t="s">
        <v>183</v>
      </c>
      <c r="F754" s="30" t="s">
        <v>148</v>
      </c>
      <c r="G754" s="365">
        <v>14</v>
      </c>
      <c r="H754" s="30">
        <v>14</v>
      </c>
      <c r="I754" s="9" t="s">
        <v>557</v>
      </c>
      <c r="J754" s="9" t="s">
        <v>567</v>
      </c>
      <c r="K754" s="30">
        <v>2</v>
      </c>
      <c r="L754" s="9" t="s">
        <v>568</v>
      </c>
      <c r="M754" s="30" t="s">
        <v>84</v>
      </c>
      <c r="N754" s="30" t="s">
        <v>216</v>
      </c>
      <c r="O754" s="24">
        <v>116</v>
      </c>
      <c r="P754" s="24">
        <v>58</v>
      </c>
      <c r="Q754" s="24">
        <v>0</v>
      </c>
      <c r="R754" s="24">
        <v>0</v>
      </c>
      <c r="S754" s="24">
        <v>0</v>
      </c>
      <c r="T754" s="24">
        <v>174</v>
      </c>
    </row>
    <row r="755" spans="1:20">
      <c r="A755" s="9" t="s">
        <v>555</v>
      </c>
      <c r="B755" s="30" t="s">
        <v>600</v>
      </c>
      <c r="C755" s="30" t="str">
        <f>CONCATENATE(VOL_VOLUMEN_SUMINISTROS[[#This Row],[Proyecto]],VOL_VOLUMEN_SUMINISTROS[[#This Row],[J]],VOL_VOLUMEN_SUMINISTROS[[#This Row],[FIN DE SEMANA]])</f>
        <v>1052-2MNO</v>
      </c>
      <c r="D755" s="365" t="str">
        <f>CONCATENATE(VOL_VOLUMEN_SUMINISTROS[[#This Row],[Grupo]],VOL_VOLUMEN_SUMINISTROS[[#This Row],[Proyecto]],VOL_VOLUMEN_SUMINISTROS[[#This Row],[FIN DE SEMANA]])</f>
        <v>141052-2NO</v>
      </c>
      <c r="E755" s="30" t="s">
        <v>183</v>
      </c>
      <c r="F755" s="30" t="s">
        <v>148</v>
      </c>
      <c r="G755" s="365">
        <v>14</v>
      </c>
      <c r="H755" s="30">
        <v>17</v>
      </c>
      <c r="I755" s="9" t="s">
        <v>572</v>
      </c>
      <c r="J755" s="9" t="s">
        <v>575</v>
      </c>
      <c r="K755" s="30">
        <v>2</v>
      </c>
      <c r="L755" s="9" t="s">
        <v>576</v>
      </c>
      <c r="M755" s="30" t="s">
        <v>84</v>
      </c>
      <c r="N755" s="30" t="s">
        <v>152</v>
      </c>
      <c r="O755" s="24">
        <v>0</v>
      </c>
      <c r="P755" s="24">
        <v>21</v>
      </c>
      <c r="Q755" s="24">
        <v>32</v>
      </c>
      <c r="R755" s="24">
        <v>0</v>
      </c>
      <c r="S755" s="24">
        <v>0</v>
      </c>
      <c r="T755" s="24">
        <v>53</v>
      </c>
    </row>
    <row r="756" spans="1:20">
      <c r="A756" s="9" t="s">
        <v>555</v>
      </c>
      <c r="B756" s="30" t="s">
        <v>600</v>
      </c>
      <c r="C756" s="30" t="str">
        <f>CONCATENATE(VOL_VOLUMEN_SUMINISTROS[[#This Row],[Proyecto]],VOL_VOLUMEN_SUMINISTROS[[#This Row],[J]],VOL_VOLUMEN_SUMINISTROS[[#This Row],[FIN DE SEMANA]])</f>
        <v>1052-2M1NO</v>
      </c>
      <c r="D756" s="365" t="str">
        <f>CONCATENATE(VOL_VOLUMEN_SUMINISTROS[[#This Row],[Grupo]],VOL_VOLUMEN_SUMINISTROS[[#This Row],[Proyecto]],VOL_VOLUMEN_SUMINISTROS[[#This Row],[FIN DE SEMANA]])</f>
        <v>141052-2NO</v>
      </c>
      <c r="E756" s="30" t="s">
        <v>183</v>
      </c>
      <c r="F756" s="30" t="s">
        <v>148</v>
      </c>
      <c r="G756" s="365">
        <v>14</v>
      </c>
      <c r="H756" s="30">
        <v>3</v>
      </c>
      <c r="I756" s="9" t="s">
        <v>578</v>
      </c>
      <c r="J756" s="9" t="s">
        <v>579</v>
      </c>
      <c r="K756" s="30">
        <v>1</v>
      </c>
      <c r="L756" s="9" t="s">
        <v>151</v>
      </c>
      <c r="M756" s="30" t="s">
        <v>84</v>
      </c>
      <c r="N756" s="30" t="s">
        <v>216</v>
      </c>
      <c r="O756" s="24">
        <v>0</v>
      </c>
      <c r="P756" s="24">
        <v>294</v>
      </c>
      <c r="Q756" s="24">
        <v>332</v>
      </c>
      <c r="R756" s="24">
        <v>0</v>
      </c>
      <c r="S756" s="24">
        <v>0</v>
      </c>
      <c r="T756" s="24">
        <v>626</v>
      </c>
    </row>
    <row r="757" spans="1:20">
      <c r="A757" s="9" t="s">
        <v>555</v>
      </c>
      <c r="B757" s="30" t="s">
        <v>600</v>
      </c>
      <c r="C757" s="30" t="str">
        <f>CONCATENATE(VOL_VOLUMEN_SUMINISTROS[[#This Row],[Proyecto]],VOL_VOLUMEN_SUMINISTROS[[#This Row],[J]],VOL_VOLUMEN_SUMINISTROS[[#This Row],[FIN DE SEMANA]])</f>
        <v>1052-2MNO</v>
      </c>
      <c r="D757" s="365" t="str">
        <f>CONCATENATE(VOL_VOLUMEN_SUMINISTROS[[#This Row],[Grupo]],VOL_VOLUMEN_SUMINISTROS[[#This Row],[Proyecto]],VOL_VOLUMEN_SUMINISTROS[[#This Row],[FIN DE SEMANA]])</f>
        <v>141052-2NO</v>
      </c>
      <c r="E757" s="30" t="s">
        <v>183</v>
      </c>
      <c r="F757" s="30" t="s">
        <v>148</v>
      </c>
      <c r="G757" s="365">
        <v>14</v>
      </c>
      <c r="H757" s="30">
        <v>3</v>
      </c>
      <c r="I757" s="9" t="s">
        <v>578</v>
      </c>
      <c r="J757" s="9" t="s">
        <v>585</v>
      </c>
      <c r="K757" s="30">
        <v>1</v>
      </c>
      <c r="L757" s="9" t="s">
        <v>586</v>
      </c>
      <c r="M757" s="30" t="s">
        <v>84</v>
      </c>
      <c r="N757" s="30" t="s">
        <v>152</v>
      </c>
      <c r="O757" s="24">
        <v>0</v>
      </c>
      <c r="P757" s="24">
        <v>90</v>
      </c>
      <c r="Q757" s="24">
        <v>110</v>
      </c>
      <c r="R757" s="24">
        <v>0</v>
      </c>
      <c r="S757" s="24">
        <v>0</v>
      </c>
      <c r="T757" s="24">
        <v>200</v>
      </c>
    </row>
    <row r="758" spans="1:20">
      <c r="A758" s="9" t="s">
        <v>555</v>
      </c>
      <c r="B758" s="30" t="s">
        <v>600</v>
      </c>
      <c r="C758" s="30" t="str">
        <f>CONCATENATE(VOL_VOLUMEN_SUMINISTROS[[#This Row],[Proyecto]],VOL_VOLUMEN_SUMINISTROS[[#This Row],[J]],VOL_VOLUMEN_SUMINISTROS[[#This Row],[FIN DE SEMANA]])</f>
        <v>1052-2MNO</v>
      </c>
      <c r="D758" s="365" t="str">
        <f>CONCATENATE(VOL_VOLUMEN_SUMINISTROS[[#This Row],[Grupo]],VOL_VOLUMEN_SUMINISTROS[[#This Row],[Proyecto]],VOL_VOLUMEN_SUMINISTROS[[#This Row],[FIN DE SEMANA]])</f>
        <v>141052-2NO</v>
      </c>
      <c r="E758" s="30" t="s">
        <v>183</v>
      </c>
      <c r="F758" s="30" t="s">
        <v>148</v>
      </c>
      <c r="G758" s="365">
        <v>14</v>
      </c>
      <c r="H758" s="30">
        <v>3</v>
      </c>
      <c r="I758" s="9" t="s">
        <v>578</v>
      </c>
      <c r="J758" s="9" t="s">
        <v>590</v>
      </c>
      <c r="K758" s="30">
        <v>1</v>
      </c>
      <c r="L758" s="9" t="s">
        <v>591</v>
      </c>
      <c r="M758" s="30" t="s">
        <v>84</v>
      </c>
      <c r="N758" s="30" t="s">
        <v>152</v>
      </c>
      <c r="O758" s="24">
        <v>0</v>
      </c>
      <c r="P758" s="24">
        <v>114</v>
      </c>
      <c r="Q758" s="24">
        <v>98</v>
      </c>
      <c r="R758" s="24">
        <v>0</v>
      </c>
      <c r="S758" s="24">
        <v>0</v>
      </c>
      <c r="T758" s="24">
        <v>212</v>
      </c>
    </row>
    <row r="759" spans="1:20">
      <c r="A759" s="9" t="s">
        <v>555</v>
      </c>
      <c r="B759" s="30" t="s">
        <v>600</v>
      </c>
      <c r="C759" s="30" t="str">
        <f>CONCATENATE(VOL_VOLUMEN_SUMINISTROS[[#This Row],[Proyecto]],VOL_VOLUMEN_SUMINISTROS[[#This Row],[J]],VOL_VOLUMEN_SUMINISTROS[[#This Row],[FIN DE SEMANA]])</f>
        <v>1052-2M1NO</v>
      </c>
      <c r="D759" s="365" t="str">
        <f>CONCATENATE(VOL_VOLUMEN_SUMINISTROS[[#This Row],[Grupo]],VOL_VOLUMEN_SUMINISTROS[[#This Row],[Proyecto]],VOL_VOLUMEN_SUMINISTROS[[#This Row],[FIN DE SEMANA]])</f>
        <v>21052-2NO</v>
      </c>
      <c r="E759" s="30" t="s">
        <v>183</v>
      </c>
      <c r="F759" s="30" t="s">
        <v>148</v>
      </c>
      <c r="G759" s="365">
        <v>2</v>
      </c>
      <c r="H759" s="30">
        <v>4</v>
      </c>
      <c r="I759" s="9" t="s">
        <v>601</v>
      </c>
      <c r="J759" s="9" t="s">
        <v>602</v>
      </c>
      <c r="K759" s="30">
        <v>1</v>
      </c>
      <c r="L759" s="9" t="s">
        <v>603</v>
      </c>
      <c r="M759" s="30" t="s">
        <v>84</v>
      </c>
      <c r="N759" s="30" t="s">
        <v>216</v>
      </c>
      <c r="O759" s="24">
        <v>0</v>
      </c>
      <c r="P759" s="24">
        <v>294</v>
      </c>
      <c r="Q759" s="24">
        <v>517</v>
      </c>
      <c r="R759" s="24">
        <v>0</v>
      </c>
      <c r="S759" s="24">
        <v>0</v>
      </c>
      <c r="T759" s="24">
        <v>811</v>
      </c>
    </row>
    <row r="760" spans="1:20">
      <c r="A760" s="9" t="s">
        <v>555</v>
      </c>
      <c r="B760" s="30" t="s">
        <v>600</v>
      </c>
      <c r="C760" s="30" t="str">
        <f>CONCATENATE(VOL_VOLUMEN_SUMINISTROS[[#This Row],[Proyecto]],VOL_VOLUMEN_SUMINISTROS[[#This Row],[J]],VOL_VOLUMEN_SUMINISTROS[[#This Row],[FIN DE SEMANA]])</f>
        <v>1052-2M1NO</v>
      </c>
      <c r="D760" s="365" t="str">
        <f>CONCATENATE(VOL_VOLUMEN_SUMINISTROS[[#This Row],[Grupo]],VOL_VOLUMEN_SUMINISTROS[[#This Row],[Proyecto]],VOL_VOLUMEN_SUMINISTROS[[#This Row],[FIN DE SEMANA]])</f>
        <v>21052-2NO</v>
      </c>
      <c r="E760" s="30" t="s">
        <v>183</v>
      </c>
      <c r="F760" s="30" t="s">
        <v>148</v>
      </c>
      <c r="G760" s="365">
        <v>2</v>
      </c>
      <c r="H760" s="30">
        <v>4</v>
      </c>
      <c r="I760" s="9" t="s">
        <v>601</v>
      </c>
      <c r="J760" s="9" t="s">
        <v>602</v>
      </c>
      <c r="K760" s="30">
        <v>2</v>
      </c>
      <c r="L760" s="9" t="s">
        <v>604</v>
      </c>
      <c r="M760" s="30" t="s">
        <v>84</v>
      </c>
      <c r="N760" s="30" t="s">
        <v>216</v>
      </c>
      <c r="O760" s="24">
        <v>136</v>
      </c>
      <c r="P760" s="24">
        <v>68</v>
      </c>
      <c r="Q760" s="24">
        <v>0</v>
      </c>
      <c r="R760" s="24">
        <v>0</v>
      </c>
      <c r="S760" s="24">
        <v>0</v>
      </c>
      <c r="T760" s="24">
        <v>204</v>
      </c>
    </row>
    <row r="761" spans="1:20">
      <c r="A761" s="9" t="s">
        <v>555</v>
      </c>
      <c r="B761" s="30" t="s">
        <v>600</v>
      </c>
      <c r="C761" s="30" t="str">
        <f>CONCATENATE(VOL_VOLUMEN_SUMINISTROS[[#This Row],[Proyecto]],VOL_VOLUMEN_SUMINISTROS[[#This Row],[J]],VOL_VOLUMEN_SUMINISTROS[[#This Row],[FIN DE SEMANA]])</f>
        <v>1052-2M1NO</v>
      </c>
      <c r="D761" s="365" t="str">
        <f>CONCATENATE(VOL_VOLUMEN_SUMINISTROS[[#This Row],[Grupo]],VOL_VOLUMEN_SUMINISTROS[[#This Row],[Proyecto]],VOL_VOLUMEN_SUMINISTROS[[#This Row],[FIN DE SEMANA]])</f>
        <v>21052-2NO</v>
      </c>
      <c r="E761" s="30" t="s">
        <v>183</v>
      </c>
      <c r="F761" s="30" t="s">
        <v>148</v>
      </c>
      <c r="G761" s="365">
        <v>2</v>
      </c>
      <c r="H761" s="30">
        <v>4</v>
      </c>
      <c r="I761" s="9" t="s">
        <v>601</v>
      </c>
      <c r="J761" s="9" t="s">
        <v>602</v>
      </c>
      <c r="K761" s="30">
        <v>3</v>
      </c>
      <c r="L761" s="9" t="s">
        <v>605</v>
      </c>
      <c r="M761" s="30" t="s">
        <v>84</v>
      </c>
      <c r="N761" s="30" t="s">
        <v>216</v>
      </c>
      <c r="O761" s="24">
        <v>58</v>
      </c>
      <c r="P761" s="24">
        <v>29</v>
      </c>
      <c r="Q761" s="24">
        <v>0</v>
      </c>
      <c r="R761" s="24">
        <v>0</v>
      </c>
      <c r="S761" s="24">
        <v>0</v>
      </c>
      <c r="T761" s="24">
        <v>87</v>
      </c>
    </row>
    <row r="762" spans="1:20">
      <c r="A762" s="9" t="s">
        <v>555</v>
      </c>
      <c r="B762" s="30" t="s">
        <v>606</v>
      </c>
      <c r="C762" s="30" t="str">
        <f>CONCATENATE(VOL_VOLUMEN_SUMINISTROS[[#This Row],[Proyecto]],VOL_VOLUMEN_SUMINISTROS[[#This Row],[J]],VOL_VOLUMEN_SUMINISTROS[[#This Row],[FIN DE SEMANA]])</f>
        <v>1052-2MNO</v>
      </c>
      <c r="D762" s="365" t="str">
        <f>CONCATENATE(VOL_VOLUMEN_SUMINISTROS[[#This Row],[Grupo]],VOL_VOLUMEN_SUMINISTROS[[#This Row],[Proyecto]],VOL_VOLUMEN_SUMINISTROS[[#This Row],[FIN DE SEMANA]])</f>
        <v>141052-2NO</v>
      </c>
      <c r="E762" s="30" t="s">
        <v>183</v>
      </c>
      <c r="F762" s="30" t="s">
        <v>148</v>
      </c>
      <c r="G762" s="365">
        <v>14</v>
      </c>
      <c r="H762" s="30">
        <v>14</v>
      </c>
      <c r="I762" s="9" t="s">
        <v>557</v>
      </c>
      <c r="J762" s="9" t="s">
        <v>558</v>
      </c>
      <c r="K762" s="30">
        <v>1</v>
      </c>
      <c r="L762" s="9" t="s">
        <v>153</v>
      </c>
      <c r="M762" s="30" t="s">
        <v>84</v>
      </c>
      <c r="N762" s="30" t="s">
        <v>152</v>
      </c>
      <c r="O762" s="24">
        <v>0</v>
      </c>
      <c r="P762" s="24">
        <v>0</v>
      </c>
      <c r="Q762" s="24">
        <v>62</v>
      </c>
      <c r="R762" s="24">
        <v>0</v>
      </c>
      <c r="S762" s="24">
        <v>0</v>
      </c>
      <c r="T762" s="24">
        <v>62</v>
      </c>
    </row>
    <row r="763" spans="1:20">
      <c r="A763" s="9" t="s">
        <v>555</v>
      </c>
      <c r="B763" s="30" t="s">
        <v>606</v>
      </c>
      <c r="C763" s="30" t="str">
        <f>CONCATENATE(VOL_VOLUMEN_SUMINISTROS[[#This Row],[Proyecto]],VOL_VOLUMEN_SUMINISTROS[[#This Row],[J]],VOL_VOLUMEN_SUMINISTROS[[#This Row],[FIN DE SEMANA]])</f>
        <v>1052-2TNO</v>
      </c>
      <c r="D763" s="365" t="str">
        <f>CONCATENATE(VOL_VOLUMEN_SUMINISTROS[[#This Row],[Grupo]],VOL_VOLUMEN_SUMINISTROS[[#This Row],[Proyecto]],VOL_VOLUMEN_SUMINISTROS[[#This Row],[FIN DE SEMANA]])</f>
        <v>141052-2NO</v>
      </c>
      <c r="E763" s="30" t="s">
        <v>183</v>
      </c>
      <c r="F763" s="30" t="s">
        <v>148</v>
      </c>
      <c r="G763" s="365">
        <v>14</v>
      </c>
      <c r="H763" s="30">
        <v>14</v>
      </c>
      <c r="I763" s="9" t="s">
        <v>557</v>
      </c>
      <c r="J763" s="9" t="s">
        <v>558</v>
      </c>
      <c r="K763" s="30">
        <v>1</v>
      </c>
      <c r="L763" s="9" t="s">
        <v>153</v>
      </c>
      <c r="M763" s="30" t="s">
        <v>84</v>
      </c>
      <c r="N763" s="30" t="s">
        <v>155</v>
      </c>
      <c r="O763" s="24">
        <v>0</v>
      </c>
      <c r="P763" s="24">
        <v>0</v>
      </c>
      <c r="Q763" s="24">
        <v>78</v>
      </c>
      <c r="R763" s="24">
        <v>0</v>
      </c>
      <c r="S763" s="24">
        <v>0</v>
      </c>
      <c r="T763" s="24">
        <v>78</v>
      </c>
    </row>
    <row r="764" spans="1:20">
      <c r="A764" s="9" t="s">
        <v>555</v>
      </c>
      <c r="B764" s="30" t="s">
        <v>606</v>
      </c>
      <c r="C764" s="30" t="str">
        <f>CONCATENATE(VOL_VOLUMEN_SUMINISTROS[[#This Row],[Proyecto]],VOL_VOLUMEN_SUMINISTROS[[#This Row],[J]],VOL_VOLUMEN_SUMINISTROS[[#This Row],[FIN DE SEMANA]])</f>
        <v>1052-2MNO</v>
      </c>
      <c r="D764" s="365" t="str">
        <f>CONCATENATE(VOL_VOLUMEN_SUMINISTROS[[#This Row],[Grupo]],VOL_VOLUMEN_SUMINISTROS[[#This Row],[Proyecto]],VOL_VOLUMEN_SUMINISTROS[[#This Row],[FIN DE SEMANA]])</f>
        <v>141052-2NO</v>
      </c>
      <c r="E764" s="30" t="s">
        <v>183</v>
      </c>
      <c r="F764" s="30" t="s">
        <v>148</v>
      </c>
      <c r="G764" s="365">
        <v>14</v>
      </c>
      <c r="H764" s="30">
        <v>14</v>
      </c>
      <c r="I764" s="9" t="s">
        <v>557</v>
      </c>
      <c r="J764" s="9" t="s">
        <v>562</v>
      </c>
      <c r="K764" s="30">
        <v>1</v>
      </c>
      <c r="L764" s="9" t="s">
        <v>563</v>
      </c>
      <c r="M764" s="30" t="s">
        <v>84</v>
      </c>
      <c r="N764" s="30" t="s">
        <v>152</v>
      </c>
      <c r="O764" s="24">
        <v>0</v>
      </c>
      <c r="P764" s="24">
        <v>0</v>
      </c>
      <c r="Q764" s="24">
        <v>120</v>
      </c>
      <c r="R764" s="24">
        <v>0</v>
      </c>
      <c r="S764" s="24">
        <v>0</v>
      </c>
      <c r="T764" s="24">
        <v>120</v>
      </c>
    </row>
    <row r="765" spans="1:20">
      <c r="A765" s="9" t="s">
        <v>555</v>
      </c>
      <c r="B765" s="30" t="s">
        <v>606</v>
      </c>
      <c r="C765" s="30" t="str">
        <f>CONCATENATE(VOL_VOLUMEN_SUMINISTROS[[#This Row],[Proyecto]],VOL_VOLUMEN_SUMINISTROS[[#This Row],[J]],VOL_VOLUMEN_SUMINISTROS[[#This Row],[FIN DE SEMANA]])</f>
        <v>1052-2TNO</v>
      </c>
      <c r="D765" s="365" t="str">
        <f>CONCATENATE(VOL_VOLUMEN_SUMINISTROS[[#This Row],[Grupo]],VOL_VOLUMEN_SUMINISTROS[[#This Row],[Proyecto]],VOL_VOLUMEN_SUMINISTROS[[#This Row],[FIN DE SEMANA]])</f>
        <v>141052-2NO</v>
      </c>
      <c r="E765" s="30" t="s">
        <v>183</v>
      </c>
      <c r="F765" s="30" t="s">
        <v>148</v>
      </c>
      <c r="G765" s="365">
        <v>14</v>
      </c>
      <c r="H765" s="30">
        <v>14</v>
      </c>
      <c r="I765" s="9" t="s">
        <v>557</v>
      </c>
      <c r="J765" s="9" t="s">
        <v>562</v>
      </c>
      <c r="K765" s="30">
        <v>1</v>
      </c>
      <c r="L765" s="9" t="s">
        <v>563</v>
      </c>
      <c r="M765" s="30" t="s">
        <v>84</v>
      </c>
      <c r="N765" s="30" t="s">
        <v>155</v>
      </c>
      <c r="O765" s="24">
        <v>0</v>
      </c>
      <c r="P765" s="24">
        <v>0</v>
      </c>
      <c r="Q765" s="24">
        <v>110</v>
      </c>
      <c r="R765" s="24">
        <v>0</v>
      </c>
      <c r="S765" s="24">
        <v>0</v>
      </c>
      <c r="T765" s="24">
        <v>110</v>
      </c>
    </row>
    <row r="766" spans="1:20">
      <c r="A766" s="9" t="s">
        <v>555</v>
      </c>
      <c r="B766" s="30" t="s">
        <v>606</v>
      </c>
      <c r="C766" s="30" t="str">
        <f>CONCATENATE(VOL_VOLUMEN_SUMINISTROS[[#This Row],[Proyecto]],VOL_VOLUMEN_SUMINISTROS[[#This Row],[J]],VOL_VOLUMEN_SUMINISTROS[[#This Row],[FIN DE SEMANA]])</f>
        <v>1052-2MNO</v>
      </c>
      <c r="D766" s="365" t="str">
        <f>CONCATENATE(VOL_VOLUMEN_SUMINISTROS[[#This Row],[Grupo]],VOL_VOLUMEN_SUMINISTROS[[#This Row],[Proyecto]],VOL_VOLUMEN_SUMINISTROS[[#This Row],[FIN DE SEMANA]])</f>
        <v>141052-2NO</v>
      </c>
      <c r="E766" s="30" t="s">
        <v>183</v>
      </c>
      <c r="F766" s="30" t="s">
        <v>148</v>
      </c>
      <c r="G766" s="365">
        <v>14</v>
      </c>
      <c r="H766" s="30">
        <v>14</v>
      </c>
      <c r="I766" s="9" t="s">
        <v>557</v>
      </c>
      <c r="J766" s="9" t="s">
        <v>569</v>
      </c>
      <c r="K766" s="30">
        <v>1</v>
      </c>
      <c r="L766" s="9" t="s">
        <v>570</v>
      </c>
      <c r="M766" s="30" t="s">
        <v>84</v>
      </c>
      <c r="N766" s="30" t="s">
        <v>152</v>
      </c>
      <c r="O766" s="24">
        <v>0</v>
      </c>
      <c r="P766" s="24">
        <v>0</v>
      </c>
      <c r="Q766" s="24">
        <v>67</v>
      </c>
      <c r="R766" s="24">
        <v>0</v>
      </c>
      <c r="S766" s="24">
        <v>0</v>
      </c>
      <c r="T766" s="24">
        <v>67</v>
      </c>
    </row>
    <row r="767" spans="1:20">
      <c r="A767" s="9" t="s">
        <v>555</v>
      </c>
      <c r="B767" s="30" t="s">
        <v>606</v>
      </c>
      <c r="C767" s="30" t="str">
        <f>CONCATENATE(VOL_VOLUMEN_SUMINISTROS[[#This Row],[Proyecto]],VOL_VOLUMEN_SUMINISTROS[[#This Row],[J]],VOL_VOLUMEN_SUMINISTROS[[#This Row],[FIN DE SEMANA]])</f>
        <v>1052-2TNO</v>
      </c>
      <c r="D767" s="365" t="str">
        <f>CONCATENATE(VOL_VOLUMEN_SUMINISTROS[[#This Row],[Grupo]],VOL_VOLUMEN_SUMINISTROS[[#This Row],[Proyecto]],VOL_VOLUMEN_SUMINISTROS[[#This Row],[FIN DE SEMANA]])</f>
        <v>141052-2NO</v>
      </c>
      <c r="E767" s="30" t="s">
        <v>183</v>
      </c>
      <c r="F767" s="30" t="s">
        <v>148</v>
      </c>
      <c r="G767" s="365">
        <v>14</v>
      </c>
      <c r="H767" s="30">
        <v>14</v>
      </c>
      <c r="I767" s="9" t="s">
        <v>557</v>
      </c>
      <c r="J767" s="9" t="s">
        <v>569</v>
      </c>
      <c r="K767" s="30">
        <v>1</v>
      </c>
      <c r="L767" s="9" t="s">
        <v>570</v>
      </c>
      <c r="M767" s="30" t="s">
        <v>84</v>
      </c>
      <c r="N767" s="30" t="s">
        <v>155</v>
      </c>
      <c r="O767" s="24">
        <v>0</v>
      </c>
      <c r="P767" s="24">
        <v>0</v>
      </c>
      <c r="Q767" s="24">
        <v>54</v>
      </c>
      <c r="R767" s="24">
        <v>0</v>
      </c>
      <c r="S767" s="24">
        <v>0</v>
      </c>
      <c r="T767" s="24">
        <v>54</v>
      </c>
    </row>
    <row r="768" spans="1:20">
      <c r="A768" s="9" t="s">
        <v>555</v>
      </c>
      <c r="B768" s="30" t="s">
        <v>606</v>
      </c>
      <c r="C768" s="30" t="str">
        <f>CONCATENATE(VOL_VOLUMEN_SUMINISTROS[[#This Row],[Proyecto]],VOL_VOLUMEN_SUMINISTROS[[#This Row],[J]],VOL_VOLUMEN_SUMINISTROS[[#This Row],[FIN DE SEMANA]])</f>
        <v>1052-2MNO</v>
      </c>
      <c r="D768" s="365" t="str">
        <f>CONCATENATE(VOL_VOLUMEN_SUMINISTROS[[#This Row],[Grupo]],VOL_VOLUMEN_SUMINISTROS[[#This Row],[Proyecto]],VOL_VOLUMEN_SUMINISTROS[[#This Row],[FIN DE SEMANA]])</f>
        <v>141052-2NO</v>
      </c>
      <c r="E768" s="30" t="s">
        <v>183</v>
      </c>
      <c r="F768" s="30" t="s">
        <v>148</v>
      </c>
      <c r="G768" s="365">
        <v>14</v>
      </c>
      <c r="H768" s="30">
        <v>17</v>
      </c>
      <c r="I768" s="9" t="s">
        <v>572</v>
      </c>
      <c r="J768" s="9" t="s">
        <v>573</v>
      </c>
      <c r="K768" s="30">
        <v>2</v>
      </c>
      <c r="L768" s="9" t="s">
        <v>574</v>
      </c>
      <c r="M768" s="30" t="s">
        <v>84</v>
      </c>
      <c r="N768" s="30" t="s">
        <v>152</v>
      </c>
      <c r="O768" s="24">
        <v>0</v>
      </c>
      <c r="P768" s="24">
        <v>0</v>
      </c>
      <c r="Q768" s="24">
        <v>35</v>
      </c>
      <c r="R768" s="24">
        <v>0</v>
      </c>
      <c r="S768" s="24">
        <v>0</v>
      </c>
      <c r="T768" s="24">
        <v>35</v>
      </c>
    </row>
    <row r="769" spans="1:20">
      <c r="A769" s="9" t="s">
        <v>555</v>
      </c>
      <c r="B769" s="30" t="s">
        <v>606</v>
      </c>
      <c r="C769" s="30" t="str">
        <f>CONCATENATE(VOL_VOLUMEN_SUMINISTROS[[#This Row],[Proyecto]],VOL_VOLUMEN_SUMINISTROS[[#This Row],[J]],VOL_VOLUMEN_SUMINISTROS[[#This Row],[FIN DE SEMANA]])</f>
        <v>1052-2TNO</v>
      </c>
      <c r="D769" s="365" t="str">
        <f>CONCATENATE(VOL_VOLUMEN_SUMINISTROS[[#This Row],[Grupo]],VOL_VOLUMEN_SUMINISTROS[[#This Row],[Proyecto]],VOL_VOLUMEN_SUMINISTROS[[#This Row],[FIN DE SEMANA]])</f>
        <v>141052-2NO</v>
      </c>
      <c r="E769" s="30" t="s">
        <v>183</v>
      </c>
      <c r="F769" s="30" t="s">
        <v>148</v>
      </c>
      <c r="G769" s="365">
        <v>14</v>
      </c>
      <c r="H769" s="30">
        <v>17</v>
      </c>
      <c r="I769" s="9" t="s">
        <v>572</v>
      </c>
      <c r="J769" s="9" t="s">
        <v>573</v>
      </c>
      <c r="K769" s="30">
        <v>2</v>
      </c>
      <c r="L769" s="9" t="s">
        <v>574</v>
      </c>
      <c r="M769" s="30" t="s">
        <v>84</v>
      </c>
      <c r="N769" s="30" t="s">
        <v>155</v>
      </c>
      <c r="O769" s="24">
        <v>0</v>
      </c>
      <c r="P769" s="24">
        <v>0</v>
      </c>
      <c r="Q769" s="24">
        <v>80</v>
      </c>
      <c r="R769" s="24">
        <v>0</v>
      </c>
      <c r="S769" s="24">
        <v>0</v>
      </c>
      <c r="T769" s="24">
        <v>80</v>
      </c>
    </row>
    <row r="770" spans="1:20">
      <c r="A770" s="9" t="s">
        <v>555</v>
      </c>
      <c r="B770" s="30" t="s">
        <v>606</v>
      </c>
      <c r="C770" s="30" t="str">
        <f>CONCATENATE(VOL_VOLUMEN_SUMINISTROS[[#This Row],[Proyecto]],VOL_VOLUMEN_SUMINISTROS[[#This Row],[J]],VOL_VOLUMEN_SUMINISTROS[[#This Row],[FIN DE SEMANA]])</f>
        <v>1052-2M1NO</v>
      </c>
      <c r="D770" s="365" t="str">
        <f>CONCATENATE(VOL_VOLUMEN_SUMINISTROS[[#This Row],[Grupo]],VOL_VOLUMEN_SUMINISTROS[[#This Row],[Proyecto]],VOL_VOLUMEN_SUMINISTROS[[#This Row],[FIN DE SEMANA]])</f>
        <v>141052-2NO</v>
      </c>
      <c r="E770" s="30" t="s">
        <v>183</v>
      </c>
      <c r="F770" s="30" t="s">
        <v>148</v>
      </c>
      <c r="G770" s="365">
        <v>14</v>
      </c>
      <c r="H770" s="30">
        <v>3</v>
      </c>
      <c r="I770" s="9" t="s">
        <v>578</v>
      </c>
      <c r="J770" s="9" t="s">
        <v>579</v>
      </c>
      <c r="K770" s="30">
        <v>1</v>
      </c>
      <c r="L770" s="9" t="s">
        <v>151</v>
      </c>
      <c r="M770" s="30" t="s">
        <v>84</v>
      </c>
      <c r="N770" s="30" t="s">
        <v>216</v>
      </c>
      <c r="O770" s="24">
        <v>0</v>
      </c>
      <c r="P770" s="24">
        <v>0</v>
      </c>
      <c r="Q770" s="24">
        <v>129</v>
      </c>
      <c r="R770" s="24">
        <v>0</v>
      </c>
      <c r="S770" s="24">
        <v>0</v>
      </c>
      <c r="T770" s="24">
        <v>129</v>
      </c>
    </row>
    <row r="771" spans="1:20">
      <c r="A771" s="9" t="s">
        <v>555</v>
      </c>
      <c r="B771" s="30" t="s">
        <v>606</v>
      </c>
      <c r="C771" s="30" t="str">
        <f>CONCATENATE(VOL_VOLUMEN_SUMINISTROS[[#This Row],[Proyecto]],VOL_VOLUMEN_SUMINISTROS[[#This Row],[J]],VOL_VOLUMEN_SUMINISTROS[[#This Row],[FIN DE SEMANA]])</f>
        <v>1052-2MNO</v>
      </c>
      <c r="D771" s="365" t="str">
        <f>CONCATENATE(VOL_VOLUMEN_SUMINISTROS[[#This Row],[Grupo]],VOL_VOLUMEN_SUMINISTROS[[#This Row],[Proyecto]],VOL_VOLUMEN_SUMINISTROS[[#This Row],[FIN DE SEMANA]])</f>
        <v>141052-2NO</v>
      </c>
      <c r="E771" s="30" t="s">
        <v>183</v>
      </c>
      <c r="F771" s="30" t="s">
        <v>148</v>
      </c>
      <c r="G771" s="365">
        <v>14</v>
      </c>
      <c r="H771" s="30">
        <v>3</v>
      </c>
      <c r="I771" s="9" t="s">
        <v>578</v>
      </c>
      <c r="J771" s="9" t="s">
        <v>595</v>
      </c>
      <c r="K771" s="30">
        <v>1</v>
      </c>
      <c r="L771" s="9" t="s">
        <v>596</v>
      </c>
      <c r="M771" s="30" t="s">
        <v>84</v>
      </c>
      <c r="N771" s="30" t="s">
        <v>152</v>
      </c>
      <c r="O771" s="24">
        <v>0</v>
      </c>
      <c r="P771" s="24">
        <v>0</v>
      </c>
      <c r="Q771" s="24">
        <v>51</v>
      </c>
      <c r="R771" s="24">
        <v>0</v>
      </c>
      <c r="S771" s="24">
        <v>0</v>
      </c>
      <c r="T771" s="24">
        <v>51</v>
      </c>
    </row>
    <row r="772" spans="1:20">
      <c r="A772" s="9" t="s">
        <v>555</v>
      </c>
      <c r="B772" s="30" t="s">
        <v>606</v>
      </c>
      <c r="C772" s="30" t="str">
        <f>CONCATENATE(VOL_VOLUMEN_SUMINISTROS[[#This Row],[Proyecto]],VOL_VOLUMEN_SUMINISTROS[[#This Row],[J]],VOL_VOLUMEN_SUMINISTROS[[#This Row],[FIN DE SEMANA]])</f>
        <v>1052-2TNO</v>
      </c>
      <c r="D772" s="365" t="str">
        <f>CONCATENATE(VOL_VOLUMEN_SUMINISTROS[[#This Row],[Grupo]],VOL_VOLUMEN_SUMINISTROS[[#This Row],[Proyecto]],VOL_VOLUMEN_SUMINISTROS[[#This Row],[FIN DE SEMANA]])</f>
        <v>141052-2NO</v>
      </c>
      <c r="E772" s="30" t="s">
        <v>183</v>
      </c>
      <c r="F772" s="30" t="s">
        <v>148</v>
      </c>
      <c r="G772" s="365">
        <v>14</v>
      </c>
      <c r="H772" s="30">
        <v>3</v>
      </c>
      <c r="I772" s="9" t="s">
        <v>578</v>
      </c>
      <c r="J772" s="9" t="s">
        <v>595</v>
      </c>
      <c r="K772" s="30">
        <v>1</v>
      </c>
      <c r="L772" s="9" t="s">
        <v>596</v>
      </c>
      <c r="M772" s="30" t="s">
        <v>84</v>
      </c>
      <c r="N772" s="30" t="s">
        <v>155</v>
      </c>
      <c r="O772" s="24">
        <v>0</v>
      </c>
      <c r="P772" s="24">
        <v>0</v>
      </c>
      <c r="Q772" s="24">
        <v>52</v>
      </c>
      <c r="R772" s="24">
        <v>0</v>
      </c>
      <c r="S772" s="24">
        <v>0</v>
      </c>
      <c r="T772" s="24">
        <v>52</v>
      </c>
    </row>
    <row r="773" spans="1:20">
      <c r="A773" s="9" t="s">
        <v>555</v>
      </c>
      <c r="B773" s="30" t="s">
        <v>606</v>
      </c>
      <c r="C773" s="30" t="str">
        <f>CONCATENATE(VOL_VOLUMEN_SUMINISTROS[[#This Row],[Proyecto]],VOL_VOLUMEN_SUMINISTROS[[#This Row],[J]],VOL_VOLUMEN_SUMINISTROS[[#This Row],[FIN DE SEMANA]])</f>
        <v>1052-2MNO</v>
      </c>
      <c r="D773" s="365" t="str">
        <f>CONCATENATE(VOL_VOLUMEN_SUMINISTROS[[#This Row],[Grupo]],VOL_VOLUMEN_SUMINISTROS[[#This Row],[Proyecto]],VOL_VOLUMEN_SUMINISTROS[[#This Row],[FIN DE SEMANA]])</f>
        <v>21052-2NO</v>
      </c>
      <c r="E773" s="30" t="s">
        <v>183</v>
      </c>
      <c r="F773" s="30" t="s">
        <v>148</v>
      </c>
      <c r="G773" s="365">
        <v>2</v>
      </c>
      <c r="H773" s="30">
        <v>4</v>
      </c>
      <c r="I773" s="9" t="s">
        <v>601</v>
      </c>
      <c r="J773" s="9" t="s">
        <v>602</v>
      </c>
      <c r="K773" s="30">
        <v>1</v>
      </c>
      <c r="L773" s="9" t="s">
        <v>603</v>
      </c>
      <c r="M773" s="30" t="s">
        <v>84</v>
      </c>
      <c r="N773" s="30" t="s">
        <v>152</v>
      </c>
      <c r="O773" s="24">
        <v>0</v>
      </c>
      <c r="P773" s="24">
        <v>0</v>
      </c>
      <c r="Q773" s="24">
        <v>429</v>
      </c>
      <c r="R773" s="24">
        <v>0</v>
      </c>
      <c r="S773" s="24">
        <v>0</v>
      </c>
      <c r="T773" s="24">
        <v>429</v>
      </c>
    </row>
    <row r="774" spans="1:20">
      <c r="A774" s="9" t="s">
        <v>555</v>
      </c>
      <c r="B774" s="30" t="s">
        <v>607</v>
      </c>
      <c r="C774" s="30" t="str">
        <f>CONCATENATE(VOL_VOLUMEN_SUMINISTROS[[#This Row],[Proyecto]],VOL_VOLUMEN_SUMINISTROS[[#This Row],[J]],VOL_VOLUMEN_SUMINISTROS[[#This Row],[FIN DE SEMANA]])</f>
        <v>1052-2MNO</v>
      </c>
      <c r="D774" s="365" t="str">
        <f>CONCATENATE(VOL_VOLUMEN_SUMINISTROS[[#This Row],[Grupo]],VOL_VOLUMEN_SUMINISTROS[[#This Row],[Proyecto]],VOL_VOLUMEN_SUMINISTROS[[#This Row],[FIN DE SEMANA]])</f>
        <v>141052-2NO</v>
      </c>
      <c r="E774" s="30" t="s">
        <v>183</v>
      </c>
      <c r="F774" s="30" t="s">
        <v>148</v>
      </c>
      <c r="G774" s="365">
        <v>14</v>
      </c>
      <c r="H774" s="30">
        <v>14</v>
      </c>
      <c r="I774" s="9" t="s">
        <v>557</v>
      </c>
      <c r="J774" s="9" t="s">
        <v>558</v>
      </c>
      <c r="K774" s="30">
        <v>2</v>
      </c>
      <c r="L774" s="9" t="s">
        <v>165</v>
      </c>
      <c r="M774" s="30" t="s">
        <v>84</v>
      </c>
      <c r="N774" s="30" t="s">
        <v>152</v>
      </c>
      <c r="O774" s="24">
        <v>124</v>
      </c>
      <c r="P774" s="24">
        <v>0</v>
      </c>
      <c r="Q774" s="24">
        <v>0</v>
      </c>
      <c r="R774" s="24">
        <v>0</v>
      </c>
      <c r="S774" s="24">
        <v>0</v>
      </c>
      <c r="T774" s="24">
        <v>124</v>
      </c>
    </row>
    <row r="775" spans="1:20">
      <c r="A775" s="9" t="s">
        <v>555</v>
      </c>
      <c r="B775" s="30" t="s">
        <v>607</v>
      </c>
      <c r="C775" s="30" t="str">
        <f>CONCATENATE(VOL_VOLUMEN_SUMINISTROS[[#This Row],[Proyecto]],VOL_VOLUMEN_SUMINISTROS[[#This Row],[J]],VOL_VOLUMEN_SUMINISTROS[[#This Row],[FIN DE SEMANA]])</f>
        <v>1052-2TNO</v>
      </c>
      <c r="D775" s="365" t="str">
        <f>CONCATENATE(VOL_VOLUMEN_SUMINISTROS[[#This Row],[Grupo]],VOL_VOLUMEN_SUMINISTROS[[#This Row],[Proyecto]],VOL_VOLUMEN_SUMINISTROS[[#This Row],[FIN DE SEMANA]])</f>
        <v>141052-2NO</v>
      </c>
      <c r="E775" s="30" t="s">
        <v>183</v>
      </c>
      <c r="F775" s="30" t="s">
        <v>148</v>
      </c>
      <c r="G775" s="365">
        <v>14</v>
      </c>
      <c r="H775" s="30">
        <v>14</v>
      </c>
      <c r="I775" s="9" t="s">
        <v>557</v>
      </c>
      <c r="J775" s="9" t="s">
        <v>558</v>
      </c>
      <c r="K775" s="30">
        <v>2</v>
      </c>
      <c r="L775" s="9" t="s">
        <v>165</v>
      </c>
      <c r="M775" s="30" t="s">
        <v>84</v>
      </c>
      <c r="N775" s="30" t="s">
        <v>155</v>
      </c>
      <c r="O775" s="24">
        <v>50</v>
      </c>
      <c r="P775" s="24">
        <v>0</v>
      </c>
      <c r="Q775" s="24">
        <v>0</v>
      </c>
      <c r="R775" s="24">
        <v>0</v>
      </c>
      <c r="S775" s="24">
        <v>0</v>
      </c>
      <c r="T775" s="24">
        <v>50</v>
      </c>
    </row>
    <row r="776" spans="1:20">
      <c r="A776" s="9" t="s">
        <v>555</v>
      </c>
      <c r="B776" s="30" t="s">
        <v>607</v>
      </c>
      <c r="C776" s="30" t="str">
        <f>CONCATENATE(VOL_VOLUMEN_SUMINISTROS[[#This Row],[Proyecto]],VOL_VOLUMEN_SUMINISTROS[[#This Row],[J]],VOL_VOLUMEN_SUMINISTROS[[#This Row],[FIN DE SEMANA]])</f>
        <v>1052-2MNO</v>
      </c>
      <c r="D776" s="365" t="str">
        <f>CONCATENATE(VOL_VOLUMEN_SUMINISTROS[[#This Row],[Grupo]],VOL_VOLUMEN_SUMINISTROS[[#This Row],[Proyecto]],VOL_VOLUMEN_SUMINISTROS[[#This Row],[FIN DE SEMANA]])</f>
        <v>141052-2NO</v>
      </c>
      <c r="E776" s="30" t="s">
        <v>183</v>
      </c>
      <c r="F776" s="30" t="s">
        <v>148</v>
      </c>
      <c r="G776" s="365">
        <v>14</v>
      </c>
      <c r="H776" s="30">
        <v>14</v>
      </c>
      <c r="I776" s="9" t="s">
        <v>557</v>
      </c>
      <c r="J776" s="9" t="s">
        <v>559</v>
      </c>
      <c r="K776" s="30">
        <v>2</v>
      </c>
      <c r="L776" s="9" t="s">
        <v>165</v>
      </c>
      <c r="M776" s="30" t="s">
        <v>84</v>
      </c>
      <c r="N776" s="30" t="s">
        <v>152</v>
      </c>
      <c r="O776" s="24">
        <v>44</v>
      </c>
      <c r="P776" s="24">
        <v>0</v>
      </c>
      <c r="Q776" s="24">
        <v>0</v>
      </c>
      <c r="R776" s="24">
        <v>0</v>
      </c>
      <c r="S776" s="24">
        <v>0</v>
      </c>
      <c r="T776" s="24">
        <v>44</v>
      </c>
    </row>
    <row r="777" spans="1:20">
      <c r="A777" s="9" t="s">
        <v>555</v>
      </c>
      <c r="B777" s="30" t="s">
        <v>607</v>
      </c>
      <c r="C777" s="30" t="str">
        <f>CONCATENATE(VOL_VOLUMEN_SUMINISTROS[[#This Row],[Proyecto]],VOL_VOLUMEN_SUMINISTROS[[#This Row],[J]],VOL_VOLUMEN_SUMINISTROS[[#This Row],[FIN DE SEMANA]])</f>
        <v>1052-2TNO</v>
      </c>
      <c r="D777" s="365" t="str">
        <f>CONCATENATE(VOL_VOLUMEN_SUMINISTROS[[#This Row],[Grupo]],VOL_VOLUMEN_SUMINISTROS[[#This Row],[Proyecto]],VOL_VOLUMEN_SUMINISTROS[[#This Row],[FIN DE SEMANA]])</f>
        <v>141052-2NO</v>
      </c>
      <c r="E777" s="30" t="s">
        <v>183</v>
      </c>
      <c r="F777" s="30" t="s">
        <v>148</v>
      </c>
      <c r="G777" s="365">
        <v>14</v>
      </c>
      <c r="H777" s="30">
        <v>14</v>
      </c>
      <c r="I777" s="9" t="s">
        <v>557</v>
      </c>
      <c r="J777" s="9" t="s">
        <v>559</v>
      </c>
      <c r="K777" s="30">
        <v>2</v>
      </c>
      <c r="L777" s="9" t="s">
        <v>165</v>
      </c>
      <c r="M777" s="30" t="s">
        <v>84</v>
      </c>
      <c r="N777" s="30" t="s">
        <v>155</v>
      </c>
      <c r="O777" s="24">
        <v>37</v>
      </c>
      <c r="P777" s="24">
        <v>0</v>
      </c>
      <c r="Q777" s="24">
        <v>0</v>
      </c>
      <c r="R777" s="24">
        <v>0</v>
      </c>
      <c r="S777" s="24">
        <v>0</v>
      </c>
      <c r="T777" s="24">
        <v>37</v>
      </c>
    </row>
    <row r="778" spans="1:20">
      <c r="A778" s="9" t="s">
        <v>555</v>
      </c>
      <c r="B778" s="30" t="s">
        <v>607</v>
      </c>
      <c r="C778" s="30" t="str">
        <f>CONCATENATE(VOL_VOLUMEN_SUMINISTROS[[#This Row],[Proyecto]],VOL_VOLUMEN_SUMINISTROS[[#This Row],[J]],VOL_VOLUMEN_SUMINISTROS[[#This Row],[FIN DE SEMANA]])</f>
        <v>1052-2MNO</v>
      </c>
      <c r="D778" s="365" t="str">
        <f>CONCATENATE(VOL_VOLUMEN_SUMINISTROS[[#This Row],[Grupo]],VOL_VOLUMEN_SUMINISTROS[[#This Row],[Proyecto]],VOL_VOLUMEN_SUMINISTROS[[#This Row],[FIN DE SEMANA]])</f>
        <v>141052-2NO</v>
      </c>
      <c r="E778" s="30" t="s">
        <v>183</v>
      </c>
      <c r="F778" s="30" t="s">
        <v>148</v>
      </c>
      <c r="G778" s="365">
        <v>14</v>
      </c>
      <c r="H778" s="30">
        <v>14</v>
      </c>
      <c r="I778" s="9" t="s">
        <v>557</v>
      </c>
      <c r="J778" s="9" t="s">
        <v>562</v>
      </c>
      <c r="K778" s="30">
        <v>2</v>
      </c>
      <c r="L778" s="9" t="s">
        <v>165</v>
      </c>
      <c r="M778" s="30" t="s">
        <v>84</v>
      </c>
      <c r="N778" s="30" t="s">
        <v>152</v>
      </c>
      <c r="O778" s="24">
        <v>90</v>
      </c>
      <c r="P778" s="24">
        <v>0</v>
      </c>
      <c r="Q778" s="24">
        <v>0</v>
      </c>
      <c r="R778" s="24">
        <v>0</v>
      </c>
      <c r="S778" s="24">
        <v>0</v>
      </c>
      <c r="T778" s="24">
        <v>90</v>
      </c>
    </row>
    <row r="779" spans="1:20">
      <c r="A779" s="9" t="s">
        <v>555</v>
      </c>
      <c r="B779" s="30" t="s">
        <v>607</v>
      </c>
      <c r="C779" s="30" t="str">
        <f>CONCATENATE(VOL_VOLUMEN_SUMINISTROS[[#This Row],[Proyecto]],VOL_VOLUMEN_SUMINISTROS[[#This Row],[J]],VOL_VOLUMEN_SUMINISTROS[[#This Row],[FIN DE SEMANA]])</f>
        <v>1052-2TNO</v>
      </c>
      <c r="D779" s="365" t="str">
        <f>CONCATENATE(VOL_VOLUMEN_SUMINISTROS[[#This Row],[Grupo]],VOL_VOLUMEN_SUMINISTROS[[#This Row],[Proyecto]],VOL_VOLUMEN_SUMINISTROS[[#This Row],[FIN DE SEMANA]])</f>
        <v>141052-2NO</v>
      </c>
      <c r="E779" s="30" t="s">
        <v>183</v>
      </c>
      <c r="F779" s="30" t="s">
        <v>148</v>
      </c>
      <c r="G779" s="365">
        <v>14</v>
      </c>
      <c r="H779" s="30">
        <v>14</v>
      </c>
      <c r="I779" s="9" t="s">
        <v>557</v>
      </c>
      <c r="J779" s="9" t="s">
        <v>562</v>
      </c>
      <c r="K779" s="30">
        <v>2</v>
      </c>
      <c r="L779" s="9" t="s">
        <v>165</v>
      </c>
      <c r="M779" s="30" t="s">
        <v>84</v>
      </c>
      <c r="N779" s="30" t="s">
        <v>155</v>
      </c>
      <c r="O779" s="24">
        <v>90</v>
      </c>
      <c r="P779" s="24">
        <v>0</v>
      </c>
      <c r="Q779" s="24">
        <v>0</v>
      </c>
      <c r="R779" s="24">
        <v>0</v>
      </c>
      <c r="S779" s="24">
        <v>0</v>
      </c>
      <c r="T779" s="24">
        <v>90</v>
      </c>
    </row>
    <row r="780" spans="1:20">
      <c r="A780" s="9" t="s">
        <v>555</v>
      </c>
      <c r="B780" s="30" t="s">
        <v>607</v>
      </c>
      <c r="C780" s="30" t="str">
        <f>CONCATENATE(VOL_VOLUMEN_SUMINISTROS[[#This Row],[Proyecto]],VOL_VOLUMEN_SUMINISTROS[[#This Row],[J]],VOL_VOLUMEN_SUMINISTROS[[#This Row],[FIN DE SEMANA]])</f>
        <v>1052-2MNO</v>
      </c>
      <c r="D780" s="365" t="str">
        <f>CONCATENATE(VOL_VOLUMEN_SUMINISTROS[[#This Row],[Grupo]],VOL_VOLUMEN_SUMINISTROS[[#This Row],[Proyecto]],VOL_VOLUMEN_SUMINISTROS[[#This Row],[FIN DE SEMANA]])</f>
        <v>141052-2NO</v>
      </c>
      <c r="E780" s="30" t="s">
        <v>183</v>
      </c>
      <c r="F780" s="30" t="s">
        <v>148</v>
      </c>
      <c r="G780" s="365">
        <v>14</v>
      </c>
      <c r="H780" s="30">
        <v>3</v>
      </c>
      <c r="I780" s="9" t="s">
        <v>578</v>
      </c>
      <c r="J780" s="9" t="s">
        <v>582</v>
      </c>
      <c r="K780" s="30">
        <v>2</v>
      </c>
      <c r="L780" s="9" t="s">
        <v>583</v>
      </c>
      <c r="M780" s="30" t="s">
        <v>84</v>
      </c>
      <c r="N780" s="30" t="s">
        <v>152</v>
      </c>
      <c r="O780" s="24">
        <v>23</v>
      </c>
      <c r="P780" s="24">
        <v>0</v>
      </c>
      <c r="Q780" s="24">
        <v>0</v>
      </c>
      <c r="R780" s="24">
        <v>0</v>
      </c>
      <c r="S780" s="24">
        <v>0</v>
      </c>
      <c r="T780" s="24">
        <v>23</v>
      </c>
    </row>
    <row r="781" spans="1:20">
      <c r="A781" s="9" t="s">
        <v>555</v>
      </c>
      <c r="B781" s="30" t="s">
        <v>607</v>
      </c>
      <c r="C781" s="30" t="str">
        <f>CONCATENATE(VOL_VOLUMEN_SUMINISTROS[[#This Row],[Proyecto]],VOL_VOLUMEN_SUMINISTROS[[#This Row],[J]],VOL_VOLUMEN_SUMINISTROS[[#This Row],[FIN DE SEMANA]])</f>
        <v>1052-2MNO</v>
      </c>
      <c r="D781" s="365" t="str">
        <f>CONCATENATE(VOL_VOLUMEN_SUMINISTROS[[#This Row],[Grupo]],VOL_VOLUMEN_SUMINISTROS[[#This Row],[Proyecto]],VOL_VOLUMEN_SUMINISTROS[[#This Row],[FIN DE SEMANA]])</f>
        <v>141052-2NO</v>
      </c>
      <c r="E781" s="30" t="s">
        <v>183</v>
      </c>
      <c r="F781" s="30" t="s">
        <v>148</v>
      </c>
      <c r="G781" s="365">
        <v>14</v>
      </c>
      <c r="H781" s="30">
        <v>3</v>
      </c>
      <c r="I781" s="9" t="s">
        <v>578</v>
      </c>
      <c r="J781" s="9" t="s">
        <v>582</v>
      </c>
      <c r="K781" s="30">
        <v>3</v>
      </c>
      <c r="L781" s="9" t="s">
        <v>584</v>
      </c>
      <c r="M781" s="30" t="s">
        <v>84</v>
      </c>
      <c r="N781" s="30" t="s">
        <v>152</v>
      </c>
      <c r="O781" s="24">
        <v>20</v>
      </c>
      <c r="P781" s="24">
        <v>0</v>
      </c>
      <c r="Q781" s="24">
        <v>0</v>
      </c>
      <c r="R781" s="24">
        <v>0</v>
      </c>
      <c r="S781" s="24">
        <v>0</v>
      </c>
      <c r="T781" s="24">
        <v>20</v>
      </c>
    </row>
    <row r="782" spans="1:20">
      <c r="A782" s="9" t="s">
        <v>555</v>
      </c>
      <c r="B782" s="30" t="s">
        <v>607</v>
      </c>
      <c r="C782" s="30" t="str">
        <f>CONCATENATE(VOL_VOLUMEN_SUMINISTROS[[#This Row],[Proyecto]],VOL_VOLUMEN_SUMINISTROS[[#This Row],[J]],VOL_VOLUMEN_SUMINISTROS[[#This Row],[FIN DE SEMANA]])</f>
        <v>1052-2MNO</v>
      </c>
      <c r="D782" s="365" t="str">
        <f>CONCATENATE(VOL_VOLUMEN_SUMINISTROS[[#This Row],[Grupo]],VOL_VOLUMEN_SUMINISTROS[[#This Row],[Proyecto]],VOL_VOLUMEN_SUMINISTROS[[#This Row],[FIN DE SEMANA]])</f>
        <v>141052-2NO</v>
      </c>
      <c r="E782" s="30" t="s">
        <v>183</v>
      </c>
      <c r="F782" s="30" t="s">
        <v>148</v>
      </c>
      <c r="G782" s="365">
        <v>14</v>
      </c>
      <c r="H782" s="30">
        <v>3</v>
      </c>
      <c r="I782" s="9" t="s">
        <v>578</v>
      </c>
      <c r="J782" s="9" t="s">
        <v>590</v>
      </c>
      <c r="K782" s="30">
        <v>2</v>
      </c>
      <c r="L782" s="9" t="s">
        <v>592</v>
      </c>
      <c r="M782" s="30" t="s">
        <v>84</v>
      </c>
      <c r="N782" s="30" t="s">
        <v>152</v>
      </c>
      <c r="O782" s="24">
        <v>60</v>
      </c>
      <c r="P782" s="24">
        <v>0</v>
      </c>
      <c r="Q782" s="24">
        <v>0</v>
      </c>
      <c r="R782" s="24">
        <v>0</v>
      </c>
      <c r="S782" s="24">
        <v>0</v>
      </c>
      <c r="T782" s="24">
        <v>60</v>
      </c>
    </row>
    <row r="783" spans="1:20">
      <c r="A783" s="9" t="s">
        <v>555</v>
      </c>
      <c r="B783" s="30" t="s">
        <v>607</v>
      </c>
      <c r="C783" s="30" t="str">
        <f>CONCATENATE(VOL_VOLUMEN_SUMINISTROS[[#This Row],[Proyecto]],VOL_VOLUMEN_SUMINISTROS[[#This Row],[J]],VOL_VOLUMEN_SUMINISTROS[[#This Row],[FIN DE SEMANA]])</f>
        <v>1052-2TNO</v>
      </c>
      <c r="D783" s="365" t="str">
        <f>CONCATENATE(VOL_VOLUMEN_SUMINISTROS[[#This Row],[Grupo]],VOL_VOLUMEN_SUMINISTROS[[#This Row],[Proyecto]],VOL_VOLUMEN_SUMINISTROS[[#This Row],[FIN DE SEMANA]])</f>
        <v>141052-2NO</v>
      </c>
      <c r="E783" s="30" t="s">
        <v>183</v>
      </c>
      <c r="F783" s="30" t="s">
        <v>148</v>
      </c>
      <c r="G783" s="365">
        <v>14</v>
      </c>
      <c r="H783" s="30">
        <v>3</v>
      </c>
      <c r="I783" s="9" t="s">
        <v>578</v>
      </c>
      <c r="J783" s="9" t="s">
        <v>590</v>
      </c>
      <c r="K783" s="30">
        <v>2</v>
      </c>
      <c r="L783" s="9" t="s">
        <v>592</v>
      </c>
      <c r="M783" s="30" t="s">
        <v>84</v>
      </c>
      <c r="N783" s="30" t="s">
        <v>155</v>
      </c>
      <c r="O783" s="24">
        <v>60</v>
      </c>
      <c r="P783" s="24">
        <v>0</v>
      </c>
      <c r="Q783" s="24">
        <v>0</v>
      </c>
      <c r="R783" s="24">
        <v>0</v>
      </c>
      <c r="S783" s="24">
        <v>0</v>
      </c>
      <c r="T783" s="24">
        <v>60</v>
      </c>
    </row>
    <row r="784" spans="1:20">
      <c r="A784" s="9" t="s">
        <v>555</v>
      </c>
      <c r="B784" s="30" t="s">
        <v>608</v>
      </c>
      <c r="C784" s="30" t="str">
        <f>CONCATENATE(VOL_VOLUMEN_SUMINISTROS[[#This Row],[Proyecto]],VOL_VOLUMEN_SUMINISTROS[[#This Row],[J]],VOL_VOLUMEN_SUMINISTROS[[#This Row],[FIN DE SEMANA]])</f>
        <v>1052-1MNO</v>
      </c>
      <c r="D784" s="365" t="str">
        <f>CONCATENATE(VOL_VOLUMEN_SUMINISTROS[[#This Row],[Grupo]],VOL_VOLUMEN_SUMINISTROS[[#This Row],[Proyecto]],VOL_VOLUMEN_SUMINISTROS[[#This Row],[FIN DE SEMANA]])</f>
        <v>21052-1NO</v>
      </c>
      <c r="E784" s="30" t="s">
        <v>147</v>
      </c>
      <c r="F784" s="30" t="s">
        <v>148</v>
      </c>
      <c r="G784" s="365">
        <v>2</v>
      </c>
      <c r="H784" s="30">
        <v>4</v>
      </c>
      <c r="I784" s="9" t="s">
        <v>601</v>
      </c>
      <c r="J784" s="9" t="s">
        <v>609</v>
      </c>
      <c r="K784" s="30">
        <v>1</v>
      </c>
      <c r="L784" s="9" t="s">
        <v>610</v>
      </c>
      <c r="M784" s="30" t="s">
        <v>84</v>
      </c>
      <c r="N784" s="30" t="s">
        <v>152</v>
      </c>
      <c r="O784" s="24">
        <v>272</v>
      </c>
      <c r="P784" s="24">
        <v>146</v>
      </c>
      <c r="Q784" s="24">
        <v>21</v>
      </c>
      <c r="R784" s="24">
        <v>0</v>
      </c>
      <c r="S784" s="24">
        <v>0</v>
      </c>
      <c r="T784" s="24">
        <v>439</v>
      </c>
    </row>
    <row r="785" spans="1:20">
      <c r="A785" s="9" t="s">
        <v>555</v>
      </c>
      <c r="B785" s="30" t="s">
        <v>608</v>
      </c>
      <c r="C785" s="30" t="str">
        <f>CONCATENATE(VOL_VOLUMEN_SUMINISTROS[[#This Row],[Proyecto]],VOL_VOLUMEN_SUMINISTROS[[#This Row],[J]],VOL_VOLUMEN_SUMINISTROS[[#This Row],[FIN DE SEMANA]])</f>
        <v>1052-1TNO</v>
      </c>
      <c r="D785" s="365" t="str">
        <f>CONCATENATE(VOL_VOLUMEN_SUMINISTROS[[#This Row],[Grupo]],VOL_VOLUMEN_SUMINISTROS[[#This Row],[Proyecto]],VOL_VOLUMEN_SUMINISTROS[[#This Row],[FIN DE SEMANA]])</f>
        <v>21052-1NO</v>
      </c>
      <c r="E785" s="30" t="s">
        <v>147</v>
      </c>
      <c r="F785" s="30" t="s">
        <v>148</v>
      </c>
      <c r="G785" s="365">
        <v>2</v>
      </c>
      <c r="H785" s="30">
        <v>4</v>
      </c>
      <c r="I785" s="9" t="s">
        <v>601</v>
      </c>
      <c r="J785" s="9" t="s">
        <v>609</v>
      </c>
      <c r="K785" s="30">
        <v>1</v>
      </c>
      <c r="L785" s="9" t="s">
        <v>610</v>
      </c>
      <c r="M785" s="30" t="s">
        <v>84</v>
      </c>
      <c r="N785" s="30" t="s">
        <v>155</v>
      </c>
      <c r="O785" s="24">
        <v>0</v>
      </c>
      <c r="P785" s="24">
        <v>171</v>
      </c>
      <c r="Q785" s="24">
        <v>274</v>
      </c>
      <c r="R785" s="24">
        <v>0</v>
      </c>
      <c r="S785" s="24">
        <v>0</v>
      </c>
      <c r="T785" s="24">
        <v>445</v>
      </c>
    </row>
    <row r="786" spans="1:20">
      <c r="A786" s="9" t="s">
        <v>555</v>
      </c>
      <c r="B786" s="30" t="s">
        <v>608</v>
      </c>
      <c r="C786" s="30" t="str">
        <f>CONCATENATE(VOL_VOLUMEN_SUMINISTROS[[#This Row],[Proyecto]],VOL_VOLUMEN_SUMINISTROS[[#This Row],[J]],VOL_VOLUMEN_SUMINISTROS[[#This Row],[FIN DE SEMANA]])</f>
        <v>1052-1MNO</v>
      </c>
      <c r="D786" s="365" t="str">
        <f>CONCATENATE(VOL_VOLUMEN_SUMINISTROS[[#This Row],[Grupo]],VOL_VOLUMEN_SUMINISTROS[[#This Row],[Proyecto]],VOL_VOLUMEN_SUMINISTROS[[#This Row],[FIN DE SEMANA]])</f>
        <v>21052-1NO</v>
      </c>
      <c r="E786" s="30" t="s">
        <v>147</v>
      </c>
      <c r="F786" s="30" t="s">
        <v>148</v>
      </c>
      <c r="G786" s="365">
        <v>2</v>
      </c>
      <c r="H786" s="30">
        <v>4</v>
      </c>
      <c r="I786" s="9" t="s">
        <v>601</v>
      </c>
      <c r="J786" s="9" t="s">
        <v>611</v>
      </c>
      <c r="K786" s="30">
        <v>1</v>
      </c>
      <c r="L786" s="9" t="s">
        <v>612</v>
      </c>
      <c r="M786" s="30" t="s">
        <v>84</v>
      </c>
      <c r="N786" s="30" t="s">
        <v>152</v>
      </c>
      <c r="O786" s="24">
        <v>157</v>
      </c>
      <c r="P786" s="24">
        <v>194</v>
      </c>
      <c r="Q786" s="24">
        <v>127</v>
      </c>
      <c r="R786" s="24">
        <v>0</v>
      </c>
      <c r="S786" s="24">
        <v>0</v>
      </c>
      <c r="T786" s="24">
        <v>478</v>
      </c>
    </row>
    <row r="787" spans="1:20">
      <c r="A787" s="9" t="s">
        <v>555</v>
      </c>
      <c r="B787" s="30" t="s">
        <v>608</v>
      </c>
      <c r="C787" s="30" t="str">
        <f>CONCATENATE(VOL_VOLUMEN_SUMINISTROS[[#This Row],[Proyecto]],VOL_VOLUMEN_SUMINISTROS[[#This Row],[J]],VOL_VOLUMEN_SUMINISTROS[[#This Row],[FIN DE SEMANA]])</f>
        <v>1052-1TNO</v>
      </c>
      <c r="D787" s="365" t="str">
        <f>CONCATENATE(VOL_VOLUMEN_SUMINISTROS[[#This Row],[Grupo]],VOL_VOLUMEN_SUMINISTROS[[#This Row],[Proyecto]],VOL_VOLUMEN_SUMINISTROS[[#This Row],[FIN DE SEMANA]])</f>
        <v>21052-1NO</v>
      </c>
      <c r="E787" s="30" t="s">
        <v>147</v>
      </c>
      <c r="F787" s="30" t="s">
        <v>148</v>
      </c>
      <c r="G787" s="365">
        <v>2</v>
      </c>
      <c r="H787" s="30">
        <v>4</v>
      </c>
      <c r="I787" s="9" t="s">
        <v>601</v>
      </c>
      <c r="J787" s="9" t="s">
        <v>611</v>
      </c>
      <c r="K787" s="30">
        <v>1</v>
      </c>
      <c r="L787" s="9" t="s">
        <v>612</v>
      </c>
      <c r="M787" s="30" t="s">
        <v>84</v>
      </c>
      <c r="N787" s="30" t="s">
        <v>155</v>
      </c>
      <c r="O787" s="24">
        <v>148</v>
      </c>
      <c r="P787" s="24">
        <v>128</v>
      </c>
      <c r="Q787" s="24">
        <v>96</v>
      </c>
      <c r="R787" s="24">
        <v>0</v>
      </c>
      <c r="S787" s="24">
        <v>0</v>
      </c>
      <c r="T787" s="24">
        <v>372</v>
      </c>
    </row>
    <row r="788" spans="1:20">
      <c r="A788" s="9" t="s">
        <v>555</v>
      </c>
      <c r="B788" s="30" t="s">
        <v>608</v>
      </c>
      <c r="C788" s="30" t="str">
        <f>CONCATENATE(VOL_VOLUMEN_SUMINISTROS[[#This Row],[Proyecto]],VOL_VOLUMEN_SUMINISTROS[[#This Row],[J]],VOL_VOLUMEN_SUMINISTROS[[#This Row],[FIN DE SEMANA]])</f>
        <v>1052-1MNO</v>
      </c>
      <c r="D788" s="365" t="str">
        <f>CONCATENATE(VOL_VOLUMEN_SUMINISTROS[[#This Row],[Grupo]],VOL_VOLUMEN_SUMINISTROS[[#This Row],[Proyecto]],VOL_VOLUMEN_SUMINISTROS[[#This Row],[FIN DE SEMANA]])</f>
        <v>21052-1NO</v>
      </c>
      <c r="E788" s="30" t="s">
        <v>147</v>
      </c>
      <c r="F788" s="30" t="s">
        <v>148</v>
      </c>
      <c r="G788" s="365">
        <v>2</v>
      </c>
      <c r="H788" s="30">
        <v>4</v>
      </c>
      <c r="I788" s="9" t="s">
        <v>601</v>
      </c>
      <c r="J788" s="9" t="s">
        <v>613</v>
      </c>
      <c r="K788" s="30">
        <v>1</v>
      </c>
      <c r="L788" s="9" t="s">
        <v>614</v>
      </c>
      <c r="M788" s="30" t="s">
        <v>84</v>
      </c>
      <c r="N788" s="30" t="s">
        <v>152</v>
      </c>
      <c r="O788" s="24">
        <v>108</v>
      </c>
      <c r="P788" s="24">
        <v>208</v>
      </c>
      <c r="Q788" s="24">
        <v>288</v>
      </c>
      <c r="R788" s="24">
        <v>0</v>
      </c>
      <c r="S788" s="24">
        <v>0</v>
      </c>
      <c r="T788" s="24">
        <v>604</v>
      </c>
    </row>
    <row r="789" spans="1:20">
      <c r="A789" s="9" t="s">
        <v>555</v>
      </c>
      <c r="B789" s="30" t="s">
        <v>608</v>
      </c>
      <c r="C789" s="30" t="str">
        <f>CONCATENATE(VOL_VOLUMEN_SUMINISTROS[[#This Row],[Proyecto]],VOL_VOLUMEN_SUMINISTROS[[#This Row],[J]],VOL_VOLUMEN_SUMINISTROS[[#This Row],[FIN DE SEMANA]])</f>
        <v>1052-1TNO</v>
      </c>
      <c r="D789" s="365" t="str">
        <f>CONCATENATE(VOL_VOLUMEN_SUMINISTROS[[#This Row],[Grupo]],VOL_VOLUMEN_SUMINISTROS[[#This Row],[Proyecto]],VOL_VOLUMEN_SUMINISTROS[[#This Row],[FIN DE SEMANA]])</f>
        <v>21052-1NO</v>
      </c>
      <c r="E789" s="30" t="s">
        <v>147</v>
      </c>
      <c r="F789" s="30" t="s">
        <v>148</v>
      </c>
      <c r="G789" s="365">
        <v>2</v>
      </c>
      <c r="H789" s="30">
        <v>4</v>
      </c>
      <c r="I789" s="9" t="s">
        <v>601</v>
      </c>
      <c r="J789" s="9" t="s">
        <v>613</v>
      </c>
      <c r="K789" s="30">
        <v>1</v>
      </c>
      <c r="L789" s="9" t="s">
        <v>614</v>
      </c>
      <c r="M789" s="30" t="s">
        <v>84</v>
      </c>
      <c r="N789" s="30" t="s">
        <v>155</v>
      </c>
      <c r="O789" s="24">
        <v>99</v>
      </c>
      <c r="P789" s="24">
        <v>180</v>
      </c>
      <c r="Q789" s="24">
        <v>140</v>
      </c>
      <c r="R789" s="24">
        <v>0</v>
      </c>
      <c r="S789" s="24">
        <v>0</v>
      </c>
      <c r="T789" s="24">
        <v>419</v>
      </c>
    </row>
    <row r="790" spans="1:20">
      <c r="A790" s="9" t="s">
        <v>555</v>
      </c>
      <c r="B790" s="30" t="s">
        <v>608</v>
      </c>
      <c r="C790" s="30" t="str">
        <f>CONCATENATE(VOL_VOLUMEN_SUMINISTROS[[#This Row],[Proyecto]],VOL_VOLUMEN_SUMINISTROS[[#This Row],[J]],VOL_VOLUMEN_SUMINISTROS[[#This Row],[FIN DE SEMANA]])</f>
        <v>1052-1MNO</v>
      </c>
      <c r="D790" s="365" t="str">
        <f>CONCATENATE(VOL_VOLUMEN_SUMINISTROS[[#This Row],[Grupo]],VOL_VOLUMEN_SUMINISTROS[[#This Row],[Proyecto]],VOL_VOLUMEN_SUMINISTROS[[#This Row],[FIN DE SEMANA]])</f>
        <v>21052-1NO</v>
      </c>
      <c r="E790" s="30" t="s">
        <v>147</v>
      </c>
      <c r="F790" s="30" t="s">
        <v>148</v>
      </c>
      <c r="G790" s="365">
        <v>2</v>
      </c>
      <c r="H790" s="30">
        <v>4</v>
      </c>
      <c r="I790" s="9" t="s">
        <v>601</v>
      </c>
      <c r="J790" s="9" t="s">
        <v>613</v>
      </c>
      <c r="K790" s="30">
        <v>2</v>
      </c>
      <c r="L790" s="9" t="s">
        <v>615</v>
      </c>
      <c r="M790" s="30" t="s">
        <v>84</v>
      </c>
      <c r="N790" s="30" t="s">
        <v>152</v>
      </c>
      <c r="O790" s="24">
        <v>137</v>
      </c>
      <c r="P790" s="24">
        <v>139</v>
      </c>
      <c r="Q790" s="24">
        <v>31</v>
      </c>
      <c r="R790" s="24">
        <v>0</v>
      </c>
      <c r="S790" s="24">
        <v>0</v>
      </c>
      <c r="T790" s="24">
        <v>307</v>
      </c>
    </row>
    <row r="791" spans="1:20">
      <c r="A791" s="9" t="s">
        <v>555</v>
      </c>
      <c r="B791" s="30" t="s">
        <v>608</v>
      </c>
      <c r="C791" s="30" t="str">
        <f>CONCATENATE(VOL_VOLUMEN_SUMINISTROS[[#This Row],[Proyecto]],VOL_VOLUMEN_SUMINISTROS[[#This Row],[J]],VOL_VOLUMEN_SUMINISTROS[[#This Row],[FIN DE SEMANA]])</f>
        <v>1052-1TNO</v>
      </c>
      <c r="D791" s="365" t="str">
        <f>CONCATENATE(VOL_VOLUMEN_SUMINISTROS[[#This Row],[Grupo]],VOL_VOLUMEN_SUMINISTROS[[#This Row],[Proyecto]],VOL_VOLUMEN_SUMINISTROS[[#This Row],[FIN DE SEMANA]])</f>
        <v>21052-1NO</v>
      </c>
      <c r="E791" s="30" t="s">
        <v>147</v>
      </c>
      <c r="F791" s="30" t="s">
        <v>148</v>
      </c>
      <c r="G791" s="365">
        <v>2</v>
      </c>
      <c r="H791" s="30">
        <v>4</v>
      </c>
      <c r="I791" s="9" t="s">
        <v>601</v>
      </c>
      <c r="J791" s="9" t="s">
        <v>613</v>
      </c>
      <c r="K791" s="30">
        <v>2</v>
      </c>
      <c r="L791" s="9" t="s">
        <v>615</v>
      </c>
      <c r="M791" s="30" t="s">
        <v>84</v>
      </c>
      <c r="N791" s="30" t="s">
        <v>155</v>
      </c>
      <c r="O791" s="24">
        <v>125</v>
      </c>
      <c r="P791" s="24">
        <v>98</v>
      </c>
      <c r="Q791" s="24">
        <v>20</v>
      </c>
      <c r="R791" s="24">
        <v>0</v>
      </c>
      <c r="S791" s="24">
        <v>0</v>
      </c>
      <c r="T791" s="24">
        <v>243</v>
      </c>
    </row>
    <row r="792" spans="1:20">
      <c r="A792" s="9" t="s">
        <v>555</v>
      </c>
      <c r="B792" s="30" t="s">
        <v>608</v>
      </c>
      <c r="C792" s="30" t="str">
        <f>CONCATENATE(VOL_VOLUMEN_SUMINISTROS[[#This Row],[Proyecto]],VOL_VOLUMEN_SUMINISTROS[[#This Row],[J]],VOL_VOLUMEN_SUMINISTROS[[#This Row],[FIN DE SEMANA]])</f>
        <v>1052-1MNO</v>
      </c>
      <c r="D792" s="365" t="str">
        <f>CONCATENATE(VOL_VOLUMEN_SUMINISTROS[[#This Row],[Grupo]],VOL_VOLUMEN_SUMINISTROS[[#This Row],[Proyecto]],VOL_VOLUMEN_SUMINISTROS[[#This Row],[FIN DE SEMANA]])</f>
        <v>21052-1NO</v>
      </c>
      <c r="E792" s="30" t="s">
        <v>147</v>
      </c>
      <c r="F792" s="30" t="s">
        <v>148</v>
      </c>
      <c r="G792" s="365">
        <v>2</v>
      </c>
      <c r="H792" s="30">
        <v>4</v>
      </c>
      <c r="I792" s="9" t="s">
        <v>601</v>
      </c>
      <c r="J792" s="9" t="s">
        <v>616</v>
      </c>
      <c r="K792" s="30">
        <v>1</v>
      </c>
      <c r="L792" s="9" t="s">
        <v>617</v>
      </c>
      <c r="M792" s="30" t="s">
        <v>84</v>
      </c>
      <c r="N792" s="30" t="s">
        <v>152</v>
      </c>
      <c r="O792" s="24">
        <v>119</v>
      </c>
      <c r="P792" s="24">
        <v>224</v>
      </c>
      <c r="Q792" s="24">
        <v>289</v>
      </c>
      <c r="R792" s="24">
        <v>0</v>
      </c>
      <c r="S792" s="24">
        <v>0</v>
      </c>
      <c r="T792" s="24">
        <v>632</v>
      </c>
    </row>
    <row r="793" spans="1:20">
      <c r="A793" s="9" t="s">
        <v>555</v>
      </c>
      <c r="B793" s="30" t="s">
        <v>608</v>
      </c>
      <c r="C793" s="30" t="str">
        <f>CONCATENATE(VOL_VOLUMEN_SUMINISTROS[[#This Row],[Proyecto]],VOL_VOLUMEN_SUMINISTROS[[#This Row],[J]],VOL_VOLUMEN_SUMINISTROS[[#This Row],[FIN DE SEMANA]])</f>
        <v>1052-1TNO</v>
      </c>
      <c r="D793" s="365" t="str">
        <f>CONCATENATE(VOL_VOLUMEN_SUMINISTROS[[#This Row],[Grupo]],VOL_VOLUMEN_SUMINISTROS[[#This Row],[Proyecto]],VOL_VOLUMEN_SUMINISTROS[[#This Row],[FIN DE SEMANA]])</f>
        <v>21052-1NO</v>
      </c>
      <c r="E793" s="30" t="s">
        <v>147</v>
      </c>
      <c r="F793" s="30" t="s">
        <v>148</v>
      </c>
      <c r="G793" s="365">
        <v>2</v>
      </c>
      <c r="H793" s="30">
        <v>4</v>
      </c>
      <c r="I793" s="9" t="s">
        <v>601</v>
      </c>
      <c r="J793" s="9" t="s">
        <v>616</v>
      </c>
      <c r="K793" s="30">
        <v>1</v>
      </c>
      <c r="L793" s="9" t="s">
        <v>617</v>
      </c>
      <c r="M793" s="30" t="s">
        <v>84</v>
      </c>
      <c r="N793" s="30" t="s">
        <v>155</v>
      </c>
      <c r="O793" s="24">
        <v>118</v>
      </c>
      <c r="P793" s="24">
        <v>223</v>
      </c>
      <c r="Q793" s="24">
        <v>291</v>
      </c>
      <c r="R793" s="24">
        <v>0</v>
      </c>
      <c r="S793" s="24">
        <v>0</v>
      </c>
      <c r="T793" s="24">
        <v>632</v>
      </c>
    </row>
    <row r="794" spans="1:20">
      <c r="A794" s="9" t="s">
        <v>555</v>
      </c>
      <c r="B794" s="30" t="s">
        <v>608</v>
      </c>
      <c r="C794" s="30" t="str">
        <f>CONCATENATE(VOL_VOLUMEN_SUMINISTROS[[#This Row],[Proyecto]],VOL_VOLUMEN_SUMINISTROS[[#This Row],[J]],VOL_VOLUMEN_SUMINISTROS[[#This Row],[FIN DE SEMANA]])</f>
        <v>1052-1MNO</v>
      </c>
      <c r="D794" s="365" t="str">
        <f>CONCATENATE(VOL_VOLUMEN_SUMINISTROS[[#This Row],[Grupo]],VOL_VOLUMEN_SUMINISTROS[[#This Row],[Proyecto]],VOL_VOLUMEN_SUMINISTROS[[#This Row],[FIN DE SEMANA]])</f>
        <v>21052-1NO</v>
      </c>
      <c r="E794" s="30" t="s">
        <v>147</v>
      </c>
      <c r="F794" s="30" t="s">
        <v>148</v>
      </c>
      <c r="G794" s="365">
        <v>2</v>
      </c>
      <c r="H794" s="30">
        <v>4</v>
      </c>
      <c r="I794" s="9" t="s">
        <v>601</v>
      </c>
      <c r="J794" s="9" t="s">
        <v>616</v>
      </c>
      <c r="K794" s="30">
        <v>2</v>
      </c>
      <c r="L794" s="9" t="s">
        <v>618</v>
      </c>
      <c r="M794" s="30" t="s">
        <v>84</v>
      </c>
      <c r="N794" s="30" t="s">
        <v>152</v>
      </c>
      <c r="O794" s="24">
        <v>120</v>
      </c>
      <c r="P794" s="24">
        <v>89</v>
      </c>
      <c r="Q794" s="24">
        <v>18</v>
      </c>
      <c r="R794" s="24">
        <v>0</v>
      </c>
      <c r="S794" s="24">
        <v>0</v>
      </c>
      <c r="T794" s="24">
        <v>227</v>
      </c>
    </row>
    <row r="795" spans="1:20">
      <c r="A795" s="9" t="s">
        <v>555</v>
      </c>
      <c r="B795" s="30" t="s">
        <v>608</v>
      </c>
      <c r="C795" s="30" t="str">
        <f>CONCATENATE(VOL_VOLUMEN_SUMINISTROS[[#This Row],[Proyecto]],VOL_VOLUMEN_SUMINISTROS[[#This Row],[J]],VOL_VOLUMEN_SUMINISTROS[[#This Row],[FIN DE SEMANA]])</f>
        <v>1052-1TNO</v>
      </c>
      <c r="D795" s="365" t="str">
        <f>CONCATENATE(VOL_VOLUMEN_SUMINISTROS[[#This Row],[Grupo]],VOL_VOLUMEN_SUMINISTROS[[#This Row],[Proyecto]],VOL_VOLUMEN_SUMINISTROS[[#This Row],[FIN DE SEMANA]])</f>
        <v>21052-1NO</v>
      </c>
      <c r="E795" s="30" t="s">
        <v>147</v>
      </c>
      <c r="F795" s="30" t="s">
        <v>148</v>
      </c>
      <c r="G795" s="365">
        <v>2</v>
      </c>
      <c r="H795" s="30">
        <v>4</v>
      </c>
      <c r="I795" s="9" t="s">
        <v>601</v>
      </c>
      <c r="J795" s="9" t="s">
        <v>616</v>
      </c>
      <c r="K795" s="30">
        <v>2</v>
      </c>
      <c r="L795" s="9" t="s">
        <v>618</v>
      </c>
      <c r="M795" s="30" t="s">
        <v>84</v>
      </c>
      <c r="N795" s="30" t="s">
        <v>155</v>
      </c>
      <c r="O795" s="24">
        <v>120</v>
      </c>
      <c r="P795" s="24">
        <v>86</v>
      </c>
      <c r="Q795" s="24">
        <v>17</v>
      </c>
      <c r="R795" s="24">
        <v>0</v>
      </c>
      <c r="S795" s="24">
        <v>0</v>
      </c>
      <c r="T795" s="24">
        <v>223</v>
      </c>
    </row>
    <row r="796" spans="1:20">
      <c r="A796" s="9" t="s">
        <v>555</v>
      </c>
      <c r="B796" s="30" t="s">
        <v>608</v>
      </c>
      <c r="C796" s="30" t="str">
        <f>CONCATENATE(VOL_VOLUMEN_SUMINISTROS[[#This Row],[Proyecto]],VOL_VOLUMEN_SUMINISTROS[[#This Row],[J]],VOL_VOLUMEN_SUMINISTROS[[#This Row],[FIN DE SEMANA]])</f>
        <v>1052-1MNO</v>
      </c>
      <c r="D796" s="365" t="str">
        <f>CONCATENATE(VOL_VOLUMEN_SUMINISTROS[[#This Row],[Grupo]],VOL_VOLUMEN_SUMINISTROS[[#This Row],[Proyecto]],VOL_VOLUMEN_SUMINISTROS[[#This Row],[FIN DE SEMANA]])</f>
        <v>21052-1NO</v>
      </c>
      <c r="E796" s="30" t="s">
        <v>147</v>
      </c>
      <c r="F796" s="30" t="s">
        <v>148</v>
      </c>
      <c r="G796" s="365">
        <v>2</v>
      </c>
      <c r="H796" s="30">
        <v>4</v>
      </c>
      <c r="I796" s="9" t="s">
        <v>601</v>
      </c>
      <c r="J796" s="9" t="s">
        <v>619</v>
      </c>
      <c r="K796" s="30">
        <v>1</v>
      </c>
      <c r="L796" s="9" t="s">
        <v>620</v>
      </c>
      <c r="M796" s="30" t="s">
        <v>84</v>
      </c>
      <c r="N796" s="30" t="s">
        <v>152</v>
      </c>
      <c r="O796" s="24">
        <v>0</v>
      </c>
      <c r="P796" s="24">
        <v>141</v>
      </c>
      <c r="Q796" s="24">
        <v>372</v>
      </c>
      <c r="R796" s="24">
        <v>0</v>
      </c>
      <c r="S796" s="24">
        <v>0</v>
      </c>
      <c r="T796" s="24">
        <v>513</v>
      </c>
    </row>
    <row r="797" spans="1:20">
      <c r="A797" s="9" t="s">
        <v>555</v>
      </c>
      <c r="B797" s="30" t="s">
        <v>608</v>
      </c>
      <c r="C797" s="30" t="str">
        <f>CONCATENATE(VOL_VOLUMEN_SUMINISTROS[[#This Row],[Proyecto]],VOL_VOLUMEN_SUMINISTROS[[#This Row],[J]],VOL_VOLUMEN_SUMINISTROS[[#This Row],[FIN DE SEMANA]])</f>
        <v>1052-1TNO</v>
      </c>
      <c r="D797" s="365" t="str">
        <f>CONCATENATE(VOL_VOLUMEN_SUMINISTROS[[#This Row],[Grupo]],VOL_VOLUMEN_SUMINISTROS[[#This Row],[Proyecto]],VOL_VOLUMEN_SUMINISTROS[[#This Row],[FIN DE SEMANA]])</f>
        <v>21052-1NO</v>
      </c>
      <c r="E797" s="30" t="s">
        <v>147</v>
      </c>
      <c r="F797" s="30" t="s">
        <v>148</v>
      </c>
      <c r="G797" s="365">
        <v>2</v>
      </c>
      <c r="H797" s="30">
        <v>4</v>
      </c>
      <c r="I797" s="9" t="s">
        <v>601</v>
      </c>
      <c r="J797" s="9" t="s">
        <v>619</v>
      </c>
      <c r="K797" s="30">
        <v>1</v>
      </c>
      <c r="L797" s="9" t="s">
        <v>620</v>
      </c>
      <c r="M797" s="30" t="s">
        <v>84</v>
      </c>
      <c r="N797" s="30" t="s">
        <v>155</v>
      </c>
      <c r="O797" s="24">
        <v>0</v>
      </c>
      <c r="P797" s="24">
        <v>198</v>
      </c>
      <c r="Q797" s="24">
        <v>294</v>
      </c>
      <c r="R797" s="24">
        <v>0</v>
      </c>
      <c r="S797" s="24">
        <v>0</v>
      </c>
      <c r="T797" s="24">
        <v>492</v>
      </c>
    </row>
    <row r="798" spans="1:20">
      <c r="A798" s="9" t="s">
        <v>555</v>
      </c>
      <c r="B798" s="30" t="s">
        <v>608</v>
      </c>
      <c r="C798" s="30" t="str">
        <f>CONCATENATE(VOL_VOLUMEN_SUMINISTROS[[#This Row],[Proyecto]],VOL_VOLUMEN_SUMINISTROS[[#This Row],[J]],VOL_VOLUMEN_SUMINISTROS[[#This Row],[FIN DE SEMANA]])</f>
        <v>1052-1MNO</v>
      </c>
      <c r="D798" s="365" t="str">
        <f>CONCATENATE(VOL_VOLUMEN_SUMINISTROS[[#This Row],[Grupo]],VOL_VOLUMEN_SUMINISTROS[[#This Row],[Proyecto]],VOL_VOLUMEN_SUMINISTROS[[#This Row],[FIN DE SEMANA]])</f>
        <v>21052-1NO</v>
      </c>
      <c r="E798" s="30" t="s">
        <v>147</v>
      </c>
      <c r="F798" s="30" t="s">
        <v>148</v>
      </c>
      <c r="G798" s="365">
        <v>2</v>
      </c>
      <c r="H798" s="30">
        <v>4</v>
      </c>
      <c r="I798" s="9" t="s">
        <v>601</v>
      </c>
      <c r="J798" s="9" t="s">
        <v>619</v>
      </c>
      <c r="K798" s="30">
        <v>2</v>
      </c>
      <c r="L798" s="9" t="s">
        <v>621</v>
      </c>
      <c r="M798" s="30" t="s">
        <v>84</v>
      </c>
      <c r="N798" s="30" t="s">
        <v>152</v>
      </c>
      <c r="O798" s="24">
        <v>225</v>
      </c>
      <c r="P798" s="24">
        <v>178</v>
      </c>
      <c r="Q798" s="24">
        <v>33</v>
      </c>
      <c r="R798" s="24">
        <v>0</v>
      </c>
      <c r="S798" s="24">
        <v>0</v>
      </c>
      <c r="T798" s="24">
        <v>436</v>
      </c>
    </row>
    <row r="799" spans="1:20">
      <c r="A799" s="9" t="s">
        <v>555</v>
      </c>
      <c r="B799" s="30" t="s">
        <v>608</v>
      </c>
      <c r="C799" s="30" t="str">
        <f>CONCATENATE(VOL_VOLUMEN_SUMINISTROS[[#This Row],[Proyecto]],VOL_VOLUMEN_SUMINISTROS[[#This Row],[J]],VOL_VOLUMEN_SUMINISTROS[[#This Row],[FIN DE SEMANA]])</f>
        <v>1052-1TNO</v>
      </c>
      <c r="D799" s="365" t="str">
        <f>CONCATENATE(VOL_VOLUMEN_SUMINISTROS[[#This Row],[Grupo]],VOL_VOLUMEN_SUMINISTROS[[#This Row],[Proyecto]],VOL_VOLUMEN_SUMINISTROS[[#This Row],[FIN DE SEMANA]])</f>
        <v>21052-1NO</v>
      </c>
      <c r="E799" s="30" t="s">
        <v>147</v>
      </c>
      <c r="F799" s="30" t="s">
        <v>148</v>
      </c>
      <c r="G799" s="365">
        <v>2</v>
      </c>
      <c r="H799" s="30">
        <v>4</v>
      </c>
      <c r="I799" s="9" t="s">
        <v>601</v>
      </c>
      <c r="J799" s="9" t="s">
        <v>619</v>
      </c>
      <c r="K799" s="30">
        <v>2</v>
      </c>
      <c r="L799" s="9" t="s">
        <v>621</v>
      </c>
      <c r="M799" s="30" t="s">
        <v>84</v>
      </c>
      <c r="N799" s="30" t="s">
        <v>155</v>
      </c>
      <c r="O799" s="24">
        <v>243</v>
      </c>
      <c r="P799" s="24">
        <v>162</v>
      </c>
      <c r="Q799" s="24">
        <v>24</v>
      </c>
      <c r="R799" s="24">
        <v>0</v>
      </c>
      <c r="S799" s="24">
        <v>0</v>
      </c>
      <c r="T799" s="24">
        <v>429</v>
      </c>
    </row>
    <row r="800" spans="1:20">
      <c r="A800" s="9" t="s">
        <v>555</v>
      </c>
      <c r="B800" s="30" t="s">
        <v>608</v>
      </c>
      <c r="C800" s="30" t="str">
        <f>CONCATENATE(VOL_VOLUMEN_SUMINISTROS[[#This Row],[Proyecto]],VOL_VOLUMEN_SUMINISTROS[[#This Row],[J]],VOL_VOLUMEN_SUMINISTROS[[#This Row],[FIN DE SEMANA]])</f>
        <v>1052-1MNO</v>
      </c>
      <c r="D800" s="365" t="str">
        <f>CONCATENATE(VOL_VOLUMEN_SUMINISTROS[[#This Row],[Grupo]],VOL_VOLUMEN_SUMINISTROS[[#This Row],[Proyecto]],VOL_VOLUMEN_SUMINISTROS[[#This Row],[FIN DE SEMANA]])</f>
        <v>21052-1NO</v>
      </c>
      <c r="E800" s="30" t="s">
        <v>147</v>
      </c>
      <c r="F800" s="30" t="s">
        <v>148</v>
      </c>
      <c r="G800" s="365">
        <v>2</v>
      </c>
      <c r="H800" s="30">
        <v>4</v>
      </c>
      <c r="I800" s="9" t="s">
        <v>601</v>
      </c>
      <c r="J800" s="9" t="s">
        <v>622</v>
      </c>
      <c r="K800" s="30">
        <v>1</v>
      </c>
      <c r="L800" s="9" t="s">
        <v>623</v>
      </c>
      <c r="M800" s="30" t="s">
        <v>84</v>
      </c>
      <c r="N800" s="30" t="s">
        <v>152</v>
      </c>
      <c r="O800" s="24">
        <v>95</v>
      </c>
      <c r="P800" s="24">
        <v>224</v>
      </c>
      <c r="Q800" s="24">
        <v>319</v>
      </c>
      <c r="R800" s="24">
        <v>0</v>
      </c>
      <c r="S800" s="24">
        <v>0</v>
      </c>
      <c r="T800" s="24">
        <v>638</v>
      </c>
    </row>
    <row r="801" spans="1:20">
      <c r="A801" s="9" t="s">
        <v>555</v>
      </c>
      <c r="B801" s="30" t="s">
        <v>608</v>
      </c>
      <c r="C801" s="30" t="str">
        <f>CONCATENATE(VOL_VOLUMEN_SUMINISTROS[[#This Row],[Proyecto]],VOL_VOLUMEN_SUMINISTROS[[#This Row],[J]],VOL_VOLUMEN_SUMINISTROS[[#This Row],[FIN DE SEMANA]])</f>
        <v>1052-1TNO</v>
      </c>
      <c r="D801" s="365" t="str">
        <f>CONCATENATE(VOL_VOLUMEN_SUMINISTROS[[#This Row],[Grupo]],VOL_VOLUMEN_SUMINISTROS[[#This Row],[Proyecto]],VOL_VOLUMEN_SUMINISTROS[[#This Row],[FIN DE SEMANA]])</f>
        <v>21052-1NO</v>
      </c>
      <c r="E801" s="30" t="s">
        <v>147</v>
      </c>
      <c r="F801" s="30" t="s">
        <v>148</v>
      </c>
      <c r="G801" s="365">
        <v>2</v>
      </c>
      <c r="H801" s="30">
        <v>4</v>
      </c>
      <c r="I801" s="9" t="s">
        <v>601</v>
      </c>
      <c r="J801" s="9" t="s">
        <v>622</v>
      </c>
      <c r="K801" s="30">
        <v>1</v>
      </c>
      <c r="L801" s="9" t="s">
        <v>623</v>
      </c>
      <c r="M801" s="30" t="s">
        <v>84</v>
      </c>
      <c r="N801" s="30" t="s">
        <v>155</v>
      </c>
      <c r="O801" s="24">
        <v>89</v>
      </c>
      <c r="P801" s="24">
        <v>164</v>
      </c>
      <c r="Q801" s="24">
        <v>164</v>
      </c>
      <c r="R801" s="24">
        <v>0</v>
      </c>
      <c r="S801" s="24">
        <v>0</v>
      </c>
      <c r="T801" s="24">
        <v>417</v>
      </c>
    </row>
    <row r="802" spans="1:20">
      <c r="A802" s="9" t="s">
        <v>555</v>
      </c>
      <c r="B802" s="30" t="s">
        <v>608</v>
      </c>
      <c r="C802" s="30" t="str">
        <f>CONCATENATE(VOL_VOLUMEN_SUMINISTROS[[#This Row],[Proyecto]],VOL_VOLUMEN_SUMINISTROS[[#This Row],[J]],VOL_VOLUMEN_SUMINISTROS[[#This Row],[FIN DE SEMANA]])</f>
        <v>1052-1MNO</v>
      </c>
      <c r="D802" s="365" t="str">
        <f>CONCATENATE(VOL_VOLUMEN_SUMINISTROS[[#This Row],[Grupo]],VOL_VOLUMEN_SUMINISTROS[[#This Row],[Proyecto]],VOL_VOLUMEN_SUMINISTROS[[#This Row],[FIN DE SEMANA]])</f>
        <v>21052-1NO</v>
      </c>
      <c r="E802" s="30" t="s">
        <v>147</v>
      </c>
      <c r="F802" s="30" t="s">
        <v>148</v>
      </c>
      <c r="G802" s="365">
        <v>2</v>
      </c>
      <c r="H802" s="30">
        <v>4</v>
      </c>
      <c r="I802" s="9" t="s">
        <v>601</v>
      </c>
      <c r="J802" s="9" t="s">
        <v>622</v>
      </c>
      <c r="K802" s="30">
        <v>2</v>
      </c>
      <c r="L802" s="9" t="s">
        <v>624</v>
      </c>
      <c r="M802" s="30" t="s">
        <v>84</v>
      </c>
      <c r="N802" s="30" t="s">
        <v>152</v>
      </c>
      <c r="O802" s="24">
        <v>128</v>
      </c>
      <c r="P802" s="24">
        <v>106</v>
      </c>
      <c r="Q802" s="24">
        <v>22</v>
      </c>
      <c r="R802" s="24">
        <v>0</v>
      </c>
      <c r="S802" s="24">
        <v>0</v>
      </c>
      <c r="T802" s="24">
        <v>256</v>
      </c>
    </row>
    <row r="803" spans="1:20">
      <c r="A803" s="9" t="s">
        <v>555</v>
      </c>
      <c r="B803" s="30" t="s">
        <v>608</v>
      </c>
      <c r="C803" s="30" t="str">
        <f>CONCATENATE(VOL_VOLUMEN_SUMINISTROS[[#This Row],[Proyecto]],VOL_VOLUMEN_SUMINISTROS[[#This Row],[J]],VOL_VOLUMEN_SUMINISTROS[[#This Row],[FIN DE SEMANA]])</f>
        <v>1052-1TNO</v>
      </c>
      <c r="D803" s="365" t="str">
        <f>CONCATENATE(VOL_VOLUMEN_SUMINISTROS[[#This Row],[Grupo]],VOL_VOLUMEN_SUMINISTROS[[#This Row],[Proyecto]],VOL_VOLUMEN_SUMINISTROS[[#This Row],[FIN DE SEMANA]])</f>
        <v>21052-1NO</v>
      </c>
      <c r="E803" s="30" t="s">
        <v>147</v>
      </c>
      <c r="F803" s="30" t="s">
        <v>148</v>
      </c>
      <c r="G803" s="365">
        <v>2</v>
      </c>
      <c r="H803" s="30">
        <v>4</v>
      </c>
      <c r="I803" s="9" t="s">
        <v>601</v>
      </c>
      <c r="J803" s="9" t="s">
        <v>622</v>
      </c>
      <c r="K803" s="30">
        <v>2</v>
      </c>
      <c r="L803" s="9" t="s">
        <v>624</v>
      </c>
      <c r="M803" s="30" t="s">
        <v>84</v>
      </c>
      <c r="N803" s="30" t="s">
        <v>155</v>
      </c>
      <c r="O803" s="24">
        <v>79</v>
      </c>
      <c r="P803" s="24">
        <v>82</v>
      </c>
      <c r="Q803" s="24">
        <v>17</v>
      </c>
      <c r="R803" s="24">
        <v>0</v>
      </c>
      <c r="S803" s="24">
        <v>0</v>
      </c>
      <c r="T803" s="24">
        <v>178</v>
      </c>
    </row>
    <row r="804" spans="1:20">
      <c r="A804" s="9" t="s">
        <v>555</v>
      </c>
      <c r="B804" s="30" t="s">
        <v>608</v>
      </c>
      <c r="C804" s="30" t="str">
        <f>CONCATENATE(VOL_VOLUMEN_SUMINISTROS[[#This Row],[Proyecto]],VOL_VOLUMEN_SUMINISTROS[[#This Row],[J]],VOL_VOLUMEN_SUMINISTROS[[#This Row],[FIN DE SEMANA]])</f>
        <v>1052-1MNO</v>
      </c>
      <c r="D804" s="365" t="str">
        <f>CONCATENATE(VOL_VOLUMEN_SUMINISTROS[[#This Row],[Grupo]],VOL_VOLUMEN_SUMINISTROS[[#This Row],[Proyecto]],VOL_VOLUMEN_SUMINISTROS[[#This Row],[FIN DE SEMANA]])</f>
        <v>21052-1NO</v>
      </c>
      <c r="E804" s="30" t="s">
        <v>147</v>
      </c>
      <c r="F804" s="30" t="s">
        <v>148</v>
      </c>
      <c r="G804" s="365">
        <v>2</v>
      </c>
      <c r="H804" s="30">
        <v>4</v>
      </c>
      <c r="I804" s="9" t="s">
        <v>601</v>
      </c>
      <c r="J804" s="9" t="s">
        <v>622</v>
      </c>
      <c r="K804" s="30">
        <v>3</v>
      </c>
      <c r="L804" s="9" t="s">
        <v>625</v>
      </c>
      <c r="M804" s="30" t="s">
        <v>84</v>
      </c>
      <c r="N804" s="30" t="s">
        <v>152</v>
      </c>
      <c r="O804" s="24">
        <v>118</v>
      </c>
      <c r="P804" s="24">
        <v>87</v>
      </c>
      <c r="Q804" s="24">
        <v>16</v>
      </c>
      <c r="R804" s="24">
        <v>0</v>
      </c>
      <c r="S804" s="24">
        <v>0</v>
      </c>
      <c r="T804" s="24">
        <v>221</v>
      </c>
    </row>
    <row r="805" spans="1:20">
      <c r="A805" s="9" t="s">
        <v>555</v>
      </c>
      <c r="B805" s="30" t="s">
        <v>608</v>
      </c>
      <c r="C805" s="30" t="str">
        <f>CONCATENATE(VOL_VOLUMEN_SUMINISTROS[[#This Row],[Proyecto]],VOL_VOLUMEN_SUMINISTROS[[#This Row],[J]],VOL_VOLUMEN_SUMINISTROS[[#This Row],[FIN DE SEMANA]])</f>
        <v>1052-1TNO</v>
      </c>
      <c r="D805" s="365" t="str">
        <f>CONCATENATE(VOL_VOLUMEN_SUMINISTROS[[#This Row],[Grupo]],VOL_VOLUMEN_SUMINISTROS[[#This Row],[Proyecto]],VOL_VOLUMEN_SUMINISTROS[[#This Row],[FIN DE SEMANA]])</f>
        <v>21052-1NO</v>
      </c>
      <c r="E805" s="30" t="s">
        <v>147</v>
      </c>
      <c r="F805" s="30" t="s">
        <v>148</v>
      </c>
      <c r="G805" s="365">
        <v>2</v>
      </c>
      <c r="H805" s="30">
        <v>4</v>
      </c>
      <c r="I805" s="9" t="s">
        <v>601</v>
      </c>
      <c r="J805" s="9" t="s">
        <v>622</v>
      </c>
      <c r="K805" s="30">
        <v>3</v>
      </c>
      <c r="L805" s="9" t="s">
        <v>625</v>
      </c>
      <c r="M805" s="30" t="s">
        <v>84</v>
      </c>
      <c r="N805" s="30" t="s">
        <v>155</v>
      </c>
      <c r="O805" s="24">
        <v>88</v>
      </c>
      <c r="P805" s="24">
        <v>39</v>
      </c>
      <c r="Q805" s="24">
        <v>8</v>
      </c>
      <c r="R805" s="24">
        <v>0</v>
      </c>
      <c r="S805" s="24">
        <v>0</v>
      </c>
      <c r="T805" s="24">
        <v>135</v>
      </c>
    </row>
    <row r="806" spans="1:20">
      <c r="A806" s="9" t="s">
        <v>555</v>
      </c>
      <c r="B806" s="30" t="s">
        <v>608</v>
      </c>
      <c r="C806" s="30" t="str">
        <f>CONCATENATE(VOL_VOLUMEN_SUMINISTROS[[#This Row],[Proyecto]],VOL_VOLUMEN_SUMINISTROS[[#This Row],[J]],VOL_VOLUMEN_SUMINISTROS[[#This Row],[FIN DE SEMANA]])</f>
        <v>1052-1MNO</v>
      </c>
      <c r="D806" s="365" t="str">
        <f>CONCATENATE(VOL_VOLUMEN_SUMINISTROS[[#This Row],[Grupo]],VOL_VOLUMEN_SUMINISTROS[[#This Row],[Proyecto]],VOL_VOLUMEN_SUMINISTROS[[#This Row],[FIN DE SEMANA]])</f>
        <v>21052-1NO</v>
      </c>
      <c r="E806" s="30" t="s">
        <v>147</v>
      </c>
      <c r="F806" s="30" t="s">
        <v>148</v>
      </c>
      <c r="G806" s="365">
        <v>2</v>
      </c>
      <c r="H806" s="30">
        <v>4</v>
      </c>
      <c r="I806" s="9" t="s">
        <v>601</v>
      </c>
      <c r="J806" s="9" t="s">
        <v>626</v>
      </c>
      <c r="K806" s="30">
        <v>1</v>
      </c>
      <c r="L806" s="9" t="s">
        <v>627</v>
      </c>
      <c r="M806" s="30" t="s">
        <v>84</v>
      </c>
      <c r="N806" s="30" t="s">
        <v>152</v>
      </c>
      <c r="O806" s="24">
        <v>195</v>
      </c>
      <c r="P806" s="24">
        <v>296</v>
      </c>
      <c r="Q806" s="24">
        <v>402</v>
      </c>
      <c r="R806" s="24">
        <v>0</v>
      </c>
      <c r="S806" s="24">
        <v>0</v>
      </c>
      <c r="T806" s="24">
        <v>893</v>
      </c>
    </row>
    <row r="807" spans="1:20">
      <c r="A807" s="9" t="s">
        <v>555</v>
      </c>
      <c r="B807" s="30" t="s">
        <v>608</v>
      </c>
      <c r="C807" s="30" t="str">
        <f>CONCATENATE(VOL_VOLUMEN_SUMINISTROS[[#This Row],[Proyecto]],VOL_VOLUMEN_SUMINISTROS[[#This Row],[J]],VOL_VOLUMEN_SUMINISTROS[[#This Row],[FIN DE SEMANA]])</f>
        <v>1052-1TNO</v>
      </c>
      <c r="D807" s="365" t="str">
        <f>CONCATENATE(VOL_VOLUMEN_SUMINISTROS[[#This Row],[Grupo]],VOL_VOLUMEN_SUMINISTROS[[#This Row],[Proyecto]],VOL_VOLUMEN_SUMINISTROS[[#This Row],[FIN DE SEMANA]])</f>
        <v>21052-1NO</v>
      </c>
      <c r="E807" s="30" t="s">
        <v>147</v>
      </c>
      <c r="F807" s="30" t="s">
        <v>148</v>
      </c>
      <c r="G807" s="365">
        <v>2</v>
      </c>
      <c r="H807" s="30">
        <v>4</v>
      </c>
      <c r="I807" s="9" t="s">
        <v>601</v>
      </c>
      <c r="J807" s="9" t="s">
        <v>626</v>
      </c>
      <c r="K807" s="30">
        <v>1</v>
      </c>
      <c r="L807" s="9" t="s">
        <v>627</v>
      </c>
      <c r="M807" s="30" t="s">
        <v>84</v>
      </c>
      <c r="N807" s="30" t="s">
        <v>155</v>
      </c>
      <c r="O807" s="24">
        <v>179</v>
      </c>
      <c r="P807" s="24">
        <v>287</v>
      </c>
      <c r="Q807" s="24">
        <v>365</v>
      </c>
      <c r="R807" s="24">
        <v>0</v>
      </c>
      <c r="S807" s="24">
        <v>0</v>
      </c>
      <c r="T807" s="24">
        <v>831</v>
      </c>
    </row>
    <row r="808" spans="1:20">
      <c r="A808" s="9" t="s">
        <v>555</v>
      </c>
      <c r="B808" s="30" t="s">
        <v>608</v>
      </c>
      <c r="C808" s="30" t="str">
        <f>CONCATENATE(VOL_VOLUMEN_SUMINISTROS[[#This Row],[Proyecto]],VOL_VOLUMEN_SUMINISTROS[[#This Row],[J]],VOL_VOLUMEN_SUMINISTROS[[#This Row],[FIN DE SEMANA]])</f>
        <v>1052-1MNO</v>
      </c>
      <c r="D808" s="365" t="str">
        <f>CONCATENATE(VOL_VOLUMEN_SUMINISTROS[[#This Row],[Grupo]],VOL_VOLUMEN_SUMINISTROS[[#This Row],[Proyecto]],VOL_VOLUMEN_SUMINISTROS[[#This Row],[FIN DE SEMANA]])</f>
        <v>21052-1NO</v>
      </c>
      <c r="E808" s="30" t="s">
        <v>147</v>
      </c>
      <c r="F808" s="30" t="s">
        <v>148</v>
      </c>
      <c r="G808" s="365">
        <v>2</v>
      </c>
      <c r="H808" s="30">
        <v>4</v>
      </c>
      <c r="I808" s="9" t="s">
        <v>601</v>
      </c>
      <c r="J808" s="9" t="s">
        <v>628</v>
      </c>
      <c r="K808" s="30">
        <v>1</v>
      </c>
      <c r="L808" s="9" t="s">
        <v>629</v>
      </c>
      <c r="M808" s="30" t="s">
        <v>84</v>
      </c>
      <c r="N808" s="30" t="s">
        <v>152</v>
      </c>
      <c r="O808" s="24">
        <v>0</v>
      </c>
      <c r="P808" s="24">
        <v>114</v>
      </c>
      <c r="Q808" s="24">
        <v>261</v>
      </c>
      <c r="R808" s="24">
        <v>0</v>
      </c>
      <c r="S808" s="24">
        <v>0</v>
      </c>
      <c r="T808" s="24">
        <v>375</v>
      </c>
    </row>
    <row r="809" spans="1:20">
      <c r="A809" s="9" t="s">
        <v>555</v>
      </c>
      <c r="B809" s="30" t="s">
        <v>608</v>
      </c>
      <c r="C809" s="30" t="str">
        <f>CONCATENATE(VOL_VOLUMEN_SUMINISTROS[[#This Row],[Proyecto]],VOL_VOLUMEN_SUMINISTROS[[#This Row],[J]],VOL_VOLUMEN_SUMINISTROS[[#This Row],[FIN DE SEMANA]])</f>
        <v>1052-1TNO</v>
      </c>
      <c r="D809" s="365" t="str">
        <f>CONCATENATE(VOL_VOLUMEN_SUMINISTROS[[#This Row],[Grupo]],VOL_VOLUMEN_SUMINISTROS[[#This Row],[Proyecto]],VOL_VOLUMEN_SUMINISTROS[[#This Row],[FIN DE SEMANA]])</f>
        <v>21052-1NO</v>
      </c>
      <c r="E809" s="30" t="s">
        <v>147</v>
      </c>
      <c r="F809" s="30" t="s">
        <v>148</v>
      </c>
      <c r="G809" s="365">
        <v>2</v>
      </c>
      <c r="H809" s="30">
        <v>4</v>
      </c>
      <c r="I809" s="9" t="s">
        <v>601</v>
      </c>
      <c r="J809" s="9" t="s">
        <v>628</v>
      </c>
      <c r="K809" s="30">
        <v>1</v>
      </c>
      <c r="L809" s="9" t="s">
        <v>630</v>
      </c>
      <c r="M809" s="30" t="s">
        <v>84</v>
      </c>
      <c r="N809" s="30" t="s">
        <v>155</v>
      </c>
      <c r="O809" s="24">
        <v>0</v>
      </c>
      <c r="P809" s="24">
        <v>135</v>
      </c>
      <c r="Q809" s="24">
        <v>155</v>
      </c>
      <c r="R809" s="24">
        <v>0</v>
      </c>
      <c r="S809" s="24">
        <v>0</v>
      </c>
      <c r="T809" s="24">
        <v>290</v>
      </c>
    </row>
    <row r="810" spans="1:20">
      <c r="A810" s="9" t="s">
        <v>555</v>
      </c>
      <c r="B810" s="30" t="s">
        <v>608</v>
      </c>
      <c r="C810" s="30" t="str">
        <f>CONCATENATE(VOL_VOLUMEN_SUMINISTROS[[#This Row],[Proyecto]],VOL_VOLUMEN_SUMINISTROS[[#This Row],[J]],VOL_VOLUMEN_SUMINISTROS[[#This Row],[FIN DE SEMANA]])</f>
        <v>1052-1MNO</v>
      </c>
      <c r="D810" s="365" t="str">
        <f>CONCATENATE(VOL_VOLUMEN_SUMINISTROS[[#This Row],[Grupo]],VOL_VOLUMEN_SUMINISTROS[[#This Row],[Proyecto]],VOL_VOLUMEN_SUMINISTROS[[#This Row],[FIN DE SEMANA]])</f>
        <v>21052-1NO</v>
      </c>
      <c r="E810" s="30" t="s">
        <v>147</v>
      </c>
      <c r="F810" s="30" t="s">
        <v>148</v>
      </c>
      <c r="G810" s="365">
        <v>2</v>
      </c>
      <c r="H810" s="30">
        <v>4</v>
      </c>
      <c r="I810" s="9" t="s">
        <v>601</v>
      </c>
      <c r="J810" s="9" t="s">
        <v>628</v>
      </c>
      <c r="K810" s="30">
        <v>2</v>
      </c>
      <c r="L810" s="9" t="s">
        <v>631</v>
      </c>
      <c r="M810" s="30" t="s">
        <v>84</v>
      </c>
      <c r="N810" s="30" t="s">
        <v>152</v>
      </c>
      <c r="O810" s="24">
        <v>126</v>
      </c>
      <c r="P810" s="24">
        <v>145</v>
      </c>
      <c r="Q810" s="24">
        <v>32</v>
      </c>
      <c r="R810" s="24">
        <v>0</v>
      </c>
      <c r="S810" s="24">
        <v>0</v>
      </c>
      <c r="T810" s="24">
        <v>303</v>
      </c>
    </row>
    <row r="811" spans="1:20">
      <c r="A811" s="9" t="s">
        <v>555</v>
      </c>
      <c r="B811" s="30" t="s">
        <v>608</v>
      </c>
      <c r="C811" s="30" t="str">
        <f>CONCATENATE(VOL_VOLUMEN_SUMINISTROS[[#This Row],[Proyecto]],VOL_VOLUMEN_SUMINISTROS[[#This Row],[J]],VOL_VOLUMEN_SUMINISTROS[[#This Row],[FIN DE SEMANA]])</f>
        <v>1052-1TNO</v>
      </c>
      <c r="D811" s="365" t="str">
        <f>CONCATENATE(VOL_VOLUMEN_SUMINISTROS[[#This Row],[Grupo]],VOL_VOLUMEN_SUMINISTROS[[#This Row],[Proyecto]],VOL_VOLUMEN_SUMINISTROS[[#This Row],[FIN DE SEMANA]])</f>
        <v>21052-1NO</v>
      </c>
      <c r="E811" s="30" t="s">
        <v>147</v>
      </c>
      <c r="F811" s="30" t="s">
        <v>148</v>
      </c>
      <c r="G811" s="365">
        <v>2</v>
      </c>
      <c r="H811" s="30">
        <v>4</v>
      </c>
      <c r="I811" s="9" t="s">
        <v>601</v>
      </c>
      <c r="J811" s="9" t="s">
        <v>628</v>
      </c>
      <c r="K811" s="30">
        <v>2</v>
      </c>
      <c r="L811" s="9" t="s">
        <v>631</v>
      </c>
      <c r="M811" s="30" t="s">
        <v>84</v>
      </c>
      <c r="N811" s="30" t="s">
        <v>155</v>
      </c>
      <c r="O811" s="24">
        <v>148</v>
      </c>
      <c r="P811" s="24">
        <v>94</v>
      </c>
      <c r="Q811" s="24">
        <v>19</v>
      </c>
      <c r="R811" s="24">
        <v>0</v>
      </c>
      <c r="S811" s="24">
        <v>0</v>
      </c>
      <c r="T811" s="24">
        <v>261</v>
      </c>
    </row>
    <row r="812" spans="1:20">
      <c r="A812" s="9" t="s">
        <v>555</v>
      </c>
      <c r="B812" s="30" t="s">
        <v>608</v>
      </c>
      <c r="C812" s="30" t="str">
        <f>CONCATENATE(VOL_VOLUMEN_SUMINISTROS[[#This Row],[Proyecto]],VOL_VOLUMEN_SUMINISTROS[[#This Row],[J]],VOL_VOLUMEN_SUMINISTROS[[#This Row],[FIN DE SEMANA]])</f>
        <v>1052-1MNO</v>
      </c>
      <c r="D812" s="365" t="str">
        <f>CONCATENATE(VOL_VOLUMEN_SUMINISTROS[[#This Row],[Grupo]],VOL_VOLUMEN_SUMINISTROS[[#This Row],[Proyecto]],VOL_VOLUMEN_SUMINISTROS[[#This Row],[FIN DE SEMANA]])</f>
        <v>21052-1NO</v>
      </c>
      <c r="E812" s="30" t="s">
        <v>147</v>
      </c>
      <c r="F812" s="30" t="s">
        <v>148</v>
      </c>
      <c r="G812" s="365">
        <v>2</v>
      </c>
      <c r="H812" s="30">
        <v>4</v>
      </c>
      <c r="I812" s="9" t="s">
        <v>601</v>
      </c>
      <c r="J812" s="9" t="s">
        <v>602</v>
      </c>
      <c r="K812" s="30">
        <v>1</v>
      </c>
      <c r="L812" s="9" t="s">
        <v>603</v>
      </c>
      <c r="M812" s="30" t="s">
        <v>84</v>
      </c>
      <c r="N812" s="30" t="s">
        <v>152</v>
      </c>
      <c r="O812" s="24">
        <v>0</v>
      </c>
      <c r="P812" s="24">
        <v>294</v>
      </c>
      <c r="Q812" s="24">
        <v>946</v>
      </c>
      <c r="R812" s="24">
        <v>0</v>
      </c>
      <c r="S812" s="24">
        <v>0</v>
      </c>
      <c r="T812" s="24">
        <v>1240</v>
      </c>
    </row>
    <row r="813" spans="1:20">
      <c r="A813" s="9" t="s">
        <v>555</v>
      </c>
      <c r="B813" s="30" t="s">
        <v>608</v>
      </c>
      <c r="C813" s="30" t="str">
        <f>CONCATENATE(VOL_VOLUMEN_SUMINISTROS[[#This Row],[Proyecto]],VOL_VOLUMEN_SUMINISTROS[[#This Row],[J]],VOL_VOLUMEN_SUMINISTROS[[#This Row],[FIN DE SEMANA]])</f>
        <v>1052-1MNO</v>
      </c>
      <c r="D813" s="365" t="str">
        <f>CONCATENATE(VOL_VOLUMEN_SUMINISTROS[[#This Row],[Grupo]],VOL_VOLUMEN_SUMINISTROS[[#This Row],[Proyecto]],VOL_VOLUMEN_SUMINISTROS[[#This Row],[FIN DE SEMANA]])</f>
        <v>21052-1NO</v>
      </c>
      <c r="E813" s="30" t="s">
        <v>147</v>
      </c>
      <c r="F813" s="30" t="s">
        <v>148</v>
      </c>
      <c r="G813" s="365">
        <v>2</v>
      </c>
      <c r="H813" s="30">
        <v>4</v>
      </c>
      <c r="I813" s="9" t="s">
        <v>601</v>
      </c>
      <c r="J813" s="9" t="s">
        <v>602</v>
      </c>
      <c r="K813" s="30">
        <v>2</v>
      </c>
      <c r="L813" s="9" t="s">
        <v>604</v>
      </c>
      <c r="M813" s="30" t="s">
        <v>84</v>
      </c>
      <c r="N813" s="30" t="s">
        <v>152</v>
      </c>
      <c r="O813" s="24">
        <v>255</v>
      </c>
      <c r="P813" s="24">
        <v>68</v>
      </c>
      <c r="Q813" s="24">
        <v>0</v>
      </c>
      <c r="R813" s="24">
        <v>0</v>
      </c>
      <c r="S813" s="24">
        <v>0</v>
      </c>
      <c r="T813" s="24">
        <v>323</v>
      </c>
    </row>
    <row r="814" spans="1:20">
      <c r="A814" s="9" t="s">
        <v>555</v>
      </c>
      <c r="B814" s="30" t="s">
        <v>608</v>
      </c>
      <c r="C814" s="30" t="str">
        <f>CONCATENATE(VOL_VOLUMEN_SUMINISTROS[[#This Row],[Proyecto]],VOL_VOLUMEN_SUMINISTROS[[#This Row],[J]],VOL_VOLUMEN_SUMINISTROS[[#This Row],[FIN DE SEMANA]])</f>
        <v>1052-1MNO</v>
      </c>
      <c r="D814" s="365" t="str">
        <f>CONCATENATE(VOL_VOLUMEN_SUMINISTROS[[#This Row],[Grupo]],VOL_VOLUMEN_SUMINISTROS[[#This Row],[Proyecto]],VOL_VOLUMEN_SUMINISTROS[[#This Row],[FIN DE SEMANA]])</f>
        <v>21052-1NO</v>
      </c>
      <c r="E814" s="30" t="s">
        <v>147</v>
      </c>
      <c r="F814" s="30" t="s">
        <v>148</v>
      </c>
      <c r="G814" s="365">
        <v>2</v>
      </c>
      <c r="H814" s="30">
        <v>4</v>
      </c>
      <c r="I814" s="9" t="s">
        <v>601</v>
      </c>
      <c r="J814" s="9" t="s">
        <v>602</v>
      </c>
      <c r="K814" s="30">
        <v>3</v>
      </c>
      <c r="L814" s="9" t="s">
        <v>605</v>
      </c>
      <c r="M814" s="30" t="s">
        <v>84</v>
      </c>
      <c r="N814" s="30" t="s">
        <v>152</v>
      </c>
      <c r="O814" s="24">
        <v>126</v>
      </c>
      <c r="P814" s="24">
        <v>210</v>
      </c>
      <c r="Q814" s="24">
        <v>49</v>
      </c>
      <c r="R814" s="24">
        <v>0</v>
      </c>
      <c r="S814" s="24">
        <v>0</v>
      </c>
      <c r="T814" s="24">
        <v>385</v>
      </c>
    </row>
    <row r="815" spans="1:20">
      <c r="A815" s="9" t="s">
        <v>555</v>
      </c>
      <c r="B815" s="30" t="s">
        <v>608</v>
      </c>
      <c r="C815" s="30" t="str">
        <f>CONCATENATE(VOL_VOLUMEN_SUMINISTROS[[#This Row],[Proyecto]],VOL_VOLUMEN_SUMINISTROS[[#This Row],[J]],VOL_VOLUMEN_SUMINISTROS[[#This Row],[FIN DE SEMANA]])</f>
        <v>1052-1TNO</v>
      </c>
      <c r="D815" s="365" t="str">
        <f>CONCATENATE(VOL_VOLUMEN_SUMINISTROS[[#This Row],[Grupo]],VOL_VOLUMEN_SUMINISTROS[[#This Row],[Proyecto]],VOL_VOLUMEN_SUMINISTROS[[#This Row],[FIN DE SEMANA]])</f>
        <v>21052-1NO</v>
      </c>
      <c r="E815" s="30" t="s">
        <v>147</v>
      </c>
      <c r="F815" s="30" t="s">
        <v>148</v>
      </c>
      <c r="G815" s="365">
        <v>2</v>
      </c>
      <c r="H815" s="30">
        <v>4</v>
      </c>
      <c r="I815" s="9" t="s">
        <v>601</v>
      </c>
      <c r="J815" s="9" t="s">
        <v>602</v>
      </c>
      <c r="K815" s="30">
        <v>3</v>
      </c>
      <c r="L815" s="9" t="s">
        <v>605</v>
      </c>
      <c r="M815" s="30" t="s">
        <v>84</v>
      </c>
      <c r="N815" s="30" t="s">
        <v>155</v>
      </c>
      <c r="O815" s="24">
        <v>46</v>
      </c>
      <c r="P815" s="24">
        <v>128</v>
      </c>
      <c r="Q815" s="24">
        <v>35</v>
      </c>
      <c r="R815" s="24">
        <v>0</v>
      </c>
      <c r="S815" s="24">
        <v>0</v>
      </c>
      <c r="T815" s="24">
        <v>209</v>
      </c>
    </row>
    <row r="816" spans="1:20">
      <c r="A816" s="9" t="s">
        <v>555</v>
      </c>
      <c r="B816" s="30" t="s">
        <v>608</v>
      </c>
      <c r="C816" s="30" t="str">
        <f>CONCATENATE(VOL_VOLUMEN_SUMINISTROS[[#This Row],[Proyecto]],VOL_VOLUMEN_SUMINISTROS[[#This Row],[J]],VOL_VOLUMEN_SUMINISTROS[[#This Row],[FIN DE SEMANA]])</f>
        <v>1052-1MNO</v>
      </c>
      <c r="D816" s="365" t="str">
        <f>CONCATENATE(VOL_VOLUMEN_SUMINISTROS[[#This Row],[Grupo]],VOL_VOLUMEN_SUMINISTROS[[#This Row],[Proyecto]],VOL_VOLUMEN_SUMINISTROS[[#This Row],[FIN DE SEMANA]])</f>
        <v>21052-1NO</v>
      </c>
      <c r="E816" s="30" t="s">
        <v>147</v>
      </c>
      <c r="F816" s="30" t="s">
        <v>148</v>
      </c>
      <c r="G816" s="365">
        <v>2</v>
      </c>
      <c r="H816" s="30">
        <v>4</v>
      </c>
      <c r="I816" s="9" t="s">
        <v>601</v>
      </c>
      <c r="J816" s="9" t="s">
        <v>632</v>
      </c>
      <c r="K816" s="30">
        <v>1</v>
      </c>
      <c r="L816" s="9" t="s">
        <v>633</v>
      </c>
      <c r="M816" s="30" t="s">
        <v>84</v>
      </c>
      <c r="N816" s="30" t="s">
        <v>152</v>
      </c>
      <c r="O816" s="24">
        <v>19</v>
      </c>
      <c r="P816" s="24">
        <v>111</v>
      </c>
      <c r="Q816" s="24">
        <v>267</v>
      </c>
      <c r="R816" s="24">
        <v>0</v>
      </c>
      <c r="S816" s="24">
        <v>0</v>
      </c>
      <c r="T816" s="24">
        <v>397</v>
      </c>
    </row>
    <row r="817" spans="1:20">
      <c r="A817" s="9" t="s">
        <v>555</v>
      </c>
      <c r="B817" s="30" t="s">
        <v>608</v>
      </c>
      <c r="C817" s="30" t="str">
        <f>CONCATENATE(VOL_VOLUMEN_SUMINISTROS[[#This Row],[Proyecto]],VOL_VOLUMEN_SUMINISTROS[[#This Row],[J]],VOL_VOLUMEN_SUMINISTROS[[#This Row],[FIN DE SEMANA]])</f>
        <v>1052-1TNO</v>
      </c>
      <c r="D817" s="365" t="str">
        <f>CONCATENATE(VOL_VOLUMEN_SUMINISTROS[[#This Row],[Grupo]],VOL_VOLUMEN_SUMINISTROS[[#This Row],[Proyecto]],VOL_VOLUMEN_SUMINISTROS[[#This Row],[FIN DE SEMANA]])</f>
        <v>21052-1NO</v>
      </c>
      <c r="E817" s="30" t="s">
        <v>147</v>
      </c>
      <c r="F817" s="30" t="s">
        <v>148</v>
      </c>
      <c r="G817" s="365">
        <v>2</v>
      </c>
      <c r="H817" s="30">
        <v>4</v>
      </c>
      <c r="I817" s="9" t="s">
        <v>601</v>
      </c>
      <c r="J817" s="9" t="s">
        <v>632</v>
      </c>
      <c r="K817" s="30">
        <v>1</v>
      </c>
      <c r="L817" s="9" t="s">
        <v>634</v>
      </c>
      <c r="M817" s="30" t="s">
        <v>84</v>
      </c>
      <c r="N817" s="30" t="s">
        <v>155</v>
      </c>
      <c r="O817" s="24">
        <v>111</v>
      </c>
      <c r="P817" s="24">
        <v>166</v>
      </c>
      <c r="Q817" s="24">
        <v>40</v>
      </c>
      <c r="R817" s="24">
        <v>0</v>
      </c>
      <c r="S817" s="24">
        <v>0</v>
      </c>
      <c r="T817" s="24">
        <v>317</v>
      </c>
    </row>
    <row r="818" spans="1:20">
      <c r="A818" s="9" t="s">
        <v>555</v>
      </c>
      <c r="B818" s="30" t="s">
        <v>608</v>
      </c>
      <c r="C818" s="30" t="str">
        <f>CONCATENATE(VOL_VOLUMEN_SUMINISTROS[[#This Row],[Proyecto]],VOL_VOLUMEN_SUMINISTROS[[#This Row],[J]],VOL_VOLUMEN_SUMINISTROS[[#This Row],[FIN DE SEMANA]])</f>
        <v>1052-1MNO</v>
      </c>
      <c r="D818" s="365" t="str">
        <f>CONCATENATE(VOL_VOLUMEN_SUMINISTROS[[#This Row],[Grupo]],VOL_VOLUMEN_SUMINISTROS[[#This Row],[Proyecto]],VOL_VOLUMEN_SUMINISTROS[[#This Row],[FIN DE SEMANA]])</f>
        <v>21052-1NO</v>
      </c>
      <c r="E818" s="30" t="s">
        <v>147</v>
      </c>
      <c r="F818" s="30" t="s">
        <v>148</v>
      </c>
      <c r="G818" s="365">
        <v>2</v>
      </c>
      <c r="H818" s="30">
        <v>4</v>
      </c>
      <c r="I818" s="9" t="s">
        <v>601</v>
      </c>
      <c r="J818" s="9" t="s">
        <v>632</v>
      </c>
      <c r="K818" s="30">
        <v>2</v>
      </c>
      <c r="L818" s="9" t="s">
        <v>635</v>
      </c>
      <c r="M818" s="30" t="s">
        <v>84</v>
      </c>
      <c r="N818" s="30" t="s">
        <v>152</v>
      </c>
      <c r="O818" s="24">
        <v>85</v>
      </c>
      <c r="P818" s="24">
        <v>96</v>
      </c>
      <c r="Q818" s="24">
        <v>22</v>
      </c>
      <c r="R818" s="24">
        <v>0</v>
      </c>
      <c r="S818" s="24">
        <v>0</v>
      </c>
      <c r="T818" s="24">
        <v>203</v>
      </c>
    </row>
    <row r="819" spans="1:20">
      <c r="A819" s="9" t="s">
        <v>555</v>
      </c>
      <c r="B819" s="30" t="s">
        <v>608</v>
      </c>
      <c r="C819" s="30" t="str">
        <f>CONCATENATE(VOL_VOLUMEN_SUMINISTROS[[#This Row],[Proyecto]],VOL_VOLUMEN_SUMINISTROS[[#This Row],[J]],VOL_VOLUMEN_SUMINISTROS[[#This Row],[FIN DE SEMANA]])</f>
        <v>1052-1MNO</v>
      </c>
      <c r="D819" s="365" t="str">
        <f>CONCATENATE(VOL_VOLUMEN_SUMINISTROS[[#This Row],[Grupo]],VOL_VOLUMEN_SUMINISTROS[[#This Row],[Proyecto]],VOL_VOLUMEN_SUMINISTROS[[#This Row],[FIN DE SEMANA]])</f>
        <v>21052-1NO</v>
      </c>
      <c r="E819" s="30" t="s">
        <v>147</v>
      </c>
      <c r="F819" s="30" t="s">
        <v>148</v>
      </c>
      <c r="G819" s="365">
        <v>2</v>
      </c>
      <c r="H819" s="30">
        <v>4</v>
      </c>
      <c r="I819" s="9" t="s">
        <v>601</v>
      </c>
      <c r="J819" s="9" t="s">
        <v>636</v>
      </c>
      <c r="K819" s="30">
        <v>1</v>
      </c>
      <c r="L819" s="9" t="s">
        <v>637</v>
      </c>
      <c r="M819" s="30" t="s">
        <v>84</v>
      </c>
      <c r="N819" s="30" t="s">
        <v>152</v>
      </c>
      <c r="O819" s="24">
        <v>0</v>
      </c>
      <c r="P819" s="24">
        <v>87</v>
      </c>
      <c r="Q819" s="24">
        <v>213</v>
      </c>
      <c r="R819" s="24">
        <v>0</v>
      </c>
      <c r="S819" s="24">
        <v>0</v>
      </c>
      <c r="T819" s="24">
        <v>300</v>
      </c>
    </row>
    <row r="820" spans="1:20">
      <c r="A820" s="9" t="s">
        <v>555</v>
      </c>
      <c r="B820" s="30" t="s">
        <v>608</v>
      </c>
      <c r="C820" s="30" t="str">
        <f>CONCATENATE(VOL_VOLUMEN_SUMINISTROS[[#This Row],[Proyecto]],VOL_VOLUMEN_SUMINISTROS[[#This Row],[J]],VOL_VOLUMEN_SUMINISTROS[[#This Row],[FIN DE SEMANA]])</f>
        <v>1052-1TNO</v>
      </c>
      <c r="D820" s="365" t="str">
        <f>CONCATENATE(VOL_VOLUMEN_SUMINISTROS[[#This Row],[Grupo]],VOL_VOLUMEN_SUMINISTROS[[#This Row],[Proyecto]],VOL_VOLUMEN_SUMINISTROS[[#This Row],[FIN DE SEMANA]])</f>
        <v>21052-1NO</v>
      </c>
      <c r="E820" s="30" t="s">
        <v>147</v>
      </c>
      <c r="F820" s="30" t="s">
        <v>148</v>
      </c>
      <c r="G820" s="365">
        <v>2</v>
      </c>
      <c r="H820" s="30">
        <v>4</v>
      </c>
      <c r="I820" s="9" t="s">
        <v>601</v>
      </c>
      <c r="J820" s="9" t="s">
        <v>636</v>
      </c>
      <c r="K820" s="30">
        <v>1</v>
      </c>
      <c r="L820" s="9" t="s">
        <v>637</v>
      </c>
      <c r="M820" s="30" t="s">
        <v>84</v>
      </c>
      <c r="N820" s="30" t="s">
        <v>155</v>
      </c>
      <c r="O820" s="24">
        <v>0</v>
      </c>
      <c r="P820" s="24">
        <v>84</v>
      </c>
      <c r="Q820" s="24">
        <v>122</v>
      </c>
      <c r="R820" s="24">
        <v>0</v>
      </c>
      <c r="S820" s="24">
        <v>0</v>
      </c>
      <c r="T820" s="24">
        <v>206</v>
      </c>
    </row>
    <row r="821" spans="1:20">
      <c r="A821" s="9" t="s">
        <v>555</v>
      </c>
      <c r="B821" s="30" t="s">
        <v>608</v>
      </c>
      <c r="C821" s="30" t="str">
        <f>CONCATENATE(VOL_VOLUMEN_SUMINISTROS[[#This Row],[Proyecto]],VOL_VOLUMEN_SUMINISTROS[[#This Row],[J]],VOL_VOLUMEN_SUMINISTROS[[#This Row],[FIN DE SEMANA]])</f>
        <v>1052-1MNO</v>
      </c>
      <c r="D821" s="365" t="str">
        <f>CONCATENATE(VOL_VOLUMEN_SUMINISTROS[[#This Row],[Grupo]],VOL_VOLUMEN_SUMINISTROS[[#This Row],[Proyecto]],VOL_VOLUMEN_SUMINISTROS[[#This Row],[FIN DE SEMANA]])</f>
        <v>21052-1NO</v>
      </c>
      <c r="E821" s="30" t="s">
        <v>147</v>
      </c>
      <c r="F821" s="30" t="s">
        <v>148</v>
      </c>
      <c r="G821" s="365">
        <v>2</v>
      </c>
      <c r="H821" s="30">
        <v>4</v>
      </c>
      <c r="I821" s="9" t="s">
        <v>601</v>
      </c>
      <c r="J821" s="9" t="s">
        <v>636</v>
      </c>
      <c r="K821" s="30">
        <v>2</v>
      </c>
      <c r="L821" s="9" t="s">
        <v>638</v>
      </c>
      <c r="M821" s="30" t="s">
        <v>84</v>
      </c>
      <c r="N821" s="30" t="s">
        <v>152</v>
      </c>
      <c r="O821" s="24">
        <v>46</v>
      </c>
      <c r="P821" s="24">
        <v>89</v>
      </c>
      <c r="Q821" s="24">
        <v>22</v>
      </c>
      <c r="R821" s="24">
        <v>0</v>
      </c>
      <c r="S821" s="24">
        <v>0</v>
      </c>
      <c r="T821" s="24">
        <v>157</v>
      </c>
    </row>
    <row r="822" spans="1:20">
      <c r="A822" s="9" t="s">
        <v>555</v>
      </c>
      <c r="B822" s="30" t="s">
        <v>608</v>
      </c>
      <c r="C822" s="30" t="str">
        <f>CONCATENATE(VOL_VOLUMEN_SUMINISTROS[[#This Row],[Proyecto]],VOL_VOLUMEN_SUMINISTROS[[#This Row],[J]],VOL_VOLUMEN_SUMINISTROS[[#This Row],[FIN DE SEMANA]])</f>
        <v>1052-1MNO</v>
      </c>
      <c r="D822" s="365" t="str">
        <f>CONCATENATE(VOL_VOLUMEN_SUMINISTROS[[#This Row],[Grupo]],VOL_VOLUMEN_SUMINISTROS[[#This Row],[Proyecto]],VOL_VOLUMEN_SUMINISTROS[[#This Row],[FIN DE SEMANA]])</f>
        <v>21052-1NO</v>
      </c>
      <c r="E822" s="30" t="s">
        <v>147</v>
      </c>
      <c r="F822" s="30" t="s">
        <v>148</v>
      </c>
      <c r="G822" s="365">
        <v>2</v>
      </c>
      <c r="H822" s="30">
        <v>4</v>
      </c>
      <c r="I822" s="9" t="s">
        <v>601</v>
      </c>
      <c r="J822" s="9" t="s">
        <v>636</v>
      </c>
      <c r="K822" s="30">
        <v>3</v>
      </c>
      <c r="L822" s="9" t="s">
        <v>639</v>
      </c>
      <c r="M822" s="30" t="s">
        <v>84</v>
      </c>
      <c r="N822" s="30" t="s">
        <v>152</v>
      </c>
      <c r="O822" s="24">
        <v>125</v>
      </c>
      <c r="P822" s="24">
        <v>35</v>
      </c>
      <c r="Q822" s="24">
        <v>0</v>
      </c>
      <c r="R822" s="24">
        <v>0</v>
      </c>
      <c r="S822" s="24">
        <v>0</v>
      </c>
      <c r="T822" s="24">
        <v>160</v>
      </c>
    </row>
    <row r="823" spans="1:20">
      <c r="A823" s="9" t="s">
        <v>555</v>
      </c>
      <c r="B823" s="30" t="s">
        <v>608</v>
      </c>
      <c r="C823" s="30" t="str">
        <f>CONCATENATE(VOL_VOLUMEN_SUMINISTROS[[#This Row],[Proyecto]],VOL_VOLUMEN_SUMINISTROS[[#This Row],[J]],VOL_VOLUMEN_SUMINISTROS[[#This Row],[FIN DE SEMANA]])</f>
        <v>1052-1TNO</v>
      </c>
      <c r="D823" s="365" t="str">
        <f>CONCATENATE(VOL_VOLUMEN_SUMINISTROS[[#This Row],[Grupo]],VOL_VOLUMEN_SUMINISTROS[[#This Row],[Proyecto]],VOL_VOLUMEN_SUMINISTROS[[#This Row],[FIN DE SEMANA]])</f>
        <v>21052-1NO</v>
      </c>
      <c r="E823" s="30" t="s">
        <v>147</v>
      </c>
      <c r="F823" s="30" t="s">
        <v>148</v>
      </c>
      <c r="G823" s="365">
        <v>2</v>
      </c>
      <c r="H823" s="30">
        <v>4</v>
      </c>
      <c r="I823" s="9" t="s">
        <v>601</v>
      </c>
      <c r="J823" s="9" t="s">
        <v>636</v>
      </c>
      <c r="K823" s="30">
        <v>3</v>
      </c>
      <c r="L823" s="9" t="s">
        <v>639</v>
      </c>
      <c r="M823" s="30" t="s">
        <v>84</v>
      </c>
      <c r="N823" s="30" t="s">
        <v>155</v>
      </c>
      <c r="O823" s="24">
        <v>57</v>
      </c>
      <c r="P823" s="24">
        <v>25</v>
      </c>
      <c r="Q823" s="24">
        <v>6</v>
      </c>
      <c r="R823" s="24">
        <v>0</v>
      </c>
      <c r="S823" s="24">
        <v>0</v>
      </c>
      <c r="T823" s="24">
        <v>88</v>
      </c>
    </row>
    <row r="824" spans="1:20">
      <c r="A824" s="9" t="s">
        <v>555</v>
      </c>
      <c r="B824" s="30" t="s">
        <v>608</v>
      </c>
      <c r="C824" s="30" t="str">
        <f>CONCATENATE(VOL_VOLUMEN_SUMINISTROS[[#This Row],[Proyecto]],VOL_VOLUMEN_SUMINISTROS[[#This Row],[J]],VOL_VOLUMEN_SUMINISTROS[[#This Row],[FIN DE SEMANA]])</f>
        <v>1052-1MNO</v>
      </c>
      <c r="D824" s="365" t="str">
        <f>CONCATENATE(VOL_VOLUMEN_SUMINISTROS[[#This Row],[Grupo]],VOL_VOLUMEN_SUMINISTROS[[#This Row],[Proyecto]],VOL_VOLUMEN_SUMINISTROS[[#This Row],[FIN DE SEMANA]])</f>
        <v>21052-1NO</v>
      </c>
      <c r="E824" s="30" t="s">
        <v>147</v>
      </c>
      <c r="F824" s="30" t="s">
        <v>148</v>
      </c>
      <c r="G824" s="365">
        <v>2</v>
      </c>
      <c r="H824" s="30">
        <v>4</v>
      </c>
      <c r="I824" s="9" t="s">
        <v>601</v>
      </c>
      <c r="J824" s="9" t="s">
        <v>640</v>
      </c>
      <c r="K824" s="30">
        <v>1</v>
      </c>
      <c r="L824" s="9" t="s">
        <v>641</v>
      </c>
      <c r="M824" s="30" t="s">
        <v>84</v>
      </c>
      <c r="N824" s="30" t="s">
        <v>152</v>
      </c>
      <c r="O824" s="24">
        <v>0</v>
      </c>
      <c r="P824" s="24">
        <v>126</v>
      </c>
      <c r="Q824" s="24">
        <v>597</v>
      </c>
      <c r="R824" s="24">
        <v>0</v>
      </c>
      <c r="S824" s="24">
        <v>0</v>
      </c>
      <c r="T824" s="24">
        <v>723</v>
      </c>
    </row>
    <row r="825" spans="1:20">
      <c r="A825" s="9" t="s">
        <v>555</v>
      </c>
      <c r="B825" s="30" t="s">
        <v>608</v>
      </c>
      <c r="C825" s="30" t="str">
        <f>CONCATENATE(VOL_VOLUMEN_SUMINISTROS[[#This Row],[Proyecto]],VOL_VOLUMEN_SUMINISTROS[[#This Row],[J]],VOL_VOLUMEN_SUMINISTROS[[#This Row],[FIN DE SEMANA]])</f>
        <v>1052-1NNO</v>
      </c>
      <c r="D825" s="365" t="str">
        <f>CONCATENATE(VOL_VOLUMEN_SUMINISTROS[[#This Row],[Grupo]],VOL_VOLUMEN_SUMINISTROS[[#This Row],[Proyecto]],VOL_VOLUMEN_SUMINISTROS[[#This Row],[FIN DE SEMANA]])</f>
        <v>21052-1NO</v>
      </c>
      <c r="E825" s="30" t="s">
        <v>147</v>
      </c>
      <c r="F825" s="30" t="s">
        <v>148</v>
      </c>
      <c r="G825" s="365">
        <v>2</v>
      </c>
      <c r="H825" s="30">
        <v>4</v>
      </c>
      <c r="I825" s="9" t="s">
        <v>601</v>
      </c>
      <c r="J825" s="9" t="s">
        <v>640</v>
      </c>
      <c r="K825" s="30">
        <v>1</v>
      </c>
      <c r="L825" s="9" t="s">
        <v>641</v>
      </c>
      <c r="M825" s="30" t="s">
        <v>84</v>
      </c>
      <c r="N825" s="30" t="s">
        <v>154</v>
      </c>
      <c r="O825" s="24">
        <v>0</v>
      </c>
      <c r="P825" s="24">
        <v>0</v>
      </c>
      <c r="Q825" s="24">
        <v>0</v>
      </c>
      <c r="R825" s="24">
        <v>200</v>
      </c>
      <c r="S825" s="24">
        <v>171</v>
      </c>
      <c r="T825" s="24">
        <v>371</v>
      </c>
    </row>
    <row r="826" spans="1:20">
      <c r="A826" s="9" t="s">
        <v>555</v>
      </c>
      <c r="B826" s="30" t="s">
        <v>608</v>
      </c>
      <c r="C826" s="30" t="str">
        <f>CONCATENATE(VOL_VOLUMEN_SUMINISTROS[[#This Row],[Proyecto]],VOL_VOLUMEN_SUMINISTROS[[#This Row],[J]],VOL_VOLUMEN_SUMINISTROS[[#This Row],[FIN DE SEMANA]])</f>
        <v>1052-1TNO</v>
      </c>
      <c r="D826" s="365" t="str">
        <f>CONCATENATE(VOL_VOLUMEN_SUMINISTROS[[#This Row],[Grupo]],VOL_VOLUMEN_SUMINISTROS[[#This Row],[Proyecto]],VOL_VOLUMEN_SUMINISTROS[[#This Row],[FIN DE SEMANA]])</f>
        <v>21052-1NO</v>
      </c>
      <c r="E826" s="30" t="s">
        <v>147</v>
      </c>
      <c r="F826" s="30" t="s">
        <v>148</v>
      </c>
      <c r="G826" s="365">
        <v>2</v>
      </c>
      <c r="H826" s="30">
        <v>4</v>
      </c>
      <c r="I826" s="9" t="s">
        <v>601</v>
      </c>
      <c r="J826" s="9" t="s">
        <v>640</v>
      </c>
      <c r="K826" s="30">
        <v>1</v>
      </c>
      <c r="L826" s="9" t="s">
        <v>641</v>
      </c>
      <c r="M826" s="30" t="s">
        <v>84</v>
      </c>
      <c r="N826" s="30" t="s">
        <v>155</v>
      </c>
      <c r="O826" s="24">
        <v>0</v>
      </c>
      <c r="P826" s="24">
        <v>207</v>
      </c>
      <c r="Q826" s="24">
        <v>359</v>
      </c>
      <c r="R826" s="24">
        <v>0</v>
      </c>
      <c r="S826" s="24">
        <v>0</v>
      </c>
      <c r="T826" s="24">
        <v>566</v>
      </c>
    </row>
    <row r="827" spans="1:20">
      <c r="A827" s="9" t="s">
        <v>555</v>
      </c>
      <c r="B827" s="30" t="s">
        <v>608</v>
      </c>
      <c r="C827" s="30" t="str">
        <f>CONCATENATE(VOL_VOLUMEN_SUMINISTROS[[#This Row],[Proyecto]],VOL_VOLUMEN_SUMINISTROS[[#This Row],[J]],VOL_VOLUMEN_SUMINISTROS[[#This Row],[FIN DE SEMANA]])</f>
        <v>1052-1MNO</v>
      </c>
      <c r="D827" s="365" t="str">
        <f>CONCATENATE(VOL_VOLUMEN_SUMINISTROS[[#This Row],[Grupo]],VOL_VOLUMEN_SUMINISTROS[[#This Row],[Proyecto]],VOL_VOLUMEN_SUMINISTROS[[#This Row],[FIN DE SEMANA]])</f>
        <v>21052-1NO</v>
      </c>
      <c r="E827" s="30" t="s">
        <v>147</v>
      </c>
      <c r="F827" s="30" t="s">
        <v>148</v>
      </c>
      <c r="G827" s="365">
        <v>2</v>
      </c>
      <c r="H827" s="30">
        <v>4</v>
      </c>
      <c r="I827" s="9" t="s">
        <v>601</v>
      </c>
      <c r="J827" s="9" t="s">
        <v>640</v>
      </c>
      <c r="K827" s="30">
        <v>2</v>
      </c>
      <c r="L827" s="9" t="s">
        <v>642</v>
      </c>
      <c r="M827" s="30" t="s">
        <v>84</v>
      </c>
      <c r="N827" s="30" t="s">
        <v>152</v>
      </c>
      <c r="O827" s="24">
        <v>278</v>
      </c>
      <c r="P827" s="24">
        <v>70</v>
      </c>
      <c r="Q827" s="24">
        <v>0</v>
      </c>
      <c r="R827" s="24">
        <v>0</v>
      </c>
      <c r="S827" s="24">
        <v>0</v>
      </c>
      <c r="T827" s="24">
        <v>348</v>
      </c>
    </row>
    <row r="828" spans="1:20">
      <c r="A828" s="9" t="s">
        <v>555</v>
      </c>
      <c r="B828" s="30" t="s">
        <v>608</v>
      </c>
      <c r="C828" s="30" t="str">
        <f>CONCATENATE(VOL_VOLUMEN_SUMINISTROS[[#This Row],[Proyecto]],VOL_VOLUMEN_SUMINISTROS[[#This Row],[J]],VOL_VOLUMEN_SUMINISTROS[[#This Row],[FIN DE SEMANA]])</f>
        <v>1052-1TNO</v>
      </c>
      <c r="D828" s="365" t="str">
        <f>CONCATENATE(VOL_VOLUMEN_SUMINISTROS[[#This Row],[Grupo]],VOL_VOLUMEN_SUMINISTROS[[#This Row],[Proyecto]],VOL_VOLUMEN_SUMINISTROS[[#This Row],[FIN DE SEMANA]])</f>
        <v>21052-1NO</v>
      </c>
      <c r="E828" s="30" t="s">
        <v>147</v>
      </c>
      <c r="F828" s="30" t="s">
        <v>148</v>
      </c>
      <c r="G828" s="365">
        <v>2</v>
      </c>
      <c r="H828" s="30">
        <v>4</v>
      </c>
      <c r="I828" s="9" t="s">
        <v>601</v>
      </c>
      <c r="J828" s="9" t="s">
        <v>640</v>
      </c>
      <c r="K828" s="30">
        <v>2</v>
      </c>
      <c r="L828" s="9" t="s">
        <v>642</v>
      </c>
      <c r="M828" s="30" t="s">
        <v>84</v>
      </c>
      <c r="N828" s="30" t="s">
        <v>155</v>
      </c>
      <c r="O828" s="24">
        <v>222</v>
      </c>
      <c r="P828" s="24">
        <v>61</v>
      </c>
      <c r="Q828" s="24">
        <v>0</v>
      </c>
      <c r="R828" s="24">
        <v>0</v>
      </c>
      <c r="S828" s="24">
        <v>0</v>
      </c>
      <c r="T828" s="24">
        <v>283</v>
      </c>
    </row>
    <row r="829" spans="1:20">
      <c r="A829" s="9" t="s">
        <v>555</v>
      </c>
      <c r="B829" s="30" t="s">
        <v>608</v>
      </c>
      <c r="C829" s="30" t="str">
        <f>CONCATENATE(VOL_VOLUMEN_SUMINISTROS[[#This Row],[Proyecto]],VOL_VOLUMEN_SUMINISTROS[[#This Row],[J]],VOL_VOLUMEN_SUMINISTROS[[#This Row],[FIN DE SEMANA]])</f>
        <v>1052-1MNO</v>
      </c>
      <c r="D829" s="365" t="str">
        <f>CONCATENATE(VOL_VOLUMEN_SUMINISTROS[[#This Row],[Grupo]],VOL_VOLUMEN_SUMINISTROS[[#This Row],[Proyecto]],VOL_VOLUMEN_SUMINISTROS[[#This Row],[FIN DE SEMANA]])</f>
        <v>21052-1NO</v>
      </c>
      <c r="E829" s="30" t="s">
        <v>147</v>
      </c>
      <c r="F829" s="30" t="s">
        <v>148</v>
      </c>
      <c r="G829" s="365">
        <v>2</v>
      </c>
      <c r="H829" s="30">
        <v>4</v>
      </c>
      <c r="I829" s="9" t="s">
        <v>601</v>
      </c>
      <c r="J829" s="9" t="s">
        <v>640</v>
      </c>
      <c r="K829" s="30">
        <v>3</v>
      </c>
      <c r="L829" s="9" t="s">
        <v>643</v>
      </c>
      <c r="M829" s="30" t="s">
        <v>84</v>
      </c>
      <c r="N829" s="30" t="s">
        <v>152</v>
      </c>
      <c r="O829" s="24">
        <v>82</v>
      </c>
      <c r="P829" s="24">
        <v>122</v>
      </c>
      <c r="Q829" s="24">
        <v>27</v>
      </c>
      <c r="R829" s="24">
        <v>0</v>
      </c>
      <c r="S829" s="24">
        <v>0</v>
      </c>
      <c r="T829" s="24">
        <v>231</v>
      </c>
    </row>
    <row r="830" spans="1:20">
      <c r="A830" s="9" t="s">
        <v>555</v>
      </c>
      <c r="B830" s="30" t="s">
        <v>608</v>
      </c>
      <c r="C830" s="30" t="str">
        <f>CONCATENATE(VOL_VOLUMEN_SUMINISTROS[[#This Row],[Proyecto]],VOL_VOLUMEN_SUMINISTROS[[#This Row],[J]],VOL_VOLUMEN_SUMINISTROS[[#This Row],[FIN DE SEMANA]])</f>
        <v>1052-1TNO</v>
      </c>
      <c r="D830" s="365" t="str">
        <f>CONCATENATE(VOL_VOLUMEN_SUMINISTROS[[#This Row],[Grupo]],VOL_VOLUMEN_SUMINISTROS[[#This Row],[Proyecto]],VOL_VOLUMEN_SUMINISTROS[[#This Row],[FIN DE SEMANA]])</f>
        <v>21052-1NO</v>
      </c>
      <c r="E830" s="30" t="s">
        <v>147</v>
      </c>
      <c r="F830" s="30" t="s">
        <v>148</v>
      </c>
      <c r="G830" s="365">
        <v>2</v>
      </c>
      <c r="H830" s="30">
        <v>4</v>
      </c>
      <c r="I830" s="9" t="s">
        <v>601</v>
      </c>
      <c r="J830" s="9" t="s">
        <v>640</v>
      </c>
      <c r="K830" s="30">
        <v>3</v>
      </c>
      <c r="L830" s="9" t="s">
        <v>643</v>
      </c>
      <c r="M830" s="30" t="s">
        <v>84</v>
      </c>
      <c r="N830" s="30" t="s">
        <v>155</v>
      </c>
      <c r="O830" s="24">
        <v>52</v>
      </c>
      <c r="P830" s="24">
        <v>122</v>
      </c>
      <c r="Q830" s="24">
        <v>32</v>
      </c>
      <c r="R830" s="24">
        <v>0</v>
      </c>
      <c r="S830" s="24">
        <v>0</v>
      </c>
      <c r="T830" s="24">
        <v>206</v>
      </c>
    </row>
    <row r="831" spans="1:20">
      <c r="A831" s="9" t="s">
        <v>555</v>
      </c>
      <c r="B831" s="30" t="s">
        <v>608</v>
      </c>
      <c r="C831" s="30" t="str">
        <f>CONCATENATE(VOL_VOLUMEN_SUMINISTROS[[#This Row],[Proyecto]],VOL_VOLUMEN_SUMINISTROS[[#This Row],[J]],VOL_VOLUMEN_SUMINISTROS[[#This Row],[FIN DE SEMANA]])</f>
        <v>1052-1MNO</v>
      </c>
      <c r="D831" s="365" t="str">
        <f>CONCATENATE(VOL_VOLUMEN_SUMINISTROS[[#This Row],[Grupo]],VOL_VOLUMEN_SUMINISTROS[[#This Row],[Proyecto]],VOL_VOLUMEN_SUMINISTROS[[#This Row],[FIN DE SEMANA]])</f>
        <v>21052-1NO</v>
      </c>
      <c r="E831" s="30" t="s">
        <v>147</v>
      </c>
      <c r="F831" s="30" t="s">
        <v>148</v>
      </c>
      <c r="G831" s="365">
        <v>2</v>
      </c>
      <c r="H831" s="30">
        <v>4</v>
      </c>
      <c r="I831" s="9" t="s">
        <v>601</v>
      </c>
      <c r="J831" s="9" t="s">
        <v>640</v>
      </c>
      <c r="K831" s="30">
        <v>4</v>
      </c>
      <c r="L831" s="9" t="s">
        <v>644</v>
      </c>
      <c r="M831" s="30" t="s">
        <v>84</v>
      </c>
      <c r="N831" s="30" t="s">
        <v>152</v>
      </c>
      <c r="O831" s="24">
        <v>0</v>
      </c>
      <c r="P831" s="24">
        <v>201</v>
      </c>
      <c r="Q831" s="24">
        <v>67</v>
      </c>
      <c r="R831" s="24">
        <v>0</v>
      </c>
      <c r="S831" s="24">
        <v>0</v>
      </c>
      <c r="T831" s="24">
        <v>268</v>
      </c>
    </row>
    <row r="832" spans="1:20">
      <c r="A832" s="9" t="s">
        <v>555</v>
      </c>
      <c r="B832" s="30" t="s">
        <v>608</v>
      </c>
      <c r="C832" s="30" t="str">
        <f>CONCATENATE(VOL_VOLUMEN_SUMINISTROS[[#This Row],[Proyecto]],VOL_VOLUMEN_SUMINISTROS[[#This Row],[J]],VOL_VOLUMEN_SUMINISTROS[[#This Row],[FIN DE SEMANA]])</f>
        <v>1052-1MNO</v>
      </c>
      <c r="D832" s="365" t="str">
        <f>CONCATENATE(VOL_VOLUMEN_SUMINISTROS[[#This Row],[Grupo]],VOL_VOLUMEN_SUMINISTROS[[#This Row],[Proyecto]],VOL_VOLUMEN_SUMINISTROS[[#This Row],[FIN DE SEMANA]])</f>
        <v>21052-1NO</v>
      </c>
      <c r="E832" s="30" t="s">
        <v>147</v>
      </c>
      <c r="F832" s="30" t="s">
        <v>148</v>
      </c>
      <c r="G832" s="365">
        <v>2</v>
      </c>
      <c r="H832" s="30">
        <v>4</v>
      </c>
      <c r="I832" s="9" t="s">
        <v>601</v>
      </c>
      <c r="J832" s="9" t="s">
        <v>645</v>
      </c>
      <c r="K832" s="30">
        <v>1</v>
      </c>
      <c r="L832" s="9" t="s">
        <v>646</v>
      </c>
      <c r="M832" s="30" t="s">
        <v>84</v>
      </c>
      <c r="N832" s="30" t="s">
        <v>152</v>
      </c>
      <c r="O832" s="24">
        <v>302</v>
      </c>
      <c r="P832" s="24">
        <v>429</v>
      </c>
      <c r="Q832" s="24">
        <v>425</v>
      </c>
      <c r="R832" s="24">
        <v>0</v>
      </c>
      <c r="S832" s="24">
        <v>0</v>
      </c>
      <c r="T832" s="24">
        <v>1156</v>
      </c>
    </row>
    <row r="833" spans="1:20">
      <c r="A833" s="9" t="s">
        <v>555</v>
      </c>
      <c r="B833" s="30" t="s">
        <v>608</v>
      </c>
      <c r="C833" s="30" t="str">
        <f>CONCATENATE(VOL_VOLUMEN_SUMINISTROS[[#This Row],[Proyecto]],VOL_VOLUMEN_SUMINISTROS[[#This Row],[J]],VOL_VOLUMEN_SUMINISTROS[[#This Row],[FIN DE SEMANA]])</f>
        <v>1052-1NNO</v>
      </c>
      <c r="D833" s="365" t="str">
        <f>CONCATENATE(VOL_VOLUMEN_SUMINISTROS[[#This Row],[Grupo]],VOL_VOLUMEN_SUMINISTROS[[#This Row],[Proyecto]],VOL_VOLUMEN_SUMINISTROS[[#This Row],[FIN DE SEMANA]])</f>
        <v>21052-1NO</v>
      </c>
      <c r="E833" s="30" t="s">
        <v>147</v>
      </c>
      <c r="F833" s="30" t="s">
        <v>148</v>
      </c>
      <c r="G833" s="365">
        <v>2</v>
      </c>
      <c r="H833" s="30">
        <v>4</v>
      </c>
      <c r="I833" s="9" t="s">
        <v>601</v>
      </c>
      <c r="J833" s="9" t="s">
        <v>645</v>
      </c>
      <c r="K833" s="30">
        <v>1</v>
      </c>
      <c r="L833" s="9" t="s">
        <v>646</v>
      </c>
      <c r="M833" s="30" t="s">
        <v>84</v>
      </c>
      <c r="N833" s="30" t="s">
        <v>154</v>
      </c>
      <c r="O833" s="24">
        <v>0</v>
      </c>
      <c r="P833" s="24">
        <v>0</v>
      </c>
      <c r="Q833" s="24">
        <v>0</v>
      </c>
      <c r="R833" s="24">
        <v>150</v>
      </c>
      <c r="S833" s="24">
        <v>120</v>
      </c>
      <c r="T833" s="24">
        <v>270</v>
      </c>
    </row>
    <row r="834" spans="1:20">
      <c r="A834" s="9" t="s">
        <v>555</v>
      </c>
      <c r="B834" s="30" t="s">
        <v>608</v>
      </c>
      <c r="C834" s="30" t="str">
        <f>CONCATENATE(VOL_VOLUMEN_SUMINISTROS[[#This Row],[Proyecto]],VOL_VOLUMEN_SUMINISTROS[[#This Row],[J]],VOL_VOLUMEN_SUMINISTROS[[#This Row],[FIN DE SEMANA]])</f>
        <v>1052-1TNO</v>
      </c>
      <c r="D834" s="365" t="str">
        <f>CONCATENATE(VOL_VOLUMEN_SUMINISTROS[[#This Row],[Grupo]],VOL_VOLUMEN_SUMINISTROS[[#This Row],[Proyecto]],VOL_VOLUMEN_SUMINISTROS[[#This Row],[FIN DE SEMANA]])</f>
        <v>21052-1NO</v>
      </c>
      <c r="E834" s="30" t="s">
        <v>147</v>
      </c>
      <c r="F834" s="30" t="s">
        <v>148</v>
      </c>
      <c r="G834" s="365">
        <v>2</v>
      </c>
      <c r="H834" s="30">
        <v>4</v>
      </c>
      <c r="I834" s="9" t="s">
        <v>601</v>
      </c>
      <c r="J834" s="9" t="s">
        <v>645</v>
      </c>
      <c r="K834" s="30">
        <v>1</v>
      </c>
      <c r="L834" s="9" t="s">
        <v>646</v>
      </c>
      <c r="M834" s="30" t="s">
        <v>84</v>
      </c>
      <c r="N834" s="30" t="s">
        <v>155</v>
      </c>
      <c r="O834" s="24">
        <v>248</v>
      </c>
      <c r="P834" s="24">
        <v>352</v>
      </c>
      <c r="Q834" s="24">
        <v>295</v>
      </c>
      <c r="R834" s="24">
        <v>0</v>
      </c>
      <c r="S834" s="24">
        <v>0</v>
      </c>
      <c r="T834" s="24">
        <v>895</v>
      </c>
    </row>
    <row r="835" spans="1:20">
      <c r="A835" s="9" t="s">
        <v>555</v>
      </c>
      <c r="B835" s="30" t="s">
        <v>608</v>
      </c>
      <c r="C835" s="30" t="str">
        <f>CONCATENATE(VOL_VOLUMEN_SUMINISTROS[[#This Row],[Proyecto]],VOL_VOLUMEN_SUMINISTROS[[#This Row],[J]],VOL_VOLUMEN_SUMINISTROS[[#This Row],[FIN DE SEMANA]])</f>
        <v>1052-1MNO</v>
      </c>
      <c r="D835" s="365" t="str">
        <f>CONCATENATE(VOL_VOLUMEN_SUMINISTROS[[#This Row],[Grupo]],VOL_VOLUMEN_SUMINISTROS[[#This Row],[Proyecto]],VOL_VOLUMEN_SUMINISTROS[[#This Row],[FIN DE SEMANA]])</f>
        <v>21052-1NO</v>
      </c>
      <c r="E835" s="30" t="s">
        <v>147</v>
      </c>
      <c r="F835" s="30" t="s">
        <v>148</v>
      </c>
      <c r="G835" s="365">
        <v>2</v>
      </c>
      <c r="H835" s="30">
        <v>4</v>
      </c>
      <c r="I835" s="9" t="s">
        <v>601</v>
      </c>
      <c r="J835" s="9" t="s">
        <v>647</v>
      </c>
      <c r="K835" s="30">
        <v>1</v>
      </c>
      <c r="L835" s="9" t="s">
        <v>648</v>
      </c>
      <c r="M835" s="30" t="s">
        <v>84</v>
      </c>
      <c r="N835" s="30" t="s">
        <v>152</v>
      </c>
      <c r="O835" s="24">
        <v>0</v>
      </c>
      <c r="P835" s="24">
        <v>123</v>
      </c>
      <c r="Q835" s="24">
        <v>337</v>
      </c>
      <c r="R835" s="24">
        <v>0</v>
      </c>
      <c r="S835" s="24">
        <v>0</v>
      </c>
      <c r="T835" s="24">
        <v>460</v>
      </c>
    </row>
    <row r="836" spans="1:20">
      <c r="A836" s="9" t="s">
        <v>555</v>
      </c>
      <c r="B836" s="30" t="s">
        <v>608</v>
      </c>
      <c r="C836" s="30" t="str">
        <f>CONCATENATE(VOL_VOLUMEN_SUMINISTROS[[#This Row],[Proyecto]],VOL_VOLUMEN_SUMINISTROS[[#This Row],[J]],VOL_VOLUMEN_SUMINISTROS[[#This Row],[FIN DE SEMANA]])</f>
        <v>1052-1TNO</v>
      </c>
      <c r="D836" s="365" t="str">
        <f>CONCATENATE(VOL_VOLUMEN_SUMINISTROS[[#This Row],[Grupo]],VOL_VOLUMEN_SUMINISTROS[[#This Row],[Proyecto]],VOL_VOLUMEN_SUMINISTROS[[#This Row],[FIN DE SEMANA]])</f>
        <v>21052-1NO</v>
      </c>
      <c r="E836" s="30" t="s">
        <v>147</v>
      </c>
      <c r="F836" s="30" t="s">
        <v>148</v>
      </c>
      <c r="G836" s="365">
        <v>2</v>
      </c>
      <c r="H836" s="30">
        <v>4</v>
      </c>
      <c r="I836" s="9" t="s">
        <v>601</v>
      </c>
      <c r="J836" s="9" t="s">
        <v>647</v>
      </c>
      <c r="K836" s="30">
        <v>1</v>
      </c>
      <c r="L836" s="9" t="s">
        <v>648</v>
      </c>
      <c r="M836" s="30" t="s">
        <v>84</v>
      </c>
      <c r="N836" s="30" t="s">
        <v>155</v>
      </c>
      <c r="O836" s="24">
        <v>0</v>
      </c>
      <c r="P836" s="24">
        <v>66</v>
      </c>
      <c r="Q836" s="24">
        <v>52</v>
      </c>
      <c r="R836" s="24">
        <v>0</v>
      </c>
      <c r="S836" s="24">
        <v>0</v>
      </c>
      <c r="T836" s="24">
        <v>118</v>
      </c>
    </row>
    <row r="837" spans="1:20">
      <c r="A837" s="9" t="s">
        <v>555</v>
      </c>
      <c r="B837" s="30" t="s">
        <v>608</v>
      </c>
      <c r="C837" s="30" t="str">
        <f>CONCATENATE(VOL_VOLUMEN_SUMINISTROS[[#This Row],[Proyecto]],VOL_VOLUMEN_SUMINISTROS[[#This Row],[J]],VOL_VOLUMEN_SUMINISTROS[[#This Row],[FIN DE SEMANA]])</f>
        <v>1052-1MNO</v>
      </c>
      <c r="D837" s="365" t="str">
        <f>CONCATENATE(VOL_VOLUMEN_SUMINISTROS[[#This Row],[Grupo]],VOL_VOLUMEN_SUMINISTROS[[#This Row],[Proyecto]],VOL_VOLUMEN_SUMINISTROS[[#This Row],[FIN DE SEMANA]])</f>
        <v>21052-1NO</v>
      </c>
      <c r="E837" s="30" t="s">
        <v>147</v>
      </c>
      <c r="F837" s="30" t="s">
        <v>148</v>
      </c>
      <c r="G837" s="365">
        <v>2</v>
      </c>
      <c r="H837" s="30">
        <v>4</v>
      </c>
      <c r="I837" s="9" t="s">
        <v>601</v>
      </c>
      <c r="J837" s="9" t="s">
        <v>647</v>
      </c>
      <c r="K837" s="30">
        <v>2</v>
      </c>
      <c r="L837" s="9" t="s">
        <v>649</v>
      </c>
      <c r="M837" s="30" t="s">
        <v>84</v>
      </c>
      <c r="N837" s="30" t="s">
        <v>152</v>
      </c>
      <c r="O837" s="24">
        <v>248</v>
      </c>
      <c r="P837" s="24">
        <v>62</v>
      </c>
      <c r="Q837" s="24">
        <v>0</v>
      </c>
      <c r="R837" s="24">
        <v>0</v>
      </c>
      <c r="S837" s="24">
        <v>0</v>
      </c>
      <c r="T837" s="24">
        <v>310</v>
      </c>
    </row>
    <row r="838" spans="1:20">
      <c r="A838" s="9" t="s">
        <v>555</v>
      </c>
      <c r="B838" s="30" t="s">
        <v>608</v>
      </c>
      <c r="C838" s="30" t="str">
        <f>CONCATENATE(VOL_VOLUMEN_SUMINISTROS[[#This Row],[Proyecto]],VOL_VOLUMEN_SUMINISTROS[[#This Row],[J]],VOL_VOLUMEN_SUMINISTROS[[#This Row],[FIN DE SEMANA]])</f>
        <v>1052-1TNO</v>
      </c>
      <c r="D838" s="365" t="str">
        <f>CONCATENATE(VOL_VOLUMEN_SUMINISTROS[[#This Row],[Grupo]],VOL_VOLUMEN_SUMINISTROS[[#This Row],[Proyecto]],VOL_VOLUMEN_SUMINISTROS[[#This Row],[FIN DE SEMANA]])</f>
        <v>21052-1NO</v>
      </c>
      <c r="E838" s="30" t="s">
        <v>147</v>
      </c>
      <c r="F838" s="30" t="s">
        <v>148</v>
      </c>
      <c r="G838" s="365">
        <v>2</v>
      </c>
      <c r="H838" s="30">
        <v>4</v>
      </c>
      <c r="I838" s="9" t="s">
        <v>601</v>
      </c>
      <c r="J838" s="9" t="s">
        <v>647</v>
      </c>
      <c r="K838" s="30">
        <v>2</v>
      </c>
      <c r="L838" s="9" t="s">
        <v>649</v>
      </c>
      <c r="M838" s="30" t="s">
        <v>84</v>
      </c>
      <c r="N838" s="30" t="s">
        <v>155</v>
      </c>
      <c r="O838" s="24">
        <v>144</v>
      </c>
      <c r="P838" s="24">
        <v>57</v>
      </c>
      <c r="Q838" s="24">
        <v>7</v>
      </c>
      <c r="R838" s="24">
        <v>0</v>
      </c>
      <c r="S838" s="24">
        <v>0</v>
      </c>
      <c r="T838" s="24">
        <v>208</v>
      </c>
    </row>
    <row r="839" spans="1:20">
      <c r="A839" s="9" t="s">
        <v>555</v>
      </c>
      <c r="B839" s="30" t="s">
        <v>608</v>
      </c>
      <c r="C839" s="30" t="str">
        <f>CONCATENATE(VOL_VOLUMEN_SUMINISTROS[[#This Row],[Proyecto]],VOL_VOLUMEN_SUMINISTROS[[#This Row],[J]],VOL_VOLUMEN_SUMINISTROS[[#This Row],[FIN DE SEMANA]])</f>
        <v>1052-1MNO</v>
      </c>
      <c r="D839" s="365" t="str">
        <f>CONCATENATE(VOL_VOLUMEN_SUMINISTROS[[#This Row],[Grupo]],VOL_VOLUMEN_SUMINISTROS[[#This Row],[Proyecto]],VOL_VOLUMEN_SUMINISTROS[[#This Row],[FIN DE SEMANA]])</f>
        <v>21052-1NO</v>
      </c>
      <c r="E839" s="30" t="s">
        <v>147</v>
      </c>
      <c r="F839" s="30" t="s">
        <v>148</v>
      </c>
      <c r="G839" s="365">
        <v>2</v>
      </c>
      <c r="H839" s="30">
        <v>4</v>
      </c>
      <c r="I839" s="9" t="s">
        <v>601</v>
      </c>
      <c r="J839" s="9" t="s">
        <v>647</v>
      </c>
      <c r="K839" s="30">
        <v>3</v>
      </c>
      <c r="L839" s="9" t="s">
        <v>650</v>
      </c>
      <c r="M839" s="30" t="s">
        <v>84</v>
      </c>
      <c r="N839" s="30" t="s">
        <v>152</v>
      </c>
      <c r="O839" s="24">
        <v>93</v>
      </c>
      <c r="P839" s="24">
        <v>157</v>
      </c>
      <c r="Q839" s="24">
        <v>41</v>
      </c>
      <c r="R839" s="24">
        <v>0</v>
      </c>
      <c r="S839" s="24">
        <v>0</v>
      </c>
      <c r="T839" s="24">
        <v>291</v>
      </c>
    </row>
    <row r="840" spans="1:20">
      <c r="A840" s="9" t="s">
        <v>555</v>
      </c>
      <c r="B840" s="30" t="s">
        <v>608</v>
      </c>
      <c r="C840" s="30" t="str">
        <f>CONCATENATE(VOL_VOLUMEN_SUMINISTROS[[#This Row],[Proyecto]],VOL_VOLUMEN_SUMINISTROS[[#This Row],[J]],VOL_VOLUMEN_SUMINISTROS[[#This Row],[FIN DE SEMANA]])</f>
        <v>1052-1TNO</v>
      </c>
      <c r="D840" s="365" t="str">
        <f>CONCATENATE(VOL_VOLUMEN_SUMINISTROS[[#This Row],[Grupo]],VOL_VOLUMEN_SUMINISTROS[[#This Row],[Proyecto]],VOL_VOLUMEN_SUMINISTROS[[#This Row],[FIN DE SEMANA]])</f>
        <v>21052-1NO</v>
      </c>
      <c r="E840" s="30" t="s">
        <v>147</v>
      </c>
      <c r="F840" s="30" t="s">
        <v>148</v>
      </c>
      <c r="G840" s="365">
        <v>2</v>
      </c>
      <c r="H840" s="30">
        <v>4</v>
      </c>
      <c r="I840" s="9" t="s">
        <v>601</v>
      </c>
      <c r="J840" s="9" t="s">
        <v>647</v>
      </c>
      <c r="K840" s="30">
        <v>3</v>
      </c>
      <c r="L840" s="9" t="s">
        <v>650</v>
      </c>
      <c r="M840" s="30" t="s">
        <v>84</v>
      </c>
      <c r="N840" s="30" t="s">
        <v>155</v>
      </c>
      <c r="O840" s="24">
        <v>105</v>
      </c>
      <c r="P840" s="24">
        <v>105</v>
      </c>
      <c r="Q840" s="24">
        <v>24</v>
      </c>
      <c r="R840" s="24">
        <v>0</v>
      </c>
      <c r="S840" s="24">
        <v>0</v>
      </c>
      <c r="T840" s="24">
        <v>234</v>
      </c>
    </row>
    <row r="841" spans="1:20">
      <c r="A841" s="9" t="s">
        <v>555</v>
      </c>
      <c r="B841" s="30" t="s">
        <v>651</v>
      </c>
      <c r="C841" s="30" t="str">
        <f>CONCATENATE(VOL_VOLUMEN_SUMINISTROS[[#This Row],[Proyecto]],VOL_VOLUMEN_SUMINISTROS[[#This Row],[J]],VOL_VOLUMEN_SUMINISTROS[[#This Row],[FIN DE SEMANA]])</f>
        <v>1052-2M1NO</v>
      </c>
      <c r="D841" s="365" t="str">
        <f>CONCATENATE(VOL_VOLUMEN_SUMINISTROS[[#This Row],[Grupo]],VOL_VOLUMEN_SUMINISTROS[[#This Row],[Proyecto]],VOL_VOLUMEN_SUMINISTROS[[#This Row],[FIN DE SEMANA]])</f>
        <v>21052-2NO</v>
      </c>
      <c r="E841" s="30" t="s">
        <v>183</v>
      </c>
      <c r="F841" s="30" t="s">
        <v>148</v>
      </c>
      <c r="G841" s="365">
        <v>2</v>
      </c>
      <c r="H841" s="30">
        <v>4</v>
      </c>
      <c r="I841" s="9" t="s">
        <v>601</v>
      </c>
      <c r="J841" s="9" t="s">
        <v>609</v>
      </c>
      <c r="K841" s="30">
        <v>1</v>
      </c>
      <c r="L841" s="9" t="s">
        <v>610</v>
      </c>
      <c r="M841" s="30" t="s">
        <v>84</v>
      </c>
      <c r="N841" s="30" t="s">
        <v>216</v>
      </c>
      <c r="O841" s="24">
        <v>114</v>
      </c>
      <c r="P841" s="24">
        <v>231</v>
      </c>
      <c r="Q841" s="24">
        <v>111</v>
      </c>
      <c r="R841" s="24">
        <v>0</v>
      </c>
      <c r="S841" s="24">
        <v>0</v>
      </c>
      <c r="T841" s="24">
        <v>456</v>
      </c>
    </row>
    <row r="842" spans="1:20">
      <c r="A842" s="9" t="s">
        <v>555</v>
      </c>
      <c r="B842" s="30" t="s">
        <v>652</v>
      </c>
      <c r="C842" s="30" t="str">
        <f>CONCATENATE(VOL_VOLUMEN_SUMINISTROS[[#This Row],[Proyecto]],VOL_VOLUMEN_SUMINISTROS[[#This Row],[J]],VOL_VOLUMEN_SUMINISTROS[[#This Row],[FIN DE SEMANA]])</f>
        <v>1052-2MNO</v>
      </c>
      <c r="D842" s="365" t="str">
        <f>CONCATENATE(VOL_VOLUMEN_SUMINISTROS[[#This Row],[Grupo]],VOL_VOLUMEN_SUMINISTROS[[#This Row],[Proyecto]],VOL_VOLUMEN_SUMINISTROS[[#This Row],[FIN DE SEMANA]])</f>
        <v>21052-2NO</v>
      </c>
      <c r="E842" s="30" t="s">
        <v>183</v>
      </c>
      <c r="F842" s="30" t="s">
        <v>148</v>
      </c>
      <c r="G842" s="365">
        <v>2</v>
      </c>
      <c r="H842" s="30">
        <v>4</v>
      </c>
      <c r="I842" s="9" t="s">
        <v>601</v>
      </c>
      <c r="J842" s="9" t="s">
        <v>609</v>
      </c>
      <c r="K842" s="30">
        <v>1</v>
      </c>
      <c r="L842" s="9" t="s">
        <v>610</v>
      </c>
      <c r="M842" s="30" t="s">
        <v>84</v>
      </c>
      <c r="N842" s="30" t="s">
        <v>152</v>
      </c>
      <c r="O842" s="24">
        <v>0</v>
      </c>
      <c r="P842" s="24">
        <v>0</v>
      </c>
      <c r="Q842" s="24">
        <v>58</v>
      </c>
      <c r="R842" s="24">
        <v>0</v>
      </c>
      <c r="S842" s="24">
        <v>0</v>
      </c>
      <c r="T842" s="24">
        <v>58</v>
      </c>
    </row>
    <row r="843" spans="1:20">
      <c r="A843" s="9" t="s">
        <v>555</v>
      </c>
      <c r="B843" s="30" t="s">
        <v>652</v>
      </c>
      <c r="C843" s="30" t="str">
        <f>CONCATENATE(VOL_VOLUMEN_SUMINISTROS[[#This Row],[Proyecto]],VOL_VOLUMEN_SUMINISTROS[[#This Row],[J]],VOL_VOLUMEN_SUMINISTROS[[#This Row],[FIN DE SEMANA]])</f>
        <v>1052-2MNO</v>
      </c>
      <c r="D843" s="365" t="str">
        <f>CONCATENATE(VOL_VOLUMEN_SUMINISTROS[[#This Row],[Grupo]],VOL_VOLUMEN_SUMINISTROS[[#This Row],[Proyecto]],VOL_VOLUMEN_SUMINISTROS[[#This Row],[FIN DE SEMANA]])</f>
        <v>21052-2NO</v>
      </c>
      <c r="E843" s="30" t="s">
        <v>183</v>
      </c>
      <c r="F843" s="30" t="s">
        <v>148</v>
      </c>
      <c r="G843" s="365">
        <v>2</v>
      </c>
      <c r="H843" s="30">
        <v>4</v>
      </c>
      <c r="I843" s="9" t="s">
        <v>601</v>
      </c>
      <c r="J843" s="9" t="s">
        <v>619</v>
      </c>
      <c r="K843" s="30">
        <v>1</v>
      </c>
      <c r="L843" s="9" t="s">
        <v>620</v>
      </c>
      <c r="M843" s="30" t="s">
        <v>84</v>
      </c>
      <c r="N843" s="30" t="s">
        <v>152</v>
      </c>
      <c r="O843" s="24">
        <v>0</v>
      </c>
      <c r="P843" s="24">
        <v>0</v>
      </c>
      <c r="Q843" s="24">
        <v>53</v>
      </c>
      <c r="R843" s="24">
        <v>0</v>
      </c>
      <c r="S843" s="24">
        <v>0</v>
      </c>
      <c r="T843" s="24">
        <v>53</v>
      </c>
    </row>
    <row r="844" spans="1:20">
      <c r="A844" s="9" t="s">
        <v>555</v>
      </c>
      <c r="B844" s="30" t="s">
        <v>652</v>
      </c>
      <c r="C844" s="30" t="str">
        <f>CONCATENATE(VOL_VOLUMEN_SUMINISTROS[[#This Row],[Proyecto]],VOL_VOLUMEN_SUMINISTROS[[#This Row],[J]],VOL_VOLUMEN_SUMINISTROS[[#This Row],[FIN DE SEMANA]])</f>
        <v>1052-2TNO</v>
      </c>
      <c r="D844" s="365" t="str">
        <f>CONCATENATE(VOL_VOLUMEN_SUMINISTROS[[#This Row],[Grupo]],VOL_VOLUMEN_SUMINISTROS[[#This Row],[Proyecto]],VOL_VOLUMEN_SUMINISTROS[[#This Row],[FIN DE SEMANA]])</f>
        <v>21052-2NO</v>
      </c>
      <c r="E844" s="30" t="s">
        <v>183</v>
      </c>
      <c r="F844" s="30" t="s">
        <v>148</v>
      </c>
      <c r="G844" s="365">
        <v>2</v>
      </c>
      <c r="H844" s="30">
        <v>4</v>
      </c>
      <c r="I844" s="9" t="s">
        <v>601</v>
      </c>
      <c r="J844" s="9" t="s">
        <v>619</v>
      </c>
      <c r="K844" s="30">
        <v>1</v>
      </c>
      <c r="L844" s="9" t="s">
        <v>620</v>
      </c>
      <c r="M844" s="30" t="s">
        <v>84</v>
      </c>
      <c r="N844" s="30" t="s">
        <v>155</v>
      </c>
      <c r="O844" s="24">
        <v>0</v>
      </c>
      <c r="P844" s="24">
        <v>0</v>
      </c>
      <c r="Q844" s="24">
        <v>71</v>
      </c>
      <c r="R844" s="24">
        <v>0</v>
      </c>
      <c r="S844" s="24">
        <v>0</v>
      </c>
      <c r="T844" s="24">
        <v>71</v>
      </c>
    </row>
    <row r="845" spans="1:20">
      <c r="A845" s="9" t="s">
        <v>555</v>
      </c>
      <c r="B845" s="30" t="s">
        <v>652</v>
      </c>
      <c r="C845" s="30" t="str">
        <f>CONCATENATE(VOL_VOLUMEN_SUMINISTROS[[#This Row],[Proyecto]],VOL_VOLUMEN_SUMINISTROS[[#This Row],[J]],VOL_VOLUMEN_SUMINISTROS[[#This Row],[FIN DE SEMANA]])</f>
        <v>1052-2M1NO</v>
      </c>
      <c r="D845" s="365" t="str">
        <f>CONCATENATE(VOL_VOLUMEN_SUMINISTROS[[#This Row],[Grupo]],VOL_VOLUMEN_SUMINISTROS[[#This Row],[Proyecto]],VOL_VOLUMEN_SUMINISTROS[[#This Row],[FIN DE SEMANA]])</f>
        <v>21052-2NO</v>
      </c>
      <c r="E845" s="30" t="s">
        <v>183</v>
      </c>
      <c r="F845" s="30" t="s">
        <v>148</v>
      </c>
      <c r="G845" s="365">
        <v>2</v>
      </c>
      <c r="H845" s="30">
        <v>4</v>
      </c>
      <c r="I845" s="9" t="s">
        <v>601</v>
      </c>
      <c r="J845" s="9" t="s">
        <v>636</v>
      </c>
      <c r="K845" s="30">
        <v>1</v>
      </c>
      <c r="L845" s="9" t="s">
        <v>637</v>
      </c>
      <c r="M845" s="30" t="s">
        <v>84</v>
      </c>
      <c r="N845" s="30" t="s">
        <v>216</v>
      </c>
      <c r="O845" s="24">
        <v>0</v>
      </c>
      <c r="P845" s="24">
        <v>0</v>
      </c>
      <c r="Q845" s="24">
        <v>112</v>
      </c>
      <c r="R845" s="24">
        <v>0</v>
      </c>
      <c r="S845" s="24">
        <v>0</v>
      </c>
      <c r="T845" s="24">
        <v>112</v>
      </c>
    </row>
    <row r="846" spans="1:20">
      <c r="A846" s="9" t="s">
        <v>555</v>
      </c>
      <c r="B846" s="30" t="s">
        <v>652</v>
      </c>
      <c r="C846" s="30" t="str">
        <f>CONCATENATE(VOL_VOLUMEN_SUMINISTROS[[#This Row],[Proyecto]],VOL_VOLUMEN_SUMINISTROS[[#This Row],[J]],VOL_VOLUMEN_SUMINISTROS[[#This Row],[FIN DE SEMANA]])</f>
        <v>1052-2MNO</v>
      </c>
      <c r="D846" s="365" t="str">
        <f>CONCATENATE(VOL_VOLUMEN_SUMINISTROS[[#This Row],[Grupo]],VOL_VOLUMEN_SUMINISTROS[[#This Row],[Proyecto]],VOL_VOLUMEN_SUMINISTROS[[#This Row],[FIN DE SEMANA]])</f>
        <v>21052-2NO</v>
      </c>
      <c r="E846" s="30" t="s">
        <v>183</v>
      </c>
      <c r="F846" s="30" t="s">
        <v>148</v>
      </c>
      <c r="G846" s="365">
        <v>2</v>
      </c>
      <c r="H846" s="30">
        <v>4</v>
      </c>
      <c r="I846" s="9" t="s">
        <v>601</v>
      </c>
      <c r="J846" s="9" t="s">
        <v>645</v>
      </c>
      <c r="K846" s="30">
        <v>1</v>
      </c>
      <c r="L846" s="9" t="s">
        <v>646</v>
      </c>
      <c r="M846" s="30" t="s">
        <v>84</v>
      </c>
      <c r="N846" s="30" t="s">
        <v>152</v>
      </c>
      <c r="O846" s="24">
        <v>0</v>
      </c>
      <c r="P846" s="24">
        <v>0</v>
      </c>
      <c r="Q846" s="24">
        <v>65</v>
      </c>
      <c r="R846" s="24">
        <v>0</v>
      </c>
      <c r="S846" s="24">
        <v>0</v>
      </c>
      <c r="T846" s="24">
        <v>65</v>
      </c>
    </row>
    <row r="847" spans="1:20">
      <c r="A847" s="9" t="s">
        <v>555</v>
      </c>
      <c r="B847" s="30" t="s">
        <v>652</v>
      </c>
      <c r="C847" s="30" t="str">
        <f>CONCATENATE(VOL_VOLUMEN_SUMINISTROS[[#This Row],[Proyecto]],VOL_VOLUMEN_SUMINISTROS[[#This Row],[J]],VOL_VOLUMEN_SUMINISTROS[[#This Row],[FIN DE SEMANA]])</f>
        <v>1052-2TNO</v>
      </c>
      <c r="D847" s="365" t="str">
        <f>CONCATENATE(VOL_VOLUMEN_SUMINISTROS[[#This Row],[Grupo]],VOL_VOLUMEN_SUMINISTROS[[#This Row],[Proyecto]],VOL_VOLUMEN_SUMINISTROS[[#This Row],[FIN DE SEMANA]])</f>
        <v>21052-2NO</v>
      </c>
      <c r="E847" s="30" t="s">
        <v>183</v>
      </c>
      <c r="F847" s="30" t="s">
        <v>148</v>
      </c>
      <c r="G847" s="365">
        <v>2</v>
      </c>
      <c r="H847" s="30">
        <v>4</v>
      </c>
      <c r="I847" s="9" t="s">
        <v>601</v>
      </c>
      <c r="J847" s="9" t="s">
        <v>645</v>
      </c>
      <c r="K847" s="30">
        <v>1</v>
      </c>
      <c r="L847" s="9" t="s">
        <v>646</v>
      </c>
      <c r="M847" s="30" t="s">
        <v>84</v>
      </c>
      <c r="N847" s="30" t="s">
        <v>155</v>
      </c>
      <c r="O847" s="24">
        <v>0</v>
      </c>
      <c r="P847" s="24">
        <v>0</v>
      </c>
      <c r="Q847" s="24">
        <v>120</v>
      </c>
      <c r="R847" s="24">
        <v>0</v>
      </c>
      <c r="S847" s="24">
        <v>0</v>
      </c>
      <c r="T847" s="24">
        <v>120</v>
      </c>
    </row>
    <row r="848" spans="1:20">
      <c r="A848" s="9" t="s">
        <v>555</v>
      </c>
      <c r="B848" s="30" t="s">
        <v>653</v>
      </c>
      <c r="C848" s="30" t="str">
        <f>CONCATENATE(VOL_VOLUMEN_SUMINISTROS[[#This Row],[Proyecto]],VOL_VOLUMEN_SUMINISTROS[[#This Row],[J]],VOL_VOLUMEN_SUMINISTROS[[#This Row],[FIN DE SEMANA]])</f>
        <v>1052-2MNO</v>
      </c>
      <c r="D848" s="365" t="str">
        <f>CONCATENATE(VOL_VOLUMEN_SUMINISTROS[[#This Row],[Grupo]],VOL_VOLUMEN_SUMINISTROS[[#This Row],[Proyecto]],VOL_VOLUMEN_SUMINISTROS[[#This Row],[FIN DE SEMANA]])</f>
        <v>21052-2NO</v>
      </c>
      <c r="E848" s="30" t="s">
        <v>183</v>
      </c>
      <c r="F848" s="30" t="s">
        <v>148</v>
      </c>
      <c r="G848" s="365">
        <v>2</v>
      </c>
      <c r="H848" s="30">
        <v>4</v>
      </c>
      <c r="I848" s="9" t="s">
        <v>601</v>
      </c>
      <c r="J848" s="9" t="s">
        <v>628</v>
      </c>
      <c r="K848" s="30">
        <v>2</v>
      </c>
      <c r="L848" s="9" t="s">
        <v>631</v>
      </c>
      <c r="M848" s="30" t="s">
        <v>84</v>
      </c>
      <c r="N848" s="30" t="s">
        <v>152</v>
      </c>
      <c r="O848" s="24">
        <v>28</v>
      </c>
      <c r="P848" s="24">
        <v>0</v>
      </c>
      <c r="Q848" s="24">
        <v>0</v>
      </c>
      <c r="R848" s="24">
        <v>0</v>
      </c>
      <c r="S848" s="24">
        <v>0</v>
      </c>
      <c r="T848" s="24">
        <v>28</v>
      </c>
    </row>
    <row r="849" spans="1:20">
      <c r="A849" s="9" t="s">
        <v>555</v>
      </c>
      <c r="B849" s="30" t="s">
        <v>653</v>
      </c>
      <c r="C849" s="30" t="str">
        <f>CONCATENATE(VOL_VOLUMEN_SUMINISTROS[[#This Row],[Proyecto]],VOL_VOLUMEN_SUMINISTROS[[#This Row],[J]],VOL_VOLUMEN_SUMINISTROS[[#This Row],[FIN DE SEMANA]])</f>
        <v>1052-2TNO</v>
      </c>
      <c r="D849" s="365" t="str">
        <f>CONCATENATE(VOL_VOLUMEN_SUMINISTROS[[#This Row],[Grupo]],VOL_VOLUMEN_SUMINISTROS[[#This Row],[Proyecto]],VOL_VOLUMEN_SUMINISTROS[[#This Row],[FIN DE SEMANA]])</f>
        <v>21052-2NO</v>
      </c>
      <c r="E849" s="30" t="s">
        <v>183</v>
      </c>
      <c r="F849" s="30" t="s">
        <v>148</v>
      </c>
      <c r="G849" s="365">
        <v>2</v>
      </c>
      <c r="H849" s="30">
        <v>4</v>
      </c>
      <c r="I849" s="9" t="s">
        <v>601</v>
      </c>
      <c r="J849" s="9" t="s">
        <v>628</v>
      </c>
      <c r="K849" s="30">
        <v>2</v>
      </c>
      <c r="L849" s="9" t="s">
        <v>631</v>
      </c>
      <c r="M849" s="30" t="s">
        <v>84</v>
      </c>
      <c r="N849" s="30" t="s">
        <v>155</v>
      </c>
      <c r="O849" s="24">
        <v>74</v>
      </c>
      <c r="P849" s="24">
        <v>0</v>
      </c>
      <c r="Q849" s="24">
        <v>0</v>
      </c>
      <c r="R849" s="24">
        <v>0</v>
      </c>
      <c r="S849" s="24">
        <v>0</v>
      </c>
      <c r="T849" s="24">
        <v>74</v>
      </c>
    </row>
    <row r="850" spans="1:20">
      <c r="A850" s="9" t="s">
        <v>555</v>
      </c>
      <c r="B850" s="30" t="s">
        <v>653</v>
      </c>
      <c r="C850" s="30" t="str">
        <f>CONCATENATE(VOL_VOLUMEN_SUMINISTROS[[#This Row],[Proyecto]],VOL_VOLUMEN_SUMINISTROS[[#This Row],[J]],VOL_VOLUMEN_SUMINISTROS[[#This Row],[FIN DE SEMANA]])</f>
        <v>1052-2MNO</v>
      </c>
      <c r="D850" s="365" t="str">
        <f>CONCATENATE(VOL_VOLUMEN_SUMINISTROS[[#This Row],[Grupo]],VOL_VOLUMEN_SUMINISTROS[[#This Row],[Proyecto]],VOL_VOLUMEN_SUMINISTROS[[#This Row],[FIN DE SEMANA]])</f>
        <v>21052-2NO</v>
      </c>
      <c r="E850" s="30" t="s">
        <v>183</v>
      </c>
      <c r="F850" s="30" t="s">
        <v>148</v>
      </c>
      <c r="G850" s="365">
        <v>2</v>
      </c>
      <c r="H850" s="30">
        <v>4</v>
      </c>
      <c r="I850" s="9" t="s">
        <v>601</v>
      </c>
      <c r="J850" s="9" t="s">
        <v>640</v>
      </c>
      <c r="K850" s="30">
        <v>2</v>
      </c>
      <c r="L850" s="9" t="s">
        <v>642</v>
      </c>
      <c r="M850" s="30" t="s">
        <v>84</v>
      </c>
      <c r="N850" s="30" t="s">
        <v>152</v>
      </c>
      <c r="O850" s="24">
        <v>90</v>
      </c>
      <c r="P850" s="24">
        <v>0</v>
      </c>
      <c r="Q850" s="24">
        <v>0</v>
      </c>
      <c r="R850" s="24">
        <v>0</v>
      </c>
      <c r="S850" s="24">
        <v>0</v>
      </c>
      <c r="T850" s="24">
        <v>90</v>
      </c>
    </row>
    <row r="851" spans="1:20">
      <c r="A851" s="9" t="s">
        <v>555</v>
      </c>
      <c r="B851" s="30" t="s">
        <v>653</v>
      </c>
      <c r="C851" s="30" t="str">
        <f>CONCATENATE(VOL_VOLUMEN_SUMINISTROS[[#This Row],[Proyecto]],VOL_VOLUMEN_SUMINISTROS[[#This Row],[J]],VOL_VOLUMEN_SUMINISTROS[[#This Row],[FIN DE SEMANA]])</f>
        <v>1052-2TNO</v>
      </c>
      <c r="D851" s="365" t="str">
        <f>CONCATENATE(VOL_VOLUMEN_SUMINISTROS[[#This Row],[Grupo]],VOL_VOLUMEN_SUMINISTROS[[#This Row],[Proyecto]],VOL_VOLUMEN_SUMINISTROS[[#This Row],[FIN DE SEMANA]])</f>
        <v>21052-2NO</v>
      </c>
      <c r="E851" s="30" t="s">
        <v>183</v>
      </c>
      <c r="F851" s="30" t="s">
        <v>148</v>
      </c>
      <c r="G851" s="365">
        <v>2</v>
      </c>
      <c r="H851" s="30">
        <v>4</v>
      </c>
      <c r="I851" s="9" t="s">
        <v>601</v>
      </c>
      <c r="J851" s="9" t="s">
        <v>640</v>
      </c>
      <c r="K851" s="30">
        <v>2</v>
      </c>
      <c r="L851" s="9" t="s">
        <v>642</v>
      </c>
      <c r="M851" s="30" t="s">
        <v>84</v>
      </c>
      <c r="N851" s="30" t="s">
        <v>155</v>
      </c>
      <c r="O851" s="24">
        <v>53</v>
      </c>
      <c r="P851" s="24">
        <v>0</v>
      </c>
      <c r="Q851" s="24">
        <v>0</v>
      </c>
      <c r="R851" s="24">
        <v>0</v>
      </c>
      <c r="S851" s="24">
        <v>0</v>
      </c>
      <c r="T851" s="24">
        <v>53</v>
      </c>
    </row>
    <row r="852" spans="1:20">
      <c r="A852" s="9" t="s">
        <v>555</v>
      </c>
      <c r="B852" s="30" t="s">
        <v>653</v>
      </c>
      <c r="C852" s="30" t="str">
        <f>CONCATENATE(VOL_VOLUMEN_SUMINISTROS[[#This Row],[Proyecto]],VOL_VOLUMEN_SUMINISTROS[[#This Row],[J]],VOL_VOLUMEN_SUMINISTROS[[#This Row],[FIN DE SEMANA]])</f>
        <v>1052-2TNO</v>
      </c>
      <c r="D852" s="365" t="str">
        <f>CONCATENATE(VOL_VOLUMEN_SUMINISTROS[[#This Row],[Grupo]],VOL_VOLUMEN_SUMINISTROS[[#This Row],[Proyecto]],VOL_VOLUMEN_SUMINISTROS[[#This Row],[FIN DE SEMANA]])</f>
        <v>21052-2NO</v>
      </c>
      <c r="E852" s="30" t="s">
        <v>183</v>
      </c>
      <c r="F852" s="30" t="s">
        <v>148</v>
      </c>
      <c r="G852" s="365">
        <v>2</v>
      </c>
      <c r="H852" s="30">
        <v>4</v>
      </c>
      <c r="I852" s="9" t="s">
        <v>601</v>
      </c>
      <c r="J852" s="9" t="s">
        <v>645</v>
      </c>
      <c r="K852" s="30">
        <v>1</v>
      </c>
      <c r="L852" s="9" t="s">
        <v>646</v>
      </c>
      <c r="M852" s="30" t="s">
        <v>84</v>
      </c>
      <c r="N852" s="30" t="s">
        <v>155</v>
      </c>
      <c r="O852" s="24">
        <v>50</v>
      </c>
      <c r="P852" s="24">
        <v>0</v>
      </c>
      <c r="Q852" s="24">
        <v>0</v>
      </c>
      <c r="R852" s="24">
        <v>0</v>
      </c>
      <c r="S852" s="24">
        <v>0</v>
      </c>
      <c r="T852" s="24">
        <v>50</v>
      </c>
    </row>
    <row r="853" spans="1:20">
      <c r="A853" s="9" t="s">
        <v>555</v>
      </c>
      <c r="B853" s="30" t="s">
        <v>654</v>
      </c>
      <c r="C853" s="30" t="str">
        <f>CONCATENATE(VOL_VOLUMEN_SUMINISTROS[[#This Row],[Proyecto]],VOL_VOLUMEN_SUMINISTROS[[#This Row],[J]],VOL_VOLUMEN_SUMINISTROS[[#This Row],[FIN DE SEMANA]])</f>
        <v>1052-1MNO</v>
      </c>
      <c r="D853" s="365" t="str">
        <f>CONCATENATE(VOL_VOLUMEN_SUMINISTROS[[#This Row],[Grupo]],VOL_VOLUMEN_SUMINISTROS[[#This Row],[Proyecto]],VOL_VOLUMEN_SUMINISTROS[[#This Row],[FIN DE SEMANA]])</f>
        <v>31052-1NO</v>
      </c>
      <c r="E853" s="30" t="s">
        <v>147</v>
      </c>
      <c r="F853" s="30" t="s">
        <v>148</v>
      </c>
      <c r="G853" s="365">
        <v>3</v>
      </c>
      <c r="H853" s="30">
        <v>4</v>
      </c>
      <c r="I853" s="9" t="s">
        <v>601</v>
      </c>
      <c r="J853" s="9" t="s">
        <v>655</v>
      </c>
      <c r="K853" s="30">
        <v>1</v>
      </c>
      <c r="L853" s="9" t="s">
        <v>656</v>
      </c>
      <c r="M853" s="30" t="s">
        <v>84</v>
      </c>
      <c r="N853" s="30" t="s">
        <v>152</v>
      </c>
      <c r="O853" s="24">
        <v>92</v>
      </c>
      <c r="P853" s="24">
        <v>58</v>
      </c>
      <c r="Q853" s="24">
        <v>11</v>
      </c>
      <c r="R853" s="24">
        <v>0</v>
      </c>
      <c r="S853" s="24">
        <v>0</v>
      </c>
      <c r="T853" s="24">
        <v>161</v>
      </c>
    </row>
    <row r="854" spans="1:20">
      <c r="A854" s="9" t="s">
        <v>555</v>
      </c>
      <c r="B854" s="30" t="s">
        <v>654</v>
      </c>
      <c r="C854" s="30" t="str">
        <f>CONCATENATE(VOL_VOLUMEN_SUMINISTROS[[#This Row],[Proyecto]],VOL_VOLUMEN_SUMINISTROS[[#This Row],[J]],VOL_VOLUMEN_SUMINISTROS[[#This Row],[FIN DE SEMANA]])</f>
        <v>1052-1MNO</v>
      </c>
      <c r="D854" s="365" t="str">
        <f>CONCATENATE(VOL_VOLUMEN_SUMINISTROS[[#This Row],[Grupo]],VOL_VOLUMEN_SUMINISTROS[[#This Row],[Proyecto]],VOL_VOLUMEN_SUMINISTROS[[#This Row],[FIN DE SEMANA]])</f>
        <v>31052-1NO</v>
      </c>
      <c r="E854" s="30" t="s">
        <v>147</v>
      </c>
      <c r="F854" s="30" t="s">
        <v>148</v>
      </c>
      <c r="G854" s="365">
        <v>3</v>
      </c>
      <c r="H854" s="30">
        <v>4</v>
      </c>
      <c r="I854" s="9" t="s">
        <v>601</v>
      </c>
      <c r="J854" s="9" t="s">
        <v>657</v>
      </c>
      <c r="K854" s="30">
        <v>1</v>
      </c>
      <c r="L854" s="9" t="s">
        <v>658</v>
      </c>
      <c r="M854" s="30" t="s">
        <v>84</v>
      </c>
      <c r="N854" s="30" t="s">
        <v>152</v>
      </c>
      <c r="O854" s="24">
        <v>135</v>
      </c>
      <c r="P854" s="24">
        <v>235</v>
      </c>
      <c r="Q854" s="24">
        <v>357</v>
      </c>
      <c r="R854" s="24">
        <v>0</v>
      </c>
      <c r="S854" s="24">
        <v>0</v>
      </c>
      <c r="T854" s="24">
        <v>727</v>
      </c>
    </row>
    <row r="855" spans="1:20">
      <c r="A855" s="9" t="s">
        <v>555</v>
      </c>
      <c r="B855" s="30" t="s">
        <v>654</v>
      </c>
      <c r="C855" s="30" t="str">
        <f>CONCATENATE(VOL_VOLUMEN_SUMINISTROS[[#This Row],[Proyecto]],VOL_VOLUMEN_SUMINISTROS[[#This Row],[J]],VOL_VOLUMEN_SUMINISTROS[[#This Row],[FIN DE SEMANA]])</f>
        <v>1052-1TNO</v>
      </c>
      <c r="D855" s="365" t="str">
        <f>CONCATENATE(VOL_VOLUMEN_SUMINISTROS[[#This Row],[Grupo]],VOL_VOLUMEN_SUMINISTROS[[#This Row],[Proyecto]],VOL_VOLUMEN_SUMINISTROS[[#This Row],[FIN DE SEMANA]])</f>
        <v>31052-1NO</v>
      </c>
      <c r="E855" s="30" t="s">
        <v>147</v>
      </c>
      <c r="F855" s="30" t="s">
        <v>148</v>
      </c>
      <c r="G855" s="365">
        <v>3</v>
      </c>
      <c r="H855" s="30">
        <v>4</v>
      </c>
      <c r="I855" s="9" t="s">
        <v>601</v>
      </c>
      <c r="J855" s="9" t="s">
        <v>657</v>
      </c>
      <c r="K855" s="30">
        <v>1</v>
      </c>
      <c r="L855" s="9" t="s">
        <v>658</v>
      </c>
      <c r="M855" s="30" t="s">
        <v>84</v>
      </c>
      <c r="N855" s="30" t="s">
        <v>155</v>
      </c>
      <c r="O855" s="24">
        <v>76</v>
      </c>
      <c r="P855" s="24">
        <v>185</v>
      </c>
      <c r="Q855" s="24">
        <v>209</v>
      </c>
      <c r="R855" s="24">
        <v>0</v>
      </c>
      <c r="S855" s="24">
        <v>0</v>
      </c>
      <c r="T855" s="24">
        <v>470</v>
      </c>
    </row>
    <row r="856" spans="1:20">
      <c r="A856" s="9" t="s">
        <v>555</v>
      </c>
      <c r="B856" s="30" t="s">
        <v>654</v>
      </c>
      <c r="C856" s="30" t="str">
        <f>CONCATENATE(VOL_VOLUMEN_SUMINISTROS[[#This Row],[Proyecto]],VOL_VOLUMEN_SUMINISTROS[[#This Row],[J]],VOL_VOLUMEN_SUMINISTROS[[#This Row],[FIN DE SEMANA]])</f>
        <v>1052-1MNO</v>
      </c>
      <c r="D856" s="365" t="str">
        <f>CONCATENATE(VOL_VOLUMEN_SUMINISTROS[[#This Row],[Grupo]],VOL_VOLUMEN_SUMINISTROS[[#This Row],[Proyecto]],VOL_VOLUMEN_SUMINISTROS[[#This Row],[FIN DE SEMANA]])</f>
        <v>31052-1NO</v>
      </c>
      <c r="E856" s="30" t="s">
        <v>147</v>
      </c>
      <c r="F856" s="30" t="s">
        <v>148</v>
      </c>
      <c r="G856" s="365">
        <v>3</v>
      </c>
      <c r="H856" s="30">
        <v>4</v>
      </c>
      <c r="I856" s="9" t="s">
        <v>601</v>
      </c>
      <c r="J856" s="9" t="s">
        <v>657</v>
      </c>
      <c r="K856" s="30">
        <v>2</v>
      </c>
      <c r="L856" s="9" t="s">
        <v>658</v>
      </c>
      <c r="M856" s="30" t="s">
        <v>84</v>
      </c>
      <c r="N856" s="30" t="s">
        <v>152</v>
      </c>
      <c r="O856" s="24">
        <v>95</v>
      </c>
      <c r="P856" s="24">
        <v>0</v>
      </c>
      <c r="Q856" s="24">
        <v>0</v>
      </c>
      <c r="R856" s="24">
        <v>0</v>
      </c>
      <c r="S856" s="24">
        <v>0</v>
      </c>
      <c r="T856" s="24">
        <v>95</v>
      </c>
    </row>
    <row r="857" spans="1:20">
      <c r="A857" s="9" t="s">
        <v>555</v>
      </c>
      <c r="B857" s="30" t="s">
        <v>654</v>
      </c>
      <c r="C857" s="30" t="str">
        <f>CONCATENATE(VOL_VOLUMEN_SUMINISTROS[[#This Row],[Proyecto]],VOL_VOLUMEN_SUMINISTROS[[#This Row],[J]],VOL_VOLUMEN_SUMINISTROS[[#This Row],[FIN DE SEMANA]])</f>
        <v>1052-1TNO</v>
      </c>
      <c r="D857" s="365" t="str">
        <f>CONCATENATE(VOL_VOLUMEN_SUMINISTROS[[#This Row],[Grupo]],VOL_VOLUMEN_SUMINISTROS[[#This Row],[Proyecto]],VOL_VOLUMEN_SUMINISTROS[[#This Row],[FIN DE SEMANA]])</f>
        <v>31052-1NO</v>
      </c>
      <c r="E857" s="30" t="s">
        <v>147</v>
      </c>
      <c r="F857" s="30" t="s">
        <v>148</v>
      </c>
      <c r="G857" s="365">
        <v>3</v>
      </c>
      <c r="H857" s="30">
        <v>4</v>
      </c>
      <c r="I857" s="9" t="s">
        <v>601</v>
      </c>
      <c r="J857" s="9" t="s">
        <v>657</v>
      </c>
      <c r="K857" s="30">
        <v>2</v>
      </c>
      <c r="L857" s="9" t="s">
        <v>658</v>
      </c>
      <c r="M857" s="30" t="s">
        <v>84</v>
      </c>
      <c r="N857" s="30" t="s">
        <v>155</v>
      </c>
      <c r="O857" s="24">
        <v>31</v>
      </c>
      <c r="P857" s="24">
        <v>0</v>
      </c>
      <c r="Q857" s="24">
        <v>0</v>
      </c>
      <c r="R857" s="24">
        <v>0</v>
      </c>
      <c r="S857" s="24">
        <v>0</v>
      </c>
      <c r="T857" s="24">
        <v>31</v>
      </c>
    </row>
    <row r="858" spans="1:20">
      <c r="A858" s="9" t="s">
        <v>555</v>
      </c>
      <c r="B858" s="30" t="s">
        <v>654</v>
      </c>
      <c r="C858" s="30" t="str">
        <f>CONCATENATE(VOL_VOLUMEN_SUMINISTROS[[#This Row],[Proyecto]],VOL_VOLUMEN_SUMINISTROS[[#This Row],[J]],VOL_VOLUMEN_SUMINISTROS[[#This Row],[FIN DE SEMANA]])</f>
        <v>1052-1MNO</v>
      </c>
      <c r="D858" s="365" t="str">
        <f>CONCATENATE(VOL_VOLUMEN_SUMINISTROS[[#This Row],[Grupo]],VOL_VOLUMEN_SUMINISTROS[[#This Row],[Proyecto]],VOL_VOLUMEN_SUMINISTROS[[#This Row],[FIN DE SEMANA]])</f>
        <v>31052-1NO</v>
      </c>
      <c r="E858" s="30" t="s">
        <v>147</v>
      </c>
      <c r="F858" s="30" t="s">
        <v>148</v>
      </c>
      <c r="G858" s="365">
        <v>3</v>
      </c>
      <c r="H858" s="30">
        <v>4</v>
      </c>
      <c r="I858" s="9" t="s">
        <v>601</v>
      </c>
      <c r="J858" s="9" t="s">
        <v>659</v>
      </c>
      <c r="K858" s="30">
        <v>1</v>
      </c>
      <c r="L858" s="9" t="s">
        <v>660</v>
      </c>
      <c r="M858" s="30" t="s">
        <v>84</v>
      </c>
      <c r="N858" s="30" t="s">
        <v>152</v>
      </c>
      <c r="O858" s="24">
        <v>160</v>
      </c>
      <c r="P858" s="24">
        <v>94</v>
      </c>
      <c r="Q858" s="24">
        <v>18</v>
      </c>
      <c r="R858" s="24">
        <v>0</v>
      </c>
      <c r="S858" s="24">
        <v>0</v>
      </c>
      <c r="T858" s="24">
        <v>272</v>
      </c>
    </row>
    <row r="859" spans="1:20">
      <c r="A859" s="9" t="s">
        <v>555</v>
      </c>
      <c r="B859" s="30" t="s">
        <v>654</v>
      </c>
      <c r="C859" s="30" t="str">
        <f>CONCATENATE(VOL_VOLUMEN_SUMINISTROS[[#This Row],[Proyecto]],VOL_VOLUMEN_SUMINISTROS[[#This Row],[J]],VOL_VOLUMEN_SUMINISTROS[[#This Row],[FIN DE SEMANA]])</f>
        <v>1052-1MNO</v>
      </c>
      <c r="D859" s="365" t="str">
        <f>CONCATENATE(VOL_VOLUMEN_SUMINISTROS[[#This Row],[Grupo]],VOL_VOLUMEN_SUMINISTROS[[#This Row],[Proyecto]],VOL_VOLUMEN_SUMINISTROS[[#This Row],[FIN DE SEMANA]])</f>
        <v>31052-1NO</v>
      </c>
      <c r="E859" s="30" t="s">
        <v>147</v>
      </c>
      <c r="F859" s="30" t="s">
        <v>148</v>
      </c>
      <c r="G859" s="365">
        <v>3</v>
      </c>
      <c r="H859" s="30">
        <v>4</v>
      </c>
      <c r="I859" s="9" t="s">
        <v>601</v>
      </c>
      <c r="J859" s="9" t="s">
        <v>661</v>
      </c>
      <c r="K859" s="30">
        <v>2</v>
      </c>
      <c r="L859" s="9" t="s">
        <v>662</v>
      </c>
      <c r="M859" s="30" t="s">
        <v>84</v>
      </c>
      <c r="N859" s="30" t="s">
        <v>152</v>
      </c>
      <c r="O859" s="24">
        <v>275</v>
      </c>
      <c r="P859" s="24">
        <v>80</v>
      </c>
      <c r="Q859" s="24">
        <v>0</v>
      </c>
      <c r="R859" s="24">
        <v>0</v>
      </c>
      <c r="S859" s="24">
        <v>0</v>
      </c>
      <c r="T859" s="24">
        <v>355</v>
      </c>
    </row>
    <row r="860" spans="1:20">
      <c r="A860" s="9" t="s">
        <v>555</v>
      </c>
      <c r="B860" s="30" t="s">
        <v>654</v>
      </c>
      <c r="C860" s="30" t="str">
        <f>CONCATENATE(VOL_VOLUMEN_SUMINISTROS[[#This Row],[Proyecto]],VOL_VOLUMEN_SUMINISTROS[[#This Row],[J]],VOL_VOLUMEN_SUMINISTROS[[#This Row],[FIN DE SEMANA]])</f>
        <v>1052-1TNO</v>
      </c>
      <c r="D860" s="365" t="str">
        <f>CONCATENATE(VOL_VOLUMEN_SUMINISTROS[[#This Row],[Grupo]],VOL_VOLUMEN_SUMINISTROS[[#This Row],[Proyecto]],VOL_VOLUMEN_SUMINISTROS[[#This Row],[FIN DE SEMANA]])</f>
        <v>31052-1NO</v>
      </c>
      <c r="E860" s="30" t="s">
        <v>147</v>
      </c>
      <c r="F860" s="30" t="s">
        <v>148</v>
      </c>
      <c r="G860" s="365">
        <v>3</v>
      </c>
      <c r="H860" s="30">
        <v>4</v>
      </c>
      <c r="I860" s="9" t="s">
        <v>601</v>
      </c>
      <c r="J860" s="9" t="s">
        <v>661</v>
      </c>
      <c r="K860" s="30">
        <v>2</v>
      </c>
      <c r="L860" s="9" t="s">
        <v>662</v>
      </c>
      <c r="M860" s="30" t="s">
        <v>84</v>
      </c>
      <c r="N860" s="30" t="s">
        <v>155</v>
      </c>
      <c r="O860" s="24">
        <v>217</v>
      </c>
      <c r="P860" s="24">
        <v>58</v>
      </c>
      <c r="Q860" s="24">
        <v>0</v>
      </c>
      <c r="R860" s="24">
        <v>0</v>
      </c>
      <c r="S860" s="24">
        <v>0</v>
      </c>
      <c r="T860" s="24">
        <v>275</v>
      </c>
    </row>
    <row r="861" spans="1:20">
      <c r="A861" s="9" t="s">
        <v>555</v>
      </c>
      <c r="B861" s="30" t="s">
        <v>654</v>
      </c>
      <c r="C861" s="30" t="str">
        <f>CONCATENATE(VOL_VOLUMEN_SUMINISTROS[[#This Row],[Proyecto]],VOL_VOLUMEN_SUMINISTROS[[#This Row],[J]],VOL_VOLUMEN_SUMINISTROS[[#This Row],[FIN DE SEMANA]])</f>
        <v>1052-1MNO</v>
      </c>
      <c r="D861" s="365" t="str">
        <f>CONCATENATE(VOL_VOLUMEN_SUMINISTROS[[#This Row],[Grupo]],VOL_VOLUMEN_SUMINISTROS[[#This Row],[Proyecto]],VOL_VOLUMEN_SUMINISTROS[[#This Row],[FIN DE SEMANA]])</f>
        <v>31052-1NO</v>
      </c>
      <c r="E861" s="30" t="s">
        <v>147</v>
      </c>
      <c r="F861" s="30" t="s">
        <v>148</v>
      </c>
      <c r="G861" s="365">
        <v>3</v>
      </c>
      <c r="H861" s="30">
        <v>4</v>
      </c>
      <c r="I861" s="9" t="s">
        <v>601</v>
      </c>
      <c r="J861" s="9" t="s">
        <v>661</v>
      </c>
      <c r="K861" s="30">
        <v>3</v>
      </c>
      <c r="L861" s="9" t="s">
        <v>663</v>
      </c>
      <c r="M861" s="30" t="s">
        <v>84</v>
      </c>
      <c r="N861" s="30" t="s">
        <v>152</v>
      </c>
      <c r="O861" s="24">
        <v>88</v>
      </c>
      <c r="P861" s="24">
        <v>137</v>
      </c>
      <c r="Q861" s="24">
        <v>31</v>
      </c>
      <c r="R861" s="24">
        <v>0</v>
      </c>
      <c r="S861" s="24">
        <v>0</v>
      </c>
      <c r="T861" s="24">
        <v>256</v>
      </c>
    </row>
    <row r="862" spans="1:20">
      <c r="A862" s="9" t="s">
        <v>555</v>
      </c>
      <c r="B862" s="30" t="s">
        <v>654</v>
      </c>
      <c r="C862" s="30" t="str">
        <f>CONCATENATE(VOL_VOLUMEN_SUMINISTROS[[#This Row],[Proyecto]],VOL_VOLUMEN_SUMINISTROS[[#This Row],[J]],VOL_VOLUMEN_SUMINISTROS[[#This Row],[FIN DE SEMANA]])</f>
        <v>1052-1TNO</v>
      </c>
      <c r="D862" s="365" t="str">
        <f>CONCATENATE(VOL_VOLUMEN_SUMINISTROS[[#This Row],[Grupo]],VOL_VOLUMEN_SUMINISTROS[[#This Row],[Proyecto]],VOL_VOLUMEN_SUMINISTROS[[#This Row],[FIN DE SEMANA]])</f>
        <v>31052-1NO</v>
      </c>
      <c r="E862" s="30" t="s">
        <v>147</v>
      </c>
      <c r="F862" s="30" t="s">
        <v>148</v>
      </c>
      <c r="G862" s="365">
        <v>3</v>
      </c>
      <c r="H862" s="30">
        <v>4</v>
      </c>
      <c r="I862" s="9" t="s">
        <v>601</v>
      </c>
      <c r="J862" s="9" t="s">
        <v>661</v>
      </c>
      <c r="K862" s="30">
        <v>3</v>
      </c>
      <c r="L862" s="9" t="s">
        <v>663</v>
      </c>
      <c r="M862" s="30" t="s">
        <v>84</v>
      </c>
      <c r="N862" s="30" t="s">
        <v>155</v>
      </c>
      <c r="O862" s="24">
        <v>58</v>
      </c>
      <c r="P862" s="24">
        <v>107</v>
      </c>
      <c r="Q862" s="24">
        <v>26</v>
      </c>
      <c r="R862" s="24">
        <v>0</v>
      </c>
      <c r="S862" s="24">
        <v>0</v>
      </c>
      <c r="T862" s="24">
        <v>191</v>
      </c>
    </row>
    <row r="863" spans="1:20">
      <c r="A863" s="9" t="s">
        <v>555</v>
      </c>
      <c r="B863" s="30" t="s">
        <v>654</v>
      </c>
      <c r="C863" s="30" t="str">
        <f>CONCATENATE(VOL_VOLUMEN_SUMINISTROS[[#This Row],[Proyecto]],VOL_VOLUMEN_SUMINISTROS[[#This Row],[J]],VOL_VOLUMEN_SUMINISTROS[[#This Row],[FIN DE SEMANA]])</f>
        <v>1052-1MNO</v>
      </c>
      <c r="D863" s="365" t="str">
        <f>CONCATENATE(VOL_VOLUMEN_SUMINISTROS[[#This Row],[Grupo]],VOL_VOLUMEN_SUMINISTROS[[#This Row],[Proyecto]],VOL_VOLUMEN_SUMINISTROS[[#This Row],[FIN DE SEMANA]])</f>
        <v>31052-1NO</v>
      </c>
      <c r="E863" s="30" t="s">
        <v>147</v>
      </c>
      <c r="F863" s="30" t="s">
        <v>148</v>
      </c>
      <c r="G863" s="365">
        <v>3</v>
      </c>
      <c r="H863" s="30">
        <v>4</v>
      </c>
      <c r="I863" s="9" t="s">
        <v>601</v>
      </c>
      <c r="J863" s="9" t="s">
        <v>664</v>
      </c>
      <c r="K863" s="30">
        <v>1</v>
      </c>
      <c r="L863" s="9" t="s">
        <v>350</v>
      </c>
      <c r="M863" s="30" t="s">
        <v>84</v>
      </c>
      <c r="N863" s="30" t="s">
        <v>152</v>
      </c>
      <c r="O863" s="24">
        <v>90</v>
      </c>
      <c r="P863" s="24">
        <v>66</v>
      </c>
      <c r="Q863" s="24">
        <v>13</v>
      </c>
      <c r="R863" s="24">
        <v>0</v>
      </c>
      <c r="S863" s="24">
        <v>0</v>
      </c>
      <c r="T863" s="24">
        <v>169</v>
      </c>
    </row>
    <row r="864" spans="1:20">
      <c r="A864" s="9" t="s">
        <v>555</v>
      </c>
      <c r="B864" s="30" t="s">
        <v>654</v>
      </c>
      <c r="C864" s="30" t="str">
        <f>CONCATENATE(VOL_VOLUMEN_SUMINISTROS[[#This Row],[Proyecto]],VOL_VOLUMEN_SUMINISTROS[[#This Row],[J]],VOL_VOLUMEN_SUMINISTROS[[#This Row],[FIN DE SEMANA]])</f>
        <v>1052-1MNO</v>
      </c>
      <c r="D864" s="365" t="str">
        <f>CONCATENATE(VOL_VOLUMEN_SUMINISTROS[[#This Row],[Grupo]],VOL_VOLUMEN_SUMINISTROS[[#This Row],[Proyecto]],VOL_VOLUMEN_SUMINISTROS[[#This Row],[FIN DE SEMANA]])</f>
        <v>31052-1NO</v>
      </c>
      <c r="E864" s="30" t="s">
        <v>147</v>
      </c>
      <c r="F864" s="30" t="s">
        <v>148</v>
      </c>
      <c r="G864" s="365">
        <v>3</v>
      </c>
      <c r="H864" s="30">
        <v>4</v>
      </c>
      <c r="I864" s="9" t="s">
        <v>601</v>
      </c>
      <c r="J864" s="9" t="s">
        <v>665</v>
      </c>
      <c r="K864" s="30">
        <v>1</v>
      </c>
      <c r="L864" s="9" t="s">
        <v>666</v>
      </c>
      <c r="M864" s="30" t="s">
        <v>84</v>
      </c>
      <c r="N864" s="30" t="s">
        <v>152</v>
      </c>
      <c r="O864" s="24">
        <v>0</v>
      </c>
      <c r="P864" s="24">
        <v>198</v>
      </c>
      <c r="Q864" s="24">
        <v>513</v>
      </c>
      <c r="R864" s="24">
        <v>0</v>
      </c>
      <c r="S864" s="24">
        <v>0</v>
      </c>
      <c r="T864" s="24">
        <v>711</v>
      </c>
    </row>
    <row r="865" spans="1:20">
      <c r="A865" s="9" t="s">
        <v>555</v>
      </c>
      <c r="B865" s="30" t="s">
        <v>654</v>
      </c>
      <c r="C865" s="30" t="str">
        <f>CONCATENATE(VOL_VOLUMEN_SUMINISTROS[[#This Row],[Proyecto]],VOL_VOLUMEN_SUMINISTROS[[#This Row],[J]],VOL_VOLUMEN_SUMINISTROS[[#This Row],[FIN DE SEMANA]])</f>
        <v>1052-1TNO</v>
      </c>
      <c r="D865" s="365" t="str">
        <f>CONCATENATE(VOL_VOLUMEN_SUMINISTROS[[#This Row],[Grupo]],VOL_VOLUMEN_SUMINISTROS[[#This Row],[Proyecto]],VOL_VOLUMEN_SUMINISTROS[[#This Row],[FIN DE SEMANA]])</f>
        <v>31052-1NO</v>
      </c>
      <c r="E865" s="30" t="s">
        <v>147</v>
      </c>
      <c r="F865" s="30" t="s">
        <v>148</v>
      </c>
      <c r="G865" s="365">
        <v>3</v>
      </c>
      <c r="H865" s="30">
        <v>4</v>
      </c>
      <c r="I865" s="9" t="s">
        <v>601</v>
      </c>
      <c r="J865" s="9" t="s">
        <v>665</v>
      </c>
      <c r="K865" s="30">
        <v>1</v>
      </c>
      <c r="L865" s="9" t="s">
        <v>666</v>
      </c>
      <c r="M865" s="30" t="s">
        <v>84</v>
      </c>
      <c r="N865" s="30" t="s">
        <v>155</v>
      </c>
      <c r="O865" s="24">
        <v>0</v>
      </c>
      <c r="P865" s="24">
        <v>132</v>
      </c>
      <c r="Q865" s="24">
        <v>201</v>
      </c>
      <c r="R865" s="24">
        <v>0</v>
      </c>
      <c r="S865" s="24">
        <v>0</v>
      </c>
      <c r="T865" s="24">
        <v>333</v>
      </c>
    </row>
    <row r="866" spans="1:20">
      <c r="A866" s="9" t="s">
        <v>555</v>
      </c>
      <c r="B866" s="30" t="s">
        <v>654</v>
      </c>
      <c r="C866" s="30" t="str">
        <f>CONCATENATE(VOL_VOLUMEN_SUMINISTROS[[#This Row],[Proyecto]],VOL_VOLUMEN_SUMINISTROS[[#This Row],[J]],VOL_VOLUMEN_SUMINISTROS[[#This Row],[FIN DE SEMANA]])</f>
        <v>1052-1MNO</v>
      </c>
      <c r="D866" s="365" t="str">
        <f>CONCATENATE(VOL_VOLUMEN_SUMINISTROS[[#This Row],[Grupo]],VOL_VOLUMEN_SUMINISTROS[[#This Row],[Proyecto]],VOL_VOLUMEN_SUMINISTROS[[#This Row],[FIN DE SEMANA]])</f>
        <v>31052-1NO</v>
      </c>
      <c r="E866" s="30" t="s">
        <v>147</v>
      </c>
      <c r="F866" s="30" t="s">
        <v>148</v>
      </c>
      <c r="G866" s="365">
        <v>3</v>
      </c>
      <c r="H866" s="30">
        <v>4</v>
      </c>
      <c r="I866" s="9" t="s">
        <v>601</v>
      </c>
      <c r="J866" s="9" t="s">
        <v>665</v>
      </c>
      <c r="K866" s="30">
        <v>2</v>
      </c>
      <c r="L866" s="9" t="s">
        <v>667</v>
      </c>
      <c r="M866" s="30" t="s">
        <v>84</v>
      </c>
      <c r="N866" s="30" t="s">
        <v>152</v>
      </c>
      <c r="O866" s="24">
        <v>178</v>
      </c>
      <c r="P866" s="24">
        <v>159</v>
      </c>
      <c r="Q866" s="24">
        <v>35</v>
      </c>
      <c r="R866" s="24">
        <v>0</v>
      </c>
      <c r="S866" s="24">
        <v>0</v>
      </c>
      <c r="T866" s="24">
        <v>372</v>
      </c>
    </row>
    <row r="867" spans="1:20">
      <c r="A867" s="9" t="s">
        <v>555</v>
      </c>
      <c r="B867" s="30" t="s">
        <v>654</v>
      </c>
      <c r="C867" s="30" t="str">
        <f>CONCATENATE(VOL_VOLUMEN_SUMINISTROS[[#This Row],[Proyecto]],VOL_VOLUMEN_SUMINISTROS[[#This Row],[J]],VOL_VOLUMEN_SUMINISTROS[[#This Row],[FIN DE SEMANA]])</f>
        <v>1052-1TNO</v>
      </c>
      <c r="D867" s="365" t="str">
        <f>CONCATENATE(VOL_VOLUMEN_SUMINISTROS[[#This Row],[Grupo]],VOL_VOLUMEN_SUMINISTROS[[#This Row],[Proyecto]],VOL_VOLUMEN_SUMINISTROS[[#This Row],[FIN DE SEMANA]])</f>
        <v>31052-1NO</v>
      </c>
      <c r="E867" s="30" t="s">
        <v>147</v>
      </c>
      <c r="F867" s="30" t="s">
        <v>148</v>
      </c>
      <c r="G867" s="365">
        <v>3</v>
      </c>
      <c r="H867" s="30">
        <v>4</v>
      </c>
      <c r="I867" s="9" t="s">
        <v>601</v>
      </c>
      <c r="J867" s="9" t="s">
        <v>665</v>
      </c>
      <c r="K867" s="30">
        <v>2</v>
      </c>
      <c r="L867" s="9" t="s">
        <v>667</v>
      </c>
      <c r="M867" s="30" t="s">
        <v>84</v>
      </c>
      <c r="N867" s="30" t="s">
        <v>155</v>
      </c>
      <c r="O867" s="24">
        <v>203</v>
      </c>
      <c r="P867" s="24">
        <v>112</v>
      </c>
      <c r="Q867" s="24">
        <v>17</v>
      </c>
      <c r="R867" s="24">
        <v>0</v>
      </c>
      <c r="S867" s="24">
        <v>0</v>
      </c>
      <c r="T867" s="24">
        <v>332</v>
      </c>
    </row>
    <row r="868" spans="1:20">
      <c r="A868" s="9" t="s">
        <v>555</v>
      </c>
      <c r="B868" s="30" t="s">
        <v>654</v>
      </c>
      <c r="C868" s="30" t="str">
        <f>CONCATENATE(VOL_VOLUMEN_SUMINISTROS[[#This Row],[Proyecto]],VOL_VOLUMEN_SUMINISTROS[[#This Row],[J]],VOL_VOLUMEN_SUMINISTROS[[#This Row],[FIN DE SEMANA]])</f>
        <v>1052-1MNO</v>
      </c>
      <c r="D868" s="365" t="str">
        <f>CONCATENATE(VOL_VOLUMEN_SUMINISTROS[[#This Row],[Grupo]],VOL_VOLUMEN_SUMINISTROS[[#This Row],[Proyecto]],VOL_VOLUMEN_SUMINISTROS[[#This Row],[FIN DE SEMANA]])</f>
        <v>31052-1NO</v>
      </c>
      <c r="E868" s="30" t="s">
        <v>147</v>
      </c>
      <c r="F868" s="30" t="s">
        <v>148</v>
      </c>
      <c r="G868" s="365">
        <v>3</v>
      </c>
      <c r="H868" s="30">
        <v>4</v>
      </c>
      <c r="I868" s="9" t="s">
        <v>601</v>
      </c>
      <c r="J868" s="9" t="s">
        <v>665</v>
      </c>
      <c r="K868" s="30">
        <v>3</v>
      </c>
      <c r="L868" s="9" t="s">
        <v>668</v>
      </c>
      <c r="M868" s="30" t="s">
        <v>84</v>
      </c>
      <c r="N868" s="30" t="s">
        <v>152</v>
      </c>
      <c r="O868" s="24">
        <v>114</v>
      </c>
      <c r="P868" s="24">
        <v>77</v>
      </c>
      <c r="Q868" s="24">
        <v>11</v>
      </c>
      <c r="R868" s="24">
        <v>0</v>
      </c>
      <c r="S868" s="24">
        <v>0</v>
      </c>
      <c r="T868" s="24">
        <v>202</v>
      </c>
    </row>
    <row r="869" spans="1:20">
      <c r="A869" s="9" t="s">
        <v>555</v>
      </c>
      <c r="B869" s="30" t="s">
        <v>654</v>
      </c>
      <c r="C869" s="30" t="str">
        <f>CONCATENATE(VOL_VOLUMEN_SUMINISTROS[[#This Row],[Proyecto]],VOL_VOLUMEN_SUMINISTROS[[#This Row],[J]],VOL_VOLUMEN_SUMINISTROS[[#This Row],[FIN DE SEMANA]])</f>
        <v>1052-1TNO</v>
      </c>
      <c r="D869" s="365" t="str">
        <f>CONCATENATE(VOL_VOLUMEN_SUMINISTROS[[#This Row],[Grupo]],VOL_VOLUMEN_SUMINISTROS[[#This Row],[Proyecto]],VOL_VOLUMEN_SUMINISTROS[[#This Row],[FIN DE SEMANA]])</f>
        <v>31052-1NO</v>
      </c>
      <c r="E869" s="30" t="s">
        <v>147</v>
      </c>
      <c r="F869" s="30" t="s">
        <v>148</v>
      </c>
      <c r="G869" s="365">
        <v>3</v>
      </c>
      <c r="H869" s="30">
        <v>4</v>
      </c>
      <c r="I869" s="9" t="s">
        <v>601</v>
      </c>
      <c r="J869" s="9" t="s">
        <v>665</v>
      </c>
      <c r="K869" s="30">
        <v>3</v>
      </c>
      <c r="L869" s="9" t="s">
        <v>668</v>
      </c>
      <c r="M869" s="30" t="s">
        <v>84</v>
      </c>
      <c r="N869" s="30" t="s">
        <v>155</v>
      </c>
      <c r="O869" s="24">
        <v>103</v>
      </c>
      <c r="P869" s="24">
        <v>68</v>
      </c>
      <c r="Q869" s="24">
        <v>10</v>
      </c>
      <c r="R869" s="24">
        <v>0</v>
      </c>
      <c r="S869" s="24">
        <v>0</v>
      </c>
      <c r="T869" s="24">
        <v>181</v>
      </c>
    </row>
    <row r="870" spans="1:20">
      <c r="A870" s="9" t="s">
        <v>555</v>
      </c>
      <c r="B870" s="30" t="s">
        <v>654</v>
      </c>
      <c r="C870" s="30" t="str">
        <f>CONCATENATE(VOL_VOLUMEN_SUMINISTROS[[#This Row],[Proyecto]],VOL_VOLUMEN_SUMINISTROS[[#This Row],[J]],VOL_VOLUMEN_SUMINISTROS[[#This Row],[FIN DE SEMANA]])</f>
        <v>1052-1MNO</v>
      </c>
      <c r="D870" s="365" t="str">
        <f>CONCATENATE(VOL_VOLUMEN_SUMINISTROS[[#This Row],[Grupo]],VOL_VOLUMEN_SUMINISTROS[[#This Row],[Proyecto]],VOL_VOLUMEN_SUMINISTROS[[#This Row],[FIN DE SEMANA]])</f>
        <v>31052-1NO</v>
      </c>
      <c r="E870" s="30" t="s">
        <v>147</v>
      </c>
      <c r="F870" s="30" t="s">
        <v>148</v>
      </c>
      <c r="G870" s="365">
        <v>3</v>
      </c>
      <c r="H870" s="30">
        <v>4</v>
      </c>
      <c r="I870" s="9" t="s">
        <v>601</v>
      </c>
      <c r="J870" s="9" t="s">
        <v>669</v>
      </c>
      <c r="K870" s="30">
        <v>1</v>
      </c>
      <c r="L870" s="9" t="s">
        <v>670</v>
      </c>
      <c r="M870" s="30" t="s">
        <v>84</v>
      </c>
      <c r="N870" s="30" t="s">
        <v>152</v>
      </c>
      <c r="O870" s="24">
        <v>0</v>
      </c>
      <c r="P870" s="24">
        <v>156</v>
      </c>
      <c r="Q870" s="24">
        <v>329</v>
      </c>
      <c r="R870" s="24">
        <v>0</v>
      </c>
      <c r="S870" s="24">
        <v>0</v>
      </c>
      <c r="T870" s="24">
        <v>485</v>
      </c>
    </row>
    <row r="871" spans="1:20">
      <c r="A871" s="9" t="s">
        <v>555</v>
      </c>
      <c r="B871" s="30" t="s">
        <v>654</v>
      </c>
      <c r="C871" s="30" t="str">
        <f>CONCATENATE(VOL_VOLUMEN_SUMINISTROS[[#This Row],[Proyecto]],VOL_VOLUMEN_SUMINISTROS[[#This Row],[J]],VOL_VOLUMEN_SUMINISTROS[[#This Row],[FIN DE SEMANA]])</f>
        <v>1052-1NNO</v>
      </c>
      <c r="D871" s="365" t="str">
        <f>CONCATENATE(VOL_VOLUMEN_SUMINISTROS[[#This Row],[Grupo]],VOL_VOLUMEN_SUMINISTROS[[#This Row],[Proyecto]],VOL_VOLUMEN_SUMINISTROS[[#This Row],[FIN DE SEMANA]])</f>
        <v>31052-1NO</v>
      </c>
      <c r="E871" s="30" t="s">
        <v>147</v>
      </c>
      <c r="F871" s="30" t="s">
        <v>148</v>
      </c>
      <c r="G871" s="365">
        <v>3</v>
      </c>
      <c r="H871" s="30">
        <v>4</v>
      </c>
      <c r="I871" s="9" t="s">
        <v>601</v>
      </c>
      <c r="J871" s="9" t="s">
        <v>669</v>
      </c>
      <c r="K871" s="30">
        <v>1</v>
      </c>
      <c r="L871" s="9" t="s">
        <v>670</v>
      </c>
      <c r="M871" s="30" t="s">
        <v>84</v>
      </c>
      <c r="N871" s="30" t="s">
        <v>154</v>
      </c>
      <c r="O871" s="24">
        <v>0</v>
      </c>
      <c r="P871" s="24">
        <v>0</v>
      </c>
      <c r="Q871" s="24">
        <v>0</v>
      </c>
      <c r="R871" s="24">
        <v>74</v>
      </c>
      <c r="S871" s="24">
        <v>110</v>
      </c>
      <c r="T871" s="24">
        <v>184</v>
      </c>
    </row>
    <row r="872" spans="1:20">
      <c r="A872" s="9" t="s">
        <v>555</v>
      </c>
      <c r="B872" s="30" t="s">
        <v>654</v>
      </c>
      <c r="C872" s="30" t="str">
        <f>CONCATENATE(VOL_VOLUMEN_SUMINISTROS[[#This Row],[Proyecto]],VOL_VOLUMEN_SUMINISTROS[[#This Row],[J]],VOL_VOLUMEN_SUMINISTROS[[#This Row],[FIN DE SEMANA]])</f>
        <v>1052-1TNO</v>
      </c>
      <c r="D872" s="365" t="str">
        <f>CONCATENATE(VOL_VOLUMEN_SUMINISTROS[[#This Row],[Grupo]],VOL_VOLUMEN_SUMINISTROS[[#This Row],[Proyecto]],VOL_VOLUMEN_SUMINISTROS[[#This Row],[FIN DE SEMANA]])</f>
        <v>31052-1NO</v>
      </c>
      <c r="E872" s="30" t="s">
        <v>147</v>
      </c>
      <c r="F872" s="30" t="s">
        <v>148</v>
      </c>
      <c r="G872" s="365">
        <v>3</v>
      </c>
      <c r="H872" s="30">
        <v>4</v>
      </c>
      <c r="I872" s="9" t="s">
        <v>601</v>
      </c>
      <c r="J872" s="9" t="s">
        <v>669</v>
      </c>
      <c r="K872" s="30">
        <v>1</v>
      </c>
      <c r="L872" s="9" t="s">
        <v>670</v>
      </c>
      <c r="M872" s="30" t="s">
        <v>84</v>
      </c>
      <c r="N872" s="30" t="s">
        <v>155</v>
      </c>
      <c r="O872" s="24">
        <v>0</v>
      </c>
      <c r="P872" s="24">
        <v>108</v>
      </c>
      <c r="Q872" s="24">
        <v>266</v>
      </c>
      <c r="R872" s="24">
        <v>0</v>
      </c>
      <c r="S872" s="24">
        <v>0</v>
      </c>
      <c r="T872" s="24">
        <v>374</v>
      </c>
    </row>
    <row r="873" spans="1:20">
      <c r="A873" s="9" t="s">
        <v>555</v>
      </c>
      <c r="B873" s="30" t="s">
        <v>654</v>
      </c>
      <c r="C873" s="30" t="str">
        <f>CONCATENATE(VOL_VOLUMEN_SUMINISTROS[[#This Row],[Proyecto]],VOL_VOLUMEN_SUMINISTROS[[#This Row],[J]],VOL_VOLUMEN_SUMINISTROS[[#This Row],[FIN DE SEMANA]])</f>
        <v>1052-1MNO</v>
      </c>
      <c r="D873" s="365" t="str">
        <f>CONCATENATE(VOL_VOLUMEN_SUMINISTROS[[#This Row],[Grupo]],VOL_VOLUMEN_SUMINISTROS[[#This Row],[Proyecto]],VOL_VOLUMEN_SUMINISTROS[[#This Row],[FIN DE SEMANA]])</f>
        <v>31052-1NO</v>
      </c>
      <c r="E873" s="30" t="s">
        <v>147</v>
      </c>
      <c r="F873" s="30" t="s">
        <v>148</v>
      </c>
      <c r="G873" s="365">
        <v>3</v>
      </c>
      <c r="H873" s="30">
        <v>4</v>
      </c>
      <c r="I873" s="9" t="s">
        <v>601</v>
      </c>
      <c r="J873" s="9" t="s">
        <v>669</v>
      </c>
      <c r="K873" s="30">
        <v>2</v>
      </c>
      <c r="L873" s="9" t="s">
        <v>671</v>
      </c>
      <c r="M873" s="30" t="s">
        <v>84</v>
      </c>
      <c r="N873" s="30" t="s">
        <v>152</v>
      </c>
      <c r="O873" s="24">
        <v>70</v>
      </c>
      <c r="P873" s="24">
        <v>188</v>
      </c>
      <c r="Q873" s="24">
        <v>51</v>
      </c>
      <c r="R873" s="24">
        <v>0</v>
      </c>
      <c r="S873" s="24">
        <v>0</v>
      </c>
      <c r="T873" s="24">
        <v>309</v>
      </c>
    </row>
    <row r="874" spans="1:20">
      <c r="A874" s="9" t="s">
        <v>555</v>
      </c>
      <c r="B874" s="30" t="s">
        <v>654</v>
      </c>
      <c r="C874" s="30" t="str">
        <f>CONCATENATE(VOL_VOLUMEN_SUMINISTROS[[#This Row],[Proyecto]],VOL_VOLUMEN_SUMINISTROS[[#This Row],[J]],VOL_VOLUMEN_SUMINISTROS[[#This Row],[FIN DE SEMANA]])</f>
        <v>1052-1TNO</v>
      </c>
      <c r="D874" s="365" t="str">
        <f>CONCATENATE(VOL_VOLUMEN_SUMINISTROS[[#This Row],[Grupo]],VOL_VOLUMEN_SUMINISTROS[[#This Row],[Proyecto]],VOL_VOLUMEN_SUMINISTROS[[#This Row],[FIN DE SEMANA]])</f>
        <v>31052-1NO</v>
      </c>
      <c r="E874" s="30" t="s">
        <v>147</v>
      </c>
      <c r="F874" s="30" t="s">
        <v>148</v>
      </c>
      <c r="G874" s="365">
        <v>3</v>
      </c>
      <c r="H874" s="30">
        <v>4</v>
      </c>
      <c r="I874" s="9" t="s">
        <v>601</v>
      </c>
      <c r="J874" s="9" t="s">
        <v>669</v>
      </c>
      <c r="K874" s="30">
        <v>2</v>
      </c>
      <c r="L874" s="9" t="s">
        <v>671</v>
      </c>
      <c r="M874" s="30" t="s">
        <v>84</v>
      </c>
      <c r="N874" s="30" t="s">
        <v>155</v>
      </c>
      <c r="O874" s="24">
        <v>120</v>
      </c>
      <c r="P874" s="24">
        <v>162</v>
      </c>
      <c r="Q874" s="24">
        <v>34</v>
      </c>
      <c r="R874" s="24">
        <v>0</v>
      </c>
      <c r="S874" s="24">
        <v>0</v>
      </c>
      <c r="T874" s="24">
        <v>316</v>
      </c>
    </row>
    <row r="875" spans="1:20">
      <c r="A875" s="9" t="s">
        <v>555</v>
      </c>
      <c r="B875" s="30" t="s">
        <v>654</v>
      </c>
      <c r="C875" s="30" t="str">
        <f>CONCATENATE(VOL_VOLUMEN_SUMINISTROS[[#This Row],[Proyecto]],VOL_VOLUMEN_SUMINISTROS[[#This Row],[J]],VOL_VOLUMEN_SUMINISTROS[[#This Row],[FIN DE SEMANA]])</f>
        <v>1052-1MNO</v>
      </c>
      <c r="D875" s="365" t="str">
        <f>CONCATENATE(VOL_VOLUMEN_SUMINISTROS[[#This Row],[Grupo]],VOL_VOLUMEN_SUMINISTROS[[#This Row],[Proyecto]],VOL_VOLUMEN_SUMINISTROS[[#This Row],[FIN DE SEMANA]])</f>
        <v>31052-1NO</v>
      </c>
      <c r="E875" s="30" t="s">
        <v>147</v>
      </c>
      <c r="F875" s="30" t="s">
        <v>148</v>
      </c>
      <c r="G875" s="365">
        <v>3</v>
      </c>
      <c r="H875" s="30">
        <v>4</v>
      </c>
      <c r="I875" s="9" t="s">
        <v>601</v>
      </c>
      <c r="J875" s="9" t="s">
        <v>669</v>
      </c>
      <c r="K875" s="30">
        <v>3</v>
      </c>
      <c r="L875" s="9" t="s">
        <v>672</v>
      </c>
      <c r="M875" s="30" t="s">
        <v>84</v>
      </c>
      <c r="N875" s="30" t="s">
        <v>152</v>
      </c>
      <c r="O875" s="24">
        <v>158</v>
      </c>
      <c r="P875" s="24">
        <v>0</v>
      </c>
      <c r="Q875" s="24">
        <v>0</v>
      </c>
      <c r="R875" s="24">
        <v>0</v>
      </c>
      <c r="S875" s="24">
        <v>0</v>
      </c>
      <c r="T875" s="24">
        <v>158</v>
      </c>
    </row>
    <row r="876" spans="1:20">
      <c r="A876" s="9" t="s">
        <v>555</v>
      </c>
      <c r="B876" s="30" t="s">
        <v>654</v>
      </c>
      <c r="C876" s="30" t="str">
        <f>CONCATENATE(VOL_VOLUMEN_SUMINISTROS[[#This Row],[Proyecto]],VOL_VOLUMEN_SUMINISTROS[[#This Row],[J]],VOL_VOLUMEN_SUMINISTROS[[#This Row],[FIN DE SEMANA]])</f>
        <v>1052-1TNO</v>
      </c>
      <c r="D876" s="365" t="str">
        <f>CONCATENATE(VOL_VOLUMEN_SUMINISTROS[[#This Row],[Grupo]],VOL_VOLUMEN_SUMINISTROS[[#This Row],[Proyecto]],VOL_VOLUMEN_SUMINISTROS[[#This Row],[FIN DE SEMANA]])</f>
        <v>31052-1NO</v>
      </c>
      <c r="E876" s="30" t="s">
        <v>147</v>
      </c>
      <c r="F876" s="30" t="s">
        <v>148</v>
      </c>
      <c r="G876" s="365">
        <v>3</v>
      </c>
      <c r="H876" s="30">
        <v>4</v>
      </c>
      <c r="I876" s="9" t="s">
        <v>601</v>
      </c>
      <c r="J876" s="9" t="s">
        <v>669</v>
      </c>
      <c r="K876" s="30">
        <v>3</v>
      </c>
      <c r="L876" s="9" t="s">
        <v>672</v>
      </c>
      <c r="M876" s="30" t="s">
        <v>84</v>
      </c>
      <c r="N876" s="30" t="s">
        <v>155</v>
      </c>
      <c r="O876" s="24">
        <v>150</v>
      </c>
      <c r="P876" s="24">
        <v>0</v>
      </c>
      <c r="Q876" s="24">
        <v>0</v>
      </c>
      <c r="R876" s="24">
        <v>0</v>
      </c>
      <c r="S876" s="24">
        <v>0</v>
      </c>
      <c r="T876" s="24">
        <v>150</v>
      </c>
    </row>
    <row r="877" spans="1:20">
      <c r="A877" s="9" t="s">
        <v>555</v>
      </c>
      <c r="B877" s="30" t="s">
        <v>654</v>
      </c>
      <c r="C877" s="30" t="str">
        <f>CONCATENATE(VOL_VOLUMEN_SUMINISTROS[[#This Row],[Proyecto]],VOL_VOLUMEN_SUMINISTROS[[#This Row],[J]],VOL_VOLUMEN_SUMINISTROS[[#This Row],[FIN DE SEMANA]])</f>
        <v>1052-1MNO</v>
      </c>
      <c r="D877" s="365" t="str">
        <f>CONCATENATE(VOL_VOLUMEN_SUMINISTROS[[#This Row],[Grupo]],VOL_VOLUMEN_SUMINISTROS[[#This Row],[Proyecto]],VOL_VOLUMEN_SUMINISTROS[[#This Row],[FIN DE SEMANA]])</f>
        <v>31052-1NO</v>
      </c>
      <c r="E877" s="30" t="s">
        <v>147</v>
      </c>
      <c r="F877" s="30" t="s">
        <v>148</v>
      </c>
      <c r="G877" s="365">
        <v>3</v>
      </c>
      <c r="H877" s="30">
        <v>4</v>
      </c>
      <c r="I877" s="9" t="s">
        <v>601</v>
      </c>
      <c r="J877" s="9" t="s">
        <v>673</v>
      </c>
      <c r="K877" s="30">
        <v>1</v>
      </c>
      <c r="L877" s="9" t="s">
        <v>674</v>
      </c>
      <c r="M877" s="30" t="s">
        <v>84</v>
      </c>
      <c r="N877" s="30" t="s">
        <v>152</v>
      </c>
      <c r="O877" s="24">
        <v>0</v>
      </c>
      <c r="P877" s="24">
        <v>54</v>
      </c>
      <c r="Q877" s="24">
        <v>123</v>
      </c>
      <c r="R877" s="24">
        <v>0</v>
      </c>
      <c r="S877" s="24">
        <v>0</v>
      </c>
      <c r="T877" s="24">
        <v>177</v>
      </c>
    </row>
    <row r="878" spans="1:20">
      <c r="A878" s="9" t="s">
        <v>555</v>
      </c>
      <c r="B878" s="30" t="s">
        <v>654</v>
      </c>
      <c r="C878" s="30" t="str">
        <f>CONCATENATE(VOL_VOLUMEN_SUMINISTROS[[#This Row],[Proyecto]],VOL_VOLUMEN_SUMINISTROS[[#This Row],[J]],VOL_VOLUMEN_SUMINISTROS[[#This Row],[FIN DE SEMANA]])</f>
        <v>1052-1TNO</v>
      </c>
      <c r="D878" s="365" t="str">
        <f>CONCATENATE(VOL_VOLUMEN_SUMINISTROS[[#This Row],[Grupo]],VOL_VOLUMEN_SUMINISTROS[[#This Row],[Proyecto]],VOL_VOLUMEN_SUMINISTROS[[#This Row],[FIN DE SEMANA]])</f>
        <v>31052-1NO</v>
      </c>
      <c r="E878" s="30" t="s">
        <v>147</v>
      </c>
      <c r="F878" s="30" t="s">
        <v>148</v>
      </c>
      <c r="G878" s="365">
        <v>3</v>
      </c>
      <c r="H878" s="30">
        <v>4</v>
      </c>
      <c r="I878" s="9" t="s">
        <v>601</v>
      </c>
      <c r="J878" s="9" t="s">
        <v>673</v>
      </c>
      <c r="K878" s="30">
        <v>1</v>
      </c>
      <c r="L878" s="9" t="s">
        <v>674</v>
      </c>
      <c r="M878" s="30" t="s">
        <v>84</v>
      </c>
      <c r="N878" s="30" t="s">
        <v>155</v>
      </c>
      <c r="O878" s="24">
        <v>0</v>
      </c>
      <c r="P878" s="24">
        <v>42</v>
      </c>
      <c r="Q878" s="24">
        <v>98</v>
      </c>
      <c r="R878" s="24">
        <v>0</v>
      </c>
      <c r="S878" s="24">
        <v>0</v>
      </c>
      <c r="T878" s="24">
        <v>140</v>
      </c>
    </row>
    <row r="879" spans="1:20">
      <c r="A879" s="9" t="s">
        <v>555</v>
      </c>
      <c r="B879" s="30" t="s">
        <v>654</v>
      </c>
      <c r="C879" s="30" t="str">
        <f>CONCATENATE(VOL_VOLUMEN_SUMINISTROS[[#This Row],[Proyecto]],VOL_VOLUMEN_SUMINISTROS[[#This Row],[J]],VOL_VOLUMEN_SUMINISTROS[[#This Row],[FIN DE SEMANA]])</f>
        <v>1052-1MNO</v>
      </c>
      <c r="D879" s="365" t="str">
        <f>CONCATENATE(VOL_VOLUMEN_SUMINISTROS[[#This Row],[Grupo]],VOL_VOLUMEN_SUMINISTROS[[#This Row],[Proyecto]],VOL_VOLUMEN_SUMINISTROS[[#This Row],[FIN DE SEMANA]])</f>
        <v>31052-1NO</v>
      </c>
      <c r="E879" s="30" t="s">
        <v>147</v>
      </c>
      <c r="F879" s="30" t="s">
        <v>148</v>
      </c>
      <c r="G879" s="365">
        <v>3</v>
      </c>
      <c r="H879" s="30">
        <v>4</v>
      </c>
      <c r="I879" s="9" t="s">
        <v>601</v>
      </c>
      <c r="J879" s="9" t="s">
        <v>673</v>
      </c>
      <c r="K879" s="30">
        <v>2</v>
      </c>
      <c r="L879" s="9" t="s">
        <v>675</v>
      </c>
      <c r="M879" s="30" t="s">
        <v>84</v>
      </c>
      <c r="N879" s="30" t="s">
        <v>152</v>
      </c>
      <c r="O879" s="24">
        <v>169</v>
      </c>
      <c r="P879" s="24">
        <v>118</v>
      </c>
      <c r="Q879" s="24">
        <v>21</v>
      </c>
      <c r="R879" s="24">
        <v>0</v>
      </c>
      <c r="S879" s="24">
        <v>0</v>
      </c>
      <c r="T879" s="24">
        <v>308</v>
      </c>
    </row>
    <row r="880" spans="1:20">
      <c r="A880" s="9" t="s">
        <v>555</v>
      </c>
      <c r="B880" s="30" t="s">
        <v>654</v>
      </c>
      <c r="C880" s="30" t="str">
        <f>CONCATENATE(VOL_VOLUMEN_SUMINISTROS[[#This Row],[Proyecto]],VOL_VOLUMEN_SUMINISTROS[[#This Row],[J]],VOL_VOLUMEN_SUMINISTROS[[#This Row],[FIN DE SEMANA]])</f>
        <v>1052-1TNO</v>
      </c>
      <c r="D880" s="365" t="str">
        <f>CONCATENATE(VOL_VOLUMEN_SUMINISTROS[[#This Row],[Grupo]],VOL_VOLUMEN_SUMINISTROS[[#This Row],[Proyecto]],VOL_VOLUMEN_SUMINISTROS[[#This Row],[FIN DE SEMANA]])</f>
        <v>31052-1NO</v>
      </c>
      <c r="E880" s="30" t="s">
        <v>147</v>
      </c>
      <c r="F880" s="30" t="s">
        <v>148</v>
      </c>
      <c r="G880" s="365">
        <v>3</v>
      </c>
      <c r="H880" s="30">
        <v>4</v>
      </c>
      <c r="I880" s="9" t="s">
        <v>601</v>
      </c>
      <c r="J880" s="9" t="s">
        <v>673</v>
      </c>
      <c r="K880" s="30">
        <v>2</v>
      </c>
      <c r="L880" s="9" t="s">
        <v>675</v>
      </c>
      <c r="M880" s="30" t="s">
        <v>84</v>
      </c>
      <c r="N880" s="30" t="s">
        <v>155</v>
      </c>
      <c r="O880" s="24">
        <v>104</v>
      </c>
      <c r="P880" s="24">
        <v>74</v>
      </c>
      <c r="Q880" s="24">
        <v>14</v>
      </c>
      <c r="R880" s="24">
        <v>0</v>
      </c>
      <c r="S880" s="24">
        <v>0</v>
      </c>
      <c r="T880" s="24">
        <v>192</v>
      </c>
    </row>
    <row r="881" spans="1:20">
      <c r="A881" s="9" t="s">
        <v>555</v>
      </c>
      <c r="B881" s="30" t="s">
        <v>654</v>
      </c>
      <c r="C881" s="30" t="str">
        <f>CONCATENATE(VOL_VOLUMEN_SUMINISTROS[[#This Row],[Proyecto]],VOL_VOLUMEN_SUMINISTROS[[#This Row],[J]],VOL_VOLUMEN_SUMINISTROS[[#This Row],[FIN DE SEMANA]])</f>
        <v>1052-1MNO</v>
      </c>
      <c r="D881" s="365" t="str">
        <f>CONCATENATE(VOL_VOLUMEN_SUMINISTROS[[#This Row],[Grupo]],VOL_VOLUMEN_SUMINISTROS[[#This Row],[Proyecto]],VOL_VOLUMEN_SUMINISTROS[[#This Row],[FIN DE SEMANA]])</f>
        <v>31052-1NO</v>
      </c>
      <c r="E881" s="30" t="s">
        <v>147</v>
      </c>
      <c r="F881" s="30" t="s">
        <v>148</v>
      </c>
      <c r="G881" s="365">
        <v>3</v>
      </c>
      <c r="H881" s="30">
        <v>4</v>
      </c>
      <c r="I881" s="9" t="s">
        <v>601</v>
      </c>
      <c r="J881" s="9" t="s">
        <v>676</v>
      </c>
      <c r="K881" s="30">
        <v>1</v>
      </c>
      <c r="L881" s="9" t="s">
        <v>677</v>
      </c>
      <c r="M881" s="30" t="s">
        <v>84</v>
      </c>
      <c r="N881" s="30" t="s">
        <v>152</v>
      </c>
      <c r="O881" s="24">
        <v>238</v>
      </c>
      <c r="P881" s="24">
        <v>277</v>
      </c>
      <c r="Q881" s="24">
        <v>375</v>
      </c>
      <c r="R881" s="24">
        <v>0</v>
      </c>
      <c r="S881" s="24">
        <v>0</v>
      </c>
      <c r="T881" s="24">
        <v>890</v>
      </c>
    </row>
    <row r="882" spans="1:20">
      <c r="A882" s="9" t="s">
        <v>555</v>
      </c>
      <c r="B882" s="30" t="s">
        <v>654</v>
      </c>
      <c r="C882" s="30" t="str">
        <f>CONCATENATE(VOL_VOLUMEN_SUMINISTROS[[#This Row],[Proyecto]],VOL_VOLUMEN_SUMINISTROS[[#This Row],[J]],VOL_VOLUMEN_SUMINISTROS[[#This Row],[FIN DE SEMANA]])</f>
        <v>1052-1TNO</v>
      </c>
      <c r="D882" s="365" t="str">
        <f>CONCATENATE(VOL_VOLUMEN_SUMINISTROS[[#This Row],[Grupo]],VOL_VOLUMEN_SUMINISTROS[[#This Row],[Proyecto]],VOL_VOLUMEN_SUMINISTROS[[#This Row],[FIN DE SEMANA]])</f>
        <v>31052-1NO</v>
      </c>
      <c r="E882" s="30" t="s">
        <v>147</v>
      </c>
      <c r="F882" s="30" t="s">
        <v>148</v>
      </c>
      <c r="G882" s="365">
        <v>3</v>
      </c>
      <c r="H882" s="30">
        <v>4</v>
      </c>
      <c r="I882" s="9" t="s">
        <v>601</v>
      </c>
      <c r="J882" s="9" t="s">
        <v>676</v>
      </c>
      <c r="K882" s="30">
        <v>1</v>
      </c>
      <c r="L882" s="9" t="s">
        <v>677</v>
      </c>
      <c r="M882" s="30" t="s">
        <v>84</v>
      </c>
      <c r="N882" s="30" t="s">
        <v>155</v>
      </c>
      <c r="O882" s="24">
        <v>194</v>
      </c>
      <c r="P882" s="24">
        <v>268</v>
      </c>
      <c r="Q882" s="24">
        <v>237</v>
      </c>
      <c r="R882" s="24">
        <v>0</v>
      </c>
      <c r="S882" s="24">
        <v>0</v>
      </c>
      <c r="T882" s="24">
        <v>699</v>
      </c>
    </row>
    <row r="883" spans="1:20">
      <c r="A883" s="9" t="s">
        <v>555</v>
      </c>
      <c r="B883" s="30" t="s">
        <v>654</v>
      </c>
      <c r="C883" s="30" t="str">
        <f>CONCATENATE(VOL_VOLUMEN_SUMINISTROS[[#This Row],[Proyecto]],VOL_VOLUMEN_SUMINISTROS[[#This Row],[J]],VOL_VOLUMEN_SUMINISTROS[[#This Row],[FIN DE SEMANA]])</f>
        <v>1052-1MNO</v>
      </c>
      <c r="D883" s="365" t="str">
        <f>CONCATENATE(VOL_VOLUMEN_SUMINISTROS[[#This Row],[Grupo]],VOL_VOLUMEN_SUMINISTROS[[#This Row],[Proyecto]],VOL_VOLUMEN_SUMINISTROS[[#This Row],[FIN DE SEMANA]])</f>
        <v>31052-1NO</v>
      </c>
      <c r="E883" s="30" t="s">
        <v>147</v>
      </c>
      <c r="F883" s="30" t="s">
        <v>148</v>
      </c>
      <c r="G883" s="365">
        <v>3</v>
      </c>
      <c r="H883" s="30">
        <v>4</v>
      </c>
      <c r="I883" s="9" t="s">
        <v>601</v>
      </c>
      <c r="J883" s="9" t="s">
        <v>676</v>
      </c>
      <c r="K883" s="30">
        <v>2</v>
      </c>
      <c r="L883" s="9" t="s">
        <v>678</v>
      </c>
      <c r="M883" s="30" t="s">
        <v>84</v>
      </c>
      <c r="N883" s="30" t="s">
        <v>152</v>
      </c>
      <c r="O883" s="24">
        <v>152</v>
      </c>
      <c r="P883" s="24">
        <v>101</v>
      </c>
      <c r="Q883" s="24">
        <v>15</v>
      </c>
      <c r="R883" s="24">
        <v>0</v>
      </c>
      <c r="S883" s="24">
        <v>0</v>
      </c>
      <c r="T883" s="24">
        <v>268</v>
      </c>
    </row>
    <row r="884" spans="1:20">
      <c r="A884" s="9" t="s">
        <v>555</v>
      </c>
      <c r="B884" s="30" t="s">
        <v>654</v>
      </c>
      <c r="C884" s="30" t="str">
        <f>CONCATENATE(VOL_VOLUMEN_SUMINISTROS[[#This Row],[Proyecto]],VOL_VOLUMEN_SUMINISTROS[[#This Row],[J]],VOL_VOLUMEN_SUMINISTROS[[#This Row],[FIN DE SEMANA]])</f>
        <v>1052-1TNO</v>
      </c>
      <c r="D884" s="365" t="str">
        <f>CONCATENATE(VOL_VOLUMEN_SUMINISTROS[[#This Row],[Grupo]],VOL_VOLUMEN_SUMINISTROS[[#This Row],[Proyecto]],VOL_VOLUMEN_SUMINISTROS[[#This Row],[FIN DE SEMANA]])</f>
        <v>31052-1NO</v>
      </c>
      <c r="E884" s="30" t="s">
        <v>147</v>
      </c>
      <c r="F884" s="30" t="s">
        <v>148</v>
      </c>
      <c r="G884" s="365">
        <v>3</v>
      </c>
      <c r="H884" s="30">
        <v>4</v>
      </c>
      <c r="I884" s="9" t="s">
        <v>601</v>
      </c>
      <c r="J884" s="9" t="s">
        <v>676</v>
      </c>
      <c r="K884" s="30">
        <v>2</v>
      </c>
      <c r="L884" s="9" t="s">
        <v>678</v>
      </c>
      <c r="M884" s="30" t="s">
        <v>84</v>
      </c>
      <c r="N884" s="30" t="s">
        <v>155</v>
      </c>
      <c r="O884" s="24">
        <v>75</v>
      </c>
      <c r="P884" s="24">
        <v>122</v>
      </c>
      <c r="Q884" s="24">
        <v>32</v>
      </c>
      <c r="R884" s="24">
        <v>0</v>
      </c>
      <c r="S884" s="24">
        <v>0</v>
      </c>
      <c r="T884" s="24">
        <v>229</v>
      </c>
    </row>
    <row r="885" spans="1:20">
      <c r="A885" s="9" t="s">
        <v>555</v>
      </c>
      <c r="B885" s="30" t="s">
        <v>654</v>
      </c>
      <c r="C885" s="30" t="str">
        <f>CONCATENATE(VOL_VOLUMEN_SUMINISTROS[[#This Row],[Proyecto]],VOL_VOLUMEN_SUMINISTROS[[#This Row],[J]],VOL_VOLUMEN_SUMINISTROS[[#This Row],[FIN DE SEMANA]])</f>
        <v>1052-1NNO</v>
      </c>
      <c r="D885" s="365" t="str">
        <f>CONCATENATE(VOL_VOLUMEN_SUMINISTROS[[#This Row],[Grupo]],VOL_VOLUMEN_SUMINISTROS[[#This Row],[Proyecto]],VOL_VOLUMEN_SUMINISTROS[[#This Row],[FIN DE SEMANA]])</f>
        <v>31052-1NO</v>
      </c>
      <c r="E885" s="30" t="s">
        <v>147</v>
      </c>
      <c r="F885" s="30" t="s">
        <v>148</v>
      </c>
      <c r="G885" s="365">
        <v>3</v>
      </c>
      <c r="H885" s="30">
        <v>4</v>
      </c>
      <c r="I885" s="9" t="s">
        <v>601</v>
      </c>
      <c r="J885" s="9" t="s">
        <v>679</v>
      </c>
      <c r="K885" s="30">
        <v>1</v>
      </c>
      <c r="L885" s="9" t="s">
        <v>680</v>
      </c>
      <c r="M885" s="30" t="s">
        <v>84</v>
      </c>
      <c r="N885" s="30" t="s">
        <v>154</v>
      </c>
      <c r="O885" s="24">
        <v>0</v>
      </c>
      <c r="P885" s="24">
        <v>0</v>
      </c>
      <c r="Q885" s="24">
        <v>0</v>
      </c>
      <c r="R885" s="24">
        <v>169</v>
      </c>
      <c r="S885" s="24">
        <v>110</v>
      </c>
      <c r="T885" s="24">
        <v>279</v>
      </c>
    </row>
    <row r="886" spans="1:20">
      <c r="A886" s="9" t="s">
        <v>555</v>
      </c>
      <c r="B886" s="30" t="s">
        <v>654</v>
      </c>
      <c r="C886" s="30" t="str">
        <f>CONCATENATE(VOL_VOLUMEN_SUMINISTROS[[#This Row],[Proyecto]],VOL_VOLUMEN_SUMINISTROS[[#This Row],[J]],VOL_VOLUMEN_SUMINISTROS[[#This Row],[FIN DE SEMANA]])</f>
        <v>1052-1MNO</v>
      </c>
      <c r="D886" s="365" t="str">
        <f>CONCATENATE(VOL_VOLUMEN_SUMINISTROS[[#This Row],[Grupo]],VOL_VOLUMEN_SUMINISTROS[[#This Row],[Proyecto]],VOL_VOLUMEN_SUMINISTROS[[#This Row],[FIN DE SEMANA]])</f>
        <v>31052-1NO</v>
      </c>
      <c r="E886" s="30" t="s">
        <v>147</v>
      </c>
      <c r="F886" s="30" t="s">
        <v>148</v>
      </c>
      <c r="G886" s="365">
        <v>3</v>
      </c>
      <c r="H886" s="30">
        <v>4</v>
      </c>
      <c r="I886" s="9" t="s">
        <v>601</v>
      </c>
      <c r="J886" s="9" t="s">
        <v>679</v>
      </c>
      <c r="K886" s="30">
        <v>2</v>
      </c>
      <c r="L886" s="9" t="s">
        <v>681</v>
      </c>
      <c r="M886" s="30" t="s">
        <v>84</v>
      </c>
      <c r="N886" s="30" t="s">
        <v>152</v>
      </c>
      <c r="O886" s="24">
        <v>148</v>
      </c>
      <c r="P886" s="24">
        <v>96</v>
      </c>
      <c r="Q886" s="24">
        <v>15</v>
      </c>
      <c r="R886" s="24">
        <v>0</v>
      </c>
      <c r="S886" s="24">
        <v>0</v>
      </c>
      <c r="T886" s="24">
        <v>259</v>
      </c>
    </row>
    <row r="887" spans="1:20">
      <c r="A887" s="9" t="s">
        <v>555</v>
      </c>
      <c r="B887" s="30" t="s">
        <v>654</v>
      </c>
      <c r="C887" s="30" t="str">
        <f>CONCATENATE(VOL_VOLUMEN_SUMINISTROS[[#This Row],[Proyecto]],VOL_VOLUMEN_SUMINISTROS[[#This Row],[J]],VOL_VOLUMEN_SUMINISTROS[[#This Row],[FIN DE SEMANA]])</f>
        <v>1052-1TNO</v>
      </c>
      <c r="D887" s="365" t="str">
        <f>CONCATENATE(VOL_VOLUMEN_SUMINISTROS[[#This Row],[Grupo]],VOL_VOLUMEN_SUMINISTROS[[#This Row],[Proyecto]],VOL_VOLUMEN_SUMINISTROS[[#This Row],[FIN DE SEMANA]])</f>
        <v>31052-1NO</v>
      </c>
      <c r="E887" s="30" t="s">
        <v>147</v>
      </c>
      <c r="F887" s="30" t="s">
        <v>148</v>
      </c>
      <c r="G887" s="365">
        <v>3</v>
      </c>
      <c r="H887" s="30">
        <v>4</v>
      </c>
      <c r="I887" s="9" t="s">
        <v>601</v>
      </c>
      <c r="J887" s="9" t="s">
        <v>679</v>
      </c>
      <c r="K887" s="30">
        <v>2</v>
      </c>
      <c r="L887" s="9" t="s">
        <v>681</v>
      </c>
      <c r="M887" s="30" t="s">
        <v>84</v>
      </c>
      <c r="N887" s="30" t="s">
        <v>155</v>
      </c>
      <c r="O887" s="24">
        <v>69</v>
      </c>
      <c r="P887" s="24">
        <v>78</v>
      </c>
      <c r="Q887" s="24">
        <v>18</v>
      </c>
      <c r="R887" s="24">
        <v>0</v>
      </c>
      <c r="S887" s="24">
        <v>0</v>
      </c>
      <c r="T887" s="24">
        <v>165</v>
      </c>
    </row>
    <row r="888" spans="1:20">
      <c r="A888" s="9" t="s">
        <v>555</v>
      </c>
      <c r="B888" s="30" t="s">
        <v>654</v>
      </c>
      <c r="C888" s="30" t="str">
        <f>CONCATENATE(VOL_VOLUMEN_SUMINISTROS[[#This Row],[Proyecto]],VOL_VOLUMEN_SUMINISTROS[[#This Row],[J]],VOL_VOLUMEN_SUMINISTROS[[#This Row],[FIN DE SEMANA]])</f>
        <v>1052-1MNO</v>
      </c>
      <c r="D888" s="365" t="str">
        <f>CONCATENATE(VOL_VOLUMEN_SUMINISTROS[[#This Row],[Grupo]],VOL_VOLUMEN_SUMINISTROS[[#This Row],[Proyecto]],VOL_VOLUMEN_SUMINISTROS[[#This Row],[FIN DE SEMANA]])</f>
        <v>31052-1NO</v>
      </c>
      <c r="E888" s="30" t="s">
        <v>147</v>
      </c>
      <c r="F888" s="30" t="s">
        <v>148</v>
      </c>
      <c r="G888" s="365">
        <v>3</v>
      </c>
      <c r="H888" s="30">
        <v>4</v>
      </c>
      <c r="I888" s="9" t="s">
        <v>601</v>
      </c>
      <c r="J888" s="9" t="s">
        <v>679</v>
      </c>
      <c r="K888" s="30">
        <v>3</v>
      </c>
      <c r="L888" s="9" t="s">
        <v>458</v>
      </c>
      <c r="M888" s="30" t="s">
        <v>84</v>
      </c>
      <c r="N888" s="30" t="s">
        <v>152</v>
      </c>
      <c r="O888" s="24">
        <v>91</v>
      </c>
      <c r="P888" s="24">
        <v>0</v>
      </c>
      <c r="Q888" s="24">
        <v>0</v>
      </c>
      <c r="R888" s="24">
        <v>0</v>
      </c>
      <c r="S888" s="24">
        <v>0</v>
      </c>
      <c r="T888" s="24">
        <v>91</v>
      </c>
    </row>
    <row r="889" spans="1:20">
      <c r="A889" s="9" t="s">
        <v>555</v>
      </c>
      <c r="B889" s="30" t="s">
        <v>654</v>
      </c>
      <c r="C889" s="30" t="str">
        <f>CONCATENATE(VOL_VOLUMEN_SUMINISTROS[[#This Row],[Proyecto]],VOL_VOLUMEN_SUMINISTROS[[#This Row],[J]],VOL_VOLUMEN_SUMINISTROS[[#This Row],[FIN DE SEMANA]])</f>
        <v>1052-1MNO</v>
      </c>
      <c r="D889" s="365" t="str">
        <f>CONCATENATE(VOL_VOLUMEN_SUMINISTROS[[#This Row],[Grupo]],VOL_VOLUMEN_SUMINISTROS[[#This Row],[Proyecto]],VOL_VOLUMEN_SUMINISTROS[[#This Row],[FIN DE SEMANA]])</f>
        <v>31052-1NO</v>
      </c>
      <c r="E889" s="30" t="s">
        <v>147</v>
      </c>
      <c r="F889" s="30" t="s">
        <v>148</v>
      </c>
      <c r="G889" s="365">
        <v>3</v>
      </c>
      <c r="H889" s="30">
        <v>4</v>
      </c>
      <c r="I889" s="9" t="s">
        <v>601</v>
      </c>
      <c r="J889" s="9" t="s">
        <v>682</v>
      </c>
      <c r="K889" s="30">
        <v>1</v>
      </c>
      <c r="L889" s="9" t="s">
        <v>683</v>
      </c>
      <c r="M889" s="30" t="s">
        <v>84</v>
      </c>
      <c r="N889" s="30" t="s">
        <v>152</v>
      </c>
      <c r="O889" s="24">
        <v>50</v>
      </c>
      <c r="P889" s="24">
        <v>240</v>
      </c>
      <c r="Q889" s="24">
        <v>287</v>
      </c>
      <c r="R889" s="24">
        <v>0</v>
      </c>
      <c r="S889" s="24">
        <v>0</v>
      </c>
      <c r="T889" s="24">
        <v>577</v>
      </c>
    </row>
    <row r="890" spans="1:20">
      <c r="A890" s="9" t="s">
        <v>555</v>
      </c>
      <c r="B890" s="30" t="s">
        <v>654</v>
      </c>
      <c r="C890" s="30" t="str">
        <f>CONCATENATE(VOL_VOLUMEN_SUMINISTROS[[#This Row],[Proyecto]],VOL_VOLUMEN_SUMINISTROS[[#This Row],[J]],VOL_VOLUMEN_SUMINISTROS[[#This Row],[FIN DE SEMANA]])</f>
        <v>1052-1TNO</v>
      </c>
      <c r="D890" s="365" t="str">
        <f>CONCATENATE(VOL_VOLUMEN_SUMINISTROS[[#This Row],[Grupo]],VOL_VOLUMEN_SUMINISTROS[[#This Row],[Proyecto]],VOL_VOLUMEN_SUMINISTROS[[#This Row],[FIN DE SEMANA]])</f>
        <v>31052-1NO</v>
      </c>
      <c r="E890" s="30" t="s">
        <v>147</v>
      </c>
      <c r="F890" s="30" t="s">
        <v>148</v>
      </c>
      <c r="G890" s="365">
        <v>3</v>
      </c>
      <c r="H890" s="30">
        <v>4</v>
      </c>
      <c r="I890" s="9" t="s">
        <v>601</v>
      </c>
      <c r="J890" s="9" t="s">
        <v>682</v>
      </c>
      <c r="K890" s="30">
        <v>1</v>
      </c>
      <c r="L890" s="9" t="s">
        <v>683</v>
      </c>
      <c r="M890" s="30" t="s">
        <v>84</v>
      </c>
      <c r="N890" s="30" t="s">
        <v>155</v>
      </c>
      <c r="O890" s="24">
        <v>47</v>
      </c>
      <c r="P890" s="24">
        <v>108</v>
      </c>
      <c r="Q890" s="24">
        <v>161</v>
      </c>
      <c r="R890" s="24">
        <v>0</v>
      </c>
      <c r="S890" s="24">
        <v>0</v>
      </c>
      <c r="T890" s="24">
        <v>316</v>
      </c>
    </row>
    <row r="891" spans="1:20">
      <c r="A891" s="9" t="s">
        <v>555</v>
      </c>
      <c r="B891" s="30" t="s">
        <v>654</v>
      </c>
      <c r="C891" s="30" t="str">
        <f>CONCATENATE(VOL_VOLUMEN_SUMINISTROS[[#This Row],[Proyecto]],VOL_VOLUMEN_SUMINISTROS[[#This Row],[J]],VOL_VOLUMEN_SUMINISTROS[[#This Row],[FIN DE SEMANA]])</f>
        <v>1052-1MNO</v>
      </c>
      <c r="D891" s="365" t="str">
        <f>CONCATENATE(VOL_VOLUMEN_SUMINISTROS[[#This Row],[Grupo]],VOL_VOLUMEN_SUMINISTROS[[#This Row],[Proyecto]],VOL_VOLUMEN_SUMINISTROS[[#This Row],[FIN DE SEMANA]])</f>
        <v>31052-1NO</v>
      </c>
      <c r="E891" s="30" t="s">
        <v>147</v>
      </c>
      <c r="F891" s="30" t="s">
        <v>148</v>
      </c>
      <c r="G891" s="365">
        <v>3</v>
      </c>
      <c r="H891" s="30">
        <v>4</v>
      </c>
      <c r="I891" s="9" t="s">
        <v>601</v>
      </c>
      <c r="J891" s="9" t="s">
        <v>682</v>
      </c>
      <c r="K891" s="30">
        <v>2</v>
      </c>
      <c r="L891" s="9" t="s">
        <v>684</v>
      </c>
      <c r="M891" s="30" t="s">
        <v>84</v>
      </c>
      <c r="N891" s="30" t="s">
        <v>152</v>
      </c>
      <c r="O891" s="24">
        <v>175</v>
      </c>
      <c r="P891" s="24">
        <v>74</v>
      </c>
      <c r="Q891" s="24">
        <v>0</v>
      </c>
      <c r="R891" s="24">
        <v>0</v>
      </c>
      <c r="S891" s="24">
        <v>0</v>
      </c>
      <c r="T891" s="24">
        <v>249</v>
      </c>
    </row>
    <row r="892" spans="1:20">
      <c r="A892" s="9" t="s">
        <v>555</v>
      </c>
      <c r="B892" s="30" t="s">
        <v>654</v>
      </c>
      <c r="C892" s="30" t="str">
        <f>CONCATENATE(VOL_VOLUMEN_SUMINISTROS[[#This Row],[Proyecto]],VOL_VOLUMEN_SUMINISTROS[[#This Row],[J]],VOL_VOLUMEN_SUMINISTROS[[#This Row],[FIN DE SEMANA]])</f>
        <v>1052-1TNO</v>
      </c>
      <c r="D892" s="365" t="str">
        <f>CONCATENATE(VOL_VOLUMEN_SUMINISTROS[[#This Row],[Grupo]],VOL_VOLUMEN_SUMINISTROS[[#This Row],[Proyecto]],VOL_VOLUMEN_SUMINISTROS[[#This Row],[FIN DE SEMANA]])</f>
        <v>31052-1NO</v>
      </c>
      <c r="E892" s="30" t="s">
        <v>147</v>
      </c>
      <c r="F892" s="30" t="s">
        <v>148</v>
      </c>
      <c r="G892" s="365">
        <v>3</v>
      </c>
      <c r="H892" s="30">
        <v>4</v>
      </c>
      <c r="I892" s="9" t="s">
        <v>601</v>
      </c>
      <c r="J892" s="9" t="s">
        <v>682</v>
      </c>
      <c r="K892" s="30">
        <v>2</v>
      </c>
      <c r="L892" s="9" t="s">
        <v>684</v>
      </c>
      <c r="M892" s="30" t="s">
        <v>84</v>
      </c>
      <c r="N892" s="30" t="s">
        <v>155</v>
      </c>
      <c r="O892" s="24">
        <v>121</v>
      </c>
      <c r="P892" s="24">
        <v>96</v>
      </c>
      <c r="Q892" s="24">
        <v>16</v>
      </c>
      <c r="R892" s="24">
        <v>0</v>
      </c>
      <c r="S892" s="24">
        <v>0</v>
      </c>
      <c r="T892" s="24">
        <v>233</v>
      </c>
    </row>
    <row r="893" spans="1:20">
      <c r="A893" s="9" t="s">
        <v>555</v>
      </c>
      <c r="B893" s="30" t="s">
        <v>654</v>
      </c>
      <c r="C893" s="30" t="str">
        <f>CONCATENATE(VOL_VOLUMEN_SUMINISTROS[[#This Row],[Proyecto]],VOL_VOLUMEN_SUMINISTROS[[#This Row],[J]],VOL_VOLUMEN_SUMINISTROS[[#This Row],[FIN DE SEMANA]])</f>
        <v>1052-1MNO</v>
      </c>
      <c r="D893" s="365" t="str">
        <f>CONCATENATE(VOL_VOLUMEN_SUMINISTROS[[#This Row],[Grupo]],VOL_VOLUMEN_SUMINISTROS[[#This Row],[Proyecto]],VOL_VOLUMEN_SUMINISTROS[[#This Row],[FIN DE SEMANA]])</f>
        <v>31052-1NO</v>
      </c>
      <c r="E893" s="30" t="s">
        <v>147</v>
      </c>
      <c r="F893" s="30" t="s">
        <v>148</v>
      </c>
      <c r="G893" s="365">
        <v>3</v>
      </c>
      <c r="H893" s="30">
        <v>4</v>
      </c>
      <c r="I893" s="9" t="s">
        <v>601</v>
      </c>
      <c r="J893" s="9" t="s">
        <v>685</v>
      </c>
      <c r="K893" s="30">
        <v>1</v>
      </c>
      <c r="L893" s="9" t="s">
        <v>686</v>
      </c>
      <c r="M893" s="30" t="s">
        <v>84</v>
      </c>
      <c r="N893" s="30" t="s">
        <v>152</v>
      </c>
      <c r="O893" s="24">
        <v>0</v>
      </c>
      <c r="P893" s="24">
        <v>207</v>
      </c>
      <c r="Q893" s="24">
        <v>367</v>
      </c>
      <c r="R893" s="24">
        <v>0</v>
      </c>
      <c r="S893" s="24">
        <v>0</v>
      </c>
      <c r="T893" s="24">
        <v>574</v>
      </c>
    </row>
    <row r="894" spans="1:20">
      <c r="A894" s="9" t="s">
        <v>555</v>
      </c>
      <c r="B894" s="30" t="s">
        <v>654</v>
      </c>
      <c r="C894" s="30" t="str">
        <f>CONCATENATE(VOL_VOLUMEN_SUMINISTROS[[#This Row],[Proyecto]],VOL_VOLUMEN_SUMINISTROS[[#This Row],[J]],VOL_VOLUMEN_SUMINISTROS[[#This Row],[FIN DE SEMANA]])</f>
        <v>1052-1TNO</v>
      </c>
      <c r="D894" s="365" t="str">
        <f>CONCATENATE(VOL_VOLUMEN_SUMINISTROS[[#This Row],[Grupo]],VOL_VOLUMEN_SUMINISTROS[[#This Row],[Proyecto]],VOL_VOLUMEN_SUMINISTROS[[#This Row],[FIN DE SEMANA]])</f>
        <v>31052-1NO</v>
      </c>
      <c r="E894" s="30" t="s">
        <v>147</v>
      </c>
      <c r="F894" s="30" t="s">
        <v>148</v>
      </c>
      <c r="G894" s="365">
        <v>3</v>
      </c>
      <c r="H894" s="30">
        <v>4</v>
      </c>
      <c r="I894" s="9" t="s">
        <v>601</v>
      </c>
      <c r="J894" s="9" t="s">
        <v>685</v>
      </c>
      <c r="K894" s="30">
        <v>1</v>
      </c>
      <c r="L894" s="9" t="s">
        <v>686</v>
      </c>
      <c r="M894" s="30" t="s">
        <v>84</v>
      </c>
      <c r="N894" s="30" t="s">
        <v>155</v>
      </c>
      <c r="O894" s="24">
        <v>0</v>
      </c>
      <c r="P894" s="24">
        <v>138</v>
      </c>
      <c r="Q894" s="24">
        <v>178</v>
      </c>
      <c r="R894" s="24">
        <v>0</v>
      </c>
      <c r="S894" s="24">
        <v>0</v>
      </c>
      <c r="T894" s="24">
        <v>316</v>
      </c>
    </row>
    <row r="895" spans="1:20">
      <c r="A895" s="9" t="s">
        <v>555</v>
      </c>
      <c r="B895" s="30" t="s">
        <v>654</v>
      </c>
      <c r="C895" s="30" t="str">
        <f>CONCATENATE(VOL_VOLUMEN_SUMINISTROS[[#This Row],[Proyecto]],VOL_VOLUMEN_SUMINISTROS[[#This Row],[J]],VOL_VOLUMEN_SUMINISTROS[[#This Row],[FIN DE SEMANA]])</f>
        <v>1052-1MNO</v>
      </c>
      <c r="D895" s="365" t="str">
        <f>CONCATENATE(VOL_VOLUMEN_SUMINISTROS[[#This Row],[Grupo]],VOL_VOLUMEN_SUMINISTROS[[#This Row],[Proyecto]],VOL_VOLUMEN_SUMINISTROS[[#This Row],[FIN DE SEMANA]])</f>
        <v>31052-1NO</v>
      </c>
      <c r="E895" s="30" t="s">
        <v>147</v>
      </c>
      <c r="F895" s="30" t="s">
        <v>148</v>
      </c>
      <c r="G895" s="365">
        <v>3</v>
      </c>
      <c r="H895" s="30">
        <v>4</v>
      </c>
      <c r="I895" s="9" t="s">
        <v>601</v>
      </c>
      <c r="J895" s="9" t="s">
        <v>685</v>
      </c>
      <c r="K895" s="30">
        <v>2</v>
      </c>
      <c r="L895" s="9" t="s">
        <v>687</v>
      </c>
      <c r="M895" s="30" t="s">
        <v>84</v>
      </c>
      <c r="N895" s="30" t="s">
        <v>152</v>
      </c>
      <c r="O895" s="24">
        <v>179</v>
      </c>
      <c r="P895" s="24">
        <v>138</v>
      </c>
      <c r="Q895" s="24">
        <v>24</v>
      </c>
      <c r="R895" s="24">
        <v>0</v>
      </c>
      <c r="S895" s="24">
        <v>0</v>
      </c>
      <c r="T895" s="24">
        <v>341</v>
      </c>
    </row>
    <row r="896" spans="1:20">
      <c r="A896" s="9" t="s">
        <v>555</v>
      </c>
      <c r="B896" s="30" t="s">
        <v>654</v>
      </c>
      <c r="C896" s="30" t="str">
        <f>CONCATENATE(VOL_VOLUMEN_SUMINISTROS[[#This Row],[Proyecto]],VOL_VOLUMEN_SUMINISTROS[[#This Row],[J]],VOL_VOLUMEN_SUMINISTROS[[#This Row],[FIN DE SEMANA]])</f>
        <v>1052-1TNO</v>
      </c>
      <c r="D896" s="365" t="str">
        <f>CONCATENATE(VOL_VOLUMEN_SUMINISTROS[[#This Row],[Grupo]],VOL_VOLUMEN_SUMINISTROS[[#This Row],[Proyecto]],VOL_VOLUMEN_SUMINISTROS[[#This Row],[FIN DE SEMANA]])</f>
        <v>31052-1NO</v>
      </c>
      <c r="E896" s="30" t="s">
        <v>147</v>
      </c>
      <c r="F896" s="30" t="s">
        <v>148</v>
      </c>
      <c r="G896" s="365">
        <v>3</v>
      </c>
      <c r="H896" s="30">
        <v>4</v>
      </c>
      <c r="I896" s="9" t="s">
        <v>601</v>
      </c>
      <c r="J896" s="9" t="s">
        <v>685</v>
      </c>
      <c r="K896" s="30">
        <v>2</v>
      </c>
      <c r="L896" s="9" t="s">
        <v>687</v>
      </c>
      <c r="M896" s="30" t="s">
        <v>84</v>
      </c>
      <c r="N896" s="30" t="s">
        <v>155</v>
      </c>
      <c r="O896" s="24">
        <v>198</v>
      </c>
      <c r="P896" s="24">
        <v>131</v>
      </c>
      <c r="Q896" s="24">
        <v>28</v>
      </c>
      <c r="R896" s="24">
        <v>0</v>
      </c>
      <c r="S896" s="24">
        <v>0</v>
      </c>
      <c r="T896" s="24">
        <v>357</v>
      </c>
    </row>
    <row r="897" spans="1:20">
      <c r="A897" s="9" t="s">
        <v>555</v>
      </c>
      <c r="B897" s="30" t="s">
        <v>654</v>
      </c>
      <c r="C897" s="30" t="str">
        <f>CONCATENATE(VOL_VOLUMEN_SUMINISTROS[[#This Row],[Proyecto]],VOL_VOLUMEN_SUMINISTROS[[#This Row],[J]],VOL_VOLUMEN_SUMINISTROS[[#This Row],[FIN DE SEMANA]])</f>
        <v>1052-1MNO</v>
      </c>
      <c r="D897" s="365" t="str">
        <f>CONCATENATE(VOL_VOLUMEN_SUMINISTROS[[#This Row],[Grupo]],VOL_VOLUMEN_SUMINISTROS[[#This Row],[Proyecto]],VOL_VOLUMEN_SUMINISTROS[[#This Row],[FIN DE SEMANA]])</f>
        <v>31052-1NO</v>
      </c>
      <c r="E897" s="30" t="s">
        <v>147</v>
      </c>
      <c r="F897" s="30" t="s">
        <v>148</v>
      </c>
      <c r="G897" s="365">
        <v>3</v>
      </c>
      <c r="H897" s="30">
        <v>4</v>
      </c>
      <c r="I897" s="9" t="s">
        <v>601</v>
      </c>
      <c r="J897" s="9" t="s">
        <v>688</v>
      </c>
      <c r="K897" s="30">
        <v>1</v>
      </c>
      <c r="L897" s="9" t="s">
        <v>689</v>
      </c>
      <c r="M897" s="30" t="s">
        <v>84</v>
      </c>
      <c r="N897" s="30" t="s">
        <v>152</v>
      </c>
      <c r="O897" s="24">
        <v>48</v>
      </c>
      <c r="P897" s="24">
        <v>252</v>
      </c>
      <c r="Q897" s="24">
        <v>354</v>
      </c>
      <c r="R897" s="24">
        <v>0</v>
      </c>
      <c r="S897" s="24">
        <v>0</v>
      </c>
      <c r="T897" s="24">
        <v>654</v>
      </c>
    </row>
    <row r="898" spans="1:20">
      <c r="A898" s="9" t="s">
        <v>555</v>
      </c>
      <c r="B898" s="30" t="s">
        <v>654</v>
      </c>
      <c r="C898" s="30" t="str">
        <f>CONCATENATE(VOL_VOLUMEN_SUMINISTROS[[#This Row],[Proyecto]],VOL_VOLUMEN_SUMINISTROS[[#This Row],[J]],VOL_VOLUMEN_SUMINISTROS[[#This Row],[FIN DE SEMANA]])</f>
        <v>1052-1TNO</v>
      </c>
      <c r="D898" s="365" t="str">
        <f>CONCATENATE(VOL_VOLUMEN_SUMINISTROS[[#This Row],[Grupo]],VOL_VOLUMEN_SUMINISTROS[[#This Row],[Proyecto]],VOL_VOLUMEN_SUMINISTROS[[#This Row],[FIN DE SEMANA]])</f>
        <v>31052-1NO</v>
      </c>
      <c r="E898" s="30" t="s">
        <v>147</v>
      </c>
      <c r="F898" s="30" t="s">
        <v>148</v>
      </c>
      <c r="G898" s="365">
        <v>3</v>
      </c>
      <c r="H898" s="30">
        <v>4</v>
      </c>
      <c r="I898" s="9" t="s">
        <v>601</v>
      </c>
      <c r="J898" s="9" t="s">
        <v>688</v>
      </c>
      <c r="K898" s="30">
        <v>1</v>
      </c>
      <c r="L898" s="9" t="s">
        <v>689</v>
      </c>
      <c r="M898" s="30" t="s">
        <v>84</v>
      </c>
      <c r="N898" s="30" t="s">
        <v>155</v>
      </c>
      <c r="O898" s="24">
        <v>44</v>
      </c>
      <c r="P898" s="24">
        <v>223</v>
      </c>
      <c r="Q898" s="24">
        <v>297</v>
      </c>
      <c r="R898" s="24">
        <v>0</v>
      </c>
      <c r="S898" s="24">
        <v>0</v>
      </c>
      <c r="T898" s="24">
        <v>564</v>
      </c>
    </row>
    <row r="899" spans="1:20">
      <c r="A899" s="9" t="s">
        <v>555</v>
      </c>
      <c r="B899" s="30" t="s">
        <v>654</v>
      </c>
      <c r="C899" s="30" t="str">
        <f>CONCATENATE(VOL_VOLUMEN_SUMINISTROS[[#This Row],[Proyecto]],VOL_VOLUMEN_SUMINISTROS[[#This Row],[J]],VOL_VOLUMEN_SUMINISTROS[[#This Row],[FIN DE SEMANA]])</f>
        <v>1052-1MNO</v>
      </c>
      <c r="D899" s="365" t="str">
        <f>CONCATENATE(VOL_VOLUMEN_SUMINISTROS[[#This Row],[Grupo]],VOL_VOLUMEN_SUMINISTROS[[#This Row],[Proyecto]],VOL_VOLUMEN_SUMINISTROS[[#This Row],[FIN DE SEMANA]])</f>
        <v>31052-1NO</v>
      </c>
      <c r="E899" s="30" t="s">
        <v>147</v>
      </c>
      <c r="F899" s="30" t="s">
        <v>148</v>
      </c>
      <c r="G899" s="365">
        <v>3</v>
      </c>
      <c r="H899" s="30">
        <v>4</v>
      </c>
      <c r="I899" s="9" t="s">
        <v>601</v>
      </c>
      <c r="J899" s="9" t="s">
        <v>688</v>
      </c>
      <c r="K899" s="30">
        <v>2</v>
      </c>
      <c r="L899" s="9" t="s">
        <v>690</v>
      </c>
      <c r="M899" s="30" t="s">
        <v>84</v>
      </c>
      <c r="N899" s="30" t="s">
        <v>152</v>
      </c>
      <c r="O899" s="24">
        <v>141</v>
      </c>
      <c r="P899" s="24">
        <v>43</v>
      </c>
      <c r="Q899" s="24">
        <v>0</v>
      </c>
      <c r="R899" s="24">
        <v>0</v>
      </c>
      <c r="S899" s="24">
        <v>0</v>
      </c>
      <c r="T899" s="24">
        <v>184</v>
      </c>
    </row>
    <row r="900" spans="1:20">
      <c r="A900" s="9" t="s">
        <v>555</v>
      </c>
      <c r="B900" s="30" t="s">
        <v>654</v>
      </c>
      <c r="C900" s="30" t="str">
        <f>CONCATENATE(VOL_VOLUMEN_SUMINISTROS[[#This Row],[Proyecto]],VOL_VOLUMEN_SUMINISTROS[[#This Row],[J]],VOL_VOLUMEN_SUMINISTROS[[#This Row],[FIN DE SEMANA]])</f>
        <v>1052-1TNO</v>
      </c>
      <c r="D900" s="365" t="str">
        <f>CONCATENATE(VOL_VOLUMEN_SUMINISTROS[[#This Row],[Grupo]],VOL_VOLUMEN_SUMINISTROS[[#This Row],[Proyecto]],VOL_VOLUMEN_SUMINISTROS[[#This Row],[FIN DE SEMANA]])</f>
        <v>31052-1NO</v>
      </c>
      <c r="E900" s="30" t="s">
        <v>147</v>
      </c>
      <c r="F900" s="30" t="s">
        <v>148</v>
      </c>
      <c r="G900" s="365">
        <v>3</v>
      </c>
      <c r="H900" s="30">
        <v>4</v>
      </c>
      <c r="I900" s="9" t="s">
        <v>601</v>
      </c>
      <c r="J900" s="9" t="s">
        <v>688</v>
      </c>
      <c r="K900" s="30">
        <v>2</v>
      </c>
      <c r="L900" s="9" t="s">
        <v>690</v>
      </c>
      <c r="M900" s="30" t="s">
        <v>84</v>
      </c>
      <c r="N900" s="30" t="s">
        <v>155</v>
      </c>
      <c r="O900" s="24">
        <v>132</v>
      </c>
      <c r="P900" s="24">
        <v>43</v>
      </c>
      <c r="Q900" s="24">
        <v>0</v>
      </c>
      <c r="R900" s="24">
        <v>0</v>
      </c>
      <c r="S900" s="24">
        <v>0</v>
      </c>
      <c r="T900" s="24">
        <v>175</v>
      </c>
    </row>
    <row r="901" spans="1:20">
      <c r="A901" s="9" t="s">
        <v>555</v>
      </c>
      <c r="B901" s="30" t="s">
        <v>654</v>
      </c>
      <c r="C901" s="30" t="str">
        <f>CONCATENATE(VOL_VOLUMEN_SUMINISTROS[[#This Row],[Proyecto]],VOL_VOLUMEN_SUMINISTROS[[#This Row],[J]],VOL_VOLUMEN_SUMINISTROS[[#This Row],[FIN DE SEMANA]])</f>
        <v>1052-1MNO</v>
      </c>
      <c r="D901" s="365" t="str">
        <f>CONCATENATE(VOL_VOLUMEN_SUMINISTROS[[#This Row],[Grupo]],VOL_VOLUMEN_SUMINISTROS[[#This Row],[Proyecto]],VOL_VOLUMEN_SUMINISTROS[[#This Row],[FIN DE SEMANA]])</f>
        <v>31052-1NO</v>
      </c>
      <c r="E901" s="30" t="s">
        <v>147</v>
      </c>
      <c r="F901" s="30" t="s">
        <v>148</v>
      </c>
      <c r="G901" s="365">
        <v>3</v>
      </c>
      <c r="H901" s="30">
        <v>4</v>
      </c>
      <c r="I901" s="9" t="s">
        <v>601</v>
      </c>
      <c r="J901" s="9" t="s">
        <v>691</v>
      </c>
      <c r="K901" s="30">
        <v>1</v>
      </c>
      <c r="L901" s="9" t="s">
        <v>692</v>
      </c>
      <c r="M901" s="30" t="s">
        <v>84</v>
      </c>
      <c r="N901" s="30" t="s">
        <v>152</v>
      </c>
      <c r="O901" s="24">
        <v>495</v>
      </c>
      <c r="P901" s="24">
        <v>641</v>
      </c>
      <c r="Q901" s="24">
        <v>768</v>
      </c>
      <c r="R901" s="24">
        <v>0</v>
      </c>
      <c r="S901" s="24">
        <v>0</v>
      </c>
      <c r="T901" s="24">
        <v>1904</v>
      </c>
    </row>
    <row r="902" spans="1:20">
      <c r="A902" s="9" t="s">
        <v>555</v>
      </c>
      <c r="B902" s="30" t="s">
        <v>654</v>
      </c>
      <c r="C902" s="30" t="str">
        <f>CONCATENATE(VOL_VOLUMEN_SUMINISTROS[[#This Row],[Proyecto]],VOL_VOLUMEN_SUMINISTROS[[#This Row],[J]],VOL_VOLUMEN_SUMINISTROS[[#This Row],[FIN DE SEMANA]])</f>
        <v>1052-1TNO</v>
      </c>
      <c r="D902" s="365" t="str">
        <f>CONCATENATE(VOL_VOLUMEN_SUMINISTROS[[#This Row],[Grupo]],VOL_VOLUMEN_SUMINISTROS[[#This Row],[Proyecto]],VOL_VOLUMEN_SUMINISTROS[[#This Row],[FIN DE SEMANA]])</f>
        <v>31052-1NO</v>
      </c>
      <c r="E902" s="30" t="s">
        <v>147</v>
      </c>
      <c r="F902" s="30" t="s">
        <v>148</v>
      </c>
      <c r="G902" s="365">
        <v>3</v>
      </c>
      <c r="H902" s="30">
        <v>4</v>
      </c>
      <c r="I902" s="9" t="s">
        <v>601</v>
      </c>
      <c r="J902" s="9" t="s">
        <v>691</v>
      </c>
      <c r="K902" s="30">
        <v>1</v>
      </c>
      <c r="L902" s="9" t="s">
        <v>692</v>
      </c>
      <c r="M902" s="30" t="s">
        <v>84</v>
      </c>
      <c r="N902" s="30" t="s">
        <v>155</v>
      </c>
      <c r="O902" s="24">
        <v>485</v>
      </c>
      <c r="P902" s="24">
        <v>608</v>
      </c>
      <c r="Q902" s="24">
        <v>646</v>
      </c>
      <c r="R902" s="24">
        <v>0</v>
      </c>
      <c r="S902" s="24">
        <v>0</v>
      </c>
      <c r="T902" s="24">
        <v>1739</v>
      </c>
    </row>
    <row r="903" spans="1:20">
      <c r="A903" s="9" t="s">
        <v>555</v>
      </c>
      <c r="B903" s="30" t="s">
        <v>654</v>
      </c>
      <c r="C903" s="30" t="str">
        <f>CONCATENATE(VOL_VOLUMEN_SUMINISTROS[[#This Row],[Proyecto]],VOL_VOLUMEN_SUMINISTROS[[#This Row],[J]],VOL_VOLUMEN_SUMINISTROS[[#This Row],[FIN DE SEMANA]])</f>
        <v>1052-1MNO</v>
      </c>
      <c r="D903" s="365" t="str">
        <f>CONCATENATE(VOL_VOLUMEN_SUMINISTROS[[#This Row],[Grupo]],VOL_VOLUMEN_SUMINISTROS[[#This Row],[Proyecto]],VOL_VOLUMEN_SUMINISTROS[[#This Row],[FIN DE SEMANA]])</f>
        <v>31052-1NO</v>
      </c>
      <c r="E903" s="30" t="s">
        <v>147</v>
      </c>
      <c r="F903" s="30" t="s">
        <v>148</v>
      </c>
      <c r="G903" s="365">
        <v>3</v>
      </c>
      <c r="H903" s="30">
        <v>4</v>
      </c>
      <c r="I903" s="9" t="s">
        <v>601</v>
      </c>
      <c r="J903" s="9" t="s">
        <v>693</v>
      </c>
      <c r="K903" s="30">
        <v>1</v>
      </c>
      <c r="L903" s="9" t="s">
        <v>694</v>
      </c>
      <c r="M903" s="30" t="s">
        <v>84</v>
      </c>
      <c r="N903" s="30" t="s">
        <v>152</v>
      </c>
      <c r="O903" s="24">
        <v>30</v>
      </c>
      <c r="P903" s="24">
        <v>12</v>
      </c>
      <c r="Q903" s="24">
        <v>2</v>
      </c>
      <c r="R903" s="24">
        <v>0</v>
      </c>
      <c r="S903" s="24">
        <v>0</v>
      </c>
      <c r="T903" s="24">
        <v>44</v>
      </c>
    </row>
    <row r="904" spans="1:20">
      <c r="A904" s="9" t="s">
        <v>555</v>
      </c>
      <c r="B904" s="30" t="s">
        <v>654</v>
      </c>
      <c r="C904" s="30" t="str">
        <f>CONCATENATE(VOL_VOLUMEN_SUMINISTROS[[#This Row],[Proyecto]],VOL_VOLUMEN_SUMINISTROS[[#This Row],[J]],VOL_VOLUMEN_SUMINISTROS[[#This Row],[FIN DE SEMANA]])</f>
        <v>1052-1MNO</v>
      </c>
      <c r="D904" s="365" t="str">
        <f>CONCATENATE(VOL_VOLUMEN_SUMINISTROS[[#This Row],[Grupo]],VOL_VOLUMEN_SUMINISTROS[[#This Row],[Proyecto]],VOL_VOLUMEN_SUMINISTROS[[#This Row],[FIN DE SEMANA]])</f>
        <v>31052-1NO</v>
      </c>
      <c r="E904" s="30" t="s">
        <v>147</v>
      </c>
      <c r="F904" s="30" t="s">
        <v>148</v>
      </c>
      <c r="G904" s="365">
        <v>3</v>
      </c>
      <c r="H904" s="30">
        <v>4</v>
      </c>
      <c r="I904" s="9" t="s">
        <v>601</v>
      </c>
      <c r="J904" s="9" t="s">
        <v>695</v>
      </c>
      <c r="K904" s="30">
        <v>1</v>
      </c>
      <c r="L904" s="9" t="s">
        <v>153</v>
      </c>
      <c r="M904" s="30" t="s">
        <v>84</v>
      </c>
      <c r="N904" s="30" t="s">
        <v>152</v>
      </c>
      <c r="O904" s="24">
        <v>0</v>
      </c>
      <c r="P904" s="24">
        <v>159</v>
      </c>
      <c r="Q904" s="24">
        <v>389</v>
      </c>
      <c r="R904" s="24">
        <v>0</v>
      </c>
      <c r="S904" s="24">
        <v>0</v>
      </c>
      <c r="T904" s="24">
        <v>548</v>
      </c>
    </row>
    <row r="905" spans="1:20">
      <c r="A905" s="9" t="s">
        <v>555</v>
      </c>
      <c r="B905" s="30" t="s">
        <v>654</v>
      </c>
      <c r="C905" s="30" t="str">
        <f>CONCATENATE(VOL_VOLUMEN_SUMINISTROS[[#This Row],[Proyecto]],VOL_VOLUMEN_SUMINISTROS[[#This Row],[J]],VOL_VOLUMEN_SUMINISTROS[[#This Row],[FIN DE SEMANA]])</f>
        <v>1052-1TNO</v>
      </c>
      <c r="D905" s="365" t="str">
        <f>CONCATENATE(VOL_VOLUMEN_SUMINISTROS[[#This Row],[Grupo]],VOL_VOLUMEN_SUMINISTROS[[#This Row],[Proyecto]],VOL_VOLUMEN_SUMINISTROS[[#This Row],[FIN DE SEMANA]])</f>
        <v>31052-1NO</v>
      </c>
      <c r="E905" s="30" t="s">
        <v>147</v>
      </c>
      <c r="F905" s="30" t="s">
        <v>148</v>
      </c>
      <c r="G905" s="365">
        <v>3</v>
      </c>
      <c r="H905" s="30">
        <v>4</v>
      </c>
      <c r="I905" s="9" t="s">
        <v>601</v>
      </c>
      <c r="J905" s="9" t="s">
        <v>695</v>
      </c>
      <c r="K905" s="30">
        <v>1</v>
      </c>
      <c r="L905" s="9" t="s">
        <v>153</v>
      </c>
      <c r="M905" s="30" t="s">
        <v>84</v>
      </c>
      <c r="N905" s="30" t="s">
        <v>155</v>
      </c>
      <c r="O905" s="24">
        <v>0</v>
      </c>
      <c r="P905" s="24">
        <v>72</v>
      </c>
      <c r="Q905" s="24">
        <v>178</v>
      </c>
      <c r="R905" s="24">
        <v>0</v>
      </c>
      <c r="S905" s="24">
        <v>0</v>
      </c>
      <c r="T905" s="24">
        <v>250</v>
      </c>
    </row>
    <row r="906" spans="1:20">
      <c r="A906" s="9" t="s">
        <v>555</v>
      </c>
      <c r="B906" s="30" t="s">
        <v>654</v>
      </c>
      <c r="C906" s="30" t="str">
        <f>CONCATENATE(VOL_VOLUMEN_SUMINISTROS[[#This Row],[Proyecto]],VOL_VOLUMEN_SUMINISTROS[[#This Row],[J]],VOL_VOLUMEN_SUMINISTROS[[#This Row],[FIN DE SEMANA]])</f>
        <v>1052-1MNO</v>
      </c>
      <c r="D906" s="365" t="str">
        <f>CONCATENATE(VOL_VOLUMEN_SUMINISTROS[[#This Row],[Grupo]],VOL_VOLUMEN_SUMINISTROS[[#This Row],[Proyecto]],VOL_VOLUMEN_SUMINISTROS[[#This Row],[FIN DE SEMANA]])</f>
        <v>31052-1NO</v>
      </c>
      <c r="E906" s="30" t="s">
        <v>147</v>
      </c>
      <c r="F906" s="30" t="s">
        <v>148</v>
      </c>
      <c r="G906" s="365">
        <v>3</v>
      </c>
      <c r="H906" s="30">
        <v>4</v>
      </c>
      <c r="I906" s="9" t="s">
        <v>601</v>
      </c>
      <c r="J906" s="9" t="s">
        <v>695</v>
      </c>
      <c r="K906" s="30">
        <v>2</v>
      </c>
      <c r="L906" s="9" t="s">
        <v>165</v>
      </c>
      <c r="M906" s="30" t="s">
        <v>84</v>
      </c>
      <c r="N906" s="30" t="s">
        <v>152</v>
      </c>
      <c r="O906" s="24">
        <v>162</v>
      </c>
      <c r="P906" s="24">
        <v>139</v>
      </c>
      <c r="Q906" s="24">
        <v>30</v>
      </c>
      <c r="R906" s="24">
        <v>0</v>
      </c>
      <c r="S906" s="24">
        <v>0</v>
      </c>
      <c r="T906" s="24">
        <v>331</v>
      </c>
    </row>
    <row r="907" spans="1:20">
      <c r="A907" s="9" t="s">
        <v>555</v>
      </c>
      <c r="B907" s="30" t="s">
        <v>654</v>
      </c>
      <c r="C907" s="30" t="str">
        <f>CONCATENATE(VOL_VOLUMEN_SUMINISTROS[[#This Row],[Proyecto]],VOL_VOLUMEN_SUMINISTROS[[#This Row],[J]],VOL_VOLUMEN_SUMINISTROS[[#This Row],[FIN DE SEMANA]])</f>
        <v>1052-1TNO</v>
      </c>
      <c r="D907" s="365" t="str">
        <f>CONCATENATE(VOL_VOLUMEN_SUMINISTROS[[#This Row],[Grupo]],VOL_VOLUMEN_SUMINISTROS[[#This Row],[Proyecto]],VOL_VOLUMEN_SUMINISTROS[[#This Row],[FIN DE SEMANA]])</f>
        <v>31052-1NO</v>
      </c>
      <c r="E907" s="30" t="s">
        <v>147</v>
      </c>
      <c r="F907" s="30" t="s">
        <v>148</v>
      </c>
      <c r="G907" s="365">
        <v>3</v>
      </c>
      <c r="H907" s="30">
        <v>4</v>
      </c>
      <c r="I907" s="9" t="s">
        <v>601</v>
      </c>
      <c r="J907" s="9" t="s">
        <v>695</v>
      </c>
      <c r="K907" s="30">
        <v>2</v>
      </c>
      <c r="L907" s="9" t="s">
        <v>165</v>
      </c>
      <c r="M907" s="30" t="s">
        <v>84</v>
      </c>
      <c r="N907" s="30" t="s">
        <v>155</v>
      </c>
      <c r="O907" s="24">
        <v>139</v>
      </c>
      <c r="P907" s="24">
        <v>130</v>
      </c>
      <c r="Q907" s="24">
        <v>28</v>
      </c>
      <c r="R907" s="24">
        <v>0</v>
      </c>
      <c r="S907" s="24">
        <v>0</v>
      </c>
      <c r="T907" s="24">
        <v>297</v>
      </c>
    </row>
    <row r="908" spans="1:20">
      <c r="A908" s="9" t="s">
        <v>555</v>
      </c>
      <c r="B908" s="30" t="s">
        <v>654</v>
      </c>
      <c r="C908" s="30" t="str">
        <f>CONCATENATE(VOL_VOLUMEN_SUMINISTROS[[#This Row],[Proyecto]],VOL_VOLUMEN_SUMINISTROS[[#This Row],[J]],VOL_VOLUMEN_SUMINISTROS[[#This Row],[FIN DE SEMANA]])</f>
        <v>1052-1MNO</v>
      </c>
      <c r="D908" s="365" t="str">
        <f>CONCATENATE(VOL_VOLUMEN_SUMINISTROS[[#This Row],[Grupo]],VOL_VOLUMEN_SUMINISTROS[[#This Row],[Proyecto]],VOL_VOLUMEN_SUMINISTROS[[#This Row],[FIN DE SEMANA]])</f>
        <v>31052-1NO</v>
      </c>
      <c r="E908" s="30" t="s">
        <v>147</v>
      </c>
      <c r="F908" s="30" t="s">
        <v>148</v>
      </c>
      <c r="G908" s="365">
        <v>3</v>
      </c>
      <c r="H908" s="30">
        <v>4</v>
      </c>
      <c r="I908" s="9" t="s">
        <v>601</v>
      </c>
      <c r="J908" s="9" t="s">
        <v>696</v>
      </c>
      <c r="K908" s="30">
        <v>1</v>
      </c>
      <c r="L908" s="9" t="s">
        <v>697</v>
      </c>
      <c r="M908" s="30" t="s">
        <v>84</v>
      </c>
      <c r="N908" s="30" t="s">
        <v>152</v>
      </c>
      <c r="O908" s="24">
        <v>0</v>
      </c>
      <c r="P908" s="24">
        <v>0</v>
      </c>
      <c r="Q908" s="24">
        <v>700</v>
      </c>
      <c r="R908" s="24">
        <v>0</v>
      </c>
      <c r="S908" s="24">
        <v>0</v>
      </c>
      <c r="T908" s="24">
        <v>700</v>
      </c>
    </row>
    <row r="909" spans="1:20">
      <c r="A909" s="9" t="s">
        <v>555</v>
      </c>
      <c r="B909" s="30" t="s">
        <v>654</v>
      </c>
      <c r="C909" s="30" t="str">
        <f>CONCATENATE(VOL_VOLUMEN_SUMINISTROS[[#This Row],[Proyecto]],VOL_VOLUMEN_SUMINISTROS[[#This Row],[J]],VOL_VOLUMEN_SUMINISTROS[[#This Row],[FIN DE SEMANA]])</f>
        <v>1052-1MNO</v>
      </c>
      <c r="D909" s="365" t="str">
        <f>CONCATENATE(VOL_VOLUMEN_SUMINISTROS[[#This Row],[Grupo]],VOL_VOLUMEN_SUMINISTROS[[#This Row],[Proyecto]],VOL_VOLUMEN_SUMINISTROS[[#This Row],[FIN DE SEMANA]])</f>
        <v>31052-1NO</v>
      </c>
      <c r="E909" s="30" t="s">
        <v>147</v>
      </c>
      <c r="F909" s="30" t="s">
        <v>148</v>
      </c>
      <c r="G909" s="365">
        <v>3</v>
      </c>
      <c r="H909" s="30">
        <v>4</v>
      </c>
      <c r="I909" s="9" t="s">
        <v>601</v>
      </c>
      <c r="J909" s="9" t="s">
        <v>698</v>
      </c>
      <c r="K909" s="30">
        <v>1</v>
      </c>
      <c r="L909" s="9" t="s">
        <v>698</v>
      </c>
      <c r="M909" s="30" t="s">
        <v>84</v>
      </c>
      <c r="N909" s="30" t="s">
        <v>152</v>
      </c>
      <c r="O909" s="24">
        <v>0</v>
      </c>
      <c r="P909" s="24">
        <v>150</v>
      </c>
      <c r="Q909" s="24">
        <v>50</v>
      </c>
      <c r="R909" s="24">
        <v>0</v>
      </c>
      <c r="S909" s="24">
        <v>0</v>
      </c>
      <c r="T909" s="24">
        <v>200</v>
      </c>
    </row>
    <row r="910" spans="1:20">
      <c r="A910" s="9" t="s">
        <v>555</v>
      </c>
      <c r="B910" s="30" t="s">
        <v>654</v>
      </c>
      <c r="C910" s="30" t="str">
        <f>CONCATENATE(VOL_VOLUMEN_SUMINISTROS[[#This Row],[Proyecto]],VOL_VOLUMEN_SUMINISTROS[[#This Row],[J]],VOL_VOLUMEN_SUMINISTROS[[#This Row],[FIN DE SEMANA]])</f>
        <v>1052-1TNO</v>
      </c>
      <c r="D910" s="365" t="str">
        <f>CONCATENATE(VOL_VOLUMEN_SUMINISTROS[[#This Row],[Grupo]],VOL_VOLUMEN_SUMINISTROS[[#This Row],[Proyecto]],VOL_VOLUMEN_SUMINISTROS[[#This Row],[FIN DE SEMANA]])</f>
        <v>31052-1NO</v>
      </c>
      <c r="E910" s="30" t="s">
        <v>147</v>
      </c>
      <c r="F910" s="30" t="s">
        <v>148</v>
      </c>
      <c r="G910" s="365">
        <v>3</v>
      </c>
      <c r="H910" s="30">
        <v>4</v>
      </c>
      <c r="I910" s="9" t="s">
        <v>601</v>
      </c>
      <c r="J910" s="9" t="s">
        <v>698</v>
      </c>
      <c r="K910" s="30">
        <v>1</v>
      </c>
      <c r="L910" s="9" t="s">
        <v>698</v>
      </c>
      <c r="M910" s="30" t="s">
        <v>84</v>
      </c>
      <c r="N910" s="30" t="s">
        <v>155</v>
      </c>
      <c r="O910" s="24">
        <v>0</v>
      </c>
      <c r="P910" s="24">
        <v>81</v>
      </c>
      <c r="Q910" s="24">
        <v>27</v>
      </c>
      <c r="R910" s="24">
        <v>0</v>
      </c>
      <c r="S910" s="24">
        <v>0</v>
      </c>
      <c r="T910" s="24">
        <v>108</v>
      </c>
    </row>
    <row r="911" spans="1:20">
      <c r="A911" s="9" t="s">
        <v>555</v>
      </c>
      <c r="B911" s="30" t="s">
        <v>699</v>
      </c>
      <c r="C911" s="30" t="str">
        <f>CONCATENATE(VOL_VOLUMEN_SUMINISTROS[[#This Row],[Proyecto]],VOL_VOLUMEN_SUMINISTROS[[#This Row],[J]],VOL_VOLUMEN_SUMINISTROS[[#This Row],[FIN DE SEMANA]])</f>
        <v>1052-2M1NO</v>
      </c>
      <c r="D911" s="365" t="str">
        <f>CONCATENATE(VOL_VOLUMEN_SUMINISTROS[[#This Row],[Grupo]],VOL_VOLUMEN_SUMINISTROS[[#This Row],[Proyecto]],VOL_VOLUMEN_SUMINISTROS[[#This Row],[FIN DE SEMANA]])</f>
        <v>31052-2NO</v>
      </c>
      <c r="E911" s="30" t="s">
        <v>183</v>
      </c>
      <c r="F911" s="30" t="s">
        <v>148</v>
      </c>
      <c r="G911" s="365">
        <v>3</v>
      </c>
      <c r="H911" s="30">
        <v>4</v>
      </c>
      <c r="I911" s="9" t="s">
        <v>601</v>
      </c>
      <c r="J911" s="9" t="s">
        <v>659</v>
      </c>
      <c r="K911" s="30">
        <v>1</v>
      </c>
      <c r="L911" s="9" t="s">
        <v>660</v>
      </c>
      <c r="M911" s="30" t="s">
        <v>84</v>
      </c>
      <c r="N911" s="30" t="s">
        <v>216</v>
      </c>
      <c r="O911" s="24">
        <v>80</v>
      </c>
      <c r="P911" s="24">
        <v>94</v>
      </c>
      <c r="Q911" s="24">
        <v>18</v>
      </c>
      <c r="R911" s="24">
        <v>0</v>
      </c>
      <c r="S911" s="24">
        <v>0</v>
      </c>
      <c r="T911" s="24">
        <v>192</v>
      </c>
    </row>
    <row r="912" spans="1:20">
      <c r="A912" s="9" t="s">
        <v>555</v>
      </c>
      <c r="B912" s="30" t="s">
        <v>699</v>
      </c>
      <c r="C912" s="30" t="str">
        <f>CONCATENATE(VOL_VOLUMEN_SUMINISTROS[[#This Row],[Proyecto]],VOL_VOLUMEN_SUMINISTROS[[#This Row],[J]],VOL_VOLUMEN_SUMINISTROS[[#This Row],[FIN DE SEMANA]])</f>
        <v>1052-2MNO</v>
      </c>
      <c r="D912" s="365" t="str">
        <f>CONCATENATE(VOL_VOLUMEN_SUMINISTROS[[#This Row],[Grupo]],VOL_VOLUMEN_SUMINISTROS[[#This Row],[Proyecto]],VOL_VOLUMEN_SUMINISTROS[[#This Row],[FIN DE SEMANA]])</f>
        <v>31052-2NO</v>
      </c>
      <c r="E912" s="30" t="s">
        <v>183</v>
      </c>
      <c r="F912" s="30" t="s">
        <v>148</v>
      </c>
      <c r="G912" s="365">
        <v>3</v>
      </c>
      <c r="H912" s="30">
        <v>4</v>
      </c>
      <c r="I912" s="9" t="s">
        <v>601</v>
      </c>
      <c r="J912" s="9" t="s">
        <v>691</v>
      </c>
      <c r="K912" s="30">
        <v>1</v>
      </c>
      <c r="L912" s="9" t="s">
        <v>692</v>
      </c>
      <c r="M912" s="30" t="s">
        <v>84</v>
      </c>
      <c r="N912" s="30" t="s">
        <v>152</v>
      </c>
      <c r="O912" s="24">
        <v>18</v>
      </c>
      <c r="P912" s="24">
        <v>105</v>
      </c>
      <c r="Q912" s="24">
        <v>106</v>
      </c>
      <c r="R912" s="24">
        <v>0</v>
      </c>
      <c r="S912" s="24">
        <v>0</v>
      </c>
      <c r="T912" s="24">
        <v>229</v>
      </c>
    </row>
    <row r="913" spans="1:20">
      <c r="A913" s="9" t="s">
        <v>555</v>
      </c>
      <c r="B913" s="30" t="s">
        <v>699</v>
      </c>
      <c r="C913" s="30" t="str">
        <f>CONCATENATE(VOL_VOLUMEN_SUMINISTROS[[#This Row],[Proyecto]],VOL_VOLUMEN_SUMINISTROS[[#This Row],[J]],VOL_VOLUMEN_SUMINISTROS[[#This Row],[FIN DE SEMANA]])</f>
        <v>1052-2TNO</v>
      </c>
      <c r="D913" s="365" t="str">
        <f>CONCATENATE(VOL_VOLUMEN_SUMINISTROS[[#This Row],[Grupo]],VOL_VOLUMEN_SUMINISTROS[[#This Row],[Proyecto]],VOL_VOLUMEN_SUMINISTROS[[#This Row],[FIN DE SEMANA]])</f>
        <v>31052-2NO</v>
      </c>
      <c r="E913" s="30" t="s">
        <v>183</v>
      </c>
      <c r="F913" s="30" t="s">
        <v>148</v>
      </c>
      <c r="G913" s="365">
        <v>3</v>
      </c>
      <c r="H913" s="30">
        <v>4</v>
      </c>
      <c r="I913" s="9" t="s">
        <v>601</v>
      </c>
      <c r="J913" s="9" t="s">
        <v>691</v>
      </c>
      <c r="K913" s="30">
        <v>1</v>
      </c>
      <c r="L913" s="9" t="s">
        <v>692</v>
      </c>
      <c r="M913" s="30" t="s">
        <v>84</v>
      </c>
      <c r="N913" s="30" t="s">
        <v>155</v>
      </c>
      <c r="O913" s="24">
        <v>30</v>
      </c>
      <c r="P913" s="24">
        <v>108</v>
      </c>
      <c r="Q913" s="24">
        <v>112</v>
      </c>
      <c r="R913" s="24">
        <v>0</v>
      </c>
      <c r="S913" s="24">
        <v>0</v>
      </c>
      <c r="T913" s="24">
        <v>250</v>
      </c>
    </row>
    <row r="914" spans="1:20">
      <c r="A914" s="9" t="s">
        <v>555</v>
      </c>
      <c r="B914" s="30" t="s">
        <v>699</v>
      </c>
      <c r="C914" s="30" t="str">
        <f>CONCATENATE(VOL_VOLUMEN_SUMINISTROS[[#This Row],[Proyecto]],VOL_VOLUMEN_SUMINISTROS[[#This Row],[J]],VOL_VOLUMEN_SUMINISTROS[[#This Row],[FIN DE SEMANA]])</f>
        <v>1052-2M1NO</v>
      </c>
      <c r="D914" s="365" t="str">
        <f>CONCATENATE(VOL_VOLUMEN_SUMINISTROS[[#This Row],[Grupo]],VOL_VOLUMEN_SUMINISTROS[[#This Row],[Proyecto]],VOL_VOLUMEN_SUMINISTROS[[#This Row],[FIN DE SEMANA]])</f>
        <v>31052-2NO</v>
      </c>
      <c r="E914" s="30" t="s">
        <v>183</v>
      </c>
      <c r="F914" s="30" t="s">
        <v>148</v>
      </c>
      <c r="G914" s="365">
        <v>3</v>
      </c>
      <c r="H914" s="30">
        <v>4</v>
      </c>
      <c r="I914" s="9" t="s">
        <v>601</v>
      </c>
      <c r="J914" s="9" t="s">
        <v>640</v>
      </c>
      <c r="K914" s="30">
        <v>1</v>
      </c>
      <c r="L914" s="9" t="s">
        <v>641</v>
      </c>
      <c r="M914" s="30" t="s">
        <v>84</v>
      </c>
      <c r="N914" s="30" t="s">
        <v>216</v>
      </c>
      <c r="O914" s="24">
        <v>0</v>
      </c>
      <c r="P914" s="24">
        <v>99</v>
      </c>
      <c r="Q914" s="24">
        <v>33</v>
      </c>
      <c r="R914" s="24">
        <v>0</v>
      </c>
      <c r="S914" s="24">
        <v>0</v>
      </c>
      <c r="T914" s="24">
        <v>132</v>
      </c>
    </row>
    <row r="915" spans="1:20">
      <c r="A915" s="9" t="s">
        <v>555</v>
      </c>
      <c r="B915" s="30" t="s">
        <v>699</v>
      </c>
      <c r="C915" s="30" t="str">
        <f>CONCATENATE(VOL_VOLUMEN_SUMINISTROS[[#This Row],[Proyecto]],VOL_VOLUMEN_SUMINISTROS[[#This Row],[J]],VOL_VOLUMEN_SUMINISTROS[[#This Row],[FIN DE SEMANA]])</f>
        <v>1052-2M1NO</v>
      </c>
      <c r="D915" s="365" t="str">
        <f>CONCATENATE(VOL_VOLUMEN_SUMINISTROS[[#This Row],[Grupo]],VOL_VOLUMEN_SUMINISTROS[[#This Row],[Proyecto]],VOL_VOLUMEN_SUMINISTROS[[#This Row],[FIN DE SEMANA]])</f>
        <v>21052-2NO</v>
      </c>
      <c r="E915" s="30" t="s">
        <v>183</v>
      </c>
      <c r="F915" s="30" t="s">
        <v>148</v>
      </c>
      <c r="G915" s="365">
        <v>2</v>
      </c>
      <c r="H915" s="30">
        <v>4</v>
      </c>
      <c r="I915" s="9" t="s">
        <v>601</v>
      </c>
      <c r="J915" s="9" t="s">
        <v>640</v>
      </c>
      <c r="K915" s="30">
        <v>2</v>
      </c>
      <c r="L915" s="9" t="s">
        <v>642</v>
      </c>
      <c r="M915" s="30" t="s">
        <v>84</v>
      </c>
      <c r="N915" s="30" t="s">
        <v>216</v>
      </c>
      <c r="O915" s="24">
        <v>134</v>
      </c>
      <c r="P915" s="24">
        <v>67</v>
      </c>
      <c r="Q915" s="24">
        <v>0</v>
      </c>
      <c r="R915" s="24">
        <v>0</v>
      </c>
      <c r="S915" s="24">
        <v>0</v>
      </c>
      <c r="T915" s="24">
        <v>201</v>
      </c>
    </row>
    <row r="916" spans="1:20">
      <c r="A916" s="9" t="s">
        <v>555</v>
      </c>
      <c r="B916" s="30" t="s">
        <v>700</v>
      </c>
      <c r="C916" s="30" t="str">
        <f>CONCATENATE(VOL_VOLUMEN_SUMINISTROS[[#This Row],[Proyecto]],VOL_VOLUMEN_SUMINISTROS[[#This Row],[J]],VOL_VOLUMEN_SUMINISTROS[[#This Row],[FIN DE SEMANA]])</f>
        <v>1052-2MNO</v>
      </c>
      <c r="D916" s="365" t="str">
        <f>CONCATENATE(VOL_VOLUMEN_SUMINISTROS[[#This Row],[Grupo]],VOL_VOLUMEN_SUMINISTROS[[#This Row],[Proyecto]],VOL_VOLUMEN_SUMINISTROS[[#This Row],[FIN DE SEMANA]])</f>
        <v>31052-2NO</v>
      </c>
      <c r="E916" s="30" t="s">
        <v>183</v>
      </c>
      <c r="F916" s="30" t="s">
        <v>148</v>
      </c>
      <c r="G916" s="365">
        <v>3</v>
      </c>
      <c r="H916" s="30">
        <v>4</v>
      </c>
      <c r="I916" s="9" t="s">
        <v>601</v>
      </c>
      <c r="J916" s="9" t="s">
        <v>673</v>
      </c>
      <c r="K916" s="30">
        <v>2</v>
      </c>
      <c r="L916" s="9" t="s">
        <v>675</v>
      </c>
      <c r="M916" s="30" t="s">
        <v>84</v>
      </c>
      <c r="N916" s="30" t="s">
        <v>152</v>
      </c>
      <c r="O916" s="24">
        <v>0</v>
      </c>
      <c r="P916" s="24">
        <v>0</v>
      </c>
      <c r="Q916" s="24">
        <v>27</v>
      </c>
      <c r="R916" s="24">
        <v>0</v>
      </c>
      <c r="S916" s="24">
        <v>0</v>
      </c>
      <c r="T916" s="24">
        <v>27</v>
      </c>
    </row>
    <row r="917" spans="1:20">
      <c r="A917" s="9" t="s">
        <v>555</v>
      </c>
      <c r="B917" s="30" t="s">
        <v>700</v>
      </c>
      <c r="C917" s="30" t="str">
        <f>CONCATENATE(VOL_VOLUMEN_SUMINISTROS[[#This Row],[Proyecto]],VOL_VOLUMEN_SUMINISTROS[[#This Row],[J]],VOL_VOLUMEN_SUMINISTROS[[#This Row],[FIN DE SEMANA]])</f>
        <v>1052-2TNO</v>
      </c>
      <c r="D917" s="365" t="str">
        <f>CONCATENATE(VOL_VOLUMEN_SUMINISTROS[[#This Row],[Grupo]],VOL_VOLUMEN_SUMINISTROS[[#This Row],[Proyecto]],VOL_VOLUMEN_SUMINISTROS[[#This Row],[FIN DE SEMANA]])</f>
        <v>31052-2NO</v>
      </c>
      <c r="E917" s="30" t="s">
        <v>183</v>
      </c>
      <c r="F917" s="30" t="s">
        <v>148</v>
      </c>
      <c r="G917" s="365">
        <v>3</v>
      </c>
      <c r="H917" s="30">
        <v>4</v>
      </c>
      <c r="I917" s="9" t="s">
        <v>601</v>
      </c>
      <c r="J917" s="9" t="s">
        <v>673</v>
      </c>
      <c r="K917" s="30">
        <v>2</v>
      </c>
      <c r="L917" s="9" t="s">
        <v>675</v>
      </c>
      <c r="M917" s="30" t="s">
        <v>84</v>
      </c>
      <c r="N917" s="30" t="s">
        <v>155</v>
      </c>
      <c r="O917" s="24">
        <v>0</v>
      </c>
      <c r="P917" s="24">
        <v>0</v>
      </c>
      <c r="Q917" s="24">
        <v>22</v>
      </c>
      <c r="R917" s="24">
        <v>0</v>
      </c>
      <c r="S917" s="24">
        <v>0</v>
      </c>
      <c r="T917" s="24">
        <v>22</v>
      </c>
    </row>
    <row r="918" spans="1:20">
      <c r="A918" s="9" t="s">
        <v>555</v>
      </c>
      <c r="B918" s="30" t="s">
        <v>700</v>
      </c>
      <c r="C918" s="30" t="str">
        <f>CONCATENATE(VOL_VOLUMEN_SUMINISTROS[[#This Row],[Proyecto]],VOL_VOLUMEN_SUMINISTROS[[#This Row],[J]],VOL_VOLUMEN_SUMINISTROS[[#This Row],[FIN DE SEMANA]])</f>
        <v>1052-2MNO</v>
      </c>
      <c r="D918" s="365" t="str">
        <f>CONCATENATE(VOL_VOLUMEN_SUMINISTROS[[#This Row],[Grupo]],VOL_VOLUMEN_SUMINISTROS[[#This Row],[Proyecto]],VOL_VOLUMEN_SUMINISTROS[[#This Row],[FIN DE SEMANA]])</f>
        <v>31052-2NO</v>
      </c>
      <c r="E918" s="30" t="s">
        <v>183</v>
      </c>
      <c r="F918" s="30" t="s">
        <v>148</v>
      </c>
      <c r="G918" s="365">
        <v>3</v>
      </c>
      <c r="H918" s="30">
        <v>4</v>
      </c>
      <c r="I918" s="9" t="s">
        <v>601</v>
      </c>
      <c r="J918" s="9" t="s">
        <v>676</v>
      </c>
      <c r="K918" s="30">
        <v>1</v>
      </c>
      <c r="L918" s="9" t="s">
        <v>677</v>
      </c>
      <c r="M918" s="30" t="s">
        <v>84</v>
      </c>
      <c r="N918" s="30" t="s">
        <v>152</v>
      </c>
      <c r="O918" s="24">
        <v>0</v>
      </c>
      <c r="P918" s="24">
        <v>0</v>
      </c>
      <c r="Q918" s="24">
        <v>44</v>
      </c>
      <c r="R918" s="24">
        <v>0</v>
      </c>
      <c r="S918" s="24">
        <v>0</v>
      </c>
      <c r="T918" s="24">
        <v>44</v>
      </c>
    </row>
    <row r="919" spans="1:20">
      <c r="A919" s="9" t="s">
        <v>555</v>
      </c>
      <c r="B919" s="30" t="s">
        <v>700</v>
      </c>
      <c r="C919" s="30" t="str">
        <f>CONCATENATE(VOL_VOLUMEN_SUMINISTROS[[#This Row],[Proyecto]],VOL_VOLUMEN_SUMINISTROS[[#This Row],[J]],VOL_VOLUMEN_SUMINISTROS[[#This Row],[FIN DE SEMANA]])</f>
        <v>1052-2TNO</v>
      </c>
      <c r="D919" s="365" t="str">
        <f>CONCATENATE(VOL_VOLUMEN_SUMINISTROS[[#This Row],[Grupo]],VOL_VOLUMEN_SUMINISTROS[[#This Row],[Proyecto]],VOL_VOLUMEN_SUMINISTROS[[#This Row],[FIN DE SEMANA]])</f>
        <v>31052-2NO</v>
      </c>
      <c r="E919" s="30" t="s">
        <v>183</v>
      </c>
      <c r="F919" s="30" t="s">
        <v>148</v>
      </c>
      <c r="G919" s="365">
        <v>3</v>
      </c>
      <c r="H919" s="30">
        <v>4</v>
      </c>
      <c r="I919" s="9" t="s">
        <v>601</v>
      </c>
      <c r="J919" s="9" t="s">
        <v>676</v>
      </c>
      <c r="K919" s="30">
        <v>1</v>
      </c>
      <c r="L919" s="9" t="s">
        <v>677</v>
      </c>
      <c r="M919" s="30" t="s">
        <v>84</v>
      </c>
      <c r="N919" s="30" t="s">
        <v>155</v>
      </c>
      <c r="O919" s="24">
        <v>0</v>
      </c>
      <c r="P919" s="24">
        <v>0</v>
      </c>
      <c r="Q919" s="24">
        <v>78</v>
      </c>
      <c r="R919" s="24">
        <v>0</v>
      </c>
      <c r="S919" s="24">
        <v>0</v>
      </c>
      <c r="T919" s="24">
        <v>78</v>
      </c>
    </row>
    <row r="920" spans="1:20">
      <c r="A920" s="9" t="s">
        <v>555</v>
      </c>
      <c r="B920" s="30" t="s">
        <v>700</v>
      </c>
      <c r="C920" s="30" t="str">
        <f>CONCATENATE(VOL_VOLUMEN_SUMINISTROS[[#This Row],[Proyecto]],VOL_VOLUMEN_SUMINISTROS[[#This Row],[J]],VOL_VOLUMEN_SUMINISTROS[[#This Row],[FIN DE SEMANA]])</f>
        <v>1052-2MNO</v>
      </c>
      <c r="D920" s="365" t="str">
        <f>CONCATENATE(VOL_VOLUMEN_SUMINISTROS[[#This Row],[Grupo]],VOL_VOLUMEN_SUMINISTROS[[#This Row],[Proyecto]],VOL_VOLUMEN_SUMINISTROS[[#This Row],[FIN DE SEMANA]])</f>
        <v>31052-2NO</v>
      </c>
      <c r="E920" s="30" t="s">
        <v>183</v>
      </c>
      <c r="F920" s="30" t="s">
        <v>148</v>
      </c>
      <c r="G920" s="365">
        <v>3</v>
      </c>
      <c r="H920" s="30">
        <v>4</v>
      </c>
      <c r="I920" s="9" t="s">
        <v>601</v>
      </c>
      <c r="J920" s="9" t="s">
        <v>688</v>
      </c>
      <c r="K920" s="30">
        <v>1</v>
      </c>
      <c r="L920" s="9" t="s">
        <v>689</v>
      </c>
      <c r="M920" s="30" t="s">
        <v>84</v>
      </c>
      <c r="N920" s="30" t="s">
        <v>152</v>
      </c>
      <c r="O920" s="24">
        <v>0</v>
      </c>
      <c r="P920" s="24">
        <v>0</v>
      </c>
      <c r="Q920" s="24">
        <v>60</v>
      </c>
      <c r="R920" s="24">
        <v>0</v>
      </c>
      <c r="S920" s="24">
        <v>0</v>
      </c>
      <c r="T920" s="24">
        <v>60</v>
      </c>
    </row>
    <row r="921" spans="1:20">
      <c r="A921" s="9" t="s">
        <v>555</v>
      </c>
      <c r="B921" s="30" t="s">
        <v>700</v>
      </c>
      <c r="C921" s="30" t="str">
        <f>CONCATENATE(VOL_VOLUMEN_SUMINISTROS[[#This Row],[Proyecto]],VOL_VOLUMEN_SUMINISTROS[[#This Row],[J]],VOL_VOLUMEN_SUMINISTROS[[#This Row],[FIN DE SEMANA]])</f>
        <v>1052-2TNO</v>
      </c>
      <c r="D921" s="365" t="str">
        <f>CONCATENATE(VOL_VOLUMEN_SUMINISTROS[[#This Row],[Grupo]],VOL_VOLUMEN_SUMINISTROS[[#This Row],[Proyecto]],VOL_VOLUMEN_SUMINISTROS[[#This Row],[FIN DE SEMANA]])</f>
        <v>31052-2NO</v>
      </c>
      <c r="E921" s="30" t="s">
        <v>183</v>
      </c>
      <c r="F921" s="30" t="s">
        <v>148</v>
      </c>
      <c r="G921" s="365">
        <v>3</v>
      </c>
      <c r="H921" s="30">
        <v>4</v>
      </c>
      <c r="I921" s="9" t="s">
        <v>601</v>
      </c>
      <c r="J921" s="9" t="s">
        <v>688</v>
      </c>
      <c r="K921" s="30">
        <v>1</v>
      </c>
      <c r="L921" s="9" t="s">
        <v>689</v>
      </c>
      <c r="M921" s="30" t="s">
        <v>84</v>
      </c>
      <c r="N921" s="30" t="s">
        <v>155</v>
      </c>
      <c r="O921" s="24">
        <v>0</v>
      </c>
      <c r="P921" s="24">
        <v>0</v>
      </c>
      <c r="Q921" s="24">
        <v>73</v>
      </c>
      <c r="R921" s="24">
        <v>0</v>
      </c>
      <c r="S921" s="24">
        <v>0</v>
      </c>
      <c r="T921" s="24">
        <v>73</v>
      </c>
    </row>
    <row r="922" spans="1:20">
      <c r="A922" s="9" t="s">
        <v>555</v>
      </c>
      <c r="B922" s="30" t="s">
        <v>700</v>
      </c>
      <c r="C922" s="30" t="str">
        <f>CONCATENATE(VOL_VOLUMEN_SUMINISTROS[[#This Row],[Proyecto]],VOL_VOLUMEN_SUMINISTROS[[#This Row],[J]],VOL_VOLUMEN_SUMINISTROS[[#This Row],[FIN DE SEMANA]])</f>
        <v>1052-2MNO</v>
      </c>
      <c r="D922" s="365" t="str">
        <f>CONCATENATE(VOL_VOLUMEN_SUMINISTROS[[#This Row],[Grupo]],VOL_VOLUMEN_SUMINISTROS[[#This Row],[Proyecto]],VOL_VOLUMEN_SUMINISTROS[[#This Row],[FIN DE SEMANA]])</f>
        <v>31052-2NO</v>
      </c>
      <c r="E922" s="30" t="s">
        <v>183</v>
      </c>
      <c r="F922" s="30" t="s">
        <v>148</v>
      </c>
      <c r="G922" s="365">
        <v>3</v>
      </c>
      <c r="H922" s="30">
        <v>4</v>
      </c>
      <c r="I922" s="9" t="s">
        <v>601</v>
      </c>
      <c r="J922" s="9" t="s">
        <v>691</v>
      </c>
      <c r="K922" s="30">
        <v>1</v>
      </c>
      <c r="L922" s="9" t="s">
        <v>692</v>
      </c>
      <c r="M922" s="30" t="s">
        <v>84</v>
      </c>
      <c r="N922" s="30" t="s">
        <v>152</v>
      </c>
      <c r="O922" s="24">
        <v>0</v>
      </c>
      <c r="P922" s="24">
        <v>0</v>
      </c>
      <c r="Q922" s="24">
        <v>130</v>
      </c>
      <c r="R922" s="24">
        <v>0</v>
      </c>
      <c r="S922" s="24">
        <v>0</v>
      </c>
      <c r="T922" s="24">
        <v>130</v>
      </c>
    </row>
    <row r="923" spans="1:20">
      <c r="A923" s="9" t="s">
        <v>555</v>
      </c>
      <c r="B923" s="30" t="s">
        <v>700</v>
      </c>
      <c r="C923" s="30" t="str">
        <f>CONCATENATE(VOL_VOLUMEN_SUMINISTROS[[#This Row],[Proyecto]],VOL_VOLUMEN_SUMINISTROS[[#This Row],[J]],VOL_VOLUMEN_SUMINISTROS[[#This Row],[FIN DE SEMANA]])</f>
        <v>1052-2TNO</v>
      </c>
      <c r="D923" s="365" t="str">
        <f>CONCATENATE(VOL_VOLUMEN_SUMINISTROS[[#This Row],[Grupo]],VOL_VOLUMEN_SUMINISTROS[[#This Row],[Proyecto]],VOL_VOLUMEN_SUMINISTROS[[#This Row],[FIN DE SEMANA]])</f>
        <v>31052-2NO</v>
      </c>
      <c r="E923" s="30" t="s">
        <v>183</v>
      </c>
      <c r="F923" s="30" t="s">
        <v>148</v>
      </c>
      <c r="G923" s="365">
        <v>3</v>
      </c>
      <c r="H923" s="30">
        <v>4</v>
      </c>
      <c r="I923" s="9" t="s">
        <v>601</v>
      </c>
      <c r="J923" s="9" t="s">
        <v>691</v>
      </c>
      <c r="K923" s="30">
        <v>1</v>
      </c>
      <c r="L923" s="9" t="s">
        <v>692</v>
      </c>
      <c r="M923" s="30" t="s">
        <v>84</v>
      </c>
      <c r="N923" s="30" t="s">
        <v>155</v>
      </c>
      <c r="O923" s="24">
        <v>0</v>
      </c>
      <c r="P923" s="24">
        <v>0</v>
      </c>
      <c r="Q923" s="24">
        <v>180</v>
      </c>
      <c r="R923" s="24">
        <v>0</v>
      </c>
      <c r="S923" s="24">
        <v>0</v>
      </c>
      <c r="T923" s="24">
        <v>180</v>
      </c>
    </row>
    <row r="924" spans="1:20">
      <c r="A924" s="9" t="s">
        <v>555</v>
      </c>
      <c r="B924" s="30" t="s">
        <v>700</v>
      </c>
      <c r="C924" s="30" t="str">
        <f>CONCATENATE(VOL_VOLUMEN_SUMINISTROS[[#This Row],[Proyecto]],VOL_VOLUMEN_SUMINISTROS[[#This Row],[J]],VOL_VOLUMEN_SUMINISTROS[[#This Row],[FIN DE SEMANA]])</f>
        <v>1052-2MNO</v>
      </c>
      <c r="D924" s="365" t="str">
        <f>CONCATENATE(VOL_VOLUMEN_SUMINISTROS[[#This Row],[Grupo]],VOL_VOLUMEN_SUMINISTROS[[#This Row],[Proyecto]],VOL_VOLUMEN_SUMINISTROS[[#This Row],[FIN DE SEMANA]])</f>
        <v>21052-2NO</v>
      </c>
      <c r="E924" s="30" t="s">
        <v>183</v>
      </c>
      <c r="F924" s="30" t="s">
        <v>148</v>
      </c>
      <c r="G924" s="365">
        <v>2</v>
      </c>
      <c r="H924" s="30">
        <v>4</v>
      </c>
      <c r="I924" s="9" t="s">
        <v>601</v>
      </c>
      <c r="J924" s="9" t="s">
        <v>640</v>
      </c>
      <c r="K924" s="30">
        <v>1</v>
      </c>
      <c r="L924" s="9" t="s">
        <v>641</v>
      </c>
      <c r="M924" s="30" t="s">
        <v>84</v>
      </c>
      <c r="N924" s="30" t="s">
        <v>152</v>
      </c>
      <c r="O924" s="24">
        <v>0</v>
      </c>
      <c r="P924" s="24">
        <v>0</v>
      </c>
      <c r="Q924" s="24">
        <v>80</v>
      </c>
      <c r="R924" s="24">
        <v>0</v>
      </c>
      <c r="S924" s="24">
        <v>0</v>
      </c>
      <c r="T924" s="24">
        <v>80</v>
      </c>
    </row>
    <row r="925" spans="1:20">
      <c r="A925" s="9" t="s">
        <v>555</v>
      </c>
      <c r="B925" s="30" t="s">
        <v>700</v>
      </c>
      <c r="C925" s="30" t="str">
        <f>CONCATENATE(VOL_VOLUMEN_SUMINISTROS[[#This Row],[Proyecto]],VOL_VOLUMEN_SUMINISTROS[[#This Row],[J]],VOL_VOLUMEN_SUMINISTROS[[#This Row],[FIN DE SEMANA]])</f>
        <v>1052-2TNO</v>
      </c>
      <c r="D925" s="365" t="str">
        <f>CONCATENATE(VOL_VOLUMEN_SUMINISTROS[[#This Row],[Grupo]],VOL_VOLUMEN_SUMINISTROS[[#This Row],[Proyecto]],VOL_VOLUMEN_SUMINISTROS[[#This Row],[FIN DE SEMANA]])</f>
        <v>21052-2NO</v>
      </c>
      <c r="E925" s="30" t="s">
        <v>183</v>
      </c>
      <c r="F925" s="30" t="s">
        <v>148</v>
      </c>
      <c r="G925" s="365">
        <v>2</v>
      </c>
      <c r="H925" s="30">
        <v>4</v>
      </c>
      <c r="I925" s="9" t="s">
        <v>601</v>
      </c>
      <c r="J925" s="9" t="s">
        <v>640</v>
      </c>
      <c r="K925" s="30">
        <v>1</v>
      </c>
      <c r="L925" s="9" t="s">
        <v>641</v>
      </c>
      <c r="M925" s="30" t="s">
        <v>84</v>
      </c>
      <c r="N925" s="30" t="s">
        <v>155</v>
      </c>
      <c r="O925" s="24">
        <v>0</v>
      </c>
      <c r="P925" s="24">
        <v>0</v>
      </c>
      <c r="Q925" s="24">
        <v>70</v>
      </c>
      <c r="R925" s="24">
        <v>0</v>
      </c>
      <c r="S925" s="24">
        <v>0</v>
      </c>
      <c r="T925" s="24">
        <v>70</v>
      </c>
    </row>
    <row r="926" spans="1:20">
      <c r="A926" s="9" t="s">
        <v>555</v>
      </c>
      <c r="B926" s="30" t="s">
        <v>700</v>
      </c>
      <c r="C926" s="30" t="str">
        <f>CONCATENATE(VOL_VOLUMEN_SUMINISTROS[[#This Row],[Proyecto]],VOL_VOLUMEN_SUMINISTROS[[#This Row],[J]],VOL_VOLUMEN_SUMINISTROS[[#This Row],[FIN DE SEMANA]])</f>
        <v>1052-2TNO</v>
      </c>
      <c r="D926" s="365" t="str">
        <f>CONCATENATE(VOL_VOLUMEN_SUMINISTROS[[#This Row],[Grupo]],VOL_VOLUMEN_SUMINISTROS[[#This Row],[Proyecto]],VOL_VOLUMEN_SUMINISTROS[[#This Row],[FIN DE SEMANA]])</f>
        <v>31052-2NO</v>
      </c>
      <c r="E926" s="30" t="s">
        <v>183</v>
      </c>
      <c r="F926" s="30" t="s">
        <v>148</v>
      </c>
      <c r="G926" s="365">
        <v>3</v>
      </c>
      <c r="H926" s="30">
        <v>4</v>
      </c>
      <c r="I926" s="9" t="s">
        <v>601</v>
      </c>
      <c r="J926" s="9" t="s">
        <v>695</v>
      </c>
      <c r="K926" s="30">
        <v>1</v>
      </c>
      <c r="L926" s="9" t="s">
        <v>153</v>
      </c>
      <c r="M926" s="30" t="s">
        <v>84</v>
      </c>
      <c r="N926" s="30" t="s">
        <v>155</v>
      </c>
      <c r="O926" s="24">
        <v>0</v>
      </c>
      <c r="P926" s="24">
        <v>0</v>
      </c>
      <c r="Q926" s="24">
        <v>130</v>
      </c>
      <c r="R926" s="24">
        <v>0</v>
      </c>
      <c r="S926" s="24">
        <v>0</v>
      </c>
      <c r="T926" s="24">
        <v>130</v>
      </c>
    </row>
    <row r="927" spans="1:20">
      <c r="A927" s="9" t="s">
        <v>555</v>
      </c>
      <c r="B927" s="30" t="s">
        <v>701</v>
      </c>
      <c r="C927" s="30" t="str">
        <f>CONCATENATE(VOL_VOLUMEN_SUMINISTROS[[#This Row],[Proyecto]],VOL_VOLUMEN_SUMINISTROS[[#This Row],[J]],VOL_VOLUMEN_SUMINISTROS[[#This Row],[FIN DE SEMANA]])</f>
        <v>1052-2TNO</v>
      </c>
      <c r="D927" s="365" t="str">
        <f>CONCATENATE(VOL_VOLUMEN_SUMINISTROS[[#This Row],[Grupo]],VOL_VOLUMEN_SUMINISTROS[[#This Row],[Proyecto]],VOL_VOLUMEN_SUMINISTROS[[#This Row],[FIN DE SEMANA]])</f>
        <v>31052-2NO</v>
      </c>
      <c r="E927" s="30" t="s">
        <v>183</v>
      </c>
      <c r="F927" s="30" t="s">
        <v>148</v>
      </c>
      <c r="G927" s="365">
        <v>3</v>
      </c>
      <c r="H927" s="30">
        <v>4</v>
      </c>
      <c r="I927" s="9" t="s">
        <v>601</v>
      </c>
      <c r="J927" s="9" t="s">
        <v>676</v>
      </c>
      <c r="K927" s="30">
        <v>1</v>
      </c>
      <c r="L927" s="9" t="s">
        <v>677</v>
      </c>
      <c r="M927" s="30" t="s">
        <v>84</v>
      </c>
      <c r="N927" s="30" t="s">
        <v>155</v>
      </c>
      <c r="O927" s="24">
        <v>160</v>
      </c>
      <c r="P927" s="24">
        <v>0</v>
      </c>
      <c r="Q927" s="24">
        <v>0</v>
      </c>
      <c r="R927" s="24">
        <v>0</v>
      </c>
      <c r="S927" s="24">
        <v>0</v>
      </c>
      <c r="T927" s="24">
        <v>160</v>
      </c>
    </row>
    <row r="928" spans="1:20">
      <c r="A928" s="9" t="s">
        <v>555</v>
      </c>
      <c r="B928" s="30" t="s">
        <v>701</v>
      </c>
      <c r="C928" s="30" t="str">
        <f>CONCATENATE(VOL_VOLUMEN_SUMINISTROS[[#This Row],[Proyecto]],VOL_VOLUMEN_SUMINISTROS[[#This Row],[J]],VOL_VOLUMEN_SUMINISTROS[[#This Row],[FIN DE SEMANA]])</f>
        <v>1052-2MNO</v>
      </c>
      <c r="D928" s="365" t="str">
        <f>CONCATENATE(VOL_VOLUMEN_SUMINISTROS[[#This Row],[Grupo]],VOL_VOLUMEN_SUMINISTROS[[#This Row],[Proyecto]],VOL_VOLUMEN_SUMINISTROS[[#This Row],[FIN DE SEMANA]])</f>
        <v>31052-2NO</v>
      </c>
      <c r="E928" s="30" t="s">
        <v>183</v>
      </c>
      <c r="F928" s="30" t="s">
        <v>148</v>
      </c>
      <c r="G928" s="365">
        <v>3</v>
      </c>
      <c r="H928" s="30">
        <v>4</v>
      </c>
      <c r="I928" s="9" t="s">
        <v>601</v>
      </c>
      <c r="J928" s="9" t="s">
        <v>682</v>
      </c>
      <c r="K928" s="30">
        <v>1</v>
      </c>
      <c r="L928" s="9" t="s">
        <v>683</v>
      </c>
      <c r="M928" s="30" t="s">
        <v>84</v>
      </c>
      <c r="N928" s="30" t="s">
        <v>152</v>
      </c>
      <c r="O928" s="24">
        <v>48</v>
      </c>
      <c r="P928" s="24">
        <v>0</v>
      </c>
      <c r="Q928" s="24">
        <v>0</v>
      </c>
      <c r="R928" s="24">
        <v>0</v>
      </c>
      <c r="S928" s="24">
        <v>0</v>
      </c>
      <c r="T928" s="24">
        <v>48</v>
      </c>
    </row>
    <row r="929" spans="1:20">
      <c r="A929" s="9" t="s">
        <v>555</v>
      </c>
      <c r="B929" s="30" t="s">
        <v>701</v>
      </c>
      <c r="C929" s="30" t="str">
        <f>CONCATENATE(VOL_VOLUMEN_SUMINISTROS[[#This Row],[Proyecto]],VOL_VOLUMEN_SUMINISTROS[[#This Row],[J]],VOL_VOLUMEN_SUMINISTROS[[#This Row],[FIN DE SEMANA]])</f>
        <v>1052-2TNO</v>
      </c>
      <c r="D929" s="365" t="str">
        <f>CONCATENATE(VOL_VOLUMEN_SUMINISTROS[[#This Row],[Grupo]],VOL_VOLUMEN_SUMINISTROS[[#This Row],[Proyecto]],VOL_VOLUMEN_SUMINISTROS[[#This Row],[FIN DE SEMANA]])</f>
        <v>31052-2NO</v>
      </c>
      <c r="E929" s="30" t="s">
        <v>183</v>
      </c>
      <c r="F929" s="30" t="s">
        <v>148</v>
      </c>
      <c r="G929" s="365">
        <v>3</v>
      </c>
      <c r="H929" s="30">
        <v>4</v>
      </c>
      <c r="I929" s="9" t="s">
        <v>601</v>
      </c>
      <c r="J929" s="9" t="s">
        <v>682</v>
      </c>
      <c r="K929" s="30">
        <v>1</v>
      </c>
      <c r="L929" s="9" t="s">
        <v>683</v>
      </c>
      <c r="M929" s="30" t="s">
        <v>84</v>
      </c>
      <c r="N929" s="30" t="s">
        <v>155</v>
      </c>
      <c r="O929" s="24">
        <v>47</v>
      </c>
      <c r="P929" s="24">
        <v>0</v>
      </c>
      <c r="Q929" s="24">
        <v>0</v>
      </c>
      <c r="R929" s="24">
        <v>0</v>
      </c>
      <c r="S929" s="24">
        <v>0</v>
      </c>
      <c r="T929" s="24">
        <v>47</v>
      </c>
    </row>
    <row r="930" spans="1:20">
      <c r="A930" s="9" t="s">
        <v>555</v>
      </c>
      <c r="B930" s="30" t="s">
        <v>701</v>
      </c>
      <c r="C930" s="30" t="str">
        <f>CONCATENATE(VOL_VOLUMEN_SUMINISTROS[[#This Row],[Proyecto]],VOL_VOLUMEN_SUMINISTROS[[#This Row],[J]],VOL_VOLUMEN_SUMINISTROS[[#This Row],[FIN DE SEMANA]])</f>
        <v>1052-2MNO</v>
      </c>
      <c r="D930" s="365" t="str">
        <f>CONCATENATE(VOL_VOLUMEN_SUMINISTROS[[#This Row],[Grupo]],VOL_VOLUMEN_SUMINISTROS[[#This Row],[Proyecto]],VOL_VOLUMEN_SUMINISTROS[[#This Row],[FIN DE SEMANA]])</f>
        <v>31052-2NO</v>
      </c>
      <c r="E930" s="30" t="s">
        <v>183</v>
      </c>
      <c r="F930" s="30" t="s">
        <v>148</v>
      </c>
      <c r="G930" s="365">
        <v>3</v>
      </c>
      <c r="H930" s="30">
        <v>4</v>
      </c>
      <c r="I930" s="9" t="s">
        <v>601</v>
      </c>
      <c r="J930" s="9" t="s">
        <v>682</v>
      </c>
      <c r="K930" s="30">
        <v>2</v>
      </c>
      <c r="L930" s="9" t="s">
        <v>684</v>
      </c>
      <c r="M930" s="30" t="s">
        <v>84</v>
      </c>
      <c r="N930" s="30" t="s">
        <v>152</v>
      </c>
      <c r="O930" s="24">
        <v>25</v>
      </c>
      <c r="P930" s="24">
        <v>0</v>
      </c>
      <c r="Q930" s="24">
        <v>0</v>
      </c>
      <c r="R930" s="24">
        <v>0</v>
      </c>
      <c r="S930" s="24">
        <v>0</v>
      </c>
      <c r="T930" s="24">
        <v>25</v>
      </c>
    </row>
    <row r="931" spans="1:20">
      <c r="A931" s="9" t="s">
        <v>555</v>
      </c>
      <c r="B931" s="30" t="s">
        <v>701</v>
      </c>
      <c r="C931" s="30" t="str">
        <f>CONCATENATE(VOL_VOLUMEN_SUMINISTROS[[#This Row],[Proyecto]],VOL_VOLUMEN_SUMINISTROS[[#This Row],[J]],VOL_VOLUMEN_SUMINISTROS[[#This Row],[FIN DE SEMANA]])</f>
        <v>1052-2TNO</v>
      </c>
      <c r="D931" s="365" t="str">
        <f>CONCATENATE(VOL_VOLUMEN_SUMINISTROS[[#This Row],[Grupo]],VOL_VOLUMEN_SUMINISTROS[[#This Row],[Proyecto]],VOL_VOLUMEN_SUMINISTROS[[#This Row],[FIN DE SEMANA]])</f>
        <v>31052-2NO</v>
      </c>
      <c r="E931" s="30" t="s">
        <v>183</v>
      </c>
      <c r="F931" s="30" t="s">
        <v>148</v>
      </c>
      <c r="G931" s="365">
        <v>3</v>
      </c>
      <c r="H931" s="30">
        <v>4</v>
      </c>
      <c r="I931" s="9" t="s">
        <v>601</v>
      </c>
      <c r="J931" s="9" t="s">
        <v>682</v>
      </c>
      <c r="K931" s="30">
        <v>2</v>
      </c>
      <c r="L931" s="9" t="s">
        <v>684</v>
      </c>
      <c r="M931" s="30" t="s">
        <v>84</v>
      </c>
      <c r="N931" s="30" t="s">
        <v>155</v>
      </c>
      <c r="O931" s="24">
        <v>24</v>
      </c>
      <c r="P931" s="24">
        <v>0</v>
      </c>
      <c r="Q931" s="24">
        <v>0</v>
      </c>
      <c r="R931" s="24">
        <v>0</v>
      </c>
      <c r="S931" s="24">
        <v>0</v>
      </c>
      <c r="T931" s="24">
        <v>24</v>
      </c>
    </row>
    <row r="932" spans="1:20">
      <c r="A932" s="9" t="s">
        <v>702</v>
      </c>
      <c r="B932" s="30" t="s">
        <v>703</v>
      </c>
      <c r="C932" s="30" t="str">
        <f>CONCATENATE(VOL_VOLUMEN_SUMINISTROS[[#This Row],[Proyecto]],VOL_VOLUMEN_SUMINISTROS[[#This Row],[J]],VOL_VOLUMEN_SUMINISTROS[[#This Row],[FIN DE SEMANA]])</f>
        <v>1052-1MNO</v>
      </c>
      <c r="D932" s="365" t="str">
        <f>CONCATENATE(VOL_VOLUMEN_SUMINISTROS[[#This Row],[Grupo]],VOL_VOLUMEN_SUMINISTROS[[#This Row],[Proyecto]],VOL_VOLUMEN_SUMINISTROS[[#This Row],[FIN DE SEMANA]])</f>
        <v>211052-1NO</v>
      </c>
      <c r="E932" s="30" t="s">
        <v>147</v>
      </c>
      <c r="F932" s="30" t="s">
        <v>148</v>
      </c>
      <c r="G932" s="365">
        <v>21</v>
      </c>
      <c r="H932" s="30">
        <v>19</v>
      </c>
      <c r="I932" s="9" t="s">
        <v>250</v>
      </c>
      <c r="J932" s="9" t="s">
        <v>704</v>
      </c>
      <c r="K932" s="30">
        <v>1</v>
      </c>
      <c r="L932" s="9" t="s">
        <v>705</v>
      </c>
      <c r="M932" s="30" t="s">
        <v>84</v>
      </c>
      <c r="N932" s="30" t="s">
        <v>152</v>
      </c>
      <c r="O932" s="24">
        <v>252</v>
      </c>
      <c r="P932" s="24">
        <v>343</v>
      </c>
      <c r="Q932" s="24">
        <v>505</v>
      </c>
      <c r="R932" s="24">
        <v>0</v>
      </c>
      <c r="S932" s="24">
        <v>0</v>
      </c>
      <c r="T932" s="24">
        <v>1100</v>
      </c>
    </row>
    <row r="933" spans="1:20">
      <c r="A933" s="9" t="s">
        <v>702</v>
      </c>
      <c r="B933" s="30" t="s">
        <v>703</v>
      </c>
      <c r="C933" s="30" t="str">
        <f>CONCATENATE(VOL_VOLUMEN_SUMINISTROS[[#This Row],[Proyecto]],VOL_VOLUMEN_SUMINISTROS[[#This Row],[J]],VOL_VOLUMEN_SUMINISTROS[[#This Row],[FIN DE SEMANA]])</f>
        <v>1052-1NNO</v>
      </c>
      <c r="D933" s="365" t="str">
        <f>CONCATENATE(VOL_VOLUMEN_SUMINISTROS[[#This Row],[Grupo]],VOL_VOLUMEN_SUMINISTROS[[#This Row],[Proyecto]],VOL_VOLUMEN_SUMINISTROS[[#This Row],[FIN DE SEMANA]])</f>
        <v>211052-1NO</v>
      </c>
      <c r="E933" s="30" t="s">
        <v>147</v>
      </c>
      <c r="F933" s="30" t="s">
        <v>148</v>
      </c>
      <c r="G933" s="365">
        <v>21</v>
      </c>
      <c r="H933" s="30">
        <v>19</v>
      </c>
      <c r="I933" s="9" t="s">
        <v>250</v>
      </c>
      <c r="J933" s="9" t="s">
        <v>704</v>
      </c>
      <c r="K933" s="30">
        <v>1</v>
      </c>
      <c r="L933" s="9" t="s">
        <v>705</v>
      </c>
      <c r="M933" s="30" t="s">
        <v>84</v>
      </c>
      <c r="N933" s="30" t="s">
        <v>154</v>
      </c>
      <c r="O933" s="24">
        <v>0</v>
      </c>
      <c r="P933" s="24">
        <v>0</v>
      </c>
      <c r="Q933" s="24">
        <v>0</v>
      </c>
      <c r="R933" s="24">
        <v>113</v>
      </c>
      <c r="S933" s="24">
        <v>111</v>
      </c>
      <c r="T933" s="24">
        <v>224</v>
      </c>
    </row>
    <row r="934" spans="1:20">
      <c r="A934" s="9" t="s">
        <v>702</v>
      </c>
      <c r="B934" s="30" t="s">
        <v>703</v>
      </c>
      <c r="C934" s="30" t="str">
        <f>CONCATENATE(VOL_VOLUMEN_SUMINISTROS[[#This Row],[Proyecto]],VOL_VOLUMEN_SUMINISTROS[[#This Row],[J]],VOL_VOLUMEN_SUMINISTROS[[#This Row],[FIN DE SEMANA]])</f>
        <v>1052-1TNO</v>
      </c>
      <c r="D934" s="365" t="str">
        <f>CONCATENATE(VOL_VOLUMEN_SUMINISTROS[[#This Row],[Grupo]],VOL_VOLUMEN_SUMINISTROS[[#This Row],[Proyecto]],VOL_VOLUMEN_SUMINISTROS[[#This Row],[FIN DE SEMANA]])</f>
        <v>211052-1NO</v>
      </c>
      <c r="E934" s="30" t="s">
        <v>147</v>
      </c>
      <c r="F934" s="30" t="s">
        <v>148</v>
      </c>
      <c r="G934" s="365">
        <v>21</v>
      </c>
      <c r="H934" s="30">
        <v>19</v>
      </c>
      <c r="I934" s="9" t="s">
        <v>250</v>
      </c>
      <c r="J934" s="9" t="s">
        <v>704</v>
      </c>
      <c r="K934" s="30">
        <v>1</v>
      </c>
      <c r="L934" s="9" t="s">
        <v>705</v>
      </c>
      <c r="M934" s="30" t="s">
        <v>84</v>
      </c>
      <c r="N934" s="30" t="s">
        <v>155</v>
      </c>
      <c r="O934" s="24">
        <v>303</v>
      </c>
      <c r="P934" s="24">
        <v>384</v>
      </c>
      <c r="Q934" s="24">
        <v>468</v>
      </c>
      <c r="R934" s="24">
        <v>0</v>
      </c>
      <c r="S934" s="24">
        <v>0</v>
      </c>
      <c r="T934" s="24">
        <v>1155</v>
      </c>
    </row>
    <row r="935" spans="1:20">
      <c r="A935" s="9" t="s">
        <v>702</v>
      </c>
      <c r="B935" s="30" t="s">
        <v>703</v>
      </c>
      <c r="C935" s="30" t="str">
        <f>CONCATENATE(VOL_VOLUMEN_SUMINISTROS[[#This Row],[Proyecto]],VOL_VOLUMEN_SUMINISTROS[[#This Row],[J]],VOL_VOLUMEN_SUMINISTROS[[#This Row],[FIN DE SEMANA]])</f>
        <v>1052-1MNO</v>
      </c>
      <c r="D935" s="365" t="str">
        <f>CONCATENATE(VOL_VOLUMEN_SUMINISTROS[[#This Row],[Grupo]],VOL_VOLUMEN_SUMINISTROS[[#This Row],[Proyecto]],VOL_VOLUMEN_SUMINISTROS[[#This Row],[FIN DE SEMANA]])</f>
        <v>211052-1NO</v>
      </c>
      <c r="E935" s="30" t="s">
        <v>147</v>
      </c>
      <c r="F935" s="30" t="s">
        <v>148</v>
      </c>
      <c r="G935" s="365">
        <v>21</v>
      </c>
      <c r="H935" s="30">
        <v>19</v>
      </c>
      <c r="I935" s="9" t="s">
        <v>250</v>
      </c>
      <c r="J935" s="9" t="s">
        <v>706</v>
      </c>
      <c r="K935" s="30">
        <v>1</v>
      </c>
      <c r="L935" s="9" t="s">
        <v>707</v>
      </c>
      <c r="M935" s="30" t="s">
        <v>84</v>
      </c>
      <c r="N935" s="30" t="s">
        <v>152</v>
      </c>
      <c r="O935" s="24">
        <v>149</v>
      </c>
      <c r="P935" s="24">
        <v>382</v>
      </c>
      <c r="Q935" s="24">
        <v>537</v>
      </c>
      <c r="R935" s="24">
        <v>0</v>
      </c>
      <c r="S935" s="24">
        <v>0</v>
      </c>
      <c r="T935" s="24">
        <v>1068</v>
      </c>
    </row>
    <row r="936" spans="1:20">
      <c r="A936" s="9" t="s">
        <v>702</v>
      </c>
      <c r="B936" s="30" t="s">
        <v>703</v>
      </c>
      <c r="C936" s="30" t="str">
        <f>CONCATENATE(VOL_VOLUMEN_SUMINISTROS[[#This Row],[Proyecto]],VOL_VOLUMEN_SUMINISTROS[[#This Row],[J]],VOL_VOLUMEN_SUMINISTROS[[#This Row],[FIN DE SEMANA]])</f>
        <v>1052-1TNO</v>
      </c>
      <c r="D936" s="365" t="str">
        <f>CONCATENATE(VOL_VOLUMEN_SUMINISTROS[[#This Row],[Grupo]],VOL_VOLUMEN_SUMINISTROS[[#This Row],[Proyecto]],VOL_VOLUMEN_SUMINISTROS[[#This Row],[FIN DE SEMANA]])</f>
        <v>211052-1NO</v>
      </c>
      <c r="E936" s="30" t="s">
        <v>147</v>
      </c>
      <c r="F936" s="30" t="s">
        <v>148</v>
      </c>
      <c r="G936" s="365">
        <v>21</v>
      </c>
      <c r="H936" s="30">
        <v>19</v>
      </c>
      <c r="I936" s="9" t="s">
        <v>250</v>
      </c>
      <c r="J936" s="9" t="s">
        <v>706</v>
      </c>
      <c r="K936" s="30">
        <v>1</v>
      </c>
      <c r="L936" s="9" t="s">
        <v>707</v>
      </c>
      <c r="M936" s="30" t="s">
        <v>84</v>
      </c>
      <c r="N936" s="30" t="s">
        <v>155</v>
      </c>
      <c r="O936" s="24">
        <v>145</v>
      </c>
      <c r="P936" s="24">
        <v>368</v>
      </c>
      <c r="Q936" s="24">
        <v>510</v>
      </c>
      <c r="R936" s="24">
        <v>0</v>
      </c>
      <c r="S936" s="24">
        <v>0</v>
      </c>
      <c r="T936" s="24">
        <v>1023</v>
      </c>
    </row>
    <row r="937" spans="1:20">
      <c r="A937" s="9" t="s">
        <v>702</v>
      </c>
      <c r="B937" s="30" t="s">
        <v>703</v>
      </c>
      <c r="C937" s="30" t="str">
        <f>CONCATENATE(VOL_VOLUMEN_SUMINISTROS[[#This Row],[Proyecto]],VOL_VOLUMEN_SUMINISTROS[[#This Row],[J]],VOL_VOLUMEN_SUMINISTROS[[#This Row],[FIN DE SEMANA]])</f>
        <v>1052-1MNO</v>
      </c>
      <c r="D937" s="365" t="str">
        <f>CONCATENATE(VOL_VOLUMEN_SUMINISTROS[[#This Row],[Grupo]],VOL_VOLUMEN_SUMINISTROS[[#This Row],[Proyecto]],VOL_VOLUMEN_SUMINISTROS[[#This Row],[FIN DE SEMANA]])</f>
        <v>211052-1NO</v>
      </c>
      <c r="E937" s="30" t="s">
        <v>147</v>
      </c>
      <c r="F937" s="30" t="s">
        <v>148</v>
      </c>
      <c r="G937" s="365">
        <v>21</v>
      </c>
      <c r="H937" s="30">
        <v>19</v>
      </c>
      <c r="I937" s="9" t="s">
        <v>250</v>
      </c>
      <c r="J937" s="9" t="s">
        <v>706</v>
      </c>
      <c r="K937" s="30">
        <v>2</v>
      </c>
      <c r="L937" s="9" t="s">
        <v>708</v>
      </c>
      <c r="M937" s="30" t="s">
        <v>84</v>
      </c>
      <c r="N937" s="30" t="s">
        <v>152</v>
      </c>
      <c r="O937" s="24">
        <v>228</v>
      </c>
      <c r="P937" s="24">
        <v>69</v>
      </c>
      <c r="Q937" s="24">
        <v>0</v>
      </c>
      <c r="R937" s="24">
        <v>0</v>
      </c>
      <c r="S937" s="24">
        <v>0</v>
      </c>
      <c r="T937" s="24">
        <v>297</v>
      </c>
    </row>
    <row r="938" spans="1:20">
      <c r="A938" s="9" t="s">
        <v>702</v>
      </c>
      <c r="B938" s="30" t="s">
        <v>703</v>
      </c>
      <c r="C938" s="30" t="str">
        <f>CONCATENATE(VOL_VOLUMEN_SUMINISTROS[[#This Row],[Proyecto]],VOL_VOLUMEN_SUMINISTROS[[#This Row],[J]],VOL_VOLUMEN_SUMINISTROS[[#This Row],[FIN DE SEMANA]])</f>
        <v>1052-1TNO</v>
      </c>
      <c r="D938" s="365" t="str">
        <f>CONCATENATE(VOL_VOLUMEN_SUMINISTROS[[#This Row],[Grupo]],VOL_VOLUMEN_SUMINISTROS[[#This Row],[Proyecto]],VOL_VOLUMEN_SUMINISTROS[[#This Row],[FIN DE SEMANA]])</f>
        <v>211052-1NO</v>
      </c>
      <c r="E938" s="30" t="s">
        <v>147</v>
      </c>
      <c r="F938" s="30" t="s">
        <v>148</v>
      </c>
      <c r="G938" s="365">
        <v>21</v>
      </c>
      <c r="H938" s="30">
        <v>19</v>
      </c>
      <c r="I938" s="9" t="s">
        <v>250</v>
      </c>
      <c r="J938" s="9" t="s">
        <v>706</v>
      </c>
      <c r="K938" s="30">
        <v>2</v>
      </c>
      <c r="L938" s="9" t="s">
        <v>708</v>
      </c>
      <c r="M938" s="30" t="s">
        <v>84</v>
      </c>
      <c r="N938" s="30" t="s">
        <v>155</v>
      </c>
      <c r="O938" s="24">
        <v>226</v>
      </c>
      <c r="P938" s="24">
        <v>68</v>
      </c>
      <c r="Q938" s="24">
        <v>0</v>
      </c>
      <c r="R938" s="24">
        <v>0</v>
      </c>
      <c r="S938" s="24">
        <v>0</v>
      </c>
      <c r="T938" s="24">
        <v>294</v>
      </c>
    </row>
    <row r="939" spans="1:20">
      <c r="A939" s="9" t="s">
        <v>702</v>
      </c>
      <c r="B939" s="30" t="s">
        <v>703</v>
      </c>
      <c r="C939" s="30" t="str">
        <f>CONCATENATE(VOL_VOLUMEN_SUMINISTROS[[#This Row],[Proyecto]],VOL_VOLUMEN_SUMINISTROS[[#This Row],[J]],VOL_VOLUMEN_SUMINISTROS[[#This Row],[FIN DE SEMANA]])</f>
        <v>1052-1MNO</v>
      </c>
      <c r="D939" s="365" t="str">
        <f>CONCATENATE(VOL_VOLUMEN_SUMINISTROS[[#This Row],[Grupo]],VOL_VOLUMEN_SUMINISTROS[[#This Row],[Proyecto]],VOL_VOLUMEN_SUMINISTROS[[#This Row],[FIN DE SEMANA]])</f>
        <v>211052-1NO</v>
      </c>
      <c r="E939" s="30" t="s">
        <v>147</v>
      </c>
      <c r="F939" s="30" t="s">
        <v>148</v>
      </c>
      <c r="G939" s="365">
        <v>21</v>
      </c>
      <c r="H939" s="30">
        <v>19</v>
      </c>
      <c r="I939" s="9" t="s">
        <v>250</v>
      </c>
      <c r="J939" s="9" t="s">
        <v>709</v>
      </c>
      <c r="K939" s="30">
        <v>1</v>
      </c>
      <c r="L939" s="9" t="s">
        <v>710</v>
      </c>
      <c r="M939" s="30" t="s">
        <v>84</v>
      </c>
      <c r="N939" s="30" t="s">
        <v>152</v>
      </c>
      <c r="O939" s="24">
        <v>46</v>
      </c>
      <c r="P939" s="24">
        <v>251</v>
      </c>
      <c r="Q939" s="24">
        <v>171</v>
      </c>
      <c r="R939" s="24">
        <v>0</v>
      </c>
      <c r="S939" s="24">
        <v>0</v>
      </c>
      <c r="T939" s="24">
        <v>468</v>
      </c>
    </row>
    <row r="940" spans="1:20">
      <c r="A940" s="9" t="s">
        <v>702</v>
      </c>
      <c r="B940" s="30" t="s">
        <v>703</v>
      </c>
      <c r="C940" s="30" t="str">
        <f>CONCATENATE(VOL_VOLUMEN_SUMINISTROS[[#This Row],[Proyecto]],VOL_VOLUMEN_SUMINISTROS[[#This Row],[J]],VOL_VOLUMEN_SUMINISTROS[[#This Row],[FIN DE SEMANA]])</f>
        <v>1052-1TNO</v>
      </c>
      <c r="D940" s="365" t="str">
        <f>CONCATENATE(VOL_VOLUMEN_SUMINISTROS[[#This Row],[Grupo]],VOL_VOLUMEN_SUMINISTROS[[#This Row],[Proyecto]],VOL_VOLUMEN_SUMINISTROS[[#This Row],[FIN DE SEMANA]])</f>
        <v>211052-1NO</v>
      </c>
      <c r="E940" s="30" t="s">
        <v>147</v>
      </c>
      <c r="F940" s="30" t="s">
        <v>148</v>
      </c>
      <c r="G940" s="365">
        <v>21</v>
      </c>
      <c r="H940" s="30">
        <v>19</v>
      </c>
      <c r="I940" s="9" t="s">
        <v>250</v>
      </c>
      <c r="J940" s="9" t="s">
        <v>709</v>
      </c>
      <c r="K940" s="30">
        <v>1</v>
      </c>
      <c r="L940" s="9" t="s">
        <v>710</v>
      </c>
      <c r="M940" s="30" t="s">
        <v>84</v>
      </c>
      <c r="N940" s="30" t="s">
        <v>155</v>
      </c>
      <c r="O940" s="24">
        <v>28</v>
      </c>
      <c r="P940" s="24">
        <v>215</v>
      </c>
      <c r="Q940" s="24">
        <v>244</v>
      </c>
      <c r="R940" s="24">
        <v>0</v>
      </c>
      <c r="S940" s="24">
        <v>0</v>
      </c>
      <c r="T940" s="24">
        <v>487</v>
      </c>
    </row>
    <row r="941" spans="1:20">
      <c r="A941" s="9" t="s">
        <v>702</v>
      </c>
      <c r="B941" s="30" t="s">
        <v>703</v>
      </c>
      <c r="C941" s="30" t="str">
        <f>CONCATENATE(VOL_VOLUMEN_SUMINISTROS[[#This Row],[Proyecto]],VOL_VOLUMEN_SUMINISTROS[[#This Row],[J]],VOL_VOLUMEN_SUMINISTROS[[#This Row],[FIN DE SEMANA]])</f>
        <v>1052-1MNO</v>
      </c>
      <c r="D941" s="365" t="str">
        <f>CONCATENATE(VOL_VOLUMEN_SUMINISTROS[[#This Row],[Grupo]],VOL_VOLUMEN_SUMINISTROS[[#This Row],[Proyecto]],VOL_VOLUMEN_SUMINISTROS[[#This Row],[FIN DE SEMANA]])</f>
        <v>211052-1NO</v>
      </c>
      <c r="E941" s="30" t="s">
        <v>147</v>
      </c>
      <c r="F941" s="30" t="s">
        <v>148</v>
      </c>
      <c r="G941" s="365">
        <v>21</v>
      </c>
      <c r="H941" s="30">
        <v>19</v>
      </c>
      <c r="I941" s="9" t="s">
        <v>250</v>
      </c>
      <c r="J941" s="9" t="s">
        <v>709</v>
      </c>
      <c r="K941" s="30">
        <v>2</v>
      </c>
      <c r="L941" s="9" t="s">
        <v>711</v>
      </c>
      <c r="M941" s="30" t="s">
        <v>84</v>
      </c>
      <c r="N941" s="30" t="s">
        <v>152</v>
      </c>
      <c r="O941" s="24">
        <v>166</v>
      </c>
      <c r="P941" s="24">
        <v>43</v>
      </c>
      <c r="Q941" s="24">
        <v>0</v>
      </c>
      <c r="R941" s="24">
        <v>0</v>
      </c>
      <c r="S941" s="24">
        <v>0</v>
      </c>
      <c r="T941" s="24">
        <v>209</v>
      </c>
    </row>
    <row r="942" spans="1:20">
      <c r="A942" s="9" t="s">
        <v>702</v>
      </c>
      <c r="B942" s="30" t="s">
        <v>703</v>
      </c>
      <c r="C942" s="30" t="str">
        <f>CONCATENATE(VOL_VOLUMEN_SUMINISTROS[[#This Row],[Proyecto]],VOL_VOLUMEN_SUMINISTROS[[#This Row],[J]],VOL_VOLUMEN_SUMINISTROS[[#This Row],[FIN DE SEMANA]])</f>
        <v>1052-1TNO</v>
      </c>
      <c r="D942" s="365" t="str">
        <f>CONCATENATE(VOL_VOLUMEN_SUMINISTROS[[#This Row],[Grupo]],VOL_VOLUMEN_SUMINISTROS[[#This Row],[Proyecto]],VOL_VOLUMEN_SUMINISTROS[[#This Row],[FIN DE SEMANA]])</f>
        <v>211052-1NO</v>
      </c>
      <c r="E942" s="30" t="s">
        <v>147</v>
      </c>
      <c r="F942" s="30" t="s">
        <v>148</v>
      </c>
      <c r="G942" s="365">
        <v>21</v>
      </c>
      <c r="H942" s="30">
        <v>19</v>
      </c>
      <c r="I942" s="9" t="s">
        <v>250</v>
      </c>
      <c r="J942" s="9" t="s">
        <v>709</v>
      </c>
      <c r="K942" s="30">
        <v>2</v>
      </c>
      <c r="L942" s="9" t="s">
        <v>711</v>
      </c>
      <c r="M942" s="30" t="s">
        <v>84</v>
      </c>
      <c r="N942" s="30" t="s">
        <v>155</v>
      </c>
      <c r="O942" s="24">
        <v>173</v>
      </c>
      <c r="P942" s="24">
        <v>43</v>
      </c>
      <c r="Q942" s="24">
        <v>0</v>
      </c>
      <c r="R942" s="24">
        <v>0</v>
      </c>
      <c r="S942" s="24">
        <v>0</v>
      </c>
      <c r="T942" s="24">
        <v>216</v>
      </c>
    </row>
    <row r="943" spans="1:20">
      <c r="A943" s="9" t="s">
        <v>702</v>
      </c>
      <c r="B943" s="30" t="s">
        <v>703</v>
      </c>
      <c r="C943" s="30" t="str">
        <f>CONCATENATE(VOL_VOLUMEN_SUMINISTROS[[#This Row],[Proyecto]],VOL_VOLUMEN_SUMINISTROS[[#This Row],[J]],VOL_VOLUMEN_SUMINISTROS[[#This Row],[FIN DE SEMANA]])</f>
        <v>1052-1MNO</v>
      </c>
      <c r="D943" s="365" t="str">
        <f>CONCATENATE(VOL_VOLUMEN_SUMINISTROS[[#This Row],[Grupo]],VOL_VOLUMEN_SUMINISTROS[[#This Row],[Proyecto]],VOL_VOLUMEN_SUMINISTROS[[#This Row],[FIN DE SEMANA]])</f>
        <v>211052-1NO</v>
      </c>
      <c r="E943" s="30" t="s">
        <v>147</v>
      </c>
      <c r="F943" s="30" t="s">
        <v>148</v>
      </c>
      <c r="G943" s="365">
        <v>21</v>
      </c>
      <c r="H943" s="30">
        <v>19</v>
      </c>
      <c r="I943" s="9" t="s">
        <v>250</v>
      </c>
      <c r="J943" s="9" t="s">
        <v>709</v>
      </c>
      <c r="K943" s="30">
        <v>3</v>
      </c>
      <c r="L943" s="9" t="s">
        <v>458</v>
      </c>
      <c r="M943" s="30" t="s">
        <v>84</v>
      </c>
      <c r="N943" s="30" t="s">
        <v>152</v>
      </c>
      <c r="O943" s="24">
        <v>326</v>
      </c>
      <c r="P943" s="24">
        <v>181</v>
      </c>
      <c r="Q943" s="24">
        <v>202</v>
      </c>
      <c r="R943" s="24">
        <v>0</v>
      </c>
      <c r="S943" s="24">
        <v>0</v>
      </c>
      <c r="T943" s="24">
        <v>709</v>
      </c>
    </row>
    <row r="944" spans="1:20">
      <c r="A944" s="9" t="s">
        <v>702</v>
      </c>
      <c r="B944" s="30" t="s">
        <v>703</v>
      </c>
      <c r="C944" s="30" t="str">
        <f>CONCATENATE(VOL_VOLUMEN_SUMINISTROS[[#This Row],[Proyecto]],VOL_VOLUMEN_SUMINISTROS[[#This Row],[J]],VOL_VOLUMEN_SUMINISTROS[[#This Row],[FIN DE SEMANA]])</f>
        <v>1052-1TNO</v>
      </c>
      <c r="D944" s="365" t="str">
        <f>CONCATENATE(VOL_VOLUMEN_SUMINISTROS[[#This Row],[Grupo]],VOL_VOLUMEN_SUMINISTROS[[#This Row],[Proyecto]],VOL_VOLUMEN_SUMINISTROS[[#This Row],[FIN DE SEMANA]])</f>
        <v>211052-1NO</v>
      </c>
      <c r="E944" s="30" t="s">
        <v>147</v>
      </c>
      <c r="F944" s="30" t="s">
        <v>148</v>
      </c>
      <c r="G944" s="365">
        <v>21</v>
      </c>
      <c r="H944" s="30">
        <v>19</v>
      </c>
      <c r="I944" s="9" t="s">
        <v>250</v>
      </c>
      <c r="J944" s="9" t="s">
        <v>709</v>
      </c>
      <c r="K944" s="30">
        <v>3</v>
      </c>
      <c r="L944" s="9" t="s">
        <v>458</v>
      </c>
      <c r="M944" s="30" t="s">
        <v>84</v>
      </c>
      <c r="N944" s="30" t="s">
        <v>155</v>
      </c>
      <c r="O944" s="24">
        <v>308</v>
      </c>
      <c r="P944" s="24">
        <v>257</v>
      </c>
      <c r="Q944" s="24">
        <v>150</v>
      </c>
      <c r="R944" s="24">
        <v>0</v>
      </c>
      <c r="S944" s="24">
        <v>0</v>
      </c>
      <c r="T944" s="24">
        <v>715</v>
      </c>
    </row>
    <row r="945" spans="1:20">
      <c r="A945" s="9" t="s">
        <v>702</v>
      </c>
      <c r="B945" s="30" t="s">
        <v>703</v>
      </c>
      <c r="C945" s="30" t="str">
        <f>CONCATENATE(VOL_VOLUMEN_SUMINISTROS[[#This Row],[Proyecto]],VOL_VOLUMEN_SUMINISTROS[[#This Row],[J]],VOL_VOLUMEN_SUMINISTROS[[#This Row],[FIN DE SEMANA]])</f>
        <v>1052-1MNO</v>
      </c>
      <c r="D945" s="365" t="str">
        <f>CONCATENATE(VOL_VOLUMEN_SUMINISTROS[[#This Row],[Grupo]],VOL_VOLUMEN_SUMINISTROS[[#This Row],[Proyecto]],VOL_VOLUMEN_SUMINISTROS[[#This Row],[FIN DE SEMANA]])</f>
        <v>211052-1NO</v>
      </c>
      <c r="E945" s="30" t="s">
        <v>147</v>
      </c>
      <c r="F945" s="30" t="s">
        <v>148</v>
      </c>
      <c r="G945" s="365">
        <v>21</v>
      </c>
      <c r="H945" s="30">
        <v>19</v>
      </c>
      <c r="I945" s="9" t="s">
        <v>250</v>
      </c>
      <c r="J945" s="9" t="s">
        <v>712</v>
      </c>
      <c r="K945" s="30">
        <v>1</v>
      </c>
      <c r="L945" s="9" t="s">
        <v>713</v>
      </c>
      <c r="M945" s="30" t="s">
        <v>84</v>
      </c>
      <c r="N945" s="30" t="s">
        <v>152</v>
      </c>
      <c r="O945" s="24">
        <v>82</v>
      </c>
      <c r="P945" s="24">
        <v>389</v>
      </c>
      <c r="Q945" s="24">
        <v>477</v>
      </c>
      <c r="R945" s="24">
        <v>0</v>
      </c>
      <c r="S945" s="24">
        <v>0</v>
      </c>
      <c r="T945" s="24">
        <v>948</v>
      </c>
    </row>
    <row r="946" spans="1:20">
      <c r="A946" s="9" t="s">
        <v>702</v>
      </c>
      <c r="B946" s="30" t="s">
        <v>703</v>
      </c>
      <c r="C946" s="30" t="str">
        <f>CONCATENATE(VOL_VOLUMEN_SUMINISTROS[[#This Row],[Proyecto]],VOL_VOLUMEN_SUMINISTROS[[#This Row],[J]],VOL_VOLUMEN_SUMINISTROS[[#This Row],[FIN DE SEMANA]])</f>
        <v>1052-1TNO</v>
      </c>
      <c r="D946" s="365" t="str">
        <f>CONCATENATE(VOL_VOLUMEN_SUMINISTROS[[#This Row],[Grupo]],VOL_VOLUMEN_SUMINISTROS[[#This Row],[Proyecto]],VOL_VOLUMEN_SUMINISTROS[[#This Row],[FIN DE SEMANA]])</f>
        <v>211052-1NO</v>
      </c>
      <c r="E946" s="30" t="s">
        <v>147</v>
      </c>
      <c r="F946" s="30" t="s">
        <v>148</v>
      </c>
      <c r="G946" s="365">
        <v>21</v>
      </c>
      <c r="H946" s="30">
        <v>19</v>
      </c>
      <c r="I946" s="9" t="s">
        <v>250</v>
      </c>
      <c r="J946" s="9" t="s">
        <v>712</v>
      </c>
      <c r="K946" s="30">
        <v>1</v>
      </c>
      <c r="L946" s="9" t="s">
        <v>713</v>
      </c>
      <c r="M946" s="30" t="s">
        <v>84</v>
      </c>
      <c r="N946" s="30" t="s">
        <v>155</v>
      </c>
      <c r="O946" s="24">
        <v>72</v>
      </c>
      <c r="P946" s="24">
        <v>372</v>
      </c>
      <c r="Q946" s="24">
        <v>478</v>
      </c>
      <c r="R946" s="24">
        <v>0</v>
      </c>
      <c r="S946" s="24">
        <v>0</v>
      </c>
      <c r="T946" s="24">
        <v>922</v>
      </c>
    </row>
    <row r="947" spans="1:20">
      <c r="A947" s="9" t="s">
        <v>702</v>
      </c>
      <c r="B947" s="30" t="s">
        <v>703</v>
      </c>
      <c r="C947" s="30" t="str">
        <f>CONCATENATE(VOL_VOLUMEN_SUMINISTROS[[#This Row],[Proyecto]],VOL_VOLUMEN_SUMINISTROS[[#This Row],[J]],VOL_VOLUMEN_SUMINISTROS[[#This Row],[FIN DE SEMANA]])</f>
        <v>1052-1MNO</v>
      </c>
      <c r="D947" s="365" t="str">
        <f>CONCATENATE(VOL_VOLUMEN_SUMINISTROS[[#This Row],[Grupo]],VOL_VOLUMEN_SUMINISTROS[[#This Row],[Proyecto]],VOL_VOLUMEN_SUMINISTROS[[#This Row],[FIN DE SEMANA]])</f>
        <v>211052-1NO</v>
      </c>
      <c r="E947" s="30" t="s">
        <v>147</v>
      </c>
      <c r="F947" s="30" t="s">
        <v>148</v>
      </c>
      <c r="G947" s="365">
        <v>21</v>
      </c>
      <c r="H947" s="30">
        <v>19</v>
      </c>
      <c r="I947" s="9" t="s">
        <v>250</v>
      </c>
      <c r="J947" s="9" t="s">
        <v>712</v>
      </c>
      <c r="K947" s="30">
        <v>2</v>
      </c>
      <c r="L947" s="9" t="s">
        <v>714</v>
      </c>
      <c r="M947" s="30" t="s">
        <v>84</v>
      </c>
      <c r="N947" s="30" t="s">
        <v>152</v>
      </c>
      <c r="O947" s="24">
        <v>244</v>
      </c>
      <c r="P947" s="24">
        <v>92</v>
      </c>
      <c r="Q947" s="24">
        <v>6</v>
      </c>
      <c r="R947" s="24">
        <v>0</v>
      </c>
      <c r="S947" s="24">
        <v>0</v>
      </c>
      <c r="T947" s="24">
        <v>342</v>
      </c>
    </row>
    <row r="948" spans="1:20">
      <c r="A948" s="9" t="s">
        <v>702</v>
      </c>
      <c r="B948" s="30" t="s">
        <v>703</v>
      </c>
      <c r="C948" s="30" t="str">
        <f>CONCATENATE(VOL_VOLUMEN_SUMINISTROS[[#This Row],[Proyecto]],VOL_VOLUMEN_SUMINISTROS[[#This Row],[J]],VOL_VOLUMEN_SUMINISTROS[[#This Row],[FIN DE SEMANA]])</f>
        <v>1052-1TNO</v>
      </c>
      <c r="D948" s="365" t="str">
        <f>CONCATENATE(VOL_VOLUMEN_SUMINISTROS[[#This Row],[Grupo]],VOL_VOLUMEN_SUMINISTROS[[#This Row],[Proyecto]],VOL_VOLUMEN_SUMINISTROS[[#This Row],[FIN DE SEMANA]])</f>
        <v>211052-1NO</v>
      </c>
      <c r="E948" s="30" t="s">
        <v>147</v>
      </c>
      <c r="F948" s="30" t="s">
        <v>148</v>
      </c>
      <c r="G948" s="365">
        <v>21</v>
      </c>
      <c r="H948" s="30">
        <v>19</v>
      </c>
      <c r="I948" s="9" t="s">
        <v>250</v>
      </c>
      <c r="J948" s="9" t="s">
        <v>712</v>
      </c>
      <c r="K948" s="30">
        <v>2</v>
      </c>
      <c r="L948" s="9" t="s">
        <v>714</v>
      </c>
      <c r="M948" s="30" t="s">
        <v>84</v>
      </c>
      <c r="N948" s="30" t="s">
        <v>155</v>
      </c>
      <c r="O948" s="24">
        <v>248</v>
      </c>
      <c r="P948" s="24">
        <v>93</v>
      </c>
      <c r="Q948" s="24">
        <v>6</v>
      </c>
      <c r="R948" s="24">
        <v>0</v>
      </c>
      <c r="S948" s="24">
        <v>0</v>
      </c>
      <c r="T948" s="24">
        <v>347</v>
      </c>
    </row>
    <row r="949" spans="1:20">
      <c r="A949" s="9" t="s">
        <v>702</v>
      </c>
      <c r="B949" s="30" t="s">
        <v>703</v>
      </c>
      <c r="C949" s="30" t="str">
        <f>CONCATENATE(VOL_VOLUMEN_SUMINISTROS[[#This Row],[Proyecto]],VOL_VOLUMEN_SUMINISTROS[[#This Row],[J]],VOL_VOLUMEN_SUMINISTROS[[#This Row],[FIN DE SEMANA]])</f>
        <v>1052-1MNO</v>
      </c>
      <c r="D949" s="365" t="str">
        <f>CONCATENATE(VOL_VOLUMEN_SUMINISTROS[[#This Row],[Grupo]],VOL_VOLUMEN_SUMINISTROS[[#This Row],[Proyecto]],VOL_VOLUMEN_SUMINISTROS[[#This Row],[FIN DE SEMANA]])</f>
        <v>211052-1NO</v>
      </c>
      <c r="E949" s="30" t="s">
        <v>147</v>
      </c>
      <c r="F949" s="30" t="s">
        <v>148</v>
      </c>
      <c r="G949" s="365">
        <v>21</v>
      </c>
      <c r="H949" s="30">
        <v>19</v>
      </c>
      <c r="I949" s="9" t="s">
        <v>250</v>
      </c>
      <c r="J949" s="9" t="s">
        <v>715</v>
      </c>
      <c r="K949" s="30">
        <v>1</v>
      </c>
      <c r="L949" s="9" t="s">
        <v>716</v>
      </c>
      <c r="M949" s="30" t="s">
        <v>84</v>
      </c>
      <c r="N949" s="30" t="s">
        <v>152</v>
      </c>
      <c r="O949" s="24">
        <v>0</v>
      </c>
      <c r="P949" s="24">
        <v>393</v>
      </c>
      <c r="Q949" s="24">
        <v>649</v>
      </c>
      <c r="R949" s="24">
        <v>0</v>
      </c>
      <c r="S949" s="24">
        <v>0</v>
      </c>
      <c r="T949" s="24">
        <v>1042</v>
      </c>
    </row>
    <row r="950" spans="1:20">
      <c r="A950" s="9" t="s">
        <v>702</v>
      </c>
      <c r="B950" s="30" t="s">
        <v>703</v>
      </c>
      <c r="C950" s="30" t="str">
        <f>CONCATENATE(VOL_VOLUMEN_SUMINISTROS[[#This Row],[Proyecto]],VOL_VOLUMEN_SUMINISTROS[[#This Row],[J]],VOL_VOLUMEN_SUMINISTROS[[#This Row],[FIN DE SEMANA]])</f>
        <v>1052-1TNO</v>
      </c>
      <c r="D950" s="365" t="str">
        <f>CONCATENATE(VOL_VOLUMEN_SUMINISTROS[[#This Row],[Grupo]],VOL_VOLUMEN_SUMINISTROS[[#This Row],[Proyecto]],VOL_VOLUMEN_SUMINISTROS[[#This Row],[FIN DE SEMANA]])</f>
        <v>211052-1NO</v>
      </c>
      <c r="E950" s="30" t="s">
        <v>147</v>
      </c>
      <c r="F950" s="30" t="s">
        <v>148</v>
      </c>
      <c r="G950" s="365">
        <v>21</v>
      </c>
      <c r="H950" s="30">
        <v>19</v>
      </c>
      <c r="I950" s="9" t="s">
        <v>250</v>
      </c>
      <c r="J950" s="9" t="s">
        <v>715</v>
      </c>
      <c r="K950" s="30">
        <v>1</v>
      </c>
      <c r="L950" s="9" t="s">
        <v>716</v>
      </c>
      <c r="M950" s="30" t="s">
        <v>84</v>
      </c>
      <c r="N950" s="30" t="s">
        <v>155</v>
      </c>
      <c r="O950" s="24">
        <v>0</v>
      </c>
      <c r="P950" s="24">
        <v>381</v>
      </c>
      <c r="Q950" s="24">
        <v>615</v>
      </c>
      <c r="R950" s="24">
        <v>0</v>
      </c>
      <c r="S950" s="24">
        <v>0</v>
      </c>
      <c r="T950" s="24">
        <v>996</v>
      </c>
    </row>
    <row r="951" spans="1:20">
      <c r="A951" s="9" t="s">
        <v>702</v>
      </c>
      <c r="B951" s="30" t="s">
        <v>703</v>
      </c>
      <c r="C951" s="30" t="str">
        <f>CONCATENATE(VOL_VOLUMEN_SUMINISTROS[[#This Row],[Proyecto]],VOL_VOLUMEN_SUMINISTROS[[#This Row],[J]],VOL_VOLUMEN_SUMINISTROS[[#This Row],[FIN DE SEMANA]])</f>
        <v>1052-1MNO</v>
      </c>
      <c r="D951" s="365" t="str">
        <f>CONCATENATE(VOL_VOLUMEN_SUMINISTROS[[#This Row],[Grupo]],VOL_VOLUMEN_SUMINISTROS[[#This Row],[Proyecto]],VOL_VOLUMEN_SUMINISTROS[[#This Row],[FIN DE SEMANA]])</f>
        <v>211052-1NO</v>
      </c>
      <c r="E951" s="30" t="s">
        <v>147</v>
      </c>
      <c r="F951" s="30" t="s">
        <v>148</v>
      </c>
      <c r="G951" s="365">
        <v>21</v>
      </c>
      <c r="H951" s="30">
        <v>19</v>
      </c>
      <c r="I951" s="9" t="s">
        <v>250</v>
      </c>
      <c r="J951" s="9" t="s">
        <v>715</v>
      </c>
      <c r="K951" s="30">
        <v>2</v>
      </c>
      <c r="L951" s="9" t="s">
        <v>717</v>
      </c>
      <c r="M951" s="30" t="s">
        <v>84</v>
      </c>
      <c r="N951" s="30" t="s">
        <v>152</v>
      </c>
      <c r="O951" s="24">
        <v>168</v>
      </c>
      <c r="P951" s="24">
        <v>225</v>
      </c>
      <c r="Q951" s="24">
        <v>47</v>
      </c>
      <c r="R951" s="24">
        <v>0</v>
      </c>
      <c r="S951" s="24">
        <v>0</v>
      </c>
      <c r="T951" s="24">
        <v>440</v>
      </c>
    </row>
    <row r="952" spans="1:20">
      <c r="A952" s="9" t="s">
        <v>702</v>
      </c>
      <c r="B952" s="30" t="s">
        <v>703</v>
      </c>
      <c r="C952" s="30" t="str">
        <f>CONCATENATE(VOL_VOLUMEN_SUMINISTROS[[#This Row],[Proyecto]],VOL_VOLUMEN_SUMINISTROS[[#This Row],[J]],VOL_VOLUMEN_SUMINISTROS[[#This Row],[FIN DE SEMANA]])</f>
        <v>1052-1TNO</v>
      </c>
      <c r="D952" s="365" t="str">
        <f>CONCATENATE(VOL_VOLUMEN_SUMINISTROS[[#This Row],[Grupo]],VOL_VOLUMEN_SUMINISTROS[[#This Row],[Proyecto]],VOL_VOLUMEN_SUMINISTROS[[#This Row],[FIN DE SEMANA]])</f>
        <v>211052-1NO</v>
      </c>
      <c r="E952" s="30" t="s">
        <v>147</v>
      </c>
      <c r="F952" s="30" t="s">
        <v>148</v>
      </c>
      <c r="G952" s="365">
        <v>21</v>
      </c>
      <c r="H952" s="30">
        <v>19</v>
      </c>
      <c r="I952" s="9" t="s">
        <v>250</v>
      </c>
      <c r="J952" s="9" t="s">
        <v>715</v>
      </c>
      <c r="K952" s="30">
        <v>2</v>
      </c>
      <c r="L952" s="9" t="s">
        <v>717</v>
      </c>
      <c r="M952" s="30" t="s">
        <v>84</v>
      </c>
      <c r="N952" s="30" t="s">
        <v>155</v>
      </c>
      <c r="O952" s="24">
        <v>190</v>
      </c>
      <c r="P952" s="24">
        <v>218</v>
      </c>
      <c r="Q952" s="24">
        <v>41</v>
      </c>
      <c r="R952" s="24">
        <v>0</v>
      </c>
      <c r="S952" s="24">
        <v>0</v>
      </c>
      <c r="T952" s="24">
        <v>449</v>
      </c>
    </row>
    <row r="953" spans="1:20">
      <c r="A953" s="9" t="s">
        <v>702</v>
      </c>
      <c r="B953" s="30" t="s">
        <v>703</v>
      </c>
      <c r="C953" s="30" t="str">
        <f>CONCATENATE(VOL_VOLUMEN_SUMINISTROS[[#This Row],[Proyecto]],VOL_VOLUMEN_SUMINISTROS[[#This Row],[J]],VOL_VOLUMEN_SUMINISTROS[[#This Row],[FIN DE SEMANA]])</f>
        <v>1052-1MNO</v>
      </c>
      <c r="D953" s="365" t="str">
        <f>CONCATENATE(VOL_VOLUMEN_SUMINISTROS[[#This Row],[Grupo]],VOL_VOLUMEN_SUMINISTROS[[#This Row],[Proyecto]],VOL_VOLUMEN_SUMINISTROS[[#This Row],[FIN DE SEMANA]])</f>
        <v>211052-1NO</v>
      </c>
      <c r="E953" s="30" t="s">
        <v>147</v>
      </c>
      <c r="F953" s="30" t="s">
        <v>148</v>
      </c>
      <c r="G953" s="365">
        <v>21</v>
      </c>
      <c r="H953" s="30">
        <v>19</v>
      </c>
      <c r="I953" s="9" t="s">
        <v>250</v>
      </c>
      <c r="J953" s="9" t="s">
        <v>715</v>
      </c>
      <c r="K953" s="30">
        <v>3</v>
      </c>
      <c r="L953" s="9" t="s">
        <v>718</v>
      </c>
      <c r="M953" s="30" t="s">
        <v>84</v>
      </c>
      <c r="N953" s="30" t="s">
        <v>152</v>
      </c>
      <c r="O953" s="24">
        <v>220</v>
      </c>
      <c r="P953" s="24">
        <v>60</v>
      </c>
      <c r="Q953" s="24">
        <v>0</v>
      </c>
      <c r="R953" s="24">
        <v>0</v>
      </c>
      <c r="S953" s="24">
        <v>0</v>
      </c>
      <c r="T953" s="24">
        <v>280</v>
      </c>
    </row>
    <row r="954" spans="1:20">
      <c r="A954" s="9" t="s">
        <v>702</v>
      </c>
      <c r="B954" s="30" t="s">
        <v>703</v>
      </c>
      <c r="C954" s="30" t="str">
        <f>CONCATENATE(VOL_VOLUMEN_SUMINISTROS[[#This Row],[Proyecto]],VOL_VOLUMEN_SUMINISTROS[[#This Row],[J]],VOL_VOLUMEN_SUMINISTROS[[#This Row],[FIN DE SEMANA]])</f>
        <v>1052-1TNO</v>
      </c>
      <c r="D954" s="365" t="str">
        <f>CONCATENATE(VOL_VOLUMEN_SUMINISTROS[[#This Row],[Grupo]],VOL_VOLUMEN_SUMINISTROS[[#This Row],[Proyecto]],VOL_VOLUMEN_SUMINISTROS[[#This Row],[FIN DE SEMANA]])</f>
        <v>211052-1NO</v>
      </c>
      <c r="E954" s="30" t="s">
        <v>147</v>
      </c>
      <c r="F954" s="30" t="s">
        <v>148</v>
      </c>
      <c r="G954" s="365">
        <v>21</v>
      </c>
      <c r="H954" s="30">
        <v>19</v>
      </c>
      <c r="I954" s="9" t="s">
        <v>250</v>
      </c>
      <c r="J954" s="9" t="s">
        <v>715</v>
      </c>
      <c r="K954" s="30">
        <v>3</v>
      </c>
      <c r="L954" s="9" t="s">
        <v>718</v>
      </c>
      <c r="M954" s="30" t="s">
        <v>84</v>
      </c>
      <c r="N954" s="30" t="s">
        <v>155</v>
      </c>
      <c r="O954" s="24">
        <v>222</v>
      </c>
      <c r="P954" s="24">
        <v>49</v>
      </c>
      <c r="Q954" s="24">
        <v>0</v>
      </c>
      <c r="R954" s="24">
        <v>0</v>
      </c>
      <c r="S954" s="24">
        <v>0</v>
      </c>
      <c r="T954" s="24">
        <v>271</v>
      </c>
    </row>
    <row r="955" spans="1:20">
      <c r="A955" s="9" t="s">
        <v>702</v>
      </c>
      <c r="B955" s="30" t="s">
        <v>703</v>
      </c>
      <c r="C955" s="30" t="str">
        <f>CONCATENATE(VOL_VOLUMEN_SUMINISTROS[[#This Row],[Proyecto]],VOL_VOLUMEN_SUMINISTROS[[#This Row],[J]],VOL_VOLUMEN_SUMINISTROS[[#This Row],[FIN DE SEMANA]])</f>
        <v>1052-1MNO</v>
      </c>
      <c r="D955" s="365" t="str">
        <f>CONCATENATE(VOL_VOLUMEN_SUMINISTROS[[#This Row],[Grupo]],VOL_VOLUMEN_SUMINISTROS[[#This Row],[Proyecto]],VOL_VOLUMEN_SUMINISTROS[[#This Row],[FIN DE SEMANA]])</f>
        <v>61052-1NO</v>
      </c>
      <c r="E955" s="30" t="s">
        <v>147</v>
      </c>
      <c r="F955" s="30" t="s">
        <v>148</v>
      </c>
      <c r="G955" s="365">
        <v>6</v>
      </c>
      <c r="H955" s="30">
        <v>19</v>
      </c>
      <c r="I955" s="9" t="s">
        <v>250</v>
      </c>
      <c r="J955" s="9" t="s">
        <v>719</v>
      </c>
      <c r="K955" s="30">
        <v>1</v>
      </c>
      <c r="L955" s="9" t="s">
        <v>720</v>
      </c>
      <c r="M955" s="30" t="s">
        <v>84</v>
      </c>
      <c r="N955" s="30" t="s">
        <v>152</v>
      </c>
      <c r="O955" s="24">
        <v>246</v>
      </c>
      <c r="P955" s="24">
        <v>334</v>
      </c>
      <c r="Q955" s="24">
        <v>423</v>
      </c>
      <c r="R955" s="24">
        <v>0</v>
      </c>
      <c r="S955" s="24">
        <v>0</v>
      </c>
      <c r="T955" s="24">
        <v>1003</v>
      </c>
    </row>
    <row r="956" spans="1:20">
      <c r="A956" s="9" t="s">
        <v>702</v>
      </c>
      <c r="B956" s="30" t="s">
        <v>703</v>
      </c>
      <c r="C956" s="30" t="str">
        <f>CONCATENATE(VOL_VOLUMEN_SUMINISTROS[[#This Row],[Proyecto]],VOL_VOLUMEN_SUMINISTROS[[#This Row],[J]],VOL_VOLUMEN_SUMINISTROS[[#This Row],[FIN DE SEMANA]])</f>
        <v>1052-1MNO</v>
      </c>
      <c r="D956" s="365" t="str">
        <f>CONCATENATE(VOL_VOLUMEN_SUMINISTROS[[#This Row],[Grupo]],VOL_VOLUMEN_SUMINISTROS[[#This Row],[Proyecto]],VOL_VOLUMEN_SUMINISTROS[[#This Row],[FIN DE SEMANA]])</f>
        <v>211052-1NO</v>
      </c>
      <c r="E956" s="30" t="s">
        <v>147</v>
      </c>
      <c r="F956" s="30" t="s">
        <v>148</v>
      </c>
      <c r="G956" s="365">
        <v>21</v>
      </c>
      <c r="H956" s="30">
        <v>19</v>
      </c>
      <c r="I956" s="9" t="s">
        <v>250</v>
      </c>
      <c r="J956" s="9" t="s">
        <v>721</v>
      </c>
      <c r="K956" s="30">
        <v>1</v>
      </c>
      <c r="L956" s="9" t="s">
        <v>722</v>
      </c>
      <c r="M956" s="30" t="s">
        <v>84</v>
      </c>
      <c r="N956" s="30" t="s">
        <v>152</v>
      </c>
      <c r="O956" s="24">
        <v>23</v>
      </c>
      <c r="P956" s="24">
        <v>225</v>
      </c>
      <c r="Q956" s="24">
        <v>307</v>
      </c>
      <c r="R956" s="24">
        <v>0</v>
      </c>
      <c r="S956" s="24">
        <v>0</v>
      </c>
      <c r="T956" s="24">
        <v>555</v>
      </c>
    </row>
    <row r="957" spans="1:20">
      <c r="A957" s="9" t="s">
        <v>702</v>
      </c>
      <c r="B957" s="30" t="s">
        <v>703</v>
      </c>
      <c r="C957" s="30" t="str">
        <f>CONCATENATE(VOL_VOLUMEN_SUMINISTROS[[#This Row],[Proyecto]],VOL_VOLUMEN_SUMINISTROS[[#This Row],[J]],VOL_VOLUMEN_SUMINISTROS[[#This Row],[FIN DE SEMANA]])</f>
        <v>1052-1TNO</v>
      </c>
      <c r="D957" s="365" t="str">
        <f>CONCATENATE(VOL_VOLUMEN_SUMINISTROS[[#This Row],[Grupo]],VOL_VOLUMEN_SUMINISTROS[[#This Row],[Proyecto]],VOL_VOLUMEN_SUMINISTROS[[#This Row],[FIN DE SEMANA]])</f>
        <v>211052-1NO</v>
      </c>
      <c r="E957" s="30" t="s">
        <v>147</v>
      </c>
      <c r="F957" s="30" t="s">
        <v>148</v>
      </c>
      <c r="G957" s="365">
        <v>21</v>
      </c>
      <c r="H957" s="30">
        <v>19</v>
      </c>
      <c r="I957" s="9" t="s">
        <v>250</v>
      </c>
      <c r="J957" s="9" t="s">
        <v>721</v>
      </c>
      <c r="K957" s="30">
        <v>1</v>
      </c>
      <c r="L957" s="9" t="s">
        <v>722</v>
      </c>
      <c r="M957" s="30" t="s">
        <v>84</v>
      </c>
      <c r="N957" s="30" t="s">
        <v>155</v>
      </c>
      <c r="O957" s="24">
        <v>0</v>
      </c>
      <c r="P957" s="24">
        <v>192</v>
      </c>
      <c r="Q957" s="24">
        <v>223</v>
      </c>
      <c r="R957" s="24">
        <v>0</v>
      </c>
      <c r="S957" s="24">
        <v>0</v>
      </c>
      <c r="T957" s="24">
        <v>415</v>
      </c>
    </row>
    <row r="958" spans="1:20">
      <c r="A958" s="9" t="s">
        <v>702</v>
      </c>
      <c r="B958" s="30" t="s">
        <v>703</v>
      </c>
      <c r="C958" s="30" t="str">
        <f>CONCATENATE(VOL_VOLUMEN_SUMINISTROS[[#This Row],[Proyecto]],VOL_VOLUMEN_SUMINISTROS[[#This Row],[J]],VOL_VOLUMEN_SUMINISTROS[[#This Row],[FIN DE SEMANA]])</f>
        <v>1052-1MNO</v>
      </c>
      <c r="D958" s="365" t="str">
        <f>CONCATENATE(VOL_VOLUMEN_SUMINISTROS[[#This Row],[Grupo]],VOL_VOLUMEN_SUMINISTROS[[#This Row],[Proyecto]],VOL_VOLUMEN_SUMINISTROS[[#This Row],[FIN DE SEMANA]])</f>
        <v>211052-1NO</v>
      </c>
      <c r="E958" s="30" t="s">
        <v>147</v>
      </c>
      <c r="F958" s="30" t="s">
        <v>148</v>
      </c>
      <c r="G958" s="365">
        <v>21</v>
      </c>
      <c r="H958" s="30">
        <v>19</v>
      </c>
      <c r="I958" s="9" t="s">
        <v>250</v>
      </c>
      <c r="J958" s="9" t="s">
        <v>721</v>
      </c>
      <c r="K958" s="30">
        <v>2</v>
      </c>
      <c r="L958" s="9" t="s">
        <v>723</v>
      </c>
      <c r="M958" s="30" t="s">
        <v>84</v>
      </c>
      <c r="N958" s="30" t="s">
        <v>152</v>
      </c>
      <c r="O958" s="24">
        <v>189</v>
      </c>
      <c r="P958" s="24">
        <v>131</v>
      </c>
      <c r="Q958" s="24">
        <v>24</v>
      </c>
      <c r="R958" s="24">
        <v>0</v>
      </c>
      <c r="S958" s="24">
        <v>0</v>
      </c>
      <c r="T958" s="24">
        <v>344</v>
      </c>
    </row>
    <row r="959" spans="1:20">
      <c r="A959" s="9" t="s">
        <v>702</v>
      </c>
      <c r="B959" s="30" t="s">
        <v>703</v>
      </c>
      <c r="C959" s="30" t="str">
        <f>CONCATENATE(VOL_VOLUMEN_SUMINISTROS[[#This Row],[Proyecto]],VOL_VOLUMEN_SUMINISTROS[[#This Row],[J]],VOL_VOLUMEN_SUMINISTROS[[#This Row],[FIN DE SEMANA]])</f>
        <v>1052-1TNO</v>
      </c>
      <c r="D959" s="365" t="str">
        <f>CONCATENATE(VOL_VOLUMEN_SUMINISTROS[[#This Row],[Grupo]],VOL_VOLUMEN_SUMINISTROS[[#This Row],[Proyecto]],VOL_VOLUMEN_SUMINISTROS[[#This Row],[FIN DE SEMANA]])</f>
        <v>211052-1NO</v>
      </c>
      <c r="E959" s="30" t="s">
        <v>147</v>
      </c>
      <c r="F959" s="30" t="s">
        <v>148</v>
      </c>
      <c r="G959" s="365">
        <v>21</v>
      </c>
      <c r="H959" s="30">
        <v>19</v>
      </c>
      <c r="I959" s="9" t="s">
        <v>250</v>
      </c>
      <c r="J959" s="9" t="s">
        <v>721</v>
      </c>
      <c r="K959" s="30">
        <v>2</v>
      </c>
      <c r="L959" s="9" t="s">
        <v>723</v>
      </c>
      <c r="M959" s="30" t="s">
        <v>84</v>
      </c>
      <c r="N959" s="30" t="s">
        <v>155</v>
      </c>
      <c r="O959" s="24">
        <v>126</v>
      </c>
      <c r="P959" s="24">
        <v>100</v>
      </c>
      <c r="Q959" s="24">
        <v>20</v>
      </c>
      <c r="R959" s="24">
        <v>0</v>
      </c>
      <c r="S959" s="24">
        <v>0</v>
      </c>
      <c r="T959" s="24">
        <v>246</v>
      </c>
    </row>
    <row r="960" spans="1:20">
      <c r="A960" s="9" t="s">
        <v>702</v>
      </c>
      <c r="B960" s="30" t="s">
        <v>703</v>
      </c>
      <c r="C960" s="30" t="str">
        <f>CONCATENATE(VOL_VOLUMEN_SUMINISTROS[[#This Row],[Proyecto]],VOL_VOLUMEN_SUMINISTROS[[#This Row],[J]],VOL_VOLUMEN_SUMINISTROS[[#This Row],[FIN DE SEMANA]])</f>
        <v>1052-1MNO</v>
      </c>
      <c r="D960" s="365" t="str">
        <f>CONCATENATE(VOL_VOLUMEN_SUMINISTROS[[#This Row],[Grupo]],VOL_VOLUMEN_SUMINISTROS[[#This Row],[Proyecto]],VOL_VOLUMEN_SUMINISTROS[[#This Row],[FIN DE SEMANA]])</f>
        <v>211052-1NO</v>
      </c>
      <c r="E960" s="30" t="s">
        <v>147</v>
      </c>
      <c r="F960" s="30" t="s">
        <v>148</v>
      </c>
      <c r="G960" s="365">
        <v>21</v>
      </c>
      <c r="H960" s="30">
        <v>19</v>
      </c>
      <c r="I960" s="9" t="s">
        <v>250</v>
      </c>
      <c r="J960" s="9" t="s">
        <v>721</v>
      </c>
      <c r="K960" s="30">
        <v>3</v>
      </c>
      <c r="L960" s="9" t="s">
        <v>724</v>
      </c>
      <c r="M960" s="30" t="s">
        <v>84</v>
      </c>
      <c r="N960" s="30" t="s">
        <v>152</v>
      </c>
      <c r="O960" s="24">
        <v>99</v>
      </c>
      <c r="P960" s="24">
        <v>97</v>
      </c>
      <c r="Q960" s="24">
        <v>21</v>
      </c>
      <c r="R960" s="24">
        <v>0</v>
      </c>
      <c r="S960" s="24">
        <v>0</v>
      </c>
      <c r="T960" s="24">
        <v>217</v>
      </c>
    </row>
    <row r="961" spans="1:20">
      <c r="A961" s="9" t="s">
        <v>702</v>
      </c>
      <c r="B961" s="30" t="s">
        <v>703</v>
      </c>
      <c r="C961" s="30" t="str">
        <f>CONCATENATE(VOL_VOLUMEN_SUMINISTROS[[#This Row],[Proyecto]],VOL_VOLUMEN_SUMINISTROS[[#This Row],[J]],VOL_VOLUMEN_SUMINISTROS[[#This Row],[FIN DE SEMANA]])</f>
        <v>1052-1TNO</v>
      </c>
      <c r="D961" s="365" t="str">
        <f>CONCATENATE(VOL_VOLUMEN_SUMINISTROS[[#This Row],[Grupo]],VOL_VOLUMEN_SUMINISTROS[[#This Row],[Proyecto]],VOL_VOLUMEN_SUMINISTROS[[#This Row],[FIN DE SEMANA]])</f>
        <v>211052-1NO</v>
      </c>
      <c r="E961" s="30" t="s">
        <v>147</v>
      </c>
      <c r="F961" s="30" t="s">
        <v>148</v>
      </c>
      <c r="G961" s="365">
        <v>21</v>
      </c>
      <c r="H961" s="30">
        <v>19</v>
      </c>
      <c r="I961" s="9" t="s">
        <v>250</v>
      </c>
      <c r="J961" s="9" t="s">
        <v>721</v>
      </c>
      <c r="K961" s="30">
        <v>3</v>
      </c>
      <c r="L961" s="9" t="s">
        <v>724</v>
      </c>
      <c r="M961" s="30" t="s">
        <v>84</v>
      </c>
      <c r="N961" s="30" t="s">
        <v>155</v>
      </c>
      <c r="O961" s="24">
        <v>97</v>
      </c>
      <c r="P961" s="24">
        <v>58</v>
      </c>
      <c r="Q961" s="24">
        <v>11</v>
      </c>
      <c r="R961" s="24">
        <v>0</v>
      </c>
      <c r="S961" s="24">
        <v>0</v>
      </c>
      <c r="T961" s="24">
        <v>166</v>
      </c>
    </row>
    <row r="962" spans="1:20">
      <c r="A962" s="9" t="s">
        <v>702</v>
      </c>
      <c r="B962" s="30" t="s">
        <v>703</v>
      </c>
      <c r="C962" s="30" t="str">
        <f>CONCATENATE(VOL_VOLUMEN_SUMINISTROS[[#This Row],[Proyecto]],VOL_VOLUMEN_SUMINISTROS[[#This Row],[J]],VOL_VOLUMEN_SUMINISTROS[[#This Row],[FIN DE SEMANA]])</f>
        <v>1052-1MNO</v>
      </c>
      <c r="D962" s="365" t="str">
        <f>CONCATENATE(VOL_VOLUMEN_SUMINISTROS[[#This Row],[Grupo]],VOL_VOLUMEN_SUMINISTROS[[#This Row],[Proyecto]],VOL_VOLUMEN_SUMINISTROS[[#This Row],[FIN DE SEMANA]])</f>
        <v>211052-1NO</v>
      </c>
      <c r="E962" s="30" t="s">
        <v>147</v>
      </c>
      <c r="F962" s="30" t="s">
        <v>148</v>
      </c>
      <c r="G962" s="365">
        <v>21</v>
      </c>
      <c r="H962" s="30">
        <v>19</v>
      </c>
      <c r="I962" s="9" t="s">
        <v>250</v>
      </c>
      <c r="J962" s="9" t="s">
        <v>725</v>
      </c>
      <c r="K962" s="30">
        <v>1</v>
      </c>
      <c r="L962" s="9" t="s">
        <v>726</v>
      </c>
      <c r="M962" s="30" t="s">
        <v>84</v>
      </c>
      <c r="N962" s="30" t="s">
        <v>152</v>
      </c>
      <c r="O962" s="24">
        <v>158</v>
      </c>
      <c r="P962" s="24">
        <v>175</v>
      </c>
      <c r="Q962" s="24">
        <v>37</v>
      </c>
      <c r="R962" s="24">
        <v>0</v>
      </c>
      <c r="S962" s="24">
        <v>0</v>
      </c>
      <c r="T962" s="24">
        <v>370</v>
      </c>
    </row>
    <row r="963" spans="1:20">
      <c r="A963" s="9" t="s">
        <v>702</v>
      </c>
      <c r="B963" s="30" t="s">
        <v>727</v>
      </c>
      <c r="C963" s="30" t="str">
        <f>CONCATENATE(VOL_VOLUMEN_SUMINISTROS[[#This Row],[Proyecto]],VOL_VOLUMEN_SUMINISTROS[[#This Row],[J]],VOL_VOLUMEN_SUMINISTROS[[#This Row],[FIN DE SEMANA]])</f>
        <v>1052-2MNO</v>
      </c>
      <c r="D963" s="365" t="str">
        <f>CONCATENATE(VOL_VOLUMEN_SUMINISTROS[[#This Row],[Grupo]],VOL_VOLUMEN_SUMINISTROS[[#This Row],[Proyecto]],VOL_VOLUMEN_SUMINISTROS[[#This Row],[FIN DE SEMANA]])</f>
        <v>211052-2NO</v>
      </c>
      <c r="E963" s="30" t="s">
        <v>183</v>
      </c>
      <c r="F963" s="30" t="s">
        <v>148</v>
      </c>
      <c r="G963" s="365">
        <v>21</v>
      </c>
      <c r="H963" s="30">
        <v>19</v>
      </c>
      <c r="I963" s="9" t="s">
        <v>250</v>
      </c>
      <c r="J963" s="9" t="s">
        <v>706</v>
      </c>
      <c r="K963" s="30">
        <v>1</v>
      </c>
      <c r="L963" s="9" t="s">
        <v>707</v>
      </c>
      <c r="M963" s="30" t="s">
        <v>84</v>
      </c>
      <c r="N963" s="30" t="s">
        <v>152</v>
      </c>
      <c r="O963" s="24">
        <v>75</v>
      </c>
      <c r="P963" s="24">
        <v>0</v>
      </c>
      <c r="Q963" s="24">
        <v>0</v>
      </c>
      <c r="R963" s="24">
        <v>0</v>
      </c>
      <c r="S963" s="24">
        <v>0</v>
      </c>
      <c r="T963" s="24">
        <v>75</v>
      </c>
    </row>
    <row r="964" spans="1:20">
      <c r="A964" s="9" t="s">
        <v>702</v>
      </c>
      <c r="B964" s="30" t="s">
        <v>727</v>
      </c>
      <c r="C964" s="30" t="str">
        <f>CONCATENATE(VOL_VOLUMEN_SUMINISTROS[[#This Row],[Proyecto]],VOL_VOLUMEN_SUMINISTROS[[#This Row],[J]],VOL_VOLUMEN_SUMINISTROS[[#This Row],[FIN DE SEMANA]])</f>
        <v>1052-2TNO</v>
      </c>
      <c r="D964" s="365" t="str">
        <f>CONCATENATE(VOL_VOLUMEN_SUMINISTROS[[#This Row],[Grupo]],VOL_VOLUMEN_SUMINISTROS[[#This Row],[Proyecto]],VOL_VOLUMEN_SUMINISTROS[[#This Row],[FIN DE SEMANA]])</f>
        <v>211052-2NO</v>
      </c>
      <c r="E964" s="30" t="s">
        <v>183</v>
      </c>
      <c r="F964" s="30" t="s">
        <v>148</v>
      </c>
      <c r="G964" s="365">
        <v>21</v>
      </c>
      <c r="H964" s="30">
        <v>19</v>
      </c>
      <c r="I964" s="9" t="s">
        <v>250</v>
      </c>
      <c r="J964" s="9" t="s">
        <v>706</v>
      </c>
      <c r="K964" s="30">
        <v>1</v>
      </c>
      <c r="L964" s="9" t="s">
        <v>707</v>
      </c>
      <c r="M964" s="30" t="s">
        <v>84</v>
      </c>
      <c r="N964" s="30" t="s">
        <v>155</v>
      </c>
      <c r="O964" s="24">
        <v>75</v>
      </c>
      <c r="P964" s="24">
        <v>0</v>
      </c>
      <c r="Q964" s="24">
        <v>0</v>
      </c>
      <c r="R964" s="24">
        <v>0</v>
      </c>
      <c r="S964" s="24">
        <v>0</v>
      </c>
      <c r="T964" s="24">
        <v>75</v>
      </c>
    </row>
    <row r="965" spans="1:20">
      <c r="A965" s="9" t="s">
        <v>702</v>
      </c>
      <c r="B965" s="30" t="s">
        <v>727</v>
      </c>
      <c r="C965" s="30" t="str">
        <f>CONCATENATE(VOL_VOLUMEN_SUMINISTROS[[#This Row],[Proyecto]],VOL_VOLUMEN_SUMINISTROS[[#This Row],[J]],VOL_VOLUMEN_SUMINISTROS[[#This Row],[FIN DE SEMANA]])</f>
        <v>1052-2MNO</v>
      </c>
      <c r="D965" s="365" t="str">
        <f>CONCATENATE(VOL_VOLUMEN_SUMINISTROS[[#This Row],[Grupo]],VOL_VOLUMEN_SUMINISTROS[[#This Row],[Proyecto]],VOL_VOLUMEN_SUMINISTROS[[#This Row],[FIN DE SEMANA]])</f>
        <v>211052-2NO</v>
      </c>
      <c r="E965" s="30" t="s">
        <v>183</v>
      </c>
      <c r="F965" s="30" t="s">
        <v>148</v>
      </c>
      <c r="G965" s="365">
        <v>21</v>
      </c>
      <c r="H965" s="30">
        <v>19</v>
      </c>
      <c r="I965" s="9" t="s">
        <v>250</v>
      </c>
      <c r="J965" s="9" t="s">
        <v>706</v>
      </c>
      <c r="K965" s="30">
        <v>2</v>
      </c>
      <c r="L965" s="9" t="s">
        <v>708</v>
      </c>
      <c r="M965" s="30" t="s">
        <v>84</v>
      </c>
      <c r="N965" s="30" t="s">
        <v>152</v>
      </c>
      <c r="O965" s="24">
        <v>90</v>
      </c>
      <c r="P965" s="24">
        <v>0</v>
      </c>
      <c r="Q965" s="24">
        <v>0</v>
      </c>
      <c r="R965" s="24">
        <v>0</v>
      </c>
      <c r="S965" s="24">
        <v>0</v>
      </c>
      <c r="T965" s="24">
        <v>90</v>
      </c>
    </row>
    <row r="966" spans="1:20">
      <c r="A966" s="9" t="s">
        <v>702</v>
      </c>
      <c r="B966" s="30" t="s">
        <v>727</v>
      </c>
      <c r="C966" s="30" t="str">
        <f>CONCATENATE(VOL_VOLUMEN_SUMINISTROS[[#This Row],[Proyecto]],VOL_VOLUMEN_SUMINISTROS[[#This Row],[J]],VOL_VOLUMEN_SUMINISTROS[[#This Row],[FIN DE SEMANA]])</f>
        <v>1052-2TNO</v>
      </c>
      <c r="D966" s="365" t="str">
        <f>CONCATENATE(VOL_VOLUMEN_SUMINISTROS[[#This Row],[Grupo]],VOL_VOLUMEN_SUMINISTROS[[#This Row],[Proyecto]],VOL_VOLUMEN_SUMINISTROS[[#This Row],[FIN DE SEMANA]])</f>
        <v>211052-2NO</v>
      </c>
      <c r="E966" s="30" t="s">
        <v>183</v>
      </c>
      <c r="F966" s="30" t="s">
        <v>148</v>
      </c>
      <c r="G966" s="365">
        <v>21</v>
      </c>
      <c r="H966" s="30">
        <v>19</v>
      </c>
      <c r="I966" s="9" t="s">
        <v>250</v>
      </c>
      <c r="J966" s="9" t="s">
        <v>706</v>
      </c>
      <c r="K966" s="30">
        <v>2</v>
      </c>
      <c r="L966" s="9" t="s">
        <v>708</v>
      </c>
      <c r="M966" s="30" t="s">
        <v>84</v>
      </c>
      <c r="N966" s="30" t="s">
        <v>155</v>
      </c>
      <c r="O966" s="24">
        <v>90</v>
      </c>
      <c r="P966" s="24">
        <v>0</v>
      </c>
      <c r="Q966" s="24">
        <v>0</v>
      </c>
      <c r="R966" s="24">
        <v>0</v>
      </c>
      <c r="S966" s="24">
        <v>0</v>
      </c>
      <c r="T966" s="24">
        <v>90</v>
      </c>
    </row>
    <row r="967" spans="1:20">
      <c r="A967" s="9" t="s">
        <v>702</v>
      </c>
      <c r="B967" s="30" t="s">
        <v>727</v>
      </c>
      <c r="C967" s="30" t="str">
        <f>CONCATENATE(VOL_VOLUMEN_SUMINISTROS[[#This Row],[Proyecto]],VOL_VOLUMEN_SUMINISTROS[[#This Row],[J]],VOL_VOLUMEN_SUMINISTROS[[#This Row],[FIN DE SEMANA]])</f>
        <v>1052-2MNO</v>
      </c>
      <c r="D967" s="365" t="str">
        <f>CONCATENATE(VOL_VOLUMEN_SUMINISTROS[[#This Row],[Grupo]],VOL_VOLUMEN_SUMINISTROS[[#This Row],[Proyecto]],VOL_VOLUMEN_SUMINISTROS[[#This Row],[FIN DE SEMANA]])</f>
        <v>211052-2NO</v>
      </c>
      <c r="E967" s="30" t="s">
        <v>183</v>
      </c>
      <c r="F967" s="30" t="s">
        <v>148</v>
      </c>
      <c r="G967" s="365">
        <v>21</v>
      </c>
      <c r="H967" s="30">
        <v>19</v>
      </c>
      <c r="I967" s="9" t="s">
        <v>250</v>
      </c>
      <c r="J967" s="9" t="s">
        <v>709</v>
      </c>
      <c r="K967" s="30">
        <v>2</v>
      </c>
      <c r="L967" s="9" t="s">
        <v>711</v>
      </c>
      <c r="M967" s="30" t="s">
        <v>84</v>
      </c>
      <c r="N967" s="30" t="s">
        <v>152</v>
      </c>
      <c r="O967" s="24">
        <v>79</v>
      </c>
      <c r="P967" s="24">
        <v>0</v>
      </c>
      <c r="Q967" s="24">
        <v>0</v>
      </c>
      <c r="R967" s="24">
        <v>0</v>
      </c>
      <c r="S967" s="24">
        <v>0</v>
      </c>
      <c r="T967" s="24">
        <v>79</v>
      </c>
    </row>
    <row r="968" spans="1:20">
      <c r="A968" s="9" t="s">
        <v>702</v>
      </c>
      <c r="B968" s="30" t="s">
        <v>727</v>
      </c>
      <c r="C968" s="30" t="str">
        <f>CONCATENATE(VOL_VOLUMEN_SUMINISTROS[[#This Row],[Proyecto]],VOL_VOLUMEN_SUMINISTROS[[#This Row],[J]],VOL_VOLUMEN_SUMINISTROS[[#This Row],[FIN DE SEMANA]])</f>
        <v>1052-2TNO</v>
      </c>
      <c r="D968" s="365" t="str">
        <f>CONCATENATE(VOL_VOLUMEN_SUMINISTROS[[#This Row],[Grupo]],VOL_VOLUMEN_SUMINISTROS[[#This Row],[Proyecto]],VOL_VOLUMEN_SUMINISTROS[[#This Row],[FIN DE SEMANA]])</f>
        <v>211052-2NO</v>
      </c>
      <c r="E968" s="30" t="s">
        <v>183</v>
      </c>
      <c r="F968" s="30" t="s">
        <v>148</v>
      </c>
      <c r="G968" s="365">
        <v>21</v>
      </c>
      <c r="H968" s="30">
        <v>19</v>
      </c>
      <c r="I968" s="9" t="s">
        <v>250</v>
      </c>
      <c r="J968" s="9" t="s">
        <v>709</v>
      </c>
      <c r="K968" s="30">
        <v>2</v>
      </c>
      <c r="L968" s="9" t="s">
        <v>711</v>
      </c>
      <c r="M968" s="30" t="s">
        <v>84</v>
      </c>
      <c r="N968" s="30" t="s">
        <v>155</v>
      </c>
      <c r="O968" s="24">
        <v>87</v>
      </c>
      <c r="P968" s="24">
        <v>0</v>
      </c>
      <c r="Q968" s="24">
        <v>0</v>
      </c>
      <c r="R968" s="24">
        <v>0</v>
      </c>
      <c r="S968" s="24">
        <v>0</v>
      </c>
      <c r="T968" s="24">
        <v>87</v>
      </c>
    </row>
    <row r="969" spans="1:20">
      <c r="A969" s="9" t="s">
        <v>702</v>
      </c>
      <c r="B969" s="30" t="s">
        <v>727</v>
      </c>
      <c r="C969" s="30" t="str">
        <f>CONCATENATE(VOL_VOLUMEN_SUMINISTROS[[#This Row],[Proyecto]],VOL_VOLUMEN_SUMINISTROS[[#This Row],[J]],VOL_VOLUMEN_SUMINISTROS[[#This Row],[FIN DE SEMANA]])</f>
        <v>1052-2MNO</v>
      </c>
      <c r="D969" s="365" t="str">
        <f>CONCATENATE(VOL_VOLUMEN_SUMINISTROS[[#This Row],[Grupo]],VOL_VOLUMEN_SUMINISTROS[[#This Row],[Proyecto]],VOL_VOLUMEN_SUMINISTROS[[#This Row],[FIN DE SEMANA]])</f>
        <v>211052-2NO</v>
      </c>
      <c r="E969" s="30" t="s">
        <v>183</v>
      </c>
      <c r="F969" s="30" t="s">
        <v>148</v>
      </c>
      <c r="G969" s="365">
        <v>21</v>
      </c>
      <c r="H969" s="30">
        <v>19</v>
      </c>
      <c r="I969" s="9" t="s">
        <v>250</v>
      </c>
      <c r="J969" s="9" t="s">
        <v>709</v>
      </c>
      <c r="K969" s="30">
        <v>3</v>
      </c>
      <c r="L969" s="9" t="s">
        <v>458</v>
      </c>
      <c r="M969" s="30" t="s">
        <v>84</v>
      </c>
      <c r="N969" s="30" t="s">
        <v>152</v>
      </c>
      <c r="O969" s="24">
        <v>174</v>
      </c>
      <c r="P969" s="24">
        <v>0</v>
      </c>
      <c r="Q969" s="24">
        <v>0</v>
      </c>
      <c r="R969" s="24">
        <v>0</v>
      </c>
      <c r="S969" s="24">
        <v>0</v>
      </c>
      <c r="T969" s="24">
        <v>174</v>
      </c>
    </row>
    <row r="970" spans="1:20">
      <c r="A970" s="9" t="s">
        <v>702</v>
      </c>
      <c r="B970" s="30" t="s">
        <v>727</v>
      </c>
      <c r="C970" s="30" t="str">
        <f>CONCATENATE(VOL_VOLUMEN_SUMINISTROS[[#This Row],[Proyecto]],VOL_VOLUMEN_SUMINISTROS[[#This Row],[J]],VOL_VOLUMEN_SUMINISTROS[[#This Row],[FIN DE SEMANA]])</f>
        <v>1052-2TNO</v>
      </c>
      <c r="D970" s="365" t="str">
        <f>CONCATENATE(VOL_VOLUMEN_SUMINISTROS[[#This Row],[Grupo]],VOL_VOLUMEN_SUMINISTROS[[#This Row],[Proyecto]],VOL_VOLUMEN_SUMINISTROS[[#This Row],[FIN DE SEMANA]])</f>
        <v>211052-2NO</v>
      </c>
      <c r="E970" s="30" t="s">
        <v>183</v>
      </c>
      <c r="F970" s="30" t="s">
        <v>148</v>
      </c>
      <c r="G970" s="365">
        <v>21</v>
      </c>
      <c r="H970" s="30">
        <v>19</v>
      </c>
      <c r="I970" s="9" t="s">
        <v>250</v>
      </c>
      <c r="J970" s="9" t="s">
        <v>709</v>
      </c>
      <c r="K970" s="30">
        <v>3</v>
      </c>
      <c r="L970" s="9" t="s">
        <v>458</v>
      </c>
      <c r="M970" s="30" t="s">
        <v>84</v>
      </c>
      <c r="N970" s="30" t="s">
        <v>155</v>
      </c>
      <c r="O970" s="24">
        <v>144</v>
      </c>
      <c r="P970" s="24">
        <v>0</v>
      </c>
      <c r="Q970" s="24">
        <v>0</v>
      </c>
      <c r="R970" s="24">
        <v>0</v>
      </c>
      <c r="S970" s="24">
        <v>0</v>
      </c>
      <c r="T970" s="24">
        <v>144</v>
      </c>
    </row>
    <row r="971" spans="1:20">
      <c r="A971" s="9" t="s">
        <v>702</v>
      </c>
      <c r="B971" s="30" t="s">
        <v>727</v>
      </c>
      <c r="C971" s="30" t="str">
        <f>CONCATENATE(VOL_VOLUMEN_SUMINISTROS[[#This Row],[Proyecto]],VOL_VOLUMEN_SUMINISTROS[[#This Row],[J]],VOL_VOLUMEN_SUMINISTROS[[#This Row],[FIN DE SEMANA]])</f>
        <v>1052-2MNO</v>
      </c>
      <c r="D971" s="365" t="str">
        <f>CONCATENATE(VOL_VOLUMEN_SUMINISTROS[[#This Row],[Grupo]],VOL_VOLUMEN_SUMINISTROS[[#This Row],[Proyecto]],VOL_VOLUMEN_SUMINISTROS[[#This Row],[FIN DE SEMANA]])</f>
        <v>211052-2NO</v>
      </c>
      <c r="E971" s="30" t="s">
        <v>183</v>
      </c>
      <c r="F971" s="30" t="s">
        <v>148</v>
      </c>
      <c r="G971" s="365">
        <v>21</v>
      </c>
      <c r="H971" s="30">
        <v>19</v>
      </c>
      <c r="I971" s="9" t="s">
        <v>250</v>
      </c>
      <c r="J971" s="9" t="s">
        <v>721</v>
      </c>
      <c r="K971" s="30">
        <v>2</v>
      </c>
      <c r="L971" s="9" t="s">
        <v>723</v>
      </c>
      <c r="M971" s="30" t="s">
        <v>84</v>
      </c>
      <c r="N971" s="30" t="s">
        <v>152</v>
      </c>
      <c r="O971" s="24">
        <v>72</v>
      </c>
      <c r="P971" s="24">
        <v>0</v>
      </c>
      <c r="Q971" s="24">
        <v>0</v>
      </c>
      <c r="R971" s="24">
        <v>0</v>
      </c>
      <c r="S971" s="24">
        <v>0</v>
      </c>
      <c r="T971" s="24">
        <v>72</v>
      </c>
    </row>
    <row r="972" spans="1:20">
      <c r="A972" s="9" t="s">
        <v>702</v>
      </c>
      <c r="B972" s="30" t="s">
        <v>727</v>
      </c>
      <c r="C972" s="30" t="str">
        <f>CONCATENATE(VOL_VOLUMEN_SUMINISTROS[[#This Row],[Proyecto]],VOL_VOLUMEN_SUMINISTROS[[#This Row],[J]],VOL_VOLUMEN_SUMINISTROS[[#This Row],[FIN DE SEMANA]])</f>
        <v>1052-2TNO</v>
      </c>
      <c r="D972" s="365" t="str">
        <f>CONCATENATE(VOL_VOLUMEN_SUMINISTROS[[#This Row],[Grupo]],VOL_VOLUMEN_SUMINISTROS[[#This Row],[Proyecto]],VOL_VOLUMEN_SUMINISTROS[[#This Row],[FIN DE SEMANA]])</f>
        <v>211052-2NO</v>
      </c>
      <c r="E972" s="30" t="s">
        <v>183</v>
      </c>
      <c r="F972" s="30" t="s">
        <v>148</v>
      </c>
      <c r="G972" s="365">
        <v>21</v>
      </c>
      <c r="H972" s="30">
        <v>19</v>
      </c>
      <c r="I972" s="9" t="s">
        <v>250</v>
      </c>
      <c r="J972" s="9" t="s">
        <v>721</v>
      </c>
      <c r="K972" s="30">
        <v>2</v>
      </c>
      <c r="L972" s="9" t="s">
        <v>723</v>
      </c>
      <c r="M972" s="30" t="s">
        <v>84</v>
      </c>
      <c r="N972" s="30" t="s">
        <v>155</v>
      </c>
      <c r="O972" s="24">
        <v>58</v>
      </c>
      <c r="P972" s="24">
        <v>0</v>
      </c>
      <c r="Q972" s="24">
        <v>0</v>
      </c>
      <c r="R972" s="24">
        <v>0</v>
      </c>
      <c r="S972" s="24">
        <v>0</v>
      </c>
      <c r="T972" s="24">
        <v>58</v>
      </c>
    </row>
    <row r="973" spans="1:20">
      <c r="A973" s="9" t="s">
        <v>702</v>
      </c>
      <c r="B973" s="30" t="s">
        <v>727</v>
      </c>
      <c r="C973" s="30" t="str">
        <f>CONCATENATE(VOL_VOLUMEN_SUMINISTROS[[#This Row],[Proyecto]],VOL_VOLUMEN_SUMINISTROS[[#This Row],[J]],VOL_VOLUMEN_SUMINISTROS[[#This Row],[FIN DE SEMANA]])</f>
        <v>1052-2MNO</v>
      </c>
      <c r="D973" s="365" t="str">
        <f>CONCATENATE(VOL_VOLUMEN_SUMINISTROS[[#This Row],[Grupo]],VOL_VOLUMEN_SUMINISTROS[[#This Row],[Proyecto]],VOL_VOLUMEN_SUMINISTROS[[#This Row],[FIN DE SEMANA]])</f>
        <v>211052-2NO</v>
      </c>
      <c r="E973" s="30" t="s">
        <v>183</v>
      </c>
      <c r="F973" s="30" t="s">
        <v>148</v>
      </c>
      <c r="G973" s="365">
        <v>21</v>
      </c>
      <c r="H973" s="30">
        <v>19</v>
      </c>
      <c r="I973" s="9" t="s">
        <v>250</v>
      </c>
      <c r="J973" s="9" t="s">
        <v>721</v>
      </c>
      <c r="K973" s="30">
        <v>3</v>
      </c>
      <c r="L973" s="9" t="s">
        <v>724</v>
      </c>
      <c r="M973" s="30" t="s">
        <v>84</v>
      </c>
      <c r="N973" s="30" t="s">
        <v>152</v>
      </c>
      <c r="O973" s="24">
        <v>42</v>
      </c>
      <c r="P973" s="24">
        <v>0</v>
      </c>
      <c r="Q973" s="24">
        <v>0</v>
      </c>
      <c r="R973" s="24">
        <v>0</v>
      </c>
      <c r="S973" s="24">
        <v>0</v>
      </c>
      <c r="T973" s="24">
        <v>42</v>
      </c>
    </row>
    <row r="974" spans="1:20">
      <c r="A974" s="9" t="s">
        <v>702</v>
      </c>
      <c r="B974" s="30" t="s">
        <v>727</v>
      </c>
      <c r="C974" s="30" t="str">
        <f>CONCATENATE(VOL_VOLUMEN_SUMINISTROS[[#This Row],[Proyecto]],VOL_VOLUMEN_SUMINISTROS[[#This Row],[J]],VOL_VOLUMEN_SUMINISTROS[[#This Row],[FIN DE SEMANA]])</f>
        <v>1052-2TNO</v>
      </c>
      <c r="D974" s="365" t="str">
        <f>CONCATENATE(VOL_VOLUMEN_SUMINISTROS[[#This Row],[Grupo]],VOL_VOLUMEN_SUMINISTROS[[#This Row],[Proyecto]],VOL_VOLUMEN_SUMINISTROS[[#This Row],[FIN DE SEMANA]])</f>
        <v>211052-2NO</v>
      </c>
      <c r="E974" s="30" t="s">
        <v>183</v>
      </c>
      <c r="F974" s="30" t="s">
        <v>148</v>
      </c>
      <c r="G974" s="365">
        <v>21</v>
      </c>
      <c r="H974" s="30">
        <v>19</v>
      </c>
      <c r="I974" s="9" t="s">
        <v>250</v>
      </c>
      <c r="J974" s="9" t="s">
        <v>721</v>
      </c>
      <c r="K974" s="30">
        <v>3</v>
      </c>
      <c r="L974" s="9" t="s">
        <v>724</v>
      </c>
      <c r="M974" s="30" t="s">
        <v>84</v>
      </c>
      <c r="N974" s="30" t="s">
        <v>155</v>
      </c>
      <c r="O974" s="24">
        <v>47</v>
      </c>
      <c r="P974" s="24">
        <v>0</v>
      </c>
      <c r="Q974" s="24">
        <v>0</v>
      </c>
      <c r="R974" s="24">
        <v>0</v>
      </c>
      <c r="S974" s="24">
        <v>0</v>
      </c>
      <c r="T974" s="24">
        <v>47</v>
      </c>
    </row>
    <row r="975" spans="1:20">
      <c r="A975" s="9" t="s">
        <v>702</v>
      </c>
      <c r="B975" s="30" t="s">
        <v>728</v>
      </c>
      <c r="C975" s="30" t="str">
        <f>CONCATENATE(VOL_VOLUMEN_SUMINISTROS[[#This Row],[Proyecto]],VOL_VOLUMEN_SUMINISTROS[[#This Row],[J]],VOL_VOLUMEN_SUMINISTROS[[#This Row],[FIN DE SEMANA]])</f>
        <v>1052-2M1NO</v>
      </c>
      <c r="D975" s="365" t="str">
        <f>CONCATENATE(VOL_VOLUMEN_SUMINISTROS[[#This Row],[Grupo]],VOL_VOLUMEN_SUMINISTROS[[#This Row],[Proyecto]],VOL_VOLUMEN_SUMINISTROS[[#This Row],[FIN DE SEMANA]])</f>
        <v>211052-2NO</v>
      </c>
      <c r="E975" s="30" t="s">
        <v>183</v>
      </c>
      <c r="F975" s="30" t="s">
        <v>148</v>
      </c>
      <c r="G975" s="365">
        <v>21</v>
      </c>
      <c r="H975" s="30">
        <v>19</v>
      </c>
      <c r="I975" s="9" t="s">
        <v>250</v>
      </c>
      <c r="J975" s="9" t="s">
        <v>721</v>
      </c>
      <c r="K975" s="30">
        <v>1</v>
      </c>
      <c r="L975" s="9" t="s">
        <v>722</v>
      </c>
      <c r="M975" s="30" t="s">
        <v>84</v>
      </c>
      <c r="N975" s="30" t="s">
        <v>216</v>
      </c>
      <c r="O975" s="24">
        <v>0</v>
      </c>
      <c r="P975" s="24">
        <v>75</v>
      </c>
      <c r="Q975" s="24">
        <v>75</v>
      </c>
      <c r="R975" s="24">
        <v>0</v>
      </c>
      <c r="S975" s="24">
        <v>0</v>
      </c>
      <c r="T975" s="24">
        <v>150</v>
      </c>
    </row>
    <row r="976" spans="1:20">
      <c r="A976" s="9" t="s">
        <v>702</v>
      </c>
      <c r="B976" s="30" t="s">
        <v>728</v>
      </c>
      <c r="C976" s="30" t="str">
        <f>CONCATENATE(VOL_VOLUMEN_SUMINISTROS[[#This Row],[Proyecto]],VOL_VOLUMEN_SUMINISTROS[[#This Row],[J]],VOL_VOLUMEN_SUMINISTROS[[#This Row],[FIN DE SEMANA]])</f>
        <v>1052-2TNO</v>
      </c>
      <c r="D976" s="365" t="str">
        <f>CONCATENATE(VOL_VOLUMEN_SUMINISTROS[[#This Row],[Grupo]],VOL_VOLUMEN_SUMINISTROS[[#This Row],[Proyecto]],VOL_VOLUMEN_SUMINISTROS[[#This Row],[FIN DE SEMANA]])</f>
        <v>211052-2NO</v>
      </c>
      <c r="E976" s="30" t="s">
        <v>183</v>
      </c>
      <c r="F976" s="30" t="s">
        <v>148</v>
      </c>
      <c r="G976" s="365">
        <v>21</v>
      </c>
      <c r="H976" s="30">
        <v>19</v>
      </c>
      <c r="I976" s="9" t="s">
        <v>250</v>
      </c>
      <c r="J976" s="9" t="s">
        <v>721</v>
      </c>
      <c r="K976" s="30">
        <v>1</v>
      </c>
      <c r="L976" s="9" t="s">
        <v>722</v>
      </c>
      <c r="M976" s="30" t="s">
        <v>84</v>
      </c>
      <c r="N976" s="30" t="s">
        <v>155</v>
      </c>
      <c r="O976" s="24">
        <v>0</v>
      </c>
      <c r="P976" s="24">
        <v>90</v>
      </c>
      <c r="Q976" s="24">
        <v>70</v>
      </c>
      <c r="R976" s="24">
        <v>0</v>
      </c>
      <c r="S976" s="24">
        <v>0</v>
      </c>
      <c r="T976" s="24">
        <v>160</v>
      </c>
    </row>
    <row r="977" spans="1:20">
      <c r="A977" s="9" t="s">
        <v>702</v>
      </c>
      <c r="B977" s="30" t="s">
        <v>728</v>
      </c>
      <c r="C977" s="30" t="str">
        <f>CONCATENATE(VOL_VOLUMEN_SUMINISTROS[[#This Row],[Proyecto]],VOL_VOLUMEN_SUMINISTROS[[#This Row],[J]],VOL_VOLUMEN_SUMINISTROS[[#This Row],[FIN DE SEMANA]])</f>
        <v>1052-2M1NO</v>
      </c>
      <c r="D977" s="365" t="str">
        <f>CONCATENATE(VOL_VOLUMEN_SUMINISTROS[[#This Row],[Grupo]],VOL_VOLUMEN_SUMINISTROS[[#This Row],[Proyecto]],VOL_VOLUMEN_SUMINISTROS[[#This Row],[FIN DE SEMANA]])</f>
        <v>211052-2NO</v>
      </c>
      <c r="E977" s="30" t="s">
        <v>183</v>
      </c>
      <c r="F977" s="30" t="s">
        <v>148</v>
      </c>
      <c r="G977" s="365">
        <v>21</v>
      </c>
      <c r="H977" s="30">
        <v>19</v>
      </c>
      <c r="I977" s="9" t="s">
        <v>250</v>
      </c>
      <c r="J977" s="9" t="s">
        <v>721</v>
      </c>
      <c r="K977" s="30">
        <v>2</v>
      </c>
      <c r="L977" s="9" t="s">
        <v>723</v>
      </c>
      <c r="M977" s="30" t="s">
        <v>84</v>
      </c>
      <c r="N977" s="30" t="s">
        <v>216</v>
      </c>
      <c r="O977" s="24">
        <v>40</v>
      </c>
      <c r="P977" s="24">
        <v>50</v>
      </c>
      <c r="Q977" s="24">
        <v>10</v>
      </c>
      <c r="R977" s="24">
        <v>0</v>
      </c>
      <c r="S977" s="24">
        <v>0</v>
      </c>
      <c r="T977" s="24">
        <v>100</v>
      </c>
    </row>
    <row r="978" spans="1:20">
      <c r="A978" s="9" t="s">
        <v>702</v>
      </c>
      <c r="B978" s="30" t="s">
        <v>728</v>
      </c>
      <c r="C978" s="30" t="str">
        <f>CONCATENATE(VOL_VOLUMEN_SUMINISTROS[[#This Row],[Proyecto]],VOL_VOLUMEN_SUMINISTROS[[#This Row],[J]],VOL_VOLUMEN_SUMINISTROS[[#This Row],[FIN DE SEMANA]])</f>
        <v>1052-2TNO</v>
      </c>
      <c r="D978" s="365" t="str">
        <f>CONCATENATE(VOL_VOLUMEN_SUMINISTROS[[#This Row],[Grupo]],VOL_VOLUMEN_SUMINISTROS[[#This Row],[Proyecto]],VOL_VOLUMEN_SUMINISTROS[[#This Row],[FIN DE SEMANA]])</f>
        <v>211052-2NO</v>
      </c>
      <c r="E978" s="30" t="s">
        <v>183</v>
      </c>
      <c r="F978" s="30" t="s">
        <v>148</v>
      </c>
      <c r="G978" s="365">
        <v>21</v>
      </c>
      <c r="H978" s="30">
        <v>19</v>
      </c>
      <c r="I978" s="9" t="s">
        <v>250</v>
      </c>
      <c r="J978" s="9" t="s">
        <v>721</v>
      </c>
      <c r="K978" s="30">
        <v>2</v>
      </c>
      <c r="L978" s="9" t="s">
        <v>723</v>
      </c>
      <c r="M978" s="30" t="s">
        <v>84</v>
      </c>
      <c r="N978" s="30" t="s">
        <v>155</v>
      </c>
      <c r="O978" s="24">
        <v>40</v>
      </c>
      <c r="P978" s="24">
        <v>50</v>
      </c>
      <c r="Q978" s="24">
        <v>10</v>
      </c>
      <c r="R978" s="24">
        <v>0</v>
      </c>
      <c r="S978" s="24">
        <v>0</v>
      </c>
      <c r="T978" s="24">
        <v>100</v>
      </c>
    </row>
    <row r="979" spans="1:20">
      <c r="A979" s="9" t="s">
        <v>702</v>
      </c>
      <c r="B979" s="30" t="s">
        <v>728</v>
      </c>
      <c r="C979" s="30" t="str">
        <f>CONCATENATE(VOL_VOLUMEN_SUMINISTROS[[#This Row],[Proyecto]],VOL_VOLUMEN_SUMINISTROS[[#This Row],[J]],VOL_VOLUMEN_SUMINISTROS[[#This Row],[FIN DE SEMANA]])</f>
        <v>1052-2MNO</v>
      </c>
      <c r="D979" s="365" t="str">
        <f>CONCATENATE(VOL_VOLUMEN_SUMINISTROS[[#This Row],[Grupo]],VOL_VOLUMEN_SUMINISTROS[[#This Row],[Proyecto]],VOL_VOLUMEN_SUMINISTROS[[#This Row],[FIN DE SEMANA]])</f>
        <v>211052-2NO</v>
      </c>
      <c r="E979" s="30" t="s">
        <v>183</v>
      </c>
      <c r="F979" s="30" t="s">
        <v>148</v>
      </c>
      <c r="G979" s="365">
        <v>21</v>
      </c>
      <c r="H979" s="30">
        <v>19</v>
      </c>
      <c r="I979" s="9" t="s">
        <v>250</v>
      </c>
      <c r="J979" s="9" t="s">
        <v>721</v>
      </c>
      <c r="K979" s="30">
        <v>3</v>
      </c>
      <c r="L979" s="9" t="s">
        <v>724</v>
      </c>
      <c r="M979" s="30" t="s">
        <v>84</v>
      </c>
      <c r="N979" s="30" t="s">
        <v>152</v>
      </c>
      <c r="O979" s="24">
        <v>40</v>
      </c>
      <c r="P979" s="24">
        <v>50</v>
      </c>
      <c r="Q979" s="24">
        <v>10</v>
      </c>
      <c r="R979" s="24">
        <v>0</v>
      </c>
      <c r="S979" s="24">
        <v>0</v>
      </c>
      <c r="T979" s="24">
        <v>100</v>
      </c>
    </row>
    <row r="980" spans="1:20">
      <c r="A980" s="9" t="s">
        <v>702</v>
      </c>
      <c r="B980" s="30" t="s">
        <v>728</v>
      </c>
      <c r="C980" s="30" t="str">
        <f>CONCATENATE(VOL_VOLUMEN_SUMINISTROS[[#This Row],[Proyecto]],VOL_VOLUMEN_SUMINISTROS[[#This Row],[J]],VOL_VOLUMEN_SUMINISTROS[[#This Row],[FIN DE SEMANA]])</f>
        <v>1052-2TNO</v>
      </c>
      <c r="D980" s="365" t="str">
        <f>CONCATENATE(VOL_VOLUMEN_SUMINISTROS[[#This Row],[Grupo]],VOL_VOLUMEN_SUMINISTROS[[#This Row],[Proyecto]],VOL_VOLUMEN_SUMINISTROS[[#This Row],[FIN DE SEMANA]])</f>
        <v>211052-2NO</v>
      </c>
      <c r="E980" s="30" t="s">
        <v>183</v>
      </c>
      <c r="F980" s="30" t="s">
        <v>148</v>
      </c>
      <c r="G980" s="365">
        <v>21</v>
      </c>
      <c r="H980" s="30">
        <v>19</v>
      </c>
      <c r="I980" s="9" t="s">
        <v>250</v>
      </c>
      <c r="J980" s="9" t="s">
        <v>721</v>
      </c>
      <c r="K980" s="30">
        <v>3</v>
      </c>
      <c r="L980" s="9" t="s">
        <v>724</v>
      </c>
      <c r="M980" s="30" t="s">
        <v>84</v>
      </c>
      <c r="N980" s="30" t="s">
        <v>155</v>
      </c>
      <c r="O980" s="24">
        <v>40</v>
      </c>
      <c r="P980" s="24">
        <v>50</v>
      </c>
      <c r="Q980" s="24">
        <v>10</v>
      </c>
      <c r="R980" s="24">
        <v>0</v>
      </c>
      <c r="S980" s="24">
        <v>0</v>
      </c>
      <c r="T980" s="24">
        <v>100</v>
      </c>
    </row>
    <row r="981" spans="1:20">
      <c r="A981" s="9" t="s">
        <v>702</v>
      </c>
      <c r="B981" s="30" t="s">
        <v>728</v>
      </c>
      <c r="C981" s="30" t="str">
        <f>CONCATENATE(VOL_VOLUMEN_SUMINISTROS[[#This Row],[Proyecto]],VOL_VOLUMEN_SUMINISTROS[[#This Row],[J]],VOL_VOLUMEN_SUMINISTROS[[#This Row],[FIN DE SEMANA]])</f>
        <v>1052-2M1NO</v>
      </c>
      <c r="D981" s="365" t="str">
        <f>CONCATENATE(VOL_VOLUMEN_SUMINISTROS[[#This Row],[Grupo]],VOL_VOLUMEN_SUMINISTROS[[#This Row],[Proyecto]],VOL_VOLUMEN_SUMINISTROS[[#This Row],[FIN DE SEMANA]])</f>
        <v>211052-2NO</v>
      </c>
      <c r="E981" s="30" t="s">
        <v>183</v>
      </c>
      <c r="F981" s="30" t="s">
        <v>148</v>
      </c>
      <c r="G981" s="365">
        <v>21</v>
      </c>
      <c r="H981" s="30">
        <v>19</v>
      </c>
      <c r="I981" s="9" t="s">
        <v>250</v>
      </c>
      <c r="J981" s="9" t="s">
        <v>729</v>
      </c>
      <c r="K981" s="30">
        <v>1</v>
      </c>
      <c r="L981" s="9" t="s">
        <v>730</v>
      </c>
      <c r="M981" s="30" t="s">
        <v>84</v>
      </c>
      <c r="N981" s="30" t="s">
        <v>216</v>
      </c>
      <c r="O981" s="24">
        <v>0</v>
      </c>
      <c r="P981" s="24">
        <v>339</v>
      </c>
      <c r="Q981" s="24">
        <v>113</v>
      </c>
      <c r="R981" s="24">
        <v>0</v>
      </c>
      <c r="S981" s="24">
        <v>0</v>
      </c>
      <c r="T981" s="24">
        <v>452</v>
      </c>
    </row>
    <row r="982" spans="1:20">
      <c r="A982" s="9" t="s">
        <v>702</v>
      </c>
      <c r="B982" s="30" t="s">
        <v>731</v>
      </c>
      <c r="C982" s="30" t="str">
        <f>CONCATENATE(VOL_VOLUMEN_SUMINISTROS[[#This Row],[Proyecto]],VOL_VOLUMEN_SUMINISTROS[[#This Row],[J]],VOL_VOLUMEN_SUMINISTROS[[#This Row],[FIN DE SEMANA]])</f>
        <v>1052-2MNO</v>
      </c>
      <c r="D982" s="365" t="str">
        <f>CONCATENATE(VOL_VOLUMEN_SUMINISTROS[[#This Row],[Grupo]],VOL_VOLUMEN_SUMINISTROS[[#This Row],[Proyecto]],VOL_VOLUMEN_SUMINISTROS[[#This Row],[FIN DE SEMANA]])</f>
        <v>211052-2NO</v>
      </c>
      <c r="E982" s="30" t="s">
        <v>183</v>
      </c>
      <c r="F982" s="30" t="s">
        <v>148</v>
      </c>
      <c r="G982" s="365">
        <v>21</v>
      </c>
      <c r="H982" s="30">
        <v>19</v>
      </c>
      <c r="I982" s="9" t="s">
        <v>250</v>
      </c>
      <c r="J982" s="9" t="s">
        <v>704</v>
      </c>
      <c r="K982" s="30">
        <v>1</v>
      </c>
      <c r="L982" s="9" t="s">
        <v>705</v>
      </c>
      <c r="M982" s="30" t="s">
        <v>84</v>
      </c>
      <c r="N982" s="30" t="s">
        <v>152</v>
      </c>
      <c r="O982" s="24">
        <v>0</v>
      </c>
      <c r="P982" s="24">
        <v>0</v>
      </c>
      <c r="Q982" s="24">
        <v>105</v>
      </c>
      <c r="R982" s="24">
        <v>0</v>
      </c>
      <c r="S982" s="24">
        <v>0</v>
      </c>
      <c r="T982" s="24">
        <v>105</v>
      </c>
    </row>
    <row r="983" spans="1:20">
      <c r="A983" s="9" t="s">
        <v>702</v>
      </c>
      <c r="B983" s="30" t="s">
        <v>731</v>
      </c>
      <c r="C983" s="30" t="str">
        <f>CONCATENATE(VOL_VOLUMEN_SUMINISTROS[[#This Row],[Proyecto]],VOL_VOLUMEN_SUMINISTROS[[#This Row],[J]],VOL_VOLUMEN_SUMINISTROS[[#This Row],[FIN DE SEMANA]])</f>
        <v>1052-2TNO</v>
      </c>
      <c r="D983" s="365" t="str">
        <f>CONCATENATE(VOL_VOLUMEN_SUMINISTROS[[#This Row],[Grupo]],VOL_VOLUMEN_SUMINISTROS[[#This Row],[Proyecto]],VOL_VOLUMEN_SUMINISTROS[[#This Row],[FIN DE SEMANA]])</f>
        <v>211052-2NO</v>
      </c>
      <c r="E983" s="30" t="s">
        <v>183</v>
      </c>
      <c r="F983" s="30" t="s">
        <v>148</v>
      </c>
      <c r="G983" s="365">
        <v>21</v>
      </c>
      <c r="H983" s="30">
        <v>19</v>
      </c>
      <c r="I983" s="9" t="s">
        <v>250</v>
      </c>
      <c r="J983" s="9" t="s">
        <v>704</v>
      </c>
      <c r="K983" s="30">
        <v>1</v>
      </c>
      <c r="L983" s="9" t="s">
        <v>705</v>
      </c>
      <c r="M983" s="30" t="s">
        <v>84</v>
      </c>
      <c r="N983" s="30" t="s">
        <v>155</v>
      </c>
      <c r="O983" s="24">
        <v>0</v>
      </c>
      <c r="P983" s="24">
        <v>0</v>
      </c>
      <c r="Q983" s="24">
        <v>143</v>
      </c>
      <c r="R983" s="24">
        <v>0</v>
      </c>
      <c r="S983" s="24">
        <v>0</v>
      </c>
      <c r="T983" s="24">
        <v>143</v>
      </c>
    </row>
    <row r="984" spans="1:20">
      <c r="A984" s="9" t="s">
        <v>702</v>
      </c>
      <c r="B984" s="30" t="s">
        <v>731</v>
      </c>
      <c r="C984" s="30" t="str">
        <f>CONCATENATE(VOL_VOLUMEN_SUMINISTROS[[#This Row],[Proyecto]],VOL_VOLUMEN_SUMINISTROS[[#This Row],[J]],VOL_VOLUMEN_SUMINISTROS[[#This Row],[FIN DE SEMANA]])</f>
        <v>1052-2MNO</v>
      </c>
      <c r="D984" s="365" t="str">
        <f>CONCATENATE(VOL_VOLUMEN_SUMINISTROS[[#This Row],[Grupo]],VOL_VOLUMEN_SUMINISTROS[[#This Row],[Proyecto]],VOL_VOLUMEN_SUMINISTROS[[#This Row],[FIN DE SEMANA]])</f>
        <v>211052-2NO</v>
      </c>
      <c r="E984" s="30" t="s">
        <v>183</v>
      </c>
      <c r="F984" s="30" t="s">
        <v>148</v>
      </c>
      <c r="G984" s="365">
        <v>21</v>
      </c>
      <c r="H984" s="30">
        <v>19</v>
      </c>
      <c r="I984" s="9" t="s">
        <v>250</v>
      </c>
      <c r="J984" s="9" t="s">
        <v>712</v>
      </c>
      <c r="K984" s="30">
        <v>1</v>
      </c>
      <c r="L984" s="9" t="s">
        <v>713</v>
      </c>
      <c r="M984" s="30" t="s">
        <v>84</v>
      </c>
      <c r="N984" s="30" t="s">
        <v>152</v>
      </c>
      <c r="O984" s="24">
        <v>0</v>
      </c>
      <c r="P984" s="24">
        <v>0</v>
      </c>
      <c r="Q984" s="24">
        <v>80</v>
      </c>
      <c r="R984" s="24">
        <v>0</v>
      </c>
      <c r="S984" s="24">
        <v>0</v>
      </c>
      <c r="T984" s="24">
        <v>80</v>
      </c>
    </row>
    <row r="985" spans="1:20">
      <c r="A985" s="9" t="s">
        <v>702</v>
      </c>
      <c r="B985" s="30" t="s">
        <v>731</v>
      </c>
      <c r="C985" s="30" t="str">
        <f>CONCATENATE(VOL_VOLUMEN_SUMINISTROS[[#This Row],[Proyecto]],VOL_VOLUMEN_SUMINISTROS[[#This Row],[J]],VOL_VOLUMEN_SUMINISTROS[[#This Row],[FIN DE SEMANA]])</f>
        <v>1052-2TNO</v>
      </c>
      <c r="D985" s="365" t="str">
        <f>CONCATENATE(VOL_VOLUMEN_SUMINISTROS[[#This Row],[Grupo]],VOL_VOLUMEN_SUMINISTROS[[#This Row],[Proyecto]],VOL_VOLUMEN_SUMINISTROS[[#This Row],[FIN DE SEMANA]])</f>
        <v>211052-2NO</v>
      </c>
      <c r="E985" s="30" t="s">
        <v>183</v>
      </c>
      <c r="F985" s="30" t="s">
        <v>148</v>
      </c>
      <c r="G985" s="365">
        <v>21</v>
      </c>
      <c r="H985" s="30">
        <v>19</v>
      </c>
      <c r="I985" s="9" t="s">
        <v>250</v>
      </c>
      <c r="J985" s="9" t="s">
        <v>712</v>
      </c>
      <c r="K985" s="30">
        <v>1</v>
      </c>
      <c r="L985" s="9" t="s">
        <v>713</v>
      </c>
      <c r="M985" s="30" t="s">
        <v>84</v>
      </c>
      <c r="N985" s="30" t="s">
        <v>155</v>
      </c>
      <c r="O985" s="24">
        <v>0</v>
      </c>
      <c r="P985" s="24">
        <v>0</v>
      </c>
      <c r="Q985" s="24">
        <v>75</v>
      </c>
      <c r="R985" s="24">
        <v>0</v>
      </c>
      <c r="S985" s="24">
        <v>0</v>
      </c>
      <c r="T985" s="24">
        <v>75</v>
      </c>
    </row>
    <row r="986" spans="1:20">
      <c r="A986" s="9" t="s">
        <v>702</v>
      </c>
      <c r="B986" s="30" t="s">
        <v>731</v>
      </c>
      <c r="C986" s="30" t="str">
        <f>CONCATENATE(VOL_VOLUMEN_SUMINISTROS[[#This Row],[Proyecto]],VOL_VOLUMEN_SUMINISTROS[[#This Row],[J]],VOL_VOLUMEN_SUMINISTROS[[#This Row],[FIN DE SEMANA]])</f>
        <v>1052-2MNO</v>
      </c>
      <c r="D986" s="365" t="str">
        <f>CONCATENATE(VOL_VOLUMEN_SUMINISTROS[[#This Row],[Grupo]],VOL_VOLUMEN_SUMINISTROS[[#This Row],[Proyecto]],VOL_VOLUMEN_SUMINISTROS[[#This Row],[FIN DE SEMANA]])</f>
        <v>211052-2NO</v>
      </c>
      <c r="E986" s="30" t="s">
        <v>183</v>
      </c>
      <c r="F986" s="30" t="s">
        <v>148</v>
      </c>
      <c r="G986" s="365">
        <v>21</v>
      </c>
      <c r="H986" s="30">
        <v>19</v>
      </c>
      <c r="I986" s="9" t="s">
        <v>250</v>
      </c>
      <c r="J986" s="9" t="s">
        <v>715</v>
      </c>
      <c r="K986" s="30">
        <v>1</v>
      </c>
      <c r="L986" s="9" t="s">
        <v>716</v>
      </c>
      <c r="M986" s="30" t="s">
        <v>84</v>
      </c>
      <c r="N986" s="30" t="s">
        <v>152</v>
      </c>
      <c r="O986" s="24">
        <v>0</v>
      </c>
      <c r="P986" s="24">
        <v>0</v>
      </c>
      <c r="Q986" s="24">
        <v>120</v>
      </c>
      <c r="R986" s="24">
        <v>0</v>
      </c>
      <c r="S986" s="24">
        <v>0</v>
      </c>
      <c r="T986" s="24">
        <v>120</v>
      </c>
    </row>
    <row r="987" spans="1:20">
      <c r="A987" s="9" t="s">
        <v>702</v>
      </c>
      <c r="B987" s="30" t="s">
        <v>731</v>
      </c>
      <c r="C987" s="30" t="str">
        <f>CONCATENATE(VOL_VOLUMEN_SUMINISTROS[[#This Row],[Proyecto]],VOL_VOLUMEN_SUMINISTROS[[#This Row],[J]],VOL_VOLUMEN_SUMINISTROS[[#This Row],[FIN DE SEMANA]])</f>
        <v>1052-2TNO</v>
      </c>
      <c r="D987" s="365" t="str">
        <f>CONCATENATE(VOL_VOLUMEN_SUMINISTROS[[#This Row],[Grupo]],VOL_VOLUMEN_SUMINISTROS[[#This Row],[Proyecto]],VOL_VOLUMEN_SUMINISTROS[[#This Row],[FIN DE SEMANA]])</f>
        <v>211052-2NO</v>
      </c>
      <c r="E987" s="30" t="s">
        <v>183</v>
      </c>
      <c r="F987" s="30" t="s">
        <v>148</v>
      </c>
      <c r="G987" s="365">
        <v>21</v>
      </c>
      <c r="H987" s="30">
        <v>19</v>
      </c>
      <c r="I987" s="9" t="s">
        <v>250</v>
      </c>
      <c r="J987" s="9" t="s">
        <v>715</v>
      </c>
      <c r="K987" s="30">
        <v>1</v>
      </c>
      <c r="L987" s="9" t="s">
        <v>716</v>
      </c>
      <c r="M987" s="30" t="s">
        <v>84</v>
      </c>
      <c r="N987" s="30" t="s">
        <v>155</v>
      </c>
      <c r="O987" s="24">
        <v>0</v>
      </c>
      <c r="P987" s="24">
        <v>0</v>
      </c>
      <c r="Q987" s="24">
        <v>120</v>
      </c>
      <c r="R987" s="24">
        <v>0</v>
      </c>
      <c r="S987" s="24">
        <v>0</v>
      </c>
      <c r="T987" s="24">
        <v>120</v>
      </c>
    </row>
    <row r="988" spans="1:20">
      <c r="A988" s="9" t="s">
        <v>702</v>
      </c>
      <c r="B988" s="30" t="s">
        <v>731</v>
      </c>
      <c r="C988" s="30" t="str">
        <f>CONCATENATE(VOL_VOLUMEN_SUMINISTROS[[#This Row],[Proyecto]],VOL_VOLUMEN_SUMINISTROS[[#This Row],[J]],VOL_VOLUMEN_SUMINISTROS[[#This Row],[FIN DE SEMANA]])</f>
        <v>1052-2MNO</v>
      </c>
      <c r="D988" s="365" t="str">
        <f>CONCATENATE(VOL_VOLUMEN_SUMINISTROS[[#This Row],[Grupo]],VOL_VOLUMEN_SUMINISTROS[[#This Row],[Proyecto]],VOL_VOLUMEN_SUMINISTROS[[#This Row],[FIN DE SEMANA]])</f>
        <v>211052-2NO</v>
      </c>
      <c r="E988" s="30" t="s">
        <v>183</v>
      </c>
      <c r="F988" s="30" t="s">
        <v>148</v>
      </c>
      <c r="G988" s="365">
        <v>21</v>
      </c>
      <c r="H988" s="30">
        <v>19</v>
      </c>
      <c r="I988" s="9" t="s">
        <v>250</v>
      </c>
      <c r="J988" s="9" t="s">
        <v>721</v>
      </c>
      <c r="K988" s="30">
        <v>1</v>
      </c>
      <c r="L988" s="9" t="s">
        <v>722</v>
      </c>
      <c r="M988" s="30" t="s">
        <v>84</v>
      </c>
      <c r="N988" s="30" t="s">
        <v>152</v>
      </c>
      <c r="O988" s="24">
        <v>0</v>
      </c>
      <c r="P988" s="24">
        <v>0</v>
      </c>
      <c r="Q988" s="24">
        <v>80</v>
      </c>
      <c r="R988" s="24">
        <v>0</v>
      </c>
      <c r="S988" s="24">
        <v>0</v>
      </c>
      <c r="T988" s="24">
        <v>80</v>
      </c>
    </row>
    <row r="989" spans="1:20">
      <c r="A989" s="9" t="s">
        <v>702</v>
      </c>
      <c r="B989" s="30" t="s">
        <v>731</v>
      </c>
      <c r="C989" s="30" t="str">
        <f>CONCATENATE(VOL_VOLUMEN_SUMINISTROS[[#This Row],[Proyecto]],VOL_VOLUMEN_SUMINISTROS[[#This Row],[J]],VOL_VOLUMEN_SUMINISTROS[[#This Row],[FIN DE SEMANA]])</f>
        <v>1052-2TNO</v>
      </c>
      <c r="D989" s="365" t="str">
        <f>CONCATENATE(VOL_VOLUMEN_SUMINISTROS[[#This Row],[Grupo]],VOL_VOLUMEN_SUMINISTROS[[#This Row],[Proyecto]],VOL_VOLUMEN_SUMINISTROS[[#This Row],[FIN DE SEMANA]])</f>
        <v>211052-2NO</v>
      </c>
      <c r="E989" s="30" t="s">
        <v>183</v>
      </c>
      <c r="F989" s="30" t="s">
        <v>148</v>
      </c>
      <c r="G989" s="365">
        <v>21</v>
      </c>
      <c r="H989" s="30">
        <v>19</v>
      </c>
      <c r="I989" s="9" t="s">
        <v>250</v>
      </c>
      <c r="J989" s="9" t="s">
        <v>721</v>
      </c>
      <c r="K989" s="30">
        <v>1</v>
      </c>
      <c r="L989" s="9" t="s">
        <v>722</v>
      </c>
      <c r="M989" s="30" t="s">
        <v>84</v>
      </c>
      <c r="N989" s="30" t="s">
        <v>155</v>
      </c>
      <c r="O989" s="24">
        <v>0</v>
      </c>
      <c r="P989" s="24">
        <v>0</v>
      </c>
      <c r="Q989" s="24">
        <v>80</v>
      </c>
      <c r="R989" s="24">
        <v>0</v>
      </c>
      <c r="S989" s="24">
        <v>0</v>
      </c>
      <c r="T989" s="24">
        <v>80</v>
      </c>
    </row>
    <row r="990" spans="1:20">
      <c r="A990" s="9" t="s">
        <v>732</v>
      </c>
      <c r="B990" s="30" t="s">
        <v>733</v>
      </c>
      <c r="C990" s="30" t="str">
        <f>CONCATENATE(VOL_VOLUMEN_SUMINISTROS[[#This Row],[Proyecto]],VOL_VOLUMEN_SUMINISTROS[[#This Row],[J]],VOL_VOLUMEN_SUMINISTROS[[#This Row],[FIN DE SEMANA]])</f>
        <v>1052-1MNO</v>
      </c>
      <c r="D990" s="365" t="str">
        <f>CONCATENATE(VOL_VOLUMEN_SUMINISTROS[[#This Row],[Grupo]],VOL_VOLUMEN_SUMINISTROS[[#This Row],[Proyecto]],VOL_VOLUMEN_SUMINISTROS[[#This Row],[FIN DE SEMANA]])</f>
        <v>131052-1NO</v>
      </c>
      <c r="E990" s="30" t="s">
        <v>147</v>
      </c>
      <c r="F990" s="30" t="s">
        <v>734</v>
      </c>
      <c r="G990" s="365">
        <v>13</v>
      </c>
      <c r="H990" s="30">
        <v>10</v>
      </c>
      <c r="I990" s="9" t="s">
        <v>331</v>
      </c>
      <c r="J990" s="9" t="s">
        <v>735</v>
      </c>
      <c r="K990" s="30">
        <v>1</v>
      </c>
      <c r="L990" s="9" t="s">
        <v>153</v>
      </c>
      <c r="M990" s="30" t="s">
        <v>84</v>
      </c>
      <c r="N990" s="30" t="s">
        <v>152</v>
      </c>
      <c r="O990" s="24">
        <v>0</v>
      </c>
      <c r="P990" s="24">
        <v>0</v>
      </c>
      <c r="Q990" s="24">
        <v>22</v>
      </c>
      <c r="R990" s="24">
        <v>0</v>
      </c>
      <c r="S990" s="24">
        <v>0</v>
      </c>
      <c r="T990" s="24">
        <v>22</v>
      </c>
    </row>
    <row r="991" spans="1:20">
      <c r="A991" s="9" t="s">
        <v>732</v>
      </c>
      <c r="B991" s="30" t="s">
        <v>733</v>
      </c>
      <c r="C991" s="30" t="str">
        <f>CONCATENATE(VOL_VOLUMEN_SUMINISTROS[[#This Row],[Proyecto]],VOL_VOLUMEN_SUMINISTROS[[#This Row],[J]],VOL_VOLUMEN_SUMINISTROS[[#This Row],[FIN DE SEMANA]])</f>
        <v>1052-1MNO</v>
      </c>
      <c r="D991" s="365" t="str">
        <f>CONCATENATE(VOL_VOLUMEN_SUMINISTROS[[#This Row],[Grupo]],VOL_VOLUMEN_SUMINISTROS[[#This Row],[Proyecto]],VOL_VOLUMEN_SUMINISTROS[[#This Row],[FIN DE SEMANA]])</f>
        <v>131052-1NO</v>
      </c>
      <c r="E991" s="30" t="s">
        <v>147</v>
      </c>
      <c r="F991" s="30" t="s">
        <v>734</v>
      </c>
      <c r="G991" s="365">
        <v>13</v>
      </c>
      <c r="H991" s="30">
        <v>10</v>
      </c>
      <c r="I991" s="9" t="s">
        <v>331</v>
      </c>
      <c r="J991" s="9" t="s">
        <v>736</v>
      </c>
      <c r="K991" s="30">
        <v>1</v>
      </c>
      <c r="L991" s="9" t="s">
        <v>153</v>
      </c>
      <c r="M991" s="30" t="s">
        <v>84</v>
      </c>
      <c r="N991" s="30" t="s">
        <v>152</v>
      </c>
      <c r="O991" s="24">
        <v>2</v>
      </c>
      <c r="P991" s="24">
        <v>58</v>
      </c>
      <c r="Q991" s="24">
        <v>150</v>
      </c>
      <c r="R991" s="24">
        <v>0</v>
      </c>
      <c r="S991" s="24">
        <v>0</v>
      </c>
      <c r="T991" s="24">
        <v>210</v>
      </c>
    </row>
    <row r="992" spans="1:20">
      <c r="A992" s="9" t="s">
        <v>732</v>
      </c>
      <c r="B992" s="30" t="s">
        <v>733</v>
      </c>
      <c r="C992" s="30" t="str">
        <f>CONCATENATE(VOL_VOLUMEN_SUMINISTROS[[#This Row],[Proyecto]],VOL_VOLUMEN_SUMINISTROS[[#This Row],[J]],VOL_VOLUMEN_SUMINISTROS[[#This Row],[FIN DE SEMANA]])</f>
        <v>1052-1MNO</v>
      </c>
      <c r="D992" s="365" t="str">
        <f>CONCATENATE(VOL_VOLUMEN_SUMINISTROS[[#This Row],[Grupo]],VOL_VOLUMEN_SUMINISTROS[[#This Row],[Proyecto]],VOL_VOLUMEN_SUMINISTROS[[#This Row],[FIN DE SEMANA]])</f>
        <v>131052-1NO</v>
      </c>
      <c r="E992" s="30" t="s">
        <v>147</v>
      </c>
      <c r="F992" s="30" t="s">
        <v>734</v>
      </c>
      <c r="G992" s="365">
        <v>13</v>
      </c>
      <c r="H992" s="30">
        <v>10</v>
      </c>
      <c r="I992" s="9" t="s">
        <v>331</v>
      </c>
      <c r="J992" s="9" t="s">
        <v>737</v>
      </c>
      <c r="K992" s="30">
        <v>1</v>
      </c>
      <c r="L992" s="9" t="s">
        <v>153</v>
      </c>
      <c r="M992" s="30" t="s">
        <v>84</v>
      </c>
      <c r="N992" s="30" t="s">
        <v>152</v>
      </c>
      <c r="O992" s="24">
        <v>15</v>
      </c>
      <c r="P992" s="24">
        <v>49</v>
      </c>
      <c r="Q992" s="24">
        <v>22</v>
      </c>
      <c r="R992" s="24">
        <v>0</v>
      </c>
      <c r="S992" s="24">
        <v>0</v>
      </c>
      <c r="T992" s="24">
        <v>86</v>
      </c>
    </row>
    <row r="993" spans="1:20">
      <c r="A993" s="9" t="s">
        <v>732</v>
      </c>
      <c r="B993" s="30" t="s">
        <v>733</v>
      </c>
      <c r="C993" s="30" t="str">
        <f>CONCATENATE(VOL_VOLUMEN_SUMINISTROS[[#This Row],[Proyecto]],VOL_VOLUMEN_SUMINISTROS[[#This Row],[J]],VOL_VOLUMEN_SUMINISTROS[[#This Row],[FIN DE SEMANA]])</f>
        <v>1052-1MNO</v>
      </c>
      <c r="D993" s="365" t="str">
        <f>CONCATENATE(VOL_VOLUMEN_SUMINISTROS[[#This Row],[Grupo]],VOL_VOLUMEN_SUMINISTROS[[#This Row],[Proyecto]],VOL_VOLUMEN_SUMINISTROS[[#This Row],[FIN DE SEMANA]])</f>
        <v>131052-1NO</v>
      </c>
      <c r="E993" s="30" t="s">
        <v>147</v>
      </c>
      <c r="F993" s="30" t="s">
        <v>734</v>
      </c>
      <c r="G993" s="365">
        <v>13</v>
      </c>
      <c r="H993" s="30">
        <v>10</v>
      </c>
      <c r="I993" s="9" t="s">
        <v>331</v>
      </c>
      <c r="J993" s="9" t="s">
        <v>738</v>
      </c>
      <c r="K993" s="30">
        <v>1</v>
      </c>
      <c r="L993" s="9" t="s">
        <v>153</v>
      </c>
      <c r="M993" s="30" t="s">
        <v>84</v>
      </c>
      <c r="N993" s="30" t="s">
        <v>152</v>
      </c>
      <c r="O993" s="24">
        <v>0</v>
      </c>
      <c r="P993" s="24">
        <v>30</v>
      </c>
      <c r="Q993" s="24">
        <v>541</v>
      </c>
      <c r="R993" s="24">
        <v>0</v>
      </c>
      <c r="S993" s="24">
        <v>0</v>
      </c>
      <c r="T993" s="24">
        <v>571</v>
      </c>
    </row>
    <row r="994" spans="1:20">
      <c r="A994" s="9" t="s">
        <v>732</v>
      </c>
      <c r="B994" s="30" t="s">
        <v>733</v>
      </c>
      <c r="C994" s="30" t="str">
        <f>CONCATENATE(VOL_VOLUMEN_SUMINISTROS[[#This Row],[Proyecto]],VOL_VOLUMEN_SUMINISTROS[[#This Row],[J]],VOL_VOLUMEN_SUMINISTROS[[#This Row],[FIN DE SEMANA]])</f>
        <v>1052-1MNO</v>
      </c>
      <c r="D994" s="365" t="str">
        <f>CONCATENATE(VOL_VOLUMEN_SUMINISTROS[[#This Row],[Grupo]],VOL_VOLUMEN_SUMINISTROS[[#This Row],[Proyecto]],VOL_VOLUMEN_SUMINISTROS[[#This Row],[FIN DE SEMANA]])</f>
        <v>131052-1NO</v>
      </c>
      <c r="E994" s="30" t="s">
        <v>147</v>
      </c>
      <c r="F994" s="30" t="s">
        <v>734</v>
      </c>
      <c r="G994" s="365">
        <v>13</v>
      </c>
      <c r="H994" s="30">
        <v>10</v>
      </c>
      <c r="I994" s="9" t="s">
        <v>331</v>
      </c>
      <c r="J994" s="9" t="s">
        <v>739</v>
      </c>
      <c r="K994" s="30">
        <v>1</v>
      </c>
      <c r="L994" s="9" t="s">
        <v>153</v>
      </c>
      <c r="M994" s="30" t="s">
        <v>84</v>
      </c>
      <c r="N994" s="30" t="s">
        <v>152</v>
      </c>
      <c r="O994" s="24">
        <v>2</v>
      </c>
      <c r="P994" s="24">
        <v>79</v>
      </c>
      <c r="Q994" s="24">
        <v>509</v>
      </c>
      <c r="R994" s="24">
        <v>0</v>
      </c>
      <c r="S994" s="24">
        <v>0</v>
      </c>
      <c r="T994" s="24">
        <v>590</v>
      </c>
    </row>
    <row r="995" spans="1:20">
      <c r="A995" s="9" t="s">
        <v>732</v>
      </c>
      <c r="B995" s="30" t="s">
        <v>733</v>
      </c>
      <c r="C995" s="30" t="str">
        <f>CONCATENATE(VOL_VOLUMEN_SUMINISTROS[[#This Row],[Proyecto]],VOL_VOLUMEN_SUMINISTROS[[#This Row],[J]],VOL_VOLUMEN_SUMINISTROS[[#This Row],[FIN DE SEMANA]])</f>
        <v>1052-1MNO</v>
      </c>
      <c r="D995" s="365" t="str">
        <f>CONCATENATE(VOL_VOLUMEN_SUMINISTROS[[#This Row],[Grupo]],VOL_VOLUMEN_SUMINISTROS[[#This Row],[Proyecto]],VOL_VOLUMEN_SUMINISTROS[[#This Row],[FIN DE SEMANA]])</f>
        <v>131052-1NO</v>
      </c>
      <c r="E995" s="30" t="s">
        <v>147</v>
      </c>
      <c r="F995" s="30" t="s">
        <v>734</v>
      </c>
      <c r="G995" s="365">
        <v>13</v>
      </c>
      <c r="H995" s="30">
        <v>10</v>
      </c>
      <c r="I995" s="9" t="s">
        <v>331</v>
      </c>
      <c r="J995" s="9" t="s">
        <v>740</v>
      </c>
      <c r="K995" s="30">
        <v>1</v>
      </c>
      <c r="L995" s="9" t="s">
        <v>153</v>
      </c>
      <c r="M995" s="30" t="s">
        <v>84</v>
      </c>
      <c r="N995" s="30" t="s">
        <v>152</v>
      </c>
      <c r="O995" s="24">
        <v>0</v>
      </c>
      <c r="P995" s="24">
        <v>21</v>
      </c>
      <c r="Q995" s="24">
        <v>118</v>
      </c>
      <c r="R995" s="24">
        <v>0</v>
      </c>
      <c r="S995" s="24">
        <v>0</v>
      </c>
      <c r="T995" s="24">
        <v>139</v>
      </c>
    </row>
    <row r="996" spans="1:20">
      <c r="A996" s="9" t="s">
        <v>732</v>
      </c>
      <c r="B996" s="30" t="s">
        <v>733</v>
      </c>
      <c r="C996" s="30" t="str">
        <f>CONCATENATE(VOL_VOLUMEN_SUMINISTROS[[#This Row],[Proyecto]],VOL_VOLUMEN_SUMINISTROS[[#This Row],[J]],VOL_VOLUMEN_SUMINISTROS[[#This Row],[FIN DE SEMANA]])</f>
        <v>1052-1MNO</v>
      </c>
      <c r="D996" s="365" t="str">
        <f>CONCATENATE(VOL_VOLUMEN_SUMINISTROS[[#This Row],[Grupo]],VOL_VOLUMEN_SUMINISTROS[[#This Row],[Proyecto]],VOL_VOLUMEN_SUMINISTROS[[#This Row],[FIN DE SEMANA]])</f>
        <v>131052-1NO</v>
      </c>
      <c r="E996" s="30" t="s">
        <v>147</v>
      </c>
      <c r="F996" s="30" t="s">
        <v>734</v>
      </c>
      <c r="G996" s="365">
        <v>13</v>
      </c>
      <c r="H996" s="30">
        <v>10</v>
      </c>
      <c r="I996" s="9" t="s">
        <v>331</v>
      </c>
      <c r="J996" s="9" t="s">
        <v>741</v>
      </c>
      <c r="K996" s="30">
        <v>1</v>
      </c>
      <c r="L996" s="9" t="s">
        <v>153</v>
      </c>
      <c r="M996" s="30" t="s">
        <v>84</v>
      </c>
      <c r="N996" s="30" t="s">
        <v>152</v>
      </c>
      <c r="O996" s="24">
        <v>0</v>
      </c>
      <c r="P996" s="24">
        <v>42</v>
      </c>
      <c r="Q996" s="24">
        <v>148</v>
      </c>
      <c r="R996" s="24">
        <v>0</v>
      </c>
      <c r="S996" s="24">
        <v>0</v>
      </c>
      <c r="T996" s="24">
        <v>190</v>
      </c>
    </row>
    <row r="997" spans="1:20">
      <c r="A997" s="9" t="s">
        <v>732</v>
      </c>
      <c r="B997" s="30" t="s">
        <v>733</v>
      </c>
      <c r="C997" s="30" t="str">
        <f>CONCATENATE(VOL_VOLUMEN_SUMINISTROS[[#This Row],[Proyecto]],VOL_VOLUMEN_SUMINISTROS[[#This Row],[J]],VOL_VOLUMEN_SUMINISTROS[[#This Row],[FIN DE SEMANA]])</f>
        <v>1052-1MNO</v>
      </c>
      <c r="D997" s="365" t="str">
        <f>CONCATENATE(VOL_VOLUMEN_SUMINISTROS[[#This Row],[Grupo]],VOL_VOLUMEN_SUMINISTROS[[#This Row],[Proyecto]],VOL_VOLUMEN_SUMINISTROS[[#This Row],[FIN DE SEMANA]])</f>
        <v>131052-1NO</v>
      </c>
      <c r="E997" s="30" t="s">
        <v>147</v>
      </c>
      <c r="F997" s="30" t="s">
        <v>734</v>
      </c>
      <c r="G997" s="365">
        <v>13</v>
      </c>
      <c r="H997" s="30">
        <v>10</v>
      </c>
      <c r="I997" s="9" t="s">
        <v>331</v>
      </c>
      <c r="J997" s="9" t="s">
        <v>742</v>
      </c>
      <c r="K997" s="30">
        <v>1</v>
      </c>
      <c r="L997" s="9" t="s">
        <v>153</v>
      </c>
      <c r="M997" s="30" t="s">
        <v>84</v>
      </c>
      <c r="N997" s="30" t="s">
        <v>152</v>
      </c>
      <c r="O997" s="24">
        <v>0</v>
      </c>
      <c r="P997" s="24">
        <v>12</v>
      </c>
      <c r="Q997" s="24">
        <v>116</v>
      </c>
      <c r="R997" s="24">
        <v>0</v>
      </c>
      <c r="S997" s="24">
        <v>0</v>
      </c>
      <c r="T997" s="24">
        <v>128</v>
      </c>
    </row>
    <row r="998" spans="1:20">
      <c r="A998" s="9" t="s">
        <v>732</v>
      </c>
      <c r="B998" s="30" t="s">
        <v>743</v>
      </c>
      <c r="C998" s="30" t="str">
        <f>CONCATENATE(VOL_VOLUMEN_SUMINISTROS[[#This Row],[Proyecto]],VOL_VOLUMEN_SUMINISTROS[[#This Row],[J]],VOL_VOLUMEN_SUMINISTROS[[#This Row],[FIN DE SEMANA]])</f>
        <v>1052-1MNO</v>
      </c>
      <c r="D998" s="365" t="str">
        <f>CONCATENATE(VOL_VOLUMEN_SUMINISTROS[[#This Row],[Grupo]],VOL_VOLUMEN_SUMINISTROS[[#This Row],[Proyecto]],VOL_VOLUMEN_SUMINISTROS[[#This Row],[FIN DE SEMANA]])</f>
        <v>261052-1NO</v>
      </c>
      <c r="E998" s="30" t="s">
        <v>147</v>
      </c>
      <c r="F998" s="30" t="s">
        <v>734</v>
      </c>
      <c r="G998" s="365">
        <v>26</v>
      </c>
      <c r="H998" s="30">
        <v>18</v>
      </c>
      <c r="I998" s="9" t="s">
        <v>308</v>
      </c>
      <c r="J998" s="9" t="s">
        <v>744</v>
      </c>
      <c r="K998" s="30">
        <v>1</v>
      </c>
      <c r="L998" s="9" t="s">
        <v>153</v>
      </c>
      <c r="M998" s="30" t="s">
        <v>84</v>
      </c>
      <c r="N998" s="30" t="s">
        <v>152</v>
      </c>
      <c r="O998" s="24">
        <v>0</v>
      </c>
      <c r="P998" s="24">
        <v>21</v>
      </c>
      <c r="Q998" s="24">
        <v>7</v>
      </c>
      <c r="R998" s="24">
        <v>0</v>
      </c>
      <c r="S998" s="24">
        <v>0</v>
      </c>
      <c r="T998" s="24">
        <v>28</v>
      </c>
    </row>
    <row r="999" spans="1:20">
      <c r="A999" s="9" t="s">
        <v>732</v>
      </c>
      <c r="B999" s="30" t="s">
        <v>743</v>
      </c>
      <c r="C999" s="30" t="str">
        <f>CONCATENATE(VOL_VOLUMEN_SUMINISTROS[[#This Row],[Proyecto]],VOL_VOLUMEN_SUMINISTROS[[#This Row],[J]],VOL_VOLUMEN_SUMINISTROS[[#This Row],[FIN DE SEMANA]])</f>
        <v>1052-1MNO</v>
      </c>
      <c r="D999" s="365" t="str">
        <f>CONCATENATE(VOL_VOLUMEN_SUMINISTROS[[#This Row],[Grupo]],VOL_VOLUMEN_SUMINISTROS[[#This Row],[Proyecto]],VOL_VOLUMEN_SUMINISTROS[[#This Row],[FIN DE SEMANA]])</f>
        <v>261052-1NO</v>
      </c>
      <c r="E999" s="30" t="s">
        <v>147</v>
      </c>
      <c r="F999" s="30" t="s">
        <v>734</v>
      </c>
      <c r="G999" s="365">
        <v>26</v>
      </c>
      <c r="H999" s="30">
        <v>18</v>
      </c>
      <c r="I999" s="9" t="s">
        <v>308</v>
      </c>
      <c r="J999" s="9" t="s">
        <v>745</v>
      </c>
      <c r="K999" s="30">
        <v>1</v>
      </c>
      <c r="L999" s="9" t="s">
        <v>153</v>
      </c>
      <c r="M999" s="30" t="s">
        <v>84</v>
      </c>
      <c r="N999" s="30" t="s">
        <v>152</v>
      </c>
      <c r="O999" s="24">
        <v>6</v>
      </c>
      <c r="P999" s="24">
        <v>18</v>
      </c>
      <c r="Q999" s="24">
        <v>168</v>
      </c>
      <c r="R999" s="24">
        <v>0</v>
      </c>
      <c r="S999" s="24">
        <v>0</v>
      </c>
      <c r="T999" s="24">
        <v>192</v>
      </c>
    </row>
    <row r="1000" spans="1:20">
      <c r="A1000" s="9" t="s">
        <v>732</v>
      </c>
      <c r="B1000" s="30" t="s">
        <v>743</v>
      </c>
      <c r="C1000" s="30" t="str">
        <f>CONCATENATE(VOL_VOLUMEN_SUMINISTROS[[#This Row],[Proyecto]],VOL_VOLUMEN_SUMINISTROS[[#This Row],[J]],VOL_VOLUMEN_SUMINISTROS[[#This Row],[FIN DE SEMANA]])</f>
        <v>1052-1MNO</v>
      </c>
      <c r="D1000" s="365" t="str">
        <f>CONCATENATE(VOL_VOLUMEN_SUMINISTROS[[#This Row],[Grupo]],VOL_VOLUMEN_SUMINISTROS[[#This Row],[Proyecto]],VOL_VOLUMEN_SUMINISTROS[[#This Row],[FIN DE SEMANA]])</f>
        <v>261052-1NO</v>
      </c>
      <c r="E1000" s="30" t="s">
        <v>147</v>
      </c>
      <c r="F1000" s="30" t="s">
        <v>734</v>
      </c>
      <c r="G1000" s="365">
        <v>26</v>
      </c>
      <c r="H1000" s="30">
        <v>18</v>
      </c>
      <c r="I1000" s="9" t="s">
        <v>308</v>
      </c>
      <c r="J1000" s="9" t="s">
        <v>746</v>
      </c>
      <c r="K1000" s="30">
        <v>1</v>
      </c>
      <c r="L1000" s="9" t="s">
        <v>153</v>
      </c>
      <c r="M1000" s="30" t="s">
        <v>84</v>
      </c>
      <c r="N1000" s="30" t="s">
        <v>152</v>
      </c>
      <c r="O1000" s="24">
        <v>0</v>
      </c>
      <c r="P1000" s="24">
        <v>3</v>
      </c>
      <c r="Q1000" s="24">
        <v>3</v>
      </c>
      <c r="R1000" s="24">
        <v>0</v>
      </c>
      <c r="S1000" s="24">
        <v>0</v>
      </c>
      <c r="T1000" s="24">
        <v>6</v>
      </c>
    </row>
    <row r="1001" spans="1:20">
      <c r="A1001" s="9" t="s">
        <v>732</v>
      </c>
      <c r="B1001" s="30" t="s">
        <v>743</v>
      </c>
      <c r="C1001" s="30" t="str">
        <f>CONCATENATE(VOL_VOLUMEN_SUMINISTROS[[#This Row],[Proyecto]],VOL_VOLUMEN_SUMINISTROS[[#This Row],[J]],VOL_VOLUMEN_SUMINISTROS[[#This Row],[FIN DE SEMANA]])</f>
        <v>1052-1MNO</v>
      </c>
      <c r="D1001" s="365" t="str">
        <f>CONCATENATE(VOL_VOLUMEN_SUMINISTROS[[#This Row],[Grupo]],VOL_VOLUMEN_SUMINISTROS[[#This Row],[Proyecto]],VOL_VOLUMEN_SUMINISTROS[[#This Row],[FIN DE SEMANA]])</f>
        <v>261052-1NO</v>
      </c>
      <c r="E1001" s="30" t="s">
        <v>147</v>
      </c>
      <c r="F1001" s="30" t="s">
        <v>734</v>
      </c>
      <c r="G1001" s="365">
        <v>26</v>
      </c>
      <c r="H1001" s="30">
        <v>18</v>
      </c>
      <c r="I1001" s="9" t="s">
        <v>308</v>
      </c>
      <c r="J1001" s="9" t="s">
        <v>747</v>
      </c>
      <c r="K1001" s="30">
        <v>1</v>
      </c>
      <c r="L1001" s="9" t="s">
        <v>153</v>
      </c>
      <c r="M1001" s="30" t="s">
        <v>84</v>
      </c>
      <c r="N1001" s="30" t="s">
        <v>152</v>
      </c>
      <c r="O1001" s="24">
        <v>16</v>
      </c>
      <c r="P1001" s="24">
        <v>56</v>
      </c>
      <c r="Q1001" s="24">
        <v>140</v>
      </c>
      <c r="R1001" s="24">
        <v>0</v>
      </c>
      <c r="S1001" s="24">
        <v>0</v>
      </c>
      <c r="T1001" s="24">
        <v>212</v>
      </c>
    </row>
    <row r="1002" spans="1:20">
      <c r="A1002" s="9" t="s">
        <v>732</v>
      </c>
      <c r="B1002" s="30" t="s">
        <v>743</v>
      </c>
      <c r="C1002" s="30" t="str">
        <f>CONCATENATE(VOL_VOLUMEN_SUMINISTROS[[#This Row],[Proyecto]],VOL_VOLUMEN_SUMINISTROS[[#This Row],[J]],VOL_VOLUMEN_SUMINISTROS[[#This Row],[FIN DE SEMANA]])</f>
        <v>1052-1MNO</v>
      </c>
      <c r="D1002" s="365" t="str">
        <f>CONCATENATE(VOL_VOLUMEN_SUMINISTROS[[#This Row],[Grupo]],VOL_VOLUMEN_SUMINISTROS[[#This Row],[Proyecto]],VOL_VOLUMEN_SUMINISTROS[[#This Row],[FIN DE SEMANA]])</f>
        <v>261052-1NO</v>
      </c>
      <c r="E1002" s="30" t="s">
        <v>147</v>
      </c>
      <c r="F1002" s="30" t="s">
        <v>734</v>
      </c>
      <c r="G1002" s="365">
        <v>26</v>
      </c>
      <c r="H1002" s="30">
        <v>18</v>
      </c>
      <c r="I1002" s="9" t="s">
        <v>308</v>
      </c>
      <c r="J1002" s="9" t="s">
        <v>748</v>
      </c>
      <c r="K1002" s="30">
        <v>1</v>
      </c>
      <c r="L1002" s="9" t="s">
        <v>153</v>
      </c>
      <c r="M1002" s="30" t="s">
        <v>84</v>
      </c>
      <c r="N1002" s="30" t="s">
        <v>152</v>
      </c>
      <c r="O1002" s="24">
        <v>4</v>
      </c>
      <c r="P1002" s="24">
        <v>14</v>
      </c>
      <c r="Q1002" s="24">
        <v>110</v>
      </c>
      <c r="R1002" s="24">
        <v>0</v>
      </c>
      <c r="S1002" s="24">
        <v>0</v>
      </c>
      <c r="T1002" s="24">
        <v>128</v>
      </c>
    </row>
    <row r="1003" spans="1:20">
      <c r="A1003" s="9" t="s">
        <v>732</v>
      </c>
      <c r="B1003" s="30" t="s">
        <v>749</v>
      </c>
      <c r="C1003" s="30" t="str">
        <f>CONCATENATE(VOL_VOLUMEN_SUMINISTROS[[#This Row],[Proyecto]],VOL_VOLUMEN_SUMINISTROS[[#This Row],[J]],VOL_VOLUMEN_SUMINISTROS[[#This Row],[FIN DE SEMANA]])</f>
        <v>1052-1MNO</v>
      </c>
      <c r="D1003" s="365" t="str">
        <f>CONCATENATE(VOL_VOLUMEN_SUMINISTROS[[#This Row],[Grupo]],VOL_VOLUMEN_SUMINISTROS[[#This Row],[Proyecto]],VOL_VOLUMEN_SUMINISTROS[[#This Row],[FIN DE SEMANA]])</f>
        <v>61052-1NO</v>
      </c>
      <c r="E1003" s="30" t="s">
        <v>147</v>
      </c>
      <c r="F1003" s="30" t="s">
        <v>734</v>
      </c>
      <c r="G1003" s="365">
        <v>6</v>
      </c>
      <c r="H1003" s="30">
        <v>19</v>
      </c>
      <c r="I1003" s="9" t="s">
        <v>250</v>
      </c>
      <c r="J1003" s="9" t="s">
        <v>750</v>
      </c>
      <c r="K1003" s="30">
        <v>1</v>
      </c>
      <c r="L1003" s="9" t="s">
        <v>153</v>
      </c>
      <c r="M1003" s="30" t="s">
        <v>84</v>
      </c>
      <c r="N1003" s="30" t="s">
        <v>152</v>
      </c>
      <c r="O1003" s="24">
        <v>2</v>
      </c>
      <c r="P1003" s="24">
        <v>16</v>
      </c>
      <c r="Q1003" s="24">
        <v>50</v>
      </c>
      <c r="R1003" s="24">
        <v>0</v>
      </c>
      <c r="S1003" s="24">
        <v>0</v>
      </c>
      <c r="T1003" s="24">
        <v>68</v>
      </c>
    </row>
    <row r="1004" spans="1:20">
      <c r="A1004" s="9" t="s">
        <v>732</v>
      </c>
      <c r="B1004" s="30" t="s">
        <v>749</v>
      </c>
      <c r="C1004" s="30" t="str">
        <f>CONCATENATE(VOL_VOLUMEN_SUMINISTROS[[#This Row],[Proyecto]],VOL_VOLUMEN_SUMINISTROS[[#This Row],[J]],VOL_VOLUMEN_SUMINISTROS[[#This Row],[FIN DE SEMANA]])</f>
        <v>1052-1MNO</v>
      </c>
      <c r="D1004" s="365" t="str">
        <f>CONCATENATE(VOL_VOLUMEN_SUMINISTROS[[#This Row],[Grupo]],VOL_VOLUMEN_SUMINISTROS[[#This Row],[Proyecto]],VOL_VOLUMEN_SUMINISTROS[[#This Row],[FIN DE SEMANA]])</f>
        <v>61052-1NO</v>
      </c>
      <c r="E1004" s="30" t="s">
        <v>147</v>
      </c>
      <c r="F1004" s="30" t="s">
        <v>734</v>
      </c>
      <c r="G1004" s="365">
        <v>6</v>
      </c>
      <c r="H1004" s="30">
        <v>19</v>
      </c>
      <c r="I1004" s="9" t="s">
        <v>250</v>
      </c>
      <c r="J1004" s="9" t="s">
        <v>751</v>
      </c>
      <c r="K1004" s="30">
        <v>1</v>
      </c>
      <c r="L1004" s="9" t="s">
        <v>153</v>
      </c>
      <c r="M1004" s="30" t="s">
        <v>84</v>
      </c>
      <c r="N1004" s="30" t="s">
        <v>152</v>
      </c>
      <c r="O1004" s="24">
        <v>0</v>
      </c>
      <c r="P1004" s="24">
        <v>9</v>
      </c>
      <c r="Q1004" s="24">
        <v>58</v>
      </c>
      <c r="R1004" s="24">
        <v>0</v>
      </c>
      <c r="S1004" s="24">
        <v>0</v>
      </c>
      <c r="T1004" s="24">
        <v>67</v>
      </c>
    </row>
    <row r="1005" spans="1:20">
      <c r="A1005" s="9" t="s">
        <v>732</v>
      </c>
      <c r="B1005" s="30" t="s">
        <v>749</v>
      </c>
      <c r="C1005" s="30" t="str">
        <f>CONCATENATE(VOL_VOLUMEN_SUMINISTROS[[#This Row],[Proyecto]],VOL_VOLUMEN_SUMINISTROS[[#This Row],[J]],VOL_VOLUMEN_SUMINISTROS[[#This Row],[FIN DE SEMANA]])</f>
        <v>1052-1MNO</v>
      </c>
      <c r="D1005" s="365" t="str">
        <f>CONCATENATE(VOL_VOLUMEN_SUMINISTROS[[#This Row],[Grupo]],VOL_VOLUMEN_SUMINISTROS[[#This Row],[Proyecto]],VOL_VOLUMEN_SUMINISTROS[[#This Row],[FIN DE SEMANA]])</f>
        <v>61052-1NO</v>
      </c>
      <c r="E1005" s="30" t="s">
        <v>147</v>
      </c>
      <c r="F1005" s="30" t="s">
        <v>734</v>
      </c>
      <c r="G1005" s="365">
        <v>6</v>
      </c>
      <c r="H1005" s="30">
        <v>19</v>
      </c>
      <c r="I1005" s="9" t="s">
        <v>250</v>
      </c>
      <c r="J1005" s="9" t="s">
        <v>752</v>
      </c>
      <c r="K1005" s="30">
        <v>1</v>
      </c>
      <c r="L1005" s="9" t="s">
        <v>153</v>
      </c>
      <c r="M1005" s="30" t="s">
        <v>84</v>
      </c>
      <c r="N1005" s="30" t="s">
        <v>152</v>
      </c>
      <c r="O1005" s="24">
        <v>0</v>
      </c>
      <c r="P1005" s="24">
        <v>18</v>
      </c>
      <c r="Q1005" s="24">
        <v>42</v>
      </c>
      <c r="R1005" s="24">
        <v>0</v>
      </c>
      <c r="S1005" s="24">
        <v>0</v>
      </c>
      <c r="T1005" s="24">
        <v>60</v>
      </c>
    </row>
    <row r="1006" spans="1:20">
      <c r="A1006" s="9" t="s">
        <v>732</v>
      </c>
      <c r="B1006" s="30" t="s">
        <v>749</v>
      </c>
      <c r="C1006" s="30" t="str">
        <f>CONCATENATE(VOL_VOLUMEN_SUMINISTROS[[#This Row],[Proyecto]],VOL_VOLUMEN_SUMINISTROS[[#This Row],[J]],VOL_VOLUMEN_SUMINISTROS[[#This Row],[FIN DE SEMANA]])</f>
        <v>1052-1MNO</v>
      </c>
      <c r="D1006" s="365" t="str">
        <f>CONCATENATE(VOL_VOLUMEN_SUMINISTROS[[#This Row],[Grupo]],VOL_VOLUMEN_SUMINISTROS[[#This Row],[Proyecto]],VOL_VOLUMEN_SUMINISTROS[[#This Row],[FIN DE SEMANA]])</f>
        <v>61052-1NO</v>
      </c>
      <c r="E1006" s="30" t="s">
        <v>147</v>
      </c>
      <c r="F1006" s="30" t="s">
        <v>734</v>
      </c>
      <c r="G1006" s="365">
        <v>6</v>
      </c>
      <c r="H1006" s="30">
        <v>19</v>
      </c>
      <c r="I1006" s="9" t="s">
        <v>250</v>
      </c>
      <c r="J1006" s="9" t="s">
        <v>753</v>
      </c>
      <c r="K1006" s="30">
        <v>1</v>
      </c>
      <c r="L1006" s="9" t="s">
        <v>153</v>
      </c>
      <c r="M1006" s="30" t="s">
        <v>84</v>
      </c>
      <c r="N1006" s="30" t="s">
        <v>152</v>
      </c>
      <c r="O1006" s="24">
        <v>8</v>
      </c>
      <c r="P1006" s="24">
        <v>202</v>
      </c>
      <c r="Q1006" s="24">
        <v>410</v>
      </c>
      <c r="R1006" s="24">
        <v>0</v>
      </c>
      <c r="S1006" s="24">
        <v>0</v>
      </c>
      <c r="T1006" s="24">
        <v>620</v>
      </c>
    </row>
    <row r="1007" spans="1:20">
      <c r="A1007" s="9" t="s">
        <v>732</v>
      </c>
      <c r="B1007" s="30" t="s">
        <v>749</v>
      </c>
      <c r="C1007" s="30" t="str">
        <f>CONCATENATE(VOL_VOLUMEN_SUMINISTROS[[#This Row],[Proyecto]],VOL_VOLUMEN_SUMINISTROS[[#This Row],[J]],VOL_VOLUMEN_SUMINISTROS[[#This Row],[FIN DE SEMANA]])</f>
        <v>1052-1MNO</v>
      </c>
      <c r="D1007" s="365" t="str">
        <f>CONCATENATE(VOL_VOLUMEN_SUMINISTROS[[#This Row],[Grupo]],VOL_VOLUMEN_SUMINISTROS[[#This Row],[Proyecto]],VOL_VOLUMEN_SUMINISTROS[[#This Row],[FIN DE SEMANA]])</f>
        <v>61052-1NO</v>
      </c>
      <c r="E1007" s="30" t="s">
        <v>147</v>
      </c>
      <c r="F1007" s="30" t="s">
        <v>734</v>
      </c>
      <c r="G1007" s="365">
        <v>6</v>
      </c>
      <c r="H1007" s="30">
        <v>19</v>
      </c>
      <c r="I1007" s="9" t="s">
        <v>250</v>
      </c>
      <c r="J1007" s="9" t="s">
        <v>754</v>
      </c>
      <c r="K1007" s="30">
        <v>1</v>
      </c>
      <c r="L1007" s="9" t="s">
        <v>153</v>
      </c>
      <c r="M1007" s="30" t="s">
        <v>84</v>
      </c>
      <c r="N1007" s="30" t="s">
        <v>152</v>
      </c>
      <c r="O1007" s="24">
        <v>0</v>
      </c>
      <c r="P1007" s="24">
        <v>39</v>
      </c>
      <c r="Q1007" s="24">
        <v>91</v>
      </c>
      <c r="R1007" s="24">
        <v>0</v>
      </c>
      <c r="S1007" s="24">
        <v>0</v>
      </c>
      <c r="T1007" s="24">
        <v>130</v>
      </c>
    </row>
    <row r="1008" spans="1:20">
      <c r="A1008" s="9" t="s">
        <v>732</v>
      </c>
      <c r="B1008" s="30" t="s">
        <v>749</v>
      </c>
      <c r="C1008" s="30" t="str">
        <f>CONCATENATE(VOL_VOLUMEN_SUMINISTROS[[#This Row],[Proyecto]],VOL_VOLUMEN_SUMINISTROS[[#This Row],[J]],VOL_VOLUMEN_SUMINISTROS[[#This Row],[FIN DE SEMANA]])</f>
        <v>1052-1MNO</v>
      </c>
      <c r="D1008" s="365" t="str">
        <f>CONCATENATE(VOL_VOLUMEN_SUMINISTROS[[#This Row],[Grupo]],VOL_VOLUMEN_SUMINISTROS[[#This Row],[Proyecto]],VOL_VOLUMEN_SUMINISTROS[[#This Row],[FIN DE SEMANA]])</f>
        <v>61052-1NO</v>
      </c>
      <c r="E1008" s="30" t="s">
        <v>147</v>
      </c>
      <c r="F1008" s="30" t="s">
        <v>734</v>
      </c>
      <c r="G1008" s="365">
        <v>6</v>
      </c>
      <c r="H1008" s="30">
        <v>19</v>
      </c>
      <c r="I1008" s="9" t="s">
        <v>250</v>
      </c>
      <c r="J1008" s="9" t="s">
        <v>755</v>
      </c>
      <c r="K1008" s="30">
        <v>1</v>
      </c>
      <c r="L1008" s="9" t="s">
        <v>153</v>
      </c>
      <c r="M1008" s="30" t="s">
        <v>84</v>
      </c>
      <c r="N1008" s="30" t="s">
        <v>152</v>
      </c>
      <c r="O1008" s="24">
        <v>0</v>
      </c>
      <c r="P1008" s="24">
        <v>66</v>
      </c>
      <c r="Q1008" s="24">
        <v>133</v>
      </c>
      <c r="R1008" s="24">
        <v>0</v>
      </c>
      <c r="S1008" s="24">
        <v>0</v>
      </c>
      <c r="T1008" s="24">
        <v>199</v>
      </c>
    </row>
    <row r="1009" spans="1:20">
      <c r="A1009" s="9" t="s">
        <v>732</v>
      </c>
      <c r="B1009" s="30" t="s">
        <v>749</v>
      </c>
      <c r="C1009" s="30" t="str">
        <f>CONCATENATE(VOL_VOLUMEN_SUMINISTROS[[#This Row],[Proyecto]],VOL_VOLUMEN_SUMINISTROS[[#This Row],[J]],VOL_VOLUMEN_SUMINISTROS[[#This Row],[FIN DE SEMANA]])</f>
        <v>1052-1MNO</v>
      </c>
      <c r="D1009" s="365" t="str">
        <f>CONCATENATE(VOL_VOLUMEN_SUMINISTROS[[#This Row],[Grupo]],VOL_VOLUMEN_SUMINISTROS[[#This Row],[Proyecto]],VOL_VOLUMEN_SUMINISTROS[[#This Row],[FIN DE SEMANA]])</f>
        <v>61052-1NO</v>
      </c>
      <c r="E1009" s="30" t="s">
        <v>147</v>
      </c>
      <c r="F1009" s="30" t="s">
        <v>734</v>
      </c>
      <c r="G1009" s="365">
        <v>6</v>
      </c>
      <c r="H1009" s="30">
        <v>19</v>
      </c>
      <c r="I1009" s="9" t="s">
        <v>250</v>
      </c>
      <c r="J1009" s="9" t="s">
        <v>756</v>
      </c>
      <c r="K1009" s="30">
        <v>1</v>
      </c>
      <c r="L1009" s="9" t="s">
        <v>153</v>
      </c>
      <c r="M1009" s="30" t="s">
        <v>84</v>
      </c>
      <c r="N1009" s="30" t="s">
        <v>152</v>
      </c>
      <c r="O1009" s="24">
        <v>2</v>
      </c>
      <c r="P1009" s="24">
        <v>109</v>
      </c>
      <c r="Q1009" s="24">
        <v>261</v>
      </c>
      <c r="R1009" s="24">
        <v>0</v>
      </c>
      <c r="S1009" s="24">
        <v>0</v>
      </c>
      <c r="T1009" s="24">
        <v>372</v>
      </c>
    </row>
    <row r="1010" spans="1:20">
      <c r="A1010" s="9" t="s">
        <v>732</v>
      </c>
      <c r="B1010" s="30" t="s">
        <v>749</v>
      </c>
      <c r="C1010" s="30" t="str">
        <f>CONCATENATE(VOL_VOLUMEN_SUMINISTROS[[#This Row],[Proyecto]],VOL_VOLUMEN_SUMINISTROS[[#This Row],[J]],VOL_VOLUMEN_SUMINISTROS[[#This Row],[FIN DE SEMANA]])</f>
        <v>1052-1MNO</v>
      </c>
      <c r="D1010" s="365" t="str">
        <f>CONCATENATE(VOL_VOLUMEN_SUMINISTROS[[#This Row],[Grupo]],VOL_VOLUMEN_SUMINISTROS[[#This Row],[Proyecto]],VOL_VOLUMEN_SUMINISTROS[[#This Row],[FIN DE SEMANA]])</f>
        <v>61052-1NO</v>
      </c>
      <c r="E1010" s="30" t="s">
        <v>147</v>
      </c>
      <c r="F1010" s="30" t="s">
        <v>734</v>
      </c>
      <c r="G1010" s="365">
        <v>6</v>
      </c>
      <c r="H1010" s="30">
        <v>19</v>
      </c>
      <c r="I1010" s="9" t="s">
        <v>250</v>
      </c>
      <c r="J1010" s="9" t="s">
        <v>757</v>
      </c>
      <c r="K1010" s="30">
        <v>1</v>
      </c>
      <c r="L1010" s="9" t="s">
        <v>153</v>
      </c>
      <c r="M1010" s="30" t="s">
        <v>84</v>
      </c>
      <c r="N1010" s="30" t="s">
        <v>152</v>
      </c>
      <c r="O1010" s="24">
        <v>2</v>
      </c>
      <c r="P1010" s="24">
        <v>145</v>
      </c>
      <c r="Q1010" s="24">
        <v>453</v>
      </c>
      <c r="R1010" s="24">
        <v>0</v>
      </c>
      <c r="S1010" s="24">
        <v>0</v>
      </c>
      <c r="T1010" s="24">
        <v>600</v>
      </c>
    </row>
    <row r="1011" spans="1:20">
      <c r="A1011" s="9" t="s">
        <v>732</v>
      </c>
      <c r="B1011" s="30" t="s">
        <v>749</v>
      </c>
      <c r="C1011" s="30" t="str">
        <f>CONCATENATE(VOL_VOLUMEN_SUMINISTROS[[#This Row],[Proyecto]],VOL_VOLUMEN_SUMINISTROS[[#This Row],[J]],VOL_VOLUMEN_SUMINISTROS[[#This Row],[FIN DE SEMANA]])</f>
        <v>1052-1MNO</v>
      </c>
      <c r="D1011" s="365" t="str">
        <f>CONCATENATE(VOL_VOLUMEN_SUMINISTROS[[#This Row],[Grupo]],VOL_VOLUMEN_SUMINISTROS[[#This Row],[Proyecto]],VOL_VOLUMEN_SUMINISTROS[[#This Row],[FIN DE SEMANA]])</f>
        <v>61052-1NO</v>
      </c>
      <c r="E1011" s="30" t="s">
        <v>147</v>
      </c>
      <c r="F1011" s="30" t="s">
        <v>734</v>
      </c>
      <c r="G1011" s="365">
        <v>6</v>
      </c>
      <c r="H1011" s="30">
        <v>19</v>
      </c>
      <c r="I1011" s="9" t="s">
        <v>250</v>
      </c>
      <c r="J1011" s="9" t="s">
        <v>758</v>
      </c>
      <c r="K1011" s="30">
        <v>1</v>
      </c>
      <c r="L1011" s="9" t="s">
        <v>153</v>
      </c>
      <c r="M1011" s="30" t="s">
        <v>84</v>
      </c>
      <c r="N1011" s="30" t="s">
        <v>152</v>
      </c>
      <c r="O1011" s="24">
        <v>4</v>
      </c>
      <c r="P1011" s="24">
        <v>89</v>
      </c>
      <c r="Q1011" s="24">
        <v>234</v>
      </c>
      <c r="R1011" s="24">
        <v>0</v>
      </c>
      <c r="S1011" s="24">
        <v>0</v>
      </c>
      <c r="T1011" s="24">
        <v>327</v>
      </c>
    </row>
    <row r="1012" spans="1:20">
      <c r="A1012" s="9" t="s">
        <v>732</v>
      </c>
      <c r="B1012" s="30" t="s">
        <v>749</v>
      </c>
      <c r="C1012" s="30" t="str">
        <f>CONCATENATE(VOL_VOLUMEN_SUMINISTROS[[#This Row],[Proyecto]],VOL_VOLUMEN_SUMINISTROS[[#This Row],[J]],VOL_VOLUMEN_SUMINISTROS[[#This Row],[FIN DE SEMANA]])</f>
        <v>1052-1MNO</v>
      </c>
      <c r="D1012" s="365" t="str">
        <f>CONCATENATE(VOL_VOLUMEN_SUMINISTROS[[#This Row],[Grupo]],VOL_VOLUMEN_SUMINISTROS[[#This Row],[Proyecto]],VOL_VOLUMEN_SUMINISTROS[[#This Row],[FIN DE SEMANA]])</f>
        <v>61052-1NO</v>
      </c>
      <c r="E1012" s="30" t="s">
        <v>147</v>
      </c>
      <c r="F1012" s="30" t="s">
        <v>734</v>
      </c>
      <c r="G1012" s="365">
        <v>6</v>
      </c>
      <c r="H1012" s="30">
        <v>19</v>
      </c>
      <c r="I1012" s="9" t="s">
        <v>250</v>
      </c>
      <c r="J1012" s="9" t="s">
        <v>759</v>
      </c>
      <c r="K1012" s="30">
        <v>1</v>
      </c>
      <c r="L1012" s="9" t="s">
        <v>153</v>
      </c>
      <c r="M1012" s="30" t="s">
        <v>84</v>
      </c>
      <c r="N1012" s="30" t="s">
        <v>152</v>
      </c>
      <c r="O1012" s="24">
        <v>2</v>
      </c>
      <c r="P1012" s="24">
        <v>124</v>
      </c>
      <c r="Q1012" s="24">
        <v>326</v>
      </c>
      <c r="R1012" s="24">
        <v>0</v>
      </c>
      <c r="S1012" s="24">
        <v>0</v>
      </c>
      <c r="T1012" s="24">
        <v>452</v>
      </c>
    </row>
    <row r="1013" spans="1:20">
      <c r="A1013" s="9" t="s">
        <v>732</v>
      </c>
      <c r="B1013" s="30" t="s">
        <v>749</v>
      </c>
      <c r="C1013" s="30" t="str">
        <f>CONCATENATE(VOL_VOLUMEN_SUMINISTROS[[#This Row],[Proyecto]],VOL_VOLUMEN_SUMINISTROS[[#This Row],[J]],VOL_VOLUMEN_SUMINISTROS[[#This Row],[FIN DE SEMANA]])</f>
        <v>1052-1MNO</v>
      </c>
      <c r="D1013" s="365" t="str">
        <f>CONCATENATE(VOL_VOLUMEN_SUMINISTROS[[#This Row],[Grupo]],VOL_VOLUMEN_SUMINISTROS[[#This Row],[Proyecto]],VOL_VOLUMEN_SUMINISTROS[[#This Row],[FIN DE SEMANA]])</f>
        <v>61052-1NO</v>
      </c>
      <c r="E1013" s="30" t="s">
        <v>147</v>
      </c>
      <c r="F1013" s="30" t="s">
        <v>734</v>
      </c>
      <c r="G1013" s="365">
        <v>6</v>
      </c>
      <c r="H1013" s="30">
        <v>19</v>
      </c>
      <c r="I1013" s="9" t="s">
        <v>250</v>
      </c>
      <c r="J1013" s="9" t="s">
        <v>760</v>
      </c>
      <c r="K1013" s="30">
        <v>1</v>
      </c>
      <c r="L1013" s="9" t="s">
        <v>153</v>
      </c>
      <c r="M1013" s="30" t="s">
        <v>84</v>
      </c>
      <c r="N1013" s="30" t="s">
        <v>152</v>
      </c>
      <c r="O1013" s="24">
        <v>2</v>
      </c>
      <c r="P1013" s="24">
        <v>46</v>
      </c>
      <c r="Q1013" s="24">
        <v>90</v>
      </c>
      <c r="R1013" s="24">
        <v>0</v>
      </c>
      <c r="S1013" s="24">
        <v>0</v>
      </c>
      <c r="T1013" s="24">
        <v>138</v>
      </c>
    </row>
    <row r="1014" spans="1:20">
      <c r="A1014" s="9" t="s">
        <v>732</v>
      </c>
      <c r="B1014" s="30" t="s">
        <v>749</v>
      </c>
      <c r="C1014" s="30" t="str">
        <f>CONCATENATE(VOL_VOLUMEN_SUMINISTROS[[#This Row],[Proyecto]],VOL_VOLUMEN_SUMINISTROS[[#This Row],[J]],VOL_VOLUMEN_SUMINISTROS[[#This Row],[FIN DE SEMANA]])</f>
        <v>1052-1MNO</v>
      </c>
      <c r="D1014" s="365" t="str">
        <f>CONCATENATE(VOL_VOLUMEN_SUMINISTROS[[#This Row],[Grupo]],VOL_VOLUMEN_SUMINISTROS[[#This Row],[Proyecto]],VOL_VOLUMEN_SUMINISTROS[[#This Row],[FIN DE SEMANA]])</f>
        <v>61052-1NO</v>
      </c>
      <c r="E1014" s="30" t="s">
        <v>147</v>
      </c>
      <c r="F1014" s="30" t="s">
        <v>734</v>
      </c>
      <c r="G1014" s="365">
        <v>6</v>
      </c>
      <c r="H1014" s="30">
        <v>19</v>
      </c>
      <c r="I1014" s="9" t="s">
        <v>250</v>
      </c>
      <c r="J1014" s="9" t="s">
        <v>761</v>
      </c>
      <c r="K1014" s="30">
        <v>1</v>
      </c>
      <c r="L1014" s="9" t="s">
        <v>153</v>
      </c>
      <c r="M1014" s="30" t="s">
        <v>84</v>
      </c>
      <c r="N1014" s="30" t="s">
        <v>152</v>
      </c>
      <c r="O1014" s="24">
        <v>0</v>
      </c>
      <c r="P1014" s="24">
        <v>183</v>
      </c>
      <c r="Q1014" s="24">
        <v>353</v>
      </c>
      <c r="R1014" s="24">
        <v>0</v>
      </c>
      <c r="S1014" s="24">
        <v>0</v>
      </c>
      <c r="T1014" s="24">
        <v>536</v>
      </c>
    </row>
    <row r="1015" spans="1:20">
      <c r="A1015" s="9" t="s">
        <v>732</v>
      </c>
      <c r="B1015" s="30" t="s">
        <v>762</v>
      </c>
      <c r="C1015" s="30" t="str">
        <f>CONCATENATE(VOL_VOLUMEN_SUMINISTROS[[#This Row],[Proyecto]],VOL_VOLUMEN_SUMINISTROS[[#This Row],[J]],VOL_VOLUMEN_SUMINISTROS[[#This Row],[FIN DE SEMANA]])</f>
        <v>1052-1MNO</v>
      </c>
      <c r="D1015" s="365" t="str">
        <f>CONCATENATE(VOL_VOLUMEN_SUMINISTROS[[#This Row],[Grupo]],VOL_VOLUMEN_SUMINISTROS[[#This Row],[Proyecto]],VOL_VOLUMEN_SUMINISTROS[[#This Row],[FIN DE SEMANA]])</f>
        <v>301052-1NO</v>
      </c>
      <c r="E1015" s="30" t="s">
        <v>147</v>
      </c>
      <c r="F1015" s="30" t="s">
        <v>734</v>
      </c>
      <c r="G1015" s="365">
        <v>30</v>
      </c>
      <c r="H1015" s="30">
        <v>6</v>
      </c>
      <c r="I1015" s="9" t="s">
        <v>243</v>
      </c>
      <c r="J1015" s="9" t="s">
        <v>265</v>
      </c>
      <c r="K1015" s="30">
        <v>1</v>
      </c>
      <c r="L1015" s="9" t="s">
        <v>153</v>
      </c>
      <c r="M1015" s="30" t="s">
        <v>84</v>
      </c>
      <c r="N1015" s="30" t="s">
        <v>152</v>
      </c>
      <c r="O1015" s="24">
        <v>294</v>
      </c>
      <c r="P1015" s="24">
        <v>633</v>
      </c>
      <c r="Q1015" s="24">
        <v>720</v>
      </c>
      <c r="R1015" s="24">
        <v>0</v>
      </c>
      <c r="S1015" s="24">
        <v>0</v>
      </c>
      <c r="T1015" s="24">
        <v>1647</v>
      </c>
    </row>
    <row r="1016" spans="1:20">
      <c r="A1016" s="9" t="s">
        <v>732</v>
      </c>
      <c r="B1016" s="30" t="s">
        <v>762</v>
      </c>
      <c r="C1016" s="30" t="str">
        <f>CONCATENATE(VOL_VOLUMEN_SUMINISTROS[[#This Row],[Proyecto]],VOL_VOLUMEN_SUMINISTROS[[#This Row],[J]],VOL_VOLUMEN_SUMINISTROS[[#This Row],[FIN DE SEMANA]])</f>
        <v>1052-1TNO</v>
      </c>
      <c r="D1016" s="365" t="str">
        <f>CONCATENATE(VOL_VOLUMEN_SUMINISTROS[[#This Row],[Grupo]],VOL_VOLUMEN_SUMINISTROS[[#This Row],[Proyecto]],VOL_VOLUMEN_SUMINISTROS[[#This Row],[FIN DE SEMANA]])</f>
        <v>301052-1NO</v>
      </c>
      <c r="E1016" s="30" t="s">
        <v>147</v>
      </c>
      <c r="F1016" s="30" t="s">
        <v>734</v>
      </c>
      <c r="G1016" s="365">
        <v>30</v>
      </c>
      <c r="H1016" s="30">
        <v>6</v>
      </c>
      <c r="I1016" s="9" t="s">
        <v>243</v>
      </c>
      <c r="J1016" s="9" t="s">
        <v>265</v>
      </c>
      <c r="K1016" s="30">
        <v>1</v>
      </c>
      <c r="L1016" s="9" t="s">
        <v>153</v>
      </c>
      <c r="M1016" s="30" t="s">
        <v>84</v>
      </c>
      <c r="N1016" s="30" t="s">
        <v>155</v>
      </c>
      <c r="O1016" s="24">
        <v>466</v>
      </c>
      <c r="P1016" s="24">
        <v>579</v>
      </c>
      <c r="Q1016" s="24">
        <v>612</v>
      </c>
      <c r="R1016" s="24">
        <v>0</v>
      </c>
      <c r="S1016" s="24">
        <v>0</v>
      </c>
      <c r="T1016" s="24">
        <v>1657</v>
      </c>
    </row>
    <row r="1017" spans="1:20">
      <c r="A1017" s="9" t="s">
        <v>732</v>
      </c>
      <c r="B1017" s="30" t="s">
        <v>763</v>
      </c>
      <c r="C1017" s="30" t="str">
        <f>CONCATENATE(VOL_VOLUMEN_SUMINISTROS[[#This Row],[Proyecto]],VOL_VOLUMEN_SUMINISTROS[[#This Row],[J]],VOL_VOLUMEN_SUMINISTROS[[#This Row],[FIN DE SEMANA]])</f>
        <v>1052-1MNO</v>
      </c>
      <c r="D1017" s="365" t="str">
        <f>CONCATENATE(VOL_VOLUMEN_SUMINISTROS[[#This Row],[Grupo]],VOL_VOLUMEN_SUMINISTROS[[#This Row],[Proyecto]],VOL_VOLUMEN_SUMINISTROS[[#This Row],[FIN DE SEMANA]])</f>
        <v>61052-1NO</v>
      </c>
      <c r="E1017" s="30" t="s">
        <v>147</v>
      </c>
      <c r="F1017" s="30" t="s">
        <v>734</v>
      </c>
      <c r="G1017" s="365">
        <v>6</v>
      </c>
      <c r="H1017" s="30">
        <v>5</v>
      </c>
      <c r="I1017" s="9" t="s">
        <v>764</v>
      </c>
      <c r="J1017" s="9" t="s">
        <v>765</v>
      </c>
      <c r="K1017" s="30">
        <v>1</v>
      </c>
      <c r="L1017" s="9" t="s">
        <v>766</v>
      </c>
      <c r="M1017" s="30" t="s">
        <v>84</v>
      </c>
      <c r="N1017" s="30" t="s">
        <v>152</v>
      </c>
      <c r="O1017" s="24">
        <v>29</v>
      </c>
      <c r="P1017" s="24">
        <v>219</v>
      </c>
      <c r="Q1017" s="24">
        <v>556</v>
      </c>
      <c r="R1017" s="24">
        <v>0</v>
      </c>
      <c r="S1017" s="24">
        <v>0</v>
      </c>
      <c r="T1017" s="24">
        <v>804</v>
      </c>
    </row>
    <row r="1018" spans="1:20">
      <c r="A1018" s="9" t="s">
        <v>732</v>
      </c>
      <c r="B1018" s="30" t="s">
        <v>763</v>
      </c>
      <c r="C1018" s="30" t="str">
        <f>CONCATENATE(VOL_VOLUMEN_SUMINISTROS[[#This Row],[Proyecto]],VOL_VOLUMEN_SUMINISTROS[[#This Row],[J]],VOL_VOLUMEN_SUMINISTROS[[#This Row],[FIN DE SEMANA]])</f>
        <v>1052-1TNO</v>
      </c>
      <c r="D1018" s="365" t="str">
        <f>CONCATENATE(VOL_VOLUMEN_SUMINISTROS[[#This Row],[Grupo]],VOL_VOLUMEN_SUMINISTROS[[#This Row],[Proyecto]],VOL_VOLUMEN_SUMINISTROS[[#This Row],[FIN DE SEMANA]])</f>
        <v>181052-1NO</v>
      </c>
      <c r="E1018" s="30" t="s">
        <v>147</v>
      </c>
      <c r="F1018" s="30" t="s">
        <v>734</v>
      </c>
      <c r="G1018" s="365">
        <v>18</v>
      </c>
      <c r="H1018" s="30">
        <v>5</v>
      </c>
      <c r="I1018" s="9" t="s">
        <v>764</v>
      </c>
      <c r="J1018" s="9" t="s">
        <v>765</v>
      </c>
      <c r="K1018" s="30">
        <v>1</v>
      </c>
      <c r="L1018" s="9" t="s">
        <v>766</v>
      </c>
      <c r="M1018" s="30" t="s">
        <v>84</v>
      </c>
      <c r="N1018" s="30" t="s">
        <v>155</v>
      </c>
      <c r="O1018" s="24">
        <v>412</v>
      </c>
      <c r="P1018" s="24">
        <v>396</v>
      </c>
      <c r="Q1018" s="24">
        <v>82</v>
      </c>
      <c r="R1018" s="24">
        <v>0</v>
      </c>
      <c r="S1018" s="24">
        <v>0</v>
      </c>
      <c r="T1018" s="24">
        <v>890</v>
      </c>
    </row>
    <row r="1019" spans="1:20">
      <c r="A1019" s="9" t="s">
        <v>732</v>
      </c>
      <c r="B1019" s="30" t="s">
        <v>767</v>
      </c>
      <c r="C1019" s="30" t="str">
        <f>CONCATENATE(VOL_VOLUMEN_SUMINISTROS[[#This Row],[Proyecto]],VOL_VOLUMEN_SUMINISTROS[[#This Row],[J]],VOL_VOLUMEN_SUMINISTROS[[#This Row],[FIN DE SEMANA]])</f>
        <v>1052-1TNO</v>
      </c>
      <c r="D1019" s="365" t="str">
        <f>CONCATENATE(VOL_VOLUMEN_SUMINISTROS[[#This Row],[Grupo]],VOL_VOLUMEN_SUMINISTROS[[#This Row],[Proyecto]],VOL_VOLUMEN_SUMINISTROS[[#This Row],[FIN DE SEMANA]])</f>
        <v>81052-1NO</v>
      </c>
      <c r="E1019" s="30" t="s">
        <v>147</v>
      </c>
      <c r="F1019" s="30" t="s">
        <v>734</v>
      </c>
      <c r="G1019" s="365">
        <v>8</v>
      </c>
      <c r="H1019" s="30">
        <v>12</v>
      </c>
      <c r="I1019" s="9" t="s">
        <v>768</v>
      </c>
      <c r="J1019" s="9" t="s">
        <v>769</v>
      </c>
      <c r="K1019" s="30">
        <v>2</v>
      </c>
      <c r="L1019" s="9" t="s">
        <v>770</v>
      </c>
      <c r="M1019" s="30" t="s">
        <v>84</v>
      </c>
      <c r="N1019" s="30" t="s">
        <v>155</v>
      </c>
      <c r="O1019" s="24">
        <v>266</v>
      </c>
      <c r="P1019" s="24">
        <v>334</v>
      </c>
      <c r="Q1019" s="24">
        <v>67</v>
      </c>
      <c r="R1019" s="24">
        <v>0</v>
      </c>
      <c r="S1019" s="24">
        <v>0</v>
      </c>
      <c r="T1019" s="24">
        <v>667</v>
      </c>
    </row>
    <row r="1020" spans="1:20">
      <c r="A1020" s="9" t="s">
        <v>732</v>
      </c>
      <c r="B1020" s="30" t="s">
        <v>771</v>
      </c>
      <c r="C1020" s="30" t="str">
        <f>CONCATENATE(VOL_VOLUMEN_SUMINISTROS[[#This Row],[Proyecto]],VOL_VOLUMEN_SUMINISTROS[[#This Row],[J]],VOL_VOLUMEN_SUMINISTROS[[#This Row],[FIN DE SEMANA]])</f>
        <v>1052-1MNO</v>
      </c>
      <c r="D1020" s="365" t="str">
        <f>CONCATENATE(VOL_VOLUMEN_SUMINISTROS[[#This Row],[Grupo]],VOL_VOLUMEN_SUMINISTROS[[#This Row],[Proyecto]],VOL_VOLUMEN_SUMINISTROS[[#This Row],[FIN DE SEMANA]])</f>
        <v>181052-1NO</v>
      </c>
      <c r="E1020" s="30" t="s">
        <v>147</v>
      </c>
      <c r="F1020" s="30" t="s">
        <v>734</v>
      </c>
      <c r="G1020" s="365">
        <v>18</v>
      </c>
      <c r="H1020" s="30">
        <v>5</v>
      </c>
      <c r="I1020" s="9" t="s">
        <v>764</v>
      </c>
      <c r="J1020" s="9" t="s">
        <v>772</v>
      </c>
      <c r="K1020" s="30">
        <v>1</v>
      </c>
      <c r="L1020" s="9" t="s">
        <v>773</v>
      </c>
      <c r="M1020" s="30" t="s">
        <v>84</v>
      </c>
      <c r="N1020" s="30" t="s">
        <v>152</v>
      </c>
      <c r="O1020" s="24">
        <v>420</v>
      </c>
      <c r="P1020" s="24">
        <v>340</v>
      </c>
      <c r="Q1020" s="24">
        <v>216</v>
      </c>
      <c r="R1020" s="24">
        <v>0</v>
      </c>
      <c r="S1020" s="24">
        <v>0</v>
      </c>
      <c r="T1020" s="24">
        <v>976</v>
      </c>
    </row>
    <row r="1021" spans="1:20">
      <c r="A1021" s="9" t="s">
        <v>732</v>
      </c>
      <c r="B1021" s="30" t="s">
        <v>771</v>
      </c>
      <c r="C1021" s="30" t="str">
        <f>CONCATENATE(VOL_VOLUMEN_SUMINISTROS[[#This Row],[Proyecto]],VOL_VOLUMEN_SUMINISTROS[[#This Row],[J]],VOL_VOLUMEN_SUMINISTROS[[#This Row],[FIN DE SEMANA]])</f>
        <v>1052-1TNO</v>
      </c>
      <c r="D1021" s="365" t="str">
        <f>CONCATENATE(VOL_VOLUMEN_SUMINISTROS[[#This Row],[Grupo]],VOL_VOLUMEN_SUMINISTROS[[#This Row],[Proyecto]],VOL_VOLUMEN_SUMINISTROS[[#This Row],[FIN DE SEMANA]])</f>
        <v>181052-1NO</v>
      </c>
      <c r="E1021" s="30" t="s">
        <v>147</v>
      </c>
      <c r="F1021" s="30" t="s">
        <v>734</v>
      </c>
      <c r="G1021" s="365">
        <v>18</v>
      </c>
      <c r="H1021" s="30">
        <v>5</v>
      </c>
      <c r="I1021" s="9" t="s">
        <v>764</v>
      </c>
      <c r="J1021" s="9" t="s">
        <v>772</v>
      </c>
      <c r="K1021" s="30">
        <v>1</v>
      </c>
      <c r="L1021" s="9" t="s">
        <v>773</v>
      </c>
      <c r="M1021" s="30" t="s">
        <v>84</v>
      </c>
      <c r="N1021" s="30" t="s">
        <v>155</v>
      </c>
      <c r="O1021" s="24">
        <v>306</v>
      </c>
      <c r="P1021" s="24">
        <v>273</v>
      </c>
      <c r="Q1021" s="24">
        <v>213</v>
      </c>
      <c r="R1021" s="24">
        <v>0</v>
      </c>
      <c r="S1021" s="24">
        <v>0</v>
      </c>
      <c r="T1021" s="24">
        <v>792</v>
      </c>
    </row>
    <row r="1022" spans="1:20">
      <c r="A1022" s="9" t="s">
        <v>732</v>
      </c>
      <c r="B1022" s="30" t="s">
        <v>771</v>
      </c>
      <c r="C1022" s="30" t="str">
        <f>CONCATENATE(VOL_VOLUMEN_SUMINISTROS[[#This Row],[Proyecto]],VOL_VOLUMEN_SUMINISTROS[[#This Row],[J]],VOL_VOLUMEN_SUMINISTROS[[#This Row],[FIN DE SEMANA]])</f>
        <v>1052-1MNO</v>
      </c>
      <c r="D1022" s="365" t="str">
        <f>CONCATENATE(VOL_VOLUMEN_SUMINISTROS[[#This Row],[Grupo]],VOL_VOLUMEN_SUMINISTROS[[#This Row],[Proyecto]],VOL_VOLUMEN_SUMINISTROS[[#This Row],[FIN DE SEMANA]])</f>
        <v>151052-1NO</v>
      </c>
      <c r="E1022" s="30" t="s">
        <v>147</v>
      </c>
      <c r="F1022" s="30" t="s">
        <v>734</v>
      </c>
      <c r="G1022" s="365">
        <v>15</v>
      </c>
      <c r="H1022" s="30">
        <v>5</v>
      </c>
      <c r="I1022" s="9" t="s">
        <v>764</v>
      </c>
      <c r="J1022" s="9" t="s">
        <v>774</v>
      </c>
      <c r="K1022" s="30">
        <v>1</v>
      </c>
      <c r="L1022" s="9" t="s">
        <v>775</v>
      </c>
      <c r="M1022" s="30" t="s">
        <v>84</v>
      </c>
      <c r="N1022" s="30" t="s">
        <v>152</v>
      </c>
      <c r="O1022" s="24">
        <v>183</v>
      </c>
      <c r="P1022" s="24">
        <v>181</v>
      </c>
      <c r="Q1022" s="24">
        <v>233</v>
      </c>
      <c r="R1022" s="24">
        <v>0</v>
      </c>
      <c r="S1022" s="24">
        <v>0</v>
      </c>
      <c r="T1022" s="24">
        <v>597</v>
      </c>
    </row>
    <row r="1023" spans="1:20">
      <c r="A1023" s="9" t="s">
        <v>732</v>
      </c>
      <c r="B1023" s="30" t="s">
        <v>771</v>
      </c>
      <c r="C1023" s="30" t="str">
        <f>CONCATENATE(VOL_VOLUMEN_SUMINISTROS[[#This Row],[Proyecto]],VOL_VOLUMEN_SUMINISTROS[[#This Row],[J]],VOL_VOLUMEN_SUMINISTROS[[#This Row],[FIN DE SEMANA]])</f>
        <v>1052-1TNO</v>
      </c>
      <c r="D1023" s="365" t="str">
        <f>CONCATENATE(VOL_VOLUMEN_SUMINISTROS[[#This Row],[Grupo]],VOL_VOLUMEN_SUMINISTROS[[#This Row],[Proyecto]],VOL_VOLUMEN_SUMINISTROS[[#This Row],[FIN DE SEMANA]])</f>
        <v>151052-1NO</v>
      </c>
      <c r="E1023" s="30" t="s">
        <v>147</v>
      </c>
      <c r="F1023" s="30" t="s">
        <v>734</v>
      </c>
      <c r="G1023" s="365">
        <v>15</v>
      </c>
      <c r="H1023" s="30">
        <v>5</v>
      </c>
      <c r="I1023" s="9" t="s">
        <v>764</v>
      </c>
      <c r="J1023" s="9" t="s">
        <v>774</v>
      </c>
      <c r="K1023" s="30">
        <v>1</v>
      </c>
      <c r="L1023" s="9" t="s">
        <v>775</v>
      </c>
      <c r="M1023" s="30" t="s">
        <v>84</v>
      </c>
      <c r="N1023" s="30" t="s">
        <v>155</v>
      </c>
      <c r="O1023" s="24">
        <v>204</v>
      </c>
      <c r="P1023" s="24">
        <v>227</v>
      </c>
      <c r="Q1023" s="24">
        <v>179</v>
      </c>
      <c r="R1023" s="24">
        <v>0</v>
      </c>
      <c r="S1023" s="24">
        <v>0</v>
      </c>
      <c r="T1023" s="24">
        <v>610</v>
      </c>
    </row>
    <row r="1024" spans="1:20">
      <c r="A1024" s="9" t="s">
        <v>776</v>
      </c>
      <c r="B1024" s="30" t="s">
        <v>777</v>
      </c>
      <c r="C1024" s="30" t="str">
        <f>CONCATENATE(VOL_VOLUMEN_SUMINISTROS[[#This Row],[Proyecto]],VOL_VOLUMEN_SUMINISTROS[[#This Row],[J]],VOL_VOLUMEN_SUMINISTROS[[#This Row],[FIN DE SEMANA]])</f>
        <v>1052-1MNO</v>
      </c>
      <c r="D1024" s="365" t="str">
        <f>CONCATENATE(VOL_VOLUMEN_SUMINISTROS[[#This Row],[Grupo]],VOL_VOLUMEN_SUMINISTROS[[#This Row],[Proyecto]],VOL_VOLUMEN_SUMINISTROS[[#This Row],[FIN DE SEMANA]])</f>
        <v>291052-1NO</v>
      </c>
      <c r="E1024" s="30" t="s">
        <v>147</v>
      </c>
      <c r="F1024" s="30" t="s">
        <v>734</v>
      </c>
      <c r="G1024" s="365">
        <v>29</v>
      </c>
      <c r="H1024" s="30">
        <v>7</v>
      </c>
      <c r="I1024" s="9" t="s">
        <v>221</v>
      </c>
      <c r="J1024" s="9" t="s">
        <v>778</v>
      </c>
      <c r="K1024" s="30">
        <v>1</v>
      </c>
      <c r="L1024" s="9" t="s">
        <v>153</v>
      </c>
      <c r="M1024" s="30" t="s">
        <v>84</v>
      </c>
      <c r="N1024" s="30" t="s">
        <v>152</v>
      </c>
      <c r="O1024" s="24">
        <v>28</v>
      </c>
      <c r="P1024" s="24">
        <v>86</v>
      </c>
      <c r="Q1024" s="24">
        <v>25</v>
      </c>
      <c r="R1024" s="24">
        <v>0</v>
      </c>
      <c r="S1024" s="24">
        <v>0</v>
      </c>
      <c r="T1024" s="24">
        <v>139</v>
      </c>
    </row>
    <row r="1025" spans="1:20">
      <c r="A1025" s="9" t="s">
        <v>776</v>
      </c>
      <c r="B1025" s="30" t="s">
        <v>777</v>
      </c>
      <c r="C1025" s="30" t="str">
        <f>CONCATENATE(VOL_VOLUMEN_SUMINISTROS[[#This Row],[Proyecto]],VOL_VOLUMEN_SUMINISTROS[[#This Row],[J]],VOL_VOLUMEN_SUMINISTROS[[#This Row],[FIN DE SEMANA]])</f>
        <v>1052-1MNO</v>
      </c>
      <c r="D1025" s="365" t="str">
        <f>CONCATENATE(VOL_VOLUMEN_SUMINISTROS[[#This Row],[Grupo]],VOL_VOLUMEN_SUMINISTROS[[#This Row],[Proyecto]],VOL_VOLUMEN_SUMINISTROS[[#This Row],[FIN DE SEMANA]])</f>
        <v>291052-1NO</v>
      </c>
      <c r="E1025" s="30" t="s">
        <v>147</v>
      </c>
      <c r="F1025" s="30" t="s">
        <v>734</v>
      </c>
      <c r="G1025" s="365">
        <v>29</v>
      </c>
      <c r="H1025" s="30">
        <v>7</v>
      </c>
      <c r="I1025" s="9" t="s">
        <v>221</v>
      </c>
      <c r="J1025" s="9" t="s">
        <v>779</v>
      </c>
      <c r="K1025" s="30">
        <v>1</v>
      </c>
      <c r="L1025" s="9" t="s">
        <v>153</v>
      </c>
      <c r="M1025" s="30" t="s">
        <v>84</v>
      </c>
      <c r="N1025" s="30" t="s">
        <v>152</v>
      </c>
      <c r="O1025" s="24">
        <v>12</v>
      </c>
      <c r="P1025" s="24">
        <v>91</v>
      </c>
      <c r="Q1025" s="24">
        <v>81</v>
      </c>
      <c r="R1025" s="24">
        <v>0</v>
      </c>
      <c r="S1025" s="24">
        <v>0</v>
      </c>
      <c r="T1025" s="24">
        <v>184</v>
      </c>
    </row>
    <row r="1026" spans="1:20">
      <c r="A1026" s="9" t="s">
        <v>776</v>
      </c>
      <c r="B1026" s="30" t="s">
        <v>777</v>
      </c>
      <c r="C1026" s="30" t="str">
        <f>CONCATENATE(VOL_VOLUMEN_SUMINISTROS[[#This Row],[Proyecto]],VOL_VOLUMEN_SUMINISTROS[[#This Row],[J]],VOL_VOLUMEN_SUMINISTROS[[#This Row],[FIN DE SEMANA]])</f>
        <v>1052-1TNO</v>
      </c>
      <c r="D1026" s="365" t="str">
        <f>CONCATENATE(VOL_VOLUMEN_SUMINISTROS[[#This Row],[Grupo]],VOL_VOLUMEN_SUMINISTROS[[#This Row],[Proyecto]],VOL_VOLUMEN_SUMINISTROS[[#This Row],[FIN DE SEMANA]])</f>
        <v>291052-1NO</v>
      </c>
      <c r="E1026" s="30" t="s">
        <v>147</v>
      </c>
      <c r="F1026" s="30" t="s">
        <v>734</v>
      </c>
      <c r="G1026" s="365">
        <v>29</v>
      </c>
      <c r="H1026" s="30">
        <v>7</v>
      </c>
      <c r="I1026" s="9" t="s">
        <v>221</v>
      </c>
      <c r="J1026" s="9" t="s">
        <v>779</v>
      </c>
      <c r="K1026" s="30">
        <v>1</v>
      </c>
      <c r="L1026" s="9" t="s">
        <v>153</v>
      </c>
      <c r="M1026" s="30" t="s">
        <v>84</v>
      </c>
      <c r="N1026" s="30" t="s">
        <v>155</v>
      </c>
      <c r="O1026" s="24">
        <v>0</v>
      </c>
      <c r="P1026" s="24">
        <v>39</v>
      </c>
      <c r="Q1026" s="24">
        <v>13</v>
      </c>
      <c r="R1026" s="24">
        <v>0</v>
      </c>
      <c r="S1026" s="24">
        <v>0</v>
      </c>
      <c r="T1026" s="24">
        <v>52</v>
      </c>
    </row>
    <row r="1027" spans="1:20">
      <c r="A1027" s="9" t="s">
        <v>776</v>
      </c>
      <c r="B1027" s="30" t="s">
        <v>777</v>
      </c>
      <c r="C1027" s="30" t="str">
        <f>CONCATENATE(VOL_VOLUMEN_SUMINISTROS[[#This Row],[Proyecto]],VOL_VOLUMEN_SUMINISTROS[[#This Row],[J]],VOL_VOLUMEN_SUMINISTROS[[#This Row],[FIN DE SEMANA]])</f>
        <v>1052-1MNO</v>
      </c>
      <c r="D1027" s="365" t="str">
        <f>CONCATENATE(VOL_VOLUMEN_SUMINISTROS[[#This Row],[Grupo]],VOL_VOLUMEN_SUMINISTROS[[#This Row],[Proyecto]],VOL_VOLUMEN_SUMINISTROS[[#This Row],[FIN DE SEMANA]])</f>
        <v>41052-1NO</v>
      </c>
      <c r="E1027" s="30" t="s">
        <v>147</v>
      </c>
      <c r="F1027" s="30" t="s">
        <v>734</v>
      </c>
      <c r="G1027" s="365">
        <v>4</v>
      </c>
      <c r="H1027" s="30">
        <v>8</v>
      </c>
      <c r="I1027" s="9" t="s">
        <v>149</v>
      </c>
      <c r="J1027" s="9" t="s">
        <v>780</v>
      </c>
      <c r="K1027" s="30">
        <v>1</v>
      </c>
      <c r="L1027" s="9" t="s">
        <v>153</v>
      </c>
      <c r="M1027" s="30" t="s">
        <v>84</v>
      </c>
      <c r="N1027" s="30" t="s">
        <v>152</v>
      </c>
      <c r="O1027" s="24">
        <v>12</v>
      </c>
      <c r="P1027" s="24">
        <v>51</v>
      </c>
      <c r="Q1027" s="24">
        <v>111</v>
      </c>
      <c r="R1027" s="24">
        <v>0</v>
      </c>
      <c r="S1027" s="24">
        <v>0</v>
      </c>
      <c r="T1027" s="24">
        <v>174</v>
      </c>
    </row>
    <row r="1028" spans="1:20">
      <c r="A1028" s="9" t="s">
        <v>776</v>
      </c>
      <c r="B1028" s="30" t="s">
        <v>777</v>
      </c>
      <c r="C1028" s="30" t="str">
        <f>CONCATENATE(VOL_VOLUMEN_SUMINISTROS[[#This Row],[Proyecto]],VOL_VOLUMEN_SUMINISTROS[[#This Row],[J]],VOL_VOLUMEN_SUMINISTROS[[#This Row],[FIN DE SEMANA]])</f>
        <v>1052-1MNO</v>
      </c>
      <c r="D1028" s="365" t="str">
        <f>CONCATENATE(VOL_VOLUMEN_SUMINISTROS[[#This Row],[Grupo]],VOL_VOLUMEN_SUMINISTROS[[#This Row],[Proyecto]],VOL_VOLUMEN_SUMINISTROS[[#This Row],[FIN DE SEMANA]])</f>
        <v>41052-1NO</v>
      </c>
      <c r="E1028" s="30" t="s">
        <v>147</v>
      </c>
      <c r="F1028" s="30" t="s">
        <v>734</v>
      </c>
      <c r="G1028" s="365">
        <v>4</v>
      </c>
      <c r="H1028" s="30">
        <v>8</v>
      </c>
      <c r="I1028" s="9" t="s">
        <v>149</v>
      </c>
      <c r="J1028" s="9" t="s">
        <v>781</v>
      </c>
      <c r="K1028" s="30">
        <v>1</v>
      </c>
      <c r="L1028" s="9" t="s">
        <v>153</v>
      </c>
      <c r="M1028" s="30" t="s">
        <v>84</v>
      </c>
      <c r="N1028" s="30" t="s">
        <v>152</v>
      </c>
      <c r="O1028" s="24">
        <v>0</v>
      </c>
      <c r="P1028" s="24">
        <v>69</v>
      </c>
      <c r="Q1028" s="24">
        <v>291</v>
      </c>
      <c r="R1028" s="24">
        <v>0</v>
      </c>
      <c r="S1028" s="24">
        <v>0</v>
      </c>
      <c r="T1028" s="24">
        <v>360</v>
      </c>
    </row>
    <row r="1029" spans="1:20">
      <c r="A1029" s="9" t="s">
        <v>776</v>
      </c>
      <c r="B1029" s="30" t="s">
        <v>777</v>
      </c>
      <c r="C1029" s="30" t="str">
        <f>CONCATENATE(VOL_VOLUMEN_SUMINISTROS[[#This Row],[Proyecto]],VOL_VOLUMEN_SUMINISTROS[[#This Row],[J]],VOL_VOLUMEN_SUMINISTROS[[#This Row],[FIN DE SEMANA]])</f>
        <v>1052-1MNO</v>
      </c>
      <c r="D1029" s="365" t="str">
        <f>CONCATENATE(VOL_VOLUMEN_SUMINISTROS[[#This Row],[Grupo]],VOL_VOLUMEN_SUMINISTROS[[#This Row],[Proyecto]],VOL_VOLUMEN_SUMINISTROS[[#This Row],[FIN DE SEMANA]])</f>
        <v>41052-1NO</v>
      </c>
      <c r="E1029" s="30" t="s">
        <v>147</v>
      </c>
      <c r="F1029" s="30" t="s">
        <v>734</v>
      </c>
      <c r="G1029" s="365">
        <v>4</v>
      </c>
      <c r="H1029" s="30">
        <v>8</v>
      </c>
      <c r="I1029" s="9" t="s">
        <v>149</v>
      </c>
      <c r="J1029" s="9" t="s">
        <v>782</v>
      </c>
      <c r="K1029" s="30">
        <v>1</v>
      </c>
      <c r="L1029" s="9" t="s">
        <v>153</v>
      </c>
      <c r="M1029" s="30" t="s">
        <v>84</v>
      </c>
      <c r="N1029" s="30" t="s">
        <v>152</v>
      </c>
      <c r="O1029" s="24">
        <v>17</v>
      </c>
      <c r="P1029" s="24">
        <v>62</v>
      </c>
      <c r="Q1029" s="24">
        <v>147</v>
      </c>
      <c r="R1029" s="24">
        <v>0</v>
      </c>
      <c r="S1029" s="24">
        <v>0</v>
      </c>
      <c r="T1029" s="24">
        <v>226</v>
      </c>
    </row>
    <row r="1030" spans="1:20">
      <c r="A1030" s="9" t="s">
        <v>776</v>
      </c>
      <c r="B1030" s="30" t="s">
        <v>777</v>
      </c>
      <c r="C1030" s="30" t="str">
        <f>CONCATENATE(VOL_VOLUMEN_SUMINISTROS[[#This Row],[Proyecto]],VOL_VOLUMEN_SUMINISTROS[[#This Row],[J]],VOL_VOLUMEN_SUMINISTROS[[#This Row],[FIN DE SEMANA]])</f>
        <v>1052-1MNO</v>
      </c>
      <c r="D1030" s="365" t="str">
        <f>CONCATENATE(VOL_VOLUMEN_SUMINISTROS[[#This Row],[Grupo]],VOL_VOLUMEN_SUMINISTROS[[#This Row],[Proyecto]],VOL_VOLUMEN_SUMINISTROS[[#This Row],[FIN DE SEMANA]])</f>
        <v>41052-1NO</v>
      </c>
      <c r="E1030" s="30" t="s">
        <v>147</v>
      </c>
      <c r="F1030" s="30" t="s">
        <v>734</v>
      </c>
      <c r="G1030" s="365">
        <v>4</v>
      </c>
      <c r="H1030" s="30">
        <v>8</v>
      </c>
      <c r="I1030" s="9" t="s">
        <v>149</v>
      </c>
      <c r="J1030" s="9" t="s">
        <v>783</v>
      </c>
      <c r="K1030" s="30">
        <v>1</v>
      </c>
      <c r="L1030" s="9" t="s">
        <v>153</v>
      </c>
      <c r="M1030" s="30" t="s">
        <v>84</v>
      </c>
      <c r="N1030" s="30" t="s">
        <v>152</v>
      </c>
      <c r="O1030" s="24">
        <v>0</v>
      </c>
      <c r="P1030" s="24">
        <v>51</v>
      </c>
      <c r="Q1030" s="24">
        <v>154</v>
      </c>
      <c r="R1030" s="24">
        <v>0</v>
      </c>
      <c r="S1030" s="24">
        <v>0</v>
      </c>
      <c r="T1030" s="24">
        <v>205</v>
      </c>
    </row>
    <row r="1031" spans="1:20">
      <c r="A1031" s="9" t="s">
        <v>776</v>
      </c>
      <c r="B1031" s="30" t="s">
        <v>777</v>
      </c>
      <c r="C1031" s="30" t="str">
        <f>CONCATENATE(VOL_VOLUMEN_SUMINISTROS[[#This Row],[Proyecto]],VOL_VOLUMEN_SUMINISTROS[[#This Row],[J]],VOL_VOLUMEN_SUMINISTROS[[#This Row],[FIN DE SEMANA]])</f>
        <v>1052-1MNO</v>
      </c>
      <c r="D1031" s="365" t="str">
        <f>CONCATENATE(VOL_VOLUMEN_SUMINISTROS[[#This Row],[Grupo]],VOL_VOLUMEN_SUMINISTROS[[#This Row],[Proyecto]],VOL_VOLUMEN_SUMINISTROS[[#This Row],[FIN DE SEMANA]])</f>
        <v>41052-1NO</v>
      </c>
      <c r="E1031" s="30" t="s">
        <v>147</v>
      </c>
      <c r="F1031" s="30" t="s">
        <v>734</v>
      </c>
      <c r="G1031" s="365">
        <v>4</v>
      </c>
      <c r="H1031" s="30">
        <v>8</v>
      </c>
      <c r="I1031" s="9" t="s">
        <v>149</v>
      </c>
      <c r="J1031" s="9" t="s">
        <v>783</v>
      </c>
      <c r="K1031" s="30">
        <v>2</v>
      </c>
      <c r="L1031" s="9" t="s">
        <v>153</v>
      </c>
      <c r="M1031" s="30" t="s">
        <v>84</v>
      </c>
      <c r="N1031" s="30" t="s">
        <v>152</v>
      </c>
      <c r="O1031" s="24">
        <v>2</v>
      </c>
      <c r="P1031" s="24">
        <v>25</v>
      </c>
      <c r="Q1031" s="24">
        <v>8</v>
      </c>
      <c r="R1031" s="24">
        <v>0</v>
      </c>
      <c r="S1031" s="24">
        <v>0</v>
      </c>
      <c r="T1031" s="24">
        <v>35</v>
      </c>
    </row>
    <row r="1032" spans="1:20">
      <c r="A1032" s="9" t="s">
        <v>776</v>
      </c>
      <c r="B1032" s="30" t="s">
        <v>777</v>
      </c>
      <c r="C1032" s="30" t="str">
        <f>CONCATENATE(VOL_VOLUMEN_SUMINISTROS[[#This Row],[Proyecto]],VOL_VOLUMEN_SUMINISTROS[[#This Row],[J]],VOL_VOLUMEN_SUMINISTROS[[#This Row],[FIN DE SEMANA]])</f>
        <v>1052-1MNO</v>
      </c>
      <c r="D1032" s="365" t="str">
        <f>CONCATENATE(VOL_VOLUMEN_SUMINISTROS[[#This Row],[Grupo]],VOL_VOLUMEN_SUMINISTROS[[#This Row],[Proyecto]],VOL_VOLUMEN_SUMINISTROS[[#This Row],[FIN DE SEMANA]])</f>
        <v>121052-1NO</v>
      </c>
      <c r="E1032" s="30" t="s">
        <v>147</v>
      </c>
      <c r="F1032" s="30" t="s">
        <v>734</v>
      </c>
      <c r="G1032" s="365">
        <v>12</v>
      </c>
      <c r="H1032" s="30">
        <v>8</v>
      </c>
      <c r="I1032" s="9" t="s">
        <v>149</v>
      </c>
      <c r="J1032" s="9" t="s">
        <v>784</v>
      </c>
      <c r="K1032" s="30">
        <v>1</v>
      </c>
      <c r="L1032" s="9" t="s">
        <v>153</v>
      </c>
      <c r="M1032" s="30" t="s">
        <v>84</v>
      </c>
      <c r="N1032" s="30" t="s">
        <v>152</v>
      </c>
      <c r="O1032" s="24">
        <v>16</v>
      </c>
      <c r="P1032" s="24">
        <v>18</v>
      </c>
      <c r="Q1032" s="24">
        <v>4</v>
      </c>
      <c r="R1032" s="24">
        <v>0</v>
      </c>
      <c r="S1032" s="24">
        <v>0</v>
      </c>
      <c r="T1032" s="24">
        <v>38</v>
      </c>
    </row>
    <row r="1033" spans="1:20">
      <c r="A1033" s="9" t="s">
        <v>776</v>
      </c>
      <c r="B1033" s="30" t="s">
        <v>777</v>
      </c>
      <c r="C1033" s="30" t="str">
        <f>CONCATENATE(VOL_VOLUMEN_SUMINISTROS[[#This Row],[Proyecto]],VOL_VOLUMEN_SUMINISTROS[[#This Row],[J]],VOL_VOLUMEN_SUMINISTROS[[#This Row],[FIN DE SEMANA]])</f>
        <v>1052-1MNO</v>
      </c>
      <c r="D1033" s="365" t="str">
        <f>CONCATENATE(VOL_VOLUMEN_SUMINISTROS[[#This Row],[Grupo]],VOL_VOLUMEN_SUMINISTROS[[#This Row],[Proyecto]],VOL_VOLUMEN_SUMINISTROS[[#This Row],[FIN DE SEMANA]])</f>
        <v>121052-1NO</v>
      </c>
      <c r="E1033" s="30" t="s">
        <v>147</v>
      </c>
      <c r="F1033" s="30" t="s">
        <v>734</v>
      </c>
      <c r="G1033" s="365">
        <v>12</v>
      </c>
      <c r="H1033" s="30">
        <v>8</v>
      </c>
      <c r="I1033" s="9" t="s">
        <v>149</v>
      </c>
      <c r="J1033" s="9" t="s">
        <v>785</v>
      </c>
      <c r="K1033" s="30">
        <v>1</v>
      </c>
      <c r="L1033" s="9" t="s">
        <v>153</v>
      </c>
      <c r="M1033" s="30" t="s">
        <v>84</v>
      </c>
      <c r="N1033" s="30" t="s">
        <v>152</v>
      </c>
      <c r="O1033" s="24">
        <v>0</v>
      </c>
      <c r="P1033" s="24">
        <v>120</v>
      </c>
      <c r="Q1033" s="24">
        <v>380</v>
      </c>
      <c r="R1033" s="24">
        <v>0</v>
      </c>
      <c r="S1033" s="24">
        <v>0</v>
      </c>
      <c r="T1033" s="24">
        <v>500</v>
      </c>
    </row>
    <row r="1034" spans="1:20">
      <c r="A1034" s="9" t="s">
        <v>776</v>
      </c>
      <c r="B1034" s="30" t="s">
        <v>777</v>
      </c>
      <c r="C1034" s="30" t="str">
        <f>CONCATENATE(VOL_VOLUMEN_SUMINISTROS[[#This Row],[Proyecto]],VOL_VOLUMEN_SUMINISTROS[[#This Row],[J]],VOL_VOLUMEN_SUMINISTROS[[#This Row],[FIN DE SEMANA]])</f>
        <v>1052-1MNO</v>
      </c>
      <c r="D1034" s="365" t="str">
        <f>CONCATENATE(VOL_VOLUMEN_SUMINISTROS[[#This Row],[Grupo]],VOL_VOLUMEN_SUMINISTROS[[#This Row],[Proyecto]],VOL_VOLUMEN_SUMINISTROS[[#This Row],[FIN DE SEMANA]])</f>
        <v>121052-1NO</v>
      </c>
      <c r="E1034" s="30" t="s">
        <v>147</v>
      </c>
      <c r="F1034" s="30" t="s">
        <v>734</v>
      </c>
      <c r="G1034" s="365">
        <v>12</v>
      </c>
      <c r="H1034" s="30">
        <v>8</v>
      </c>
      <c r="I1034" s="9" t="s">
        <v>149</v>
      </c>
      <c r="J1034" s="9" t="s">
        <v>786</v>
      </c>
      <c r="K1034" s="30">
        <v>1</v>
      </c>
      <c r="L1034" s="9" t="s">
        <v>153</v>
      </c>
      <c r="M1034" s="30" t="s">
        <v>84</v>
      </c>
      <c r="N1034" s="30" t="s">
        <v>152</v>
      </c>
      <c r="O1034" s="24">
        <v>0</v>
      </c>
      <c r="P1034" s="24">
        <v>219</v>
      </c>
      <c r="Q1034" s="24">
        <v>498</v>
      </c>
      <c r="R1034" s="24">
        <v>0</v>
      </c>
      <c r="S1034" s="24">
        <v>0</v>
      </c>
      <c r="T1034" s="24">
        <v>717</v>
      </c>
    </row>
    <row r="1035" spans="1:20">
      <c r="A1035" s="9" t="s">
        <v>776</v>
      </c>
      <c r="B1035" s="30" t="s">
        <v>777</v>
      </c>
      <c r="C1035" s="30" t="str">
        <f>CONCATENATE(VOL_VOLUMEN_SUMINISTROS[[#This Row],[Proyecto]],VOL_VOLUMEN_SUMINISTROS[[#This Row],[J]],VOL_VOLUMEN_SUMINISTROS[[#This Row],[FIN DE SEMANA]])</f>
        <v>1052-1MNO</v>
      </c>
      <c r="D1035" s="365" t="str">
        <f>CONCATENATE(VOL_VOLUMEN_SUMINISTROS[[#This Row],[Grupo]],VOL_VOLUMEN_SUMINISTROS[[#This Row],[Proyecto]],VOL_VOLUMEN_SUMINISTROS[[#This Row],[FIN DE SEMANA]])</f>
        <v>121052-1NO</v>
      </c>
      <c r="E1035" s="30" t="s">
        <v>147</v>
      </c>
      <c r="F1035" s="30" t="s">
        <v>734</v>
      </c>
      <c r="G1035" s="365">
        <v>12</v>
      </c>
      <c r="H1035" s="30">
        <v>8</v>
      </c>
      <c r="I1035" s="9" t="s">
        <v>149</v>
      </c>
      <c r="J1035" s="9" t="s">
        <v>787</v>
      </c>
      <c r="K1035" s="30">
        <v>1</v>
      </c>
      <c r="L1035" s="9" t="s">
        <v>153</v>
      </c>
      <c r="M1035" s="30" t="s">
        <v>84</v>
      </c>
      <c r="N1035" s="30" t="s">
        <v>152</v>
      </c>
      <c r="O1035" s="24">
        <v>0</v>
      </c>
      <c r="P1035" s="24">
        <v>60</v>
      </c>
      <c r="Q1035" s="24">
        <v>198</v>
      </c>
      <c r="R1035" s="24">
        <v>0</v>
      </c>
      <c r="S1035" s="24">
        <v>0</v>
      </c>
      <c r="T1035" s="24">
        <v>258</v>
      </c>
    </row>
    <row r="1036" spans="1:20">
      <c r="A1036" s="9" t="s">
        <v>776</v>
      </c>
      <c r="B1036" s="30" t="s">
        <v>777</v>
      </c>
      <c r="C1036" s="30" t="str">
        <f>CONCATENATE(VOL_VOLUMEN_SUMINISTROS[[#This Row],[Proyecto]],VOL_VOLUMEN_SUMINISTROS[[#This Row],[J]],VOL_VOLUMEN_SUMINISTROS[[#This Row],[FIN DE SEMANA]])</f>
        <v>1052-1MNO</v>
      </c>
      <c r="D1036" s="365" t="str">
        <f>CONCATENATE(VOL_VOLUMEN_SUMINISTROS[[#This Row],[Grupo]],VOL_VOLUMEN_SUMINISTROS[[#This Row],[Proyecto]],VOL_VOLUMEN_SUMINISTROS[[#This Row],[FIN DE SEMANA]])</f>
        <v>121052-1NO</v>
      </c>
      <c r="E1036" s="30" t="s">
        <v>147</v>
      </c>
      <c r="F1036" s="30" t="s">
        <v>734</v>
      </c>
      <c r="G1036" s="365">
        <v>12</v>
      </c>
      <c r="H1036" s="30">
        <v>8</v>
      </c>
      <c r="I1036" s="9" t="s">
        <v>149</v>
      </c>
      <c r="J1036" s="9" t="s">
        <v>788</v>
      </c>
      <c r="K1036" s="30">
        <v>1</v>
      </c>
      <c r="L1036" s="9" t="s">
        <v>153</v>
      </c>
      <c r="M1036" s="30" t="s">
        <v>84</v>
      </c>
      <c r="N1036" s="30" t="s">
        <v>152</v>
      </c>
      <c r="O1036" s="24">
        <v>2</v>
      </c>
      <c r="P1036" s="24">
        <v>28</v>
      </c>
      <c r="Q1036" s="24">
        <v>9</v>
      </c>
      <c r="R1036" s="24">
        <v>0</v>
      </c>
      <c r="S1036" s="24">
        <v>0</v>
      </c>
      <c r="T1036" s="24">
        <v>39</v>
      </c>
    </row>
    <row r="1037" spans="1:20">
      <c r="A1037" s="9" t="s">
        <v>776</v>
      </c>
      <c r="B1037" s="30" t="s">
        <v>777</v>
      </c>
      <c r="C1037" s="30" t="str">
        <f>CONCATENATE(VOL_VOLUMEN_SUMINISTROS[[#This Row],[Proyecto]],VOL_VOLUMEN_SUMINISTROS[[#This Row],[J]],VOL_VOLUMEN_SUMINISTROS[[#This Row],[FIN DE SEMANA]])</f>
        <v>1052-1MNO</v>
      </c>
      <c r="D1037" s="365" t="str">
        <f>CONCATENATE(VOL_VOLUMEN_SUMINISTROS[[#This Row],[Grupo]],VOL_VOLUMEN_SUMINISTROS[[#This Row],[Proyecto]],VOL_VOLUMEN_SUMINISTROS[[#This Row],[FIN DE SEMANA]])</f>
        <v>121052-1NO</v>
      </c>
      <c r="E1037" s="30" t="s">
        <v>147</v>
      </c>
      <c r="F1037" s="30" t="s">
        <v>734</v>
      </c>
      <c r="G1037" s="365">
        <v>12</v>
      </c>
      <c r="H1037" s="30">
        <v>8</v>
      </c>
      <c r="I1037" s="9" t="s">
        <v>149</v>
      </c>
      <c r="J1037" s="9" t="s">
        <v>788</v>
      </c>
      <c r="K1037" s="30">
        <v>2</v>
      </c>
      <c r="L1037" s="9" t="s">
        <v>153</v>
      </c>
      <c r="M1037" s="30" t="s">
        <v>84</v>
      </c>
      <c r="N1037" s="30" t="s">
        <v>152</v>
      </c>
      <c r="O1037" s="24">
        <v>0</v>
      </c>
      <c r="P1037" s="24">
        <v>30</v>
      </c>
      <c r="Q1037" s="24">
        <v>145</v>
      </c>
      <c r="R1037" s="24">
        <v>0</v>
      </c>
      <c r="S1037" s="24">
        <v>0</v>
      </c>
      <c r="T1037" s="24">
        <v>175</v>
      </c>
    </row>
    <row r="1038" spans="1:20">
      <c r="A1038" s="9" t="s">
        <v>776</v>
      </c>
      <c r="B1038" s="30" t="s">
        <v>777</v>
      </c>
      <c r="C1038" s="30" t="str">
        <f>CONCATENATE(VOL_VOLUMEN_SUMINISTROS[[#This Row],[Proyecto]],VOL_VOLUMEN_SUMINISTROS[[#This Row],[J]],VOL_VOLUMEN_SUMINISTROS[[#This Row],[FIN DE SEMANA]])</f>
        <v>1052-1MNO</v>
      </c>
      <c r="D1038" s="365" t="str">
        <f>CONCATENATE(VOL_VOLUMEN_SUMINISTROS[[#This Row],[Grupo]],VOL_VOLUMEN_SUMINISTROS[[#This Row],[Proyecto]],VOL_VOLUMEN_SUMINISTROS[[#This Row],[FIN DE SEMANA]])</f>
        <v>121052-1NO</v>
      </c>
      <c r="E1038" s="30" t="s">
        <v>147</v>
      </c>
      <c r="F1038" s="30" t="s">
        <v>734</v>
      </c>
      <c r="G1038" s="365">
        <v>12</v>
      </c>
      <c r="H1038" s="30">
        <v>8</v>
      </c>
      <c r="I1038" s="9" t="s">
        <v>149</v>
      </c>
      <c r="J1038" s="9" t="s">
        <v>789</v>
      </c>
      <c r="K1038" s="30">
        <v>1</v>
      </c>
      <c r="L1038" s="9" t="s">
        <v>153</v>
      </c>
      <c r="M1038" s="30" t="s">
        <v>84</v>
      </c>
      <c r="N1038" s="30" t="s">
        <v>152</v>
      </c>
      <c r="O1038" s="24">
        <v>0</v>
      </c>
      <c r="P1038" s="24">
        <v>51</v>
      </c>
      <c r="Q1038" s="24">
        <v>125</v>
      </c>
      <c r="R1038" s="24">
        <v>0</v>
      </c>
      <c r="S1038" s="24">
        <v>0</v>
      </c>
      <c r="T1038" s="24">
        <v>176</v>
      </c>
    </row>
    <row r="1039" spans="1:20">
      <c r="A1039" s="9" t="s">
        <v>776</v>
      </c>
      <c r="B1039" s="30" t="s">
        <v>777</v>
      </c>
      <c r="C1039" s="30" t="str">
        <f>CONCATENATE(VOL_VOLUMEN_SUMINISTROS[[#This Row],[Proyecto]],VOL_VOLUMEN_SUMINISTROS[[#This Row],[J]],VOL_VOLUMEN_SUMINISTROS[[#This Row],[FIN DE SEMANA]])</f>
        <v>1052-1MNO</v>
      </c>
      <c r="D1039" s="365" t="str">
        <f>CONCATENATE(VOL_VOLUMEN_SUMINISTROS[[#This Row],[Grupo]],VOL_VOLUMEN_SUMINISTROS[[#This Row],[Proyecto]],VOL_VOLUMEN_SUMINISTROS[[#This Row],[FIN DE SEMANA]])</f>
        <v>121052-1NO</v>
      </c>
      <c r="E1039" s="30" t="s">
        <v>147</v>
      </c>
      <c r="F1039" s="30" t="s">
        <v>734</v>
      </c>
      <c r="G1039" s="365">
        <v>12</v>
      </c>
      <c r="H1039" s="30">
        <v>8</v>
      </c>
      <c r="I1039" s="9" t="s">
        <v>149</v>
      </c>
      <c r="J1039" s="9" t="s">
        <v>790</v>
      </c>
      <c r="K1039" s="30">
        <v>1</v>
      </c>
      <c r="L1039" s="9" t="s">
        <v>153</v>
      </c>
      <c r="M1039" s="30" t="s">
        <v>84</v>
      </c>
      <c r="N1039" s="30" t="s">
        <v>152</v>
      </c>
      <c r="O1039" s="24">
        <v>2</v>
      </c>
      <c r="P1039" s="24">
        <v>118</v>
      </c>
      <c r="Q1039" s="24">
        <v>263</v>
      </c>
      <c r="R1039" s="24">
        <v>0</v>
      </c>
      <c r="S1039" s="24">
        <v>0</v>
      </c>
      <c r="T1039" s="24">
        <v>383</v>
      </c>
    </row>
    <row r="1040" spans="1:20">
      <c r="A1040" s="9" t="s">
        <v>776</v>
      </c>
      <c r="B1040" s="30" t="s">
        <v>791</v>
      </c>
      <c r="C1040" s="30" t="str">
        <f>CONCATENATE(VOL_VOLUMEN_SUMINISTROS[[#This Row],[Proyecto]],VOL_VOLUMEN_SUMINISTROS[[#This Row],[J]],VOL_VOLUMEN_SUMINISTROS[[#This Row],[FIN DE SEMANA]])</f>
        <v>1052-1MNO</v>
      </c>
      <c r="D1040" s="365" t="str">
        <f>CONCATENATE(VOL_VOLUMEN_SUMINISTROS[[#This Row],[Grupo]],VOL_VOLUMEN_SUMINISTROS[[#This Row],[Proyecto]],VOL_VOLUMEN_SUMINISTROS[[#This Row],[FIN DE SEMANA]])</f>
        <v>291052-1NO</v>
      </c>
      <c r="E1040" s="30" t="s">
        <v>147</v>
      </c>
      <c r="F1040" s="30" t="s">
        <v>734</v>
      </c>
      <c r="G1040" s="365">
        <v>29</v>
      </c>
      <c r="H1040" s="30">
        <v>7</v>
      </c>
      <c r="I1040" s="9" t="s">
        <v>221</v>
      </c>
      <c r="J1040" s="9" t="s">
        <v>792</v>
      </c>
      <c r="K1040" s="30">
        <v>1</v>
      </c>
      <c r="L1040" s="9" t="s">
        <v>153</v>
      </c>
      <c r="M1040" s="30" t="s">
        <v>84</v>
      </c>
      <c r="N1040" s="30" t="s">
        <v>152</v>
      </c>
      <c r="O1040" s="24">
        <v>2</v>
      </c>
      <c r="P1040" s="24">
        <v>397</v>
      </c>
      <c r="Q1040" s="24">
        <v>670</v>
      </c>
      <c r="R1040" s="24">
        <v>0</v>
      </c>
      <c r="S1040" s="24">
        <v>0</v>
      </c>
      <c r="T1040" s="24">
        <v>1069</v>
      </c>
    </row>
    <row r="1041" spans="1:20">
      <c r="A1041" s="9" t="s">
        <v>776</v>
      </c>
      <c r="B1041" s="30" t="s">
        <v>791</v>
      </c>
      <c r="C1041" s="30" t="str">
        <f>CONCATENATE(VOL_VOLUMEN_SUMINISTROS[[#This Row],[Proyecto]],VOL_VOLUMEN_SUMINISTROS[[#This Row],[J]],VOL_VOLUMEN_SUMINISTROS[[#This Row],[FIN DE SEMANA]])</f>
        <v>1052-1MNO</v>
      </c>
      <c r="D1041" s="365" t="str">
        <f>CONCATENATE(VOL_VOLUMEN_SUMINISTROS[[#This Row],[Grupo]],VOL_VOLUMEN_SUMINISTROS[[#This Row],[Proyecto]],VOL_VOLUMEN_SUMINISTROS[[#This Row],[FIN DE SEMANA]])</f>
        <v>291052-1NO</v>
      </c>
      <c r="E1041" s="30" t="s">
        <v>147</v>
      </c>
      <c r="F1041" s="30" t="s">
        <v>734</v>
      </c>
      <c r="G1041" s="365">
        <v>29</v>
      </c>
      <c r="H1041" s="30">
        <v>7</v>
      </c>
      <c r="I1041" s="9" t="s">
        <v>221</v>
      </c>
      <c r="J1041" s="9" t="s">
        <v>793</v>
      </c>
      <c r="K1041" s="30">
        <v>1</v>
      </c>
      <c r="L1041" s="9" t="s">
        <v>153</v>
      </c>
      <c r="M1041" s="30" t="s">
        <v>84</v>
      </c>
      <c r="N1041" s="30" t="s">
        <v>152</v>
      </c>
      <c r="O1041" s="24">
        <v>2</v>
      </c>
      <c r="P1041" s="24">
        <v>7</v>
      </c>
      <c r="Q1041" s="24">
        <v>16</v>
      </c>
      <c r="R1041" s="24">
        <v>0</v>
      </c>
      <c r="S1041" s="24">
        <v>0</v>
      </c>
      <c r="T1041" s="24">
        <v>25</v>
      </c>
    </row>
    <row r="1042" spans="1:20">
      <c r="A1042" s="9" t="s">
        <v>776</v>
      </c>
      <c r="B1042" s="30" t="s">
        <v>791</v>
      </c>
      <c r="C1042" s="30" t="str">
        <f>CONCATENATE(VOL_VOLUMEN_SUMINISTROS[[#This Row],[Proyecto]],VOL_VOLUMEN_SUMINISTROS[[#This Row],[J]],VOL_VOLUMEN_SUMINISTROS[[#This Row],[FIN DE SEMANA]])</f>
        <v>1052-1TNO</v>
      </c>
      <c r="D1042" s="365" t="str">
        <f>CONCATENATE(VOL_VOLUMEN_SUMINISTROS[[#This Row],[Grupo]],VOL_VOLUMEN_SUMINISTROS[[#This Row],[Proyecto]],VOL_VOLUMEN_SUMINISTROS[[#This Row],[FIN DE SEMANA]])</f>
        <v>291052-1NO</v>
      </c>
      <c r="E1042" s="30" t="s">
        <v>147</v>
      </c>
      <c r="F1042" s="30" t="s">
        <v>734</v>
      </c>
      <c r="G1042" s="365">
        <v>29</v>
      </c>
      <c r="H1042" s="30">
        <v>7</v>
      </c>
      <c r="I1042" s="9" t="s">
        <v>221</v>
      </c>
      <c r="J1042" s="9" t="s">
        <v>794</v>
      </c>
      <c r="K1042" s="30">
        <v>1</v>
      </c>
      <c r="L1042" s="9" t="s">
        <v>153</v>
      </c>
      <c r="M1042" s="30" t="s">
        <v>84</v>
      </c>
      <c r="N1042" s="30" t="s">
        <v>155</v>
      </c>
      <c r="O1042" s="24">
        <v>0</v>
      </c>
      <c r="P1042" s="24">
        <v>183</v>
      </c>
      <c r="Q1042" s="24">
        <v>465</v>
      </c>
      <c r="R1042" s="24">
        <v>0</v>
      </c>
      <c r="S1042" s="24">
        <v>0</v>
      </c>
      <c r="T1042" s="24">
        <v>648</v>
      </c>
    </row>
    <row r="1043" spans="1:20">
      <c r="A1043" s="9" t="s">
        <v>776</v>
      </c>
      <c r="B1043" s="30" t="s">
        <v>791</v>
      </c>
      <c r="C1043" s="30" t="str">
        <f>CONCATENATE(VOL_VOLUMEN_SUMINISTROS[[#This Row],[Proyecto]],VOL_VOLUMEN_SUMINISTROS[[#This Row],[J]],VOL_VOLUMEN_SUMINISTROS[[#This Row],[FIN DE SEMANA]])</f>
        <v>1052-1MNO</v>
      </c>
      <c r="D1043" s="365" t="str">
        <f>CONCATENATE(VOL_VOLUMEN_SUMINISTROS[[#This Row],[Grupo]],VOL_VOLUMEN_SUMINISTROS[[#This Row],[Proyecto]],VOL_VOLUMEN_SUMINISTROS[[#This Row],[FIN DE SEMANA]])</f>
        <v>291052-1NO</v>
      </c>
      <c r="E1043" s="30" t="s">
        <v>147</v>
      </c>
      <c r="F1043" s="30" t="s">
        <v>734</v>
      </c>
      <c r="G1043" s="365">
        <v>29</v>
      </c>
      <c r="H1043" s="30">
        <v>7</v>
      </c>
      <c r="I1043" s="9" t="s">
        <v>221</v>
      </c>
      <c r="J1043" s="9" t="s">
        <v>795</v>
      </c>
      <c r="K1043" s="30">
        <v>1</v>
      </c>
      <c r="L1043" s="9" t="s">
        <v>153</v>
      </c>
      <c r="M1043" s="30" t="s">
        <v>84</v>
      </c>
      <c r="N1043" s="30" t="s">
        <v>152</v>
      </c>
      <c r="O1043" s="24">
        <v>2</v>
      </c>
      <c r="P1043" s="24">
        <v>115</v>
      </c>
      <c r="Q1043" s="24">
        <v>227</v>
      </c>
      <c r="R1043" s="24">
        <v>0</v>
      </c>
      <c r="S1043" s="24">
        <v>0</v>
      </c>
      <c r="T1043" s="24">
        <v>344</v>
      </c>
    </row>
    <row r="1044" spans="1:20">
      <c r="A1044" s="9" t="s">
        <v>776</v>
      </c>
      <c r="B1044" s="30" t="s">
        <v>791</v>
      </c>
      <c r="C1044" s="30" t="str">
        <f>CONCATENATE(VOL_VOLUMEN_SUMINISTROS[[#This Row],[Proyecto]],VOL_VOLUMEN_SUMINISTROS[[#This Row],[J]],VOL_VOLUMEN_SUMINISTROS[[#This Row],[FIN DE SEMANA]])</f>
        <v>1052-1MNO</v>
      </c>
      <c r="D1044" s="365" t="str">
        <f>CONCATENATE(VOL_VOLUMEN_SUMINISTROS[[#This Row],[Grupo]],VOL_VOLUMEN_SUMINISTROS[[#This Row],[Proyecto]],VOL_VOLUMEN_SUMINISTROS[[#This Row],[FIN DE SEMANA]])</f>
        <v>291052-1NO</v>
      </c>
      <c r="E1044" s="30" t="s">
        <v>147</v>
      </c>
      <c r="F1044" s="30" t="s">
        <v>734</v>
      </c>
      <c r="G1044" s="365">
        <v>29</v>
      </c>
      <c r="H1044" s="30">
        <v>7</v>
      </c>
      <c r="I1044" s="9" t="s">
        <v>221</v>
      </c>
      <c r="J1044" s="9" t="s">
        <v>796</v>
      </c>
      <c r="K1044" s="30">
        <v>1</v>
      </c>
      <c r="L1044" s="9" t="s">
        <v>153</v>
      </c>
      <c r="M1044" s="30" t="s">
        <v>84</v>
      </c>
      <c r="N1044" s="30" t="s">
        <v>152</v>
      </c>
      <c r="O1044" s="24">
        <v>2</v>
      </c>
      <c r="P1044" s="24">
        <v>118</v>
      </c>
      <c r="Q1044" s="24">
        <v>377</v>
      </c>
      <c r="R1044" s="24">
        <v>0</v>
      </c>
      <c r="S1044" s="24">
        <v>0</v>
      </c>
      <c r="T1044" s="24">
        <v>497</v>
      </c>
    </row>
    <row r="1045" spans="1:20">
      <c r="A1045" s="9" t="s">
        <v>776</v>
      </c>
      <c r="B1045" s="30" t="s">
        <v>791</v>
      </c>
      <c r="C1045" s="30" t="str">
        <f>CONCATENATE(VOL_VOLUMEN_SUMINISTROS[[#This Row],[Proyecto]],VOL_VOLUMEN_SUMINISTROS[[#This Row],[J]],VOL_VOLUMEN_SUMINISTROS[[#This Row],[FIN DE SEMANA]])</f>
        <v>1052-1TNO</v>
      </c>
      <c r="D1045" s="365" t="str">
        <f>CONCATENATE(VOL_VOLUMEN_SUMINISTROS[[#This Row],[Grupo]],VOL_VOLUMEN_SUMINISTROS[[#This Row],[Proyecto]],VOL_VOLUMEN_SUMINISTROS[[#This Row],[FIN DE SEMANA]])</f>
        <v>291052-1NO</v>
      </c>
      <c r="E1045" s="30" t="s">
        <v>147</v>
      </c>
      <c r="F1045" s="30" t="s">
        <v>734</v>
      </c>
      <c r="G1045" s="365">
        <v>29</v>
      </c>
      <c r="H1045" s="30">
        <v>7</v>
      </c>
      <c r="I1045" s="9" t="s">
        <v>221</v>
      </c>
      <c r="J1045" s="9" t="s">
        <v>797</v>
      </c>
      <c r="K1045" s="30">
        <v>1</v>
      </c>
      <c r="L1045" s="9" t="s">
        <v>153</v>
      </c>
      <c r="M1045" s="30" t="s">
        <v>84</v>
      </c>
      <c r="N1045" s="30" t="s">
        <v>155</v>
      </c>
      <c r="O1045" s="24">
        <v>2</v>
      </c>
      <c r="P1045" s="24">
        <v>208</v>
      </c>
      <c r="Q1045" s="24">
        <v>717</v>
      </c>
      <c r="R1045" s="24">
        <v>0</v>
      </c>
      <c r="S1045" s="24">
        <v>0</v>
      </c>
      <c r="T1045" s="24">
        <v>927</v>
      </c>
    </row>
    <row r="1046" spans="1:20">
      <c r="A1046" s="9" t="s">
        <v>776</v>
      </c>
      <c r="B1046" s="30" t="s">
        <v>791</v>
      </c>
      <c r="C1046" s="30" t="str">
        <f>CONCATENATE(VOL_VOLUMEN_SUMINISTROS[[#This Row],[Proyecto]],VOL_VOLUMEN_SUMINISTROS[[#This Row],[J]],VOL_VOLUMEN_SUMINISTROS[[#This Row],[FIN DE SEMANA]])</f>
        <v>1052-1MNO</v>
      </c>
      <c r="D1046" s="365" t="str">
        <f>CONCATENATE(VOL_VOLUMEN_SUMINISTROS[[#This Row],[Grupo]],VOL_VOLUMEN_SUMINISTROS[[#This Row],[Proyecto]],VOL_VOLUMEN_SUMINISTROS[[#This Row],[FIN DE SEMANA]])</f>
        <v>291052-1NO</v>
      </c>
      <c r="E1046" s="30" t="s">
        <v>147</v>
      </c>
      <c r="F1046" s="30" t="s">
        <v>734</v>
      </c>
      <c r="G1046" s="365">
        <v>29</v>
      </c>
      <c r="H1046" s="30">
        <v>7</v>
      </c>
      <c r="I1046" s="9" t="s">
        <v>221</v>
      </c>
      <c r="J1046" s="9" t="s">
        <v>798</v>
      </c>
      <c r="K1046" s="30">
        <v>1</v>
      </c>
      <c r="L1046" s="9" t="s">
        <v>153</v>
      </c>
      <c r="M1046" s="30" t="s">
        <v>84</v>
      </c>
      <c r="N1046" s="30" t="s">
        <v>152</v>
      </c>
      <c r="O1046" s="24">
        <v>0</v>
      </c>
      <c r="P1046" s="24">
        <v>36</v>
      </c>
      <c r="Q1046" s="24">
        <v>92</v>
      </c>
      <c r="R1046" s="24">
        <v>0</v>
      </c>
      <c r="S1046" s="24">
        <v>0</v>
      </c>
      <c r="T1046" s="24">
        <v>128</v>
      </c>
    </row>
    <row r="1047" spans="1:20">
      <c r="A1047" s="9" t="s">
        <v>776</v>
      </c>
      <c r="B1047" s="30" t="s">
        <v>791</v>
      </c>
      <c r="C1047" s="30" t="str">
        <f>CONCATENATE(VOL_VOLUMEN_SUMINISTROS[[#This Row],[Proyecto]],VOL_VOLUMEN_SUMINISTROS[[#This Row],[J]],VOL_VOLUMEN_SUMINISTROS[[#This Row],[FIN DE SEMANA]])</f>
        <v>1052-1MNO</v>
      </c>
      <c r="D1047" s="365" t="str">
        <f>CONCATENATE(VOL_VOLUMEN_SUMINISTROS[[#This Row],[Grupo]],VOL_VOLUMEN_SUMINISTROS[[#This Row],[Proyecto]],VOL_VOLUMEN_SUMINISTROS[[#This Row],[FIN DE SEMANA]])</f>
        <v>291052-1NO</v>
      </c>
      <c r="E1047" s="30" t="s">
        <v>147</v>
      </c>
      <c r="F1047" s="30" t="s">
        <v>734</v>
      </c>
      <c r="G1047" s="365">
        <v>29</v>
      </c>
      <c r="H1047" s="30">
        <v>7</v>
      </c>
      <c r="I1047" s="9" t="s">
        <v>221</v>
      </c>
      <c r="J1047" s="9" t="s">
        <v>799</v>
      </c>
      <c r="K1047" s="30">
        <v>1</v>
      </c>
      <c r="L1047" s="9" t="s">
        <v>153</v>
      </c>
      <c r="M1047" s="30" t="s">
        <v>84</v>
      </c>
      <c r="N1047" s="30" t="s">
        <v>152</v>
      </c>
      <c r="O1047" s="24">
        <v>8</v>
      </c>
      <c r="P1047" s="24">
        <v>28</v>
      </c>
      <c r="Q1047" s="24">
        <v>36</v>
      </c>
      <c r="R1047" s="24">
        <v>0</v>
      </c>
      <c r="S1047" s="24">
        <v>0</v>
      </c>
      <c r="T1047" s="24">
        <v>72</v>
      </c>
    </row>
    <row r="1048" spans="1:20">
      <c r="A1048" s="9" t="s">
        <v>776</v>
      </c>
      <c r="B1048" s="30" t="s">
        <v>791</v>
      </c>
      <c r="C1048" s="30" t="str">
        <f>CONCATENATE(VOL_VOLUMEN_SUMINISTROS[[#This Row],[Proyecto]],VOL_VOLUMEN_SUMINISTROS[[#This Row],[J]],VOL_VOLUMEN_SUMINISTROS[[#This Row],[FIN DE SEMANA]])</f>
        <v>1052-1MNO</v>
      </c>
      <c r="D1048" s="365" t="str">
        <f>CONCATENATE(VOL_VOLUMEN_SUMINISTROS[[#This Row],[Grupo]],VOL_VOLUMEN_SUMINISTROS[[#This Row],[Proyecto]],VOL_VOLUMEN_SUMINISTROS[[#This Row],[FIN DE SEMANA]])</f>
        <v>291052-1NO</v>
      </c>
      <c r="E1048" s="30" t="s">
        <v>147</v>
      </c>
      <c r="F1048" s="30" t="s">
        <v>734</v>
      </c>
      <c r="G1048" s="365">
        <v>29</v>
      </c>
      <c r="H1048" s="30">
        <v>7</v>
      </c>
      <c r="I1048" s="9" t="s">
        <v>221</v>
      </c>
      <c r="J1048" s="9" t="s">
        <v>800</v>
      </c>
      <c r="K1048" s="30">
        <v>1</v>
      </c>
      <c r="L1048" s="9" t="s">
        <v>153</v>
      </c>
      <c r="M1048" s="30" t="s">
        <v>84</v>
      </c>
      <c r="N1048" s="30" t="s">
        <v>152</v>
      </c>
      <c r="O1048" s="24">
        <v>0</v>
      </c>
      <c r="P1048" s="24">
        <v>18</v>
      </c>
      <c r="Q1048" s="24">
        <v>56</v>
      </c>
      <c r="R1048" s="24">
        <v>0</v>
      </c>
      <c r="S1048" s="24">
        <v>0</v>
      </c>
      <c r="T1048" s="24">
        <v>74</v>
      </c>
    </row>
    <row r="1049" spans="1:20">
      <c r="A1049" s="9" t="s">
        <v>801</v>
      </c>
      <c r="B1049" s="30" t="s">
        <v>802</v>
      </c>
      <c r="C1049" s="30" t="str">
        <f>CONCATENATE(VOL_VOLUMEN_SUMINISTROS[[#This Row],[Proyecto]],VOL_VOLUMEN_SUMINISTROS[[#This Row],[J]],VOL_VOLUMEN_SUMINISTROS[[#This Row],[FIN DE SEMANA]])</f>
        <v>1052-1MNO</v>
      </c>
      <c r="D1049" s="365" t="str">
        <f>CONCATENATE(VOL_VOLUMEN_SUMINISTROS[[#This Row],[Grupo]],VOL_VOLUMEN_SUMINISTROS[[#This Row],[Proyecto]],VOL_VOLUMEN_SUMINISTROS[[#This Row],[FIN DE SEMANA]])</f>
        <v>201052-1NO</v>
      </c>
      <c r="E1049" s="30" t="s">
        <v>147</v>
      </c>
      <c r="F1049" s="30" t="s">
        <v>734</v>
      </c>
      <c r="G1049" s="365">
        <v>20</v>
      </c>
      <c r="H1049" s="30">
        <v>11</v>
      </c>
      <c r="I1049" s="9" t="s">
        <v>803</v>
      </c>
      <c r="J1049" s="9" t="s">
        <v>804</v>
      </c>
      <c r="K1049" s="30">
        <v>1</v>
      </c>
      <c r="L1049" s="9" t="s">
        <v>153</v>
      </c>
      <c r="M1049" s="30" t="s">
        <v>84</v>
      </c>
      <c r="N1049" s="30" t="s">
        <v>152</v>
      </c>
      <c r="O1049" s="24">
        <v>0</v>
      </c>
      <c r="P1049" s="24">
        <v>39</v>
      </c>
      <c r="Q1049" s="24">
        <v>144</v>
      </c>
      <c r="R1049" s="24">
        <v>0</v>
      </c>
      <c r="S1049" s="24">
        <v>0</v>
      </c>
      <c r="T1049" s="24">
        <v>183</v>
      </c>
    </row>
    <row r="1050" spans="1:20">
      <c r="A1050" s="9" t="s">
        <v>801</v>
      </c>
      <c r="B1050" s="30" t="s">
        <v>802</v>
      </c>
      <c r="C1050" s="30" t="str">
        <f>CONCATENATE(VOL_VOLUMEN_SUMINISTROS[[#This Row],[Proyecto]],VOL_VOLUMEN_SUMINISTROS[[#This Row],[J]],VOL_VOLUMEN_SUMINISTROS[[#This Row],[FIN DE SEMANA]])</f>
        <v>1052-1MNO</v>
      </c>
      <c r="D1050" s="365" t="str">
        <f>CONCATENATE(VOL_VOLUMEN_SUMINISTROS[[#This Row],[Grupo]],VOL_VOLUMEN_SUMINISTROS[[#This Row],[Proyecto]],VOL_VOLUMEN_SUMINISTROS[[#This Row],[FIN DE SEMANA]])</f>
        <v>201052-1NO</v>
      </c>
      <c r="E1050" s="30" t="s">
        <v>147</v>
      </c>
      <c r="F1050" s="30" t="s">
        <v>734</v>
      </c>
      <c r="G1050" s="365">
        <v>20</v>
      </c>
      <c r="H1050" s="30">
        <v>11</v>
      </c>
      <c r="I1050" s="9" t="s">
        <v>803</v>
      </c>
      <c r="J1050" s="9" t="s">
        <v>805</v>
      </c>
      <c r="K1050" s="30">
        <v>1</v>
      </c>
      <c r="L1050" s="9" t="s">
        <v>153</v>
      </c>
      <c r="M1050" s="30" t="s">
        <v>84</v>
      </c>
      <c r="N1050" s="30" t="s">
        <v>152</v>
      </c>
      <c r="O1050" s="24">
        <v>2</v>
      </c>
      <c r="P1050" s="24">
        <v>139</v>
      </c>
      <c r="Q1050" s="24">
        <v>291</v>
      </c>
      <c r="R1050" s="24">
        <v>0</v>
      </c>
      <c r="S1050" s="24">
        <v>0</v>
      </c>
      <c r="T1050" s="24">
        <v>432</v>
      </c>
    </row>
    <row r="1051" spans="1:20">
      <c r="A1051" s="9" t="s">
        <v>801</v>
      </c>
      <c r="B1051" s="30" t="s">
        <v>802</v>
      </c>
      <c r="C1051" s="30" t="str">
        <f>CONCATENATE(VOL_VOLUMEN_SUMINISTROS[[#This Row],[Proyecto]],VOL_VOLUMEN_SUMINISTROS[[#This Row],[J]],VOL_VOLUMEN_SUMINISTROS[[#This Row],[FIN DE SEMANA]])</f>
        <v>1052-1MNO</v>
      </c>
      <c r="D1051" s="365" t="str">
        <f>CONCATENATE(VOL_VOLUMEN_SUMINISTROS[[#This Row],[Grupo]],VOL_VOLUMEN_SUMINISTROS[[#This Row],[Proyecto]],VOL_VOLUMEN_SUMINISTROS[[#This Row],[FIN DE SEMANA]])</f>
        <v>201052-1NO</v>
      </c>
      <c r="E1051" s="30" t="s">
        <v>147</v>
      </c>
      <c r="F1051" s="30" t="s">
        <v>734</v>
      </c>
      <c r="G1051" s="365">
        <v>20</v>
      </c>
      <c r="H1051" s="30">
        <v>11</v>
      </c>
      <c r="I1051" s="9" t="s">
        <v>803</v>
      </c>
      <c r="J1051" s="9" t="s">
        <v>806</v>
      </c>
      <c r="K1051" s="30">
        <v>1</v>
      </c>
      <c r="L1051" s="9" t="s">
        <v>153</v>
      </c>
      <c r="M1051" s="30" t="s">
        <v>84</v>
      </c>
      <c r="N1051" s="30" t="s">
        <v>152</v>
      </c>
      <c r="O1051" s="24">
        <v>8</v>
      </c>
      <c r="P1051" s="24">
        <v>76</v>
      </c>
      <c r="Q1051" s="24">
        <v>129</v>
      </c>
      <c r="R1051" s="24">
        <v>0</v>
      </c>
      <c r="S1051" s="24">
        <v>0</v>
      </c>
      <c r="T1051" s="24">
        <v>213</v>
      </c>
    </row>
    <row r="1052" spans="1:20">
      <c r="A1052" s="9" t="s">
        <v>801</v>
      </c>
      <c r="B1052" s="30" t="s">
        <v>802</v>
      </c>
      <c r="C1052" s="30" t="str">
        <f>CONCATENATE(VOL_VOLUMEN_SUMINISTROS[[#This Row],[Proyecto]],VOL_VOLUMEN_SUMINISTROS[[#This Row],[J]],VOL_VOLUMEN_SUMINISTROS[[#This Row],[FIN DE SEMANA]])</f>
        <v>1052-1MNO</v>
      </c>
      <c r="D1052" s="365" t="str">
        <f>CONCATENATE(VOL_VOLUMEN_SUMINISTROS[[#This Row],[Grupo]],VOL_VOLUMEN_SUMINISTROS[[#This Row],[Proyecto]],VOL_VOLUMEN_SUMINISTROS[[#This Row],[FIN DE SEMANA]])</f>
        <v>201052-1NO</v>
      </c>
      <c r="E1052" s="30" t="s">
        <v>147</v>
      </c>
      <c r="F1052" s="30" t="s">
        <v>734</v>
      </c>
      <c r="G1052" s="365">
        <v>20</v>
      </c>
      <c r="H1052" s="30">
        <v>11</v>
      </c>
      <c r="I1052" s="9" t="s">
        <v>803</v>
      </c>
      <c r="J1052" s="9" t="s">
        <v>807</v>
      </c>
      <c r="K1052" s="30">
        <v>1</v>
      </c>
      <c r="L1052" s="9" t="s">
        <v>153</v>
      </c>
      <c r="M1052" s="30" t="s">
        <v>84</v>
      </c>
      <c r="N1052" s="30" t="s">
        <v>152</v>
      </c>
      <c r="O1052" s="24">
        <v>0</v>
      </c>
      <c r="P1052" s="24">
        <v>87</v>
      </c>
      <c r="Q1052" s="24">
        <v>608</v>
      </c>
      <c r="R1052" s="24">
        <v>0</v>
      </c>
      <c r="S1052" s="24">
        <v>0</v>
      </c>
      <c r="T1052" s="24">
        <v>695</v>
      </c>
    </row>
    <row r="1053" spans="1:20">
      <c r="A1053" s="9" t="s">
        <v>801</v>
      </c>
      <c r="B1053" s="30" t="s">
        <v>802</v>
      </c>
      <c r="C1053" s="30" t="str">
        <f>CONCATENATE(VOL_VOLUMEN_SUMINISTROS[[#This Row],[Proyecto]],VOL_VOLUMEN_SUMINISTROS[[#This Row],[J]],VOL_VOLUMEN_SUMINISTROS[[#This Row],[FIN DE SEMANA]])</f>
        <v>1052-1MNO</v>
      </c>
      <c r="D1053" s="365" t="str">
        <f>CONCATENATE(VOL_VOLUMEN_SUMINISTROS[[#This Row],[Grupo]],VOL_VOLUMEN_SUMINISTROS[[#This Row],[Proyecto]],VOL_VOLUMEN_SUMINISTROS[[#This Row],[FIN DE SEMANA]])</f>
        <v>201052-1NO</v>
      </c>
      <c r="E1053" s="30" t="s">
        <v>147</v>
      </c>
      <c r="F1053" s="30" t="s">
        <v>734</v>
      </c>
      <c r="G1053" s="365">
        <v>20</v>
      </c>
      <c r="H1053" s="30">
        <v>11</v>
      </c>
      <c r="I1053" s="9" t="s">
        <v>803</v>
      </c>
      <c r="J1053" s="9" t="s">
        <v>807</v>
      </c>
      <c r="K1053" s="30">
        <v>2</v>
      </c>
      <c r="L1053" s="9" t="s">
        <v>165</v>
      </c>
      <c r="M1053" s="30" t="s">
        <v>84</v>
      </c>
      <c r="N1053" s="30" t="s">
        <v>152</v>
      </c>
      <c r="O1053" s="24">
        <v>0</v>
      </c>
      <c r="P1053" s="24">
        <v>228</v>
      </c>
      <c r="Q1053" s="24">
        <v>76</v>
      </c>
      <c r="R1053" s="24">
        <v>0</v>
      </c>
      <c r="S1053" s="24">
        <v>0</v>
      </c>
      <c r="T1053" s="24">
        <v>304</v>
      </c>
    </row>
    <row r="1054" spans="1:20">
      <c r="A1054" s="9" t="s">
        <v>801</v>
      </c>
      <c r="B1054" s="30" t="s">
        <v>802</v>
      </c>
      <c r="C1054" s="30" t="str">
        <f>CONCATENATE(VOL_VOLUMEN_SUMINISTROS[[#This Row],[Proyecto]],VOL_VOLUMEN_SUMINISTROS[[#This Row],[J]],VOL_VOLUMEN_SUMINISTROS[[#This Row],[FIN DE SEMANA]])</f>
        <v>1052-1MNO</v>
      </c>
      <c r="D1054" s="365" t="str">
        <f>CONCATENATE(VOL_VOLUMEN_SUMINISTROS[[#This Row],[Grupo]],VOL_VOLUMEN_SUMINISTROS[[#This Row],[Proyecto]],VOL_VOLUMEN_SUMINISTROS[[#This Row],[FIN DE SEMANA]])</f>
        <v>201052-1NO</v>
      </c>
      <c r="E1054" s="30" t="s">
        <v>147</v>
      </c>
      <c r="F1054" s="30" t="s">
        <v>734</v>
      </c>
      <c r="G1054" s="365">
        <v>20</v>
      </c>
      <c r="H1054" s="30">
        <v>11</v>
      </c>
      <c r="I1054" s="9" t="s">
        <v>803</v>
      </c>
      <c r="J1054" s="9" t="s">
        <v>808</v>
      </c>
      <c r="K1054" s="30">
        <v>1</v>
      </c>
      <c r="L1054" s="9" t="s">
        <v>153</v>
      </c>
      <c r="M1054" s="30" t="s">
        <v>84</v>
      </c>
      <c r="N1054" s="30" t="s">
        <v>152</v>
      </c>
      <c r="O1054" s="24">
        <v>2</v>
      </c>
      <c r="P1054" s="24">
        <v>64</v>
      </c>
      <c r="Q1054" s="24">
        <v>218</v>
      </c>
      <c r="R1054" s="24">
        <v>0</v>
      </c>
      <c r="S1054" s="24">
        <v>0</v>
      </c>
      <c r="T1054" s="24">
        <v>284</v>
      </c>
    </row>
    <row r="1055" spans="1:20">
      <c r="A1055" s="9" t="s">
        <v>801</v>
      </c>
      <c r="B1055" s="30" t="s">
        <v>802</v>
      </c>
      <c r="C1055" s="30" t="str">
        <f>CONCATENATE(VOL_VOLUMEN_SUMINISTROS[[#This Row],[Proyecto]],VOL_VOLUMEN_SUMINISTROS[[#This Row],[J]],VOL_VOLUMEN_SUMINISTROS[[#This Row],[FIN DE SEMANA]])</f>
        <v>1052-1MNO</v>
      </c>
      <c r="D1055" s="365" t="str">
        <f>CONCATENATE(VOL_VOLUMEN_SUMINISTROS[[#This Row],[Grupo]],VOL_VOLUMEN_SUMINISTROS[[#This Row],[Proyecto]],VOL_VOLUMEN_SUMINISTROS[[#This Row],[FIN DE SEMANA]])</f>
        <v>201052-1NO</v>
      </c>
      <c r="E1055" s="30" t="s">
        <v>147</v>
      </c>
      <c r="F1055" s="30" t="s">
        <v>734</v>
      </c>
      <c r="G1055" s="365">
        <v>20</v>
      </c>
      <c r="H1055" s="30">
        <v>11</v>
      </c>
      <c r="I1055" s="9" t="s">
        <v>803</v>
      </c>
      <c r="J1055" s="9" t="s">
        <v>809</v>
      </c>
      <c r="K1055" s="30">
        <v>1</v>
      </c>
      <c r="L1055" s="9" t="s">
        <v>153</v>
      </c>
      <c r="M1055" s="30" t="s">
        <v>84</v>
      </c>
      <c r="N1055" s="30" t="s">
        <v>152</v>
      </c>
      <c r="O1055" s="24">
        <v>96</v>
      </c>
      <c r="P1055" s="24">
        <v>1284</v>
      </c>
      <c r="Q1055" s="24">
        <v>1590</v>
      </c>
      <c r="R1055" s="24">
        <v>0</v>
      </c>
      <c r="S1055" s="24">
        <v>0</v>
      </c>
      <c r="T1055" s="24">
        <v>2970</v>
      </c>
    </row>
    <row r="1056" spans="1:20">
      <c r="A1056" s="9" t="s">
        <v>801</v>
      </c>
      <c r="B1056" s="30" t="s">
        <v>802</v>
      </c>
      <c r="C1056" s="30" t="str">
        <f>CONCATENATE(VOL_VOLUMEN_SUMINISTROS[[#This Row],[Proyecto]],VOL_VOLUMEN_SUMINISTROS[[#This Row],[J]],VOL_VOLUMEN_SUMINISTROS[[#This Row],[FIN DE SEMANA]])</f>
        <v>1052-1MNO</v>
      </c>
      <c r="D1056" s="365" t="str">
        <f>CONCATENATE(VOL_VOLUMEN_SUMINISTROS[[#This Row],[Grupo]],VOL_VOLUMEN_SUMINISTROS[[#This Row],[Proyecto]],VOL_VOLUMEN_SUMINISTROS[[#This Row],[FIN DE SEMANA]])</f>
        <v>171052-1NO</v>
      </c>
      <c r="E1056" s="30" t="s">
        <v>147</v>
      </c>
      <c r="F1056" s="30" t="s">
        <v>734</v>
      </c>
      <c r="G1056" s="365">
        <v>17</v>
      </c>
      <c r="H1056" s="30">
        <v>11</v>
      </c>
      <c r="I1056" s="9" t="s">
        <v>803</v>
      </c>
      <c r="J1056" s="9" t="s">
        <v>810</v>
      </c>
      <c r="K1056" s="30">
        <v>1</v>
      </c>
      <c r="L1056" s="9" t="s">
        <v>153</v>
      </c>
      <c r="M1056" s="30" t="s">
        <v>84</v>
      </c>
      <c r="N1056" s="30" t="s">
        <v>152</v>
      </c>
      <c r="O1056" s="24">
        <v>40</v>
      </c>
      <c r="P1056" s="24">
        <v>584</v>
      </c>
      <c r="Q1056" s="24">
        <v>270</v>
      </c>
      <c r="R1056" s="24">
        <v>0</v>
      </c>
      <c r="S1056" s="24">
        <v>0</v>
      </c>
      <c r="T1056" s="24">
        <v>894</v>
      </c>
    </row>
    <row r="1057" spans="1:20">
      <c r="A1057" s="9" t="s">
        <v>801</v>
      </c>
      <c r="B1057" s="30" t="s">
        <v>802</v>
      </c>
      <c r="C1057" s="30" t="str">
        <f>CONCATENATE(VOL_VOLUMEN_SUMINISTROS[[#This Row],[Proyecto]],VOL_VOLUMEN_SUMINISTROS[[#This Row],[J]],VOL_VOLUMEN_SUMINISTROS[[#This Row],[FIN DE SEMANA]])</f>
        <v>1052-1MNO</v>
      </c>
      <c r="D1057" s="365" t="str">
        <f>CONCATENATE(VOL_VOLUMEN_SUMINISTROS[[#This Row],[Grupo]],VOL_VOLUMEN_SUMINISTROS[[#This Row],[Proyecto]],VOL_VOLUMEN_SUMINISTROS[[#This Row],[FIN DE SEMANA]])</f>
        <v>171052-1NO</v>
      </c>
      <c r="E1057" s="30" t="s">
        <v>147</v>
      </c>
      <c r="F1057" s="30" t="s">
        <v>734</v>
      </c>
      <c r="G1057" s="365">
        <v>17</v>
      </c>
      <c r="H1057" s="30">
        <v>11</v>
      </c>
      <c r="I1057" s="9" t="s">
        <v>803</v>
      </c>
      <c r="J1057" s="9" t="s">
        <v>810</v>
      </c>
      <c r="K1057" s="30">
        <v>2</v>
      </c>
      <c r="L1057" s="9" t="s">
        <v>153</v>
      </c>
      <c r="M1057" s="30" t="s">
        <v>84</v>
      </c>
      <c r="N1057" s="30" t="s">
        <v>152</v>
      </c>
      <c r="O1057" s="24">
        <v>0</v>
      </c>
      <c r="P1057" s="24">
        <v>0</v>
      </c>
      <c r="Q1057" s="24">
        <v>330</v>
      </c>
      <c r="R1057" s="24">
        <v>0</v>
      </c>
      <c r="S1057" s="24">
        <v>0</v>
      </c>
      <c r="T1057" s="24">
        <v>330</v>
      </c>
    </row>
    <row r="1058" spans="1:20">
      <c r="A1058" s="9" t="s">
        <v>801</v>
      </c>
      <c r="B1058" s="30" t="s">
        <v>802</v>
      </c>
      <c r="C1058" s="30" t="str">
        <f>CONCATENATE(VOL_VOLUMEN_SUMINISTROS[[#This Row],[Proyecto]],VOL_VOLUMEN_SUMINISTROS[[#This Row],[J]],VOL_VOLUMEN_SUMINISTROS[[#This Row],[FIN DE SEMANA]])</f>
        <v>1052-1MNO</v>
      </c>
      <c r="D1058" s="365" t="str">
        <f>CONCATENATE(VOL_VOLUMEN_SUMINISTROS[[#This Row],[Grupo]],VOL_VOLUMEN_SUMINISTROS[[#This Row],[Proyecto]],VOL_VOLUMEN_SUMINISTROS[[#This Row],[FIN DE SEMANA]])</f>
        <v>171052-1NO</v>
      </c>
      <c r="E1058" s="30" t="s">
        <v>147</v>
      </c>
      <c r="F1058" s="30" t="s">
        <v>734</v>
      </c>
      <c r="G1058" s="365">
        <v>17</v>
      </c>
      <c r="H1058" s="30">
        <v>11</v>
      </c>
      <c r="I1058" s="9" t="s">
        <v>803</v>
      </c>
      <c r="J1058" s="9" t="s">
        <v>810</v>
      </c>
      <c r="K1058" s="30">
        <v>3</v>
      </c>
      <c r="L1058" s="9" t="s">
        <v>153</v>
      </c>
      <c r="M1058" s="30" t="s">
        <v>84</v>
      </c>
      <c r="N1058" s="30" t="s">
        <v>152</v>
      </c>
      <c r="O1058" s="24">
        <v>0</v>
      </c>
      <c r="P1058" s="24">
        <v>0</v>
      </c>
      <c r="Q1058" s="24">
        <v>280</v>
      </c>
      <c r="R1058" s="24">
        <v>0</v>
      </c>
      <c r="S1058" s="24">
        <v>0</v>
      </c>
      <c r="T1058" s="24">
        <v>280</v>
      </c>
    </row>
    <row r="1059" spans="1:20">
      <c r="A1059" s="9" t="s">
        <v>801</v>
      </c>
      <c r="B1059" s="30" t="s">
        <v>802</v>
      </c>
      <c r="C1059" s="30" t="str">
        <f>CONCATENATE(VOL_VOLUMEN_SUMINISTROS[[#This Row],[Proyecto]],VOL_VOLUMEN_SUMINISTROS[[#This Row],[J]],VOL_VOLUMEN_SUMINISTROS[[#This Row],[FIN DE SEMANA]])</f>
        <v>1052-1MNO</v>
      </c>
      <c r="D1059" s="365" t="str">
        <f>CONCATENATE(VOL_VOLUMEN_SUMINISTROS[[#This Row],[Grupo]],VOL_VOLUMEN_SUMINISTROS[[#This Row],[Proyecto]],VOL_VOLUMEN_SUMINISTROS[[#This Row],[FIN DE SEMANA]])</f>
        <v>191052-1NO</v>
      </c>
      <c r="E1059" s="30" t="s">
        <v>147</v>
      </c>
      <c r="F1059" s="30" t="s">
        <v>734</v>
      </c>
      <c r="G1059" s="365">
        <v>19</v>
      </c>
      <c r="H1059" s="30">
        <v>11</v>
      </c>
      <c r="I1059" s="9" t="s">
        <v>803</v>
      </c>
      <c r="J1059" s="9" t="s">
        <v>811</v>
      </c>
      <c r="K1059" s="30">
        <v>1</v>
      </c>
      <c r="L1059" s="9" t="s">
        <v>153</v>
      </c>
      <c r="M1059" s="30" t="s">
        <v>84</v>
      </c>
      <c r="N1059" s="30" t="s">
        <v>152</v>
      </c>
      <c r="O1059" s="24">
        <v>0</v>
      </c>
      <c r="P1059" s="24">
        <v>66</v>
      </c>
      <c r="Q1059" s="24">
        <v>175</v>
      </c>
      <c r="R1059" s="24">
        <v>0</v>
      </c>
      <c r="S1059" s="24">
        <v>0</v>
      </c>
      <c r="T1059" s="24">
        <v>241</v>
      </c>
    </row>
    <row r="1060" spans="1:20">
      <c r="A1060" s="9" t="s">
        <v>801</v>
      </c>
      <c r="B1060" s="30" t="s">
        <v>802</v>
      </c>
      <c r="C1060" s="30" t="str">
        <f>CONCATENATE(VOL_VOLUMEN_SUMINISTROS[[#This Row],[Proyecto]],VOL_VOLUMEN_SUMINISTROS[[#This Row],[J]],VOL_VOLUMEN_SUMINISTROS[[#This Row],[FIN DE SEMANA]])</f>
        <v>1052-1MNO</v>
      </c>
      <c r="D1060" s="365" t="str">
        <f>CONCATENATE(VOL_VOLUMEN_SUMINISTROS[[#This Row],[Grupo]],VOL_VOLUMEN_SUMINISTROS[[#This Row],[Proyecto]],VOL_VOLUMEN_SUMINISTROS[[#This Row],[FIN DE SEMANA]])</f>
        <v>191052-1NO</v>
      </c>
      <c r="E1060" s="30" t="s">
        <v>147</v>
      </c>
      <c r="F1060" s="30" t="s">
        <v>734</v>
      </c>
      <c r="G1060" s="365">
        <v>19</v>
      </c>
      <c r="H1060" s="30">
        <v>11</v>
      </c>
      <c r="I1060" s="9" t="s">
        <v>803</v>
      </c>
      <c r="J1060" s="9" t="s">
        <v>812</v>
      </c>
      <c r="K1060" s="30">
        <v>1</v>
      </c>
      <c r="L1060" s="9" t="s">
        <v>153</v>
      </c>
      <c r="M1060" s="30" t="s">
        <v>84</v>
      </c>
      <c r="N1060" s="30" t="s">
        <v>152</v>
      </c>
      <c r="O1060" s="24">
        <v>0</v>
      </c>
      <c r="P1060" s="24">
        <v>48</v>
      </c>
      <c r="Q1060" s="24">
        <v>115</v>
      </c>
      <c r="R1060" s="24">
        <v>0</v>
      </c>
      <c r="S1060" s="24">
        <v>0</v>
      </c>
      <c r="T1060" s="24">
        <v>163</v>
      </c>
    </row>
    <row r="1061" spans="1:20">
      <c r="A1061" s="9" t="s">
        <v>801</v>
      </c>
      <c r="B1061" s="30" t="s">
        <v>802</v>
      </c>
      <c r="C1061" s="30" t="str">
        <f>CONCATENATE(VOL_VOLUMEN_SUMINISTROS[[#This Row],[Proyecto]],VOL_VOLUMEN_SUMINISTROS[[#This Row],[J]],VOL_VOLUMEN_SUMINISTROS[[#This Row],[FIN DE SEMANA]])</f>
        <v>1052-1MNO</v>
      </c>
      <c r="D1061" s="365" t="str">
        <f>CONCATENATE(VOL_VOLUMEN_SUMINISTROS[[#This Row],[Grupo]],VOL_VOLUMEN_SUMINISTROS[[#This Row],[Proyecto]],VOL_VOLUMEN_SUMINISTROS[[#This Row],[FIN DE SEMANA]])</f>
        <v>191052-1NO</v>
      </c>
      <c r="E1061" s="30" t="s">
        <v>147</v>
      </c>
      <c r="F1061" s="30" t="s">
        <v>734</v>
      </c>
      <c r="G1061" s="365">
        <v>19</v>
      </c>
      <c r="H1061" s="30">
        <v>11</v>
      </c>
      <c r="I1061" s="9" t="s">
        <v>803</v>
      </c>
      <c r="J1061" s="9" t="s">
        <v>813</v>
      </c>
      <c r="K1061" s="30">
        <v>1</v>
      </c>
      <c r="L1061" s="9" t="s">
        <v>153</v>
      </c>
      <c r="M1061" s="30" t="s">
        <v>84</v>
      </c>
      <c r="N1061" s="30" t="s">
        <v>152</v>
      </c>
      <c r="O1061" s="24">
        <v>4</v>
      </c>
      <c r="P1061" s="24">
        <v>101</v>
      </c>
      <c r="Q1061" s="24">
        <v>215</v>
      </c>
      <c r="R1061" s="24">
        <v>0</v>
      </c>
      <c r="S1061" s="24">
        <v>0</v>
      </c>
      <c r="T1061" s="24">
        <v>320</v>
      </c>
    </row>
    <row r="1062" spans="1:20">
      <c r="A1062" s="9" t="s">
        <v>801</v>
      </c>
      <c r="B1062" s="30" t="s">
        <v>802</v>
      </c>
      <c r="C1062" s="30" t="str">
        <f>CONCATENATE(VOL_VOLUMEN_SUMINISTROS[[#This Row],[Proyecto]],VOL_VOLUMEN_SUMINISTROS[[#This Row],[J]],VOL_VOLUMEN_SUMINISTROS[[#This Row],[FIN DE SEMANA]])</f>
        <v>1052-1MNO</v>
      </c>
      <c r="D1062" s="365" t="str">
        <f>CONCATENATE(VOL_VOLUMEN_SUMINISTROS[[#This Row],[Grupo]],VOL_VOLUMEN_SUMINISTROS[[#This Row],[Proyecto]],VOL_VOLUMEN_SUMINISTROS[[#This Row],[FIN DE SEMANA]])</f>
        <v>191052-1NO</v>
      </c>
      <c r="E1062" s="30" t="s">
        <v>147</v>
      </c>
      <c r="F1062" s="30" t="s">
        <v>734</v>
      </c>
      <c r="G1062" s="365">
        <v>19</v>
      </c>
      <c r="H1062" s="30">
        <v>11</v>
      </c>
      <c r="I1062" s="9" t="s">
        <v>803</v>
      </c>
      <c r="J1062" s="9" t="s">
        <v>814</v>
      </c>
      <c r="K1062" s="30">
        <v>1</v>
      </c>
      <c r="L1062" s="9" t="s">
        <v>153</v>
      </c>
      <c r="M1062" s="30" t="s">
        <v>84</v>
      </c>
      <c r="N1062" s="30" t="s">
        <v>152</v>
      </c>
      <c r="O1062" s="24">
        <v>2</v>
      </c>
      <c r="P1062" s="24">
        <v>82</v>
      </c>
      <c r="Q1062" s="24">
        <v>252</v>
      </c>
      <c r="R1062" s="24">
        <v>0</v>
      </c>
      <c r="S1062" s="24">
        <v>0</v>
      </c>
      <c r="T1062" s="24">
        <v>336</v>
      </c>
    </row>
    <row r="1063" spans="1:20">
      <c r="A1063" s="9" t="s">
        <v>801</v>
      </c>
      <c r="B1063" s="30" t="s">
        <v>802</v>
      </c>
      <c r="C1063" s="30" t="str">
        <f>CONCATENATE(VOL_VOLUMEN_SUMINISTROS[[#This Row],[Proyecto]],VOL_VOLUMEN_SUMINISTROS[[#This Row],[J]],VOL_VOLUMEN_SUMINISTROS[[#This Row],[FIN DE SEMANA]])</f>
        <v>1052-1MNO</v>
      </c>
      <c r="D1063" s="365" t="str">
        <f>CONCATENATE(VOL_VOLUMEN_SUMINISTROS[[#This Row],[Grupo]],VOL_VOLUMEN_SUMINISTROS[[#This Row],[Proyecto]],VOL_VOLUMEN_SUMINISTROS[[#This Row],[FIN DE SEMANA]])</f>
        <v>191052-1NO</v>
      </c>
      <c r="E1063" s="30" t="s">
        <v>147</v>
      </c>
      <c r="F1063" s="30" t="s">
        <v>734</v>
      </c>
      <c r="G1063" s="365">
        <v>19</v>
      </c>
      <c r="H1063" s="30">
        <v>11</v>
      </c>
      <c r="I1063" s="9" t="s">
        <v>803</v>
      </c>
      <c r="J1063" s="9" t="s">
        <v>815</v>
      </c>
      <c r="K1063" s="30">
        <v>1</v>
      </c>
      <c r="L1063" s="9" t="s">
        <v>153</v>
      </c>
      <c r="M1063" s="30" t="s">
        <v>84</v>
      </c>
      <c r="N1063" s="30" t="s">
        <v>152</v>
      </c>
      <c r="O1063" s="24">
        <v>12</v>
      </c>
      <c r="P1063" s="24">
        <v>240</v>
      </c>
      <c r="Q1063" s="24">
        <v>519</v>
      </c>
      <c r="R1063" s="24">
        <v>0</v>
      </c>
      <c r="S1063" s="24">
        <v>0</v>
      </c>
      <c r="T1063" s="24">
        <v>771</v>
      </c>
    </row>
    <row r="1064" spans="1:20">
      <c r="A1064" s="9" t="s">
        <v>801</v>
      </c>
      <c r="B1064" s="30" t="s">
        <v>802</v>
      </c>
      <c r="C1064" s="30" t="str">
        <f>CONCATENATE(VOL_VOLUMEN_SUMINISTROS[[#This Row],[Proyecto]],VOL_VOLUMEN_SUMINISTROS[[#This Row],[J]],VOL_VOLUMEN_SUMINISTROS[[#This Row],[FIN DE SEMANA]])</f>
        <v>1052-1MNO</v>
      </c>
      <c r="D1064" s="365" t="str">
        <f>CONCATENATE(VOL_VOLUMEN_SUMINISTROS[[#This Row],[Grupo]],VOL_VOLUMEN_SUMINISTROS[[#This Row],[Proyecto]],VOL_VOLUMEN_SUMINISTROS[[#This Row],[FIN DE SEMANA]])</f>
        <v>191052-1NO</v>
      </c>
      <c r="E1064" s="30" t="s">
        <v>147</v>
      </c>
      <c r="F1064" s="30" t="s">
        <v>734</v>
      </c>
      <c r="G1064" s="365">
        <v>19</v>
      </c>
      <c r="H1064" s="30">
        <v>11</v>
      </c>
      <c r="I1064" s="9" t="s">
        <v>803</v>
      </c>
      <c r="J1064" s="9" t="s">
        <v>816</v>
      </c>
      <c r="K1064" s="30">
        <v>1</v>
      </c>
      <c r="L1064" s="9" t="s">
        <v>153</v>
      </c>
      <c r="M1064" s="30" t="s">
        <v>84</v>
      </c>
      <c r="N1064" s="30" t="s">
        <v>152</v>
      </c>
      <c r="O1064" s="24">
        <v>0</v>
      </c>
      <c r="P1064" s="24">
        <v>21</v>
      </c>
      <c r="Q1064" s="24">
        <v>159</v>
      </c>
      <c r="R1064" s="24">
        <v>0</v>
      </c>
      <c r="S1064" s="24">
        <v>0</v>
      </c>
      <c r="T1064" s="24">
        <v>180</v>
      </c>
    </row>
    <row r="1065" spans="1:20">
      <c r="A1065" s="9" t="s">
        <v>801</v>
      </c>
      <c r="B1065" s="30" t="s">
        <v>802</v>
      </c>
      <c r="C1065" s="30" t="str">
        <f>CONCATENATE(VOL_VOLUMEN_SUMINISTROS[[#This Row],[Proyecto]],VOL_VOLUMEN_SUMINISTROS[[#This Row],[J]],VOL_VOLUMEN_SUMINISTROS[[#This Row],[FIN DE SEMANA]])</f>
        <v>1052-1MNO</v>
      </c>
      <c r="D1065" s="365" t="str">
        <f>CONCATENATE(VOL_VOLUMEN_SUMINISTROS[[#This Row],[Grupo]],VOL_VOLUMEN_SUMINISTROS[[#This Row],[Proyecto]],VOL_VOLUMEN_SUMINISTROS[[#This Row],[FIN DE SEMANA]])</f>
        <v>191052-1NO</v>
      </c>
      <c r="E1065" s="30" t="s">
        <v>147</v>
      </c>
      <c r="F1065" s="30" t="s">
        <v>734</v>
      </c>
      <c r="G1065" s="365">
        <v>19</v>
      </c>
      <c r="H1065" s="30">
        <v>11</v>
      </c>
      <c r="I1065" s="9" t="s">
        <v>803</v>
      </c>
      <c r="J1065" s="9" t="s">
        <v>816</v>
      </c>
      <c r="K1065" s="30">
        <v>2</v>
      </c>
      <c r="L1065" s="9" t="s">
        <v>165</v>
      </c>
      <c r="M1065" s="30" t="s">
        <v>84</v>
      </c>
      <c r="N1065" s="30" t="s">
        <v>152</v>
      </c>
      <c r="O1065" s="24">
        <v>0</v>
      </c>
      <c r="P1065" s="24">
        <v>96</v>
      </c>
      <c r="Q1065" s="24">
        <v>84</v>
      </c>
      <c r="R1065" s="24">
        <v>0</v>
      </c>
      <c r="S1065" s="24">
        <v>0</v>
      </c>
      <c r="T1065" s="24">
        <v>180</v>
      </c>
    </row>
    <row r="1066" spans="1:20">
      <c r="A1066" s="9" t="s">
        <v>801</v>
      </c>
      <c r="B1066" s="30" t="s">
        <v>802</v>
      </c>
      <c r="C1066" s="30" t="str">
        <f>CONCATENATE(VOL_VOLUMEN_SUMINISTROS[[#This Row],[Proyecto]],VOL_VOLUMEN_SUMINISTROS[[#This Row],[J]],VOL_VOLUMEN_SUMINISTROS[[#This Row],[FIN DE SEMANA]])</f>
        <v>1052-1MNO</v>
      </c>
      <c r="D1066" s="365" t="str">
        <f>CONCATENATE(VOL_VOLUMEN_SUMINISTROS[[#This Row],[Grupo]],VOL_VOLUMEN_SUMINISTROS[[#This Row],[Proyecto]],VOL_VOLUMEN_SUMINISTROS[[#This Row],[FIN DE SEMANA]])</f>
        <v>191052-1NO</v>
      </c>
      <c r="E1066" s="30" t="s">
        <v>147</v>
      </c>
      <c r="F1066" s="30" t="s">
        <v>734</v>
      </c>
      <c r="G1066" s="365">
        <v>19</v>
      </c>
      <c r="H1066" s="30">
        <v>11</v>
      </c>
      <c r="I1066" s="9" t="s">
        <v>803</v>
      </c>
      <c r="J1066" s="9" t="s">
        <v>817</v>
      </c>
      <c r="K1066" s="30">
        <v>1</v>
      </c>
      <c r="L1066" s="9" t="s">
        <v>153</v>
      </c>
      <c r="M1066" s="30" t="s">
        <v>84</v>
      </c>
      <c r="N1066" s="30" t="s">
        <v>152</v>
      </c>
      <c r="O1066" s="24">
        <v>0</v>
      </c>
      <c r="P1066" s="24">
        <v>15</v>
      </c>
      <c r="Q1066" s="24">
        <v>5</v>
      </c>
      <c r="R1066" s="24">
        <v>0</v>
      </c>
      <c r="S1066" s="24">
        <v>0</v>
      </c>
      <c r="T1066" s="24">
        <v>20</v>
      </c>
    </row>
    <row r="1067" spans="1:20">
      <c r="A1067" s="9" t="s">
        <v>801</v>
      </c>
      <c r="B1067" s="30" t="s">
        <v>802</v>
      </c>
      <c r="C1067" s="30" t="str">
        <f>CONCATENATE(VOL_VOLUMEN_SUMINISTROS[[#This Row],[Proyecto]],VOL_VOLUMEN_SUMINISTROS[[#This Row],[J]],VOL_VOLUMEN_SUMINISTROS[[#This Row],[FIN DE SEMANA]])</f>
        <v>1052-1MNO</v>
      </c>
      <c r="D1067" s="365" t="str">
        <f>CONCATENATE(VOL_VOLUMEN_SUMINISTROS[[#This Row],[Grupo]],VOL_VOLUMEN_SUMINISTROS[[#This Row],[Proyecto]],VOL_VOLUMEN_SUMINISTROS[[#This Row],[FIN DE SEMANA]])</f>
        <v>191052-1NO</v>
      </c>
      <c r="E1067" s="30" t="s">
        <v>147</v>
      </c>
      <c r="F1067" s="30" t="s">
        <v>734</v>
      </c>
      <c r="G1067" s="365">
        <v>19</v>
      </c>
      <c r="H1067" s="30">
        <v>11</v>
      </c>
      <c r="I1067" s="9" t="s">
        <v>803</v>
      </c>
      <c r="J1067" s="9" t="s">
        <v>818</v>
      </c>
      <c r="K1067" s="30">
        <v>1</v>
      </c>
      <c r="L1067" s="9" t="s">
        <v>153</v>
      </c>
      <c r="M1067" s="30" t="s">
        <v>84</v>
      </c>
      <c r="N1067" s="30" t="s">
        <v>152</v>
      </c>
      <c r="O1067" s="24">
        <v>2</v>
      </c>
      <c r="P1067" s="24">
        <v>52</v>
      </c>
      <c r="Q1067" s="24">
        <v>112</v>
      </c>
      <c r="R1067" s="24">
        <v>0</v>
      </c>
      <c r="S1067" s="24">
        <v>0</v>
      </c>
      <c r="T1067" s="24">
        <v>166</v>
      </c>
    </row>
    <row r="1068" spans="1:20">
      <c r="A1068" s="9" t="s">
        <v>801</v>
      </c>
      <c r="B1068" s="30" t="s">
        <v>802</v>
      </c>
      <c r="C1068" s="30" t="str">
        <f>CONCATENATE(VOL_VOLUMEN_SUMINISTROS[[#This Row],[Proyecto]],VOL_VOLUMEN_SUMINISTROS[[#This Row],[J]],VOL_VOLUMEN_SUMINISTROS[[#This Row],[FIN DE SEMANA]])</f>
        <v>1052-1MNO</v>
      </c>
      <c r="D1068" s="365" t="str">
        <f>CONCATENATE(VOL_VOLUMEN_SUMINISTROS[[#This Row],[Grupo]],VOL_VOLUMEN_SUMINISTROS[[#This Row],[Proyecto]],VOL_VOLUMEN_SUMINISTROS[[#This Row],[FIN DE SEMANA]])</f>
        <v>191052-1NO</v>
      </c>
      <c r="E1068" s="30" t="s">
        <v>147</v>
      </c>
      <c r="F1068" s="30" t="s">
        <v>734</v>
      </c>
      <c r="G1068" s="365">
        <v>19</v>
      </c>
      <c r="H1068" s="30">
        <v>11</v>
      </c>
      <c r="I1068" s="9" t="s">
        <v>803</v>
      </c>
      <c r="J1068" s="9" t="s">
        <v>819</v>
      </c>
      <c r="K1068" s="30">
        <v>1</v>
      </c>
      <c r="L1068" s="9" t="s">
        <v>153</v>
      </c>
      <c r="M1068" s="30" t="s">
        <v>84</v>
      </c>
      <c r="N1068" s="30" t="s">
        <v>152</v>
      </c>
      <c r="O1068" s="24">
        <v>40</v>
      </c>
      <c r="P1068" s="24">
        <v>236</v>
      </c>
      <c r="Q1068" s="24">
        <v>355</v>
      </c>
      <c r="R1068" s="24">
        <v>0</v>
      </c>
      <c r="S1068" s="24">
        <v>0</v>
      </c>
      <c r="T1068" s="24">
        <v>631</v>
      </c>
    </row>
    <row r="1069" spans="1:20">
      <c r="A1069" s="9" t="s">
        <v>801</v>
      </c>
      <c r="B1069" s="30" t="s">
        <v>802</v>
      </c>
      <c r="C1069" s="30" t="str">
        <f>CONCATENATE(VOL_VOLUMEN_SUMINISTROS[[#This Row],[Proyecto]],VOL_VOLUMEN_SUMINISTROS[[#This Row],[J]],VOL_VOLUMEN_SUMINISTROS[[#This Row],[FIN DE SEMANA]])</f>
        <v>1052-1MNO</v>
      </c>
      <c r="D1069" s="365" t="str">
        <f>CONCATENATE(VOL_VOLUMEN_SUMINISTROS[[#This Row],[Grupo]],VOL_VOLUMEN_SUMINISTROS[[#This Row],[Proyecto]],VOL_VOLUMEN_SUMINISTROS[[#This Row],[FIN DE SEMANA]])</f>
        <v>191052-1NO</v>
      </c>
      <c r="E1069" s="30" t="s">
        <v>147</v>
      </c>
      <c r="F1069" s="30" t="s">
        <v>734</v>
      </c>
      <c r="G1069" s="365">
        <v>19</v>
      </c>
      <c r="H1069" s="30">
        <v>11</v>
      </c>
      <c r="I1069" s="9" t="s">
        <v>803</v>
      </c>
      <c r="J1069" s="9" t="s">
        <v>820</v>
      </c>
      <c r="K1069" s="30">
        <v>1</v>
      </c>
      <c r="L1069" s="9" t="s">
        <v>153</v>
      </c>
      <c r="M1069" s="30" t="s">
        <v>84</v>
      </c>
      <c r="N1069" s="30" t="s">
        <v>152</v>
      </c>
      <c r="O1069" s="24">
        <v>33</v>
      </c>
      <c r="P1069" s="24">
        <v>31</v>
      </c>
      <c r="Q1069" s="24">
        <v>5</v>
      </c>
      <c r="R1069" s="24">
        <v>0</v>
      </c>
      <c r="S1069" s="24">
        <v>0</v>
      </c>
      <c r="T1069" s="24">
        <v>69</v>
      </c>
    </row>
    <row r="1070" spans="1:20">
      <c r="A1070" s="9" t="s">
        <v>801</v>
      </c>
      <c r="B1070" s="30" t="s">
        <v>802</v>
      </c>
      <c r="C1070" s="30" t="str">
        <f>CONCATENATE(VOL_VOLUMEN_SUMINISTROS[[#This Row],[Proyecto]],VOL_VOLUMEN_SUMINISTROS[[#This Row],[J]],VOL_VOLUMEN_SUMINISTROS[[#This Row],[FIN DE SEMANA]])</f>
        <v>1052-1MNO</v>
      </c>
      <c r="D1070" s="365" t="str">
        <f>CONCATENATE(VOL_VOLUMEN_SUMINISTROS[[#This Row],[Grupo]],VOL_VOLUMEN_SUMINISTROS[[#This Row],[Proyecto]],VOL_VOLUMEN_SUMINISTROS[[#This Row],[FIN DE SEMANA]])</f>
        <v>191052-1NO</v>
      </c>
      <c r="E1070" s="30" t="s">
        <v>147</v>
      </c>
      <c r="F1070" s="30" t="s">
        <v>734</v>
      </c>
      <c r="G1070" s="365">
        <v>19</v>
      </c>
      <c r="H1070" s="30">
        <v>11</v>
      </c>
      <c r="I1070" s="9" t="s">
        <v>803</v>
      </c>
      <c r="J1070" s="9" t="s">
        <v>821</v>
      </c>
      <c r="K1070" s="30">
        <v>1</v>
      </c>
      <c r="L1070" s="9" t="s">
        <v>153</v>
      </c>
      <c r="M1070" s="30" t="s">
        <v>84</v>
      </c>
      <c r="N1070" s="30" t="s">
        <v>152</v>
      </c>
      <c r="O1070" s="24">
        <v>0</v>
      </c>
      <c r="P1070" s="24">
        <v>72</v>
      </c>
      <c r="Q1070" s="24">
        <v>86</v>
      </c>
      <c r="R1070" s="24">
        <v>0</v>
      </c>
      <c r="S1070" s="24">
        <v>0</v>
      </c>
      <c r="T1070" s="24">
        <v>158</v>
      </c>
    </row>
    <row r="1071" spans="1:20">
      <c r="A1071" s="9" t="s">
        <v>801</v>
      </c>
      <c r="B1071" s="30" t="s">
        <v>802</v>
      </c>
      <c r="C1071" s="30" t="str">
        <f>CONCATENATE(VOL_VOLUMEN_SUMINISTROS[[#This Row],[Proyecto]],VOL_VOLUMEN_SUMINISTROS[[#This Row],[J]],VOL_VOLUMEN_SUMINISTROS[[#This Row],[FIN DE SEMANA]])</f>
        <v>1052-1MNO</v>
      </c>
      <c r="D1071" s="365" t="str">
        <f>CONCATENATE(VOL_VOLUMEN_SUMINISTROS[[#This Row],[Grupo]],VOL_VOLUMEN_SUMINISTROS[[#This Row],[Proyecto]],VOL_VOLUMEN_SUMINISTROS[[#This Row],[FIN DE SEMANA]])</f>
        <v>191052-1NO</v>
      </c>
      <c r="E1071" s="30" t="s">
        <v>147</v>
      </c>
      <c r="F1071" s="30" t="s">
        <v>734</v>
      </c>
      <c r="G1071" s="365">
        <v>19</v>
      </c>
      <c r="H1071" s="30">
        <v>11</v>
      </c>
      <c r="I1071" s="9" t="s">
        <v>803</v>
      </c>
      <c r="J1071" s="9" t="s">
        <v>822</v>
      </c>
      <c r="K1071" s="30">
        <v>1</v>
      </c>
      <c r="L1071" s="9" t="s">
        <v>153</v>
      </c>
      <c r="M1071" s="30" t="s">
        <v>84</v>
      </c>
      <c r="N1071" s="30" t="s">
        <v>152</v>
      </c>
      <c r="O1071" s="24">
        <v>0</v>
      </c>
      <c r="P1071" s="24">
        <v>141</v>
      </c>
      <c r="Q1071" s="24">
        <v>242</v>
      </c>
      <c r="R1071" s="24">
        <v>0</v>
      </c>
      <c r="S1071" s="24">
        <v>0</v>
      </c>
      <c r="T1071" s="24">
        <v>383</v>
      </c>
    </row>
    <row r="1072" spans="1:20">
      <c r="A1072" s="9" t="s">
        <v>801</v>
      </c>
      <c r="B1072" s="30" t="s">
        <v>802</v>
      </c>
      <c r="C1072" s="30" t="str">
        <f>CONCATENATE(VOL_VOLUMEN_SUMINISTROS[[#This Row],[Proyecto]],VOL_VOLUMEN_SUMINISTROS[[#This Row],[J]],VOL_VOLUMEN_SUMINISTROS[[#This Row],[FIN DE SEMANA]])</f>
        <v>1052-1MNO</v>
      </c>
      <c r="D1072" s="365" t="str">
        <f>CONCATENATE(VOL_VOLUMEN_SUMINISTROS[[#This Row],[Grupo]],VOL_VOLUMEN_SUMINISTROS[[#This Row],[Proyecto]],VOL_VOLUMEN_SUMINISTROS[[#This Row],[FIN DE SEMANA]])</f>
        <v>191052-1NO</v>
      </c>
      <c r="E1072" s="30" t="s">
        <v>147</v>
      </c>
      <c r="F1072" s="30" t="s">
        <v>734</v>
      </c>
      <c r="G1072" s="365">
        <v>19</v>
      </c>
      <c r="H1072" s="30">
        <v>11</v>
      </c>
      <c r="I1072" s="9" t="s">
        <v>803</v>
      </c>
      <c r="J1072" s="9" t="s">
        <v>823</v>
      </c>
      <c r="K1072" s="30">
        <v>1</v>
      </c>
      <c r="L1072" s="9" t="s">
        <v>153</v>
      </c>
      <c r="M1072" s="30" t="s">
        <v>84</v>
      </c>
      <c r="N1072" s="30" t="s">
        <v>152</v>
      </c>
      <c r="O1072" s="24">
        <v>2</v>
      </c>
      <c r="P1072" s="24">
        <v>67</v>
      </c>
      <c r="Q1072" s="24">
        <v>185</v>
      </c>
      <c r="R1072" s="24">
        <v>0</v>
      </c>
      <c r="S1072" s="24">
        <v>0</v>
      </c>
      <c r="T1072" s="24">
        <v>254</v>
      </c>
    </row>
    <row r="1073" spans="1:20">
      <c r="A1073" s="9" t="s">
        <v>801</v>
      </c>
      <c r="B1073" s="30" t="s">
        <v>802</v>
      </c>
      <c r="C1073" s="30" t="str">
        <f>CONCATENATE(VOL_VOLUMEN_SUMINISTROS[[#This Row],[Proyecto]],VOL_VOLUMEN_SUMINISTROS[[#This Row],[J]],VOL_VOLUMEN_SUMINISTROS[[#This Row],[FIN DE SEMANA]])</f>
        <v>1052-1MNO</v>
      </c>
      <c r="D1073" s="365" t="str">
        <f>CONCATENATE(VOL_VOLUMEN_SUMINISTROS[[#This Row],[Grupo]],VOL_VOLUMEN_SUMINISTROS[[#This Row],[Proyecto]],VOL_VOLUMEN_SUMINISTROS[[#This Row],[FIN DE SEMANA]])</f>
        <v>191052-1NO</v>
      </c>
      <c r="E1073" s="30" t="s">
        <v>147</v>
      </c>
      <c r="F1073" s="30" t="s">
        <v>734</v>
      </c>
      <c r="G1073" s="365">
        <v>19</v>
      </c>
      <c r="H1073" s="30">
        <v>11</v>
      </c>
      <c r="I1073" s="9" t="s">
        <v>803</v>
      </c>
      <c r="J1073" s="9" t="s">
        <v>824</v>
      </c>
      <c r="K1073" s="30">
        <v>1</v>
      </c>
      <c r="L1073" s="9" t="s">
        <v>153</v>
      </c>
      <c r="M1073" s="30" t="s">
        <v>84</v>
      </c>
      <c r="N1073" s="30" t="s">
        <v>152</v>
      </c>
      <c r="O1073" s="24">
        <v>0</v>
      </c>
      <c r="P1073" s="24">
        <v>90</v>
      </c>
      <c r="Q1073" s="24">
        <v>150</v>
      </c>
      <c r="R1073" s="24">
        <v>0</v>
      </c>
      <c r="S1073" s="24">
        <v>0</v>
      </c>
      <c r="T1073" s="24">
        <v>240</v>
      </c>
    </row>
    <row r="1074" spans="1:20">
      <c r="A1074" s="9" t="s">
        <v>801</v>
      </c>
      <c r="B1074" s="30" t="s">
        <v>802</v>
      </c>
      <c r="C1074" s="30" t="str">
        <f>CONCATENATE(VOL_VOLUMEN_SUMINISTROS[[#This Row],[Proyecto]],VOL_VOLUMEN_SUMINISTROS[[#This Row],[J]],VOL_VOLUMEN_SUMINISTROS[[#This Row],[FIN DE SEMANA]])</f>
        <v>1052-1MNO</v>
      </c>
      <c r="D1074" s="365" t="str">
        <f>CONCATENATE(VOL_VOLUMEN_SUMINISTROS[[#This Row],[Grupo]],VOL_VOLUMEN_SUMINISTROS[[#This Row],[Proyecto]],VOL_VOLUMEN_SUMINISTROS[[#This Row],[FIN DE SEMANA]])</f>
        <v>191052-1NO</v>
      </c>
      <c r="E1074" s="30" t="s">
        <v>147</v>
      </c>
      <c r="F1074" s="30" t="s">
        <v>734</v>
      </c>
      <c r="G1074" s="365">
        <v>19</v>
      </c>
      <c r="H1074" s="30">
        <v>11</v>
      </c>
      <c r="I1074" s="9" t="s">
        <v>803</v>
      </c>
      <c r="J1074" s="9" t="s">
        <v>825</v>
      </c>
      <c r="K1074" s="30">
        <v>1</v>
      </c>
      <c r="L1074" s="9" t="s">
        <v>153</v>
      </c>
      <c r="M1074" s="30" t="s">
        <v>84</v>
      </c>
      <c r="N1074" s="30" t="s">
        <v>152</v>
      </c>
      <c r="O1074" s="24">
        <v>2</v>
      </c>
      <c r="P1074" s="24">
        <v>22</v>
      </c>
      <c r="Q1074" s="24">
        <v>50</v>
      </c>
      <c r="R1074" s="24">
        <v>0</v>
      </c>
      <c r="S1074" s="24">
        <v>0</v>
      </c>
      <c r="T1074" s="24">
        <v>74</v>
      </c>
    </row>
    <row r="1075" spans="1:20">
      <c r="A1075" s="9" t="s">
        <v>801</v>
      </c>
      <c r="B1075" s="30" t="s">
        <v>826</v>
      </c>
      <c r="C1075" s="30" t="str">
        <f>CONCATENATE(VOL_VOLUMEN_SUMINISTROS[[#This Row],[Proyecto]],VOL_VOLUMEN_SUMINISTROS[[#This Row],[J]],VOL_VOLUMEN_SUMINISTROS[[#This Row],[FIN DE SEMANA]])</f>
        <v>1052-1MNO</v>
      </c>
      <c r="D1075" s="365" t="str">
        <f>CONCATENATE(VOL_VOLUMEN_SUMINISTROS[[#This Row],[Grupo]],VOL_VOLUMEN_SUMINISTROS[[#This Row],[Proyecto]],VOL_VOLUMEN_SUMINISTROS[[#This Row],[FIN DE SEMANA]])</f>
        <v>201052-1NO</v>
      </c>
      <c r="E1075" s="30" t="s">
        <v>147</v>
      </c>
      <c r="F1075" s="30" t="s">
        <v>734</v>
      </c>
      <c r="G1075" s="365">
        <v>20</v>
      </c>
      <c r="H1075" s="30">
        <v>11</v>
      </c>
      <c r="I1075" s="9" t="s">
        <v>803</v>
      </c>
      <c r="J1075" s="9" t="s">
        <v>827</v>
      </c>
      <c r="K1075" s="30">
        <v>3</v>
      </c>
      <c r="L1075" s="9" t="s">
        <v>828</v>
      </c>
      <c r="M1075" s="30" t="s">
        <v>84</v>
      </c>
      <c r="N1075" s="30" t="s">
        <v>152</v>
      </c>
      <c r="O1075" s="24">
        <v>358</v>
      </c>
      <c r="P1075" s="24">
        <v>473</v>
      </c>
      <c r="Q1075" s="24">
        <v>265</v>
      </c>
      <c r="R1075" s="24">
        <v>0</v>
      </c>
      <c r="S1075" s="24">
        <v>0</v>
      </c>
      <c r="T1075" s="24">
        <v>1096</v>
      </c>
    </row>
    <row r="1076" spans="1:20">
      <c r="A1076" s="9" t="s">
        <v>801</v>
      </c>
      <c r="B1076" s="30" t="s">
        <v>826</v>
      </c>
      <c r="C1076" s="30" t="str">
        <f>CONCATENATE(VOL_VOLUMEN_SUMINISTROS[[#This Row],[Proyecto]],VOL_VOLUMEN_SUMINISTROS[[#This Row],[J]],VOL_VOLUMEN_SUMINISTROS[[#This Row],[FIN DE SEMANA]])</f>
        <v>1052-1TNO</v>
      </c>
      <c r="D1076" s="365" t="str">
        <f>CONCATENATE(VOL_VOLUMEN_SUMINISTROS[[#This Row],[Grupo]],VOL_VOLUMEN_SUMINISTROS[[#This Row],[Proyecto]],VOL_VOLUMEN_SUMINISTROS[[#This Row],[FIN DE SEMANA]])</f>
        <v>201052-1NO</v>
      </c>
      <c r="E1076" s="30" t="s">
        <v>147</v>
      </c>
      <c r="F1076" s="30" t="s">
        <v>734</v>
      </c>
      <c r="G1076" s="365">
        <v>20</v>
      </c>
      <c r="H1076" s="30">
        <v>11</v>
      </c>
      <c r="I1076" s="9" t="s">
        <v>803</v>
      </c>
      <c r="J1076" s="9" t="s">
        <v>827</v>
      </c>
      <c r="K1076" s="30">
        <v>3</v>
      </c>
      <c r="L1076" s="9" t="s">
        <v>828</v>
      </c>
      <c r="M1076" s="30" t="s">
        <v>84</v>
      </c>
      <c r="N1076" s="30" t="s">
        <v>155</v>
      </c>
      <c r="O1076" s="24">
        <v>527</v>
      </c>
      <c r="P1076" s="24">
        <v>332</v>
      </c>
      <c r="Q1076" s="24">
        <v>180</v>
      </c>
      <c r="R1076" s="24">
        <v>0</v>
      </c>
      <c r="S1076" s="24">
        <v>0</v>
      </c>
      <c r="T1076" s="24">
        <v>1039</v>
      </c>
    </row>
    <row r="1077" spans="1:20">
      <c r="A1077" s="9" t="s">
        <v>829</v>
      </c>
      <c r="B1077" s="30" t="s">
        <v>830</v>
      </c>
      <c r="C1077" s="30" t="str">
        <f>CONCATENATE(VOL_VOLUMEN_SUMINISTROS[[#This Row],[Proyecto]],VOL_VOLUMEN_SUMINISTROS[[#This Row],[J]],VOL_VOLUMEN_SUMINISTROS[[#This Row],[FIN DE SEMANA]])</f>
        <v>1052-1MNO</v>
      </c>
      <c r="D1077" s="365" t="str">
        <f>CONCATENATE(VOL_VOLUMEN_SUMINISTROS[[#This Row],[Grupo]],VOL_VOLUMEN_SUMINISTROS[[#This Row],[Proyecto]],VOL_VOLUMEN_SUMINISTROS[[#This Row],[FIN DE SEMANA]])</f>
        <v>171052-1NO</v>
      </c>
      <c r="E1077" s="30" t="s">
        <v>147</v>
      </c>
      <c r="F1077" s="30" t="s">
        <v>148</v>
      </c>
      <c r="G1077" s="365">
        <v>17</v>
      </c>
      <c r="H1077" s="30">
        <v>10</v>
      </c>
      <c r="I1077" s="9" t="s">
        <v>331</v>
      </c>
      <c r="J1077" s="9" t="s">
        <v>831</v>
      </c>
      <c r="K1077" s="30">
        <v>1</v>
      </c>
      <c r="L1077" s="9" t="s">
        <v>832</v>
      </c>
      <c r="M1077" s="30" t="s">
        <v>84</v>
      </c>
      <c r="N1077" s="30" t="s">
        <v>152</v>
      </c>
      <c r="O1077" s="24">
        <v>0</v>
      </c>
      <c r="P1077" s="24">
        <v>285</v>
      </c>
      <c r="Q1077" s="24">
        <v>561</v>
      </c>
      <c r="R1077" s="24">
        <v>0</v>
      </c>
      <c r="S1077" s="24">
        <v>0</v>
      </c>
      <c r="T1077" s="24">
        <v>846</v>
      </c>
    </row>
    <row r="1078" spans="1:20">
      <c r="A1078" s="9" t="s">
        <v>829</v>
      </c>
      <c r="B1078" s="30" t="s">
        <v>830</v>
      </c>
      <c r="C1078" s="30" t="str">
        <f>CONCATENATE(VOL_VOLUMEN_SUMINISTROS[[#This Row],[Proyecto]],VOL_VOLUMEN_SUMINISTROS[[#This Row],[J]],VOL_VOLUMEN_SUMINISTROS[[#This Row],[FIN DE SEMANA]])</f>
        <v>1052-1TNO</v>
      </c>
      <c r="D1078" s="365" t="str">
        <f>CONCATENATE(VOL_VOLUMEN_SUMINISTROS[[#This Row],[Grupo]],VOL_VOLUMEN_SUMINISTROS[[#This Row],[Proyecto]],VOL_VOLUMEN_SUMINISTROS[[#This Row],[FIN DE SEMANA]])</f>
        <v>171052-1NO</v>
      </c>
      <c r="E1078" s="30" t="s">
        <v>147</v>
      </c>
      <c r="F1078" s="30" t="s">
        <v>148</v>
      </c>
      <c r="G1078" s="365">
        <v>17</v>
      </c>
      <c r="H1078" s="30">
        <v>10</v>
      </c>
      <c r="I1078" s="9" t="s">
        <v>331</v>
      </c>
      <c r="J1078" s="9" t="s">
        <v>831</v>
      </c>
      <c r="K1078" s="30">
        <v>1</v>
      </c>
      <c r="L1078" s="9" t="s">
        <v>832</v>
      </c>
      <c r="M1078" s="30" t="s">
        <v>84</v>
      </c>
      <c r="N1078" s="30" t="s">
        <v>155</v>
      </c>
      <c r="O1078" s="24">
        <v>0</v>
      </c>
      <c r="P1078" s="24">
        <v>201</v>
      </c>
      <c r="Q1078" s="24">
        <v>477</v>
      </c>
      <c r="R1078" s="24">
        <v>0</v>
      </c>
      <c r="S1078" s="24">
        <v>0</v>
      </c>
      <c r="T1078" s="24">
        <v>678</v>
      </c>
    </row>
    <row r="1079" spans="1:20">
      <c r="A1079" s="9" t="s">
        <v>829</v>
      </c>
      <c r="B1079" s="30" t="s">
        <v>830</v>
      </c>
      <c r="C1079" s="30" t="str">
        <f>CONCATENATE(VOL_VOLUMEN_SUMINISTROS[[#This Row],[Proyecto]],VOL_VOLUMEN_SUMINISTROS[[#This Row],[J]],VOL_VOLUMEN_SUMINISTROS[[#This Row],[FIN DE SEMANA]])</f>
        <v>1052-1MNO</v>
      </c>
      <c r="D1079" s="365" t="str">
        <f>CONCATENATE(VOL_VOLUMEN_SUMINISTROS[[#This Row],[Grupo]],VOL_VOLUMEN_SUMINISTROS[[#This Row],[Proyecto]],VOL_VOLUMEN_SUMINISTROS[[#This Row],[FIN DE SEMANA]])</f>
        <v>171052-1NO</v>
      </c>
      <c r="E1079" s="30" t="s">
        <v>147</v>
      </c>
      <c r="F1079" s="30" t="s">
        <v>148</v>
      </c>
      <c r="G1079" s="365">
        <v>17</v>
      </c>
      <c r="H1079" s="30">
        <v>10</v>
      </c>
      <c r="I1079" s="9" t="s">
        <v>331</v>
      </c>
      <c r="J1079" s="9" t="s">
        <v>831</v>
      </c>
      <c r="K1079" s="30">
        <v>2</v>
      </c>
      <c r="L1079" s="9" t="s">
        <v>833</v>
      </c>
      <c r="M1079" s="30" t="s">
        <v>84</v>
      </c>
      <c r="N1079" s="30" t="s">
        <v>152</v>
      </c>
      <c r="O1079" s="24">
        <v>366</v>
      </c>
      <c r="P1079" s="24">
        <v>287</v>
      </c>
      <c r="Q1079" s="24">
        <v>51</v>
      </c>
      <c r="R1079" s="24">
        <v>0</v>
      </c>
      <c r="S1079" s="24">
        <v>0</v>
      </c>
      <c r="T1079" s="24">
        <v>704</v>
      </c>
    </row>
    <row r="1080" spans="1:20">
      <c r="A1080" s="9" t="s">
        <v>829</v>
      </c>
      <c r="B1080" s="30" t="s">
        <v>830</v>
      </c>
      <c r="C1080" s="30" t="str">
        <f>CONCATENATE(VOL_VOLUMEN_SUMINISTROS[[#This Row],[Proyecto]],VOL_VOLUMEN_SUMINISTROS[[#This Row],[J]],VOL_VOLUMEN_SUMINISTROS[[#This Row],[FIN DE SEMANA]])</f>
        <v>1052-1TNO</v>
      </c>
      <c r="D1080" s="365" t="str">
        <f>CONCATENATE(VOL_VOLUMEN_SUMINISTROS[[#This Row],[Grupo]],VOL_VOLUMEN_SUMINISTROS[[#This Row],[Proyecto]],VOL_VOLUMEN_SUMINISTROS[[#This Row],[FIN DE SEMANA]])</f>
        <v>171052-1NO</v>
      </c>
      <c r="E1080" s="30" t="s">
        <v>147</v>
      </c>
      <c r="F1080" s="30" t="s">
        <v>148</v>
      </c>
      <c r="G1080" s="365">
        <v>17</v>
      </c>
      <c r="H1080" s="30">
        <v>10</v>
      </c>
      <c r="I1080" s="9" t="s">
        <v>331</v>
      </c>
      <c r="J1080" s="9" t="s">
        <v>831</v>
      </c>
      <c r="K1080" s="30">
        <v>2</v>
      </c>
      <c r="L1080" s="9" t="s">
        <v>833</v>
      </c>
      <c r="M1080" s="30" t="s">
        <v>84</v>
      </c>
      <c r="N1080" s="30" t="s">
        <v>155</v>
      </c>
      <c r="O1080" s="24">
        <v>338</v>
      </c>
      <c r="P1080" s="24">
        <v>287</v>
      </c>
      <c r="Q1080" s="24">
        <v>60</v>
      </c>
      <c r="R1080" s="24">
        <v>0</v>
      </c>
      <c r="S1080" s="24">
        <v>0</v>
      </c>
      <c r="T1080" s="24">
        <v>685</v>
      </c>
    </row>
    <row r="1081" spans="1:20">
      <c r="A1081" s="9" t="s">
        <v>829</v>
      </c>
      <c r="B1081" s="30" t="s">
        <v>830</v>
      </c>
      <c r="C1081" s="30" t="str">
        <f>CONCATENATE(VOL_VOLUMEN_SUMINISTROS[[#This Row],[Proyecto]],VOL_VOLUMEN_SUMINISTROS[[#This Row],[J]],VOL_VOLUMEN_SUMINISTROS[[#This Row],[FIN DE SEMANA]])</f>
        <v>1052-1MNO</v>
      </c>
      <c r="D1081" s="365" t="str">
        <f>CONCATENATE(VOL_VOLUMEN_SUMINISTROS[[#This Row],[Grupo]],VOL_VOLUMEN_SUMINISTROS[[#This Row],[Proyecto]],VOL_VOLUMEN_SUMINISTROS[[#This Row],[FIN DE SEMANA]])</f>
        <v>171052-1NO</v>
      </c>
      <c r="E1081" s="30" t="s">
        <v>147</v>
      </c>
      <c r="F1081" s="30" t="s">
        <v>148</v>
      </c>
      <c r="G1081" s="365">
        <v>17</v>
      </c>
      <c r="H1081" s="30">
        <v>10</v>
      </c>
      <c r="I1081" s="9" t="s">
        <v>331</v>
      </c>
      <c r="J1081" s="9" t="s">
        <v>834</v>
      </c>
      <c r="K1081" s="30">
        <v>1</v>
      </c>
      <c r="L1081" s="9" t="s">
        <v>835</v>
      </c>
      <c r="M1081" s="30" t="s">
        <v>84</v>
      </c>
      <c r="N1081" s="30" t="s">
        <v>152</v>
      </c>
      <c r="O1081" s="24">
        <v>88</v>
      </c>
      <c r="P1081" s="24">
        <v>350</v>
      </c>
      <c r="Q1081" s="24">
        <v>417</v>
      </c>
      <c r="R1081" s="24">
        <v>0</v>
      </c>
      <c r="S1081" s="24">
        <v>0</v>
      </c>
      <c r="T1081" s="24">
        <v>855</v>
      </c>
    </row>
    <row r="1082" spans="1:20">
      <c r="A1082" s="9" t="s">
        <v>829</v>
      </c>
      <c r="B1082" s="30" t="s">
        <v>830</v>
      </c>
      <c r="C1082" s="30" t="str">
        <f>CONCATENATE(VOL_VOLUMEN_SUMINISTROS[[#This Row],[Proyecto]],VOL_VOLUMEN_SUMINISTROS[[#This Row],[J]],VOL_VOLUMEN_SUMINISTROS[[#This Row],[FIN DE SEMANA]])</f>
        <v>1052-1MNO</v>
      </c>
      <c r="D1082" s="365" t="str">
        <f>CONCATENATE(VOL_VOLUMEN_SUMINISTROS[[#This Row],[Grupo]],VOL_VOLUMEN_SUMINISTROS[[#This Row],[Proyecto]],VOL_VOLUMEN_SUMINISTROS[[#This Row],[FIN DE SEMANA]])</f>
        <v>171052-1NO</v>
      </c>
      <c r="E1082" s="30" t="s">
        <v>147</v>
      </c>
      <c r="F1082" s="30" t="s">
        <v>148</v>
      </c>
      <c r="G1082" s="365">
        <v>17</v>
      </c>
      <c r="H1082" s="30">
        <v>10</v>
      </c>
      <c r="I1082" s="9" t="s">
        <v>331</v>
      </c>
      <c r="J1082" s="9" t="s">
        <v>834</v>
      </c>
      <c r="K1082" s="30">
        <v>2</v>
      </c>
      <c r="L1082" s="9" t="s">
        <v>165</v>
      </c>
      <c r="M1082" s="30" t="s">
        <v>84</v>
      </c>
      <c r="N1082" s="30" t="s">
        <v>152</v>
      </c>
      <c r="O1082" s="24">
        <v>202</v>
      </c>
      <c r="P1082" s="24">
        <v>21</v>
      </c>
      <c r="Q1082" s="24">
        <v>0</v>
      </c>
      <c r="R1082" s="24">
        <v>0</v>
      </c>
      <c r="S1082" s="24">
        <v>0</v>
      </c>
      <c r="T1082" s="24">
        <v>223</v>
      </c>
    </row>
    <row r="1083" spans="1:20">
      <c r="A1083" s="9" t="s">
        <v>829</v>
      </c>
      <c r="B1083" s="30" t="s">
        <v>830</v>
      </c>
      <c r="C1083" s="30" t="str">
        <f>CONCATENATE(VOL_VOLUMEN_SUMINISTROS[[#This Row],[Proyecto]],VOL_VOLUMEN_SUMINISTROS[[#This Row],[J]],VOL_VOLUMEN_SUMINISTROS[[#This Row],[FIN DE SEMANA]])</f>
        <v>1052-1MNO</v>
      </c>
      <c r="D1083" s="365" t="str">
        <f>CONCATENATE(VOL_VOLUMEN_SUMINISTROS[[#This Row],[Grupo]],VOL_VOLUMEN_SUMINISTROS[[#This Row],[Proyecto]],VOL_VOLUMEN_SUMINISTROS[[#This Row],[FIN DE SEMANA]])</f>
        <v>171052-1NO</v>
      </c>
      <c r="E1083" s="30" t="s">
        <v>147</v>
      </c>
      <c r="F1083" s="30" t="s">
        <v>148</v>
      </c>
      <c r="G1083" s="365">
        <v>17</v>
      </c>
      <c r="H1083" s="30">
        <v>10</v>
      </c>
      <c r="I1083" s="9" t="s">
        <v>331</v>
      </c>
      <c r="J1083" s="9" t="s">
        <v>836</v>
      </c>
      <c r="K1083" s="30">
        <v>1</v>
      </c>
      <c r="L1083" s="9" t="s">
        <v>837</v>
      </c>
      <c r="M1083" s="30" t="s">
        <v>84</v>
      </c>
      <c r="N1083" s="30" t="s">
        <v>152</v>
      </c>
      <c r="O1083" s="24">
        <v>143</v>
      </c>
      <c r="P1083" s="24">
        <v>82</v>
      </c>
      <c r="Q1083" s="24">
        <v>16</v>
      </c>
      <c r="R1083" s="24">
        <v>0</v>
      </c>
      <c r="S1083" s="24">
        <v>0</v>
      </c>
      <c r="T1083" s="24">
        <v>241</v>
      </c>
    </row>
    <row r="1084" spans="1:20">
      <c r="A1084" s="9" t="s">
        <v>829</v>
      </c>
      <c r="B1084" s="30" t="s">
        <v>830</v>
      </c>
      <c r="C1084" s="30" t="str">
        <f>CONCATENATE(VOL_VOLUMEN_SUMINISTROS[[#This Row],[Proyecto]],VOL_VOLUMEN_SUMINISTROS[[#This Row],[J]],VOL_VOLUMEN_SUMINISTROS[[#This Row],[FIN DE SEMANA]])</f>
        <v>1052-1TNO</v>
      </c>
      <c r="D1084" s="365" t="str">
        <f>CONCATENATE(VOL_VOLUMEN_SUMINISTROS[[#This Row],[Grupo]],VOL_VOLUMEN_SUMINISTROS[[#This Row],[Proyecto]],VOL_VOLUMEN_SUMINISTROS[[#This Row],[FIN DE SEMANA]])</f>
        <v>171052-1NO</v>
      </c>
      <c r="E1084" s="30" t="s">
        <v>147</v>
      </c>
      <c r="F1084" s="30" t="s">
        <v>148</v>
      </c>
      <c r="G1084" s="365">
        <v>17</v>
      </c>
      <c r="H1084" s="30">
        <v>10</v>
      </c>
      <c r="I1084" s="9" t="s">
        <v>331</v>
      </c>
      <c r="J1084" s="9" t="s">
        <v>836</v>
      </c>
      <c r="K1084" s="30">
        <v>1</v>
      </c>
      <c r="L1084" s="9" t="s">
        <v>837</v>
      </c>
      <c r="M1084" s="30" t="s">
        <v>84</v>
      </c>
      <c r="N1084" s="30" t="s">
        <v>155</v>
      </c>
      <c r="O1084" s="24">
        <v>96</v>
      </c>
      <c r="P1084" s="24">
        <v>76</v>
      </c>
      <c r="Q1084" s="24">
        <v>15</v>
      </c>
      <c r="R1084" s="24">
        <v>0</v>
      </c>
      <c r="S1084" s="24">
        <v>0</v>
      </c>
      <c r="T1084" s="24">
        <v>187</v>
      </c>
    </row>
    <row r="1085" spans="1:20">
      <c r="A1085" s="9" t="s">
        <v>829</v>
      </c>
      <c r="B1085" s="30" t="s">
        <v>830</v>
      </c>
      <c r="C1085" s="30" t="str">
        <f>CONCATENATE(VOL_VOLUMEN_SUMINISTROS[[#This Row],[Proyecto]],VOL_VOLUMEN_SUMINISTROS[[#This Row],[J]],VOL_VOLUMEN_SUMINISTROS[[#This Row],[FIN DE SEMANA]])</f>
        <v>1052-1MNO</v>
      </c>
      <c r="D1085" s="365" t="str">
        <f>CONCATENATE(VOL_VOLUMEN_SUMINISTROS[[#This Row],[Grupo]],VOL_VOLUMEN_SUMINISTROS[[#This Row],[Proyecto]],VOL_VOLUMEN_SUMINISTROS[[#This Row],[FIN DE SEMANA]])</f>
        <v>171052-1NO</v>
      </c>
      <c r="E1085" s="30" t="s">
        <v>147</v>
      </c>
      <c r="F1085" s="30" t="s">
        <v>148</v>
      </c>
      <c r="G1085" s="365">
        <v>17</v>
      </c>
      <c r="H1085" s="30">
        <v>10</v>
      </c>
      <c r="I1085" s="9" t="s">
        <v>331</v>
      </c>
      <c r="J1085" s="9" t="s">
        <v>836</v>
      </c>
      <c r="K1085" s="30">
        <v>2</v>
      </c>
      <c r="L1085" s="9" t="s">
        <v>837</v>
      </c>
      <c r="M1085" s="30" t="s">
        <v>84</v>
      </c>
      <c r="N1085" s="30" t="s">
        <v>152</v>
      </c>
      <c r="O1085" s="24">
        <v>91</v>
      </c>
      <c r="P1085" s="24">
        <v>81</v>
      </c>
      <c r="Q1085" s="24">
        <v>16</v>
      </c>
      <c r="R1085" s="24">
        <v>0</v>
      </c>
      <c r="S1085" s="24">
        <v>0</v>
      </c>
      <c r="T1085" s="24">
        <v>188</v>
      </c>
    </row>
    <row r="1086" spans="1:20">
      <c r="A1086" s="9" t="s">
        <v>829</v>
      </c>
      <c r="B1086" s="30" t="s">
        <v>830</v>
      </c>
      <c r="C1086" s="30" t="str">
        <f>CONCATENATE(VOL_VOLUMEN_SUMINISTROS[[#This Row],[Proyecto]],VOL_VOLUMEN_SUMINISTROS[[#This Row],[J]],VOL_VOLUMEN_SUMINISTROS[[#This Row],[FIN DE SEMANA]])</f>
        <v>1052-1TNO</v>
      </c>
      <c r="D1086" s="365" t="str">
        <f>CONCATENATE(VOL_VOLUMEN_SUMINISTROS[[#This Row],[Grupo]],VOL_VOLUMEN_SUMINISTROS[[#This Row],[Proyecto]],VOL_VOLUMEN_SUMINISTROS[[#This Row],[FIN DE SEMANA]])</f>
        <v>171052-1NO</v>
      </c>
      <c r="E1086" s="30" t="s">
        <v>147</v>
      </c>
      <c r="F1086" s="30" t="s">
        <v>148</v>
      </c>
      <c r="G1086" s="365">
        <v>17</v>
      </c>
      <c r="H1086" s="30">
        <v>10</v>
      </c>
      <c r="I1086" s="9" t="s">
        <v>331</v>
      </c>
      <c r="J1086" s="9" t="s">
        <v>836</v>
      </c>
      <c r="K1086" s="30">
        <v>2</v>
      </c>
      <c r="L1086" s="9" t="s">
        <v>837</v>
      </c>
      <c r="M1086" s="30" t="s">
        <v>84</v>
      </c>
      <c r="N1086" s="30" t="s">
        <v>155</v>
      </c>
      <c r="O1086" s="24">
        <v>60</v>
      </c>
      <c r="P1086" s="24">
        <v>72</v>
      </c>
      <c r="Q1086" s="24">
        <v>14</v>
      </c>
      <c r="R1086" s="24">
        <v>0</v>
      </c>
      <c r="S1086" s="24">
        <v>0</v>
      </c>
      <c r="T1086" s="24">
        <v>146</v>
      </c>
    </row>
    <row r="1087" spans="1:20">
      <c r="A1087" s="9" t="s">
        <v>829</v>
      </c>
      <c r="B1087" s="30" t="s">
        <v>830</v>
      </c>
      <c r="C1087" s="30" t="str">
        <f>CONCATENATE(VOL_VOLUMEN_SUMINISTROS[[#This Row],[Proyecto]],VOL_VOLUMEN_SUMINISTROS[[#This Row],[J]],VOL_VOLUMEN_SUMINISTROS[[#This Row],[FIN DE SEMANA]])</f>
        <v>1052-1MNO</v>
      </c>
      <c r="D1087" s="365" t="str">
        <f>CONCATENATE(VOL_VOLUMEN_SUMINISTROS[[#This Row],[Grupo]],VOL_VOLUMEN_SUMINISTROS[[#This Row],[Proyecto]],VOL_VOLUMEN_SUMINISTROS[[#This Row],[FIN DE SEMANA]])</f>
        <v>171052-1NO</v>
      </c>
      <c r="E1087" s="30" t="s">
        <v>147</v>
      </c>
      <c r="F1087" s="30" t="s">
        <v>148</v>
      </c>
      <c r="G1087" s="365">
        <v>17</v>
      </c>
      <c r="H1087" s="30">
        <v>10</v>
      </c>
      <c r="I1087" s="9" t="s">
        <v>331</v>
      </c>
      <c r="J1087" s="9" t="s">
        <v>836</v>
      </c>
      <c r="K1087" s="30">
        <v>3</v>
      </c>
      <c r="L1087" s="9" t="s">
        <v>837</v>
      </c>
      <c r="M1087" s="30" t="s">
        <v>84</v>
      </c>
      <c r="N1087" s="30" t="s">
        <v>152</v>
      </c>
      <c r="O1087" s="24">
        <v>0</v>
      </c>
      <c r="P1087" s="24">
        <v>105</v>
      </c>
      <c r="Q1087" s="24">
        <v>304</v>
      </c>
      <c r="R1087" s="24">
        <v>0</v>
      </c>
      <c r="S1087" s="24">
        <v>0</v>
      </c>
      <c r="T1087" s="24">
        <v>409</v>
      </c>
    </row>
    <row r="1088" spans="1:20">
      <c r="A1088" s="9" t="s">
        <v>829</v>
      </c>
      <c r="B1088" s="30" t="s">
        <v>830</v>
      </c>
      <c r="C1088" s="30" t="str">
        <f>CONCATENATE(VOL_VOLUMEN_SUMINISTROS[[#This Row],[Proyecto]],VOL_VOLUMEN_SUMINISTROS[[#This Row],[J]],VOL_VOLUMEN_SUMINISTROS[[#This Row],[FIN DE SEMANA]])</f>
        <v>1052-1TNO</v>
      </c>
      <c r="D1088" s="365" t="str">
        <f>CONCATENATE(VOL_VOLUMEN_SUMINISTROS[[#This Row],[Grupo]],VOL_VOLUMEN_SUMINISTROS[[#This Row],[Proyecto]],VOL_VOLUMEN_SUMINISTROS[[#This Row],[FIN DE SEMANA]])</f>
        <v>171052-1NO</v>
      </c>
      <c r="E1088" s="30" t="s">
        <v>147</v>
      </c>
      <c r="F1088" s="30" t="s">
        <v>148</v>
      </c>
      <c r="G1088" s="365">
        <v>17</v>
      </c>
      <c r="H1088" s="30">
        <v>10</v>
      </c>
      <c r="I1088" s="9" t="s">
        <v>331</v>
      </c>
      <c r="J1088" s="9" t="s">
        <v>836</v>
      </c>
      <c r="K1088" s="30">
        <v>3</v>
      </c>
      <c r="L1088" s="9" t="s">
        <v>837</v>
      </c>
      <c r="M1088" s="30" t="s">
        <v>84</v>
      </c>
      <c r="N1088" s="30" t="s">
        <v>155</v>
      </c>
      <c r="O1088" s="24">
        <v>0</v>
      </c>
      <c r="P1088" s="24">
        <v>96</v>
      </c>
      <c r="Q1088" s="24">
        <v>231</v>
      </c>
      <c r="R1088" s="24">
        <v>0</v>
      </c>
      <c r="S1088" s="24">
        <v>0</v>
      </c>
      <c r="T1088" s="24">
        <v>327</v>
      </c>
    </row>
    <row r="1089" spans="1:20">
      <c r="A1089" s="9" t="s">
        <v>829</v>
      </c>
      <c r="B1089" s="30" t="s">
        <v>830</v>
      </c>
      <c r="C1089" s="30" t="str">
        <f>CONCATENATE(VOL_VOLUMEN_SUMINISTROS[[#This Row],[Proyecto]],VOL_VOLUMEN_SUMINISTROS[[#This Row],[J]],VOL_VOLUMEN_SUMINISTROS[[#This Row],[FIN DE SEMANA]])</f>
        <v>1052-1MNO</v>
      </c>
      <c r="D1089" s="365" t="str">
        <f>CONCATENATE(VOL_VOLUMEN_SUMINISTROS[[#This Row],[Grupo]],VOL_VOLUMEN_SUMINISTROS[[#This Row],[Proyecto]],VOL_VOLUMEN_SUMINISTROS[[#This Row],[FIN DE SEMANA]])</f>
        <v>171052-1NO</v>
      </c>
      <c r="E1089" s="30" t="s">
        <v>147</v>
      </c>
      <c r="F1089" s="30" t="s">
        <v>148</v>
      </c>
      <c r="G1089" s="365">
        <v>17</v>
      </c>
      <c r="H1089" s="30">
        <v>10</v>
      </c>
      <c r="I1089" s="9" t="s">
        <v>331</v>
      </c>
      <c r="J1089" s="9" t="s">
        <v>838</v>
      </c>
      <c r="K1089" s="30">
        <v>1</v>
      </c>
      <c r="L1089" s="9" t="s">
        <v>839</v>
      </c>
      <c r="M1089" s="30" t="s">
        <v>84</v>
      </c>
      <c r="N1089" s="30" t="s">
        <v>152</v>
      </c>
      <c r="O1089" s="24">
        <v>0</v>
      </c>
      <c r="P1089" s="24">
        <v>210</v>
      </c>
      <c r="Q1089" s="24">
        <v>192</v>
      </c>
      <c r="R1089" s="24">
        <v>0</v>
      </c>
      <c r="S1089" s="24">
        <v>0</v>
      </c>
      <c r="T1089" s="24">
        <v>402</v>
      </c>
    </row>
    <row r="1090" spans="1:20">
      <c r="A1090" s="9" t="s">
        <v>829</v>
      </c>
      <c r="B1090" s="30" t="s">
        <v>830</v>
      </c>
      <c r="C1090" s="30" t="str">
        <f>CONCATENATE(VOL_VOLUMEN_SUMINISTROS[[#This Row],[Proyecto]],VOL_VOLUMEN_SUMINISTROS[[#This Row],[J]],VOL_VOLUMEN_SUMINISTROS[[#This Row],[FIN DE SEMANA]])</f>
        <v>1052-1NNO</v>
      </c>
      <c r="D1090" s="365" t="str">
        <f>CONCATENATE(VOL_VOLUMEN_SUMINISTROS[[#This Row],[Grupo]],VOL_VOLUMEN_SUMINISTROS[[#This Row],[Proyecto]],VOL_VOLUMEN_SUMINISTROS[[#This Row],[FIN DE SEMANA]])</f>
        <v>171052-1NO</v>
      </c>
      <c r="E1090" s="30" t="s">
        <v>147</v>
      </c>
      <c r="F1090" s="30" t="s">
        <v>148</v>
      </c>
      <c r="G1090" s="365">
        <v>17</v>
      </c>
      <c r="H1090" s="30">
        <v>10</v>
      </c>
      <c r="I1090" s="9" t="s">
        <v>331</v>
      </c>
      <c r="J1090" s="9" t="s">
        <v>838</v>
      </c>
      <c r="K1090" s="30">
        <v>1</v>
      </c>
      <c r="L1090" s="9" t="s">
        <v>839</v>
      </c>
      <c r="M1090" s="30" t="s">
        <v>84</v>
      </c>
      <c r="N1090" s="30" t="s">
        <v>154</v>
      </c>
      <c r="O1090" s="24">
        <v>0</v>
      </c>
      <c r="P1090" s="24">
        <v>0</v>
      </c>
      <c r="Q1090" s="24">
        <v>0</v>
      </c>
      <c r="R1090" s="24">
        <v>133</v>
      </c>
      <c r="S1090" s="24">
        <v>111</v>
      </c>
      <c r="T1090" s="24">
        <v>244</v>
      </c>
    </row>
    <row r="1091" spans="1:20">
      <c r="A1091" s="9" t="s">
        <v>829</v>
      </c>
      <c r="B1091" s="30" t="s">
        <v>830</v>
      </c>
      <c r="C1091" s="30" t="str">
        <f>CONCATENATE(VOL_VOLUMEN_SUMINISTROS[[#This Row],[Proyecto]],VOL_VOLUMEN_SUMINISTROS[[#This Row],[J]],VOL_VOLUMEN_SUMINISTROS[[#This Row],[FIN DE SEMANA]])</f>
        <v>1052-1TNO</v>
      </c>
      <c r="D1091" s="365" t="str">
        <f>CONCATENATE(VOL_VOLUMEN_SUMINISTROS[[#This Row],[Grupo]],VOL_VOLUMEN_SUMINISTROS[[#This Row],[Proyecto]],VOL_VOLUMEN_SUMINISTROS[[#This Row],[FIN DE SEMANA]])</f>
        <v>171052-1NO</v>
      </c>
      <c r="E1091" s="30" t="s">
        <v>147</v>
      </c>
      <c r="F1091" s="30" t="s">
        <v>148</v>
      </c>
      <c r="G1091" s="365">
        <v>17</v>
      </c>
      <c r="H1091" s="30">
        <v>10</v>
      </c>
      <c r="I1091" s="9" t="s">
        <v>331</v>
      </c>
      <c r="J1091" s="9" t="s">
        <v>838</v>
      </c>
      <c r="K1091" s="30">
        <v>1</v>
      </c>
      <c r="L1091" s="9" t="s">
        <v>839</v>
      </c>
      <c r="M1091" s="30" t="s">
        <v>84</v>
      </c>
      <c r="N1091" s="30" t="s">
        <v>155</v>
      </c>
      <c r="O1091" s="24">
        <v>0</v>
      </c>
      <c r="P1091" s="24">
        <v>204</v>
      </c>
      <c r="Q1091" s="24">
        <v>148</v>
      </c>
      <c r="R1091" s="24">
        <v>0</v>
      </c>
      <c r="S1091" s="24">
        <v>0</v>
      </c>
      <c r="T1091" s="24">
        <v>352</v>
      </c>
    </row>
    <row r="1092" spans="1:20">
      <c r="A1092" s="9" t="s">
        <v>829</v>
      </c>
      <c r="B1092" s="30" t="s">
        <v>830</v>
      </c>
      <c r="C1092" s="30" t="str">
        <f>CONCATENATE(VOL_VOLUMEN_SUMINISTROS[[#This Row],[Proyecto]],VOL_VOLUMEN_SUMINISTROS[[#This Row],[J]],VOL_VOLUMEN_SUMINISTROS[[#This Row],[FIN DE SEMANA]])</f>
        <v>1052-1MNO</v>
      </c>
      <c r="D1092" s="365" t="str">
        <f>CONCATENATE(VOL_VOLUMEN_SUMINISTROS[[#This Row],[Grupo]],VOL_VOLUMEN_SUMINISTROS[[#This Row],[Proyecto]],VOL_VOLUMEN_SUMINISTROS[[#This Row],[FIN DE SEMANA]])</f>
        <v>171052-1NO</v>
      </c>
      <c r="E1092" s="30" t="s">
        <v>147</v>
      </c>
      <c r="F1092" s="30" t="s">
        <v>148</v>
      </c>
      <c r="G1092" s="365">
        <v>17</v>
      </c>
      <c r="H1092" s="30">
        <v>10</v>
      </c>
      <c r="I1092" s="9" t="s">
        <v>331</v>
      </c>
      <c r="J1092" s="9" t="s">
        <v>838</v>
      </c>
      <c r="K1092" s="30">
        <v>2</v>
      </c>
      <c r="L1092" s="9" t="s">
        <v>230</v>
      </c>
      <c r="M1092" s="30" t="s">
        <v>84</v>
      </c>
      <c r="N1092" s="30" t="s">
        <v>152</v>
      </c>
      <c r="O1092" s="24">
        <v>197</v>
      </c>
      <c r="P1092" s="24">
        <v>62</v>
      </c>
      <c r="Q1092" s="24">
        <v>0</v>
      </c>
      <c r="R1092" s="24">
        <v>0</v>
      </c>
      <c r="S1092" s="24">
        <v>0</v>
      </c>
      <c r="T1092" s="24">
        <v>259</v>
      </c>
    </row>
    <row r="1093" spans="1:20">
      <c r="A1093" s="9" t="s">
        <v>829</v>
      </c>
      <c r="B1093" s="30" t="s">
        <v>830</v>
      </c>
      <c r="C1093" s="30" t="str">
        <f>CONCATENATE(VOL_VOLUMEN_SUMINISTROS[[#This Row],[Proyecto]],VOL_VOLUMEN_SUMINISTROS[[#This Row],[J]],VOL_VOLUMEN_SUMINISTROS[[#This Row],[FIN DE SEMANA]])</f>
        <v>1052-1TNO</v>
      </c>
      <c r="D1093" s="365" t="str">
        <f>CONCATENATE(VOL_VOLUMEN_SUMINISTROS[[#This Row],[Grupo]],VOL_VOLUMEN_SUMINISTROS[[#This Row],[Proyecto]],VOL_VOLUMEN_SUMINISTROS[[#This Row],[FIN DE SEMANA]])</f>
        <v>171052-1NO</v>
      </c>
      <c r="E1093" s="30" t="s">
        <v>147</v>
      </c>
      <c r="F1093" s="30" t="s">
        <v>148</v>
      </c>
      <c r="G1093" s="365">
        <v>17</v>
      </c>
      <c r="H1093" s="30">
        <v>10</v>
      </c>
      <c r="I1093" s="9" t="s">
        <v>331</v>
      </c>
      <c r="J1093" s="9" t="s">
        <v>838</v>
      </c>
      <c r="K1093" s="30">
        <v>2</v>
      </c>
      <c r="L1093" s="9" t="s">
        <v>230</v>
      </c>
      <c r="M1093" s="30" t="s">
        <v>84</v>
      </c>
      <c r="N1093" s="30" t="s">
        <v>155</v>
      </c>
      <c r="O1093" s="24">
        <v>194</v>
      </c>
      <c r="P1093" s="24">
        <v>62</v>
      </c>
      <c r="Q1093" s="24">
        <v>0</v>
      </c>
      <c r="R1093" s="24">
        <v>0</v>
      </c>
      <c r="S1093" s="24">
        <v>0</v>
      </c>
      <c r="T1093" s="24">
        <v>256</v>
      </c>
    </row>
    <row r="1094" spans="1:20">
      <c r="A1094" s="9" t="s">
        <v>829</v>
      </c>
      <c r="B1094" s="30" t="s">
        <v>830</v>
      </c>
      <c r="C1094" s="30" t="str">
        <f>CONCATENATE(VOL_VOLUMEN_SUMINISTROS[[#This Row],[Proyecto]],VOL_VOLUMEN_SUMINISTROS[[#This Row],[J]],VOL_VOLUMEN_SUMINISTROS[[#This Row],[FIN DE SEMANA]])</f>
        <v>1052-1MNO</v>
      </c>
      <c r="D1094" s="365" t="str">
        <f>CONCATENATE(VOL_VOLUMEN_SUMINISTROS[[#This Row],[Grupo]],VOL_VOLUMEN_SUMINISTROS[[#This Row],[Proyecto]],VOL_VOLUMEN_SUMINISTROS[[#This Row],[FIN DE SEMANA]])</f>
        <v>171052-1NO</v>
      </c>
      <c r="E1094" s="30" t="s">
        <v>147</v>
      </c>
      <c r="F1094" s="30" t="s">
        <v>148</v>
      </c>
      <c r="G1094" s="365">
        <v>17</v>
      </c>
      <c r="H1094" s="30">
        <v>10</v>
      </c>
      <c r="I1094" s="9" t="s">
        <v>331</v>
      </c>
      <c r="J1094" s="9" t="s">
        <v>840</v>
      </c>
      <c r="K1094" s="30">
        <v>1</v>
      </c>
      <c r="L1094" s="9" t="s">
        <v>841</v>
      </c>
      <c r="M1094" s="30" t="s">
        <v>84</v>
      </c>
      <c r="N1094" s="30" t="s">
        <v>152</v>
      </c>
      <c r="O1094" s="24">
        <v>36</v>
      </c>
      <c r="P1094" s="24">
        <v>288</v>
      </c>
      <c r="Q1094" s="24">
        <v>610</v>
      </c>
      <c r="R1094" s="24">
        <v>0</v>
      </c>
      <c r="S1094" s="24">
        <v>0</v>
      </c>
      <c r="T1094" s="24">
        <v>934</v>
      </c>
    </row>
    <row r="1095" spans="1:20">
      <c r="A1095" s="9" t="s">
        <v>829</v>
      </c>
      <c r="B1095" s="30" t="s">
        <v>830</v>
      </c>
      <c r="C1095" s="30" t="str">
        <f>CONCATENATE(VOL_VOLUMEN_SUMINISTROS[[#This Row],[Proyecto]],VOL_VOLUMEN_SUMINISTROS[[#This Row],[J]],VOL_VOLUMEN_SUMINISTROS[[#This Row],[FIN DE SEMANA]])</f>
        <v>1052-1TNO</v>
      </c>
      <c r="D1095" s="365" t="str">
        <f>CONCATENATE(VOL_VOLUMEN_SUMINISTROS[[#This Row],[Grupo]],VOL_VOLUMEN_SUMINISTROS[[#This Row],[Proyecto]],VOL_VOLUMEN_SUMINISTROS[[#This Row],[FIN DE SEMANA]])</f>
        <v>171052-1NO</v>
      </c>
      <c r="E1095" s="30" t="s">
        <v>147</v>
      </c>
      <c r="F1095" s="30" t="s">
        <v>148</v>
      </c>
      <c r="G1095" s="365">
        <v>17</v>
      </c>
      <c r="H1095" s="30">
        <v>10</v>
      </c>
      <c r="I1095" s="9" t="s">
        <v>331</v>
      </c>
      <c r="J1095" s="9" t="s">
        <v>840</v>
      </c>
      <c r="K1095" s="30">
        <v>1</v>
      </c>
      <c r="L1095" s="9" t="s">
        <v>841</v>
      </c>
      <c r="M1095" s="30" t="s">
        <v>84</v>
      </c>
      <c r="N1095" s="30" t="s">
        <v>155</v>
      </c>
      <c r="O1095" s="24">
        <v>20</v>
      </c>
      <c r="P1095" s="24">
        <v>184</v>
      </c>
      <c r="Q1095" s="24">
        <v>325</v>
      </c>
      <c r="R1095" s="24">
        <v>0</v>
      </c>
      <c r="S1095" s="24">
        <v>0</v>
      </c>
      <c r="T1095" s="24">
        <v>529</v>
      </c>
    </row>
    <row r="1096" spans="1:20">
      <c r="A1096" s="9" t="s">
        <v>829</v>
      </c>
      <c r="B1096" s="30" t="s">
        <v>830</v>
      </c>
      <c r="C1096" s="30" t="str">
        <f>CONCATENATE(VOL_VOLUMEN_SUMINISTROS[[#This Row],[Proyecto]],VOL_VOLUMEN_SUMINISTROS[[#This Row],[J]],VOL_VOLUMEN_SUMINISTROS[[#This Row],[FIN DE SEMANA]])</f>
        <v>1052-1MNO</v>
      </c>
      <c r="D1096" s="365" t="str">
        <f>CONCATENATE(VOL_VOLUMEN_SUMINISTROS[[#This Row],[Grupo]],VOL_VOLUMEN_SUMINISTROS[[#This Row],[Proyecto]],VOL_VOLUMEN_SUMINISTROS[[#This Row],[FIN DE SEMANA]])</f>
        <v>171052-1NO</v>
      </c>
      <c r="E1096" s="30" t="s">
        <v>147</v>
      </c>
      <c r="F1096" s="30" t="s">
        <v>148</v>
      </c>
      <c r="G1096" s="365">
        <v>17</v>
      </c>
      <c r="H1096" s="30">
        <v>10</v>
      </c>
      <c r="I1096" s="9" t="s">
        <v>331</v>
      </c>
      <c r="J1096" s="9" t="s">
        <v>840</v>
      </c>
      <c r="K1096" s="30">
        <v>2</v>
      </c>
      <c r="L1096" s="9" t="s">
        <v>842</v>
      </c>
      <c r="M1096" s="30" t="s">
        <v>84</v>
      </c>
      <c r="N1096" s="30" t="s">
        <v>152</v>
      </c>
      <c r="O1096" s="24">
        <v>123</v>
      </c>
      <c r="P1096" s="24">
        <v>41</v>
      </c>
      <c r="Q1096" s="24">
        <v>0</v>
      </c>
      <c r="R1096" s="24">
        <v>0</v>
      </c>
      <c r="S1096" s="24">
        <v>0</v>
      </c>
      <c r="T1096" s="24">
        <v>164</v>
      </c>
    </row>
    <row r="1097" spans="1:20">
      <c r="A1097" s="9" t="s">
        <v>829</v>
      </c>
      <c r="B1097" s="30" t="s">
        <v>830</v>
      </c>
      <c r="C1097" s="30" t="str">
        <f>CONCATENATE(VOL_VOLUMEN_SUMINISTROS[[#This Row],[Proyecto]],VOL_VOLUMEN_SUMINISTROS[[#This Row],[J]],VOL_VOLUMEN_SUMINISTROS[[#This Row],[FIN DE SEMANA]])</f>
        <v>1052-1TNO</v>
      </c>
      <c r="D1097" s="365" t="str">
        <f>CONCATENATE(VOL_VOLUMEN_SUMINISTROS[[#This Row],[Grupo]],VOL_VOLUMEN_SUMINISTROS[[#This Row],[Proyecto]],VOL_VOLUMEN_SUMINISTROS[[#This Row],[FIN DE SEMANA]])</f>
        <v>171052-1NO</v>
      </c>
      <c r="E1097" s="30" t="s">
        <v>147</v>
      </c>
      <c r="F1097" s="30" t="s">
        <v>148</v>
      </c>
      <c r="G1097" s="365">
        <v>17</v>
      </c>
      <c r="H1097" s="30">
        <v>10</v>
      </c>
      <c r="I1097" s="9" t="s">
        <v>331</v>
      </c>
      <c r="J1097" s="9" t="s">
        <v>840</v>
      </c>
      <c r="K1097" s="30">
        <v>2</v>
      </c>
      <c r="L1097" s="9" t="s">
        <v>842</v>
      </c>
      <c r="M1097" s="30" t="s">
        <v>84</v>
      </c>
      <c r="N1097" s="30" t="s">
        <v>155</v>
      </c>
      <c r="O1097" s="24">
        <v>105</v>
      </c>
      <c r="P1097" s="24">
        <v>20</v>
      </c>
      <c r="Q1097" s="24">
        <v>0</v>
      </c>
      <c r="R1097" s="24">
        <v>0</v>
      </c>
      <c r="S1097" s="24">
        <v>0</v>
      </c>
      <c r="T1097" s="24">
        <v>125</v>
      </c>
    </row>
    <row r="1098" spans="1:20">
      <c r="A1098" s="9" t="s">
        <v>829</v>
      </c>
      <c r="B1098" s="30" t="s">
        <v>830</v>
      </c>
      <c r="C1098" s="30" t="str">
        <f>CONCATENATE(VOL_VOLUMEN_SUMINISTROS[[#This Row],[Proyecto]],VOL_VOLUMEN_SUMINISTROS[[#This Row],[J]],VOL_VOLUMEN_SUMINISTROS[[#This Row],[FIN DE SEMANA]])</f>
        <v>1052-1MNO</v>
      </c>
      <c r="D1098" s="365" t="str">
        <f>CONCATENATE(VOL_VOLUMEN_SUMINISTROS[[#This Row],[Grupo]],VOL_VOLUMEN_SUMINISTROS[[#This Row],[Proyecto]],VOL_VOLUMEN_SUMINISTROS[[#This Row],[FIN DE SEMANA]])</f>
        <v>171052-1NO</v>
      </c>
      <c r="E1098" s="30" t="s">
        <v>147</v>
      </c>
      <c r="F1098" s="30" t="s">
        <v>148</v>
      </c>
      <c r="G1098" s="365">
        <v>17</v>
      </c>
      <c r="H1098" s="30">
        <v>11</v>
      </c>
      <c r="I1098" s="9" t="s">
        <v>803</v>
      </c>
      <c r="J1098" s="9" t="s">
        <v>843</v>
      </c>
      <c r="K1098" s="30">
        <v>1</v>
      </c>
      <c r="L1098" s="9" t="s">
        <v>844</v>
      </c>
      <c r="M1098" s="30" t="s">
        <v>84</v>
      </c>
      <c r="N1098" s="30" t="s">
        <v>152</v>
      </c>
      <c r="O1098" s="24">
        <v>0</v>
      </c>
      <c r="P1098" s="24">
        <v>150</v>
      </c>
      <c r="Q1098" s="24">
        <v>479</v>
      </c>
      <c r="R1098" s="24">
        <v>0</v>
      </c>
      <c r="S1098" s="24">
        <v>0</v>
      </c>
      <c r="T1098" s="24">
        <v>629</v>
      </c>
    </row>
    <row r="1099" spans="1:20">
      <c r="A1099" s="9" t="s">
        <v>829</v>
      </c>
      <c r="B1099" s="30" t="s">
        <v>830</v>
      </c>
      <c r="C1099" s="30" t="str">
        <f>CONCATENATE(VOL_VOLUMEN_SUMINISTROS[[#This Row],[Proyecto]],VOL_VOLUMEN_SUMINISTROS[[#This Row],[J]],VOL_VOLUMEN_SUMINISTROS[[#This Row],[FIN DE SEMANA]])</f>
        <v>1052-1TNO</v>
      </c>
      <c r="D1099" s="365" t="str">
        <f>CONCATENATE(VOL_VOLUMEN_SUMINISTROS[[#This Row],[Grupo]],VOL_VOLUMEN_SUMINISTROS[[#This Row],[Proyecto]],VOL_VOLUMEN_SUMINISTROS[[#This Row],[FIN DE SEMANA]])</f>
        <v>171052-1NO</v>
      </c>
      <c r="E1099" s="30" t="s">
        <v>147</v>
      </c>
      <c r="F1099" s="30" t="s">
        <v>148</v>
      </c>
      <c r="G1099" s="365">
        <v>17</v>
      </c>
      <c r="H1099" s="30">
        <v>11</v>
      </c>
      <c r="I1099" s="9" t="s">
        <v>803</v>
      </c>
      <c r="J1099" s="9" t="s">
        <v>843</v>
      </c>
      <c r="K1099" s="30">
        <v>1</v>
      </c>
      <c r="L1099" s="9" t="s">
        <v>844</v>
      </c>
      <c r="M1099" s="30" t="s">
        <v>84</v>
      </c>
      <c r="N1099" s="30" t="s">
        <v>155</v>
      </c>
      <c r="O1099" s="24">
        <v>0</v>
      </c>
      <c r="P1099" s="24">
        <v>150</v>
      </c>
      <c r="Q1099" s="24">
        <v>446</v>
      </c>
      <c r="R1099" s="24">
        <v>0</v>
      </c>
      <c r="S1099" s="24">
        <v>0</v>
      </c>
      <c r="T1099" s="24">
        <v>596</v>
      </c>
    </row>
    <row r="1100" spans="1:20">
      <c r="A1100" s="9" t="s">
        <v>829</v>
      </c>
      <c r="B1100" s="30" t="s">
        <v>830</v>
      </c>
      <c r="C1100" s="30" t="str">
        <f>CONCATENATE(VOL_VOLUMEN_SUMINISTROS[[#This Row],[Proyecto]],VOL_VOLUMEN_SUMINISTROS[[#This Row],[J]],VOL_VOLUMEN_SUMINISTROS[[#This Row],[FIN DE SEMANA]])</f>
        <v>1052-1MNO</v>
      </c>
      <c r="D1100" s="365" t="str">
        <f>CONCATENATE(VOL_VOLUMEN_SUMINISTROS[[#This Row],[Grupo]],VOL_VOLUMEN_SUMINISTROS[[#This Row],[Proyecto]],VOL_VOLUMEN_SUMINISTROS[[#This Row],[FIN DE SEMANA]])</f>
        <v>171052-1NO</v>
      </c>
      <c r="E1100" s="30" t="s">
        <v>147</v>
      </c>
      <c r="F1100" s="30" t="s">
        <v>148</v>
      </c>
      <c r="G1100" s="365">
        <v>17</v>
      </c>
      <c r="H1100" s="30">
        <v>11</v>
      </c>
      <c r="I1100" s="9" t="s">
        <v>803</v>
      </c>
      <c r="J1100" s="9" t="s">
        <v>843</v>
      </c>
      <c r="K1100" s="30">
        <v>2</v>
      </c>
      <c r="L1100" s="9" t="s">
        <v>845</v>
      </c>
      <c r="M1100" s="30" t="s">
        <v>84</v>
      </c>
      <c r="N1100" s="30" t="s">
        <v>152</v>
      </c>
      <c r="O1100" s="24">
        <v>252</v>
      </c>
      <c r="P1100" s="24">
        <v>200</v>
      </c>
      <c r="Q1100" s="24">
        <v>40</v>
      </c>
      <c r="R1100" s="24">
        <v>0</v>
      </c>
      <c r="S1100" s="24">
        <v>0</v>
      </c>
      <c r="T1100" s="24">
        <v>492</v>
      </c>
    </row>
    <row r="1101" spans="1:20">
      <c r="A1101" s="9" t="s">
        <v>829</v>
      </c>
      <c r="B1101" s="30" t="s">
        <v>830</v>
      </c>
      <c r="C1101" s="30" t="str">
        <f>CONCATENATE(VOL_VOLUMEN_SUMINISTROS[[#This Row],[Proyecto]],VOL_VOLUMEN_SUMINISTROS[[#This Row],[J]],VOL_VOLUMEN_SUMINISTROS[[#This Row],[FIN DE SEMANA]])</f>
        <v>1052-1TNO</v>
      </c>
      <c r="D1101" s="365" t="str">
        <f>CONCATENATE(VOL_VOLUMEN_SUMINISTROS[[#This Row],[Grupo]],VOL_VOLUMEN_SUMINISTROS[[#This Row],[Proyecto]],VOL_VOLUMEN_SUMINISTROS[[#This Row],[FIN DE SEMANA]])</f>
        <v>171052-1NO</v>
      </c>
      <c r="E1101" s="30" t="s">
        <v>147</v>
      </c>
      <c r="F1101" s="30" t="s">
        <v>148</v>
      </c>
      <c r="G1101" s="365">
        <v>17</v>
      </c>
      <c r="H1101" s="30">
        <v>11</v>
      </c>
      <c r="I1101" s="9" t="s">
        <v>803</v>
      </c>
      <c r="J1101" s="9" t="s">
        <v>843</v>
      </c>
      <c r="K1101" s="30">
        <v>2</v>
      </c>
      <c r="L1101" s="9" t="s">
        <v>845</v>
      </c>
      <c r="M1101" s="30" t="s">
        <v>84</v>
      </c>
      <c r="N1101" s="30" t="s">
        <v>155</v>
      </c>
      <c r="O1101" s="24">
        <v>240</v>
      </c>
      <c r="P1101" s="24">
        <v>210</v>
      </c>
      <c r="Q1101" s="24">
        <v>40</v>
      </c>
      <c r="R1101" s="24">
        <v>0</v>
      </c>
      <c r="S1101" s="24">
        <v>0</v>
      </c>
      <c r="T1101" s="24">
        <v>490</v>
      </c>
    </row>
    <row r="1102" spans="1:20">
      <c r="A1102" s="9" t="s">
        <v>829</v>
      </c>
      <c r="B1102" s="30" t="s">
        <v>830</v>
      </c>
      <c r="C1102" s="30" t="str">
        <f>CONCATENATE(VOL_VOLUMEN_SUMINISTROS[[#This Row],[Proyecto]],VOL_VOLUMEN_SUMINISTROS[[#This Row],[J]],VOL_VOLUMEN_SUMINISTROS[[#This Row],[FIN DE SEMANA]])</f>
        <v>1052-1MNO</v>
      </c>
      <c r="D1102" s="365" t="str">
        <f>CONCATENATE(VOL_VOLUMEN_SUMINISTROS[[#This Row],[Grupo]],VOL_VOLUMEN_SUMINISTROS[[#This Row],[Proyecto]],VOL_VOLUMEN_SUMINISTROS[[#This Row],[FIN DE SEMANA]])</f>
        <v>171052-1NO</v>
      </c>
      <c r="E1102" s="30" t="s">
        <v>147</v>
      </c>
      <c r="F1102" s="30" t="s">
        <v>148</v>
      </c>
      <c r="G1102" s="365">
        <v>17</v>
      </c>
      <c r="H1102" s="30">
        <v>11</v>
      </c>
      <c r="I1102" s="9" t="s">
        <v>803</v>
      </c>
      <c r="J1102" s="9" t="s">
        <v>846</v>
      </c>
      <c r="K1102" s="30">
        <v>1</v>
      </c>
      <c r="L1102" s="9" t="s">
        <v>847</v>
      </c>
      <c r="M1102" s="30" t="s">
        <v>84</v>
      </c>
      <c r="N1102" s="30" t="s">
        <v>152</v>
      </c>
      <c r="O1102" s="24">
        <v>0</v>
      </c>
      <c r="P1102" s="24">
        <v>141</v>
      </c>
      <c r="Q1102" s="24">
        <v>272</v>
      </c>
      <c r="R1102" s="24">
        <v>0</v>
      </c>
      <c r="S1102" s="24">
        <v>0</v>
      </c>
      <c r="T1102" s="24">
        <v>413</v>
      </c>
    </row>
    <row r="1103" spans="1:20">
      <c r="A1103" s="9" t="s">
        <v>829</v>
      </c>
      <c r="B1103" s="30" t="s">
        <v>830</v>
      </c>
      <c r="C1103" s="30" t="str">
        <f>CONCATENATE(VOL_VOLUMEN_SUMINISTROS[[#This Row],[Proyecto]],VOL_VOLUMEN_SUMINISTROS[[#This Row],[J]],VOL_VOLUMEN_SUMINISTROS[[#This Row],[FIN DE SEMANA]])</f>
        <v>1052-1TNO</v>
      </c>
      <c r="D1103" s="365" t="str">
        <f>CONCATENATE(VOL_VOLUMEN_SUMINISTROS[[#This Row],[Grupo]],VOL_VOLUMEN_SUMINISTROS[[#This Row],[Proyecto]],VOL_VOLUMEN_SUMINISTROS[[#This Row],[FIN DE SEMANA]])</f>
        <v>171052-1NO</v>
      </c>
      <c r="E1103" s="30" t="s">
        <v>147</v>
      </c>
      <c r="F1103" s="30" t="s">
        <v>148</v>
      </c>
      <c r="G1103" s="365">
        <v>17</v>
      </c>
      <c r="H1103" s="30">
        <v>11</v>
      </c>
      <c r="I1103" s="9" t="s">
        <v>803</v>
      </c>
      <c r="J1103" s="9" t="s">
        <v>846</v>
      </c>
      <c r="K1103" s="30">
        <v>1</v>
      </c>
      <c r="L1103" s="9" t="s">
        <v>847</v>
      </c>
      <c r="M1103" s="30" t="s">
        <v>84</v>
      </c>
      <c r="N1103" s="30" t="s">
        <v>155</v>
      </c>
      <c r="O1103" s="24">
        <v>0</v>
      </c>
      <c r="P1103" s="24">
        <v>135</v>
      </c>
      <c r="Q1103" s="24">
        <v>262</v>
      </c>
      <c r="R1103" s="24">
        <v>0</v>
      </c>
      <c r="S1103" s="24">
        <v>0</v>
      </c>
      <c r="T1103" s="24">
        <v>397</v>
      </c>
    </row>
    <row r="1104" spans="1:20">
      <c r="A1104" s="9" t="s">
        <v>829</v>
      </c>
      <c r="B1104" s="30" t="s">
        <v>830</v>
      </c>
      <c r="C1104" s="30" t="str">
        <f>CONCATENATE(VOL_VOLUMEN_SUMINISTROS[[#This Row],[Proyecto]],VOL_VOLUMEN_SUMINISTROS[[#This Row],[J]],VOL_VOLUMEN_SUMINISTROS[[#This Row],[FIN DE SEMANA]])</f>
        <v>1052-1MNO</v>
      </c>
      <c r="D1104" s="365" t="str">
        <f>CONCATENATE(VOL_VOLUMEN_SUMINISTROS[[#This Row],[Grupo]],VOL_VOLUMEN_SUMINISTROS[[#This Row],[Proyecto]],VOL_VOLUMEN_SUMINISTROS[[#This Row],[FIN DE SEMANA]])</f>
        <v>171052-1NO</v>
      </c>
      <c r="E1104" s="30" t="s">
        <v>147</v>
      </c>
      <c r="F1104" s="30" t="s">
        <v>148</v>
      </c>
      <c r="G1104" s="365">
        <v>17</v>
      </c>
      <c r="H1104" s="30">
        <v>11</v>
      </c>
      <c r="I1104" s="9" t="s">
        <v>803</v>
      </c>
      <c r="J1104" s="9" t="s">
        <v>846</v>
      </c>
      <c r="K1104" s="30">
        <v>2</v>
      </c>
      <c r="L1104" s="9" t="s">
        <v>848</v>
      </c>
      <c r="M1104" s="30" t="s">
        <v>84</v>
      </c>
      <c r="N1104" s="30" t="s">
        <v>152</v>
      </c>
      <c r="O1104" s="24">
        <v>175</v>
      </c>
      <c r="P1104" s="24">
        <v>141</v>
      </c>
      <c r="Q1104" s="24">
        <v>27</v>
      </c>
      <c r="R1104" s="24">
        <v>0</v>
      </c>
      <c r="S1104" s="24">
        <v>0</v>
      </c>
      <c r="T1104" s="24">
        <v>343</v>
      </c>
    </row>
    <row r="1105" spans="1:20">
      <c r="A1105" s="9" t="s">
        <v>829</v>
      </c>
      <c r="B1105" s="30" t="s">
        <v>830</v>
      </c>
      <c r="C1105" s="30" t="str">
        <f>CONCATENATE(VOL_VOLUMEN_SUMINISTROS[[#This Row],[Proyecto]],VOL_VOLUMEN_SUMINISTROS[[#This Row],[J]],VOL_VOLUMEN_SUMINISTROS[[#This Row],[FIN DE SEMANA]])</f>
        <v>1052-1TNO</v>
      </c>
      <c r="D1105" s="365" t="str">
        <f>CONCATENATE(VOL_VOLUMEN_SUMINISTROS[[#This Row],[Grupo]],VOL_VOLUMEN_SUMINISTROS[[#This Row],[Proyecto]],VOL_VOLUMEN_SUMINISTROS[[#This Row],[FIN DE SEMANA]])</f>
        <v>171052-1NO</v>
      </c>
      <c r="E1105" s="30" t="s">
        <v>147</v>
      </c>
      <c r="F1105" s="30" t="s">
        <v>148</v>
      </c>
      <c r="G1105" s="365">
        <v>17</v>
      </c>
      <c r="H1105" s="30">
        <v>11</v>
      </c>
      <c r="I1105" s="9" t="s">
        <v>803</v>
      </c>
      <c r="J1105" s="9" t="s">
        <v>846</v>
      </c>
      <c r="K1105" s="30">
        <v>2</v>
      </c>
      <c r="L1105" s="9" t="s">
        <v>848</v>
      </c>
      <c r="M1105" s="30" t="s">
        <v>84</v>
      </c>
      <c r="N1105" s="30" t="s">
        <v>155</v>
      </c>
      <c r="O1105" s="24">
        <v>142</v>
      </c>
      <c r="P1105" s="24">
        <v>156</v>
      </c>
      <c r="Q1105" s="24">
        <v>33</v>
      </c>
      <c r="R1105" s="24">
        <v>0</v>
      </c>
      <c r="S1105" s="24">
        <v>0</v>
      </c>
      <c r="T1105" s="24">
        <v>331</v>
      </c>
    </row>
    <row r="1106" spans="1:20">
      <c r="A1106" s="9" t="s">
        <v>829</v>
      </c>
      <c r="B1106" s="30" t="s">
        <v>830</v>
      </c>
      <c r="C1106" s="30" t="str">
        <f>CONCATENATE(VOL_VOLUMEN_SUMINISTROS[[#This Row],[Proyecto]],VOL_VOLUMEN_SUMINISTROS[[#This Row],[J]],VOL_VOLUMEN_SUMINISTROS[[#This Row],[FIN DE SEMANA]])</f>
        <v>1052-1TNO</v>
      </c>
      <c r="D1106" s="365" t="str">
        <f>CONCATENATE(VOL_VOLUMEN_SUMINISTROS[[#This Row],[Grupo]],VOL_VOLUMEN_SUMINISTROS[[#This Row],[Proyecto]],VOL_VOLUMEN_SUMINISTROS[[#This Row],[FIN DE SEMANA]])</f>
        <v>171052-1NO</v>
      </c>
      <c r="E1106" s="30" t="s">
        <v>147</v>
      </c>
      <c r="F1106" s="30" t="s">
        <v>148</v>
      </c>
      <c r="G1106" s="365">
        <v>17</v>
      </c>
      <c r="H1106" s="30">
        <v>11</v>
      </c>
      <c r="I1106" s="9" t="s">
        <v>803</v>
      </c>
      <c r="J1106" s="9" t="s">
        <v>846</v>
      </c>
      <c r="K1106" s="30">
        <v>3</v>
      </c>
      <c r="L1106" s="9" t="s">
        <v>849</v>
      </c>
      <c r="M1106" s="30" t="s">
        <v>84</v>
      </c>
      <c r="N1106" s="30" t="s">
        <v>155</v>
      </c>
      <c r="O1106" s="24">
        <v>318</v>
      </c>
      <c r="P1106" s="24">
        <v>276</v>
      </c>
      <c r="Q1106" s="24">
        <v>53</v>
      </c>
      <c r="R1106" s="24">
        <v>0</v>
      </c>
      <c r="S1106" s="24">
        <v>0</v>
      </c>
      <c r="T1106" s="24">
        <v>647</v>
      </c>
    </row>
    <row r="1107" spans="1:20">
      <c r="A1107" s="9" t="s">
        <v>829</v>
      </c>
      <c r="B1107" s="30" t="s">
        <v>830</v>
      </c>
      <c r="C1107" s="30" t="str">
        <f>CONCATENATE(VOL_VOLUMEN_SUMINISTROS[[#This Row],[Proyecto]],VOL_VOLUMEN_SUMINISTROS[[#This Row],[J]],VOL_VOLUMEN_SUMINISTROS[[#This Row],[FIN DE SEMANA]])</f>
        <v>1052-1MNO</v>
      </c>
      <c r="D1107" s="365" t="str">
        <f>CONCATENATE(VOL_VOLUMEN_SUMINISTROS[[#This Row],[Grupo]],VOL_VOLUMEN_SUMINISTROS[[#This Row],[Proyecto]],VOL_VOLUMEN_SUMINISTROS[[#This Row],[FIN DE SEMANA]])</f>
        <v>171052-1NO</v>
      </c>
      <c r="E1107" s="30" t="s">
        <v>147</v>
      </c>
      <c r="F1107" s="30" t="s">
        <v>148</v>
      </c>
      <c r="G1107" s="365">
        <v>17</v>
      </c>
      <c r="H1107" s="30">
        <v>11</v>
      </c>
      <c r="I1107" s="9" t="s">
        <v>803</v>
      </c>
      <c r="J1107" s="9" t="s">
        <v>850</v>
      </c>
      <c r="K1107" s="30">
        <v>2</v>
      </c>
      <c r="L1107" s="9" t="s">
        <v>851</v>
      </c>
      <c r="M1107" s="30" t="s">
        <v>84</v>
      </c>
      <c r="N1107" s="30" t="s">
        <v>152</v>
      </c>
      <c r="O1107" s="24">
        <v>79</v>
      </c>
      <c r="P1107" s="24">
        <v>80</v>
      </c>
      <c r="Q1107" s="24">
        <v>16</v>
      </c>
      <c r="R1107" s="24">
        <v>0</v>
      </c>
      <c r="S1107" s="24">
        <v>0</v>
      </c>
      <c r="T1107" s="24">
        <v>175</v>
      </c>
    </row>
    <row r="1108" spans="1:20">
      <c r="A1108" s="9" t="s">
        <v>829</v>
      </c>
      <c r="B1108" s="30" t="s">
        <v>830</v>
      </c>
      <c r="C1108" s="30" t="str">
        <f>CONCATENATE(VOL_VOLUMEN_SUMINISTROS[[#This Row],[Proyecto]],VOL_VOLUMEN_SUMINISTROS[[#This Row],[J]],VOL_VOLUMEN_SUMINISTROS[[#This Row],[FIN DE SEMANA]])</f>
        <v>1052-1TNO</v>
      </c>
      <c r="D1108" s="365" t="str">
        <f>CONCATENATE(VOL_VOLUMEN_SUMINISTROS[[#This Row],[Grupo]],VOL_VOLUMEN_SUMINISTROS[[#This Row],[Proyecto]],VOL_VOLUMEN_SUMINISTROS[[#This Row],[FIN DE SEMANA]])</f>
        <v>171052-1NO</v>
      </c>
      <c r="E1108" s="30" t="s">
        <v>147</v>
      </c>
      <c r="F1108" s="30" t="s">
        <v>148</v>
      </c>
      <c r="G1108" s="365">
        <v>17</v>
      </c>
      <c r="H1108" s="30">
        <v>11</v>
      </c>
      <c r="I1108" s="9" t="s">
        <v>803</v>
      </c>
      <c r="J1108" s="9" t="s">
        <v>850</v>
      </c>
      <c r="K1108" s="30">
        <v>2</v>
      </c>
      <c r="L1108" s="9" t="s">
        <v>851</v>
      </c>
      <c r="M1108" s="30" t="s">
        <v>84</v>
      </c>
      <c r="N1108" s="30" t="s">
        <v>155</v>
      </c>
      <c r="O1108" s="24">
        <v>58</v>
      </c>
      <c r="P1108" s="24">
        <v>71</v>
      </c>
      <c r="Q1108" s="24">
        <v>14</v>
      </c>
      <c r="R1108" s="24">
        <v>0</v>
      </c>
      <c r="S1108" s="24">
        <v>0</v>
      </c>
      <c r="T1108" s="24">
        <v>143</v>
      </c>
    </row>
    <row r="1109" spans="1:20">
      <c r="A1109" s="9" t="s">
        <v>829</v>
      </c>
      <c r="B1109" s="30" t="s">
        <v>830</v>
      </c>
      <c r="C1109" s="30" t="str">
        <f>CONCATENATE(VOL_VOLUMEN_SUMINISTROS[[#This Row],[Proyecto]],VOL_VOLUMEN_SUMINISTROS[[#This Row],[J]],VOL_VOLUMEN_SUMINISTROS[[#This Row],[FIN DE SEMANA]])</f>
        <v>1052-1MNO</v>
      </c>
      <c r="D1109" s="365" t="str">
        <f>CONCATENATE(VOL_VOLUMEN_SUMINISTROS[[#This Row],[Grupo]],VOL_VOLUMEN_SUMINISTROS[[#This Row],[Proyecto]],VOL_VOLUMEN_SUMINISTROS[[#This Row],[FIN DE SEMANA]])</f>
        <v>171052-1NO</v>
      </c>
      <c r="E1109" s="30" t="s">
        <v>147</v>
      </c>
      <c r="F1109" s="30" t="s">
        <v>148</v>
      </c>
      <c r="G1109" s="365">
        <v>17</v>
      </c>
      <c r="H1109" s="30">
        <v>11</v>
      </c>
      <c r="I1109" s="9" t="s">
        <v>803</v>
      </c>
      <c r="J1109" s="9" t="s">
        <v>850</v>
      </c>
      <c r="K1109" s="30">
        <v>3</v>
      </c>
      <c r="L1109" s="9" t="s">
        <v>852</v>
      </c>
      <c r="M1109" s="30" t="s">
        <v>84</v>
      </c>
      <c r="N1109" s="30" t="s">
        <v>152</v>
      </c>
      <c r="O1109" s="24">
        <v>90</v>
      </c>
      <c r="P1109" s="24">
        <v>79</v>
      </c>
      <c r="Q1109" s="24">
        <v>16</v>
      </c>
      <c r="R1109" s="24">
        <v>0</v>
      </c>
      <c r="S1109" s="24">
        <v>0</v>
      </c>
      <c r="T1109" s="24">
        <v>185</v>
      </c>
    </row>
    <row r="1110" spans="1:20">
      <c r="A1110" s="9" t="s">
        <v>829</v>
      </c>
      <c r="B1110" s="30" t="s">
        <v>830</v>
      </c>
      <c r="C1110" s="30" t="str">
        <f>CONCATENATE(VOL_VOLUMEN_SUMINISTROS[[#This Row],[Proyecto]],VOL_VOLUMEN_SUMINISTROS[[#This Row],[J]],VOL_VOLUMEN_SUMINISTROS[[#This Row],[FIN DE SEMANA]])</f>
        <v>1052-1TNO</v>
      </c>
      <c r="D1110" s="365" t="str">
        <f>CONCATENATE(VOL_VOLUMEN_SUMINISTROS[[#This Row],[Grupo]],VOL_VOLUMEN_SUMINISTROS[[#This Row],[Proyecto]],VOL_VOLUMEN_SUMINISTROS[[#This Row],[FIN DE SEMANA]])</f>
        <v>171052-1NO</v>
      </c>
      <c r="E1110" s="30" t="s">
        <v>147</v>
      </c>
      <c r="F1110" s="30" t="s">
        <v>148</v>
      </c>
      <c r="G1110" s="365">
        <v>17</v>
      </c>
      <c r="H1110" s="30">
        <v>11</v>
      </c>
      <c r="I1110" s="9" t="s">
        <v>803</v>
      </c>
      <c r="J1110" s="9" t="s">
        <v>850</v>
      </c>
      <c r="K1110" s="30">
        <v>3</v>
      </c>
      <c r="L1110" s="9" t="s">
        <v>852</v>
      </c>
      <c r="M1110" s="30" t="s">
        <v>84</v>
      </c>
      <c r="N1110" s="30" t="s">
        <v>155</v>
      </c>
      <c r="O1110" s="24">
        <v>88</v>
      </c>
      <c r="P1110" s="24">
        <v>75</v>
      </c>
      <c r="Q1110" s="24">
        <v>15</v>
      </c>
      <c r="R1110" s="24">
        <v>0</v>
      </c>
      <c r="S1110" s="24">
        <v>0</v>
      </c>
      <c r="T1110" s="24">
        <v>178</v>
      </c>
    </row>
    <row r="1111" spans="1:20">
      <c r="A1111" s="9" t="s">
        <v>829</v>
      </c>
      <c r="B1111" s="30" t="s">
        <v>830</v>
      </c>
      <c r="C1111" s="30" t="str">
        <f>CONCATENATE(VOL_VOLUMEN_SUMINISTROS[[#This Row],[Proyecto]],VOL_VOLUMEN_SUMINISTROS[[#This Row],[J]],VOL_VOLUMEN_SUMINISTROS[[#This Row],[FIN DE SEMANA]])</f>
        <v>1052-1MNO</v>
      </c>
      <c r="D1111" s="365" t="str">
        <f>CONCATENATE(VOL_VOLUMEN_SUMINISTROS[[#This Row],[Grupo]],VOL_VOLUMEN_SUMINISTROS[[#This Row],[Proyecto]],VOL_VOLUMEN_SUMINISTROS[[#This Row],[FIN DE SEMANA]])</f>
        <v>171052-1NO</v>
      </c>
      <c r="E1111" s="30" t="s">
        <v>147</v>
      </c>
      <c r="F1111" s="30" t="s">
        <v>148</v>
      </c>
      <c r="G1111" s="365">
        <v>17</v>
      </c>
      <c r="H1111" s="30">
        <v>11</v>
      </c>
      <c r="I1111" s="9" t="s">
        <v>803</v>
      </c>
      <c r="J1111" s="9" t="s">
        <v>850</v>
      </c>
      <c r="K1111" s="30">
        <v>4</v>
      </c>
      <c r="L1111" s="9" t="s">
        <v>853</v>
      </c>
      <c r="M1111" s="30" t="s">
        <v>84</v>
      </c>
      <c r="N1111" s="30" t="s">
        <v>152</v>
      </c>
      <c r="O1111" s="24">
        <v>150</v>
      </c>
      <c r="P1111" s="24">
        <v>0</v>
      </c>
      <c r="Q1111" s="24">
        <v>0</v>
      </c>
      <c r="R1111" s="24">
        <v>0</v>
      </c>
      <c r="S1111" s="24">
        <v>0</v>
      </c>
      <c r="T1111" s="24">
        <v>150</v>
      </c>
    </row>
    <row r="1112" spans="1:20">
      <c r="A1112" s="9" t="s">
        <v>829</v>
      </c>
      <c r="B1112" s="30" t="s">
        <v>830</v>
      </c>
      <c r="C1112" s="30" t="str">
        <f>CONCATENATE(VOL_VOLUMEN_SUMINISTROS[[#This Row],[Proyecto]],VOL_VOLUMEN_SUMINISTROS[[#This Row],[J]],VOL_VOLUMEN_SUMINISTROS[[#This Row],[FIN DE SEMANA]])</f>
        <v>1052-1MNO</v>
      </c>
      <c r="D1112" s="365" t="str">
        <f>CONCATENATE(VOL_VOLUMEN_SUMINISTROS[[#This Row],[Grupo]],VOL_VOLUMEN_SUMINISTROS[[#This Row],[Proyecto]],VOL_VOLUMEN_SUMINISTROS[[#This Row],[FIN DE SEMANA]])</f>
        <v>171052-1NO</v>
      </c>
      <c r="E1112" s="30" t="s">
        <v>147</v>
      </c>
      <c r="F1112" s="30" t="s">
        <v>148</v>
      </c>
      <c r="G1112" s="365">
        <v>17</v>
      </c>
      <c r="H1112" s="30">
        <v>11</v>
      </c>
      <c r="I1112" s="9" t="s">
        <v>803</v>
      </c>
      <c r="J1112" s="9" t="s">
        <v>854</v>
      </c>
      <c r="K1112" s="30">
        <v>1</v>
      </c>
      <c r="L1112" s="9" t="s">
        <v>855</v>
      </c>
      <c r="M1112" s="30" t="s">
        <v>84</v>
      </c>
      <c r="N1112" s="30" t="s">
        <v>152</v>
      </c>
      <c r="O1112" s="24">
        <v>0</v>
      </c>
      <c r="P1112" s="24">
        <v>369</v>
      </c>
      <c r="Q1112" s="24">
        <v>828</v>
      </c>
      <c r="R1112" s="24">
        <v>0</v>
      </c>
      <c r="S1112" s="24">
        <v>0</v>
      </c>
      <c r="T1112" s="24">
        <v>1197</v>
      </c>
    </row>
    <row r="1113" spans="1:20">
      <c r="A1113" s="9" t="s">
        <v>829</v>
      </c>
      <c r="B1113" s="30" t="s">
        <v>830</v>
      </c>
      <c r="C1113" s="30" t="str">
        <f>CONCATENATE(VOL_VOLUMEN_SUMINISTROS[[#This Row],[Proyecto]],VOL_VOLUMEN_SUMINISTROS[[#This Row],[J]],VOL_VOLUMEN_SUMINISTROS[[#This Row],[FIN DE SEMANA]])</f>
        <v>1052-1NNO</v>
      </c>
      <c r="D1113" s="365" t="str">
        <f>CONCATENATE(VOL_VOLUMEN_SUMINISTROS[[#This Row],[Grupo]],VOL_VOLUMEN_SUMINISTROS[[#This Row],[Proyecto]],VOL_VOLUMEN_SUMINISTROS[[#This Row],[FIN DE SEMANA]])</f>
        <v>171052-1NO</v>
      </c>
      <c r="E1113" s="30" t="s">
        <v>147</v>
      </c>
      <c r="F1113" s="30" t="s">
        <v>148</v>
      </c>
      <c r="G1113" s="365">
        <v>17</v>
      </c>
      <c r="H1113" s="30">
        <v>11</v>
      </c>
      <c r="I1113" s="9" t="s">
        <v>803</v>
      </c>
      <c r="J1113" s="9" t="s">
        <v>854</v>
      </c>
      <c r="K1113" s="30">
        <v>1</v>
      </c>
      <c r="L1113" s="9" t="s">
        <v>856</v>
      </c>
      <c r="M1113" s="30" t="s">
        <v>84</v>
      </c>
      <c r="N1113" s="30" t="s">
        <v>154</v>
      </c>
      <c r="O1113" s="24">
        <v>0</v>
      </c>
      <c r="P1113" s="24">
        <v>0</v>
      </c>
      <c r="Q1113" s="24">
        <v>0</v>
      </c>
      <c r="R1113" s="24">
        <v>152</v>
      </c>
      <c r="S1113" s="24">
        <v>183</v>
      </c>
      <c r="T1113" s="24">
        <v>335</v>
      </c>
    </row>
    <row r="1114" spans="1:20">
      <c r="A1114" s="9" t="s">
        <v>829</v>
      </c>
      <c r="B1114" s="30" t="s">
        <v>830</v>
      </c>
      <c r="C1114" s="30" t="str">
        <f>CONCATENATE(VOL_VOLUMEN_SUMINISTROS[[#This Row],[Proyecto]],VOL_VOLUMEN_SUMINISTROS[[#This Row],[J]],VOL_VOLUMEN_SUMINISTROS[[#This Row],[FIN DE SEMANA]])</f>
        <v>1052-1TNO</v>
      </c>
      <c r="D1114" s="365" t="str">
        <f>CONCATENATE(VOL_VOLUMEN_SUMINISTROS[[#This Row],[Grupo]],VOL_VOLUMEN_SUMINISTROS[[#This Row],[Proyecto]],VOL_VOLUMEN_SUMINISTROS[[#This Row],[FIN DE SEMANA]])</f>
        <v>171052-1NO</v>
      </c>
      <c r="E1114" s="30" t="s">
        <v>147</v>
      </c>
      <c r="F1114" s="30" t="s">
        <v>148</v>
      </c>
      <c r="G1114" s="365">
        <v>17</v>
      </c>
      <c r="H1114" s="30">
        <v>11</v>
      </c>
      <c r="I1114" s="9" t="s">
        <v>803</v>
      </c>
      <c r="J1114" s="9" t="s">
        <v>854</v>
      </c>
      <c r="K1114" s="30">
        <v>1</v>
      </c>
      <c r="L1114" s="9" t="s">
        <v>856</v>
      </c>
      <c r="M1114" s="30" t="s">
        <v>84</v>
      </c>
      <c r="N1114" s="30" t="s">
        <v>155</v>
      </c>
      <c r="O1114" s="24">
        <v>48</v>
      </c>
      <c r="P1114" s="24">
        <v>732</v>
      </c>
      <c r="Q1114" s="24">
        <v>236</v>
      </c>
      <c r="R1114" s="24">
        <v>0</v>
      </c>
      <c r="S1114" s="24">
        <v>0</v>
      </c>
      <c r="T1114" s="24">
        <v>1016</v>
      </c>
    </row>
    <row r="1115" spans="1:20">
      <c r="A1115" s="9" t="s">
        <v>829</v>
      </c>
      <c r="B1115" s="30" t="s">
        <v>830</v>
      </c>
      <c r="C1115" s="30" t="str">
        <f>CONCATENATE(VOL_VOLUMEN_SUMINISTROS[[#This Row],[Proyecto]],VOL_VOLUMEN_SUMINISTROS[[#This Row],[J]],VOL_VOLUMEN_SUMINISTROS[[#This Row],[FIN DE SEMANA]])</f>
        <v>1052-1MNO</v>
      </c>
      <c r="D1115" s="365" t="str">
        <f>CONCATENATE(VOL_VOLUMEN_SUMINISTROS[[#This Row],[Grupo]],VOL_VOLUMEN_SUMINISTROS[[#This Row],[Proyecto]],VOL_VOLUMEN_SUMINISTROS[[#This Row],[FIN DE SEMANA]])</f>
        <v>171052-1NO</v>
      </c>
      <c r="E1115" s="30" t="s">
        <v>147</v>
      </c>
      <c r="F1115" s="30" t="s">
        <v>148</v>
      </c>
      <c r="G1115" s="365">
        <v>17</v>
      </c>
      <c r="H1115" s="30">
        <v>11</v>
      </c>
      <c r="I1115" s="9" t="s">
        <v>803</v>
      </c>
      <c r="J1115" s="9" t="s">
        <v>854</v>
      </c>
      <c r="K1115" s="30">
        <v>2</v>
      </c>
      <c r="L1115" s="9" t="s">
        <v>857</v>
      </c>
      <c r="M1115" s="30" t="s">
        <v>84</v>
      </c>
      <c r="N1115" s="30" t="s">
        <v>152</v>
      </c>
      <c r="O1115" s="24">
        <v>174</v>
      </c>
      <c r="P1115" s="24">
        <v>61</v>
      </c>
      <c r="Q1115" s="24">
        <v>0</v>
      </c>
      <c r="R1115" s="24">
        <v>0</v>
      </c>
      <c r="S1115" s="24">
        <v>0</v>
      </c>
      <c r="T1115" s="24">
        <v>235</v>
      </c>
    </row>
    <row r="1116" spans="1:20">
      <c r="A1116" s="9" t="s">
        <v>829</v>
      </c>
      <c r="B1116" s="30" t="s">
        <v>830</v>
      </c>
      <c r="C1116" s="30" t="str">
        <f>CONCATENATE(VOL_VOLUMEN_SUMINISTROS[[#This Row],[Proyecto]],VOL_VOLUMEN_SUMINISTROS[[#This Row],[J]],VOL_VOLUMEN_SUMINISTROS[[#This Row],[FIN DE SEMANA]])</f>
        <v>1052-1TNO</v>
      </c>
      <c r="D1116" s="365" t="str">
        <f>CONCATENATE(VOL_VOLUMEN_SUMINISTROS[[#This Row],[Grupo]],VOL_VOLUMEN_SUMINISTROS[[#This Row],[Proyecto]],VOL_VOLUMEN_SUMINISTROS[[#This Row],[FIN DE SEMANA]])</f>
        <v>171052-1NO</v>
      </c>
      <c r="E1116" s="30" t="s">
        <v>147</v>
      </c>
      <c r="F1116" s="30" t="s">
        <v>148</v>
      </c>
      <c r="G1116" s="365">
        <v>17</v>
      </c>
      <c r="H1116" s="30">
        <v>11</v>
      </c>
      <c r="I1116" s="9" t="s">
        <v>803</v>
      </c>
      <c r="J1116" s="9" t="s">
        <v>854</v>
      </c>
      <c r="K1116" s="30">
        <v>2</v>
      </c>
      <c r="L1116" s="9" t="s">
        <v>858</v>
      </c>
      <c r="M1116" s="30" t="s">
        <v>84</v>
      </c>
      <c r="N1116" s="30" t="s">
        <v>155</v>
      </c>
      <c r="O1116" s="24">
        <v>168</v>
      </c>
      <c r="P1116" s="24">
        <v>58</v>
      </c>
      <c r="Q1116" s="24">
        <v>0</v>
      </c>
      <c r="R1116" s="24">
        <v>0</v>
      </c>
      <c r="S1116" s="24">
        <v>0</v>
      </c>
      <c r="T1116" s="24">
        <v>226</v>
      </c>
    </row>
    <row r="1117" spans="1:20">
      <c r="A1117" s="9" t="s">
        <v>829</v>
      </c>
      <c r="B1117" s="30" t="s">
        <v>830</v>
      </c>
      <c r="C1117" s="30" t="str">
        <f>CONCATENATE(VOL_VOLUMEN_SUMINISTROS[[#This Row],[Proyecto]],VOL_VOLUMEN_SUMINISTROS[[#This Row],[J]],VOL_VOLUMEN_SUMINISTROS[[#This Row],[FIN DE SEMANA]])</f>
        <v>1052-1MNO</v>
      </c>
      <c r="D1117" s="365" t="str">
        <f>CONCATENATE(VOL_VOLUMEN_SUMINISTROS[[#This Row],[Grupo]],VOL_VOLUMEN_SUMINISTROS[[#This Row],[Proyecto]],VOL_VOLUMEN_SUMINISTROS[[#This Row],[FIN DE SEMANA]])</f>
        <v>171052-1NO</v>
      </c>
      <c r="E1117" s="30" t="s">
        <v>147</v>
      </c>
      <c r="F1117" s="30" t="s">
        <v>148</v>
      </c>
      <c r="G1117" s="365">
        <v>17</v>
      </c>
      <c r="H1117" s="30">
        <v>11</v>
      </c>
      <c r="I1117" s="9" t="s">
        <v>803</v>
      </c>
      <c r="J1117" s="9" t="s">
        <v>854</v>
      </c>
      <c r="K1117" s="30">
        <v>3</v>
      </c>
      <c r="L1117" s="9" t="s">
        <v>859</v>
      </c>
      <c r="M1117" s="30" t="s">
        <v>84</v>
      </c>
      <c r="N1117" s="30" t="s">
        <v>152</v>
      </c>
      <c r="O1117" s="24">
        <v>150</v>
      </c>
      <c r="P1117" s="24">
        <v>0</v>
      </c>
      <c r="Q1117" s="24">
        <v>0</v>
      </c>
      <c r="R1117" s="24">
        <v>0</v>
      </c>
      <c r="S1117" s="24">
        <v>0</v>
      </c>
      <c r="T1117" s="24">
        <v>150</v>
      </c>
    </row>
    <row r="1118" spans="1:20">
      <c r="A1118" s="9" t="s">
        <v>829</v>
      </c>
      <c r="B1118" s="30" t="s">
        <v>830</v>
      </c>
      <c r="C1118" s="30" t="str">
        <f>CONCATENATE(VOL_VOLUMEN_SUMINISTROS[[#This Row],[Proyecto]],VOL_VOLUMEN_SUMINISTROS[[#This Row],[J]],VOL_VOLUMEN_SUMINISTROS[[#This Row],[FIN DE SEMANA]])</f>
        <v>1052-1TNO</v>
      </c>
      <c r="D1118" s="365" t="str">
        <f>CONCATENATE(VOL_VOLUMEN_SUMINISTROS[[#This Row],[Grupo]],VOL_VOLUMEN_SUMINISTROS[[#This Row],[Proyecto]],VOL_VOLUMEN_SUMINISTROS[[#This Row],[FIN DE SEMANA]])</f>
        <v>171052-1NO</v>
      </c>
      <c r="E1118" s="30" t="s">
        <v>147</v>
      </c>
      <c r="F1118" s="30" t="s">
        <v>148</v>
      </c>
      <c r="G1118" s="365">
        <v>17</v>
      </c>
      <c r="H1118" s="30">
        <v>11</v>
      </c>
      <c r="I1118" s="9" t="s">
        <v>803</v>
      </c>
      <c r="J1118" s="9" t="s">
        <v>854</v>
      </c>
      <c r="K1118" s="30">
        <v>3</v>
      </c>
      <c r="L1118" s="9" t="s">
        <v>859</v>
      </c>
      <c r="M1118" s="30" t="s">
        <v>84</v>
      </c>
      <c r="N1118" s="30" t="s">
        <v>155</v>
      </c>
      <c r="O1118" s="24">
        <v>150</v>
      </c>
      <c r="P1118" s="24">
        <v>0</v>
      </c>
      <c r="Q1118" s="24">
        <v>0</v>
      </c>
      <c r="R1118" s="24">
        <v>0</v>
      </c>
      <c r="S1118" s="24">
        <v>0</v>
      </c>
      <c r="T1118" s="24">
        <v>150</v>
      </c>
    </row>
    <row r="1119" spans="1:20">
      <c r="A1119" s="9" t="s">
        <v>829</v>
      </c>
      <c r="B1119" s="30" t="s">
        <v>830</v>
      </c>
      <c r="C1119" s="30" t="str">
        <f>CONCATENATE(VOL_VOLUMEN_SUMINISTROS[[#This Row],[Proyecto]],VOL_VOLUMEN_SUMINISTROS[[#This Row],[J]],VOL_VOLUMEN_SUMINISTROS[[#This Row],[FIN DE SEMANA]])</f>
        <v>1052-1MNO</v>
      </c>
      <c r="D1119" s="365" t="str">
        <f>CONCATENATE(VOL_VOLUMEN_SUMINISTROS[[#This Row],[Grupo]],VOL_VOLUMEN_SUMINISTROS[[#This Row],[Proyecto]],VOL_VOLUMEN_SUMINISTROS[[#This Row],[FIN DE SEMANA]])</f>
        <v>171052-1NO</v>
      </c>
      <c r="E1119" s="30" t="s">
        <v>147</v>
      </c>
      <c r="F1119" s="30" t="s">
        <v>148</v>
      </c>
      <c r="G1119" s="365">
        <v>17</v>
      </c>
      <c r="H1119" s="30">
        <v>11</v>
      </c>
      <c r="I1119" s="9" t="s">
        <v>803</v>
      </c>
      <c r="J1119" s="9" t="s">
        <v>854</v>
      </c>
      <c r="K1119" s="30">
        <v>4</v>
      </c>
      <c r="L1119" s="9" t="s">
        <v>860</v>
      </c>
      <c r="M1119" s="30" t="s">
        <v>84</v>
      </c>
      <c r="N1119" s="30" t="s">
        <v>152</v>
      </c>
      <c r="O1119" s="24">
        <v>326</v>
      </c>
      <c r="P1119" s="24">
        <v>127</v>
      </c>
      <c r="Q1119" s="24">
        <v>0</v>
      </c>
      <c r="R1119" s="24">
        <v>0</v>
      </c>
      <c r="S1119" s="24">
        <v>0</v>
      </c>
      <c r="T1119" s="24">
        <v>453</v>
      </c>
    </row>
    <row r="1120" spans="1:20">
      <c r="A1120" s="9" t="s">
        <v>829</v>
      </c>
      <c r="B1120" s="30" t="s">
        <v>830</v>
      </c>
      <c r="C1120" s="30" t="str">
        <f>CONCATENATE(VOL_VOLUMEN_SUMINISTROS[[#This Row],[Proyecto]],VOL_VOLUMEN_SUMINISTROS[[#This Row],[J]],VOL_VOLUMEN_SUMINISTROS[[#This Row],[FIN DE SEMANA]])</f>
        <v>1052-1TNO</v>
      </c>
      <c r="D1120" s="365" t="str">
        <f>CONCATENATE(VOL_VOLUMEN_SUMINISTROS[[#This Row],[Grupo]],VOL_VOLUMEN_SUMINISTROS[[#This Row],[Proyecto]],VOL_VOLUMEN_SUMINISTROS[[#This Row],[FIN DE SEMANA]])</f>
        <v>171052-1NO</v>
      </c>
      <c r="E1120" s="30" t="s">
        <v>147</v>
      </c>
      <c r="F1120" s="30" t="s">
        <v>148</v>
      </c>
      <c r="G1120" s="365">
        <v>17</v>
      </c>
      <c r="H1120" s="30">
        <v>11</v>
      </c>
      <c r="I1120" s="9" t="s">
        <v>803</v>
      </c>
      <c r="J1120" s="9" t="s">
        <v>854</v>
      </c>
      <c r="K1120" s="30">
        <v>4</v>
      </c>
      <c r="L1120" s="9" t="s">
        <v>860</v>
      </c>
      <c r="M1120" s="30" t="s">
        <v>84</v>
      </c>
      <c r="N1120" s="30" t="s">
        <v>155</v>
      </c>
      <c r="O1120" s="24">
        <v>340</v>
      </c>
      <c r="P1120" s="24">
        <v>135</v>
      </c>
      <c r="Q1120" s="24">
        <v>0</v>
      </c>
      <c r="R1120" s="24">
        <v>0</v>
      </c>
      <c r="S1120" s="24">
        <v>0</v>
      </c>
      <c r="T1120" s="24">
        <v>475</v>
      </c>
    </row>
    <row r="1121" spans="1:20">
      <c r="A1121" s="9" t="s">
        <v>829</v>
      </c>
      <c r="B1121" s="30" t="s">
        <v>830</v>
      </c>
      <c r="C1121" s="30" t="str">
        <f>CONCATENATE(VOL_VOLUMEN_SUMINISTROS[[#This Row],[Proyecto]],VOL_VOLUMEN_SUMINISTROS[[#This Row],[J]],VOL_VOLUMEN_SUMINISTROS[[#This Row],[FIN DE SEMANA]])</f>
        <v>1052-1MNO</v>
      </c>
      <c r="D1121" s="365" t="str">
        <f>CONCATENATE(VOL_VOLUMEN_SUMINISTROS[[#This Row],[Grupo]],VOL_VOLUMEN_SUMINISTROS[[#This Row],[Proyecto]],VOL_VOLUMEN_SUMINISTROS[[#This Row],[FIN DE SEMANA]])</f>
        <v>171052-1NO</v>
      </c>
      <c r="E1121" s="30" t="s">
        <v>147</v>
      </c>
      <c r="F1121" s="30" t="s">
        <v>148</v>
      </c>
      <c r="G1121" s="365">
        <v>17</v>
      </c>
      <c r="H1121" s="30">
        <v>11</v>
      </c>
      <c r="I1121" s="9" t="s">
        <v>803</v>
      </c>
      <c r="J1121" s="9" t="s">
        <v>861</v>
      </c>
      <c r="K1121" s="30">
        <v>2</v>
      </c>
      <c r="L1121" s="9" t="s">
        <v>862</v>
      </c>
      <c r="M1121" s="30" t="s">
        <v>84</v>
      </c>
      <c r="N1121" s="30" t="s">
        <v>152</v>
      </c>
      <c r="O1121" s="24">
        <v>93</v>
      </c>
      <c r="P1121" s="24">
        <v>85</v>
      </c>
      <c r="Q1121" s="24">
        <v>17</v>
      </c>
      <c r="R1121" s="24">
        <v>0</v>
      </c>
      <c r="S1121" s="24">
        <v>0</v>
      </c>
      <c r="T1121" s="24">
        <v>195</v>
      </c>
    </row>
    <row r="1122" spans="1:20">
      <c r="A1122" s="9" t="s">
        <v>829</v>
      </c>
      <c r="B1122" s="30" t="s">
        <v>830</v>
      </c>
      <c r="C1122" s="30" t="str">
        <f>CONCATENATE(VOL_VOLUMEN_SUMINISTROS[[#This Row],[Proyecto]],VOL_VOLUMEN_SUMINISTROS[[#This Row],[J]],VOL_VOLUMEN_SUMINISTROS[[#This Row],[FIN DE SEMANA]])</f>
        <v>1052-1TNO</v>
      </c>
      <c r="D1122" s="365" t="str">
        <f>CONCATENATE(VOL_VOLUMEN_SUMINISTROS[[#This Row],[Grupo]],VOL_VOLUMEN_SUMINISTROS[[#This Row],[Proyecto]],VOL_VOLUMEN_SUMINISTROS[[#This Row],[FIN DE SEMANA]])</f>
        <v>171052-1NO</v>
      </c>
      <c r="E1122" s="30" t="s">
        <v>147</v>
      </c>
      <c r="F1122" s="30" t="s">
        <v>148</v>
      </c>
      <c r="G1122" s="365">
        <v>17</v>
      </c>
      <c r="H1122" s="30">
        <v>11</v>
      </c>
      <c r="I1122" s="9" t="s">
        <v>803</v>
      </c>
      <c r="J1122" s="9" t="s">
        <v>861</v>
      </c>
      <c r="K1122" s="30">
        <v>2</v>
      </c>
      <c r="L1122" s="9" t="s">
        <v>862</v>
      </c>
      <c r="M1122" s="30" t="s">
        <v>84</v>
      </c>
      <c r="N1122" s="30" t="s">
        <v>155</v>
      </c>
      <c r="O1122" s="24">
        <v>97</v>
      </c>
      <c r="P1122" s="24">
        <v>83</v>
      </c>
      <c r="Q1122" s="24">
        <v>16</v>
      </c>
      <c r="R1122" s="24">
        <v>0</v>
      </c>
      <c r="S1122" s="24">
        <v>0</v>
      </c>
      <c r="T1122" s="24">
        <v>196</v>
      </c>
    </row>
    <row r="1123" spans="1:20">
      <c r="A1123" s="9" t="s">
        <v>829</v>
      </c>
      <c r="B1123" s="30" t="s">
        <v>863</v>
      </c>
      <c r="C1123" s="30" t="str">
        <f>CONCATENATE(VOL_VOLUMEN_SUMINISTROS[[#This Row],[Proyecto]],VOL_VOLUMEN_SUMINISTROS[[#This Row],[J]],VOL_VOLUMEN_SUMINISTROS[[#This Row],[FIN DE SEMANA]])</f>
        <v>1052-2M1NO</v>
      </c>
      <c r="D1123" s="365" t="str">
        <f>CONCATENATE(VOL_VOLUMEN_SUMINISTROS[[#This Row],[Grupo]],VOL_VOLUMEN_SUMINISTROS[[#This Row],[Proyecto]],VOL_VOLUMEN_SUMINISTROS[[#This Row],[FIN DE SEMANA]])</f>
        <v>51052-2NO</v>
      </c>
      <c r="E1123" s="30" t="s">
        <v>183</v>
      </c>
      <c r="F1123" s="30" t="s">
        <v>148</v>
      </c>
      <c r="G1123" s="365">
        <v>5</v>
      </c>
      <c r="H1123" s="30">
        <v>10</v>
      </c>
      <c r="I1123" s="9" t="s">
        <v>331</v>
      </c>
      <c r="J1123" s="9" t="s">
        <v>864</v>
      </c>
      <c r="K1123" s="30">
        <v>1</v>
      </c>
      <c r="L1123" s="9" t="s">
        <v>865</v>
      </c>
      <c r="M1123" s="30" t="s">
        <v>84</v>
      </c>
      <c r="N1123" s="30" t="s">
        <v>216</v>
      </c>
      <c r="O1123" s="24">
        <v>0</v>
      </c>
      <c r="P1123" s="24">
        <v>279</v>
      </c>
      <c r="Q1123" s="24">
        <v>463</v>
      </c>
      <c r="R1123" s="24">
        <v>0</v>
      </c>
      <c r="S1123" s="24">
        <v>0</v>
      </c>
      <c r="T1123" s="24">
        <v>742</v>
      </c>
    </row>
    <row r="1124" spans="1:20">
      <c r="A1124" s="9" t="s">
        <v>829</v>
      </c>
      <c r="B1124" s="30" t="s">
        <v>863</v>
      </c>
      <c r="C1124" s="30" t="str">
        <f>CONCATENATE(VOL_VOLUMEN_SUMINISTROS[[#This Row],[Proyecto]],VOL_VOLUMEN_SUMINISTROS[[#This Row],[J]],VOL_VOLUMEN_SUMINISTROS[[#This Row],[FIN DE SEMANA]])</f>
        <v>1052-2M1NO</v>
      </c>
      <c r="D1124" s="365" t="str">
        <f>CONCATENATE(VOL_VOLUMEN_SUMINISTROS[[#This Row],[Grupo]],VOL_VOLUMEN_SUMINISTROS[[#This Row],[Proyecto]],VOL_VOLUMEN_SUMINISTROS[[#This Row],[FIN DE SEMANA]])</f>
        <v>51052-2NO</v>
      </c>
      <c r="E1124" s="30" t="s">
        <v>183</v>
      </c>
      <c r="F1124" s="30" t="s">
        <v>148</v>
      </c>
      <c r="G1124" s="365">
        <v>5</v>
      </c>
      <c r="H1124" s="30">
        <v>10</v>
      </c>
      <c r="I1124" s="9" t="s">
        <v>331</v>
      </c>
      <c r="J1124" s="9" t="s">
        <v>864</v>
      </c>
      <c r="K1124" s="30">
        <v>2</v>
      </c>
      <c r="L1124" s="9" t="s">
        <v>866</v>
      </c>
      <c r="M1124" s="30" t="s">
        <v>84</v>
      </c>
      <c r="N1124" s="30" t="s">
        <v>216</v>
      </c>
      <c r="O1124" s="24">
        <v>140</v>
      </c>
      <c r="P1124" s="24">
        <v>175</v>
      </c>
      <c r="Q1124" s="24">
        <v>35</v>
      </c>
      <c r="R1124" s="24">
        <v>0</v>
      </c>
      <c r="S1124" s="24">
        <v>0</v>
      </c>
      <c r="T1124" s="24">
        <v>350</v>
      </c>
    </row>
    <row r="1125" spans="1:20">
      <c r="A1125" s="9" t="s">
        <v>829</v>
      </c>
      <c r="B1125" s="30" t="s">
        <v>863</v>
      </c>
      <c r="C1125" s="30" t="str">
        <f>CONCATENATE(VOL_VOLUMEN_SUMINISTROS[[#This Row],[Proyecto]],VOL_VOLUMEN_SUMINISTROS[[#This Row],[J]],VOL_VOLUMEN_SUMINISTROS[[#This Row],[FIN DE SEMANA]])</f>
        <v>1052-2TNO</v>
      </c>
      <c r="D1125" s="365" t="str">
        <f>CONCATENATE(VOL_VOLUMEN_SUMINISTROS[[#This Row],[Grupo]],VOL_VOLUMEN_SUMINISTROS[[#This Row],[Proyecto]],VOL_VOLUMEN_SUMINISTROS[[#This Row],[FIN DE SEMANA]])</f>
        <v>51052-2NO</v>
      </c>
      <c r="E1125" s="30" t="s">
        <v>183</v>
      </c>
      <c r="F1125" s="30" t="s">
        <v>148</v>
      </c>
      <c r="G1125" s="365">
        <v>5</v>
      </c>
      <c r="H1125" s="30">
        <v>10</v>
      </c>
      <c r="I1125" s="9" t="s">
        <v>331</v>
      </c>
      <c r="J1125" s="9" t="s">
        <v>864</v>
      </c>
      <c r="K1125" s="30">
        <v>2</v>
      </c>
      <c r="L1125" s="9" t="s">
        <v>866</v>
      </c>
      <c r="M1125" s="30" t="s">
        <v>84</v>
      </c>
      <c r="N1125" s="30" t="s">
        <v>155</v>
      </c>
      <c r="O1125" s="24">
        <v>122</v>
      </c>
      <c r="P1125" s="24">
        <v>166</v>
      </c>
      <c r="Q1125" s="24">
        <v>35</v>
      </c>
      <c r="R1125" s="24">
        <v>0</v>
      </c>
      <c r="S1125" s="24">
        <v>0</v>
      </c>
      <c r="T1125" s="24">
        <v>323</v>
      </c>
    </row>
    <row r="1126" spans="1:20">
      <c r="A1126" s="9" t="s">
        <v>829</v>
      </c>
      <c r="B1126" s="30" t="s">
        <v>863</v>
      </c>
      <c r="C1126" s="30" t="str">
        <f>CONCATENATE(VOL_VOLUMEN_SUMINISTROS[[#This Row],[Proyecto]],VOL_VOLUMEN_SUMINISTROS[[#This Row],[J]],VOL_VOLUMEN_SUMINISTROS[[#This Row],[FIN DE SEMANA]])</f>
        <v>1052-2MNO</v>
      </c>
      <c r="D1126" s="365" t="str">
        <f>CONCATENATE(VOL_VOLUMEN_SUMINISTROS[[#This Row],[Grupo]],VOL_VOLUMEN_SUMINISTROS[[#This Row],[Proyecto]],VOL_VOLUMEN_SUMINISTROS[[#This Row],[FIN DE SEMANA]])</f>
        <v>51052-2NO</v>
      </c>
      <c r="E1126" s="30" t="s">
        <v>183</v>
      </c>
      <c r="F1126" s="30" t="s">
        <v>148</v>
      </c>
      <c r="G1126" s="365">
        <v>5</v>
      </c>
      <c r="H1126" s="30">
        <v>10</v>
      </c>
      <c r="I1126" s="9" t="s">
        <v>331</v>
      </c>
      <c r="J1126" s="9" t="s">
        <v>867</v>
      </c>
      <c r="K1126" s="30">
        <v>1</v>
      </c>
      <c r="L1126" s="9" t="s">
        <v>868</v>
      </c>
      <c r="M1126" s="30" t="s">
        <v>84</v>
      </c>
      <c r="N1126" s="30" t="s">
        <v>152</v>
      </c>
      <c r="O1126" s="24">
        <v>54</v>
      </c>
      <c r="P1126" s="24">
        <v>69</v>
      </c>
      <c r="Q1126" s="24">
        <v>14</v>
      </c>
      <c r="R1126" s="24">
        <v>0</v>
      </c>
      <c r="S1126" s="24">
        <v>0</v>
      </c>
      <c r="T1126" s="24">
        <v>137</v>
      </c>
    </row>
    <row r="1127" spans="1:20">
      <c r="A1127" s="9" t="s">
        <v>829</v>
      </c>
      <c r="B1127" s="30" t="s">
        <v>863</v>
      </c>
      <c r="C1127" s="30" t="str">
        <f>CONCATENATE(VOL_VOLUMEN_SUMINISTROS[[#This Row],[Proyecto]],VOL_VOLUMEN_SUMINISTROS[[#This Row],[J]],VOL_VOLUMEN_SUMINISTROS[[#This Row],[FIN DE SEMANA]])</f>
        <v>1052-2TNO</v>
      </c>
      <c r="D1127" s="365" t="str">
        <f>CONCATENATE(VOL_VOLUMEN_SUMINISTROS[[#This Row],[Grupo]],VOL_VOLUMEN_SUMINISTROS[[#This Row],[Proyecto]],VOL_VOLUMEN_SUMINISTROS[[#This Row],[FIN DE SEMANA]])</f>
        <v>51052-2NO</v>
      </c>
      <c r="E1127" s="30" t="s">
        <v>183</v>
      </c>
      <c r="F1127" s="30" t="s">
        <v>148</v>
      </c>
      <c r="G1127" s="365">
        <v>5</v>
      </c>
      <c r="H1127" s="30">
        <v>10</v>
      </c>
      <c r="I1127" s="9" t="s">
        <v>331</v>
      </c>
      <c r="J1127" s="9" t="s">
        <v>867</v>
      </c>
      <c r="K1127" s="30">
        <v>1</v>
      </c>
      <c r="L1127" s="9" t="s">
        <v>868</v>
      </c>
      <c r="M1127" s="30" t="s">
        <v>84</v>
      </c>
      <c r="N1127" s="30" t="s">
        <v>155</v>
      </c>
      <c r="O1127" s="24">
        <v>88</v>
      </c>
      <c r="P1127" s="24">
        <v>95</v>
      </c>
      <c r="Q1127" s="24">
        <v>17</v>
      </c>
      <c r="R1127" s="24">
        <v>0</v>
      </c>
      <c r="S1127" s="24">
        <v>0</v>
      </c>
      <c r="T1127" s="24">
        <v>200</v>
      </c>
    </row>
    <row r="1128" spans="1:20">
      <c r="A1128" s="9" t="s">
        <v>829</v>
      </c>
      <c r="B1128" s="30" t="s">
        <v>863</v>
      </c>
      <c r="C1128" s="30" t="str">
        <f>CONCATENATE(VOL_VOLUMEN_SUMINISTROS[[#This Row],[Proyecto]],VOL_VOLUMEN_SUMINISTROS[[#This Row],[J]],VOL_VOLUMEN_SUMINISTROS[[#This Row],[FIN DE SEMANA]])</f>
        <v>1052-2M1NO</v>
      </c>
      <c r="D1128" s="365" t="str">
        <f>CONCATENATE(VOL_VOLUMEN_SUMINISTROS[[#This Row],[Grupo]],VOL_VOLUMEN_SUMINISTROS[[#This Row],[Proyecto]],VOL_VOLUMEN_SUMINISTROS[[#This Row],[FIN DE SEMANA]])</f>
        <v>51052-2NO</v>
      </c>
      <c r="E1128" s="30" t="s">
        <v>183</v>
      </c>
      <c r="F1128" s="30" t="s">
        <v>148</v>
      </c>
      <c r="G1128" s="365">
        <v>5</v>
      </c>
      <c r="H1128" s="30">
        <v>10</v>
      </c>
      <c r="I1128" s="9" t="s">
        <v>331</v>
      </c>
      <c r="J1128" s="9" t="s">
        <v>867</v>
      </c>
      <c r="K1128" s="30">
        <v>2</v>
      </c>
      <c r="L1128" s="9" t="s">
        <v>869</v>
      </c>
      <c r="M1128" s="30" t="s">
        <v>84</v>
      </c>
      <c r="N1128" s="30" t="s">
        <v>216</v>
      </c>
      <c r="O1128" s="24">
        <v>0</v>
      </c>
      <c r="P1128" s="24">
        <v>42</v>
      </c>
      <c r="Q1128" s="24">
        <v>89</v>
      </c>
      <c r="R1128" s="24">
        <v>0</v>
      </c>
      <c r="S1128" s="24">
        <v>0</v>
      </c>
      <c r="T1128" s="24">
        <v>131</v>
      </c>
    </row>
    <row r="1129" spans="1:20">
      <c r="A1129" s="9" t="s">
        <v>829</v>
      </c>
      <c r="B1129" s="30" t="s">
        <v>863</v>
      </c>
      <c r="C1129" s="30" t="str">
        <f>CONCATENATE(VOL_VOLUMEN_SUMINISTROS[[#This Row],[Proyecto]],VOL_VOLUMEN_SUMINISTROS[[#This Row],[J]],VOL_VOLUMEN_SUMINISTROS[[#This Row],[FIN DE SEMANA]])</f>
        <v>1052-2TNO</v>
      </c>
      <c r="D1129" s="365" t="str">
        <f>CONCATENATE(VOL_VOLUMEN_SUMINISTROS[[#This Row],[Grupo]],VOL_VOLUMEN_SUMINISTROS[[#This Row],[Proyecto]],VOL_VOLUMEN_SUMINISTROS[[#This Row],[FIN DE SEMANA]])</f>
        <v>51052-2NO</v>
      </c>
      <c r="E1129" s="30" t="s">
        <v>183</v>
      </c>
      <c r="F1129" s="30" t="s">
        <v>148</v>
      </c>
      <c r="G1129" s="365">
        <v>5</v>
      </c>
      <c r="H1129" s="30">
        <v>10</v>
      </c>
      <c r="I1129" s="9" t="s">
        <v>331</v>
      </c>
      <c r="J1129" s="9" t="s">
        <v>867</v>
      </c>
      <c r="K1129" s="30">
        <v>2</v>
      </c>
      <c r="L1129" s="9" t="s">
        <v>869</v>
      </c>
      <c r="M1129" s="30" t="s">
        <v>84</v>
      </c>
      <c r="N1129" s="30" t="s">
        <v>155</v>
      </c>
      <c r="O1129" s="24">
        <v>0</v>
      </c>
      <c r="P1129" s="24">
        <v>78</v>
      </c>
      <c r="Q1129" s="24">
        <v>108</v>
      </c>
      <c r="R1129" s="24">
        <v>0</v>
      </c>
      <c r="S1129" s="24">
        <v>0</v>
      </c>
      <c r="T1129" s="24">
        <v>186</v>
      </c>
    </row>
    <row r="1130" spans="1:20">
      <c r="A1130" s="9" t="s">
        <v>829</v>
      </c>
      <c r="B1130" s="30" t="s">
        <v>863</v>
      </c>
      <c r="C1130" s="30" t="str">
        <f>CONCATENATE(VOL_VOLUMEN_SUMINISTROS[[#This Row],[Proyecto]],VOL_VOLUMEN_SUMINISTROS[[#This Row],[J]],VOL_VOLUMEN_SUMINISTROS[[#This Row],[FIN DE SEMANA]])</f>
        <v>1052-2MNO</v>
      </c>
      <c r="D1130" s="365" t="str">
        <f>CONCATENATE(VOL_VOLUMEN_SUMINISTROS[[#This Row],[Grupo]],VOL_VOLUMEN_SUMINISTROS[[#This Row],[Proyecto]],VOL_VOLUMEN_SUMINISTROS[[#This Row],[FIN DE SEMANA]])</f>
        <v>171052-2NO</v>
      </c>
      <c r="E1130" s="30" t="s">
        <v>183</v>
      </c>
      <c r="F1130" s="30" t="s">
        <v>148</v>
      </c>
      <c r="G1130" s="365">
        <v>17</v>
      </c>
      <c r="H1130" s="30">
        <v>11</v>
      </c>
      <c r="I1130" s="9" t="s">
        <v>803</v>
      </c>
      <c r="J1130" s="9" t="s">
        <v>843</v>
      </c>
      <c r="K1130" s="30">
        <v>1</v>
      </c>
      <c r="L1130" s="9" t="s">
        <v>844</v>
      </c>
      <c r="M1130" s="30" t="s">
        <v>84</v>
      </c>
      <c r="N1130" s="30" t="s">
        <v>152</v>
      </c>
      <c r="O1130" s="24">
        <v>0</v>
      </c>
      <c r="P1130" s="24">
        <v>84</v>
      </c>
      <c r="Q1130" s="24">
        <v>28</v>
      </c>
      <c r="R1130" s="24">
        <v>0</v>
      </c>
      <c r="S1130" s="24">
        <v>0</v>
      </c>
      <c r="T1130" s="24">
        <v>112</v>
      </c>
    </row>
    <row r="1131" spans="1:20">
      <c r="A1131" s="9" t="s">
        <v>829</v>
      </c>
      <c r="B1131" s="30" t="s">
        <v>863</v>
      </c>
      <c r="C1131" s="30" t="str">
        <f>CONCATENATE(VOL_VOLUMEN_SUMINISTROS[[#This Row],[Proyecto]],VOL_VOLUMEN_SUMINISTROS[[#This Row],[J]],VOL_VOLUMEN_SUMINISTROS[[#This Row],[FIN DE SEMANA]])</f>
        <v>1052-2TNO</v>
      </c>
      <c r="D1131" s="365" t="str">
        <f>CONCATENATE(VOL_VOLUMEN_SUMINISTROS[[#This Row],[Grupo]],VOL_VOLUMEN_SUMINISTROS[[#This Row],[Proyecto]],VOL_VOLUMEN_SUMINISTROS[[#This Row],[FIN DE SEMANA]])</f>
        <v>171052-2NO</v>
      </c>
      <c r="E1131" s="30" t="s">
        <v>183</v>
      </c>
      <c r="F1131" s="30" t="s">
        <v>148</v>
      </c>
      <c r="G1131" s="365">
        <v>17</v>
      </c>
      <c r="H1131" s="30">
        <v>11</v>
      </c>
      <c r="I1131" s="9" t="s">
        <v>803</v>
      </c>
      <c r="J1131" s="9" t="s">
        <v>843</v>
      </c>
      <c r="K1131" s="30">
        <v>1</v>
      </c>
      <c r="L1131" s="9" t="s">
        <v>844</v>
      </c>
      <c r="M1131" s="30" t="s">
        <v>84</v>
      </c>
      <c r="N1131" s="30" t="s">
        <v>155</v>
      </c>
      <c r="O1131" s="24">
        <v>0</v>
      </c>
      <c r="P1131" s="24">
        <v>108</v>
      </c>
      <c r="Q1131" s="24">
        <v>105</v>
      </c>
      <c r="R1131" s="24">
        <v>0</v>
      </c>
      <c r="S1131" s="24">
        <v>0</v>
      </c>
      <c r="T1131" s="24">
        <v>213</v>
      </c>
    </row>
    <row r="1132" spans="1:20">
      <c r="A1132" s="9" t="s">
        <v>829</v>
      </c>
      <c r="B1132" s="30" t="s">
        <v>863</v>
      </c>
      <c r="C1132" s="30" t="str">
        <f>CONCATENATE(VOL_VOLUMEN_SUMINISTROS[[#This Row],[Proyecto]],VOL_VOLUMEN_SUMINISTROS[[#This Row],[J]],VOL_VOLUMEN_SUMINISTROS[[#This Row],[FIN DE SEMANA]])</f>
        <v>1052-2M1NO</v>
      </c>
      <c r="D1132" s="365" t="str">
        <f>CONCATENATE(VOL_VOLUMEN_SUMINISTROS[[#This Row],[Grupo]],VOL_VOLUMEN_SUMINISTROS[[#This Row],[Proyecto]],VOL_VOLUMEN_SUMINISTROS[[#This Row],[FIN DE SEMANA]])</f>
        <v>171052-2NO</v>
      </c>
      <c r="E1132" s="30" t="s">
        <v>183</v>
      </c>
      <c r="F1132" s="30" t="s">
        <v>148</v>
      </c>
      <c r="G1132" s="365">
        <v>17</v>
      </c>
      <c r="H1132" s="30">
        <v>11</v>
      </c>
      <c r="I1132" s="9" t="s">
        <v>803</v>
      </c>
      <c r="J1132" s="9" t="s">
        <v>846</v>
      </c>
      <c r="K1132" s="30">
        <v>1</v>
      </c>
      <c r="L1132" s="9" t="s">
        <v>847</v>
      </c>
      <c r="M1132" s="30" t="s">
        <v>84</v>
      </c>
      <c r="N1132" s="30" t="s">
        <v>216</v>
      </c>
      <c r="O1132" s="24">
        <v>0</v>
      </c>
      <c r="P1132" s="24">
        <v>141</v>
      </c>
      <c r="Q1132" s="24">
        <v>198</v>
      </c>
      <c r="R1132" s="24">
        <v>0</v>
      </c>
      <c r="S1132" s="24">
        <v>0</v>
      </c>
      <c r="T1132" s="24">
        <v>339</v>
      </c>
    </row>
    <row r="1133" spans="1:20">
      <c r="A1133" s="9" t="s">
        <v>829</v>
      </c>
      <c r="B1133" s="30" t="s">
        <v>863</v>
      </c>
      <c r="C1133" s="30" t="str">
        <f>CONCATENATE(VOL_VOLUMEN_SUMINISTROS[[#This Row],[Proyecto]],VOL_VOLUMEN_SUMINISTROS[[#This Row],[J]],VOL_VOLUMEN_SUMINISTROS[[#This Row],[FIN DE SEMANA]])</f>
        <v>1052-2M1NO</v>
      </c>
      <c r="D1133" s="365" t="str">
        <f>CONCATENATE(VOL_VOLUMEN_SUMINISTROS[[#This Row],[Grupo]],VOL_VOLUMEN_SUMINISTROS[[#This Row],[Proyecto]],VOL_VOLUMEN_SUMINISTROS[[#This Row],[FIN DE SEMANA]])</f>
        <v>171052-2NO</v>
      </c>
      <c r="E1133" s="30" t="s">
        <v>183</v>
      </c>
      <c r="F1133" s="30" t="s">
        <v>148</v>
      </c>
      <c r="G1133" s="365">
        <v>17</v>
      </c>
      <c r="H1133" s="30">
        <v>11</v>
      </c>
      <c r="I1133" s="9" t="s">
        <v>803</v>
      </c>
      <c r="J1133" s="9" t="s">
        <v>846</v>
      </c>
      <c r="K1133" s="30">
        <v>2</v>
      </c>
      <c r="L1133" s="9" t="s">
        <v>848</v>
      </c>
      <c r="M1133" s="30" t="s">
        <v>84</v>
      </c>
      <c r="N1133" s="30" t="s">
        <v>216</v>
      </c>
      <c r="O1133" s="24">
        <v>40</v>
      </c>
      <c r="P1133" s="24">
        <v>20</v>
      </c>
      <c r="Q1133" s="24">
        <v>0</v>
      </c>
      <c r="R1133" s="24">
        <v>0</v>
      </c>
      <c r="S1133" s="24">
        <v>0</v>
      </c>
      <c r="T1133" s="24">
        <v>60</v>
      </c>
    </row>
    <row r="1134" spans="1:20">
      <c r="A1134" s="9" t="s">
        <v>829</v>
      </c>
      <c r="B1134" s="30" t="s">
        <v>863</v>
      </c>
      <c r="C1134" s="30" t="str">
        <f>CONCATENATE(VOL_VOLUMEN_SUMINISTROS[[#This Row],[Proyecto]],VOL_VOLUMEN_SUMINISTROS[[#This Row],[J]],VOL_VOLUMEN_SUMINISTROS[[#This Row],[FIN DE SEMANA]])</f>
        <v>1052-2TNO</v>
      </c>
      <c r="D1134" s="365" t="str">
        <f>CONCATENATE(VOL_VOLUMEN_SUMINISTROS[[#This Row],[Grupo]],VOL_VOLUMEN_SUMINISTROS[[#This Row],[Proyecto]],VOL_VOLUMEN_SUMINISTROS[[#This Row],[FIN DE SEMANA]])</f>
        <v>171052-2NO</v>
      </c>
      <c r="E1134" s="30" t="s">
        <v>183</v>
      </c>
      <c r="F1134" s="30" t="s">
        <v>148</v>
      </c>
      <c r="G1134" s="365">
        <v>17</v>
      </c>
      <c r="H1134" s="30">
        <v>11</v>
      </c>
      <c r="I1134" s="9" t="s">
        <v>803</v>
      </c>
      <c r="J1134" s="9" t="s">
        <v>846</v>
      </c>
      <c r="K1134" s="30">
        <v>2</v>
      </c>
      <c r="L1134" s="9" t="s">
        <v>848</v>
      </c>
      <c r="M1134" s="30" t="s">
        <v>84</v>
      </c>
      <c r="N1134" s="30" t="s">
        <v>155</v>
      </c>
      <c r="O1134" s="24">
        <v>74</v>
      </c>
      <c r="P1134" s="24">
        <v>142</v>
      </c>
      <c r="Q1134" s="24">
        <v>35</v>
      </c>
      <c r="R1134" s="24">
        <v>0</v>
      </c>
      <c r="S1134" s="24">
        <v>0</v>
      </c>
      <c r="T1134" s="24">
        <v>251</v>
      </c>
    </row>
    <row r="1135" spans="1:20">
      <c r="A1135" s="9" t="s">
        <v>829</v>
      </c>
      <c r="B1135" s="30" t="s">
        <v>863</v>
      </c>
      <c r="C1135" s="30" t="str">
        <f>CONCATENATE(VOL_VOLUMEN_SUMINISTROS[[#This Row],[Proyecto]],VOL_VOLUMEN_SUMINISTROS[[#This Row],[J]],VOL_VOLUMEN_SUMINISTROS[[#This Row],[FIN DE SEMANA]])</f>
        <v>1052-2TNO</v>
      </c>
      <c r="D1135" s="365" t="str">
        <f>CONCATENATE(VOL_VOLUMEN_SUMINISTROS[[#This Row],[Grupo]],VOL_VOLUMEN_SUMINISTROS[[#This Row],[Proyecto]],VOL_VOLUMEN_SUMINISTROS[[#This Row],[FIN DE SEMANA]])</f>
        <v>171052-2NO</v>
      </c>
      <c r="E1135" s="30" t="s">
        <v>183</v>
      </c>
      <c r="F1135" s="30" t="s">
        <v>148</v>
      </c>
      <c r="G1135" s="365">
        <v>17</v>
      </c>
      <c r="H1135" s="30">
        <v>11</v>
      </c>
      <c r="I1135" s="9" t="s">
        <v>803</v>
      </c>
      <c r="J1135" s="9" t="s">
        <v>846</v>
      </c>
      <c r="K1135" s="30">
        <v>3</v>
      </c>
      <c r="L1135" s="9" t="s">
        <v>849</v>
      </c>
      <c r="M1135" s="30" t="s">
        <v>84</v>
      </c>
      <c r="N1135" s="30" t="s">
        <v>155</v>
      </c>
      <c r="O1135" s="24">
        <v>186</v>
      </c>
      <c r="P1135" s="24">
        <v>249</v>
      </c>
      <c r="Q1135" s="24">
        <v>52</v>
      </c>
      <c r="R1135" s="24">
        <v>0</v>
      </c>
      <c r="S1135" s="24">
        <v>0</v>
      </c>
      <c r="T1135" s="24">
        <v>487</v>
      </c>
    </row>
    <row r="1136" spans="1:20">
      <c r="A1136" s="9" t="s">
        <v>829</v>
      </c>
      <c r="B1136" s="30" t="s">
        <v>870</v>
      </c>
      <c r="C1136" s="30" t="str">
        <f>CONCATENATE(VOL_VOLUMEN_SUMINISTROS[[#This Row],[Proyecto]],VOL_VOLUMEN_SUMINISTROS[[#This Row],[J]],VOL_VOLUMEN_SUMINISTROS[[#This Row],[FIN DE SEMANA]])</f>
        <v>1052-2M1NO</v>
      </c>
      <c r="D1136" s="365" t="str">
        <f>CONCATENATE(VOL_VOLUMEN_SUMINISTROS[[#This Row],[Grupo]],VOL_VOLUMEN_SUMINISTROS[[#This Row],[Proyecto]],VOL_VOLUMEN_SUMINISTROS[[#This Row],[FIN DE SEMANA]])</f>
        <v>51052-2NO</v>
      </c>
      <c r="E1136" s="30" t="s">
        <v>183</v>
      </c>
      <c r="F1136" s="30" t="s">
        <v>148</v>
      </c>
      <c r="G1136" s="365">
        <v>5</v>
      </c>
      <c r="H1136" s="30">
        <v>10</v>
      </c>
      <c r="I1136" s="9" t="s">
        <v>331</v>
      </c>
      <c r="J1136" s="9" t="s">
        <v>867</v>
      </c>
      <c r="K1136" s="30">
        <v>2</v>
      </c>
      <c r="L1136" s="9" t="s">
        <v>869</v>
      </c>
      <c r="M1136" s="30" t="s">
        <v>84</v>
      </c>
      <c r="N1136" s="30" t="s">
        <v>216</v>
      </c>
      <c r="O1136" s="24">
        <v>0</v>
      </c>
      <c r="P1136" s="24">
        <v>0</v>
      </c>
      <c r="Q1136" s="24">
        <v>36</v>
      </c>
      <c r="R1136" s="24">
        <v>0</v>
      </c>
      <c r="S1136" s="24">
        <v>0</v>
      </c>
      <c r="T1136" s="24">
        <v>36</v>
      </c>
    </row>
    <row r="1137" spans="1:20">
      <c r="A1137" s="9" t="s">
        <v>829</v>
      </c>
      <c r="B1137" s="30" t="s">
        <v>870</v>
      </c>
      <c r="C1137" s="30" t="str">
        <f>CONCATENATE(VOL_VOLUMEN_SUMINISTROS[[#This Row],[Proyecto]],VOL_VOLUMEN_SUMINISTROS[[#This Row],[J]],VOL_VOLUMEN_SUMINISTROS[[#This Row],[FIN DE SEMANA]])</f>
        <v>1052-2TNO</v>
      </c>
      <c r="D1137" s="365" t="str">
        <f>CONCATENATE(VOL_VOLUMEN_SUMINISTROS[[#This Row],[Grupo]],VOL_VOLUMEN_SUMINISTROS[[#This Row],[Proyecto]],VOL_VOLUMEN_SUMINISTROS[[#This Row],[FIN DE SEMANA]])</f>
        <v>51052-2NO</v>
      </c>
      <c r="E1137" s="30" t="s">
        <v>183</v>
      </c>
      <c r="F1137" s="30" t="s">
        <v>148</v>
      </c>
      <c r="G1137" s="365">
        <v>5</v>
      </c>
      <c r="H1137" s="30">
        <v>10</v>
      </c>
      <c r="I1137" s="9" t="s">
        <v>331</v>
      </c>
      <c r="J1137" s="9" t="s">
        <v>867</v>
      </c>
      <c r="K1137" s="30">
        <v>2</v>
      </c>
      <c r="L1137" s="9" t="s">
        <v>869</v>
      </c>
      <c r="M1137" s="30" t="s">
        <v>84</v>
      </c>
      <c r="N1137" s="30" t="s">
        <v>155</v>
      </c>
      <c r="O1137" s="24">
        <v>0</v>
      </c>
      <c r="P1137" s="24">
        <v>0</v>
      </c>
      <c r="Q1137" s="24">
        <v>64</v>
      </c>
      <c r="R1137" s="24">
        <v>0</v>
      </c>
      <c r="S1137" s="24">
        <v>0</v>
      </c>
      <c r="T1137" s="24">
        <v>64</v>
      </c>
    </row>
    <row r="1138" spans="1:20">
      <c r="A1138" s="9" t="s">
        <v>829</v>
      </c>
      <c r="B1138" s="30" t="s">
        <v>870</v>
      </c>
      <c r="C1138" s="30" t="str">
        <f>CONCATENATE(VOL_VOLUMEN_SUMINISTROS[[#This Row],[Proyecto]],VOL_VOLUMEN_SUMINISTROS[[#This Row],[J]],VOL_VOLUMEN_SUMINISTROS[[#This Row],[FIN DE SEMANA]])</f>
        <v>1052-2MNO</v>
      </c>
      <c r="D1138" s="365" t="str">
        <f>CONCATENATE(VOL_VOLUMEN_SUMINISTROS[[#This Row],[Grupo]],VOL_VOLUMEN_SUMINISTROS[[#This Row],[Proyecto]],VOL_VOLUMEN_SUMINISTROS[[#This Row],[FIN DE SEMANA]])</f>
        <v>171052-2NO</v>
      </c>
      <c r="E1138" s="30" t="s">
        <v>183</v>
      </c>
      <c r="F1138" s="30" t="s">
        <v>148</v>
      </c>
      <c r="G1138" s="365">
        <v>17</v>
      </c>
      <c r="H1138" s="30">
        <v>10</v>
      </c>
      <c r="I1138" s="9" t="s">
        <v>331</v>
      </c>
      <c r="J1138" s="9" t="s">
        <v>836</v>
      </c>
      <c r="K1138" s="30">
        <v>3</v>
      </c>
      <c r="L1138" s="9" t="s">
        <v>837</v>
      </c>
      <c r="M1138" s="30" t="s">
        <v>84</v>
      </c>
      <c r="N1138" s="30" t="s">
        <v>152</v>
      </c>
      <c r="O1138" s="24">
        <v>0</v>
      </c>
      <c r="P1138" s="24">
        <v>0</v>
      </c>
      <c r="Q1138" s="24">
        <v>45</v>
      </c>
      <c r="R1138" s="24">
        <v>0</v>
      </c>
      <c r="S1138" s="24">
        <v>0</v>
      </c>
      <c r="T1138" s="24">
        <v>45</v>
      </c>
    </row>
    <row r="1139" spans="1:20">
      <c r="A1139" s="9" t="s">
        <v>829</v>
      </c>
      <c r="B1139" s="30" t="s">
        <v>870</v>
      </c>
      <c r="C1139" s="30" t="str">
        <f>CONCATENATE(VOL_VOLUMEN_SUMINISTROS[[#This Row],[Proyecto]],VOL_VOLUMEN_SUMINISTROS[[#This Row],[J]],VOL_VOLUMEN_SUMINISTROS[[#This Row],[FIN DE SEMANA]])</f>
        <v>1052-2TNO</v>
      </c>
      <c r="D1139" s="365" t="str">
        <f>CONCATENATE(VOL_VOLUMEN_SUMINISTROS[[#This Row],[Grupo]],VOL_VOLUMEN_SUMINISTROS[[#This Row],[Proyecto]],VOL_VOLUMEN_SUMINISTROS[[#This Row],[FIN DE SEMANA]])</f>
        <v>171052-2NO</v>
      </c>
      <c r="E1139" s="30" t="s">
        <v>183</v>
      </c>
      <c r="F1139" s="30" t="s">
        <v>148</v>
      </c>
      <c r="G1139" s="365">
        <v>17</v>
      </c>
      <c r="H1139" s="30">
        <v>10</v>
      </c>
      <c r="I1139" s="9" t="s">
        <v>331</v>
      </c>
      <c r="J1139" s="9" t="s">
        <v>836</v>
      </c>
      <c r="K1139" s="30">
        <v>3</v>
      </c>
      <c r="L1139" s="9" t="s">
        <v>837</v>
      </c>
      <c r="M1139" s="30" t="s">
        <v>84</v>
      </c>
      <c r="N1139" s="30" t="s">
        <v>155</v>
      </c>
      <c r="O1139" s="24">
        <v>0</v>
      </c>
      <c r="P1139" s="24">
        <v>0</v>
      </c>
      <c r="Q1139" s="24">
        <v>66</v>
      </c>
      <c r="R1139" s="24">
        <v>0</v>
      </c>
      <c r="S1139" s="24">
        <v>0</v>
      </c>
      <c r="T1139" s="24">
        <v>66</v>
      </c>
    </row>
    <row r="1140" spans="1:20">
      <c r="A1140" s="9" t="s">
        <v>829</v>
      </c>
      <c r="B1140" s="30" t="s">
        <v>870</v>
      </c>
      <c r="C1140" s="30" t="str">
        <f>CONCATENATE(VOL_VOLUMEN_SUMINISTROS[[#This Row],[Proyecto]],VOL_VOLUMEN_SUMINISTROS[[#This Row],[J]],VOL_VOLUMEN_SUMINISTROS[[#This Row],[FIN DE SEMANA]])</f>
        <v>1052-2MNO</v>
      </c>
      <c r="D1140" s="365" t="str">
        <f>CONCATENATE(VOL_VOLUMEN_SUMINISTROS[[#This Row],[Grupo]],VOL_VOLUMEN_SUMINISTROS[[#This Row],[Proyecto]],VOL_VOLUMEN_SUMINISTROS[[#This Row],[FIN DE SEMANA]])</f>
        <v>171052-2NO</v>
      </c>
      <c r="E1140" s="30" t="s">
        <v>183</v>
      </c>
      <c r="F1140" s="30" t="s">
        <v>148</v>
      </c>
      <c r="G1140" s="365">
        <v>17</v>
      </c>
      <c r="H1140" s="30">
        <v>11</v>
      </c>
      <c r="I1140" s="9" t="s">
        <v>803</v>
      </c>
      <c r="J1140" s="9" t="s">
        <v>846</v>
      </c>
      <c r="K1140" s="30">
        <v>1</v>
      </c>
      <c r="L1140" s="9" t="s">
        <v>847</v>
      </c>
      <c r="M1140" s="30" t="s">
        <v>84</v>
      </c>
      <c r="N1140" s="30" t="s">
        <v>152</v>
      </c>
      <c r="O1140" s="24">
        <v>0</v>
      </c>
      <c r="P1140" s="24">
        <v>0</v>
      </c>
      <c r="Q1140" s="24">
        <v>78</v>
      </c>
      <c r="R1140" s="24">
        <v>0</v>
      </c>
      <c r="S1140" s="24">
        <v>0</v>
      </c>
      <c r="T1140" s="24">
        <v>78</v>
      </c>
    </row>
    <row r="1141" spans="1:20">
      <c r="A1141" s="9" t="s">
        <v>829</v>
      </c>
      <c r="B1141" s="30" t="s">
        <v>870</v>
      </c>
      <c r="C1141" s="30" t="str">
        <f>CONCATENATE(VOL_VOLUMEN_SUMINISTROS[[#This Row],[Proyecto]],VOL_VOLUMEN_SUMINISTROS[[#This Row],[J]],VOL_VOLUMEN_SUMINISTROS[[#This Row],[FIN DE SEMANA]])</f>
        <v>1052-2TNO</v>
      </c>
      <c r="D1141" s="365" t="str">
        <f>CONCATENATE(VOL_VOLUMEN_SUMINISTROS[[#This Row],[Grupo]],VOL_VOLUMEN_SUMINISTROS[[#This Row],[Proyecto]],VOL_VOLUMEN_SUMINISTROS[[#This Row],[FIN DE SEMANA]])</f>
        <v>171052-2NO</v>
      </c>
      <c r="E1141" s="30" t="s">
        <v>183</v>
      </c>
      <c r="F1141" s="30" t="s">
        <v>148</v>
      </c>
      <c r="G1141" s="365">
        <v>17</v>
      </c>
      <c r="H1141" s="30">
        <v>11</v>
      </c>
      <c r="I1141" s="9" t="s">
        <v>803</v>
      </c>
      <c r="J1141" s="9" t="s">
        <v>846</v>
      </c>
      <c r="K1141" s="30">
        <v>1</v>
      </c>
      <c r="L1141" s="9" t="s">
        <v>847</v>
      </c>
      <c r="M1141" s="30" t="s">
        <v>84</v>
      </c>
      <c r="N1141" s="30" t="s">
        <v>155</v>
      </c>
      <c r="O1141" s="24">
        <v>0</v>
      </c>
      <c r="P1141" s="24">
        <v>0</v>
      </c>
      <c r="Q1141" s="24">
        <v>78</v>
      </c>
      <c r="R1141" s="24">
        <v>0</v>
      </c>
      <c r="S1141" s="24">
        <v>0</v>
      </c>
      <c r="T1141" s="24">
        <v>78</v>
      </c>
    </row>
    <row r="1142" spans="1:20">
      <c r="A1142" s="9" t="s">
        <v>829</v>
      </c>
      <c r="B1142" s="30" t="s">
        <v>871</v>
      </c>
      <c r="C1142" s="30" t="str">
        <f>CONCATENATE(VOL_VOLUMEN_SUMINISTROS[[#This Row],[Proyecto]],VOL_VOLUMEN_SUMINISTROS[[#This Row],[J]],VOL_VOLUMEN_SUMINISTROS[[#This Row],[FIN DE SEMANA]])</f>
        <v>1052-2MNO</v>
      </c>
      <c r="D1142" s="365" t="str">
        <f>CONCATENATE(VOL_VOLUMEN_SUMINISTROS[[#This Row],[Grupo]],VOL_VOLUMEN_SUMINISTROS[[#This Row],[Proyecto]],VOL_VOLUMEN_SUMINISTROS[[#This Row],[FIN DE SEMANA]])</f>
        <v>171052-2NO</v>
      </c>
      <c r="E1142" s="30" t="s">
        <v>183</v>
      </c>
      <c r="F1142" s="30" t="s">
        <v>148</v>
      </c>
      <c r="G1142" s="365">
        <v>17</v>
      </c>
      <c r="H1142" s="30">
        <v>11</v>
      </c>
      <c r="I1142" s="9" t="s">
        <v>803</v>
      </c>
      <c r="J1142" s="9" t="s">
        <v>846</v>
      </c>
      <c r="K1142" s="30">
        <v>2</v>
      </c>
      <c r="L1142" s="9" t="s">
        <v>848</v>
      </c>
      <c r="M1142" s="30" t="s">
        <v>84</v>
      </c>
      <c r="N1142" s="30" t="s">
        <v>152</v>
      </c>
      <c r="O1142" s="24">
        <v>60</v>
      </c>
      <c r="P1142" s="24">
        <v>0</v>
      </c>
      <c r="Q1142" s="24">
        <v>0</v>
      </c>
      <c r="R1142" s="24">
        <v>0</v>
      </c>
      <c r="S1142" s="24">
        <v>0</v>
      </c>
      <c r="T1142" s="24">
        <v>60</v>
      </c>
    </row>
    <row r="1143" spans="1:20">
      <c r="A1143" s="9" t="s">
        <v>829</v>
      </c>
      <c r="B1143" s="30" t="s">
        <v>871</v>
      </c>
      <c r="C1143" s="30" t="str">
        <f>CONCATENATE(VOL_VOLUMEN_SUMINISTROS[[#This Row],[Proyecto]],VOL_VOLUMEN_SUMINISTROS[[#This Row],[J]],VOL_VOLUMEN_SUMINISTROS[[#This Row],[FIN DE SEMANA]])</f>
        <v>1052-2TNO</v>
      </c>
      <c r="D1143" s="365" t="str">
        <f>CONCATENATE(VOL_VOLUMEN_SUMINISTROS[[#This Row],[Grupo]],VOL_VOLUMEN_SUMINISTROS[[#This Row],[Proyecto]],VOL_VOLUMEN_SUMINISTROS[[#This Row],[FIN DE SEMANA]])</f>
        <v>171052-2NO</v>
      </c>
      <c r="E1143" s="30" t="s">
        <v>183</v>
      </c>
      <c r="F1143" s="30" t="s">
        <v>148</v>
      </c>
      <c r="G1143" s="365">
        <v>17</v>
      </c>
      <c r="H1143" s="30">
        <v>11</v>
      </c>
      <c r="I1143" s="9" t="s">
        <v>803</v>
      </c>
      <c r="J1143" s="9" t="s">
        <v>846</v>
      </c>
      <c r="K1143" s="30">
        <v>3</v>
      </c>
      <c r="L1143" s="9" t="s">
        <v>849</v>
      </c>
      <c r="M1143" s="30" t="s">
        <v>84</v>
      </c>
      <c r="N1143" s="30" t="s">
        <v>155</v>
      </c>
      <c r="O1143" s="24">
        <v>75</v>
      </c>
      <c r="P1143" s="24">
        <v>0</v>
      </c>
      <c r="Q1143" s="24">
        <v>0</v>
      </c>
      <c r="R1143" s="24">
        <v>0</v>
      </c>
      <c r="S1143" s="24">
        <v>0</v>
      </c>
      <c r="T1143" s="24">
        <v>75</v>
      </c>
    </row>
    <row r="1144" spans="1:20">
      <c r="A1144" s="9" t="s">
        <v>829</v>
      </c>
      <c r="B1144" s="30" t="s">
        <v>872</v>
      </c>
      <c r="C1144" s="30" t="str">
        <f>CONCATENATE(VOL_VOLUMEN_SUMINISTROS[[#This Row],[Proyecto]],VOL_VOLUMEN_SUMINISTROS[[#This Row],[J]],VOL_VOLUMEN_SUMINISTROS[[#This Row],[FIN DE SEMANA]])</f>
        <v>1052-1MNO</v>
      </c>
      <c r="D1144" s="365" t="str">
        <f>CONCATENATE(VOL_VOLUMEN_SUMINISTROS[[#This Row],[Grupo]],VOL_VOLUMEN_SUMINISTROS[[#This Row],[Proyecto]],VOL_VOLUMEN_SUMINISTROS[[#This Row],[FIN DE SEMANA]])</f>
        <v>191052-1NO</v>
      </c>
      <c r="E1144" s="30" t="s">
        <v>147</v>
      </c>
      <c r="F1144" s="30" t="s">
        <v>148</v>
      </c>
      <c r="G1144" s="365">
        <v>19</v>
      </c>
      <c r="H1144" s="30">
        <v>11</v>
      </c>
      <c r="I1144" s="9" t="s">
        <v>803</v>
      </c>
      <c r="J1144" s="9" t="s">
        <v>873</v>
      </c>
      <c r="K1144" s="30">
        <v>1</v>
      </c>
      <c r="L1144" s="9" t="s">
        <v>874</v>
      </c>
      <c r="M1144" s="30" t="s">
        <v>84</v>
      </c>
      <c r="N1144" s="30" t="s">
        <v>152</v>
      </c>
      <c r="O1144" s="24">
        <v>290</v>
      </c>
      <c r="P1144" s="24">
        <v>270</v>
      </c>
      <c r="Q1144" s="24">
        <v>55</v>
      </c>
      <c r="R1144" s="24">
        <v>0</v>
      </c>
      <c r="S1144" s="24">
        <v>0</v>
      </c>
      <c r="T1144" s="24">
        <v>615</v>
      </c>
    </row>
    <row r="1145" spans="1:20">
      <c r="A1145" s="9" t="s">
        <v>829</v>
      </c>
      <c r="B1145" s="30" t="s">
        <v>872</v>
      </c>
      <c r="C1145" s="30" t="str">
        <f>CONCATENATE(VOL_VOLUMEN_SUMINISTROS[[#This Row],[Proyecto]],VOL_VOLUMEN_SUMINISTROS[[#This Row],[J]],VOL_VOLUMEN_SUMINISTROS[[#This Row],[FIN DE SEMANA]])</f>
        <v>1052-1MNO</v>
      </c>
      <c r="D1145" s="365" t="str">
        <f>CONCATENATE(VOL_VOLUMEN_SUMINISTROS[[#This Row],[Grupo]],VOL_VOLUMEN_SUMINISTROS[[#This Row],[Proyecto]],VOL_VOLUMEN_SUMINISTROS[[#This Row],[FIN DE SEMANA]])</f>
        <v>191052-1NO</v>
      </c>
      <c r="E1145" s="30" t="s">
        <v>147</v>
      </c>
      <c r="F1145" s="30" t="s">
        <v>148</v>
      </c>
      <c r="G1145" s="365">
        <v>19</v>
      </c>
      <c r="H1145" s="30">
        <v>11</v>
      </c>
      <c r="I1145" s="9" t="s">
        <v>803</v>
      </c>
      <c r="J1145" s="9" t="s">
        <v>873</v>
      </c>
      <c r="K1145" s="30">
        <v>2</v>
      </c>
      <c r="L1145" s="9" t="s">
        <v>875</v>
      </c>
      <c r="M1145" s="30" t="s">
        <v>84</v>
      </c>
      <c r="N1145" s="30" t="s">
        <v>152</v>
      </c>
      <c r="O1145" s="24">
        <v>0</v>
      </c>
      <c r="P1145" s="24">
        <v>102</v>
      </c>
      <c r="Q1145" s="24">
        <v>332</v>
      </c>
      <c r="R1145" s="24">
        <v>0</v>
      </c>
      <c r="S1145" s="24">
        <v>0</v>
      </c>
      <c r="T1145" s="24">
        <v>434</v>
      </c>
    </row>
    <row r="1146" spans="1:20">
      <c r="A1146" s="9" t="s">
        <v>829</v>
      </c>
      <c r="B1146" s="30" t="s">
        <v>872</v>
      </c>
      <c r="C1146" s="30" t="str">
        <f>CONCATENATE(VOL_VOLUMEN_SUMINISTROS[[#This Row],[Proyecto]],VOL_VOLUMEN_SUMINISTROS[[#This Row],[J]],VOL_VOLUMEN_SUMINISTROS[[#This Row],[FIN DE SEMANA]])</f>
        <v>1052-1TNO</v>
      </c>
      <c r="D1146" s="365" t="str">
        <f>CONCATENATE(VOL_VOLUMEN_SUMINISTROS[[#This Row],[Grupo]],VOL_VOLUMEN_SUMINISTROS[[#This Row],[Proyecto]],VOL_VOLUMEN_SUMINISTROS[[#This Row],[FIN DE SEMANA]])</f>
        <v>191052-1NO</v>
      </c>
      <c r="E1146" s="30" t="s">
        <v>147</v>
      </c>
      <c r="F1146" s="30" t="s">
        <v>148</v>
      </c>
      <c r="G1146" s="365">
        <v>19</v>
      </c>
      <c r="H1146" s="30">
        <v>11</v>
      </c>
      <c r="I1146" s="9" t="s">
        <v>803</v>
      </c>
      <c r="J1146" s="9" t="s">
        <v>873</v>
      </c>
      <c r="K1146" s="30">
        <v>2</v>
      </c>
      <c r="L1146" s="9" t="s">
        <v>875</v>
      </c>
      <c r="M1146" s="30" t="s">
        <v>84</v>
      </c>
      <c r="N1146" s="30" t="s">
        <v>155</v>
      </c>
      <c r="O1146" s="24">
        <v>0</v>
      </c>
      <c r="P1146" s="24">
        <v>96</v>
      </c>
      <c r="Q1146" s="24">
        <v>288</v>
      </c>
      <c r="R1146" s="24">
        <v>0</v>
      </c>
      <c r="S1146" s="24">
        <v>0</v>
      </c>
      <c r="T1146" s="24">
        <v>384</v>
      </c>
    </row>
    <row r="1147" spans="1:20">
      <c r="A1147" s="9" t="s">
        <v>829</v>
      </c>
      <c r="B1147" s="30" t="s">
        <v>872</v>
      </c>
      <c r="C1147" s="30" t="str">
        <f>CONCATENATE(VOL_VOLUMEN_SUMINISTROS[[#This Row],[Proyecto]],VOL_VOLUMEN_SUMINISTROS[[#This Row],[J]],VOL_VOLUMEN_SUMINISTROS[[#This Row],[FIN DE SEMANA]])</f>
        <v>1052-1MNO</v>
      </c>
      <c r="D1147" s="365" t="str">
        <f>CONCATENATE(VOL_VOLUMEN_SUMINISTROS[[#This Row],[Grupo]],VOL_VOLUMEN_SUMINISTROS[[#This Row],[Proyecto]],VOL_VOLUMEN_SUMINISTROS[[#This Row],[FIN DE SEMANA]])</f>
        <v>191052-1NO</v>
      </c>
      <c r="E1147" s="30" t="s">
        <v>147</v>
      </c>
      <c r="F1147" s="30" t="s">
        <v>148</v>
      </c>
      <c r="G1147" s="365">
        <v>19</v>
      </c>
      <c r="H1147" s="30">
        <v>11</v>
      </c>
      <c r="I1147" s="9" t="s">
        <v>803</v>
      </c>
      <c r="J1147" s="9" t="s">
        <v>876</v>
      </c>
      <c r="K1147" s="30">
        <v>1</v>
      </c>
      <c r="L1147" s="9" t="s">
        <v>877</v>
      </c>
      <c r="M1147" s="30" t="s">
        <v>84</v>
      </c>
      <c r="N1147" s="30" t="s">
        <v>152</v>
      </c>
      <c r="O1147" s="24">
        <v>154</v>
      </c>
      <c r="P1147" s="24">
        <v>329</v>
      </c>
      <c r="Q1147" s="24">
        <v>394</v>
      </c>
      <c r="R1147" s="24">
        <v>0</v>
      </c>
      <c r="S1147" s="24">
        <v>0</v>
      </c>
      <c r="T1147" s="24">
        <v>877</v>
      </c>
    </row>
    <row r="1148" spans="1:20">
      <c r="A1148" s="9" t="s">
        <v>829</v>
      </c>
      <c r="B1148" s="30" t="s">
        <v>872</v>
      </c>
      <c r="C1148" s="30" t="str">
        <f>CONCATENATE(VOL_VOLUMEN_SUMINISTROS[[#This Row],[Proyecto]],VOL_VOLUMEN_SUMINISTROS[[#This Row],[J]],VOL_VOLUMEN_SUMINISTROS[[#This Row],[FIN DE SEMANA]])</f>
        <v>1052-1TNO</v>
      </c>
      <c r="D1148" s="365" t="str">
        <f>CONCATENATE(VOL_VOLUMEN_SUMINISTROS[[#This Row],[Grupo]],VOL_VOLUMEN_SUMINISTROS[[#This Row],[Proyecto]],VOL_VOLUMEN_SUMINISTROS[[#This Row],[FIN DE SEMANA]])</f>
        <v>191052-1NO</v>
      </c>
      <c r="E1148" s="30" t="s">
        <v>147</v>
      </c>
      <c r="F1148" s="30" t="s">
        <v>148</v>
      </c>
      <c r="G1148" s="365">
        <v>19</v>
      </c>
      <c r="H1148" s="30">
        <v>11</v>
      </c>
      <c r="I1148" s="9" t="s">
        <v>803</v>
      </c>
      <c r="J1148" s="9" t="s">
        <v>876</v>
      </c>
      <c r="K1148" s="30">
        <v>1</v>
      </c>
      <c r="L1148" s="9" t="s">
        <v>878</v>
      </c>
      <c r="M1148" s="30" t="s">
        <v>84</v>
      </c>
      <c r="N1148" s="30" t="s">
        <v>155</v>
      </c>
      <c r="O1148" s="24">
        <v>159</v>
      </c>
      <c r="P1148" s="24">
        <v>284</v>
      </c>
      <c r="Q1148" s="24">
        <v>401</v>
      </c>
      <c r="R1148" s="24">
        <v>0</v>
      </c>
      <c r="S1148" s="24">
        <v>0</v>
      </c>
      <c r="T1148" s="24">
        <v>844</v>
      </c>
    </row>
    <row r="1149" spans="1:20">
      <c r="A1149" s="9" t="s">
        <v>829</v>
      </c>
      <c r="B1149" s="30" t="s">
        <v>872</v>
      </c>
      <c r="C1149" s="30" t="str">
        <f>CONCATENATE(VOL_VOLUMEN_SUMINISTROS[[#This Row],[Proyecto]],VOL_VOLUMEN_SUMINISTROS[[#This Row],[J]],VOL_VOLUMEN_SUMINISTROS[[#This Row],[FIN DE SEMANA]])</f>
        <v>1052-1MNO</v>
      </c>
      <c r="D1149" s="365" t="str">
        <f>CONCATENATE(VOL_VOLUMEN_SUMINISTROS[[#This Row],[Grupo]],VOL_VOLUMEN_SUMINISTROS[[#This Row],[Proyecto]],VOL_VOLUMEN_SUMINISTROS[[#This Row],[FIN DE SEMANA]])</f>
        <v>191052-1NO</v>
      </c>
      <c r="E1149" s="30" t="s">
        <v>147</v>
      </c>
      <c r="F1149" s="30" t="s">
        <v>148</v>
      </c>
      <c r="G1149" s="365">
        <v>19</v>
      </c>
      <c r="H1149" s="30">
        <v>11</v>
      </c>
      <c r="I1149" s="9" t="s">
        <v>803</v>
      </c>
      <c r="J1149" s="9" t="s">
        <v>876</v>
      </c>
      <c r="K1149" s="30">
        <v>2</v>
      </c>
      <c r="L1149" s="9" t="s">
        <v>879</v>
      </c>
      <c r="M1149" s="30" t="s">
        <v>84</v>
      </c>
      <c r="N1149" s="30" t="s">
        <v>152</v>
      </c>
      <c r="O1149" s="24">
        <v>183</v>
      </c>
      <c r="P1149" s="24">
        <v>153</v>
      </c>
      <c r="Q1149" s="24">
        <v>151</v>
      </c>
      <c r="R1149" s="24">
        <v>0</v>
      </c>
      <c r="S1149" s="24">
        <v>0</v>
      </c>
      <c r="T1149" s="24">
        <v>487</v>
      </c>
    </row>
    <row r="1150" spans="1:20">
      <c r="A1150" s="9" t="s">
        <v>829</v>
      </c>
      <c r="B1150" s="30" t="s">
        <v>872</v>
      </c>
      <c r="C1150" s="30" t="str">
        <f>CONCATENATE(VOL_VOLUMEN_SUMINISTROS[[#This Row],[Proyecto]],VOL_VOLUMEN_SUMINISTROS[[#This Row],[J]],VOL_VOLUMEN_SUMINISTROS[[#This Row],[FIN DE SEMANA]])</f>
        <v>1052-1TNO</v>
      </c>
      <c r="D1150" s="365" t="str">
        <f>CONCATENATE(VOL_VOLUMEN_SUMINISTROS[[#This Row],[Grupo]],VOL_VOLUMEN_SUMINISTROS[[#This Row],[Proyecto]],VOL_VOLUMEN_SUMINISTROS[[#This Row],[FIN DE SEMANA]])</f>
        <v>191052-1NO</v>
      </c>
      <c r="E1150" s="30" t="s">
        <v>147</v>
      </c>
      <c r="F1150" s="30" t="s">
        <v>148</v>
      </c>
      <c r="G1150" s="365">
        <v>19</v>
      </c>
      <c r="H1150" s="30">
        <v>11</v>
      </c>
      <c r="I1150" s="9" t="s">
        <v>803</v>
      </c>
      <c r="J1150" s="9" t="s">
        <v>876</v>
      </c>
      <c r="K1150" s="30">
        <v>2</v>
      </c>
      <c r="L1150" s="9" t="s">
        <v>879</v>
      </c>
      <c r="M1150" s="30" t="s">
        <v>84</v>
      </c>
      <c r="N1150" s="30" t="s">
        <v>155</v>
      </c>
      <c r="O1150" s="24">
        <v>235</v>
      </c>
      <c r="P1150" s="24">
        <v>145</v>
      </c>
      <c r="Q1150" s="24">
        <v>107</v>
      </c>
      <c r="R1150" s="24">
        <v>0</v>
      </c>
      <c r="S1150" s="24">
        <v>0</v>
      </c>
      <c r="T1150" s="24">
        <v>487</v>
      </c>
    </row>
    <row r="1151" spans="1:20">
      <c r="A1151" s="9" t="s">
        <v>829</v>
      </c>
      <c r="B1151" s="30" t="s">
        <v>872</v>
      </c>
      <c r="C1151" s="30" t="str">
        <f>CONCATENATE(VOL_VOLUMEN_SUMINISTROS[[#This Row],[Proyecto]],VOL_VOLUMEN_SUMINISTROS[[#This Row],[J]],VOL_VOLUMEN_SUMINISTROS[[#This Row],[FIN DE SEMANA]])</f>
        <v>1052-1MNO</v>
      </c>
      <c r="D1151" s="365" t="str">
        <f>CONCATENATE(VOL_VOLUMEN_SUMINISTROS[[#This Row],[Grupo]],VOL_VOLUMEN_SUMINISTROS[[#This Row],[Proyecto]],VOL_VOLUMEN_SUMINISTROS[[#This Row],[FIN DE SEMANA]])</f>
        <v>191052-1NO</v>
      </c>
      <c r="E1151" s="30" t="s">
        <v>147</v>
      </c>
      <c r="F1151" s="30" t="s">
        <v>148</v>
      </c>
      <c r="G1151" s="365">
        <v>19</v>
      </c>
      <c r="H1151" s="30">
        <v>11</v>
      </c>
      <c r="I1151" s="9" t="s">
        <v>803</v>
      </c>
      <c r="J1151" s="9" t="s">
        <v>876</v>
      </c>
      <c r="K1151" s="30">
        <v>3</v>
      </c>
      <c r="L1151" s="9" t="s">
        <v>458</v>
      </c>
      <c r="M1151" s="30" t="s">
        <v>84</v>
      </c>
      <c r="N1151" s="30" t="s">
        <v>152</v>
      </c>
      <c r="O1151" s="24">
        <v>229</v>
      </c>
      <c r="P1151" s="24">
        <v>242</v>
      </c>
      <c r="Q1151" s="24">
        <v>231</v>
      </c>
      <c r="R1151" s="24">
        <v>0</v>
      </c>
      <c r="S1151" s="24">
        <v>0</v>
      </c>
      <c r="T1151" s="24">
        <v>702</v>
      </c>
    </row>
    <row r="1152" spans="1:20">
      <c r="A1152" s="9" t="s">
        <v>829</v>
      </c>
      <c r="B1152" s="30" t="s">
        <v>872</v>
      </c>
      <c r="C1152" s="30" t="str">
        <f>CONCATENATE(VOL_VOLUMEN_SUMINISTROS[[#This Row],[Proyecto]],VOL_VOLUMEN_SUMINISTROS[[#This Row],[J]],VOL_VOLUMEN_SUMINISTROS[[#This Row],[FIN DE SEMANA]])</f>
        <v>1052-1TNO</v>
      </c>
      <c r="D1152" s="365" t="str">
        <f>CONCATENATE(VOL_VOLUMEN_SUMINISTROS[[#This Row],[Grupo]],VOL_VOLUMEN_SUMINISTROS[[#This Row],[Proyecto]],VOL_VOLUMEN_SUMINISTROS[[#This Row],[FIN DE SEMANA]])</f>
        <v>191052-1NO</v>
      </c>
      <c r="E1152" s="30" t="s">
        <v>147</v>
      </c>
      <c r="F1152" s="30" t="s">
        <v>148</v>
      </c>
      <c r="G1152" s="365">
        <v>19</v>
      </c>
      <c r="H1152" s="30">
        <v>11</v>
      </c>
      <c r="I1152" s="9" t="s">
        <v>803</v>
      </c>
      <c r="J1152" s="9" t="s">
        <v>876</v>
      </c>
      <c r="K1152" s="30">
        <v>3</v>
      </c>
      <c r="L1152" s="9" t="s">
        <v>458</v>
      </c>
      <c r="M1152" s="30" t="s">
        <v>84</v>
      </c>
      <c r="N1152" s="30" t="s">
        <v>155</v>
      </c>
      <c r="O1152" s="24">
        <v>216</v>
      </c>
      <c r="P1152" s="24">
        <v>240</v>
      </c>
      <c r="Q1152" s="24">
        <v>100</v>
      </c>
      <c r="R1152" s="24">
        <v>0</v>
      </c>
      <c r="S1152" s="24">
        <v>0</v>
      </c>
      <c r="T1152" s="24">
        <v>556</v>
      </c>
    </row>
    <row r="1153" spans="1:20">
      <c r="A1153" s="9" t="s">
        <v>829</v>
      </c>
      <c r="B1153" s="30" t="s">
        <v>872</v>
      </c>
      <c r="C1153" s="30" t="str">
        <f>CONCATENATE(VOL_VOLUMEN_SUMINISTROS[[#This Row],[Proyecto]],VOL_VOLUMEN_SUMINISTROS[[#This Row],[J]],VOL_VOLUMEN_SUMINISTROS[[#This Row],[FIN DE SEMANA]])</f>
        <v>1052-1MNO</v>
      </c>
      <c r="D1153" s="365" t="str">
        <f>CONCATENATE(VOL_VOLUMEN_SUMINISTROS[[#This Row],[Grupo]],VOL_VOLUMEN_SUMINISTROS[[#This Row],[Proyecto]],VOL_VOLUMEN_SUMINISTROS[[#This Row],[FIN DE SEMANA]])</f>
        <v>191052-1NO</v>
      </c>
      <c r="E1153" s="30" t="s">
        <v>147</v>
      </c>
      <c r="F1153" s="30" t="s">
        <v>148</v>
      </c>
      <c r="G1153" s="365">
        <v>19</v>
      </c>
      <c r="H1153" s="30">
        <v>11</v>
      </c>
      <c r="I1153" s="9" t="s">
        <v>803</v>
      </c>
      <c r="J1153" s="9" t="s">
        <v>880</v>
      </c>
      <c r="K1153" s="30">
        <v>1</v>
      </c>
      <c r="L1153" s="9" t="s">
        <v>881</v>
      </c>
      <c r="M1153" s="30" t="s">
        <v>84</v>
      </c>
      <c r="N1153" s="30" t="s">
        <v>152</v>
      </c>
      <c r="O1153" s="24">
        <v>0</v>
      </c>
      <c r="P1153" s="24">
        <v>96</v>
      </c>
      <c r="Q1153" s="24">
        <v>965</v>
      </c>
      <c r="R1153" s="24">
        <v>0</v>
      </c>
      <c r="S1153" s="24">
        <v>0</v>
      </c>
      <c r="T1153" s="24">
        <v>1061</v>
      </c>
    </row>
    <row r="1154" spans="1:20">
      <c r="A1154" s="9" t="s">
        <v>829</v>
      </c>
      <c r="B1154" s="30" t="s">
        <v>872</v>
      </c>
      <c r="C1154" s="30" t="str">
        <f>CONCATENATE(VOL_VOLUMEN_SUMINISTROS[[#This Row],[Proyecto]],VOL_VOLUMEN_SUMINISTROS[[#This Row],[J]],VOL_VOLUMEN_SUMINISTROS[[#This Row],[FIN DE SEMANA]])</f>
        <v>1052-1TNO</v>
      </c>
      <c r="D1154" s="365" t="str">
        <f>CONCATENATE(VOL_VOLUMEN_SUMINISTROS[[#This Row],[Grupo]],VOL_VOLUMEN_SUMINISTROS[[#This Row],[Proyecto]],VOL_VOLUMEN_SUMINISTROS[[#This Row],[FIN DE SEMANA]])</f>
        <v>191052-1NO</v>
      </c>
      <c r="E1154" s="30" t="s">
        <v>147</v>
      </c>
      <c r="F1154" s="30" t="s">
        <v>148</v>
      </c>
      <c r="G1154" s="365">
        <v>19</v>
      </c>
      <c r="H1154" s="30">
        <v>11</v>
      </c>
      <c r="I1154" s="9" t="s">
        <v>803</v>
      </c>
      <c r="J1154" s="9" t="s">
        <v>880</v>
      </c>
      <c r="K1154" s="30">
        <v>1</v>
      </c>
      <c r="L1154" s="9" t="s">
        <v>881</v>
      </c>
      <c r="M1154" s="30" t="s">
        <v>84</v>
      </c>
      <c r="N1154" s="30" t="s">
        <v>155</v>
      </c>
      <c r="O1154" s="24">
        <v>230</v>
      </c>
      <c r="P1154" s="24">
        <v>652</v>
      </c>
      <c r="Q1154" s="24">
        <v>179</v>
      </c>
      <c r="R1154" s="24">
        <v>0</v>
      </c>
      <c r="S1154" s="24">
        <v>0</v>
      </c>
      <c r="T1154" s="24">
        <v>1061</v>
      </c>
    </row>
    <row r="1155" spans="1:20">
      <c r="A1155" s="9" t="s">
        <v>829</v>
      </c>
      <c r="B1155" s="30" t="s">
        <v>872</v>
      </c>
      <c r="C1155" s="30" t="str">
        <f>CONCATENATE(VOL_VOLUMEN_SUMINISTROS[[#This Row],[Proyecto]],VOL_VOLUMEN_SUMINISTROS[[#This Row],[J]],VOL_VOLUMEN_SUMINISTROS[[#This Row],[FIN DE SEMANA]])</f>
        <v>1052-1MNO</v>
      </c>
      <c r="D1155" s="365" t="str">
        <f>CONCATENATE(VOL_VOLUMEN_SUMINISTROS[[#This Row],[Grupo]],VOL_VOLUMEN_SUMINISTROS[[#This Row],[Proyecto]],VOL_VOLUMEN_SUMINISTROS[[#This Row],[FIN DE SEMANA]])</f>
        <v>191052-1NO</v>
      </c>
      <c r="E1155" s="30" t="s">
        <v>147</v>
      </c>
      <c r="F1155" s="30" t="s">
        <v>148</v>
      </c>
      <c r="G1155" s="365">
        <v>19</v>
      </c>
      <c r="H1155" s="30">
        <v>11</v>
      </c>
      <c r="I1155" s="9" t="s">
        <v>803</v>
      </c>
      <c r="J1155" s="9" t="s">
        <v>880</v>
      </c>
      <c r="K1155" s="30">
        <v>2</v>
      </c>
      <c r="L1155" s="9" t="s">
        <v>882</v>
      </c>
      <c r="M1155" s="30" t="s">
        <v>84</v>
      </c>
      <c r="N1155" s="30" t="s">
        <v>152</v>
      </c>
      <c r="O1155" s="24">
        <v>176</v>
      </c>
      <c r="P1155" s="24">
        <v>0</v>
      </c>
      <c r="Q1155" s="24">
        <v>0</v>
      </c>
      <c r="R1155" s="24">
        <v>0</v>
      </c>
      <c r="S1155" s="24">
        <v>0</v>
      </c>
      <c r="T1155" s="24">
        <v>176</v>
      </c>
    </row>
    <row r="1156" spans="1:20">
      <c r="A1156" s="9" t="s">
        <v>829</v>
      </c>
      <c r="B1156" s="30" t="s">
        <v>872</v>
      </c>
      <c r="C1156" s="30" t="str">
        <f>CONCATENATE(VOL_VOLUMEN_SUMINISTROS[[#This Row],[Proyecto]],VOL_VOLUMEN_SUMINISTROS[[#This Row],[J]],VOL_VOLUMEN_SUMINISTROS[[#This Row],[FIN DE SEMANA]])</f>
        <v>1052-1TNO</v>
      </c>
      <c r="D1156" s="365" t="str">
        <f>CONCATENATE(VOL_VOLUMEN_SUMINISTROS[[#This Row],[Grupo]],VOL_VOLUMEN_SUMINISTROS[[#This Row],[Proyecto]],VOL_VOLUMEN_SUMINISTROS[[#This Row],[FIN DE SEMANA]])</f>
        <v>191052-1NO</v>
      </c>
      <c r="E1156" s="30" t="s">
        <v>147</v>
      </c>
      <c r="F1156" s="30" t="s">
        <v>148</v>
      </c>
      <c r="G1156" s="365">
        <v>19</v>
      </c>
      <c r="H1156" s="30">
        <v>11</v>
      </c>
      <c r="I1156" s="9" t="s">
        <v>803</v>
      </c>
      <c r="J1156" s="9" t="s">
        <v>880</v>
      </c>
      <c r="K1156" s="30">
        <v>2</v>
      </c>
      <c r="L1156" s="9" t="s">
        <v>882</v>
      </c>
      <c r="M1156" s="30" t="s">
        <v>84</v>
      </c>
      <c r="N1156" s="30" t="s">
        <v>155</v>
      </c>
      <c r="O1156" s="24">
        <v>124</v>
      </c>
      <c r="P1156" s="24">
        <v>62</v>
      </c>
      <c r="Q1156" s="24">
        <v>0</v>
      </c>
      <c r="R1156" s="24">
        <v>0</v>
      </c>
      <c r="S1156" s="24">
        <v>0</v>
      </c>
      <c r="T1156" s="24">
        <v>186</v>
      </c>
    </row>
    <row r="1157" spans="1:20">
      <c r="A1157" s="9" t="s">
        <v>829</v>
      </c>
      <c r="B1157" s="30" t="s">
        <v>872</v>
      </c>
      <c r="C1157" s="30" t="str">
        <f>CONCATENATE(VOL_VOLUMEN_SUMINISTROS[[#This Row],[Proyecto]],VOL_VOLUMEN_SUMINISTROS[[#This Row],[J]],VOL_VOLUMEN_SUMINISTROS[[#This Row],[FIN DE SEMANA]])</f>
        <v>1052-1MNO</v>
      </c>
      <c r="D1157" s="365" t="str">
        <f>CONCATENATE(VOL_VOLUMEN_SUMINISTROS[[#This Row],[Grupo]],VOL_VOLUMEN_SUMINISTROS[[#This Row],[Proyecto]],VOL_VOLUMEN_SUMINISTROS[[#This Row],[FIN DE SEMANA]])</f>
        <v>191052-1NO</v>
      </c>
      <c r="E1157" s="30" t="s">
        <v>147</v>
      </c>
      <c r="F1157" s="30" t="s">
        <v>148</v>
      </c>
      <c r="G1157" s="365">
        <v>19</v>
      </c>
      <c r="H1157" s="30">
        <v>11</v>
      </c>
      <c r="I1157" s="9" t="s">
        <v>803</v>
      </c>
      <c r="J1157" s="9" t="s">
        <v>883</v>
      </c>
      <c r="K1157" s="30">
        <v>1</v>
      </c>
      <c r="L1157" s="9" t="s">
        <v>884</v>
      </c>
      <c r="M1157" s="30" t="s">
        <v>84</v>
      </c>
      <c r="N1157" s="30" t="s">
        <v>152</v>
      </c>
      <c r="O1157" s="24">
        <v>60</v>
      </c>
      <c r="P1157" s="24">
        <v>327</v>
      </c>
      <c r="Q1157" s="24">
        <v>522</v>
      </c>
      <c r="R1157" s="24">
        <v>0</v>
      </c>
      <c r="S1157" s="24">
        <v>0</v>
      </c>
      <c r="T1157" s="24">
        <v>909</v>
      </c>
    </row>
    <row r="1158" spans="1:20">
      <c r="A1158" s="9" t="s">
        <v>829</v>
      </c>
      <c r="B1158" s="30" t="s">
        <v>872</v>
      </c>
      <c r="C1158" s="30" t="str">
        <f>CONCATENATE(VOL_VOLUMEN_SUMINISTROS[[#This Row],[Proyecto]],VOL_VOLUMEN_SUMINISTROS[[#This Row],[J]],VOL_VOLUMEN_SUMINISTROS[[#This Row],[FIN DE SEMANA]])</f>
        <v>1052-1TNO</v>
      </c>
      <c r="D1158" s="365" t="str">
        <f>CONCATENATE(VOL_VOLUMEN_SUMINISTROS[[#This Row],[Grupo]],VOL_VOLUMEN_SUMINISTROS[[#This Row],[Proyecto]],VOL_VOLUMEN_SUMINISTROS[[#This Row],[FIN DE SEMANA]])</f>
        <v>191052-1NO</v>
      </c>
      <c r="E1158" s="30" t="s">
        <v>147</v>
      </c>
      <c r="F1158" s="30" t="s">
        <v>148</v>
      </c>
      <c r="G1158" s="365">
        <v>19</v>
      </c>
      <c r="H1158" s="30">
        <v>11</v>
      </c>
      <c r="I1158" s="9" t="s">
        <v>803</v>
      </c>
      <c r="J1158" s="9" t="s">
        <v>883</v>
      </c>
      <c r="K1158" s="30">
        <v>1</v>
      </c>
      <c r="L1158" s="9" t="s">
        <v>884</v>
      </c>
      <c r="M1158" s="30" t="s">
        <v>84</v>
      </c>
      <c r="N1158" s="30" t="s">
        <v>155</v>
      </c>
      <c r="O1158" s="24">
        <v>64</v>
      </c>
      <c r="P1158" s="24">
        <v>290</v>
      </c>
      <c r="Q1158" s="24">
        <v>371</v>
      </c>
      <c r="R1158" s="24">
        <v>0</v>
      </c>
      <c r="S1158" s="24">
        <v>0</v>
      </c>
      <c r="T1158" s="24">
        <v>725</v>
      </c>
    </row>
    <row r="1159" spans="1:20">
      <c r="A1159" s="9" t="s">
        <v>829</v>
      </c>
      <c r="B1159" s="30" t="s">
        <v>872</v>
      </c>
      <c r="C1159" s="30" t="str">
        <f>CONCATENATE(VOL_VOLUMEN_SUMINISTROS[[#This Row],[Proyecto]],VOL_VOLUMEN_SUMINISTROS[[#This Row],[J]],VOL_VOLUMEN_SUMINISTROS[[#This Row],[FIN DE SEMANA]])</f>
        <v>1052-1MNO</v>
      </c>
      <c r="D1159" s="365" t="str">
        <f>CONCATENATE(VOL_VOLUMEN_SUMINISTROS[[#This Row],[Grupo]],VOL_VOLUMEN_SUMINISTROS[[#This Row],[Proyecto]],VOL_VOLUMEN_SUMINISTROS[[#This Row],[FIN DE SEMANA]])</f>
        <v>191052-1NO</v>
      </c>
      <c r="E1159" s="30" t="s">
        <v>147</v>
      </c>
      <c r="F1159" s="30" t="s">
        <v>148</v>
      </c>
      <c r="G1159" s="365">
        <v>19</v>
      </c>
      <c r="H1159" s="30">
        <v>11</v>
      </c>
      <c r="I1159" s="9" t="s">
        <v>803</v>
      </c>
      <c r="J1159" s="9" t="s">
        <v>883</v>
      </c>
      <c r="K1159" s="30">
        <v>2</v>
      </c>
      <c r="L1159" s="9" t="s">
        <v>884</v>
      </c>
      <c r="M1159" s="30" t="s">
        <v>84</v>
      </c>
      <c r="N1159" s="30" t="s">
        <v>152</v>
      </c>
      <c r="O1159" s="24">
        <v>216</v>
      </c>
      <c r="P1159" s="24">
        <v>63</v>
      </c>
      <c r="Q1159" s="24">
        <v>0</v>
      </c>
      <c r="R1159" s="24">
        <v>0</v>
      </c>
      <c r="S1159" s="24">
        <v>0</v>
      </c>
      <c r="T1159" s="24">
        <v>279</v>
      </c>
    </row>
    <row r="1160" spans="1:20">
      <c r="A1160" s="9" t="s">
        <v>829</v>
      </c>
      <c r="B1160" s="30" t="s">
        <v>872</v>
      </c>
      <c r="C1160" s="30" t="str">
        <f>CONCATENATE(VOL_VOLUMEN_SUMINISTROS[[#This Row],[Proyecto]],VOL_VOLUMEN_SUMINISTROS[[#This Row],[J]],VOL_VOLUMEN_SUMINISTROS[[#This Row],[FIN DE SEMANA]])</f>
        <v>1052-1TNO</v>
      </c>
      <c r="D1160" s="365" t="str">
        <f>CONCATENATE(VOL_VOLUMEN_SUMINISTROS[[#This Row],[Grupo]],VOL_VOLUMEN_SUMINISTROS[[#This Row],[Proyecto]],VOL_VOLUMEN_SUMINISTROS[[#This Row],[FIN DE SEMANA]])</f>
        <v>191052-1NO</v>
      </c>
      <c r="E1160" s="30" t="s">
        <v>147</v>
      </c>
      <c r="F1160" s="30" t="s">
        <v>148</v>
      </c>
      <c r="G1160" s="365">
        <v>19</v>
      </c>
      <c r="H1160" s="30">
        <v>11</v>
      </c>
      <c r="I1160" s="9" t="s">
        <v>803</v>
      </c>
      <c r="J1160" s="9" t="s">
        <v>883</v>
      </c>
      <c r="K1160" s="30">
        <v>2</v>
      </c>
      <c r="L1160" s="9" t="s">
        <v>884</v>
      </c>
      <c r="M1160" s="30" t="s">
        <v>84</v>
      </c>
      <c r="N1160" s="30" t="s">
        <v>155</v>
      </c>
      <c r="O1160" s="24">
        <v>217</v>
      </c>
      <c r="P1160" s="24">
        <v>64</v>
      </c>
      <c r="Q1160" s="24">
        <v>0</v>
      </c>
      <c r="R1160" s="24">
        <v>0</v>
      </c>
      <c r="S1160" s="24">
        <v>0</v>
      </c>
      <c r="T1160" s="24">
        <v>281</v>
      </c>
    </row>
    <row r="1161" spans="1:20">
      <c r="A1161" s="9" t="s">
        <v>829</v>
      </c>
      <c r="B1161" s="30" t="s">
        <v>872</v>
      </c>
      <c r="C1161" s="30" t="str">
        <f>CONCATENATE(VOL_VOLUMEN_SUMINISTROS[[#This Row],[Proyecto]],VOL_VOLUMEN_SUMINISTROS[[#This Row],[J]],VOL_VOLUMEN_SUMINISTROS[[#This Row],[FIN DE SEMANA]])</f>
        <v>1052-1MNO</v>
      </c>
      <c r="D1161" s="365" t="str">
        <f>CONCATENATE(VOL_VOLUMEN_SUMINISTROS[[#This Row],[Grupo]],VOL_VOLUMEN_SUMINISTROS[[#This Row],[Proyecto]],VOL_VOLUMEN_SUMINISTROS[[#This Row],[FIN DE SEMANA]])</f>
        <v>191052-1NO</v>
      </c>
      <c r="E1161" s="30" t="s">
        <v>147</v>
      </c>
      <c r="F1161" s="30" t="s">
        <v>148</v>
      </c>
      <c r="G1161" s="365">
        <v>19</v>
      </c>
      <c r="H1161" s="30">
        <v>11</v>
      </c>
      <c r="I1161" s="9" t="s">
        <v>803</v>
      </c>
      <c r="J1161" s="9" t="s">
        <v>885</v>
      </c>
      <c r="K1161" s="30">
        <v>1</v>
      </c>
      <c r="L1161" s="9" t="s">
        <v>151</v>
      </c>
      <c r="M1161" s="30" t="s">
        <v>84</v>
      </c>
      <c r="N1161" s="30" t="s">
        <v>152</v>
      </c>
      <c r="O1161" s="24">
        <v>0</v>
      </c>
      <c r="P1161" s="24">
        <v>270</v>
      </c>
      <c r="Q1161" s="24">
        <v>552</v>
      </c>
      <c r="R1161" s="24">
        <v>0</v>
      </c>
      <c r="S1161" s="24">
        <v>0</v>
      </c>
      <c r="T1161" s="24">
        <v>822</v>
      </c>
    </row>
    <row r="1162" spans="1:20">
      <c r="A1162" s="9" t="s">
        <v>829</v>
      </c>
      <c r="B1162" s="30" t="s">
        <v>872</v>
      </c>
      <c r="C1162" s="30" t="str">
        <f>CONCATENATE(VOL_VOLUMEN_SUMINISTROS[[#This Row],[Proyecto]],VOL_VOLUMEN_SUMINISTROS[[#This Row],[J]],VOL_VOLUMEN_SUMINISTROS[[#This Row],[FIN DE SEMANA]])</f>
        <v>1052-1TNO</v>
      </c>
      <c r="D1162" s="365" t="str">
        <f>CONCATENATE(VOL_VOLUMEN_SUMINISTROS[[#This Row],[Grupo]],VOL_VOLUMEN_SUMINISTROS[[#This Row],[Proyecto]],VOL_VOLUMEN_SUMINISTROS[[#This Row],[FIN DE SEMANA]])</f>
        <v>191052-1NO</v>
      </c>
      <c r="E1162" s="30" t="s">
        <v>147</v>
      </c>
      <c r="F1162" s="30" t="s">
        <v>148</v>
      </c>
      <c r="G1162" s="365">
        <v>19</v>
      </c>
      <c r="H1162" s="30">
        <v>11</v>
      </c>
      <c r="I1162" s="9" t="s">
        <v>803</v>
      </c>
      <c r="J1162" s="9" t="s">
        <v>885</v>
      </c>
      <c r="K1162" s="30">
        <v>1</v>
      </c>
      <c r="L1162" s="9" t="s">
        <v>151</v>
      </c>
      <c r="M1162" s="30" t="s">
        <v>84</v>
      </c>
      <c r="N1162" s="30" t="s">
        <v>155</v>
      </c>
      <c r="O1162" s="24">
        <v>0</v>
      </c>
      <c r="P1162" s="24">
        <v>252</v>
      </c>
      <c r="Q1162" s="24">
        <v>469</v>
      </c>
      <c r="R1162" s="24">
        <v>0</v>
      </c>
      <c r="S1162" s="24">
        <v>0</v>
      </c>
      <c r="T1162" s="24">
        <v>721</v>
      </c>
    </row>
    <row r="1163" spans="1:20">
      <c r="A1163" s="9" t="s">
        <v>829</v>
      </c>
      <c r="B1163" s="30" t="s">
        <v>872</v>
      </c>
      <c r="C1163" s="30" t="str">
        <f>CONCATENATE(VOL_VOLUMEN_SUMINISTROS[[#This Row],[Proyecto]],VOL_VOLUMEN_SUMINISTROS[[#This Row],[J]],VOL_VOLUMEN_SUMINISTROS[[#This Row],[FIN DE SEMANA]])</f>
        <v>1052-1MNO</v>
      </c>
      <c r="D1163" s="365" t="str">
        <f>CONCATENATE(VOL_VOLUMEN_SUMINISTROS[[#This Row],[Grupo]],VOL_VOLUMEN_SUMINISTROS[[#This Row],[Proyecto]],VOL_VOLUMEN_SUMINISTROS[[#This Row],[FIN DE SEMANA]])</f>
        <v>191052-1NO</v>
      </c>
      <c r="E1163" s="30" t="s">
        <v>147</v>
      </c>
      <c r="F1163" s="30" t="s">
        <v>148</v>
      </c>
      <c r="G1163" s="365">
        <v>19</v>
      </c>
      <c r="H1163" s="30">
        <v>11</v>
      </c>
      <c r="I1163" s="9" t="s">
        <v>803</v>
      </c>
      <c r="J1163" s="9" t="s">
        <v>885</v>
      </c>
      <c r="K1163" s="30">
        <v>2</v>
      </c>
      <c r="L1163" s="9" t="s">
        <v>886</v>
      </c>
      <c r="M1163" s="30" t="s">
        <v>84</v>
      </c>
      <c r="N1163" s="30" t="s">
        <v>152</v>
      </c>
      <c r="O1163" s="24">
        <v>319</v>
      </c>
      <c r="P1163" s="24">
        <v>195</v>
      </c>
      <c r="Q1163" s="24">
        <v>26</v>
      </c>
      <c r="R1163" s="24">
        <v>0</v>
      </c>
      <c r="S1163" s="24">
        <v>0</v>
      </c>
      <c r="T1163" s="24">
        <v>540</v>
      </c>
    </row>
    <row r="1164" spans="1:20">
      <c r="A1164" s="9" t="s">
        <v>829</v>
      </c>
      <c r="B1164" s="30" t="s">
        <v>872</v>
      </c>
      <c r="C1164" s="30" t="str">
        <f>CONCATENATE(VOL_VOLUMEN_SUMINISTROS[[#This Row],[Proyecto]],VOL_VOLUMEN_SUMINISTROS[[#This Row],[J]],VOL_VOLUMEN_SUMINISTROS[[#This Row],[FIN DE SEMANA]])</f>
        <v>1052-1TNO</v>
      </c>
      <c r="D1164" s="365" t="str">
        <f>CONCATENATE(VOL_VOLUMEN_SUMINISTROS[[#This Row],[Grupo]],VOL_VOLUMEN_SUMINISTROS[[#This Row],[Proyecto]],VOL_VOLUMEN_SUMINISTROS[[#This Row],[FIN DE SEMANA]])</f>
        <v>191052-1NO</v>
      </c>
      <c r="E1164" s="30" t="s">
        <v>147</v>
      </c>
      <c r="F1164" s="30" t="s">
        <v>148</v>
      </c>
      <c r="G1164" s="365">
        <v>19</v>
      </c>
      <c r="H1164" s="30">
        <v>11</v>
      </c>
      <c r="I1164" s="9" t="s">
        <v>803</v>
      </c>
      <c r="J1164" s="9" t="s">
        <v>885</v>
      </c>
      <c r="K1164" s="30">
        <v>2</v>
      </c>
      <c r="L1164" s="9" t="s">
        <v>886</v>
      </c>
      <c r="M1164" s="30" t="s">
        <v>84</v>
      </c>
      <c r="N1164" s="30" t="s">
        <v>155</v>
      </c>
      <c r="O1164" s="24">
        <v>321</v>
      </c>
      <c r="P1164" s="24">
        <v>196</v>
      </c>
      <c r="Q1164" s="24">
        <v>26</v>
      </c>
      <c r="R1164" s="24">
        <v>0</v>
      </c>
      <c r="S1164" s="24">
        <v>0</v>
      </c>
      <c r="T1164" s="24">
        <v>543</v>
      </c>
    </row>
    <row r="1165" spans="1:20">
      <c r="A1165" s="9" t="s">
        <v>829</v>
      </c>
      <c r="B1165" s="30" t="s">
        <v>872</v>
      </c>
      <c r="C1165" s="30" t="str">
        <f>CONCATENATE(VOL_VOLUMEN_SUMINISTROS[[#This Row],[Proyecto]],VOL_VOLUMEN_SUMINISTROS[[#This Row],[J]],VOL_VOLUMEN_SUMINISTROS[[#This Row],[FIN DE SEMANA]])</f>
        <v>1052-1MNO</v>
      </c>
      <c r="D1165" s="365" t="str">
        <f>CONCATENATE(VOL_VOLUMEN_SUMINISTROS[[#This Row],[Grupo]],VOL_VOLUMEN_SUMINISTROS[[#This Row],[Proyecto]],VOL_VOLUMEN_SUMINISTROS[[#This Row],[FIN DE SEMANA]])</f>
        <v>191052-1NO</v>
      </c>
      <c r="E1165" s="30" t="s">
        <v>147</v>
      </c>
      <c r="F1165" s="30" t="s">
        <v>148</v>
      </c>
      <c r="G1165" s="365">
        <v>19</v>
      </c>
      <c r="H1165" s="30">
        <v>11</v>
      </c>
      <c r="I1165" s="9" t="s">
        <v>803</v>
      </c>
      <c r="J1165" s="9" t="s">
        <v>885</v>
      </c>
      <c r="K1165" s="30">
        <v>3</v>
      </c>
      <c r="L1165" s="9" t="s">
        <v>458</v>
      </c>
      <c r="M1165" s="30" t="s">
        <v>84</v>
      </c>
      <c r="N1165" s="30" t="s">
        <v>152</v>
      </c>
      <c r="O1165" s="24">
        <v>120</v>
      </c>
      <c r="P1165" s="24">
        <v>84</v>
      </c>
      <c r="Q1165" s="24">
        <v>8</v>
      </c>
      <c r="R1165" s="24">
        <v>0</v>
      </c>
      <c r="S1165" s="24">
        <v>0</v>
      </c>
      <c r="T1165" s="24">
        <v>212</v>
      </c>
    </row>
    <row r="1166" spans="1:20">
      <c r="A1166" s="9" t="s">
        <v>829</v>
      </c>
      <c r="B1166" s="30" t="s">
        <v>872</v>
      </c>
      <c r="C1166" s="30" t="str">
        <f>CONCATENATE(VOL_VOLUMEN_SUMINISTROS[[#This Row],[Proyecto]],VOL_VOLUMEN_SUMINISTROS[[#This Row],[J]],VOL_VOLUMEN_SUMINISTROS[[#This Row],[FIN DE SEMANA]])</f>
        <v>1052-1TNO</v>
      </c>
      <c r="D1166" s="365" t="str">
        <f>CONCATENATE(VOL_VOLUMEN_SUMINISTROS[[#This Row],[Grupo]],VOL_VOLUMEN_SUMINISTROS[[#This Row],[Proyecto]],VOL_VOLUMEN_SUMINISTROS[[#This Row],[FIN DE SEMANA]])</f>
        <v>191052-1NO</v>
      </c>
      <c r="E1166" s="30" t="s">
        <v>147</v>
      </c>
      <c r="F1166" s="30" t="s">
        <v>148</v>
      </c>
      <c r="G1166" s="365">
        <v>19</v>
      </c>
      <c r="H1166" s="30">
        <v>11</v>
      </c>
      <c r="I1166" s="9" t="s">
        <v>803</v>
      </c>
      <c r="J1166" s="9" t="s">
        <v>885</v>
      </c>
      <c r="K1166" s="30">
        <v>3</v>
      </c>
      <c r="L1166" s="9" t="s">
        <v>458</v>
      </c>
      <c r="M1166" s="30" t="s">
        <v>84</v>
      </c>
      <c r="N1166" s="30" t="s">
        <v>155</v>
      </c>
      <c r="O1166" s="24">
        <v>112</v>
      </c>
      <c r="P1166" s="24">
        <v>80</v>
      </c>
      <c r="Q1166" s="24">
        <v>8</v>
      </c>
      <c r="R1166" s="24">
        <v>0</v>
      </c>
      <c r="S1166" s="24">
        <v>0</v>
      </c>
      <c r="T1166" s="24">
        <v>200</v>
      </c>
    </row>
    <row r="1167" spans="1:20">
      <c r="A1167" s="9" t="s">
        <v>829</v>
      </c>
      <c r="B1167" s="30" t="s">
        <v>872</v>
      </c>
      <c r="C1167" s="30" t="str">
        <f>CONCATENATE(VOL_VOLUMEN_SUMINISTROS[[#This Row],[Proyecto]],VOL_VOLUMEN_SUMINISTROS[[#This Row],[J]],VOL_VOLUMEN_SUMINISTROS[[#This Row],[FIN DE SEMANA]])</f>
        <v>1052-1MNO</v>
      </c>
      <c r="D1167" s="365" t="str">
        <f>CONCATENATE(VOL_VOLUMEN_SUMINISTROS[[#This Row],[Grupo]],VOL_VOLUMEN_SUMINISTROS[[#This Row],[Proyecto]],VOL_VOLUMEN_SUMINISTROS[[#This Row],[FIN DE SEMANA]])</f>
        <v>191052-1NO</v>
      </c>
      <c r="E1167" s="30" t="s">
        <v>147</v>
      </c>
      <c r="F1167" s="30" t="s">
        <v>148</v>
      </c>
      <c r="G1167" s="365">
        <v>19</v>
      </c>
      <c r="H1167" s="30">
        <v>11</v>
      </c>
      <c r="I1167" s="9" t="s">
        <v>803</v>
      </c>
      <c r="J1167" s="9" t="s">
        <v>885</v>
      </c>
      <c r="K1167" s="30">
        <v>4</v>
      </c>
      <c r="L1167" s="9" t="s">
        <v>226</v>
      </c>
      <c r="M1167" s="30" t="s">
        <v>84</v>
      </c>
      <c r="N1167" s="30" t="s">
        <v>152</v>
      </c>
      <c r="O1167" s="24">
        <v>117</v>
      </c>
      <c r="P1167" s="24">
        <v>0</v>
      </c>
      <c r="Q1167" s="24">
        <v>0</v>
      </c>
      <c r="R1167" s="24">
        <v>0</v>
      </c>
      <c r="S1167" s="24">
        <v>0</v>
      </c>
      <c r="T1167" s="24">
        <v>117</v>
      </c>
    </row>
    <row r="1168" spans="1:20">
      <c r="A1168" s="9" t="s">
        <v>829</v>
      </c>
      <c r="B1168" s="30" t="s">
        <v>872</v>
      </c>
      <c r="C1168" s="30" t="str">
        <f>CONCATENATE(VOL_VOLUMEN_SUMINISTROS[[#This Row],[Proyecto]],VOL_VOLUMEN_SUMINISTROS[[#This Row],[J]],VOL_VOLUMEN_SUMINISTROS[[#This Row],[FIN DE SEMANA]])</f>
        <v>1052-1TNO</v>
      </c>
      <c r="D1168" s="365" t="str">
        <f>CONCATENATE(VOL_VOLUMEN_SUMINISTROS[[#This Row],[Grupo]],VOL_VOLUMEN_SUMINISTROS[[#This Row],[Proyecto]],VOL_VOLUMEN_SUMINISTROS[[#This Row],[FIN DE SEMANA]])</f>
        <v>191052-1NO</v>
      </c>
      <c r="E1168" s="30" t="s">
        <v>147</v>
      </c>
      <c r="F1168" s="30" t="s">
        <v>148</v>
      </c>
      <c r="G1168" s="365">
        <v>19</v>
      </c>
      <c r="H1168" s="30">
        <v>11</v>
      </c>
      <c r="I1168" s="9" t="s">
        <v>803</v>
      </c>
      <c r="J1168" s="9" t="s">
        <v>885</v>
      </c>
      <c r="K1168" s="30">
        <v>4</v>
      </c>
      <c r="L1168" s="9" t="s">
        <v>226</v>
      </c>
      <c r="M1168" s="30" t="s">
        <v>84</v>
      </c>
      <c r="N1168" s="30" t="s">
        <v>155</v>
      </c>
      <c r="O1168" s="24">
        <v>120</v>
      </c>
      <c r="P1168" s="24">
        <v>0</v>
      </c>
      <c r="Q1168" s="24">
        <v>0</v>
      </c>
      <c r="R1168" s="24">
        <v>0</v>
      </c>
      <c r="S1168" s="24">
        <v>0</v>
      </c>
      <c r="T1168" s="24">
        <v>120</v>
      </c>
    </row>
    <row r="1169" spans="1:20">
      <c r="A1169" s="9" t="s">
        <v>829</v>
      </c>
      <c r="B1169" s="30" t="s">
        <v>872</v>
      </c>
      <c r="C1169" s="30" t="str">
        <f>CONCATENATE(VOL_VOLUMEN_SUMINISTROS[[#This Row],[Proyecto]],VOL_VOLUMEN_SUMINISTROS[[#This Row],[J]],VOL_VOLUMEN_SUMINISTROS[[#This Row],[FIN DE SEMANA]])</f>
        <v>1052-1MNO</v>
      </c>
      <c r="D1169" s="365" t="str">
        <f>CONCATENATE(VOL_VOLUMEN_SUMINISTROS[[#This Row],[Grupo]],VOL_VOLUMEN_SUMINISTROS[[#This Row],[Proyecto]],VOL_VOLUMEN_SUMINISTROS[[#This Row],[FIN DE SEMANA]])</f>
        <v>191052-1NO</v>
      </c>
      <c r="E1169" s="30" t="s">
        <v>147</v>
      </c>
      <c r="F1169" s="30" t="s">
        <v>148</v>
      </c>
      <c r="G1169" s="365">
        <v>19</v>
      </c>
      <c r="H1169" s="30">
        <v>11</v>
      </c>
      <c r="I1169" s="9" t="s">
        <v>803</v>
      </c>
      <c r="J1169" s="9" t="s">
        <v>887</v>
      </c>
      <c r="K1169" s="30">
        <v>2</v>
      </c>
      <c r="L1169" s="9" t="s">
        <v>888</v>
      </c>
      <c r="M1169" s="30" t="s">
        <v>84</v>
      </c>
      <c r="N1169" s="30" t="s">
        <v>152</v>
      </c>
      <c r="O1169" s="24">
        <v>102</v>
      </c>
      <c r="P1169" s="24">
        <v>0</v>
      </c>
      <c r="Q1169" s="24">
        <v>0</v>
      </c>
      <c r="R1169" s="24">
        <v>0</v>
      </c>
      <c r="S1169" s="24">
        <v>0</v>
      </c>
      <c r="T1169" s="24">
        <v>102</v>
      </c>
    </row>
    <row r="1170" spans="1:20">
      <c r="A1170" s="9" t="s">
        <v>829</v>
      </c>
      <c r="B1170" s="30" t="s">
        <v>872</v>
      </c>
      <c r="C1170" s="30" t="str">
        <f>CONCATENATE(VOL_VOLUMEN_SUMINISTROS[[#This Row],[Proyecto]],VOL_VOLUMEN_SUMINISTROS[[#This Row],[J]],VOL_VOLUMEN_SUMINISTROS[[#This Row],[FIN DE SEMANA]])</f>
        <v>1052-1TNO</v>
      </c>
      <c r="D1170" s="365" t="str">
        <f>CONCATENATE(VOL_VOLUMEN_SUMINISTROS[[#This Row],[Grupo]],VOL_VOLUMEN_SUMINISTROS[[#This Row],[Proyecto]],VOL_VOLUMEN_SUMINISTROS[[#This Row],[FIN DE SEMANA]])</f>
        <v>191052-1NO</v>
      </c>
      <c r="E1170" s="30" t="s">
        <v>147</v>
      </c>
      <c r="F1170" s="30" t="s">
        <v>148</v>
      </c>
      <c r="G1170" s="365">
        <v>19</v>
      </c>
      <c r="H1170" s="30">
        <v>11</v>
      </c>
      <c r="I1170" s="9" t="s">
        <v>803</v>
      </c>
      <c r="J1170" s="9" t="s">
        <v>887</v>
      </c>
      <c r="K1170" s="30">
        <v>2</v>
      </c>
      <c r="L1170" s="9" t="s">
        <v>888</v>
      </c>
      <c r="M1170" s="30" t="s">
        <v>84</v>
      </c>
      <c r="N1170" s="30" t="s">
        <v>155</v>
      </c>
      <c r="O1170" s="24">
        <v>102</v>
      </c>
      <c r="P1170" s="24">
        <v>0</v>
      </c>
      <c r="Q1170" s="24">
        <v>0</v>
      </c>
      <c r="R1170" s="24">
        <v>0</v>
      </c>
      <c r="S1170" s="24">
        <v>0</v>
      </c>
      <c r="T1170" s="24">
        <v>102</v>
      </c>
    </row>
    <row r="1171" spans="1:20">
      <c r="A1171" s="9" t="s">
        <v>829</v>
      </c>
      <c r="B1171" s="30" t="s">
        <v>872</v>
      </c>
      <c r="C1171" s="30" t="str">
        <f>CONCATENATE(VOL_VOLUMEN_SUMINISTROS[[#This Row],[Proyecto]],VOL_VOLUMEN_SUMINISTROS[[#This Row],[J]],VOL_VOLUMEN_SUMINISTROS[[#This Row],[FIN DE SEMANA]])</f>
        <v>1052-1MNO</v>
      </c>
      <c r="D1171" s="365" t="str">
        <f>CONCATENATE(VOL_VOLUMEN_SUMINISTROS[[#This Row],[Grupo]],VOL_VOLUMEN_SUMINISTROS[[#This Row],[Proyecto]],VOL_VOLUMEN_SUMINISTROS[[#This Row],[FIN DE SEMANA]])</f>
        <v>191052-1NO</v>
      </c>
      <c r="E1171" s="30" t="s">
        <v>147</v>
      </c>
      <c r="F1171" s="30" t="s">
        <v>148</v>
      </c>
      <c r="G1171" s="365">
        <v>19</v>
      </c>
      <c r="H1171" s="30">
        <v>11</v>
      </c>
      <c r="I1171" s="9" t="s">
        <v>803</v>
      </c>
      <c r="J1171" s="9" t="s">
        <v>889</v>
      </c>
      <c r="K1171" s="30">
        <v>1</v>
      </c>
      <c r="L1171" s="9" t="s">
        <v>890</v>
      </c>
      <c r="M1171" s="30" t="s">
        <v>84</v>
      </c>
      <c r="N1171" s="30" t="s">
        <v>152</v>
      </c>
      <c r="O1171" s="24">
        <v>267</v>
      </c>
      <c r="P1171" s="24">
        <v>277</v>
      </c>
      <c r="Q1171" s="24">
        <v>56</v>
      </c>
      <c r="R1171" s="24">
        <v>0</v>
      </c>
      <c r="S1171" s="24">
        <v>0</v>
      </c>
      <c r="T1171" s="24">
        <v>600</v>
      </c>
    </row>
    <row r="1172" spans="1:20">
      <c r="A1172" s="9" t="s">
        <v>829</v>
      </c>
      <c r="B1172" s="30" t="s">
        <v>872</v>
      </c>
      <c r="C1172" s="30" t="str">
        <f>CONCATENATE(VOL_VOLUMEN_SUMINISTROS[[#This Row],[Proyecto]],VOL_VOLUMEN_SUMINISTROS[[#This Row],[J]],VOL_VOLUMEN_SUMINISTROS[[#This Row],[FIN DE SEMANA]])</f>
        <v>1052-1NNO</v>
      </c>
      <c r="D1172" s="365" t="str">
        <f>CONCATENATE(VOL_VOLUMEN_SUMINISTROS[[#This Row],[Grupo]],VOL_VOLUMEN_SUMINISTROS[[#This Row],[Proyecto]],VOL_VOLUMEN_SUMINISTROS[[#This Row],[FIN DE SEMANA]])</f>
        <v>191052-1NO</v>
      </c>
      <c r="E1172" s="30" t="s">
        <v>147</v>
      </c>
      <c r="F1172" s="30" t="s">
        <v>148</v>
      </c>
      <c r="G1172" s="365">
        <v>19</v>
      </c>
      <c r="H1172" s="30">
        <v>11</v>
      </c>
      <c r="I1172" s="9" t="s">
        <v>803</v>
      </c>
      <c r="J1172" s="9" t="s">
        <v>889</v>
      </c>
      <c r="K1172" s="30">
        <v>1</v>
      </c>
      <c r="L1172" s="9" t="s">
        <v>890</v>
      </c>
      <c r="M1172" s="30" t="s">
        <v>84</v>
      </c>
      <c r="N1172" s="30" t="s">
        <v>154</v>
      </c>
      <c r="O1172" s="24">
        <v>0</v>
      </c>
      <c r="P1172" s="24">
        <v>0</v>
      </c>
      <c r="Q1172" s="24">
        <v>0</v>
      </c>
      <c r="R1172" s="24">
        <v>188</v>
      </c>
      <c r="S1172" s="24">
        <v>183</v>
      </c>
      <c r="T1172" s="24">
        <v>371</v>
      </c>
    </row>
    <row r="1173" spans="1:20">
      <c r="A1173" s="9" t="s">
        <v>829</v>
      </c>
      <c r="B1173" s="30" t="s">
        <v>872</v>
      </c>
      <c r="C1173" s="30" t="str">
        <f>CONCATENATE(VOL_VOLUMEN_SUMINISTROS[[#This Row],[Proyecto]],VOL_VOLUMEN_SUMINISTROS[[#This Row],[J]],VOL_VOLUMEN_SUMINISTROS[[#This Row],[FIN DE SEMANA]])</f>
        <v>1052-1TNO</v>
      </c>
      <c r="D1173" s="365" t="str">
        <f>CONCATENATE(VOL_VOLUMEN_SUMINISTROS[[#This Row],[Grupo]],VOL_VOLUMEN_SUMINISTROS[[#This Row],[Proyecto]],VOL_VOLUMEN_SUMINISTROS[[#This Row],[FIN DE SEMANA]])</f>
        <v>191052-1NO</v>
      </c>
      <c r="E1173" s="30" t="s">
        <v>147</v>
      </c>
      <c r="F1173" s="30" t="s">
        <v>148</v>
      </c>
      <c r="G1173" s="365">
        <v>19</v>
      </c>
      <c r="H1173" s="30">
        <v>11</v>
      </c>
      <c r="I1173" s="9" t="s">
        <v>803</v>
      </c>
      <c r="J1173" s="9" t="s">
        <v>889</v>
      </c>
      <c r="K1173" s="30">
        <v>1</v>
      </c>
      <c r="L1173" s="9" t="s">
        <v>890</v>
      </c>
      <c r="M1173" s="30" t="s">
        <v>84</v>
      </c>
      <c r="N1173" s="30" t="s">
        <v>155</v>
      </c>
      <c r="O1173" s="24">
        <v>48</v>
      </c>
      <c r="P1173" s="24">
        <v>177</v>
      </c>
      <c r="Q1173" s="24">
        <v>443</v>
      </c>
      <c r="R1173" s="24">
        <v>0</v>
      </c>
      <c r="S1173" s="24">
        <v>0</v>
      </c>
      <c r="T1173" s="24">
        <v>668</v>
      </c>
    </row>
    <row r="1174" spans="1:20">
      <c r="A1174" s="9" t="s">
        <v>829</v>
      </c>
      <c r="B1174" s="30" t="s">
        <v>872</v>
      </c>
      <c r="C1174" s="30" t="str">
        <f>CONCATENATE(VOL_VOLUMEN_SUMINISTROS[[#This Row],[Proyecto]],VOL_VOLUMEN_SUMINISTROS[[#This Row],[J]],VOL_VOLUMEN_SUMINISTROS[[#This Row],[FIN DE SEMANA]])</f>
        <v>1052-1MNO</v>
      </c>
      <c r="D1174" s="365" t="str">
        <f>CONCATENATE(VOL_VOLUMEN_SUMINISTROS[[#This Row],[Grupo]],VOL_VOLUMEN_SUMINISTROS[[#This Row],[Proyecto]],VOL_VOLUMEN_SUMINISTROS[[#This Row],[FIN DE SEMANA]])</f>
        <v>191052-1NO</v>
      </c>
      <c r="E1174" s="30" t="s">
        <v>147</v>
      </c>
      <c r="F1174" s="30" t="s">
        <v>148</v>
      </c>
      <c r="G1174" s="365">
        <v>19</v>
      </c>
      <c r="H1174" s="30">
        <v>11</v>
      </c>
      <c r="I1174" s="9" t="s">
        <v>803</v>
      </c>
      <c r="J1174" s="9" t="s">
        <v>889</v>
      </c>
      <c r="K1174" s="30">
        <v>2</v>
      </c>
      <c r="L1174" s="9" t="s">
        <v>165</v>
      </c>
      <c r="M1174" s="30" t="s">
        <v>84</v>
      </c>
      <c r="N1174" s="30" t="s">
        <v>152</v>
      </c>
      <c r="O1174" s="24">
        <v>0</v>
      </c>
      <c r="P1174" s="24">
        <v>99</v>
      </c>
      <c r="Q1174" s="24">
        <v>33</v>
      </c>
      <c r="R1174" s="24">
        <v>0</v>
      </c>
      <c r="S1174" s="24">
        <v>0</v>
      </c>
      <c r="T1174" s="24">
        <v>132</v>
      </c>
    </row>
    <row r="1175" spans="1:20">
      <c r="A1175" s="9" t="s">
        <v>829</v>
      </c>
      <c r="B1175" s="30" t="s">
        <v>872</v>
      </c>
      <c r="C1175" s="30" t="str">
        <f>CONCATENATE(VOL_VOLUMEN_SUMINISTROS[[#This Row],[Proyecto]],VOL_VOLUMEN_SUMINISTROS[[#This Row],[J]],VOL_VOLUMEN_SUMINISTROS[[#This Row],[FIN DE SEMANA]])</f>
        <v>1052-1TNO</v>
      </c>
      <c r="D1175" s="365" t="str">
        <f>CONCATENATE(VOL_VOLUMEN_SUMINISTROS[[#This Row],[Grupo]],VOL_VOLUMEN_SUMINISTROS[[#This Row],[Proyecto]],VOL_VOLUMEN_SUMINISTROS[[#This Row],[FIN DE SEMANA]])</f>
        <v>191052-1NO</v>
      </c>
      <c r="E1175" s="30" t="s">
        <v>147</v>
      </c>
      <c r="F1175" s="30" t="s">
        <v>148</v>
      </c>
      <c r="G1175" s="365">
        <v>19</v>
      </c>
      <c r="H1175" s="30">
        <v>11</v>
      </c>
      <c r="I1175" s="9" t="s">
        <v>803</v>
      </c>
      <c r="J1175" s="9" t="s">
        <v>889</v>
      </c>
      <c r="K1175" s="30">
        <v>2</v>
      </c>
      <c r="L1175" s="9" t="s">
        <v>165</v>
      </c>
      <c r="M1175" s="30" t="s">
        <v>84</v>
      </c>
      <c r="N1175" s="30" t="s">
        <v>155</v>
      </c>
      <c r="O1175" s="24">
        <v>0</v>
      </c>
      <c r="P1175" s="24">
        <v>99</v>
      </c>
      <c r="Q1175" s="24">
        <v>33</v>
      </c>
      <c r="R1175" s="24">
        <v>0</v>
      </c>
      <c r="S1175" s="24">
        <v>0</v>
      </c>
      <c r="T1175" s="24">
        <v>132</v>
      </c>
    </row>
    <row r="1176" spans="1:20">
      <c r="A1176" s="9" t="s">
        <v>829</v>
      </c>
      <c r="B1176" s="30" t="s">
        <v>872</v>
      </c>
      <c r="C1176" s="30" t="str">
        <f>CONCATENATE(VOL_VOLUMEN_SUMINISTROS[[#This Row],[Proyecto]],VOL_VOLUMEN_SUMINISTROS[[#This Row],[J]],VOL_VOLUMEN_SUMINISTROS[[#This Row],[FIN DE SEMANA]])</f>
        <v>1052-1MNO</v>
      </c>
      <c r="D1176" s="365" t="str">
        <f>CONCATENATE(VOL_VOLUMEN_SUMINISTROS[[#This Row],[Grupo]],VOL_VOLUMEN_SUMINISTROS[[#This Row],[Proyecto]],VOL_VOLUMEN_SUMINISTROS[[#This Row],[FIN DE SEMANA]])</f>
        <v>191052-1NO</v>
      </c>
      <c r="E1176" s="30" t="s">
        <v>147</v>
      </c>
      <c r="F1176" s="30" t="s">
        <v>148</v>
      </c>
      <c r="G1176" s="365">
        <v>19</v>
      </c>
      <c r="H1176" s="30">
        <v>11</v>
      </c>
      <c r="I1176" s="9" t="s">
        <v>803</v>
      </c>
      <c r="J1176" s="9" t="s">
        <v>891</v>
      </c>
      <c r="K1176" s="30">
        <v>1</v>
      </c>
      <c r="L1176" s="9" t="s">
        <v>892</v>
      </c>
      <c r="M1176" s="30" t="s">
        <v>84</v>
      </c>
      <c r="N1176" s="30" t="s">
        <v>152</v>
      </c>
      <c r="O1176" s="24">
        <v>0</v>
      </c>
      <c r="P1176" s="24">
        <v>0</v>
      </c>
      <c r="Q1176" s="24">
        <v>538</v>
      </c>
      <c r="R1176" s="24">
        <v>0</v>
      </c>
      <c r="S1176" s="24">
        <v>0</v>
      </c>
      <c r="T1176" s="24">
        <v>538</v>
      </c>
    </row>
    <row r="1177" spans="1:20">
      <c r="A1177" s="9" t="s">
        <v>829</v>
      </c>
      <c r="B1177" s="30" t="s">
        <v>872</v>
      </c>
      <c r="C1177" s="30" t="str">
        <f>CONCATENATE(VOL_VOLUMEN_SUMINISTROS[[#This Row],[Proyecto]],VOL_VOLUMEN_SUMINISTROS[[#This Row],[J]],VOL_VOLUMEN_SUMINISTROS[[#This Row],[FIN DE SEMANA]])</f>
        <v>1052-1TNO</v>
      </c>
      <c r="D1177" s="365" t="str">
        <f>CONCATENATE(VOL_VOLUMEN_SUMINISTROS[[#This Row],[Grupo]],VOL_VOLUMEN_SUMINISTROS[[#This Row],[Proyecto]],VOL_VOLUMEN_SUMINISTROS[[#This Row],[FIN DE SEMANA]])</f>
        <v>191052-1NO</v>
      </c>
      <c r="E1177" s="30" t="s">
        <v>147</v>
      </c>
      <c r="F1177" s="30" t="s">
        <v>148</v>
      </c>
      <c r="G1177" s="365">
        <v>19</v>
      </c>
      <c r="H1177" s="30">
        <v>11</v>
      </c>
      <c r="I1177" s="9" t="s">
        <v>803</v>
      </c>
      <c r="J1177" s="9" t="s">
        <v>891</v>
      </c>
      <c r="K1177" s="30">
        <v>1</v>
      </c>
      <c r="L1177" s="9" t="s">
        <v>892</v>
      </c>
      <c r="M1177" s="30" t="s">
        <v>84</v>
      </c>
      <c r="N1177" s="30" t="s">
        <v>155</v>
      </c>
      <c r="O1177" s="24">
        <v>0</v>
      </c>
      <c r="P1177" s="24">
        <v>0</v>
      </c>
      <c r="Q1177" s="24">
        <v>425</v>
      </c>
      <c r="R1177" s="24">
        <v>0</v>
      </c>
      <c r="S1177" s="24">
        <v>0</v>
      </c>
      <c r="T1177" s="24">
        <v>425</v>
      </c>
    </row>
    <row r="1178" spans="1:20">
      <c r="A1178" s="9" t="s">
        <v>829</v>
      </c>
      <c r="B1178" s="30" t="s">
        <v>872</v>
      </c>
      <c r="C1178" s="30" t="str">
        <f>CONCATENATE(VOL_VOLUMEN_SUMINISTROS[[#This Row],[Proyecto]],VOL_VOLUMEN_SUMINISTROS[[#This Row],[J]],VOL_VOLUMEN_SUMINISTROS[[#This Row],[FIN DE SEMANA]])</f>
        <v>1052-1MNO</v>
      </c>
      <c r="D1178" s="365" t="str">
        <f>CONCATENATE(VOL_VOLUMEN_SUMINISTROS[[#This Row],[Grupo]],VOL_VOLUMEN_SUMINISTROS[[#This Row],[Proyecto]],VOL_VOLUMEN_SUMINISTROS[[#This Row],[FIN DE SEMANA]])</f>
        <v>191052-1NO</v>
      </c>
      <c r="E1178" s="30" t="s">
        <v>147</v>
      </c>
      <c r="F1178" s="30" t="s">
        <v>148</v>
      </c>
      <c r="G1178" s="365">
        <v>19</v>
      </c>
      <c r="H1178" s="30">
        <v>11</v>
      </c>
      <c r="I1178" s="9" t="s">
        <v>803</v>
      </c>
      <c r="J1178" s="9" t="s">
        <v>891</v>
      </c>
      <c r="K1178" s="30">
        <v>2</v>
      </c>
      <c r="L1178" s="9" t="s">
        <v>893</v>
      </c>
      <c r="M1178" s="30" t="s">
        <v>84</v>
      </c>
      <c r="N1178" s="30" t="s">
        <v>152</v>
      </c>
      <c r="O1178" s="24">
        <v>369</v>
      </c>
      <c r="P1178" s="24">
        <v>91</v>
      </c>
      <c r="Q1178" s="24">
        <v>0</v>
      </c>
      <c r="R1178" s="24">
        <v>0</v>
      </c>
      <c r="S1178" s="24">
        <v>0</v>
      </c>
      <c r="T1178" s="24">
        <v>460</v>
      </c>
    </row>
    <row r="1179" spans="1:20">
      <c r="A1179" s="9" t="s">
        <v>829</v>
      </c>
      <c r="B1179" s="30" t="s">
        <v>872</v>
      </c>
      <c r="C1179" s="30" t="str">
        <f>CONCATENATE(VOL_VOLUMEN_SUMINISTROS[[#This Row],[Proyecto]],VOL_VOLUMEN_SUMINISTROS[[#This Row],[J]],VOL_VOLUMEN_SUMINISTROS[[#This Row],[FIN DE SEMANA]])</f>
        <v>1052-1TNO</v>
      </c>
      <c r="D1179" s="365" t="str">
        <f>CONCATENATE(VOL_VOLUMEN_SUMINISTROS[[#This Row],[Grupo]],VOL_VOLUMEN_SUMINISTROS[[#This Row],[Proyecto]],VOL_VOLUMEN_SUMINISTROS[[#This Row],[FIN DE SEMANA]])</f>
        <v>191052-1NO</v>
      </c>
      <c r="E1179" s="30" t="s">
        <v>147</v>
      </c>
      <c r="F1179" s="30" t="s">
        <v>148</v>
      </c>
      <c r="G1179" s="365">
        <v>19</v>
      </c>
      <c r="H1179" s="30">
        <v>11</v>
      </c>
      <c r="I1179" s="9" t="s">
        <v>803</v>
      </c>
      <c r="J1179" s="9" t="s">
        <v>891</v>
      </c>
      <c r="K1179" s="30">
        <v>2</v>
      </c>
      <c r="L1179" s="9" t="s">
        <v>893</v>
      </c>
      <c r="M1179" s="30" t="s">
        <v>84</v>
      </c>
      <c r="N1179" s="30" t="s">
        <v>155</v>
      </c>
      <c r="O1179" s="24">
        <v>359</v>
      </c>
      <c r="P1179" s="24">
        <v>91</v>
      </c>
      <c r="Q1179" s="24">
        <v>0</v>
      </c>
      <c r="R1179" s="24">
        <v>0</v>
      </c>
      <c r="S1179" s="24">
        <v>0</v>
      </c>
      <c r="T1179" s="24">
        <v>450</v>
      </c>
    </row>
    <row r="1180" spans="1:20">
      <c r="A1180" s="9" t="s">
        <v>829</v>
      </c>
      <c r="B1180" s="30" t="s">
        <v>872</v>
      </c>
      <c r="C1180" s="30" t="str">
        <f>CONCATENATE(VOL_VOLUMEN_SUMINISTROS[[#This Row],[Proyecto]],VOL_VOLUMEN_SUMINISTROS[[#This Row],[J]],VOL_VOLUMEN_SUMINISTROS[[#This Row],[FIN DE SEMANA]])</f>
        <v>1052-1MNO</v>
      </c>
      <c r="D1180" s="365" t="str">
        <f>CONCATENATE(VOL_VOLUMEN_SUMINISTROS[[#This Row],[Grupo]],VOL_VOLUMEN_SUMINISTROS[[#This Row],[Proyecto]],VOL_VOLUMEN_SUMINISTROS[[#This Row],[FIN DE SEMANA]])</f>
        <v>191052-1NO</v>
      </c>
      <c r="E1180" s="30" t="s">
        <v>147</v>
      </c>
      <c r="F1180" s="30" t="s">
        <v>148</v>
      </c>
      <c r="G1180" s="365">
        <v>19</v>
      </c>
      <c r="H1180" s="30">
        <v>11</v>
      </c>
      <c r="I1180" s="9" t="s">
        <v>803</v>
      </c>
      <c r="J1180" s="9" t="s">
        <v>891</v>
      </c>
      <c r="K1180" s="30">
        <v>3</v>
      </c>
      <c r="L1180" s="9" t="s">
        <v>894</v>
      </c>
      <c r="M1180" s="30" t="s">
        <v>84</v>
      </c>
      <c r="N1180" s="30" t="s">
        <v>152</v>
      </c>
      <c r="O1180" s="24">
        <v>88</v>
      </c>
      <c r="P1180" s="24">
        <v>461</v>
      </c>
      <c r="Q1180" s="24">
        <v>139</v>
      </c>
      <c r="R1180" s="24">
        <v>0</v>
      </c>
      <c r="S1180" s="24">
        <v>0</v>
      </c>
      <c r="T1180" s="24">
        <v>688</v>
      </c>
    </row>
    <row r="1181" spans="1:20">
      <c r="A1181" s="9" t="s">
        <v>829</v>
      </c>
      <c r="B1181" s="30" t="s">
        <v>872</v>
      </c>
      <c r="C1181" s="30" t="str">
        <f>CONCATENATE(VOL_VOLUMEN_SUMINISTROS[[#This Row],[Proyecto]],VOL_VOLUMEN_SUMINISTROS[[#This Row],[J]],VOL_VOLUMEN_SUMINISTROS[[#This Row],[FIN DE SEMANA]])</f>
        <v>1052-1TNO</v>
      </c>
      <c r="D1181" s="365" t="str">
        <f>CONCATENATE(VOL_VOLUMEN_SUMINISTROS[[#This Row],[Grupo]],VOL_VOLUMEN_SUMINISTROS[[#This Row],[Proyecto]],VOL_VOLUMEN_SUMINISTROS[[#This Row],[FIN DE SEMANA]])</f>
        <v>191052-1NO</v>
      </c>
      <c r="E1181" s="30" t="s">
        <v>147</v>
      </c>
      <c r="F1181" s="30" t="s">
        <v>148</v>
      </c>
      <c r="G1181" s="365">
        <v>19</v>
      </c>
      <c r="H1181" s="30">
        <v>11</v>
      </c>
      <c r="I1181" s="9" t="s">
        <v>803</v>
      </c>
      <c r="J1181" s="9" t="s">
        <v>891</v>
      </c>
      <c r="K1181" s="30">
        <v>3</v>
      </c>
      <c r="L1181" s="9" t="s">
        <v>894</v>
      </c>
      <c r="M1181" s="30" t="s">
        <v>84</v>
      </c>
      <c r="N1181" s="30" t="s">
        <v>155</v>
      </c>
      <c r="O1181" s="24">
        <v>88</v>
      </c>
      <c r="P1181" s="24">
        <v>461</v>
      </c>
      <c r="Q1181" s="24">
        <v>139</v>
      </c>
      <c r="R1181" s="24">
        <v>0</v>
      </c>
      <c r="S1181" s="24">
        <v>0</v>
      </c>
      <c r="T1181" s="24">
        <v>688</v>
      </c>
    </row>
    <row r="1182" spans="1:20">
      <c r="A1182" s="9" t="s">
        <v>829</v>
      </c>
      <c r="B1182" s="30" t="s">
        <v>872</v>
      </c>
      <c r="C1182" s="30" t="str">
        <f>CONCATENATE(VOL_VOLUMEN_SUMINISTROS[[#This Row],[Proyecto]],VOL_VOLUMEN_SUMINISTROS[[#This Row],[J]],VOL_VOLUMEN_SUMINISTROS[[#This Row],[FIN DE SEMANA]])</f>
        <v>1052-1MNO</v>
      </c>
      <c r="D1182" s="365" t="str">
        <f>CONCATENATE(VOL_VOLUMEN_SUMINISTROS[[#This Row],[Grupo]],VOL_VOLUMEN_SUMINISTROS[[#This Row],[Proyecto]],VOL_VOLUMEN_SUMINISTROS[[#This Row],[FIN DE SEMANA]])</f>
        <v>191052-1NO</v>
      </c>
      <c r="E1182" s="30" t="s">
        <v>147</v>
      </c>
      <c r="F1182" s="30" t="s">
        <v>148</v>
      </c>
      <c r="G1182" s="365">
        <v>19</v>
      </c>
      <c r="H1182" s="30">
        <v>11</v>
      </c>
      <c r="I1182" s="9" t="s">
        <v>803</v>
      </c>
      <c r="J1182" s="9" t="s">
        <v>895</v>
      </c>
      <c r="K1182" s="30">
        <v>1</v>
      </c>
      <c r="L1182" s="9" t="s">
        <v>896</v>
      </c>
      <c r="M1182" s="30" t="s">
        <v>84</v>
      </c>
      <c r="N1182" s="30" t="s">
        <v>152</v>
      </c>
      <c r="O1182" s="24">
        <v>188</v>
      </c>
      <c r="P1182" s="24">
        <v>300</v>
      </c>
      <c r="Q1182" s="24">
        <v>77</v>
      </c>
      <c r="R1182" s="24">
        <v>0</v>
      </c>
      <c r="S1182" s="24">
        <v>0</v>
      </c>
      <c r="T1182" s="24">
        <v>565</v>
      </c>
    </row>
    <row r="1183" spans="1:20">
      <c r="A1183" s="9" t="s">
        <v>829</v>
      </c>
      <c r="B1183" s="30" t="s">
        <v>872</v>
      </c>
      <c r="C1183" s="30" t="str">
        <f>CONCATENATE(VOL_VOLUMEN_SUMINISTROS[[#This Row],[Proyecto]],VOL_VOLUMEN_SUMINISTROS[[#This Row],[J]],VOL_VOLUMEN_SUMINISTROS[[#This Row],[FIN DE SEMANA]])</f>
        <v>1052-1TNO</v>
      </c>
      <c r="D1183" s="365" t="str">
        <f>CONCATENATE(VOL_VOLUMEN_SUMINISTROS[[#This Row],[Grupo]],VOL_VOLUMEN_SUMINISTROS[[#This Row],[Proyecto]],VOL_VOLUMEN_SUMINISTROS[[#This Row],[FIN DE SEMANA]])</f>
        <v>191052-1NO</v>
      </c>
      <c r="E1183" s="30" t="s">
        <v>147</v>
      </c>
      <c r="F1183" s="30" t="s">
        <v>148</v>
      </c>
      <c r="G1183" s="365">
        <v>19</v>
      </c>
      <c r="H1183" s="30">
        <v>11</v>
      </c>
      <c r="I1183" s="9" t="s">
        <v>803</v>
      </c>
      <c r="J1183" s="9" t="s">
        <v>895</v>
      </c>
      <c r="K1183" s="30">
        <v>1</v>
      </c>
      <c r="L1183" s="9" t="s">
        <v>896</v>
      </c>
      <c r="M1183" s="30" t="s">
        <v>84</v>
      </c>
      <c r="N1183" s="30" t="s">
        <v>155</v>
      </c>
      <c r="O1183" s="24">
        <v>70</v>
      </c>
      <c r="P1183" s="24">
        <v>90</v>
      </c>
      <c r="Q1183" s="24">
        <v>320</v>
      </c>
      <c r="R1183" s="24">
        <v>0</v>
      </c>
      <c r="S1183" s="24">
        <v>0</v>
      </c>
      <c r="T1183" s="24">
        <v>480</v>
      </c>
    </row>
    <row r="1184" spans="1:20">
      <c r="A1184" s="9" t="s">
        <v>829</v>
      </c>
      <c r="B1184" s="30" t="s">
        <v>872</v>
      </c>
      <c r="C1184" s="30" t="str">
        <f>CONCATENATE(VOL_VOLUMEN_SUMINISTROS[[#This Row],[Proyecto]],VOL_VOLUMEN_SUMINISTROS[[#This Row],[J]],VOL_VOLUMEN_SUMINISTROS[[#This Row],[FIN DE SEMANA]])</f>
        <v>1052-1MNO</v>
      </c>
      <c r="D1184" s="365" t="str">
        <f>CONCATENATE(VOL_VOLUMEN_SUMINISTROS[[#This Row],[Grupo]],VOL_VOLUMEN_SUMINISTROS[[#This Row],[Proyecto]],VOL_VOLUMEN_SUMINISTROS[[#This Row],[FIN DE SEMANA]])</f>
        <v>191052-1NO</v>
      </c>
      <c r="E1184" s="30" t="s">
        <v>147</v>
      </c>
      <c r="F1184" s="30" t="s">
        <v>148</v>
      </c>
      <c r="G1184" s="365">
        <v>19</v>
      </c>
      <c r="H1184" s="30">
        <v>11</v>
      </c>
      <c r="I1184" s="9" t="s">
        <v>803</v>
      </c>
      <c r="J1184" s="9" t="s">
        <v>895</v>
      </c>
      <c r="K1184" s="30">
        <v>2</v>
      </c>
      <c r="L1184" s="9" t="s">
        <v>897</v>
      </c>
      <c r="M1184" s="30" t="s">
        <v>84</v>
      </c>
      <c r="N1184" s="30" t="s">
        <v>152</v>
      </c>
      <c r="O1184" s="24">
        <v>106</v>
      </c>
      <c r="P1184" s="24">
        <v>83</v>
      </c>
      <c r="Q1184" s="24">
        <v>18</v>
      </c>
      <c r="R1184" s="24">
        <v>0</v>
      </c>
      <c r="S1184" s="24">
        <v>0</v>
      </c>
      <c r="T1184" s="24">
        <v>207</v>
      </c>
    </row>
    <row r="1185" spans="1:20">
      <c r="A1185" s="9" t="s">
        <v>829</v>
      </c>
      <c r="B1185" s="30" t="s">
        <v>872</v>
      </c>
      <c r="C1185" s="30" t="str">
        <f>CONCATENATE(VOL_VOLUMEN_SUMINISTROS[[#This Row],[Proyecto]],VOL_VOLUMEN_SUMINISTROS[[#This Row],[J]],VOL_VOLUMEN_SUMINISTROS[[#This Row],[FIN DE SEMANA]])</f>
        <v>1052-1TNO</v>
      </c>
      <c r="D1185" s="365" t="str">
        <f>CONCATENATE(VOL_VOLUMEN_SUMINISTROS[[#This Row],[Grupo]],VOL_VOLUMEN_SUMINISTROS[[#This Row],[Proyecto]],VOL_VOLUMEN_SUMINISTROS[[#This Row],[FIN DE SEMANA]])</f>
        <v>191052-1NO</v>
      </c>
      <c r="E1185" s="30" t="s">
        <v>147</v>
      </c>
      <c r="F1185" s="30" t="s">
        <v>148</v>
      </c>
      <c r="G1185" s="365">
        <v>19</v>
      </c>
      <c r="H1185" s="30">
        <v>11</v>
      </c>
      <c r="I1185" s="9" t="s">
        <v>803</v>
      </c>
      <c r="J1185" s="9" t="s">
        <v>895</v>
      </c>
      <c r="K1185" s="30">
        <v>2</v>
      </c>
      <c r="L1185" s="9" t="s">
        <v>897</v>
      </c>
      <c r="M1185" s="30" t="s">
        <v>84</v>
      </c>
      <c r="N1185" s="30" t="s">
        <v>155</v>
      </c>
      <c r="O1185" s="24">
        <v>107</v>
      </c>
      <c r="P1185" s="24">
        <v>79</v>
      </c>
      <c r="Q1185" s="24">
        <v>16</v>
      </c>
      <c r="R1185" s="24">
        <v>0</v>
      </c>
      <c r="S1185" s="24">
        <v>0</v>
      </c>
      <c r="T1185" s="24">
        <v>202</v>
      </c>
    </row>
    <row r="1186" spans="1:20">
      <c r="A1186" s="9" t="s">
        <v>829</v>
      </c>
      <c r="B1186" s="30" t="s">
        <v>898</v>
      </c>
      <c r="C1186" s="30" t="str">
        <f>CONCATENATE(VOL_VOLUMEN_SUMINISTROS[[#This Row],[Proyecto]],VOL_VOLUMEN_SUMINISTROS[[#This Row],[J]],VOL_VOLUMEN_SUMINISTROS[[#This Row],[FIN DE SEMANA]])</f>
        <v>1052-2M1NO</v>
      </c>
      <c r="D1186" s="365" t="str">
        <f>CONCATENATE(VOL_VOLUMEN_SUMINISTROS[[#This Row],[Grupo]],VOL_VOLUMEN_SUMINISTROS[[#This Row],[Proyecto]],VOL_VOLUMEN_SUMINISTROS[[#This Row],[FIN DE SEMANA]])</f>
        <v>191052-2NO</v>
      </c>
      <c r="E1186" s="30" t="s">
        <v>183</v>
      </c>
      <c r="F1186" s="30" t="s">
        <v>148</v>
      </c>
      <c r="G1186" s="365">
        <v>19</v>
      </c>
      <c r="H1186" s="30">
        <v>11</v>
      </c>
      <c r="I1186" s="9" t="s">
        <v>803</v>
      </c>
      <c r="J1186" s="9" t="s">
        <v>873</v>
      </c>
      <c r="K1186" s="30">
        <v>1</v>
      </c>
      <c r="L1186" s="9" t="s">
        <v>874</v>
      </c>
      <c r="M1186" s="30" t="s">
        <v>84</v>
      </c>
      <c r="N1186" s="30" t="s">
        <v>216</v>
      </c>
      <c r="O1186" s="24">
        <v>174</v>
      </c>
      <c r="P1186" s="24">
        <v>237</v>
      </c>
      <c r="Q1186" s="24">
        <v>50</v>
      </c>
      <c r="R1186" s="24">
        <v>0</v>
      </c>
      <c r="S1186" s="24">
        <v>0</v>
      </c>
      <c r="T1186" s="24">
        <v>461</v>
      </c>
    </row>
    <row r="1187" spans="1:20">
      <c r="A1187" s="9" t="s">
        <v>829</v>
      </c>
      <c r="B1187" s="30" t="s">
        <v>898</v>
      </c>
      <c r="C1187" s="30" t="str">
        <f>CONCATENATE(VOL_VOLUMEN_SUMINISTROS[[#This Row],[Proyecto]],VOL_VOLUMEN_SUMINISTROS[[#This Row],[J]],VOL_VOLUMEN_SUMINISTROS[[#This Row],[FIN DE SEMANA]])</f>
        <v>1052-2TNO</v>
      </c>
      <c r="D1187" s="365" t="str">
        <f>CONCATENATE(VOL_VOLUMEN_SUMINISTROS[[#This Row],[Grupo]],VOL_VOLUMEN_SUMINISTROS[[#This Row],[Proyecto]],VOL_VOLUMEN_SUMINISTROS[[#This Row],[FIN DE SEMANA]])</f>
        <v>191052-2NO</v>
      </c>
      <c r="E1187" s="30" t="s">
        <v>183</v>
      </c>
      <c r="F1187" s="30" t="s">
        <v>148</v>
      </c>
      <c r="G1187" s="365">
        <v>19</v>
      </c>
      <c r="H1187" s="30">
        <v>11</v>
      </c>
      <c r="I1187" s="9" t="s">
        <v>803</v>
      </c>
      <c r="J1187" s="9" t="s">
        <v>873</v>
      </c>
      <c r="K1187" s="30">
        <v>2</v>
      </c>
      <c r="L1187" s="9" t="s">
        <v>875</v>
      </c>
      <c r="M1187" s="30" t="s">
        <v>84</v>
      </c>
      <c r="N1187" s="30" t="s">
        <v>155</v>
      </c>
      <c r="O1187" s="24">
        <v>0</v>
      </c>
      <c r="P1187" s="24">
        <v>195</v>
      </c>
      <c r="Q1187" s="24">
        <v>335</v>
      </c>
      <c r="R1187" s="24">
        <v>0</v>
      </c>
      <c r="S1187" s="24">
        <v>0</v>
      </c>
      <c r="T1187" s="24">
        <v>530</v>
      </c>
    </row>
    <row r="1188" spans="1:20">
      <c r="A1188" s="9" t="s">
        <v>829</v>
      </c>
      <c r="B1188" s="30" t="s">
        <v>898</v>
      </c>
      <c r="C1188" s="30" t="str">
        <f>CONCATENATE(VOL_VOLUMEN_SUMINISTROS[[#This Row],[Proyecto]],VOL_VOLUMEN_SUMINISTROS[[#This Row],[J]],VOL_VOLUMEN_SUMINISTROS[[#This Row],[FIN DE SEMANA]])</f>
        <v>1052-2M1NO</v>
      </c>
      <c r="D1188" s="365" t="str">
        <f>CONCATENATE(VOL_VOLUMEN_SUMINISTROS[[#This Row],[Grupo]],VOL_VOLUMEN_SUMINISTROS[[#This Row],[Proyecto]],VOL_VOLUMEN_SUMINISTROS[[#This Row],[FIN DE SEMANA]])</f>
        <v>191052-2NO</v>
      </c>
      <c r="E1188" s="30" t="s">
        <v>183</v>
      </c>
      <c r="F1188" s="30" t="s">
        <v>148</v>
      </c>
      <c r="G1188" s="365">
        <v>19</v>
      </c>
      <c r="H1188" s="30">
        <v>11</v>
      </c>
      <c r="I1188" s="9" t="s">
        <v>803</v>
      </c>
      <c r="J1188" s="9" t="s">
        <v>889</v>
      </c>
      <c r="K1188" s="30">
        <v>1</v>
      </c>
      <c r="L1188" s="9" t="s">
        <v>890</v>
      </c>
      <c r="M1188" s="30" t="s">
        <v>84</v>
      </c>
      <c r="N1188" s="30" t="s">
        <v>216</v>
      </c>
      <c r="O1188" s="24">
        <v>222</v>
      </c>
      <c r="P1188" s="24">
        <v>279</v>
      </c>
      <c r="Q1188" s="24">
        <v>56</v>
      </c>
      <c r="R1188" s="24">
        <v>0</v>
      </c>
      <c r="S1188" s="24">
        <v>0</v>
      </c>
      <c r="T1188" s="24">
        <v>557</v>
      </c>
    </row>
    <row r="1189" spans="1:20">
      <c r="A1189" s="9" t="s">
        <v>829</v>
      </c>
      <c r="B1189" s="30" t="s">
        <v>898</v>
      </c>
      <c r="C1189" s="30" t="str">
        <f>CONCATENATE(VOL_VOLUMEN_SUMINISTROS[[#This Row],[Proyecto]],VOL_VOLUMEN_SUMINISTROS[[#This Row],[J]],VOL_VOLUMEN_SUMINISTROS[[#This Row],[FIN DE SEMANA]])</f>
        <v>1052-2TNO</v>
      </c>
      <c r="D1189" s="365" t="str">
        <f>CONCATENATE(VOL_VOLUMEN_SUMINISTROS[[#This Row],[Grupo]],VOL_VOLUMEN_SUMINISTROS[[#This Row],[Proyecto]],VOL_VOLUMEN_SUMINISTROS[[#This Row],[FIN DE SEMANA]])</f>
        <v>191052-2NO</v>
      </c>
      <c r="E1189" s="30" t="s">
        <v>183</v>
      </c>
      <c r="F1189" s="30" t="s">
        <v>148</v>
      </c>
      <c r="G1189" s="365">
        <v>19</v>
      </c>
      <c r="H1189" s="30">
        <v>11</v>
      </c>
      <c r="I1189" s="9" t="s">
        <v>803</v>
      </c>
      <c r="J1189" s="9" t="s">
        <v>889</v>
      </c>
      <c r="K1189" s="30">
        <v>1</v>
      </c>
      <c r="L1189" s="9" t="s">
        <v>890</v>
      </c>
      <c r="M1189" s="30" t="s">
        <v>84</v>
      </c>
      <c r="N1189" s="30" t="s">
        <v>155</v>
      </c>
      <c r="O1189" s="24">
        <v>0</v>
      </c>
      <c r="P1189" s="24">
        <v>180</v>
      </c>
      <c r="Q1189" s="24">
        <v>300</v>
      </c>
      <c r="R1189" s="24">
        <v>0</v>
      </c>
      <c r="S1189" s="24">
        <v>0</v>
      </c>
      <c r="T1189" s="24">
        <v>480</v>
      </c>
    </row>
    <row r="1190" spans="1:20">
      <c r="A1190" s="9" t="s">
        <v>829</v>
      </c>
      <c r="B1190" s="30" t="s">
        <v>898</v>
      </c>
      <c r="C1190" s="30" t="str">
        <f>CONCATENATE(VOL_VOLUMEN_SUMINISTROS[[#This Row],[Proyecto]],VOL_VOLUMEN_SUMINISTROS[[#This Row],[J]],VOL_VOLUMEN_SUMINISTROS[[#This Row],[FIN DE SEMANA]])</f>
        <v>1052-2MNO</v>
      </c>
      <c r="D1190" s="365" t="str">
        <f>CONCATENATE(VOL_VOLUMEN_SUMINISTROS[[#This Row],[Grupo]],VOL_VOLUMEN_SUMINISTROS[[#This Row],[Proyecto]],VOL_VOLUMEN_SUMINISTROS[[#This Row],[FIN DE SEMANA]])</f>
        <v>201052-2NO</v>
      </c>
      <c r="E1190" s="30" t="s">
        <v>183</v>
      </c>
      <c r="F1190" s="30" t="s">
        <v>148</v>
      </c>
      <c r="G1190" s="365">
        <v>20</v>
      </c>
      <c r="H1190" s="30">
        <v>11</v>
      </c>
      <c r="I1190" s="9" t="s">
        <v>803</v>
      </c>
      <c r="J1190" s="9" t="s">
        <v>899</v>
      </c>
      <c r="K1190" s="30">
        <v>2</v>
      </c>
      <c r="L1190" s="9" t="s">
        <v>900</v>
      </c>
      <c r="M1190" s="30" t="s">
        <v>84</v>
      </c>
      <c r="N1190" s="30" t="s">
        <v>152</v>
      </c>
      <c r="O1190" s="24">
        <v>0</v>
      </c>
      <c r="P1190" s="24">
        <v>105</v>
      </c>
      <c r="Q1190" s="24">
        <v>95</v>
      </c>
      <c r="R1190" s="24">
        <v>0</v>
      </c>
      <c r="S1190" s="24">
        <v>0</v>
      </c>
      <c r="T1190" s="24">
        <v>200</v>
      </c>
    </row>
    <row r="1191" spans="1:20">
      <c r="A1191" s="9" t="s">
        <v>829</v>
      </c>
      <c r="B1191" s="30" t="s">
        <v>898</v>
      </c>
      <c r="C1191" s="30" t="str">
        <f>CONCATENATE(VOL_VOLUMEN_SUMINISTROS[[#This Row],[Proyecto]],VOL_VOLUMEN_SUMINISTROS[[#This Row],[J]],VOL_VOLUMEN_SUMINISTROS[[#This Row],[FIN DE SEMANA]])</f>
        <v>1052-2TNO</v>
      </c>
      <c r="D1191" s="365" t="str">
        <f>CONCATENATE(VOL_VOLUMEN_SUMINISTROS[[#This Row],[Grupo]],VOL_VOLUMEN_SUMINISTROS[[#This Row],[Proyecto]],VOL_VOLUMEN_SUMINISTROS[[#This Row],[FIN DE SEMANA]])</f>
        <v>201052-2NO</v>
      </c>
      <c r="E1191" s="30" t="s">
        <v>183</v>
      </c>
      <c r="F1191" s="30" t="s">
        <v>148</v>
      </c>
      <c r="G1191" s="365">
        <v>20</v>
      </c>
      <c r="H1191" s="30">
        <v>11</v>
      </c>
      <c r="I1191" s="9" t="s">
        <v>803</v>
      </c>
      <c r="J1191" s="9" t="s">
        <v>899</v>
      </c>
      <c r="K1191" s="30">
        <v>2</v>
      </c>
      <c r="L1191" s="9" t="s">
        <v>900</v>
      </c>
      <c r="M1191" s="30" t="s">
        <v>84</v>
      </c>
      <c r="N1191" s="30" t="s">
        <v>155</v>
      </c>
      <c r="O1191" s="24">
        <v>0</v>
      </c>
      <c r="P1191" s="24">
        <v>102</v>
      </c>
      <c r="Q1191" s="24">
        <v>99</v>
      </c>
      <c r="R1191" s="24">
        <v>0</v>
      </c>
      <c r="S1191" s="24">
        <v>0</v>
      </c>
      <c r="T1191" s="24">
        <v>201</v>
      </c>
    </row>
    <row r="1192" spans="1:20">
      <c r="A1192" s="9" t="s">
        <v>829</v>
      </c>
      <c r="B1192" s="30" t="s">
        <v>901</v>
      </c>
      <c r="C1192" s="30" t="str">
        <f>CONCATENATE(VOL_VOLUMEN_SUMINISTROS[[#This Row],[Proyecto]],VOL_VOLUMEN_SUMINISTROS[[#This Row],[J]],VOL_VOLUMEN_SUMINISTROS[[#This Row],[FIN DE SEMANA]])</f>
        <v>1052-2MNO</v>
      </c>
      <c r="D1192" s="365" t="str">
        <f>CONCATENATE(VOL_VOLUMEN_SUMINISTROS[[#This Row],[Grupo]],VOL_VOLUMEN_SUMINISTROS[[#This Row],[Proyecto]],VOL_VOLUMEN_SUMINISTROS[[#This Row],[FIN DE SEMANA]])</f>
        <v>171052-2NO</v>
      </c>
      <c r="E1192" s="30" t="s">
        <v>183</v>
      </c>
      <c r="F1192" s="30" t="s">
        <v>148</v>
      </c>
      <c r="G1192" s="365">
        <v>17</v>
      </c>
      <c r="H1192" s="30">
        <v>10</v>
      </c>
      <c r="I1192" s="9" t="s">
        <v>331</v>
      </c>
      <c r="J1192" s="9" t="s">
        <v>831</v>
      </c>
      <c r="K1192" s="30">
        <v>1</v>
      </c>
      <c r="L1192" s="9" t="s">
        <v>832</v>
      </c>
      <c r="M1192" s="30" t="s">
        <v>84</v>
      </c>
      <c r="N1192" s="30" t="s">
        <v>152</v>
      </c>
      <c r="O1192" s="24">
        <v>0</v>
      </c>
      <c r="P1192" s="24">
        <v>0</v>
      </c>
      <c r="Q1192" s="24">
        <v>138</v>
      </c>
      <c r="R1192" s="24">
        <v>0</v>
      </c>
      <c r="S1192" s="24">
        <v>0</v>
      </c>
      <c r="T1192" s="24">
        <v>138</v>
      </c>
    </row>
    <row r="1193" spans="1:20">
      <c r="A1193" s="9" t="s">
        <v>829</v>
      </c>
      <c r="B1193" s="30" t="s">
        <v>901</v>
      </c>
      <c r="C1193" s="30" t="str">
        <f>CONCATENATE(VOL_VOLUMEN_SUMINISTROS[[#This Row],[Proyecto]],VOL_VOLUMEN_SUMINISTROS[[#This Row],[J]],VOL_VOLUMEN_SUMINISTROS[[#This Row],[FIN DE SEMANA]])</f>
        <v>1052-2TNO</v>
      </c>
      <c r="D1193" s="365" t="str">
        <f>CONCATENATE(VOL_VOLUMEN_SUMINISTROS[[#This Row],[Grupo]],VOL_VOLUMEN_SUMINISTROS[[#This Row],[Proyecto]],VOL_VOLUMEN_SUMINISTROS[[#This Row],[FIN DE SEMANA]])</f>
        <v>171052-2NO</v>
      </c>
      <c r="E1193" s="30" t="s">
        <v>183</v>
      </c>
      <c r="F1193" s="30" t="s">
        <v>148</v>
      </c>
      <c r="G1193" s="365">
        <v>17</v>
      </c>
      <c r="H1193" s="30">
        <v>10</v>
      </c>
      <c r="I1193" s="9" t="s">
        <v>331</v>
      </c>
      <c r="J1193" s="9" t="s">
        <v>831</v>
      </c>
      <c r="K1193" s="30">
        <v>1</v>
      </c>
      <c r="L1193" s="9" t="s">
        <v>832</v>
      </c>
      <c r="M1193" s="30" t="s">
        <v>84</v>
      </c>
      <c r="N1193" s="30" t="s">
        <v>155</v>
      </c>
      <c r="O1193" s="24">
        <v>0</v>
      </c>
      <c r="P1193" s="24">
        <v>0</v>
      </c>
      <c r="Q1193" s="24">
        <v>152</v>
      </c>
      <c r="R1193" s="24">
        <v>0</v>
      </c>
      <c r="S1193" s="24">
        <v>0</v>
      </c>
      <c r="T1193" s="24">
        <v>152</v>
      </c>
    </row>
    <row r="1194" spans="1:20">
      <c r="A1194" s="9" t="s">
        <v>829</v>
      </c>
      <c r="B1194" s="30" t="s">
        <v>901</v>
      </c>
      <c r="C1194" s="30" t="str">
        <f>CONCATENATE(VOL_VOLUMEN_SUMINISTROS[[#This Row],[Proyecto]],VOL_VOLUMEN_SUMINISTROS[[#This Row],[J]],VOL_VOLUMEN_SUMINISTROS[[#This Row],[FIN DE SEMANA]])</f>
        <v>1052-2MNO</v>
      </c>
      <c r="D1194" s="365" t="str">
        <f>CONCATENATE(VOL_VOLUMEN_SUMINISTROS[[#This Row],[Grupo]],VOL_VOLUMEN_SUMINISTROS[[#This Row],[Proyecto]],VOL_VOLUMEN_SUMINISTROS[[#This Row],[FIN DE SEMANA]])</f>
        <v>51052-2NO</v>
      </c>
      <c r="E1194" s="30" t="s">
        <v>183</v>
      </c>
      <c r="F1194" s="30" t="s">
        <v>148</v>
      </c>
      <c r="G1194" s="365">
        <v>5</v>
      </c>
      <c r="H1194" s="30">
        <v>10</v>
      </c>
      <c r="I1194" s="9" t="s">
        <v>331</v>
      </c>
      <c r="J1194" s="9" t="s">
        <v>902</v>
      </c>
      <c r="K1194" s="30">
        <v>1</v>
      </c>
      <c r="L1194" s="9" t="s">
        <v>153</v>
      </c>
      <c r="M1194" s="30" t="s">
        <v>84</v>
      </c>
      <c r="N1194" s="30" t="s">
        <v>152</v>
      </c>
      <c r="O1194" s="24">
        <v>0</v>
      </c>
      <c r="P1194" s="24">
        <v>0</v>
      </c>
      <c r="Q1194" s="24">
        <v>60</v>
      </c>
      <c r="R1194" s="24">
        <v>0</v>
      </c>
      <c r="S1194" s="24">
        <v>0</v>
      </c>
      <c r="T1194" s="24">
        <v>60</v>
      </c>
    </row>
    <row r="1195" spans="1:20">
      <c r="A1195" s="9" t="s">
        <v>829</v>
      </c>
      <c r="B1195" s="30" t="s">
        <v>901</v>
      </c>
      <c r="C1195" s="30" t="str">
        <f>CONCATENATE(VOL_VOLUMEN_SUMINISTROS[[#This Row],[Proyecto]],VOL_VOLUMEN_SUMINISTROS[[#This Row],[J]],VOL_VOLUMEN_SUMINISTROS[[#This Row],[FIN DE SEMANA]])</f>
        <v>1052-2MNO</v>
      </c>
      <c r="D1195" s="365" t="str">
        <f>CONCATENATE(VOL_VOLUMEN_SUMINISTROS[[#This Row],[Grupo]],VOL_VOLUMEN_SUMINISTROS[[#This Row],[Proyecto]],VOL_VOLUMEN_SUMINISTROS[[#This Row],[FIN DE SEMANA]])</f>
        <v>51052-2NO</v>
      </c>
      <c r="E1195" s="30" t="s">
        <v>183</v>
      </c>
      <c r="F1195" s="30" t="s">
        <v>148</v>
      </c>
      <c r="G1195" s="365">
        <v>5</v>
      </c>
      <c r="H1195" s="30">
        <v>10</v>
      </c>
      <c r="I1195" s="9" t="s">
        <v>331</v>
      </c>
      <c r="J1195" s="9" t="s">
        <v>903</v>
      </c>
      <c r="K1195" s="30">
        <v>1</v>
      </c>
      <c r="L1195" s="9" t="s">
        <v>904</v>
      </c>
      <c r="M1195" s="30" t="s">
        <v>84</v>
      </c>
      <c r="N1195" s="30" t="s">
        <v>152</v>
      </c>
      <c r="O1195" s="24">
        <v>0</v>
      </c>
      <c r="P1195" s="24">
        <v>0</v>
      </c>
      <c r="Q1195" s="24">
        <v>83</v>
      </c>
      <c r="R1195" s="24">
        <v>0</v>
      </c>
      <c r="S1195" s="24">
        <v>0</v>
      </c>
      <c r="T1195" s="24">
        <v>83</v>
      </c>
    </row>
    <row r="1196" spans="1:20">
      <c r="A1196" s="9" t="s">
        <v>829</v>
      </c>
      <c r="B1196" s="30" t="s">
        <v>901</v>
      </c>
      <c r="C1196" s="30" t="str">
        <f>CONCATENATE(VOL_VOLUMEN_SUMINISTROS[[#This Row],[Proyecto]],VOL_VOLUMEN_SUMINISTROS[[#This Row],[J]],VOL_VOLUMEN_SUMINISTROS[[#This Row],[FIN DE SEMANA]])</f>
        <v>1052-2TNO</v>
      </c>
      <c r="D1196" s="365" t="str">
        <f>CONCATENATE(VOL_VOLUMEN_SUMINISTROS[[#This Row],[Grupo]],VOL_VOLUMEN_SUMINISTROS[[#This Row],[Proyecto]],VOL_VOLUMEN_SUMINISTROS[[#This Row],[FIN DE SEMANA]])</f>
        <v>191052-2NO</v>
      </c>
      <c r="E1196" s="30" t="s">
        <v>183</v>
      </c>
      <c r="F1196" s="30" t="s">
        <v>148</v>
      </c>
      <c r="G1196" s="365">
        <v>19</v>
      </c>
      <c r="H1196" s="30">
        <v>11</v>
      </c>
      <c r="I1196" s="9" t="s">
        <v>803</v>
      </c>
      <c r="J1196" s="9" t="s">
        <v>873</v>
      </c>
      <c r="K1196" s="30">
        <v>2</v>
      </c>
      <c r="L1196" s="9" t="s">
        <v>875</v>
      </c>
      <c r="M1196" s="30" t="s">
        <v>84</v>
      </c>
      <c r="N1196" s="30" t="s">
        <v>155</v>
      </c>
      <c r="O1196" s="24">
        <v>0</v>
      </c>
      <c r="P1196" s="24">
        <v>0</v>
      </c>
      <c r="Q1196" s="24">
        <v>160</v>
      </c>
      <c r="R1196" s="24">
        <v>0</v>
      </c>
      <c r="S1196" s="24">
        <v>0</v>
      </c>
      <c r="T1196" s="24">
        <v>160</v>
      </c>
    </row>
    <row r="1197" spans="1:20">
      <c r="A1197" s="9" t="s">
        <v>829</v>
      </c>
      <c r="B1197" s="30" t="s">
        <v>901</v>
      </c>
      <c r="C1197" s="30" t="str">
        <f>CONCATENATE(VOL_VOLUMEN_SUMINISTROS[[#This Row],[Proyecto]],VOL_VOLUMEN_SUMINISTROS[[#This Row],[J]],VOL_VOLUMEN_SUMINISTROS[[#This Row],[FIN DE SEMANA]])</f>
        <v>1052-2TNO</v>
      </c>
      <c r="D1197" s="365" t="str">
        <f>CONCATENATE(VOL_VOLUMEN_SUMINISTROS[[#This Row],[Grupo]],VOL_VOLUMEN_SUMINISTROS[[#This Row],[Proyecto]],VOL_VOLUMEN_SUMINISTROS[[#This Row],[FIN DE SEMANA]])</f>
        <v>201052-2NO</v>
      </c>
      <c r="E1197" s="30" t="s">
        <v>183</v>
      </c>
      <c r="F1197" s="30" t="s">
        <v>148</v>
      </c>
      <c r="G1197" s="365">
        <v>20</v>
      </c>
      <c r="H1197" s="30">
        <v>11</v>
      </c>
      <c r="I1197" s="9" t="s">
        <v>803</v>
      </c>
      <c r="J1197" s="9" t="s">
        <v>827</v>
      </c>
      <c r="K1197" s="30">
        <v>1</v>
      </c>
      <c r="L1197" s="9" t="s">
        <v>905</v>
      </c>
      <c r="M1197" s="30" t="s">
        <v>84</v>
      </c>
      <c r="N1197" s="30" t="s">
        <v>155</v>
      </c>
      <c r="O1197" s="24">
        <v>0</v>
      </c>
      <c r="P1197" s="24">
        <v>0</v>
      </c>
      <c r="Q1197" s="24">
        <v>100</v>
      </c>
      <c r="R1197" s="24">
        <v>0</v>
      </c>
      <c r="S1197" s="24">
        <v>0</v>
      </c>
      <c r="T1197" s="24">
        <v>100</v>
      </c>
    </row>
    <row r="1198" spans="1:20">
      <c r="A1198" s="9" t="s">
        <v>829</v>
      </c>
      <c r="B1198" s="30" t="s">
        <v>901</v>
      </c>
      <c r="C1198" s="30" t="str">
        <f>CONCATENATE(VOL_VOLUMEN_SUMINISTROS[[#This Row],[Proyecto]],VOL_VOLUMEN_SUMINISTROS[[#This Row],[J]],VOL_VOLUMEN_SUMINISTROS[[#This Row],[FIN DE SEMANA]])</f>
        <v>1052-2MNO</v>
      </c>
      <c r="D1198" s="365" t="str">
        <f>CONCATENATE(VOL_VOLUMEN_SUMINISTROS[[#This Row],[Grupo]],VOL_VOLUMEN_SUMINISTROS[[#This Row],[Proyecto]],VOL_VOLUMEN_SUMINISTROS[[#This Row],[FIN DE SEMANA]])</f>
        <v>191052-2NO</v>
      </c>
      <c r="E1198" s="30" t="s">
        <v>183</v>
      </c>
      <c r="F1198" s="30" t="s">
        <v>148</v>
      </c>
      <c r="G1198" s="365">
        <v>19</v>
      </c>
      <c r="H1198" s="30">
        <v>11</v>
      </c>
      <c r="I1198" s="9" t="s">
        <v>803</v>
      </c>
      <c r="J1198" s="9" t="s">
        <v>895</v>
      </c>
      <c r="K1198" s="30">
        <v>1</v>
      </c>
      <c r="L1198" s="9" t="s">
        <v>896</v>
      </c>
      <c r="M1198" s="30" t="s">
        <v>84</v>
      </c>
      <c r="N1198" s="30" t="s">
        <v>152</v>
      </c>
      <c r="O1198" s="24">
        <v>0</v>
      </c>
      <c r="P1198" s="24">
        <v>0</v>
      </c>
      <c r="Q1198" s="24">
        <v>154</v>
      </c>
      <c r="R1198" s="24">
        <v>0</v>
      </c>
      <c r="S1198" s="24">
        <v>0</v>
      </c>
      <c r="T1198" s="24">
        <v>154</v>
      </c>
    </row>
    <row r="1199" spans="1:20">
      <c r="A1199" s="9" t="s">
        <v>829</v>
      </c>
      <c r="B1199" s="30" t="s">
        <v>906</v>
      </c>
      <c r="C1199" s="30" t="str">
        <f>CONCATENATE(VOL_VOLUMEN_SUMINISTROS[[#This Row],[Proyecto]],VOL_VOLUMEN_SUMINISTROS[[#This Row],[J]],VOL_VOLUMEN_SUMINISTROS[[#This Row],[FIN DE SEMANA]])</f>
        <v>1052-1MNO</v>
      </c>
      <c r="D1199" s="365" t="str">
        <f>CONCATENATE(VOL_VOLUMEN_SUMINISTROS[[#This Row],[Grupo]],VOL_VOLUMEN_SUMINISTROS[[#This Row],[Proyecto]],VOL_VOLUMEN_SUMINISTROS[[#This Row],[FIN DE SEMANA]])</f>
        <v>201052-1NO</v>
      </c>
      <c r="E1199" s="30" t="s">
        <v>147</v>
      </c>
      <c r="F1199" s="30" t="s">
        <v>148</v>
      </c>
      <c r="G1199" s="365">
        <v>20</v>
      </c>
      <c r="H1199" s="30">
        <v>11</v>
      </c>
      <c r="I1199" s="9" t="s">
        <v>803</v>
      </c>
      <c r="J1199" s="9" t="s">
        <v>907</v>
      </c>
      <c r="K1199" s="30">
        <v>1</v>
      </c>
      <c r="L1199" s="9" t="s">
        <v>908</v>
      </c>
      <c r="M1199" s="30" t="s">
        <v>84</v>
      </c>
      <c r="N1199" s="30" t="s">
        <v>152</v>
      </c>
      <c r="O1199" s="24">
        <v>384</v>
      </c>
      <c r="P1199" s="24">
        <v>533</v>
      </c>
      <c r="Q1199" s="24">
        <v>688</v>
      </c>
      <c r="R1199" s="24">
        <v>0</v>
      </c>
      <c r="S1199" s="24">
        <v>0</v>
      </c>
      <c r="T1199" s="24">
        <v>1605</v>
      </c>
    </row>
    <row r="1200" spans="1:20">
      <c r="A1200" s="9" t="s">
        <v>829</v>
      </c>
      <c r="B1200" s="30" t="s">
        <v>906</v>
      </c>
      <c r="C1200" s="30" t="str">
        <f>CONCATENATE(VOL_VOLUMEN_SUMINISTROS[[#This Row],[Proyecto]],VOL_VOLUMEN_SUMINISTROS[[#This Row],[J]],VOL_VOLUMEN_SUMINISTROS[[#This Row],[FIN DE SEMANA]])</f>
        <v>1052-1TNO</v>
      </c>
      <c r="D1200" s="365" t="str">
        <f>CONCATENATE(VOL_VOLUMEN_SUMINISTROS[[#This Row],[Grupo]],VOL_VOLUMEN_SUMINISTROS[[#This Row],[Proyecto]],VOL_VOLUMEN_SUMINISTROS[[#This Row],[FIN DE SEMANA]])</f>
        <v>201052-1NO</v>
      </c>
      <c r="E1200" s="30" t="s">
        <v>147</v>
      </c>
      <c r="F1200" s="30" t="s">
        <v>148</v>
      </c>
      <c r="G1200" s="365">
        <v>20</v>
      </c>
      <c r="H1200" s="30">
        <v>11</v>
      </c>
      <c r="I1200" s="9" t="s">
        <v>803</v>
      </c>
      <c r="J1200" s="9" t="s">
        <v>907</v>
      </c>
      <c r="K1200" s="30">
        <v>1</v>
      </c>
      <c r="L1200" s="9" t="s">
        <v>908</v>
      </c>
      <c r="M1200" s="30" t="s">
        <v>84</v>
      </c>
      <c r="N1200" s="30" t="s">
        <v>155</v>
      </c>
      <c r="O1200" s="24">
        <v>360</v>
      </c>
      <c r="P1200" s="24">
        <v>518</v>
      </c>
      <c r="Q1200" s="24">
        <v>726</v>
      </c>
      <c r="R1200" s="24">
        <v>0</v>
      </c>
      <c r="S1200" s="24">
        <v>0</v>
      </c>
      <c r="T1200" s="24">
        <v>1604</v>
      </c>
    </row>
    <row r="1201" spans="1:20">
      <c r="A1201" s="9" t="s">
        <v>829</v>
      </c>
      <c r="B1201" s="30" t="s">
        <v>906</v>
      </c>
      <c r="C1201" s="30" t="str">
        <f>CONCATENATE(VOL_VOLUMEN_SUMINISTROS[[#This Row],[Proyecto]],VOL_VOLUMEN_SUMINISTROS[[#This Row],[J]],VOL_VOLUMEN_SUMINISTROS[[#This Row],[FIN DE SEMANA]])</f>
        <v>1052-1MNO</v>
      </c>
      <c r="D1201" s="365" t="str">
        <f>CONCATENATE(VOL_VOLUMEN_SUMINISTROS[[#This Row],[Grupo]],VOL_VOLUMEN_SUMINISTROS[[#This Row],[Proyecto]],VOL_VOLUMEN_SUMINISTROS[[#This Row],[FIN DE SEMANA]])</f>
        <v>201052-1NO</v>
      </c>
      <c r="E1201" s="30" t="s">
        <v>147</v>
      </c>
      <c r="F1201" s="30" t="s">
        <v>148</v>
      </c>
      <c r="G1201" s="365">
        <v>20</v>
      </c>
      <c r="H1201" s="30">
        <v>11</v>
      </c>
      <c r="I1201" s="9" t="s">
        <v>803</v>
      </c>
      <c r="J1201" s="9" t="s">
        <v>827</v>
      </c>
      <c r="K1201" s="30">
        <v>1</v>
      </c>
      <c r="L1201" s="9" t="s">
        <v>905</v>
      </c>
      <c r="M1201" s="30" t="s">
        <v>84</v>
      </c>
      <c r="N1201" s="30" t="s">
        <v>152</v>
      </c>
      <c r="O1201" s="24">
        <v>0</v>
      </c>
      <c r="P1201" s="24">
        <v>0</v>
      </c>
      <c r="Q1201" s="24">
        <v>553</v>
      </c>
      <c r="R1201" s="24">
        <v>0</v>
      </c>
      <c r="S1201" s="24">
        <v>0</v>
      </c>
      <c r="T1201" s="24">
        <v>553</v>
      </c>
    </row>
    <row r="1202" spans="1:20">
      <c r="A1202" s="9" t="s">
        <v>829</v>
      </c>
      <c r="B1202" s="30" t="s">
        <v>906</v>
      </c>
      <c r="C1202" s="30" t="str">
        <f>CONCATENATE(VOL_VOLUMEN_SUMINISTROS[[#This Row],[Proyecto]],VOL_VOLUMEN_SUMINISTROS[[#This Row],[J]],VOL_VOLUMEN_SUMINISTROS[[#This Row],[FIN DE SEMANA]])</f>
        <v>1052-1TNO</v>
      </c>
      <c r="D1202" s="365" t="str">
        <f>CONCATENATE(VOL_VOLUMEN_SUMINISTROS[[#This Row],[Grupo]],VOL_VOLUMEN_SUMINISTROS[[#This Row],[Proyecto]],VOL_VOLUMEN_SUMINISTROS[[#This Row],[FIN DE SEMANA]])</f>
        <v>201052-1NO</v>
      </c>
      <c r="E1202" s="30" t="s">
        <v>147</v>
      </c>
      <c r="F1202" s="30" t="s">
        <v>148</v>
      </c>
      <c r="G1202" s="365">
        <v>20</v>
      </c>
      <c r="H1202" s="30">
        <v>11</v>
      </c>
      <c r="I1202" s="9" t="s">
        <v>803</v>
      </c>
      <c r="J1202" s="9" t="s">
        <v>827</v>
      </c>
      <c r="K1202" s="30">
        <v>1</v>
      </c>
      <c r="L1202" s="9" t="s">
        <v>905</v>
      </c>
      <c r="M1202" s="30" t="s">
        <v>84</v>
      </c>
      <c r="N1202" s="30" t="s">
        <v>155</v>
      </c>
      <c r="O1202" s="24">
        <v>0</v>
      </c>
      <c r="P1202" s="24">
        <v>300</v>
      </c>
      <c r="Q1202" s="24">
        <v>100</v>
      </c>
      <c r="R1202" s="24">
        <v>0</v>
      </c>
      <c r="S1202" s="24">
        <v>0</v>
      </c>
      <c r="T1202" s="24">
        <v>400</v>
      </c>
    </row>
    <row r="1203" spans="1:20">
      <c r="A1203" s="9" t="s">
        <v>829</v>
      </c>
      <c r="B1203" s="30" t="s">
        <v>906</v>
      </c>
      <c r="C1203" s="30" t="str">
        <f>CONCATENATE(VOL_VOLUMEN_SUMINISTROS[[#This Row],[Proyecto]],VOL_VOLUMEN_SUMINISTROS[[#This Row],[J]],VOL_VOLUMEN_SUMINISTROS[[#This Row],[FIN DE SEMANA]])</f>
        <v>1052-1MNO</v>
      </c>
      <c r="D1203" s="365" t="str">
        <f>CONCATENATE(VOL_VOLUMEN_SUMINISTROS[[#This Row],[Grupo]],VOL_VOLUMEN_SUMINISTROS[[#This Row],[Proyecto]],VOL_VOLUMEN_SUMINISTROS[[#This Row],[FIN DE SEMANA]])</f>
        <v>171052-1NO</v>
      </c>
      <c r="E1203" s="30" t="s">
        <v>147</v>
      </c>
      <c r="F1203" s="30" t="s">
        <v>148</v>
      </c>
      <c r="G1203" s="365">
        <v>17</v>
      </c>
      <c r="H1203" s="30">
        <v>11</v>
      </c>
      <c r="I1203" s="9" t="s">
        <v>803</v>
      </c>
      <c r="J1203" s="9" t="s">
        <v>909</v>
      </c>
      <c r="K1203" s="30">
        <v>1</v>
      </c>
      <c r="L1203" s="9" t="s">
        <v>910</v>
      </c>
      <c r="M1203" s="30" t="s">
        <v>84</v>
      </c>
      <c r="N1203" s="30" t="s">
        <v>152</v>
      </c>
      <c r="O1203" s="24">
        <v>214</v>
      </c>
      <c r="P1203" s="24">
        <v>365</v>
      </c>
      <c r="Q1203" s="24">
        <v>477</v>
      </c>
      <c r="R1203" s="24">
        <v>0</v>
      </c>
      <c r="S1203" s="24">
        <v>0</v>
      </c>
      <c r="T1203" s="24">
        <v>1056</v>
      </c>
    </row>
    <row r="1204" spans="1:20">
      <c r="A1204" s="9" t="s">
        <v>829</v>
      </c>
      <c r="B1204" s="30" t="s">
        <v>906</v>
      </c>
      <c r="C1204" s="30" t="str">
        <f>CONCATENATE(VOL_VOLUMEN_SUMINISTROS[[#This Row],[Proyecto]],VOL_VOLUMEN_SUMINISTROS[[#This Row],[J]],VOL_VOLUMEN_SUMINISTROS[[#This Row],[FIN DE SEMANA]])</f>
        <v>1052-1TNO</v>
      </c>
      <c r="D1204" s="365" t="str">
        <f>CONCATENATE(VOL_VOLUMEN_SUMINISTROS[[#This Row],[Grupo]],VOL_VOLUMEN_SUMINISTROS[[#This Row],[Proyecto]],VOL_VOLUMEN_SUMINISTROS[[#This Row],[FIN DE SEMANA]])</f>
        <v>171052-1NO</v>
      </c>
      <c r="E1204" s="30" t="s">
        <v>147</v>
      </c>
      <c r="F1204" s="30" t="s">
        <v>148</v>
      </c>
      <c r="G1204" s="365">
        <v>17</v>
      </c>
      <c r="H1204" s="30">
        <v>11</v>
      </c>
      <c r="I1204" s="9" t="s">
        <v>803</v>
      </c>
      <c r="J1204" s="9" t="s">
        <v>909</v>
      </c>
      <c r="K1204" s="30">
        <v>1</v>
      </c>
      <c r="L1204" s="9" t="s">
        <v>910</v>
      </c>
      <c r="M1204" s="30" t="s">
        <v>84</v>
      </c>
      <c r="N1204" s="30" t="s">
        <v>155</v>
      </c>
      <c r="O1204" s="24">
        <v>204</v>
      </c>
      <c r="P1204" s="24">
        <v>279</v>
      </c>
      <c r="Q1204" s="24">
        <v>374</v>
      </c>
      <c r="R1204" s="24">
        <v>0</v>
      </c>
      <c r="S1204" s="24">
        <v>0</v>
      </c>
      <c r="T1204" s="24">
        <v>857</v>
      </c>
    </row>
    <row r="1205" spans="1:20">
      <c r="A1205" s="9" t="s">
        <v>829</v>
      </c>
      <c r="B1205" s="30" t="s">
        <v>906</v>
      </c>
      <c r="C1205" s="30" t="str">
        <f>CONCATENATE(VOL_VOLUMEN_SUMINISTROS[[#This Row],[Proyecto]],VOL_VOLUMEN_SUMINISTROS[[#This Row],[J]],VOL_VOLUMEN_SUMINISTROS[[#This Row],[FIN DE SEMANA]])</f>
        <v>1052-1MNO</v>
      </c>
      <c r="D1205" s="365" t="str">
        <f>CONCATENATE(VOL_VOLUMEN_SUMINISTROS[[#This Row],[Grupo]],VOL_VOLUMEN_SUMINISTROS[[#This Row],[Proyecto]],VOL_VOLUMEN_SUMINISTROS[[#This Row],[FIN DE SEMANA]])</f>
        <v>201052-1NO</v>
      </c>
      <c r="E1205" s="30" t="s">
        <v>147</v>
      </c>
      <c r="F1205" s="30" t="s">
        <v>148</v>
      </c>
      <c r="G1205" s="365">
        <v>20</v>
      </c>
      <c r="H1205" s="30">
        <v>11</v>
      </c>
      <c r="I1205" s="9" t="s">
        <v>803</v>
      </c>
      <c r="J1205" s="9" t="s">
        <v>911</v>
      </c>
      <c r="K1205" s="30">
        <v>1</v>
      </c>
      <c r="L1205" s="9" t="s">
        <v>912</v>
      </c>
      <c r="M1205" s="30" t="s">
        <v>84</v>
      </c>
      <c r="N1205" s="30" t="s">
        <v>152</v>
      </c>
      <c r="O1205" s="24">
        <v>0</v>
      </c>
      <c r="P1205" s="24">
        <v>132</v>
      </c>
      <c r="Q1205" s="24">
        <v>278</v>
      </c>
      <c r="R1205" s="24">
        <v>0</v>
      </c>
      <c r="S1205" s="24">
        <v>0</v>
      </c>
      <c r="T1205" s="24">
        <v>410</v>
      </c>
    </row>
    <row r="1206" spans="1:20">
      <c r="A1206" s="9" t="s">
        <v>829</v>
      </c>
      <c r="B1206" s="30" t="s">
        <v>906</v>
      </c>
      <c r="C1206" s="30" t="str">
        <f>CONCATENATE(VOL_VOLUMEN_SUMINISTROS[[#This Row],[Proyecto]],VOL_VOLUMEN_SUMINISTROS[[#This Row],[J]],VOL_VOLUMEN_SUMINISTROS[[#This Row],[FIN DE SEMANA]])</f>
        <v>1052-1TNO</v>
      </c>
      <c r="D1206" s="365" t="str">
        <f>CONCATENATE(VOL_VOLUMEN_SUMINISTROS[[#This Row],[Grupo]],VOL_VOLUMEN_SUMINISTROS[[#This Row],[Proyecto]],VOL_VOLUMEN_SUMINISTROS[[#This Row],[FIN DE SEMANA]])</f>
        <v>201052-1NO</v>
      </c>
      <c r="E1206" s="30" t="s">
        <v>147</v>
      </c>
      <c r="F1206" s="30" t="s">
        <v>148</v>
      </c>
      <c r="G1206" s="365">
        <v>20</v>
      </c>
      <c r="H1206" s="30">
        <v>11</v>
      </c>
      <c r="I1206" s="9" t="s">
        <v>803</v>
      </c>
      <c r="J1206" s="9" t="s">
        <v>911</v>
      </c>
      <c r="K1206" s="30">
        <v>1</v>
      </c>
      <c r="L1206" s="9" t="s">
        <v>912</v>
      </c>
      <c r="M1206" s="30" t="s">
        <v>84</v>
      </c>
      <c r="N1206" s="30" t="s">
        <v>155</v>
      </c>
      <c r="O1206" s="24">
        <v>0</v>
      </c>
      <c r="P1206" s="24">
        <v>153</v>
      </c>
      <c r="Q1206" s="24">
        <v>307</v>
      </c>
      <c r="R1206" s="24">
        <v>0</v>
      </c>
      <c r="S1206" s="24">
        <v>0</v>
      </c>
      <c r="T1206" s="24">
        <v>460</v>
      </c>
    </row>
    <row r="1207" spans="1:20">
      <c r="A1207" s="9" t="s">
        <v>829</v>
      </c>
      <c r="B1207" s="30" t="s">
        <v>906</v>
      </c>
      <c r="C1207" s="30" t="str">
        <f>CONCATENATE(VOL_VOLUMEN_SUMINISTROS[[#This Row],[Proyecto]],VOL_VOLUMEN_SUMINISTROS[[#This Row],[J]],VOL_VOLUMEN_SUMINISTROS[[#This Row],[FIN DE SEMANA]])</f>
        <v>1052-1MNO</v>
      </c>
      <c r="D1207" s="365" t="str">
        <f>CONCATENATE(VOL_VOLUMEN_SUMINISTROS[[#This Row],[Grupo]],VOL_VOLUMEN_SUMINISTROS[[#This Row],[Proyecto]],VOL_VOLUMEN_SUMINISTROS[[#This Row],[FIN DE SEMANA]])</f>
        <v>201052-1NO</v>
      </c>
      <c r="E1207" s="30" t="s">
        <v>147</v>
      </c>
      <c r="F1207" s="30" t="s">
        <v>148</v>
      </c>
      <c r="G1207" s="365">
        <v>20</v>
      </c>
      <c r="H1207" s="30">
        <v>11</v>
      </c>
      <c r="I1207" s="9" t="s">
        <v>803</v>
      </c>
      <c r="J1207" s="9" t="s">
        <v>911</v>
      </c>
      <c r="K1207" s="30">
        <v>2</v>
      </c>
      <c r="L1207" s="9" t="s">
        <v>912</v>
      </c>
      <c r="M1207" s="30" t="s">
        <v>84</v>
      </c>
      <c r="N1207" s="30" t="s">
        <v>152</v>
      </c>
      <c r="O1207" s="24">
        <v>212</v>
      </c>
      <c r="P1207" s="24">
        <v>119</v>
      </c>
      <c r="Q1207" s="24">
        <v>17</v>
      </c>
      <c r="R1207" s="24">
        <v>0</v>
      </c>
      <c r="S1207" s="24">
        <v>0</v>
      </c>
      <c r="T1207" s="24">
        <v>348</v>
      </c>
    </row>
    <row r="1208" spans="1:20">
      <c r="A1208" s="9" t="s">
        <v>829</v>
      </c>
      <c r="B1208" s="30" t="s">
        <v>906</v>
      </c>
      <c r="C1208" s="30" t="str">
        <f>CONCATENATE(VOL_VOLUMEN_SUMINISTROS[[#This Row],[Proyecto]],VOL_VOLUMEN_SUMINISTROS[[#This Row],[J]],VOL_VOLUMEN_SUMINISTROS[[#This Row],[FIN DE SEMANA]])</f>
        <v>1052-1TNO</v>
      </c>
      <c r="D1208" s="365" t="str">
        <f>CONCATENATE(VOL_VOLUMEN_SUMINISTROS[[#This Row],[Grupo]],VOL_VOLUMEN_SUMINISTROS[[#This Row],[Proyecto]],VOL_VOLUMEN_SUMINISTROS[[#This Row],[FIN DE SEMANA]])</f>
        <v>201052-1NO</v>
      </c>
      <c r="E1208" s="30" t="s">
        <v>147</v>
      </c>
      <c r="F1208" s="30" t="s">
        <v>148</v>
      </c>
      <c r="G1208" s="365">
        <v>20</v>
      </c>
      <c r="H1208" s="30">
        <v>11</v>
      </c>
      <c r="I1208" s="9" t="s">
        <v>803</v>
      </c>
      <c r="J1208" s="9" t="s">
        <v>911</v>
      </c>
      <c r="K1208" s="30">
        <v>2</v>
      </c>
      <c r="L1208" s="9" t="s">
        <v>913</v>
      </c>
      <c r="M1208" s="30" t="s">
        <v>84</v>
      </c>
      <c r="N1208" s="30" t="s">
        <v>155</v>
      </c>
      <c r="O1208" s="24">
        <v>206</v>
      </c>
      <c r="P1208" s="24">
        <v>118</v>
      </c>
      <c r="Q1208" s="24">
        <v>17</v>
      </c>
      <c r="R1208" s="24">
        <v>0</v>
      </c>
      <c r="S1208" s="24">
        <v>0</v>
      </c>
      <c r="T1208" s="24">
        <v>341</v>
      </c>
    </row>
    <row r="1209" spans="1:20">
      <c r="A1209" s="9" t="s">
        <v>829</v>
      </c>
      <c r="B1209" s="30" t="s">
        <v>906</v>
      </c>
      <c r="C1209" s="30" t="str">
        <f>CONCATENATE(VOL_VOLUMEN_SUMINISTROS[[#This Row],[Proyecto]],VOL_VOLUMEN_SUMINISTROS[[#This Row],[J]],VOL_VOLUMEN_SUMINISTROS[[#This Row],[FIN DE SEMANA]])</f>
        <v>1052-1MNO</v>
      </c>
      <c r="D1209" s="365" t="str">
        <f>CONCATENATE(VOL_VOLUMEN_SUMINISTROS[[#This Row],[Grupo]],VOL_VOLUMEN_SUMINISTROS[[#This Row],[Proyecto]],VOL_VOLUMEN_SUMINISTROS[[#This Row],[FIN DE SEMANA]])</f>
        <v>201052-1NO</v>
      </c>
      <c r="E1209" s="30" t="s">
        <v>147</v>
      </c>
      <c r="F1209" s="30" t="s">
        <v>148</v>
      </c>
      <c r="G1209" s="365">
        <v>20</v>
      </c>
      <c r="H1209" s="30">
        <v>11</v>
      </c>
      <c r="I1209" s="9" t="s">
        <v>803</v>
      </c>
      <c r="J1209" s="9" t="s">
        <v>914</v>
      </c>
      <c r="K1209" s="30">
        <v>1</v>
      </c>
      <c r="L1209" s="9" t="s">
        <v>915</v>
      </c>
      <c r="M1209" s="30" t="s">
        <v>84</v>
      </c>
      <c r="N1209" s="30" t="s">
        <v>152</v>
      </c>
      <c r="O1209" s="24">
        <v>0</v>
      </c>
      <c r="P1209" s="24">
        <v>120</v>
      </c>
      <c r="Q1209" s="24">
        <v>350</v>
      </c>
      <c r="R1209" s="24">
        <v>0</v>
      </c>
      <c r="S1209" s="24">
        <v>0</v>
      </c>
      <c r="T1209" s="24">
        <v>470</v>
      </c>
    </row>
    <row r="1210" spans="1:20">
      <c r="A1210" s="9" t="s">
        <v>829</v>
      </c>
      <c r="B1210" s="30" t="s">
        <v>906</v>
      </c>
      <c r="C1210" s="30" t="str">
        <f>CONCATENATE(VOL_VOLUMEN_SUMINISTROS[[#This Row],[Proyecto]],VOL_VOLUMEN_SUMINISTROS[[#This Row],[J]],VOL_VOLUMEN_SUMINISTROS[[#This Row],[FIN DE SEMANA]])</f>
        <v>1052-1TNO</v>
      </c>
      <c r="D1210" s="365" t="str">
        <f>CONCATENATE(VOL_VOLUMEN_SUMINISTROS[[#This Row],[Grupo]],VOL_VOLUMEN_SUMINISTROS[[#This Row],[Proyecto]],VOL_VOLUMEN_SUMINISTROS[[#This Row],[FIN DE SEMANA]])</f>
        <v>201052-1NO</v>
      </c>
      <c r="E1210" s="30" t="s">
        <v>147</v>
      </c>
      <c r="F1210" s="30" t="s">
        <v>148</v>
      </c>
      <c r="G1210" s="365">
        <v>20</v>
      </c>
      <c r="H1210" s="30">
        <v>11</v>
      </c>
      <c r="I1210" s="9" t="s">
        <v>803</v>
      </c>
      <c r="J1210" s="9" t="s">
        <v>914</v>
      </c>
      <c r="K1210" s="30">
        <v>1</v>
      </c>
      <c r="L1210" s="9" t="s">
        <v>915</v>
      </c>
      <c r="M1210" s="30" t="s">
        <v>84</v>
      </c>
      <c r="N1210" s="30" t="s">
        <v>155</v>
      </c>
      <c r="O1210" s="24">
        <v>0</v>
      </c>
      <c r="P1210" s="24">
        <v>114</v>
      </c>
      <c r="Q1210" s="24">
        <v>290</v>
      </c>
      <c r="R1210" s="24">
        <v>0</v>
      </c>
      <c r="S1210" s="24">
        <v>0</v>
      </c>
      <c r="T1210" s="24">
        <v>404</v>
      </c>
    </row>
    <row r="1211" spans="1:20">
      <c r="A1211" s="9" t="s">
        <v>829</v>
      </c>
      <c r="B1211" s="30" t="s">
        <v>906</v>
      </c>
      <c r="C1211" s="30" t="str">
        <f>CONCATENATE(VOL_VOLUMEN_SUMINISTROS[[#This Row],[Proyecto]],VOL_VOLUMEN_SUMINISTROS[[#This Row],[J]],VOL_VOLUMEN_SUMINISTROS[[#This Row],[FIN DE SEMANA]])</f>
        <v>1052-1MNO</v>
      </c>
      <c r="D1211" s="365" t="str">
        <f>CONCATENATE(VOL_VOLUMEN_SUMINISTROS[[#This Row],[Grupo]],VOL_VOLUMEN_SUMINISTROS[[#This Row],[Proyecto]],VOL_VOLUMEN_SUMINISTROS[[#This Row],[FIN DE SEMANA]])</f>
        <v>201052-1NO</v>
      </c>
      <c r="E1211" s="30" t="s">
        <v>147</v>
      </c>
      <c r="F1211" s="30" t="s">
        <v>148</v>
      </c>
      <c r="G1211" s="365">
        <v>20</v>
      </c>
      <c r="H1211" s="30">
        <v>11</v>
      </c>
      <c r="I1211" s="9" t="s">
        <v>803</v>
      </c>
      <c r="J1211" s="9" t="s">
        <v>914</v>
      </c>
      <c r="K1211" s="30">
        <v>2</v>
      </c>
      <c r="L1211" s="9" t="s">
        <v>916</v>
      </c>
      <c r="M1211" s="30" t="s">
        <v>84</v>
      </c>
      <c r="N1211" s="30" t="s">
        <v>152</v>
      </c>
      <c r="O1211" s="24">
        <v>140</v>
      </c>
      <c r="P1211" s="24">
        <v>148</v>
      </c>
      <c r="Q1211" s="24">
        <v>34</v>
      </c>
      <c r="R1211" s="24">
        <v>0</v>
      </c>
      <c r="S1211" s="24">
        <v>0</v>
      </c>
      <c r="T1211" s="24">
        <v>322</v>
      </c>
    </row>
    <row r="1212" spans="1:20">
      <c r="A1212" s="9" t="s">
        <v>829</v>
      </c>
      <c r="B1212" s="30" t="s">
        <v>906</v>
      </c>
      <c r="C1212" s="30" t="str">
        <f>CONCATENATE(VOL_VOLUMEN_SUMINISTROS[[#This Row],[Proyecto]],VOL_VOLUMEN_SUMINISTROS[[#This Row],[J]],VOL_VOLUMEN_SUMINISTROS[[#This Row],[FIN DE SEMANA]])</f>
        <v>1052-1TNO</v>
      </c>
      <c r="D1212" s="365" t="str">
        <f>CONCATENATE(VOL_VOLUMEN_SUMINISTROS[[#This Row],[Grupo]],VOL_VOLUMEN_SUMINISTROS[[#This Row],[Proyecto]],VOL_VOLUMEN_SUMINISTROS[[#This Row],[FIN DE SEMANA]])</f>
        <v>201052-1NO</v>
      </c>
      <c r="E1212" s="30" t="s">
        <v>147</v>
      </c>
      <c r="F1212" s="30" t="s">
        <v>148</v>
      </c>
      <c r="G1212" s="365">
        <v>20</v>
      </c>
      <c r="H1212" s="30">
        <v>11</v>
      </c>
      <c r="I1212" s="9" t="s">
        <v>803</v>
      </c>
      <c r="J1212" s="9" t="s">
        <v>914</v>
      </c>
      <c r="K1212" s="30">
        <v>2</v>
      </c>
      <c r="L1212" s="9" t="s">
        <v>916</v>
      </c>
      <c r="M1212" s="30" t="s">
        <v>84</v>
      </c>
      <c r="N1212" s="30" t="s">
        <v>155</v>
      </c>
      <c r="O1212" s="24">
        <v>138</v>
      </c>
      <c r="P1212" s="24">
        <v>147</v>
      </c>
      <c r="Q1212" s="24">
        <v>34</v>
      </c>
      <c r="R1212" s="24">
        <v>0</v>
      </c>
      <c r="S1212" s="24">
        <v>0</v>
      </c>
      <c r="T1212" s="24">
        <v>319</v>
      </c>
    </row>
    <row r="1213" spans="1:20">
      <c r="A1213" s="9" t="s">
        <v>829</v>
      </c>
      <c r="B1213" s="30" t="s">
        <v>906</v>
      </c>
      <c r="C1213" s="30" t="str">
        <f>CONCATENATE(VOL_VOLUMEN_SUMINISTROS[[#This Row],[Proyecto]],VOL_VOLUMEN_SUMINISTROS[[#This Row],[J]],VOL_VOLUMEN_SUMINISTROS[[#This Row],[FIN DE SEMANA]])</f>
        <v>1052-1MNO</v>
      </c>
      <c r="D1213" s="365" t="str">
        <f>CONCATENATE(VOL_VOLUMEN_SUMINISTROS[[#This Row],[Grupo]],VOL_VOLUMEN_SUMINISTROS[[#This Row],[Proyecto]],VOL_VOLUMEN_SUMINISTROS[[#This Row],[FIN DE SEMANA]])</f>
        <v>201052-1NO</v>
      </c>
      <c r="E1213" s="30" t="s">
        <v>147</v>
      </c>
      <c r="F1213" s="30" t="s">
        <v>148</v>
      </c>
      <c r="G1213" s="365">
        <v>20</v>
      </c>
      <c r="H1213" s="30">
        <v>11</v>
      </c>
      <c r="I1213" s="9" t="s">
        <v>803</v>
      </c>
      <c r="J1213" s="9" t="s">
        <v>917</v>
      </c>
      <c r="K1213" s="30">
        <v>1</v>
      </c>
      <c r="L1213" s="9" t="s">
        <v>918</v>
      </c>
      <c r="M1213" s="30" t="s">
        <v>84</v>
      </c>
      <c r="N1213" s="30" t="s">
        <v>152</v>
      </c>
      <c r="O1213" s="24">
        <v>22</v>
      </c>
      <c r="P1213" s="24">
        <v>170</v>
      </c>
      <c r="Q1213" s="24">
        <v>53</v>
      </c>
      <c r="R1213" s="24">
        <v>0</v>
      </c>
      <c r="S1213" s="24">
        <v>0</v>
      </c>
      <c r="T1213" s="24">
        <v>245</v>
      </c>
    </row>
    <row r="1214" spans="1:20">
      <c r="A1214" s="9" t="s">
        <v>829</v>
      </c>
      <c r="B1214" s="30" t="s">
        <v>906</v>
      </c>
      <c r="C1214" s="30" t="str">
        <f>CONCATENATE(VOL_VOLUMEN_SUMINISTROS[[#This Row],[Proyecto]],VOL_VOLUMEN_SUMINISTROS[[#This Row],[J]],VOL_VOLUMEN_SUMINISTROS[[#This Row],[FIN DE SEMANA]])</f>
        <v>1052-1TNO</v>
      </c>
      <c r="D1214" s="365" t="str">
        <f>CONCATENATE(VOL_VOLUMEN_SUMINISTROS[[#This Row],[Grupo]],VOL_VOLUMEN_SUMINISTROS[[#This Row],[Proyecto]],VOL_VOLUMEN_SUMINISTROS[[#This Row],[FIN DE SEMANA]])</f>
        <v>201052-1NO</v>
      </c>
      <c r="E1214" s="30" t="s">
        <v>147</v>
      </c>
      <c r="F1214" s="30" t="s">
        <v>148</v>
      </c>
      <c r="G1214" s="365">
        <v>20</v>
      </c>
      <c r="H1214" s="30">
        <v>11</v>
      </c>
      <c r="I1214" s="9" t="s">
        <v>803</v>
      </c>
      <c r="J1214" s="9" t="s">
        <v>917</v>
      </c>
      <c r="K1214" s="30">
        <v>1</v>
      </c>
      <c r="L1214" s="9" t="s">
        <v>918</v>
      </c>
      <c r="M1214" s="30" t="s">
        <v>84</v>
      </c>
      <c r="N1214" s="30" t="s">
        <v>155</v>
      </c>
      <c r="O1214" s="24">
        <v>0</v>
      </c>
      <c r="P1214" s="24">
        <v>99</v>
      </c>
      <c r="Q1214" s="24">
        <v>146</v>
      </c>
      <c r="R1214" s="24">
        <v>0</v>
      </c>
      <c r="S1214" s="24">
        <v>0</v>
      </c>
      <c r="T1214" s="24">
        <v>245</v>
      </c>
    </row>
    <row r="1215" spans="1:20">
      <c r="A1215" s="9" t="s">
        <v>829</v>
      </c>
      <c r="B1215" s="30" t="s">
        <v>906</v>
      </c>
      <c r="C1215" s="30" t="str">
        <f>CONCATENATE(VOL_VOLUMEN_SUMINISTROS[[#This Row],[Proyecto]],VOL_VOLUMEN_SUMINISTROS[[#This Row],[J]],VOL_VOLUMEN_SUMINISTROS[[#This Row],[FIN DE SEMANA]])</f>
        <v>1052-1MNO</v>
      </c>
      <c r="D1215" s="365" t="str">
        <f>CONCATENATE(VOL_VOLUMEN_SUMINISTROS[[#This Row],[Grupo]],VOL_VOLUMEN_SUMINISTROS[[#This Row],[Proyecto]],VOL_VOLUMEN_SUMINISTROS[[#This Row],[FIN DE SEMANA]])</f>
        <v>201052-1NO</v>
      </c>
      <c r="E1215" s="30" t="s">
        <v>147</v>
      </c>
      <c r="F1215" s="30" t="s">
        <v>148</v>
      </c>
      <c r="G1215" s="365">
        <v>20</v>
      </c>
      <c r="H1215" s="30">
        <v>11</v>
      </c>
      <c r="I1215" s="9" t="s">
        <v>803</v>
      </c>
      <c r="J1215" s="9" t="s">
        <v>917</v>
      </c>
      <c r="K1215" s="30">
        <v>2</v>
      </c>
      <c r="L1215" s="9" t="s">
        <v>919</v>
      </c>
      <c r="M1215" s="30" t="s">
        <v>84</v>
      </c>
      <c r="N1215" s="30" t="s">
        <v>152</v>
      </c>
      <c r="O1215" s="24">
        <v>0</v>
      </c>
      <c r="P1215" s="24">
        <v>27</v>
      </c>
      <c r="Q1215" s="24">
        <v>278</v>
      </c>
      <c r="R1215" s="24">
        <v>0</v>
      </c>
      <c r="S1215" s="24">
        <v>0</v>
      </c>
      <c r="T1215" s="24">
        <v>305</v>
      </c>
    </row>
    <row r="1216" spans="1:20">
      <c r="A1216" s="9" t="s">
        <v>829</v>
      </c>
      <c r="B1216" s="30" t="s">
        <v>906</v>
      </c>
      <c r="C1216" s="30" t="str">
        <f>CONCATENATE(VOL_VOLUMEN_SUMINISTROS[[#This Row],[Proyecto]],VOL_VOLUMEN_SUMINISTROS[[#This Row],[J]],VOL_VOLUMEN_SUMINISTROS[[#This Row],[FIN DE SEMANA]])</f>
        <v>1052-1TNO</v>
      </c>
      <c r="D1216" s="365" t="str">
        <f>CONCATENATE(VOL_VOLUMEN_SUMINISTROS[[#This Row],[Grupo]],VOL_VOLUMEN_SUMINISTROS[[#This Row],[Proyecto]],VOL_VOLUMEN_SUMINISTROS[[#This Row],[FIN DE SEMANA]])</f>
        <v>201052-1NO</v>
      </c>
      <c r="E1216" s="30" t="s">
        <v>147</v>
      </c>
      <c r="F1216" s="30" t="s">
        <v>148</v>
      </c>
      <c r="G1216" s="365">
        <v>20</v>
      </c>
      <c r="H1216" s="30">
        <v>11</v>
      </c>
      <c r="I1216" s="9" t="s">
        <v>803</v>
      </c>
      <c r="J1216" s="9" t="s">
        <v>917</v>
      </c>
      <c r="K1216" s="30">
        <v>2</v>
      </c>
      <c r="L1216" s="9" t="s">
        <v>919</v>
      </c>
      <c r="M1216" s="30" t="s">
        <v>84</v>
      </c>
      <c r="N1216" s="30" t="s">
        <v>155</v>
      </c>
      <c r="O1216" s="24">
        <v>0</v>
      </c>
      <c r="P1216" s="24">
        <v>120</v>
      </c>
      <c r="Q1216" s="24">
        <v>196</v>
      </c>
      <c r="R1216" s="24">
        <v>0</v>
      </c>
      <c r="S1216" s="24">
        <v>0</v>
      </c>
      <c r="T1216" s="24">
        <v>316</v>
      </c>
    </row>
    <row r="1217" spans="1:20">
      <c r="A1217" s="9" t="s">
        <v>829</v>
      </c>
      <c r="B1217" s="30" t="s">
        <v>906</v>
      </c>
      <c r="C1217" s="30" t="str">
        <f>CONCATENATE(VOL_VOLUMEN_SUMINISTROS[[#This Row],[Proyecto]],VOL_VOLUMEN_SUMINISTROS[[#This Row],[J]],VOL_VOLUMEN_SUMINISTROS[[#This Row],[FIN DE SEMANA]])</f>
        <v>1052-1MNO</v>
      </c>
      <c r="D1217" s="365" t="str">
        <f>CONCATENATE(VOL_VOLUMEN_SUMINISTROS[[#This Row],[Grupo]],VOL_VOLUMEN_SUMINISTROS[[#This Row],[Proyecto]],VOL_VOLUMEN_SUMINISTROS[[#This Row],[FIN DE SEMANA]])</f>
        <v>201052-1NO</v>
      </c>
      <c r="E1217" s="30" t="s">
        <v>147</v>
      </c>
      <c r="F1217" s="30" t="s">
        <v>148</v>
      </c>
      <c r="G1217" s="365">
        <v>20</v>
      </c>
      <c r="H1217" s="30">
        <v>11</v>
      </c>
      <c r="I1217" s="9" t="s">
        <v>803</v>
      </c>
      <c r="J1217" s="9" t="s">
        <v>917</v>
      </c>
      <c r="K1217" s="30">
        <v>3</v>
      </c>
      <c r="L1217" s="9" t="s">
        <v>920</v>
      </c>
      <c r="M1217" s="30" t="s">
        <v>84</v>
      </c>
      <c r="N1217" s="30" t="s">
        <v>152</v>
      </c>
      <c r="O1217" s="24">
        <v>166</v>
      </c>
      <c r="P1217" s="24">
        <v>57</v>
      </c>
      <c r="Q1217" s="24">
        <v>0</v>
      </c>
      <c r="R1217" s="24">
        <v>0</v>
      </c>
      <c r="S1217" s="24">
        <v>0</v>
      </c>
      <c r="T1217" s="24">
        <v>223</v>
      </c>
    </row>
    <row r="1218" spans="1:20">
      <c r="A1218" s="9" t="s">
        <v>829</v>
      </c>
      <c r="B1218" s="30" t="s">
        <v>906</v>
      </c>
      <c r="C1218" s="30" t="str">
        <f>CONCATENATE(VOL_VOLUMEN_SUMINISTROS[[#This Row],[Proyecto]],VOL_VOLUMEN_SUMINISTROS[[#This Row],[J]],VOL_VOLUMEN_SUMINISTROS[[#This Row],[FIN DE SEMANA]])</f>
        <v>1052-1TNO</v>
      </c>
      <c r="D1218" s="365" t="str">
        <f>CONCATENATE(VOL_VOLUMEN_SUMINISTROS[[#This Row],[Grupo]],VOL_VOLUMEN_SUMINISTROS[[#This Row],[Proyecto]],VOL_VOLUMEN_SUMINISTROS[[#This Row],[FIN DE SEMANA]])</f>
        <v>201052-1NO</v>
      </c>
      <c r="E1218" s="30" t="s">
        <v>147</v>
      </c>
      <c r="F1218" s="30" t="s">
        <v>148</v>
      </c>
      <c r="G1218" s="365">
        <v>20</v>
      </c>
      <c r="H1218" s="30">
        <v>11</v>
      </c>
      <c r="I1218" s="9" t="s">
        <v>803</v>
      </c>
      <c r="J1218" s="9" t="s">
        <v>917</v>
      </c>
      <c r="K1218" s="30">
        <v>3</v>
      </c>
      <c r="L1218" s="9" t="s">
        <v>920</v>
      </c>
      <c r="M1218" s="30" t="s">
        <v>84</v>
      </c>
      <c r="N1218" s="30" t="s">
        <v>155</v>
      </c>
      <c r="O1218" s="24">
        <v>158</v>
      </c>
      <c r="P1218" s="24">
        <v>56</v>
      </c>
      <c r="Q1218" s="24">
        <v>0</v>
      </c>
      <c r="R1218" s="24">
        <v>0</v>
      </c>
      <c r="S1218" s="24">
        <v>0</v>
      </c>
      <c r="T1218" s="24">
        <v>214</v>
      </c>
    </row>
    <row r="1219" spans="1:20">
      <c r="A1219" s="9" t="s">
        <v>829</v>
      </c>
      <c r="B1219" s="30" t="s">
        <v>906</v>
      </c>
      <c r="C1219" s="30" t="str">
        <f>CONCATENATE(VOL_VOLUMEN_SUMINISTROS[[#This Row],[Proyecto]],VOL_VOLUMEN_SUMINISTROS[[#This Row],[J]],VOL_VOLUMEN_SUMINISTROS[[#This Row],[FIN DE SEMANA]])</f>
        <v>1052-1TNO</v>
      </c>
      <c r="D1219" s="365" t="str">
        <f>CONCATENATE(VOL_VOLUMEN_SUMINISTROS[[#This Row],[Grupo]],VOL_VOLUMEN_SUMINISTROS[[#This Row],[Proyecto]],VOL_VOLUMEN_SUMINISTROS[[#This Row],[FIN DE SEMANA]])</f>
        <v>201052-1NO</v>
      </c>
      <c r="E1219" s="30" t="s">
        <v>147</v>
      </c>
      <c r="F1219" s="30" t="s">
        <v>148</v>
      </c>
      <c r="G1219" s="365">
        <v>20</v>
      </c>
      <c r="H1219" s="30">
        <v>11</v>
      </c>
      <c r="I1219" s="9" t="s">
        <v>803</v>
      </c>
      <c r="J1219" s="9" t="s">
        <v>921</v>
      </c>
      <c r="K1219" s="30">
        <v>1</v>
      </c>
      <c r="L1219" s="9" t="s">
        <v>922</v>
      </c>
      <c r="M1219" s="30" t="s">
        <v>84</v>
      </c>
      <c r="N1219" s="30" t="s">
        <v>155</v>
      </c>
      <c r="O1219" s="24">
        <v>0</v>
      </c>
      <c r="P1219" s="24">
        <v>108</v>
      </c>
      <c r="Q1219" s="24">
        <v>243</v>
      </c>
      <c r="R1219" s="24">
        <v>0</v>
      </c>
      <c r="S1219" s="24">
        <v>0</v>
      </c>
      <c r="T1219" s="24">
        <v>351</v>
      </c>
    </row>
    <row r="1220" spans="1:20">
      <c r="A1220" s="9" t="s">
        <v>829</v>
      </c>
      <c r="B1220" s="30" t="s">
        <v>906</v>
      </c>
      <c r="C1220" s="30" t="str">
        <f>CONCATENATE(VOL_VOLUMEN_SUMINISTROS[[#This Row],[Proyecto]],VOL_VOLUMEN_SUMINISTROS[[#This Row],[J]],VOL_VOLUMEN_SUMINISTROS[[#This Row],[FIN DE SEMANA]])</f>
        <v>1052-1MNO</v>
      </c>
      <c r="D1220" s="365" t="str">
        <f>CONCATENATE(VOL_VOLUMEN_SUMINISTROS[[#This Row],[Grupo]],VOL_VOLUMEN_SUMINISTROS[[#This Row],[Proyecto]],VOL_VOLUMEN_SUMINISTROS[[#This Row],[FIN DE SEMANA]])</f>
        <v>201052-1NO</v>
      </c>
      <c r="E1220" s="30" t="s">
        <v>147</v>
      </c>
      <c r="F1220" s="30" t="s">
        <v>148</v>
      </c>
      <c r="G1220" s="365">
        <v>20</v>
      </c>
      <c r="H1220" s="30">
        <v>11</v>
      </c>
      <c r="I1220" s="9" t="s">
        <v>803</v>
      </c>
      <c r="J1220" s="9" t="s">
        <v>921</v>
      </c>
      <c r="K1220" s="30">
        <v>2</v>
      </c>
      <c r="L1220" s="9" t="s">
        <v>165</v>
      </c>
      <c r="M1220" s="30" t="s">
        <v>84</v>
      </c>
      <c r="N1220" s="30" t="s">
        <v>152</v>
      </c>
      <c r="O1220" s="24">
        <v>94</v>
      </c>
      <c r="P1220" s="24">
        <v>112</v>
      </c>
      <c r="Q1220" s="24">
        <v>26</v>
      </c>
      <c r="R1220" s="24">
        <v>0</v>
      </c>
      <c r="S1220" s="24">
        <v>0</v>
      </c>
      <c r="T1220" s="24">
        <v>232</v>
      </c>
    </row>
    <row r="1221" spans="1:20">
      <c r="A1221" s="9" t="s">
        <v>829</v>
      </c>
      <c r="B1221" s="30" t="s">
        <v>906</v>
      </c>
      <c r="C1221" s="30" t="str">
        <f>CONCATENATE(VOL_VOLUMEN_SUMINISTROS[[#This Row],[Proyecto]],VOL_VOLUMEN_SUMINISTROS[[#This Row],[J]],VOL_VOLUMEN_SUMINISTROS[[#This Row],[FIN DE SEMANA]])</f>
        <v>1052-1TNO</v>
      </c>
      <c r="D1221" s="365" t="str">
        <f>CONCATENATE(VOL_VOLUMEN_SUMINISTROS[[#This Row],[Grupo]],VOL_VOLUMEN_SUMINISTROS[[#This Row],[Proyecto]],VOL_VOLUMEN_SUMINISTROS[[#This Row],[FIN DE SEMANA]])</f>
        <v>201052-1NO</v>
      </c>
      <c r="E1221" s="30" t="s">
        <v>147</v>
      </c>
      <c r="F1221" s="30" t="s">
        <v>148</v>
      </c>
      <c r="G1221" s="365">
        <v>20</v>
      </c>
      <c r="H1221" s="30">
        <v>11</v>
      </c>
      <c r="I1221" s="9" t="s">
        <v>803</v>
      </c>
      <c r="J1221" s="9" t="s">
        <v>921</v>
      </c>
      <c r="K1221" s="30">
        <v>2</v>
      </c>
      <c r="L1221" s="9" t="s">
        <v>165</v>
      </c>
      <c r="M1221" s="30" t="s">
        <v>84</v>
      </c>
      <c r="N1221" s="30" t="s">
        <v>155</v>
      </c>
      <c r="O1221" s="24">
        <v>118</v>
      </c>
      <c r="P1221" s="24">
        <v>87</v>
      </c>
      <c r="Q1221" s="24">
        <v>18</v>
      </c>
      <c r="R1221" s="24">
        <v>0</v>
      </c>
      <c r="S1221" s="24">
        <v>0</v>
      </c>
      <c r="T1221" s="24">
        <v>223</v>
      </c>
    </row>
    <row r="1222" spans="1:20">
      <c r="A1222" s="9" t="s">
        <v>829</v>
      </c>
      <c r="B1222" s="30" t="s">
        <v>906</v>
      </c>
      <c r="C1222" s="30" t="str">
        <f>CONCATENATE(VOL_VOLUMEN_SUMINISTROS[[#This Row],[Proyecto]],VOL_VOLUMEN_SUMINISTROS[[#This Row],[J]],VOL_VOLUMEN_SUMINISTROS[[#This Row],[FIN DE SEMANA]])</f>
        <v>1052-1MNO</v>
      </c>
      <c r="D1222" s="365" t="str">
        <f>CONCATENATE(VOL_VOLUMEN_SUMINISTROS[[#This Row],[Grupo]],VOL_VOLUMEN_SUMINISTROS[[#This Row],[Proyecto]],VOL_VOLUMEN_SUMINISTROS[[#This Row],[FIN DE SEMANA]])</f>
        <v>201052-1NO</v>
      </c>
      <c r="E1222" s="30" t="s">
        <v>147</v>
      </c>
      <c r="F1222" s="30" t="s">
        <v>148</v>
      </c>
      <c r="G1222" s="365">
        <v>20</v>
      </c>
      <c r="H1222" s="30">
        <v>11</v>
      </c>
      <c r="I1222" s="9" t="s">
        <v>803</v>
      </c>
      <c r="J1222" s="9" t="s">
        <v>921</v>
      </c>
      <c r="K1222" s="30">
        <v>3</v>
      </c>
      <c r="L1222" s="9" t="s">
        <v>923</v>
      </c>
      <c r="M1222" s="30" t="s">
        <v>84</v>
      </c>
      <c r="N1222" s="30" t="s">
        <v>152</v>
      </c>
      <c r="O1222" s="24">
        <v>112</v>
      </c>
      <c r="P1222" s="24">
        <v>188</v>
      </c>
      <c r="Q1222" s="24">
        <v>44</v>
      </c>
      <c r="R1222" s="24">
        <v>0</v>
      </c>
      <c r="S1222" s="24">
        <v>0</v>
      </c>
      <c r="T1222" s="24">
        <v>344</v>
      </c>
    </row>
    <row r="1223" spans="1:20">
      <c r="A1223" s="9" t="s">
        <v>829</v>
      </c>
      <c r="B1223" s="30" t="s">
        <v>906</v>
      </c>
      <c r="C1223" s="30" t="str">
        <f>CONCATENATE(VOL_VOLUMEN_SUMINISTROS[[#This Row],[Proyecto]],VOL_VOLUMEN_SUMINISTROS[[#This Row],[J]],VOL_VOLUMEN_SUMINISTROS[[#This Row],[FIN DE SEMANA]])</f>
        <v>1052-1TNO</v>
      </c>
      <c r="D1223" s="365" t="str">
        <f>CONCATENATE(VOL_VOLUMEN_SUMINISTROS[[#This Row],[Grupo]],VOL_VOLUMEN_SUMINISTROS[[#This Row],[Proyecto]],VOL_VOLUMEN_SUMINISTROS[[#This Row],[FIN DE SEMANA]])</f>
        <v>201052-1NO</v>
      </c>
      <c r="E1223" s="30" t="s">
        <v>147</v>
      </c>
      <c r="F1223" s="30" t="s">
        <v>148</v>
      </c>
      <c r="G1223" s="365">
        <v>20</v>
      </c>
      <c r="H1223" s="30">
        <v>11</v>
      </c>
      <c r="I1223" s="9" t="s">
        <v>803</v>
      </c>
      <c r="J1223" s="9" t="s">
        <v>921</v>
      </c>
      <c r="K1223" s="30">
        <v>3</v>
      </c>
      <c r="L1223" s="9" t="s">
        <v>923</v>
      </c>
      <c r="M1223" s="30" t="s">
        <v>84</v>
      </c>
      <c r="N1223" s="30" t="s">
        <v>155</v>
      </c>
      <c r="O1223" s="24">
        <v>0</v>
      </c>
      <c r="P1223" s="24">
        <v>252</v>
      </c>
      <c r="Q1223" s="24">
        <v>84</v>
      </c>
      <c r="R1223" s="24">
        <v>0</v>
      </c>
      <c r="S1223" s="24">
        <v>0</v>
      </c>
      <c r="T1223" s="24">
        <v>336</v>
      </c>
    </row>
    <row r="1224" spans="1:20">
      <c r="A1224" s="9" t="s">
        <v>829</v>
      </c>
      <c r="B1224" s="30" t="s">
        <v>906</v>
      </c>
      <c r="C1224" s="30" t="str">
        <f>CONCATENATE(VOL_VOLUMEN_SUMINISTROS[[#This Row],[Proyecto]],VOL_VOLUMEN_SUMINISTROS[[#This Row],[J]],VOL_VOLUMEN_SUMINISTROS[[#This Row],[FIN DE SEMANA]])</f>
        <v>1052-1MNO</v>
      </c>
      <c r="D1224" s="365" t="str">
        <f>CONCATENATE(VOL_VOLUMEN_SUMINISTROS[[#This Row],[Grupo]],VOL_VOLUMEN_SUMINISTROS[[#This Row],[Proyecto]],VOL_VOLUMEN_SUMINISTROS[[#This Row],[FIN DE SEMANA]])</f>
        <v>201052-1NO</v>
      </c>
      <c r="E1224" s="30" t="s">
        <v>147</v>
      </c>
      <c r="F1224" s="30" t="s">
        <v>148</v>
      </c>
      <c r="G1224" s="365">
        <v>20</v>
      </c>
      <c r="H1224" s="30">
        <v>11</v>
      </c>
      <c r="I1224" s="9" t="s">
        <v>803</v>
      </c>
      <c r="J1224" s="9" t="s">
        <v>921</v>
      </c>
      <c r="K1224" s="30">
        <v>4</v>
      </c>
      <c r="L1224" s="9" t="s">
        <v>924</v>
      </c>
      <c r="M1224" s="30" t="s">
        <v>84</v>
      </c>
      <c r="N1224" s="30" t="s">
        <v>152</v>
      </c>
      <c r="O1224" s="24">
        <v>93</v>
      </c>
      <c r="P1224" s="24">
        <v>34</v>
      </c>
      <c r="Q1224" s="24">
        <v>0</v>
      </c>
      <c r="R1224" s="24">
        <v>0</v>
      </c>
      <c r="S1224" s="24">
        <v>0</v>
      </c>
      <c r="T1224" s="24">
        <v>127</v>
      </c>
    </row>
    <row r="1225" spans="1:20">
      <c r="A1225" s="9" t="s">
        <v>829</v>
      </c>
      <c r="B1225" s="30" t="s">
        <v>906</v>
      </c>
      <c r="C1225" s="30" t="str">
        <f>CONCATENATE(VOL_VOLUMEN_SUMINISTROS[[#This Row],[Proyecto]],VOL_VOLUMEN_SUMINISTROS[[#This Row],[J]],VOL_VOLUMEN_SUMINISTROS[[#This Row],[FIN DE SEMANA]])</f>
        <v>1052-1TNO</v>
      </c>
      <c r="D1225" s="365" t="str">
        <f>CONCATENATE(VOL_VOLUMEN_SUMINISTROS[[#This Row],[Grupo]],VOL_VOLUMEN_SUMINISTROS[[#This Row],[Proyecto]],VOL_VOLUMEN_SUMINISTROS[[#This Row],[FIN DE SEMANA]])</f>
        <v>201052-1NO</v>
      </c>
      <c r="E1225" s="30" t="s">
        <v>147</v>
      </c>
      <c r="F1225" s="30" t="s">
        <v>148</v>
      </c>
      <c r="G1225" s="365">
        <v>20</v>
      </c>
      <c r="H1225" s="30">
        <v>11</v>
      </c>
      <c r="I1225" s="9" t="s">
        <v>803</v>
      </c>
      <c r="J1225" s="9" t="s">
        <v>921</v>
      </c>
      <c r="K1225" s="30">
        <v>4</v>
      </c>
      <c r="L1225" s="9" t="s">
        <v>924</v>
      </c>
      <c r="M1225" s="30" t="s">
        <v>84</v>
      </c>
      <c r="N1225" s="30" t="s">
        <v>155</v>
      </c>
      <c r="O1225" s="24">
        <v>89</v>
      </c>
      <c r="P1225" s="24">
        <v>33</v>
      </c>
      <c r="Q1225" s="24">
        <v>0</v>
      </c>
      <c r="R1225" s="24">
        <v>0</v>
      </c>
      <c r="S1225" s="24">
        <v>0</v>
      </c>
      <c r="T1225" s="24">
        <v>122</v>
      </c>
    </row>
    <row r="1226" spans="1:20">
      <c r="A1226" s="9" t="s">
        <v>829</v>
      </c>
      <c r="B1226" s="30" t="s">
        <v>906</v>
      </c>
      <c r="C1226" s="30" t="str">
        <f>CONCATENATE(VOL_VOLUMEN_SUMINISTROS[[#This Row],[Proyecto]],VOL_VOLUMEN_SUMINISTROS[[#This Row],[J]],VOL_VOLUMEN_SUMINISTROS[[#This Row],[FIN DE SEMANA]])</f>
        <v>1052-1MNO</v>
      </c>
      <c r="D1226" s="365" t="str">
        <f>CONCATENATE(VOL_VOLUMEN_SUMINISTROS[[#This Row],[Grupo]],VOL_VOLUMEN_SUMINISTROS[[#This Row],[Proyecto]],VOL_VOLUMEN_SUMINISTROS[[#This Row],[FIN DE SEMANA]])</f>
        <v>201052-1NO</v>
      </c>
      <c r="E1226" s="30" t="s">
        <v>147</v>
      </c>
      <c r="F1226" s="30" t="s">
        <v>148</v>
      </c>
      <c r="G1226" s="365">
        <v>20</v>
      </c>
      <c r="H1226" s="30">
        <v>11</v>
      </c>
      <c r="I1226" s="9" t="s">
        <v>803</v>
      </c>
      <c r="J1226" s="9" t="s">
        <v>925</v>
      </c>
      <c r="K1226" s="30">
        <v>2</v>
      </c>
      <c r="L1226" s="9" t="s">
        <v>926</v>
      </c>
      <c r="M1226" s="30" t="s">
        <v>84</v>
      </c>
      <c r="N1226" s="30" t="s">
        <v>152</v>
      </c>
      <c r="O1226" s="24">
        <v>381</v>
      </c>
      <c r="P1226" s="24">
        <v>257</v>
      </c>
      <c r="Q1226" s="24">
        <v>236</v>
      </c>
      <c r="R1226" s="24">
        <v>0</v>
      </c>
      <c r="S1226" s="24">
        <v>0</v>
      </c>
      <c r="T1226" s="24">
        <v>874</v>
      </c>
    </row>
    <row r="1227" spans="1:20">
      <c r="A1227" s="9" t="s">
        <v>829</v>
      </c>
      <c r="B1227" s="30" t="s">
        <v>906</v>
      </c>
      <c r="C1227" s="30" t="str">
        <f>CONCATENATE(VOL_VOLUMEN_SUMINISTROS[[#This Row],[Proyecto]],VOL_VOLUMEN_SUMINISTROS[[#This Row],[J]],VOL_VOLUMEN_SUMINISTROS[[#This Row],[FIN DE SEMANA]])</f>
        <v>1052-1TNO</v>
      </c>
      <c r="D1227" s="365" t="str">
        <f>CONCATENATE(VOL_VOLUMEN_SUMINISTROS[[#This Row],[Grupo]],VOL_VOLUMEN_SUMINISTROS[[#This Row],[Proyecto]],VOL_VOLUMEN_SUMINISTROS[[#This Row],[FIN DE SEMANA]])</f>
        <v>201052-1NO</v>
      </c>
      <c r="E1227" s="30" t="s">
        <v>147</v>
      </c>
      <c r="F1227" s="30" t="s">
        <v>148</v>
      </c>
      <c r="G1227" s="365">
        <v>20</v>
      </c>
      <c r="H1227" s="30">
        <v>11</v>
      </c>
      <c r="I1227" s="9" t="s">
        <v>803</v>
      </c>
      <c r="J1227" s="9" t="s">
        <v>925</v>
      </c>
      <c r="K1227" s="30">
        <v>2</v>
      </c>
      <c r="L1227" s="9" t="s">
        <v>926</v>
      </c>
      <c r="M1227" s="30" t="s">
        <v>84</v>
      </c>
      <c r="N1227" s="30" t="s">
        <v>155</v>
      </c>
      <c r="O1227" s="24">
        <v>328</v>
      </c>
      <c r="P1227" s="24">
        <v>299</v>
      </c>
      <c r="Q1227" s="24">
        <v>216</v>
      </c>
      <c r="R1227" s="24">
        <v>0</v>
      </c>
      <c r="S1227" s="24">
        <v>0</v>
      </c>
      <c r="T1227" s="24">
        <v>843</v>
      </c>
    </row>
    <row r="1228" spans="1:20">
      <c r="A1228" s="9" t="s">
        <v>829</v>
      </c>
      <c r="B1228" s="30" t="s">
        <v>906</v>
      </c>
      <c r="C1228" s="30" t="str">
        <f>CONCATENATE(VOL_VOLUMEN_SUMINISTROS[[#This Row],[Proyecto]],VOL_VOLUMEN_SUMINISTROS[[#This Row],[J]],VOL_VOLUMEN_SUMINISTROS[[#This Row],[FIN DE SEMANA]])</f>
        <v>1052-1MNO</v>
      </c>
      <c r="D1228" s="365" t="str">
        <f>CONCATENATE(VOL_VOLUMEN_SUMINISTROS[[#This Row],[Grupo]],VOL_VOLUMEN_SUMINISTROS[[#This Row],[Proyecto]],VOL_VOLUMEN_SUMINISTROS[[#This Row],[FIN DE SEMANA]])</f>
        <v>201052-1NO</v>
      </c>
      <c r="E1228" s="30" t="s">
        <v>147</v>
      </c>
      <c r="F1228" s="30" t="s">
        <v>148</v>
      </c>
      <c r="G1228" s="365">
        <v>20</v>
      </c>
      <c r="H1228" s="30">
        <v>11</v>
      </c>
      <c r="I1228" s="9" t="s">
        <v>803</v>
      </c>
      <c r="J1228" s="9" t="s">
        <v>899</v>
      </c>
      <c r="K1228" s="30">
        <v>1</v>
      </c>
      <c r="L1228" s="9" t="s">
        <v>927</v>
      </c>
      <c r="M1228" s="30" t="s">
        <v>84</v>
      </c>
      <c r="N1228" s="30" t="s">
        <v>152</v>
      </c>
      <c r="O1228" s="24">
        <v>0</v>
      </c>
      <c r="P1228" s="24">
        <v>114</v>
      </c>
      <c r="Q1228" s="24">
        <v>425</v>
      </c>
      <c r="R1228" s="24">
        <v>0</v>
      </c>
      <c r="S1228" s="24">
        <v>0</v>
      </c>
      <c r="T1228" s="24">
        <v>539</v>
      </c>
    </row>
    <row r="1229" spans="1:20">
      <c r="A1229" s="9" t="s">
        <v>829</v>
      </c>
      <c r="B1229" s="30" t="s">
        <v>906</v>
      </c>
      <c r="C1229" s="30" t="str">
        <f>CONCATENATE(VOL_VOLUMEN_SUMINISTROS[[#This Row],[Proyecto]],VOL_VOLUMEN_SUMINISTROS[[#This Row],[J]],VOL_VOLUMEN_SUMINISTROS[[#This Row],[FIN DE SEMANA]])</f>
        <v>1052-1NNO</v>
      </c>
      <c r="D1229" s="365" t="str">
        <f>CONCATENATE(VOL_VOLUMEN_SUMINISTROS[[#This Row],[Grupo]],VOL_VOLUMEN_SUMINISTROS[[#This Row],[Proyecto]],VOL_VOLUMEN_SUMINISTROS[[#This Row],[FIN DE SEMANA]])</f>
        <v>201052-1NO</v>
      </c>
      <c r="E1229" s="30" t="s">
        <v>147</v>
      </c>
      <c r="F1229" s="30" t="s">
        <v>148</v>
      </c>
      <c r="G1229" s="365">
        <v>20</v>
      </c>
      <c r="H1229" s="30">
        <v>11</v>
      </c>
      <c r="I1229" s="9" t="s">
        <v>803</v>
      </c>
      <c r="J1229" s="9" t="s">
        <v>899</v>
      </c>
      <c r="K1229" s="30">
        <v>1</v>
      </c>
      <c r="L1229" s="9" t="s">
        <v>927</v>
      </c>
      <c r="M1229" s="30" t="s">
        <v>84</v>
      </c>
      <c r="N1229" s="30" t="s">
        <v>154</v>
      </c>
      <c r="O1229" s="24">
        <v>0</v>
      </c>
      <c r="P1229" s="24">
        <v>0</v>
      </c>
      <c r="Q1229" s="24">
        <v>0</v>
      </c>
      <c r="R1229" s="24">
        <v>146</v>
      </c>
      <c r="S1229" s="24">
        <v>151</v>
      </c>
      <c r="T1229" s="24">
        <v>297</v>
      </c>
    </row>
    <row r="1230" spans="1:20">
      <c r="A1230" s="9" t="s">
        <v>829</v>
      </c>
      <c r="B1230" s="30" t="s">
        <v>906</v>
      </c>
      <c r="C1230" s="30" t="str">
        <f>CONCATENATE(VOL_VOLUMEN_SUMINISTROS[[#This Row],[Proyecto]],VOL_VOLUMEN_SUMINISTROS[[#This Row],[J]],VOL_VOLUMEN_SUMINISTROS[[#This Row],[FIN DE SEMANA]])</f>
        <v>1052-1TNO</v>
      </c>
      <c r="D1230" s="365" t="str">
        <f>CONCATENATE(VOL_VOLUMEN_SUMINISTROS[[#This Row],[Grupo]],VOL_VOLUMEN_SUMINISTROS[[#This Row],[Proyecto]],VOL_VOLUMEN_SUMINISTROS[[#This Row],[FIN DE SEMANA]])</f>
        <v>201052-1NO</v>
      </c>
      <c r="E1230" s="30" t="s">
        <v>147</v>
      </c>
      <c r="F1230" s="30" t="s">
        <v>148</v>
      </c>
      <c r="G1230" s="365">
        <v>20</v>
      </c>
      <c r="H1230" s="30">
        <v>11</v>
      </c>
      <c r="I1230" s="9" t="s">
        <v>803</v>
      </c>
      <c r="J1230" s="9" t="s">
        <v>899</v>
      </c>
      <c r="K1230" s="30">
        <v>1</v>
      </c>
      <c r="L1230" s="9" t="s">
        <v>927</v>
      </c>
      <c r="M1230" s="30" t="s">
        <v>84</v>
      </c>
      <c r="N1230" s="30" t="s">
        <v>155</v>
      </c>
      <c r="O1230" s="24">
        <v>0</v>
      </c>
      <c r="P1230" s="24">
        <v>132</v>
      </c>
      <c r="Q1230" s="24">
        <v>366</v>
      </c>
      <c r="R1230" s="24">
        <v>0</v>
      </c>
      <c r="S1230" s="24">
        <v>0</v>
      </c>
      <c r="T1230" s="24">
        <v>498</v>
      </c>
    </row>
    <row r="1231" spans="1:20">
      <c r="A1231" s="9" t="s">
        <v>829</v>
      </c>
      <c r="B1231" s="30" t="s">
        <v>906</v>
      </c>
      <c r="C1231" s="30" t="str">
        <f>CONCATENATE(VOL_VOLUMEN_SUMINISTROS[[#This Row],[Proyecto]],VOL_VOLUMEN_SUMINISTROS[[#This Row],[J]],VOL_VOLUMEN_SUMINISTROS[[#This Row],[FIN DE SEMANA]])</f>
        <v>1052-1MNO</v>
      </c>
      <c r="D1231" s="365" t="str">
        <f>CONCATENATE(VOL_VOLUMEN_SUMINISTROS[[#This Row],[Grupo]],VOL_VOLUMEN_SUMINISTROS[[#This Row],[Proyecto]],VOL_VOLUMEN_SUMINISTROS[[#This Row],[FIN DE SEMANA]])</f>
        <v>201052-1NO</v>
      </c>
      <c r="E1231" s="30" t="s">
        <v>147</v>
      </c>
      <c r="F1231" s="30" t="s">
        <v>148</v>
      </c>
      <c r="G1231" s="365">
        <v>20</v>
      </c>
      <c r="H1231" s="30">
        <v>11</v>
      </c>
      <c r="I1231" s="9" t="s">
        <v>803</v>
      </c>
      <c r="J1231" s="9" t="s">
        <v>899</v>
      </c>
      <c r="K1231" s="30">
        <v>2</v>
      </c>
      <c r="L1231" s="9" t="s">
        <v>900</v>
      </c>
      <c r="M1231" s="30" t="s">
        <v>84</v>
      </c>
      <c r="N1231" s="30" t="s">
        <v>152</v>
      </c>
      <c r="O1231" s="24">
        <v>412</v>
      </c>
      <c r="P1231" s="24">
        <v>355</v>
      </c>
      <c r="Q1231" s="24">
        <v>262</v>
      </c>
      <c r="R1231" s="24">
        <v>0</v>
      </c>
      <c r="S1231" s="24">
        <v>0</v>
      </c>
      <c r="T1231" s="24">
        <v>1029</v>
      </c>
    </row>
    <row r="1232" spans="1:20">
      <c r="A1232" s="9" t="s">
        <v>829</v>
      </c>
      <c r="B1232" s="30" t="s">
        <v>906</v>
      </c>
      <c r="C1232" s="30" t="str">
        <f>CONCATENATE(VOL_VOLUMEN_SUMINISTROS[[#This Row],[Proyecto]],VOL_VOLUMEN_SUMINISTROS[[#This Row],[J]],VOL_VOLUMEN_SUMINISTROS[[#This Row],[FIN DE SEMANA]])</f>
        <v>1052-1TNO</v>
      </c>
      <c r="D1232" s="365" t="str">
        <f>CONCATENATE(VOL_VOLUMEN_SUMINISTROS[[#This Row],[Grupo]],VOL_VOLUMEN_SUMINISTROS[[#This Row],[Proyecto]],VOL_VOLUMEN_SUMINISTROS[[#This Row],[FIN DE SEMANA]])</f>
        <v>201052-1NO</v>
      </c>
      <c r="E1232" s="30" t="s">
        <v>147</v>
      </c>
      <c r="F1232" s="30" t="s">
        <v>148</v>
      </c>
      <c r="G1232" s="365">
        <v>20</v>
      </c>
      <c r="H1232" s="30">
        <v>11</v>
      </c>
      <c r="I1232" s="9" t="s">
        <v>803</v>
      </c>
      <c r="J1232" s="9" t="s">
        <v>899</v>
      </c>
      <c r="K1232" s="30">
        <v>2</v>
      </c>
      <c r="L1232" s="9" t="s">
        <v>900</v>
      </c>
      <c r="M1232" s="30" t="s">
        <v>84</v>
      </c>
      <c r="N1232" s="30" t="s">
        <v>155</v>
      </c>
      <c r="O1232" s="24">
        <v>413</v>
      </c>
      <c r="P1232" s="24">
        <v>355</v>
      </c>
      <c r="Q1232" s="24">
        <v>297</v>
      </c>
      <c r="R1232" s="24">
        <v>0</v>
      </c>
      <c r="S1232" s="24">
        <v>0</v>
      </c>
      <c r="T1232" s="24">
        <v>1065</v>
      </c>
    </row>
    <row r="1233" spans="1:20">
      <c r="A1233" s="9" t="s">
        <v>829</v>
      </c>
      <c r="B1233" s="30" t="s">
        <v>906</v>
      </c>
      <c r="C1233" s="30" t="str">
        <f>CONCATENATE(VOL_VOLUMEN_SUMINISTROS[[#This Row],[Proyecto]],VOL_VOLUMEN_SUMINISTROS[[#This Row],[J]],VOL_VOLUMEN_SUMINISTROS[[#This Row],[FIN DE SEMANA]])</f>
        <v>1052-1MNO</v>
      </c>
      <c r="D1233" s="365" t="str">
        <f>CONCATENATE(VOL_VOLUMEN_SUMINISTROS[[#This Row],[Grupo]],VOL_VOLUMEN_SUMINISTROS[[#This Row],[Proyecto]],VOL_VOLUMEN_SUMINISTROS[[#This Row],[FIN DE SEMANA]])</f>
        <v>201052-1NO</v>
      </c>
      <c r="E1233" s="30" t="s">
        <v>147</v>
      </c>
      <c r="F1233" s="30" t="s">
        <v>148</v>
      </c>
      <c r="G1233" s="365">
        <v>20</v>
      </c>
      <c r="H1233" s="30">
        <v>11</v>
      </c>
      <c r="I1233" s="9" t="s">
        <v>803</v>
      </c>
      <c r="J1233" s="9" t="s">
        <v>928</v>
      </c>
      <c r="K1233" s="30">
        <v>1</v>
      </c>
      <c r="L1233" s="9" t="s">
        <v>929</v>
      </c>
      <c r="M1233" s="30" t="s">
        <v>84</v>
      </c>
      <c r="N1233" s="30" t="s">
        <v>152</v>
      </c>
      <c r="O1233" s="24">
        <v>0</v>
      </c>
      <c r="P1233" s="24">
        <v>150</v>
      </c>
      <c r="Q1233" s="24">
        <v>145</v>
      </c>
      <c r="R1233" s="24">
        <v>0</v>
      </c>
      <c r="S1233" s="24">
        <v>0</v>
      </c>
      <c r="T1233" s="24">
        <v>295</v>
      </c>
    </row>
    <row r="1234" spans="1:20">
      <c r="A1234" s="9" t="s">
        <v>829</v>
      </c>
      <c r="B1234" s="30" t="s">
        <v>906</v>
      </c>
      <c r="C1234" s="30" t="str">
        <f>CONCATENATE(VOL_VOLUMEN_SUMINISTROS[[#This Row],[Proyecto]],VOL_VOLUMEN_SUMINISTROS[[#This Row],[J]],VOL_VOLUMEN_SUMINISTROS[[#This Row],[FIN DE SEMANA]])</f>
        <v>1052-1TNO</v>
      </c>
      <c r="D1234" s="365" t="str">
        <f>CONCATENATE(VOL_VOLUMEN_SUMINISTROS[[#This Row],[Grupo]],VOL_VOLUMEN_SUMINISTROS[[#This Row],[Proyecto]],VOL_VOLUMEN_SUMINISTROS[[#This Row],[FIN DE SEMANA]])</f>
        <v>201052-1NO</v>
      </c>
      <c r="E1234" s="30" t="s">
        <v>147</v>
      </c>
      <c r="F1234" s="30" t="s">
        <v>148</v>
      </c>
      <c r="G1234" s="365">
        <v>20</v>
      </c>
      <c r="H1234" s="30">
        <v>11</v>
      </c>
      <c r="I1234" s="9" t="s">
        <v>803</v>
      </c>
      <c r="J1234" s="9" t="s">
        <v>928</v>
      </c>
      <c r="K1234" s="30">
        <v>1</v>
      </c>
      <c r="L1234" s="9" t="s">
        <v>929</v>
      </c>
      <c r="M1234" s="30" t="s">
        <v>84</v>
      </c>
      <c r="N1234" s="30" t="s">
        <v>155</v>
      </c>
      <c r="O1234" s="24">
        <v>0</v>
      </c>
      <c r="P1234" s="24">
        <v>168</v>
      </c>
      <c r="Q1234" s="24">
        <v>111</v>
      </c>
      <c r="R1234" s="24">
        <v>0</v>
      </c>
      <c r="S1234" s="24">
        <v>0</v>
      </c>
      <c r="T1234" s="24">
        <v>279</v>
      </c>
    </row>
    <row r="1235" spans="1:20">
      <c r="A1235" s="9" t="s">
        <v>829</v>
      </c>
      <c r="B1235" s="30" t="s">
        <v>906</v>
      </c>
      <c r="C1235" s="30" t="str">
        <f>CONCATENATE(VOL_VOLUMEN_SUMINISTROS[[#This Row],[Proyecto]],VOL_VOLUMEN_SUMINISTROS[[#This Row],[J]],VOL_VOLUMEN_SUMINISTROS[[#This Row],[FIN DE SEMANA]])</f>
        <v>1052-1MNO</v>
      </c>
      <c r="D1235" s="365" t="str">
        <f>CONCATENATE(VOL_VOLUMEN_SUMINISTROS[[#This Row],[Grupo]],VOL_VOLUMEN_SUMINISTROS[[#This Row],[Proyecto]],VOL_VOLUMEN_SUMINISTROS[[#This Row],[FIN DE SEMANA]])</f>
        <v>201052-1NO</v>
      </c>
      <c r="E1235" s="30" t="s">
        <v>147</v>
      </c>
      <c r="F1235" s="30" t="s">
        <v>148</v>
      </c>
      <c r="G1235" s="365">
        <v>20</v>
      </c>
      <c r="H1235" s="30">
        <v>11</v>
      </c>
      <c r="I1235" s="9" t="s">
        <v>803</v>
      </c>
      <c r="J1235" s="9" t="s">
        <v>928</v>
      </c>
      <c r="K1235" s="30">
        <v>2</v>
      </c>
      <c r="L1235" s="9" t="s">
        <v>930</v>
      </c>
      <c r="M1235" s="30" t="s">
        <v>84</v>
      </c>
      <c r="N1235" s="30" t="s">
        <v>152</v>
      </c>
      <c r="O1235" s="24">
        <v>72</v>
      </c>
      <c r="P1235" s="24">
        <v>12</v>
      </c>
      <c r="Q1235" s="24">
        <v>114</v>
      </c>
      <c r="R1235" s="24">
        <v>0</v>
      </c>
      <c r="S1235" s="24">
        <v>0</v>
      </c>
      <c r="T1235" s="24">
        <v>198</v>
      </c>
    </row>
    <row r="1236" spans="1:20">
      <c r="A1236" s="9" t="s">
        <v>829</v>
      </c>
      <c r="B1236" s="30" t="s">
        <v>906</v>
      </c>
      <c r="C1236" s="30" t="str">
        <f>CONCATENATE(VOL_VOLUMEN_SUMINISTROS[[#This Row],[Proyecto]],VOL_VOLUMEN_SUMINISTROS[[#This Row],[J]],VOL_VOLUMEN_SUMINISTROS[[#This Row],[FIN DE SEMANA]])</f>
        <v>1052-1TNO</v>
      </c>
      <c r="D1236" s="365" t="str">
        <f>CONCATENATE(VOL_VOLUMEN_SUMINISTROS[[#This Row],[Grupo]],VOL_VOLUMEN_SUMINISTROS[[#This Row],[Proyecto]],VOL_VOLUMEN_SUMINISTROS[[#This Row],[FIN DE SEMANA]])</f>
        <v>201052-1NO</v>
      </c>
      <c r="E1236" s="30" t="s">
        <v>147</v>
      </c>
      <c r="F1236" s="30" t="s">
        <v>148</v>
      </c>
      <c r="G1236" s="365">
        <v>20</v>
      </c>
      <c r="H1236" s="30">
        <v>11</v>
      </c>
      <c r="I1236" s="9" t="s">
        <v>803</v>
      </c>
      <c r="J1236" s="9" t="s">
        <v>928</v>
      </c>
      <c r="K1236" s="30">
        <v>2</v>
      </c>
      <c r="L1236" s="9" t="s">
        <v>930</v>
      </c>
      <c r="M1236" s="30" t="s">
        <v>84</v>
      </c>
      <c r="N1236" s="30" t="s">
        <v>155</v>
      </c>
      <c r="O1236" s="24">
        <v>73</v>
      </c>
      <c r="P1236" s="24">
        <v>12</v>
      </c>
      <c r="Q1236" s="24">
        <v>115</v>
      </c>
      <c r="R1236" s="24">
        <v>0</v>
      </c>
      <c r="S1236" s="24">
        <v>0</v>
      </c>
      <c r="T1236" s="24">
        <v>200</v>
      </c>
    </row>
    <row r="1237" spans="1:20">
      <c r="A1237" s="9" t="s">
        <v>829</v>
      </c>
      <c r="B1237" s="30" t="s">
        <v>906</v>
      </c>
      <c r="C1237" s="30" t="str">
        <f>CONCATENATE(VOL_VOLUMEN_SUMINISTROS[[#This Row],[Proyecto]],VOL_VOLUMEN_SUMINISTROS[[#This Row],[J]],VOL_VOLUMEN_SUMINISTROS[[#This Row],[FIN DE SEMANA]])</f>
        <v>1052-1MNO</v>
      </c>
      <c r="D1237" s="365" t="str">
        <f>CONCATENATE(VOL_VOLUMEN_SUMINISTROS[[#This Row],[Grupo]],VOL_VOLUMEN_SUMINISTROS[[#This Row],[Proyecto]],VOL_VOLUMEN_SUMINISTROS[[#This Row],[FIN DE SEMANA]])</f>
        <v>201052-1NO</v>
      </c>
      <c r="E1237" s="30" t="s">
        <v>147</v>
      </c>
      <c r="F1237" s="30" t="s">
        <v>148</v>
      </c>
      <c r="G1237" s="365">
        <v>20</v>
      </c>
      <c r="H1237" s="30">
        <v>11</v>
      </c>
      <c r="I1237" s="9" t="s">
        <v>803</v>
      </c>
      <c r="J1237" s="9" t="s">
        <v>928</v>
      </c>
      <c r="K1237" s="30">
        <v>3</v>
      </c>
      <c r="L1237" s="9" t="s">
        <v>931</v>
      </c>
      <c r="M1237" s="30" t="s">
        <v>84</v>
      </c>
      <c r="N1237" s="30" t="s">
        <v>152</v>
      </c>
      <c r="O1237" s="24">
        <v>154</v>
      </c>
      <c r="P1237" s="24">
        <v>119</v>
      </c>
      <c r="Q1237" s="24">
        <v>18</v>
      </c>
      <c r="R1237" s="24">
        <v>0</v>
      </c>
      <c r="S1237" s="24">
        <v>0</v>
      </c>
      <c r="T1237" s="24">
        <v>291</v>
      </c>
    </row>
    <row r="1238" spans="1:20">
      <c r="A1238" s="9" t="s">
        <v>829</v>
      </c>
      <c r="B1238" s="30" t="s">
        <v>906</v>
      </c>
      <c r="C1238" s="30" t="str">
        <f>CONCATENATE(VOL_VOLUMEN_SUMINISTROS[[#This Row],[Proyecto]],VOL_VOLUMEN_SUMINISTROS[[#This Row],[J]],VOL_VOLUMEN_SUMINISTROS[[#This Row],[FIN DE SEMANA]])</f>
        <v>1052-1TNO</v>
      </c>
      <c r="D1238" s="365" t="str">
        <f>CONCATENATE(VOL_VOLUMEN_SUMINISTROS[[#This Row],[Grupo]],VOL_VOLUMEN_SUMINISTROS[[#This Row],[Proyecto]],VOL_VOLUMEN_SUMINISTROS[[#This Row],[FIN DE SEMANA]])</f>
        <v>201052-1NO</v>
      </c>
      <c r="E1238" s="30" t="s">
        <v>147</v>
      </c>
      <c r="F1238" s="30" t="s">
        <v>148</v>
      </c>
      <c r="G1238" s="365">
        <v>20</v>
      </c>
      <c r="H1238" s="30">
        <v>11</v>
      </c>
      <c r="I1238" s="9" t="s">
        <v>803</v>
      </c>
      <c r="J1238" s="9" t="s">
        <v>928</v>
      </c>
      <c r="K1238" s="30">
        <v>3</v>
      </c>
      <c r="L1238" s="9" t="s">
        <v>931</v>
      </c>
      <c r="M1238" s="30" t="s">
        <v>84</v>
      </c>
      <c r="N1238" s="30" t="s">
        <v>155</v>
      </c>
      <c r="O1238" s="24">
        <v>128</v>
      </c>
      <c r="P1238" s="24">
        <v>113</v>
      </c>
      <c r="Q1238" s="24">
        <v>20</v>
      </c>
      <c r="R1238" s="24">
        <v>0</v>
      </c>
      <c r="S1238" s="24">
        <v>0</v>
      </c>
      <c r="T1238" s="24">
        <v>261</v>
      </c>
    </row>
    <row r="1239" spans="1:20">
      <c r="A1239" s="9" t="s">
        <v>829</v>
      </c>
      <c r="B1239" s="30" t="s">
        <v>906</v>
      </c>
      <c r="C1239" s="30" t="str">
        <f>CONCATENATE(VOL_VOLUMEN_SUMINISTROS[[#This Row],[Proyecto]],VOL_VOLUMEN_SUMINISTROS[[#This Row],[J]],VOL_VOLUMEN_SUMINISTROS[[#This Row],[FIN DE SEMANA]])</f>
        <v>1052-1MNO</v>
      </c>
      <c r="D1239" s="365" t="str">
        <f>CONCATENATE(VOL_VOLUMEN_SUMINISTROS[[#This Row],[Grupo]],VOL_VOLUMEN_SUMINISTROS[[#This Row],[Proyecto]],VOL_VOLUMEN_SUMINISTROS[[#This Row],[FIN DE SEMANA]])</f>
        <v>201052-1NO</v>
      </c>
      <c r="E1239" s="30" t="s">
        <v>147</v>
      </c>
      <c r="F1239" s="30" t="s">
        <v>148</v>
      </c>
      <c r="G1239" s="365">
        <v>20</v>
      </c>
      <c r="H1239" s="30">
        <v>11</v>
      </c>
      <c r="I1239" s="9" t="s">
        <v>803</v>
      </c>
      <c r="J1239" s="9" t="s">
        <v>928</v>
      </c>
      <c r="K1239" s="30">
        <v>4</v>
      </c>
      <c r="L1239" s="9" t="s">
        <v>931</v>
      </c>
      <c r="M1239" s="30" t="s">
        <v>84</v>
      </c>
      <c r="N1239" s="30" t="s">
        <v>152</v>
      </c>
      <c r="O1239" s="24">
        <v>74</v>
      </c>
      <c r="P1239" s="24">
        <v>0</v>
      </c>
      <c r="Q1239" s="24">
        <v>0</v>
      </c>
      <c r="R1239" s="24">
        <v>0</v>
      </c>
      <c r="S1239" s="24">
        <v>0</v>
      </c>
      <c r="T1239" s="24">
        <v>74</v>
      </c>
    </row>
    <row r="1240" spans="1:20">
      <c r="A1240" s="9" t="s">
        <v>829</v>
      </c>
      <c r="B1240" s="30" t="s">
        <v>906</v>
      </c>
      <c r="C1240" s="30" t="str">
        <f>CONCATENATE(VOL_VOLUMEN_SUMINISTROS[[#This Row],[Proyecto]],VOL_VOLUMEN_SUMINISTROS[[#This Row],[J]],VOL_VOLUMEN_SUMINISTROS[[#This Row],[FIN DE SEMANA]])</f>
        <v>1052-1TNO</v>
      </c>
      <c r="D1240" s="365" t="str">
        <f>CONCATENATE(VOL_VOLUMEN_SUMINISTROS[[#This Row],[Grupo]],VOL_VOLUMEN_SUMINISTROS[[#This Row],[Proyecto]],VOL_VOLUMEN_SUMINISTROS[[#This Row],[FIN DE SEMANA]])</f>
        <v>201052-1NO</v>
      </c>
      <c r="E1240" s="30" t="s">
        <v>147</v>
      </c>
      <c r="F1240" s="30" t="s">
        <v>148</v>
      </c>
      <c r="G1240" s="365">
        <v>20</v>
      </c>
      <c r="H1240" s="30">
        <v>11</v>
      </c>
      <c r="I1240" s="9" t="s">
        <v>803</v>
      </c>
      <c r="J1240" s="9" t="s">
        <v>928</v>
      </c>
      <c r="K1240" s="30">
        <v>4</v>
      </c>
      <c r="L1240" s="9" t="s">
        <v>931</v>
      </c>
      <c r="M1240" s="30" t="s">
        <v>84</v>
      </c>
      <c r="N1240" s="30" t="s">
        <v>155</v>
      </c>
      <c r="O1240" s="24">
        <v>68</v>
      </c>
      <c r="P1240" s="24">
        <v>0</v>
      </c>
      <c r="Q1240" s="24">
        <v>0</v>
      </c>
      <c r="R1240" s="24">
        <v>0</v>
      </c>
      <c r="S1240" s="24">
        <v>0</v>
      </c>
      <c r="T1240" s="24">
        <v>68</v>
      </c>
    </row>
    <row r="1241" spans="1:20">
      <c r="A1241" s="9" t="s">
        <v>829</v>
      </c>
      <c r="B1241" s="30" t="s">
        <v>932</v>
      </c>
      <c r="C1241" s="30" t="str">
        <f>CONCATENATE(VOL_VOLUMEN_SUMINISTROS[[#This Row],[Proyecto]],VOL_VOLUMEN_SUMINISTROS[[#This Row],[J]],VOL_VOLUMEN_SUMINISTROS[[#This Row],[FIN DE SEMANA]])</f>
        <v>1052-2M1NO</v>
      </c>
      <c r="D1241" s="365" t="str">
        <f>CONCATENATE(VOL_VOLUMEN_SUMINISTROS[[#This Row],[Grupo]],VOL_VOLUMEN_SUMINISTROS[[#This Row],[Proyecto]],VOL_VOLUMEN_SUMINISTROS[[#This Row],[FIN DE SEMANA]])</f>
        <v>51052-2NO</v>
      </c>
      <c r="E1241" s="30" t="s">
        <v>183</v>
      </c>
      <c r="F1241" s="30" t="s">
        <v>148</v>
      </c>
      <c r="G1241" s="365">
        <v>5</v>
      </c>
      <c r="H1241" s="30">
        <v>10</v>
      </c>
      <c r="I1241" s="9" t="s">
        <v>331</v>
      </c>
      <c r="J1241" s="9" t="s">
        <v>933</v>
      </c>
      <c r="K1241" s="30">
        <v>1</v>
      </c>
      <c r="L1241" s="9" t="s">
        <v>934</v>
      </c>
      <c r="M1241" s="30" t="s">
        <v>84</v>
      </c>
      <c r="N1241" s="30" t="s">
        <v>216</v>
      </c>
      <c r="O1241" s="24">
        <v>0</v>
      </c>
      <c r="P1241" s="24">
        <v>120</v>
      </c>
      <c r="Q1241" s="24">
        <v>175</v>
      </c>
      <c r="R1241" s="24">
        <v>0</v>
      </c>
      <c r="S1241" s="24">
        <v>0</v>
      </c>
      <c r="T1241" s="24">
        <v>295</v>
      </c>
    </row>
    <row r="1242" spans="1:20">
      <c r="A1242" s="9" t="s">
        <v>829</v>
      </c>
      <c r="B1242" s="30" t="s">
        <v>932</v>
      </c>
      <c r="C1242" s="30" t="str">
        <f>CONCATENATE(VOL_VOLUMEN_SUMINISTROS[[#This Row],[Proyecto]],VOL_VOLUMEN_SUMINISTROS[[#This Row],[J]],VOL_VOLUMEN_SUMINISTROS[[#This Row],[FIN DE SEMANA]])</f>
        <v>1052-2M1NO</v>
      </c>
      <c r="D1242" s="365" t="str">
        <f>CONCATENATE(VOL_VOLUMEN_SUMINISTROS[[#This Row],[Grupo]],VOL_VOLUMEN_SUMINISTROS[[#This Row],[Proyecto]],VOL_VOLUMEN_SUMINISTROS[[#This Row],[FIN DE SEMANA]])</f>
        <v>51052-2NO</v>
      </c>
      <c r="E1242" s="30" t="s">
        <v>183</v>
      </c>
      <c r="F1242" s="30" t="s">
        <v>148</v>
      </c>
      <c r="G1242" s="365">
        <v>5</v>
      </c>
      <c r="H1242" s="30">
        <v>10</v>
      </c>
      <c r="I1242" s="9" t="s">
        <v>331</v>
      </c>
      <c r="J1242" s="9" t="s">
        <v>933</v>
      </c>
      <c r="K1242" s="30">
        <v>2</v>
      </c>
      <c r="L1242" s="9" t="s">
        <v>935</v>
      </c>
      <c r="M1242" s="30" t="s">
        <v>84</v>
      </c>
      <c r="N1242" s="30" t="s">
        <v>216</v>
      </c>
      <c r="O1242" s="24">
        <v>86</v>
      </c>
      <c r="P1242" s="24">
        <v>43</v>
      </c>
      <c r="Q1242" s="24">
        <v>0</v>
      </c>
      <c r="R1242" s="24">
        <v>0</v>
      </c>
      <c r="S1242" s="24">
        <v>0</v>
      </c>
      <c r="T1242" s="24">
        <v>129</v>
      </c>
    </row>
    <row r="1243" spans="1:20">
      <c r="A1243" s="9" t="s">
        <v>829</v>
      </c>
      <c r="B1243" s="30" t="s">
        <v>932</v>
      </c>
      <c r="C1243" s="30" t="str">
        <f>CONCATENATE(VOL_VOLUMEN_SUMINISTROS[[#This Row],[Proyecto]],VOL_VOLUMEN_SUMINISTROS[[#This Row],[J]],VOL_VOLUMEN_SUMINISTROS[[#This Row],[FIN DE SEMANA]])</f>
        <v>1052-2M1NO</v>
      </c>
      <c r="D1243" s="365" t="str">
        <f>CONCATENATE(VOL_VOLUMEN_SUMINISTROS[[#This Row],[Grupo]],VOL_VOLUMEN_SUMINISTROS[[#This Row],[Proyecto]],VOL_VOLUMEN_SUMINISTROS[[#This Row],[FIN DE SEMANA]])</f>
        <v>51052-2NO</v>
      </c>
      <c r="E1243" s="30" t="s">
        <v>183</v>
      </c>
      <c r="F1243" s="30" t="s">
        <v>148</v>
      </c>
      <c r="G1243" s="365">
        <v>5</v>
      </c>
      <c r="H1243" s="30">
        <v>10</v>
      </c>
      <c r="I1243" s="9" t="s">
        <v>331</v>
      </c>
      <c r="J1243" s="9" t="s">
        <v>933</v>
      </c>
      <c r="K1243" s="30">
        <v>3</v>
      </c>
      <c r="L1243" s="9" t="s">
        <v>936</v>
      </c>
      <c r="M1243" s="30" t="s">
        <v>84</v>
      </c>
      <c r="N1243" s="30" t="s">
        <v>216</v>
      </c>
      <c r="O1243" s="24">
        <v>56</v>
      </c>
      <c r="P1243" s="24">
        <v>148</v>
      </c>
      <c r="Q1243" s="24">
        <v>40</v>
      </c>
      <c r="R1243" s="24">
        <v>0</v>
      </c>
      <c r="S1243" s="24">
        <v>0</v>
      </c>
      <c r="T1243" s="24">
        <v>244</v>
      </c>
    </row>
    <row r="1244" spans="1:20">
      <c r="A1244" s="9" t="s">
        <v>829</v>
      </c>
      <c r="B1244" s="30" t="s">
        <v>932</v>
      </c>
      <c r="C1244" s="30" t="str">
        <f>CONCATENATE(VOL_VOLUMEN_SUMINISTROS[[#This Row],[Proyecto]],VOL_VOLUMEN_SUMINISTROS[[#This Row],[J]],VOL_VOLUMEN_SUMINISTROS[[#This Row],[FIN DE SEMANA]])</f>
        <v>1052-2M1NO</v>
      </c>
      <c r="D1244" s="365" t="str">
        <f>CONCATENATE(VOL_VOLUMEN_SUMINISTROS[[#This Row],[Grupo]],VOL_VOLUMEN_SUMINISTROS[[#This Row],[Proyecto]],VOL_VOLUMEN_SUMINISTROS[[#This Row],[FIN DE SEMANA]])</f>
        <v>51052-2NO</v>
      </c>
      <c r="E1244" s="30" t="s">
        <v>183</v>
      </c>
      <c r="F1244" s="30" t="s">
        <v>148</v>
      </c>
      <c r="G1244" s="365">
        <v>5</v>
      </c>
      <c r="H1244" s="30">
        <v>10</v>
      </c>
      <c r="I1244" s="9" t="s">
        <v>331</v>
      </c>
      <c r="J1244" s="9" t="s">
        <v>933</v>
      </c>
      <c r="K1244" s="30">
        <v>4</v>
      </c>
      <c r="L1244" s="9" t="s">
        <v>937</v>
      </c>
      <c r="M1244" s="30" t="s">
        <v>84</v>
      </c>
      <c r="N1244" s="30" t="s">
        <v>216</v>
      </c>
      <c r="O1244" s="24">
        <v>66</v>
      </c>
      <c r="P1244" s="24">
        <v>81</v>
      </c>
      <c r="Q1244" s="24">
        <v>16</v>
      </c>
      <c r="R1244" s="24">
        <v>0</v>
      </c>
      <c r="S1244" s="24">
        <v>0</v>
      </c>
      <c r="T1244" s="24">
        <v>163</v>
      </c>
    </row>
    <row r="1245" spans="1:20">
      <c r="A1245" s="9" t="s">
        <v>829</v>
      </c>
      <c r="B1245" s="30" t="s">
        <v>932</v>
      </c>
      <c r="C1245" s="30" t="str">
        <f>CONCATENATE(VOL_VOLUMEN_SUMINISTROS[[#This Row],[Proyecto]],VOL_VOLUMEN_SUMINISTROS[[#This Row],[J]],VOL_VOLUMEN_SUMINISTROS[[#This Row],[FIN DE SEMANA]])</f>
        <v>1052-2M1NO</v>
      </c>
      <c r="D1245" s="365" t="str">
        <f>CONCATENATE(VOL_VOLUMEN_SUMINISTROS[[#This Row],[Grupo]],VOL_VOLUMEN_SUMINISTROS[[#This Row],[Proyecto]],VOL_VOLUMEN_SUMINISTROS[[#This Row],[FIN DE SEMANA]])</f>
        <v>131052-2NO</v>
      </c>
      <c r="E1245" s="30" t="s">
        <v>183</v>
      </c>
      <c r="F1245" s="30" t="s">
        <v>148</v>
      </c>
      <c r="G1245" s="365">
        <v>13</v>
      </c>
      <c r="H1245" s="30">
        <v>10</v>
      </c>
      <c r="I1245" s="9" t="s">
        <v>331</v>
      </c>
      <c r="J1245" s="9" t="s">
        <v>834</v>
      </c>
      <c r="K1245" s="30">
        <v>1</v>
      </c>
      <c r="L1245" s="9" t="s">
        <v>835</v>
      </c>
      <c r="M1245" s="30" t="s">
        <v>84</v>
      </c>
      <c r="N1245" s="30" t="s">
        <v>216</v>
      </c>
      <c r="O1245" s="24">
        <v>88</v>
      </c>
      <c r="P1245" s="24">
        <v>344</v>
      </c>
      <c r="Q1245" s="24">
        <v>258</v>
      </c>
      <c r="R1245" s="24">
        <v>0</v>
      </c>
      <c r="S1245" s="24">
        <v>0</v>
      </c>
      <c r="T1245" s="24">
        <v>690</v>
      </c>
    </row>
    <row r="1246" spans="1:20">
      <c r="A1246" s="9" t="s">
        <v>829</v>
      </c>
      <c r="B1246" s="30" t="s">
        <v>932</v>
      </c>
      <c r="C1246" s="30" t="str">
        <f>CONCATENATE(VOL_VOLUMEN_SUMINISTROS[[#This Row],[Proyecto]],VOL_VOLUMEN_SUMINISTROS[[#This Row],[J]],VOL_VOLUMEN_SUMINISTROS[[#This Row],[FIN DE SEMANA]])</f>
        <v>1052-2M1NO</v>
      </c>
      <c r="D1246" s="365" t="str">
        <f>CONCATENATE(VOL_VOLUMEN_SUMINISTROS[[#This Row],[Grupo]],VOL_VOLUMEN_SUMINISTROS[[#This Row],[Proyecto]],VOL_VOLUMEN_SUMINISTROS[[#This Row],[FIN DE SEMANA]])</f>
        <v>171052-2NO</v>
      </c>
      <c r="E1246" s="30" t="s">
        <v>183</v>
      </c>
      <c r="F1246" s="30" t="s">
        <v>148</v>
      </c>
      <c r="G1246" s="365">
        <v>17</v>
      </c>
      <c r="H1246" s="30">
        <v>10</v>
      </c>
      <c r="I1246" s="9" t="s">
        <v>331</v>
      </c>
      <c r="J1246" s="9" t="s">
        <v>834</v>
      </c>
      <c r="K1246" s="30">
        <v>2</v>
      </c>
      <c r="L1246" s="9" t="s">
        <v>165</v>
      </c>
      <c r="M1246" s="30" t="s">
        <v>84</v>
      </c>
      <c r="N1246" s="30" t="s">
        <v>216</v>
      </c>
      <c r="O1246" s="24">
        <v>34</v>
      </c>
      <c r="P1246" s="24">
        <v>17</v>
      </c>
      <c r="Q1246" s="24">
        <v>0</v>
      </c>
      <c r="R1246" s="24">
        <v>0</v>
      </c>
      <c r="S1246" s="24">
        <v>0</v>
      </c>
      <c r="T1246" s="24">
        <v>51</v>
      </c>
    </row>
    <row r="1247" spans="1:20">
      <c r="A1247" s="9" t="s">
        <v>829</v>
      </c>
      <c r="B1247" s="30" t="s">
        <v>932</v>
      </c>
      <c r="C1247" s="30" t="str">
        <f>CONCATENATE(VOL_VOLUMEN_SUMINISTROS[[#This Row],[Proyecto]],VOL_VOLUMEN_SUMINISTROS[[#This Row],[J]],VOL_VOLUMEN_SUMINISTROS[[#This Row],[FIN DE SEMANA]])</f>
        <v>1052-2MNO</v>
      </c>
      <c r="D1247" s="365" t="str">
        <f>CONCATENATE(VOL_VOLUMEN_SUMINISTROS[[#This Row],[Grupo]],VOL_VOLUMEN_SUMINISTROS[[#This Row],[Proyecto]],VOL_VOLUMEN_SUMINISTROS[[#This Row],[FIN DE SEMANA]])</f>
        <v>171052-2NO</v>
      </c>
      <c r="E1247" s="30" t="s">
        <v>183</v>
      </c>
      <c r="F1247" s="30" t="s">
        <v>148</v>
      </c>
      <c r="G1247" s="365">
        <v>17</v>
      </c>
      <c r="H1247" s="30">
        <v>11</v>
      </c>
      <c r="I1247" s="9" t="s">
        <v>803</v>
      </c>
      <c r="J1247" s="9" t="s">
        <v>854</v>
      </c>
      <c r="K1247" s="30">
        <v>1</v>
      </c>
      <c r="L1247" s="9" t="s">
        <v>855</v>
      </c>
      <c r="M1247" s="30" t="s">
        <v>84</v>
      </c>
      <c r="N1247" s="30" t="s">
        <v>152</v>
      </c>
      <c r="O1247" s="24">
        <v>108</v>
      </c>
      <c r="P1247" s="24">
        <v>213</v>
      </c>
      <c r="Q1247" s="24">
        <v>53</v>
      </c>
      <c r="R1247" s="24">
        <v>0</v>
      </c>
      <c r="S1247" s="24">
        <v>0</v>
      </c>
      <c r="T1247" s="24">
        <v>374</v>
      </c>
    </row>
    <row r="1248" spans="1:20">
      <c r="A1248" s="9" t="s">
        <v>829</v>
      </c>
      <c r="B1248" s="30" t="s">
        <v>932</v>
      </c>
      <c r="C1248" s="30" t="str">
        <f>CONCATENATE(VOL_VOLUMEN_SUMINISTROS[[#This Row],[Proyecto]],VOL_VOLUMEN_SUMINISTROS[[#This Row],[J]],VOL_VOLUMEN_SUMINISTROS[[#This Row],[FIN DE SEMANA]])</f>
        <v>1052-2M1NO</v>
      </c>
      <c r="D1248" s="365" t="str">
        <f>CONCATENATE(VOL_VOLUMEN_SUMINISTROS[[#This Row],[Grupo]],VOL_VOLUMEN_SUMINISTROS[[#This Row],[Proyecto]],VOL_VOLUMEN_SUMINISTROS[[#This Row],[FIN DE SEMANA]])</f>
        <v>171052-2NO</v>
      </c>
      <c r="E1248" s="30" t="s">
        <v>183</v>
      </c>
      <c r="F1248" s="30" t="s">
        <v>148</v>
      </c>
      <c r="G1248" s="365">
        <v>17</v>
      </c>
      <c r="H1248" s="30">
        <v>11</v>
      </c>
      <c r="I1248" s="9" t="s">
        <v>803</v>
      </c>
      <c r="J1248" s="9" t="s">
        <v>854</v>
      </c>
      <c r="K1248" s="30">
        <v>1</v>
      </c>
      <c r="L1248" s="9" t="s">
        <v>855</v>
      </c>
      <c r="M1248" s="30" t="s">
        <v>84</v>
      </c>
      <c r="N1248" s="30" t="s">
        <v>216</v>
      </c>
      <c r="O1248" s="24">
        <v>0</v>
      </c>
      <c r="P1248" s="24">
        <v>195</v>
      </c>
      <c r="Q1248" s="24">
        <v>325</v>
      </c>
      <c r="R1248" s="24">
        <v>0</v>
      </c>
      <c r="S1248" s="24">
        <v>0</v>
      </c>
      <c r="T1248" s="24">
        <v>520</v>
      </c>
    </row>
    <row r="1249" spans="1:20">
      <c r="A1249" s="9" t="s">
        <v>829</v>
      </c>
      <c r="B1249" s="30" t="s">
        <v>932</v>
      </c>
      <c r="C1249" s="30" t="str">
        <f>CONCATENATE(VOL_VOLUMEN_SUMINISTROS[[#This Row],[Proyecto]],VOL_VOLUMEN_SUMINISTROS[[#This Row],[J]],VOL_VOLUMEN_SUMINISTROS[[#This Row],[FIN DE SEMANA]])</f>
        <v>1052-2M1NO</v>
      </c>
      <c r="D1249" s="365" t="str">
        <f>CONCATENATE(VOL_VOLUMEN_SUMINISTROS[[#This Row],[Grupo]],VOL_VOLUMEN_SUMINISTROS[[#This Row],[Proyecto]],VOL_VOLUMEN_SUMINISTROS[[#This Row],[FIN DE SEMANA]])</f>
        <v>171052-2NO</v>
      </c>
      <c r="E1249" s="30" t="s">
        <v>183</v>
      </c>
      <c r="F1249" s="30" t="s">
        <v>148</v>
      </c>
      <c r="G1249" s="365">
        <v>17</v>
      </c>
      <c r="H1249" s="30">
        <v>11</v>
      </c>
      <c r="I1249" s="9" t="s">
        <v>803</v>
      </c>
      <c r="J1249" s="9" t="s">
        <v>854</v>
      </c>
      <c r="K1249" s="30">
        <v>2</v>
      </c>
      <c r="L1249" s="9" t="s">
        <v>857</v>
      </c>
      <c r="M1249" s="30" t="s">
        <v>84</v>
      </c>
      <c r="N1249" s="30" t="s">
        <v>216</v>
      </c>
      <c r="O1249" s="24">
        <v>120</v>
      </c>
      <c r="P1249" s="24">
        <v>60</v>
      </c>
      <c r="Q1249" s="24">
        <v>0</v>
      </c>
      <c r="R1249" s="24">
        <v>0</v>
      </c>
      <c r="S1249" s="24">
        <v>0</v>
      </c>
      <c r="T1249" s="24">
        <v>180</v>
      </c>
    </row>
    <row r="1250" spans="1:20">
      <c r="A1250" s="9" t="s">
        <v>829</v>
      </c>
      <c r="B1250" s="30" t="s">
        <v>932</v>
      </c>
      <c r="C1250" s="30" t="str">
        <f>CONCATENATE(VOL_VOLUMEN_SUMINISTROS[[#This Row],[Proyecto]],VOL_VOLUMEN_SUMINISTROS[[#This Row],[J]],VOL_VOLUMEN_SUMINISTROS[[#This Row],[FIN DE SEMANA]])</f>
        <v>1052-2TNO</v>
      </c>
      <c r="D1250" s="365" t="str">
        <f>CONCATENATE(VOL_VOLUMEN_SUMINISTROS[[#This Row],[Grupo]],VOL_VOLUMEN_SUMINISTROS[[#This Row],[Proyecto]],VOL_VOLUMEN_SUMINISTROS[[#This Row],[FIN DE SEMANA]])</f>
        <v>171052-2NO</v>
      </c>
      <c r="E1250" s="30" t="s">
        <v>183</v>
      </c>
      <c r="F1250" s="30" t="s">
        <v>148</v>
      </c>
      <c r="G1250" s="365">
        <v>17</v>
      </c>
      <c r="H1250" s="30">
        <v>11</v>
      </c>
      <c r="I1250" s="9" t="s">
        <v>803</v>
      </c>
      <c r="J1250" s="9" t="s">
        <v>854</v>
      </c>
      <c r="K1250" s="30">
        <v>2</v>
      </c>
      <c r="L1250" s="9" t="s">
        <v>858</v>
      </c>
      <c r="M1250" s="30" t="s">
        <v>84</v>
      </c>
      <c r="N1250" s="30" t="s">
        <v>155</v>
      </c>
      <c r="O1250" s="24">
        <v>120</v>
      </c>
      <c r="P1250" s="24">
        <v>60</v>
      </c>
      <c r="Q1250" s="24">
        <v>0</v>
      </c>
      <c r="R1250" s="24">
        <v>0</v>
      </c>
      <c r="S1250" s="24">
        <v>0</v>
      </c>
      <c r="T1250" s="24">
        <v>180</v>
      </c>
    </row>
    <row r="1251" spans="1:20">
      <c r="A1251" s="9" t="s">
        <v>829</v>
      </c>
      <c r="B1251" s="30" t="s">
        <v>932</v>
      </c>
      <c r="C1251" s="30" t="str">
        <f>CONCATENATE(VOL_VOLUMEN_SUMINISTROS[[#This Row],[Proyecto]],VOL_VOLUMEN_SUMINISTROS[[#This Row],[J]],VOL_VOLUMEN_SUMINISTROS[[#This Row],[FIN DE SEMANA]])</f>
        <v>1052-2MNO</v>
      </c>
      <c r="D1251" s="365" t="str">
        <f>CONCATENATE(VOL_VOLUMEN_SUMINISTROS[[#This Row],[Grupo]],VOL_VOLUMEN_SUMINISTROS[[#This Row],[Proyecto]],VOL_VOLUMEN_SUMINISTROS[[#This Row],[FIN DE SEMANA]])</f>
        <v>171052-2NO</v>
      </c>
      <c r="E1251" s="30" t="s">
        <v>183</v>
      </c>
      <c r="F1251" s="30" t="s">
        <v>148</v>
      </c>
      <c r="G1251" s="365">
        <v>17</v>
      </c>
      <c r="H1251" s="30">
        <v>11</v>
      </c>
      <c r="I1251" s="9" t="s">
        <v>803</v>
      </c>
      <c r="J1251" s="9" t="s">
        <v>854</v>
      </c>
      <c r="K1251" s="30">
        <v>4</v>
      </c>
      <c r="L1251" s="9" t="s">
        <v>860</v>
      </c>
      <c r="M1251" s="30" t="s">
        <v>84</v>
      </c>
      <c r="N1251" s="30" t="s">
        <v>152</v>
      </c>
      <c r="O1251" s="24">
        <v>314</v>
      </c>
      <c r="P1251" s="24">
        <v>157</v>
      </c>
      <c r="Q1251" s="24">
        <v>0</v>
      </c>
      <c r="R1251" s="24">
        <v>0</v>
      </c>
      <c r="S1251" s="24">
        <v>0</v>
      </c>
      <c r="T1251" s="24">
        <v>471</v>
      </c>
    </row>
    <row r="1252" spans="1:20">
      <c r="A1252" s="9" t="s">
        <v>829</v>
      </c>
      <c r="B1252" s="30" t="s">
        <v>932</v>
      </c>
      <c r="C1252" s="30" t="str">
        <f>CONCATENATE(VOL_VOLUMEN_SUMINISTROS[[#This Row],[Proyecto]],VOL_VOLUMEN_SUMINISTROS[[#This Row],[J]],VOL_VOLUMEN_SUMINISTROS[[#This Row],[FIN DE SEMANA]])</f>
        <v>1052-2M1NO</v>
      </c>
      <c r="D1252" s="365" t="str">
        <f>CONCATENATE(VOL_VOLUMEN_SUMINISTROS[[#This Row],[Grupo]],VOL_VOLUMEN_SUMINISTROS[[#This Row],[Proyecto]],VOL_VOLUMEN_SUMINISTROS[[#This Row],[FIN DE SEMANA]])</f>
        <v>171052-2NO</v>
      </c>
      <c r="E1252" s="30" t="s">
        <v>183</v>
      </c>
      <c r="F1252" s="30" t="s">
        <v>148</v>
      </c>
      <c r="G1252" s="365">
        <v>17</v>
      </c>
      <c r="H1252" s="30">
        <v>11</v>
      </c>
      <c r="I1252" s="9" t="s">
        <v>803</v>
      </c>
      <c r="J1252" s="9" t="s">
        <v>854</v>
      </c>
      <c r="K1252" s="30">
        <v>5</v>
      </c>
      <c r="L1252" s="9" t="s">
        <v>938</v>
      </c>
      <c r="M1252" s="30" t="s">
        <v>84</v>
      </c>
      <c r="N1252" s="30" t="s">
        <v>216</v>
      </c>
      <c r="O1252" s="24">
        <v>68</v>
      </c>
      <c r="P1252" s="24">
        <v>238</v>
      </c>
      <c r="Q1252" s="24">
        <v>188</v>
      </c>
      <c r="R1252" s="24">
        <v>0</v>
      </c>
      <c r="S1252" s="24">
        <v>0</v>
      </c>
      <c r="T1252" s="24">
        <v>494</v>
      </c>
    </row>
    <row r="1253" spans="1:20">
      <c r="A1253" s="9" t="s">
        <v>829</v>
      </c>
      <c r="B1253" s="30" t="s">
        <v>939</v>
      </c>
      <c r="C1253" s="30" t="str">
        <f>CONCATENATE(VOL_VOLUMEN_SUMINISTROS[[#This Row],[Proyecto]],VOL_VOLUMEN_SUMINISTROS[[#This Row],[J]],VOL_VOLUMEN_SUMINISTROS[[#This Row],[FIN DE SEMANA]])</f>
        <v>1052-2M1NO</v>
      </c>
      <c r="D1253" s="365" t="str">
        <f>CONCATENATE(VOL_VOLUMEN_SUMINISTROS[[#This Row],[Grupo]],VOL_VOLUMEN_SUMINISTROS[[#This Row],[Proyecto]],VOL_VOLUMEN_SUMINISTROS[[#This Row],[FIN DE SEMANA]])</f>
        <v>131052-2NO</v>
      </c>
      <c r="E1253" s="30" t="s">
        <v>183</v>
      </c>
      <c r="F1253" s="30" t="s">
        <v>148</v>
      </c>
      <c r="G1253" s="365">
        <v>13</v>
      </c>
      <c r="H1253" s="30">
        <v>10</v>
      </c>
      <c r="I1253" s="9" t="s">
        <v>331</v>
      </c>
      <c r="J1253" s="9" t="s">
        <v>834</v>
      </c>
      <c r="K1253" s="30">
        <v>1</v>
      </c>
      <c r="L1253" s="9" t="s">
        <v>835</v>
      </c>
      <c r="M1253" s="30" t="s">
        <v>84</v>
      </c>
      <c r="N1253" s="30" t="s">
        <v>216</v>
      </c>
      <c r="O1253" s="24">
        <v>0</v>
      </c>
      <c r="P1253" s="24">
        <v>0</v>
      </c>
      <c r="Q1253" s="24">
        <v>147</v>
      </c>
      <c r="R1253" s="24">
        <v>0</v>
      </c>
      <c r="S1253" s="24">
        <v>0</v>
      </c>
      <c r="T1253" s="24">
        <v>147</v>
      </c>
    </row>
    <row r="1254" spans="1:20">
      <c r="A1254" s="9" t="s">
        <v>829</v>
      </c>
      <c r="B1254" s="30" t="s">
        <v>939</v>
      </c>
      <c r="C1254" s="30" t="str">
        <f>CONCATENATE(VOL_VOLUMEN_SUMINISTROS[[#This Row],[Proyecto]],VOL_VOLUMEN_SUMINISTROS[[#This Row],[J]],VOL_VOLUMEN_SUMINISTROS[[#This Row],[FIN DE SEMANA]])</f>
        <v>1052-2TNO</v>
      </c>
      <c r="D1254" s="365" t="str">
        <f>CONCATENATE(VOL_VOLUMEN_SUMINISTROS[[#This Row],[Grupo]],VOL_VOLUMEN_SUMINISTROS[[#This Row],[Proyecto]],VOL_VOLUMEN_SUMINISTROS[[#This Row],[FIN DE SEMANA]])</f>
        <v>171052-2NO</v>
      </c>
      <c r="E1254" s="30" t="s">
        <v>183</v>
      </c>
      <c r="F1254" s="30" t="s">
        <v>148</v>
      </c>
      <c r="G1254" s="365">
        <v>17</v>
      </c>
      <c r="H1254" s="30">
        <v>11</v>
      </c>
      <c r="I1254" s="9" t="s">
        <v>803</v>
      </c>
      <c r="J1254" s="9" t="s">
        <v>854</v>
      </c>
      <c r="K1254" s="30">
        <v>1</v>
      </c>
      <c r="L1254" s="9" t="s">
        <v>856</v>
      </c>
      <c r="M1254" s="30" t="s">
        <v>84</v>
      </c>
      <c r="N1254" s="30" t="s">
        <v>155</v>
      </c>
      <c r="O1254" s="24">
        <v>0</v>
      </c>
      <c r="P1254" s="24">
        <v>0</v>
      </c>
      <c r="Q1254" s="24">
        <v>110</v>
      </c>
      <c r="R1254" s="24">
        <v>0</v>
      </c>
      <c r="S1254" s="24">
        <v>0</v>
      </c>
      <c r="T1254" s="24">
        <v>110</v>
      </c>
    </row>
    <row r="1255" spans="1:20">
      <c r="A1255" s="9" t="s">
        <v>829</v>
      </c>
      <c r="B1255" s="30" t="s">
        <v>940</v>
      </c>
      <c r="C1255" s="30" t="str">
        <f>CONCATENATE(VOL_VOLUMEN_SUMINISTROS[[#This Row],[Proyecto]],VOL_VOLUMEN_SUMINISTROS[[#This Row],[J]],VOL_VOLUMEN_SUMINISTROS[[#This Row],[FIN DE SEMANA]])</f>
        <v>1052-2MNO</v>
      </c>
      <c r="D1255" s="365" t="str">
        <f>CONCATENATE(VOL_VOLUMEN_SUMINISTROS[[#This Row],[Grupo]],VOL_VOLUMEN_SUMINISTROS[[#This Row],[Proyecto]],VOL_VOLUMEN_SUMINISTROS[[#This Row],[FIN DE SEMANA]])</f>
        <v>201052-2NO</v>
      </c>
      <c r="E1255" s="30" t="s">
        <v>183</v>
      </c>
      <c r="F1255" s="30" t="s">
        <v>148</v>
      </c>
      <c r="G1255" s="365">
        <v>20</v>
      </c>
      <c r="H1255" s="30">
        <v>11</v>
      </c>
      <c r="I1255" s="9" t="s">
        <v>803</v>
      </c>
      <c r="J1255" s="9" t="s">
        <v>925</v>
      </c>
      <c r="K1255" s="30">
        <v>1</v>
      </c>
      <c r="L1255" s="9" t="s">
        <v>941</v>
      </c>
      <c r="M1255" s="30" t="s">
        <v>84</v>
      </c>
      <c r="N1255" s="30" t="s">
        <v>152</v>
      </c>
      <c r="O1255" s="24">
        <v>137</v>
      </c>
      <c r="P1255" s="24">
        <v>0</v>
      </c>
      <c r="Q1255" s="24">
        <v>0</v>
      </c>
      <c r="R1255" s="24">
        <v>0</v>
      </c>
      <c r="S1255" s="24">
        <v>0</v>
      </c>
      <c r="T1255" s="24">
        <v>137</v>
      </c>
    </row>
    <row r="1256" spans="1:20">
      <c r="A1256" s="9" t="s">
        <v>829</v>
      </c>
      <c r="B1256" s="30" t="s">
        <v>940</v>
      </c>
      <c r="C1256" s="30" t="str">
        <f>CONCATENATE(VOL_VOLUMEN_SUMINISTROS[[#This Row],[Proyecto]],VOL_VOLUMEN_SUMINISTROS[[#This Row],[J]],VOL_VOLUMEN_SUMINISTROS[[#This Row],[FIN DE SEMANA]])</f>
        <v>1052-2TNO</v>
      </c>
      <c r="D1256" s="365" t="str">
        <f>CONCATENATE(VOL_VOLUMEN_SUMINISTROS[[#This Row],[Grupo]],VOL_VOLUMEN_SUMINISTROS[[#This Row],[Proyecto]],VOL_VOLUMEN_SUMINISTROS[[#This Row],[FIN DE SEMANA]])</f>
        <v>201052-2NO</v>
      </c>
      <c r="E1256" s="30" t="s">
        <v>183</v>
      </c>
      <c r="F1256" s="30" t="s">
        <v>148</v>
      </c>
      <c r="G1256" s="365">
        <v>20</v>
      </c>
      <c r="H1256" s="30">
        <v>11</v>
      </c>
      <c r="I1256" s="9" t="s">
        <v>803</v>
      </c>
      <c r="J1256" s="9" t="s">
        <v>925</v>
      </c>
      <c r="K1256" s="30">
        <v>1</v>
      </c>
      <c r="L1256" s="9" t="s">
        <v>941</v>
      </c>
      <c r="M1256" s="30" t="s">
        <v>84</v>
      </c>
      <c r="N1256" s="30" t="s">
        <v>155</v>
      </c>
      <c r="O1256" s="24">
        <v>121</v>
      </c>
      <c r="P1256" s="24">
        <v>0</v>
      </c>
      <c r="Q1256" s="24">
        <v>0</v>
      </c>
      <c r="R1256" s="24">
        <v>0</v>
      </c>
      <c r="S1256" s="24">
        <v>0</v>
      </c>
      <c r="T1256" s="24">
        <v>121</v>
      </c>
    </row>
    <row r="1257" spans="1:20">
      <c r="A1257" s="9" t="s">
        <v>829</v>
      </c>
      <c r="B1257" s="30" t="s">
        <v>940</v>
      </c>
      <c r="C1257" s="30" t="str">
        <f>CONCATENATE(VOL_VOLUMEN_SUMINISTROS[[#This Row],[Proyecto]],VOL_VOLUMEN_SUMINISTROS[[#This Row],[J]],VOL_VOLUMEN_SUMINISTROS[[#This Row],[FIN DE SEMANA]])</f>
        <v>1052-2MNO</v>
      </c>
      <c r="D1257" s="365" t="str">
        <f>CONCATENATE(VOL_VOLUMEN_SUMINISTROS[[#This Row],[Grupo]],VOL_VOLUMEN_SUMINISTROS[[#This Row],[Proyecto]],VOL_VOLUMEN_SUMINISTROS[[#This Row],[FIN DE SEMANA]])</f>
        <v>201052-2NO</v>
      </c>
      <c r="E1257" s="30" t="s">
        <v>183</v>
      </c>
      <c r="F1257" s="30" t="s">
        <v>148</v>
      </c>
      <c r="G1257" s="365">
        <v>20</v>
      </c>
      <c r="H1257" s="30">
        <v>11</v>
      </c>
      <c r="I1257" s="9" t="s">
        <v>803</v>
      </c>
      <c r="J1257" s="9" t="s">
        <v>925</v>
      </c>
      <c r="K1257" s="30">
        <v>2</v>
      </c>
      <c r="L1257" s="9" t="s">
        <v>926</v>
      </c>
      <c r="M1257" s="30" t="s">
        <v>84</v>
      </c>
      <c r="N1257" s="30" t="s">
        <v>152</v>
      </c>
      <c r="O1257" s="24">
        <v>169</v>
      </c>
      <c r="P1257" s="24">
        <v>0</v>
      </c>
      <c r="Q1257" s="24">
        <v>0</v>
      </c>
      <c r="R1257" s="24">
        <v>0</v>
      </c>
      <c r="S1257" s="24">
        <v>0</v>
      </c>
      <c r="T1257" s="24">
        <v>169</v>
      </c>
    </row>
    <row r="1258" spans="1:20">
      <c r="A1258" s="9" t="s">
        <v>829</v>
      </c>
      <c r="B1258" s="30" t="s">
        <v>940</v>
      </c>
      <c r="C1258" s="30" t="str">
        <f>CONCATENATE(VOL_VOLUMEN_SUMINISTROS[[#This Row],[Proyecto]],VOL_VOLUMEN_SUMINISTROS[[#This Row],[J]],VOL_VOLUMEN_SUMINISTROS[[#This Row],[FIN DE SEMANA]])</f>
        <v>1052-2TNO</v>
      </c>
      <c r="D1258" s="365" t="str">
        <f>CONCATENATE(VOL_VOLUMEN_SUMINISTROS[[#This Row],[Grupo]],VOL_VOLUMEN_SUMINISTROS[[#This Row],[Proyecto]],VOL_VOLUMEN_SUMINISTROS[[#This Row],[FIN DE SEMANA]])</f>
        <v>201052-2NO</v>
      </c>
      <c r="E1258" s="30" t="s">
        <v>183</v>
      </c>
      <c r="F1258" s="30" t="s">
        <v>148</v>
      </c>
      <c r="G1258" s="365">
        <v>20</v>
      </c>
      <c r="H1258" s="30">
        <v>11</v>
      </c>
      <c r="I1258" s="9" t="s">
        <v>803</v>
      </c>
      <c r="J1258" s="9" t="s">
        <v>925</v>
      </c>
      <c r="K1258" s="30">
        <v>2</v>
      </c>
      <c r="L1258" s="9" t="s">
        <v>926</v>
      </c>
      <c r="M1258" s="30" t="s">
        <v>84</v>
      </c>
      <c r="N1258" s="30" t="s">
        <v>155</v>
      </c>
      <c r="O1258" s="24">
        <v>138</v>
      </c>
      <c r="P1258" s="24">
        <v>0</v>
      </c>
      <c r="Q1258" s="24">
        <v>0</v>
      </c>
      <c r="R1258" s="24">
        <v>0</v>
      </c>
      <c r="S1258" s="24">
        <v>0</v>
      </c>
      <c r="T1258" s="24">
        <v>138</v>
      </c>
    </row>
    <row r="1259" spans="1:20">
      <c r="A1259" s="9" t="s">
        <v>829</v>
      </c>
      <c r="B1259" s="30" t="s">
        <v>940</v>
      </c>
      <c r="C1259" s="30" t="str">
        <f>CONCATENATE(VOL_VOLUMEN_SUMINISTROS[[#This Row],[Proyecto]],VOL_VOLUMEN_SUMINISTROS[[#This Row],[J]],VOL_VOLUMEN_SUMINISTROS[[#This Row],[FIN DE SEMANA]])</f>
        <v>1052-2MNO</v>
      </c>
      <c r="D1259" s="365" t="str">
        <f>CONCATENATE(VOL_VOLUMEN_SUMINISTROS[[#This Row],[Grupo]],VOL_VOLUMEN_SUMINISTROS[[#This Row],[Proyecto]],VOL_VOLUMEN_SUMINISTROS[[#This Row],[FIN DE SEMANA]])</f>
        <v>201052-2NO</v>
      </c>
      <c r="E1259" s="30" t="s">
        <v>183</v>
      </c>
      <c r="F1259" s="30" t="s">
        <v>148</v>
      </c>
      <c r="G1259" s="365">
        <v>20</v>
      </c>
      <c r="H1259" s="30">
        <v>11</v>
      </c>
      <c r="I1259" s="9" t="s">
        <v>803</v>
      </c>
      <c r="J1259" s="9" t="s">
        <v>899</v>
      </c>
      <c r="K1259" s="30">
        <v>2</v>
      </c>
      <c r="L1259" s="9" t="s">
        <v>900</v>
      </c>
      <c r="M1259" s="30" t="s">
        <v>84</v>
      </c>
      <c r="N1259" s="30" t="s">
        <v>152</v>
      </c>
      <c r="O1259" s="24">
        <v>224</v>
      </c>
      <c r="P1259" s="24">
        <v>0</v>
      </c>
      <c r="Q1259" s="24">
        <v>0</v>
      </c>
      <c r="R1259" s="24">
        <v>0</v>
      </c>
      <c r="S1259" s="24">
        <v>0</v>
      </c>
      <c r="T1259" s="24">
        <v>224</v>
      </c>
    </row>
    <row r="1260" spans="1:20">
      <c r="A1260" s="9" t="s">
        <v>829</v>
      </c>
      <c r="B1260" s="30" t="s">
        <v>940</v>
      </c>
      <c r="C1260" s="30" t="str">
        <f>CONCATENATE(VOL_VOLUMEN_SUMINISTROS[[#This Row],[Proyecto]],VOL_VOLUMEN_SUMINISTROS[[#This Row],[J]],VOL_VOLUMEN_SUMINISTROS[[#This Row],[FIN DE SEMANA]])</f>
        <v>1052-2TNO</v>
      </c>
      <c r="D1260" s="365" t="str">
        <f>CONCATENATE(VOL_VOLUMEN_SUMINISTROS[[#This Row],[Grupo]],VOL_VOLUMEN_SUMINISTROS[[#This Row],[Proyecto]],VOL_VOLUMEN_SUMINISTROS[[#This Row],[FIN DE SEMANA]])</f>
        <v>201052-2NO</v>
      </c>
      <c r="E1260" s="30" t="s">
        <v>183</v>
      </c>
      <c r="F1260" s="30" t="s">
        <v>148</v>
      </c>
      <c r="G1260" s="365">
        <v>20</v>
      </c>
      <c r="H1260" s="30">
        <v>11</v>
      </c>
      <c r="I1260" s="9" t="s">
        <v>803</v>
      </c>
      <c r="J1260" s="9" t="s">
        <v>899</v>
      </c>
      <c r="K1260" s="30">
        <v>2</v>
      </c>
      <c r="L1260" s="9" t="s">
        <v>900</v>
      </c>
      <c r="M1260" s="30" t="s">
        <v>84</v>
      </c>
      <c r="N1260" s="30" t="s">
        <v>155</v>
      </c>
      <c r="O1260" s="24">
        <v>224</v>
      </c>
      <c r="P1260" s="24">
        <v>0</v>
      </c>
      <c r="Q1260" s="24">
        <v>0</v>
      </c>
      <c r="R1260" s="24">
        <v>0</v>
      </c>
      <c r="S1260" s="24">
        <v>0</v>
      </c>
      <c r="T1260" s="24">
        <v>224</v>
      </c>
    </row>
    <row r="1261" spans="1:20">
      <c r="A1261" s="9" t="s">
        <v>829</v>
      </c>
      <c r="B1261" s="30" t="s">
        <v>942</v>
      </c>
      <c r="C1261" s="30" t="str">
        <f>CONCATENATE(VOL_VOLUMEN_SUMINISTROS[[#This Row],[Proyecto]],VOL_VOLUMEN_SUMINISTROS[[#This Row],[J]],VOL_VOLUMEN_SUMINISTROS[[#This Row],[FIN DE SEMANA]])</f>
        <v>1052-1MNO</v>
      </c>
      <c r="D1261" s="365" t="str">
        <f>CONCATENATE(VOL_VOLUMEN_SUMINISTROS[[#This Row],[Grupo]],VOL_VOLUMEN_SUMINISTROS[[#This Row],[Proyecto]],VOL_VOLUMEN_SUMINISTROS[[#This Row],[FIN DE SEMANA]])</f>
        <v>161052-1NO</v>
      </c>
      <c r="E1261" s="30" t="s">
        <v>147</v>
      </c>
      <c r="F1261" s="30" t="s">
        <v>148</v>
      </c>
      <c r="G1261" s="365">
        <v>16</v>
      </c>
      <c r="H1261" s="30">
        <v>1</v>
      </c>
      <c r="I1261" s="9" t="s">
        <v>397</v>
      </c>
      <c r="J1261" s="9" t="s">
        <v>943</v>
      </c>
      <c r="K1261" s="30">
        <v>1</v>
      </c>
      <c r="L1261" s="9" t="s">
        <v>944</v>
      </c>
      <c r="M1261" s="30" t="s">
        <v>84</v>
      </c>
      <c r="N1261" s="30" t="s">
        <v>152</v>
      </c>
      <c r="O1261" s="24">
        <v>0</v>
      </c>
      <c r="P1261" s="24">
        <v>243</v>
      </c>
      <c r="Q1261" s="24">
        <v>493</v>
      </c>
      <c r="R1261" s="24">
        <v>0</v>
      </c>
      <c r="S1261" s="24">
        <v>0</v>
      </c>
      <c r="T1261" s="24">
        <v>736</v>
      </c>
    </row>
    <row r="1262" spans="1:20">
      <c r="A1262" s="9" t="s">
        <v>829</v>
      </c>
      <c r="B1262" s="30" t="s">
        <v>942</v>
      </c>
      <c r="C1262" s="30" t="str">
        <f>CONCATENATE(VOL_VOLUMEN_SUMINISTROS[[#This Row],[Proyecto]],VOL_VOLUMEN_SUMINISTROS[[#This Row],[J]],VOL_VOLUMEN_SUMINISTROS[[#This Row],[FIN DE SEMANA]])</f>
        <v>1052-1NNO</v>
      </c>
      <c r="D1262" s="365" t="str">
        <f>CONCATENATE(VOL_VOLUMEN_SUMINISTROS[[#This Row],[Grupo]],VOL_VOLUMEN_SUMINISTROS[[#This Row],[Proyecto]],VOL_VOLUMEN_SUMINISTROS[[#This Row],[FIN DE SEMANA]])</f>
        <v>161052-1NO</v>
      </c>
      <c r="E1262" s="30" t="s">
        <v>147</v>
      </c>
      <c r="F1262" s="30" t="s">
        <v>148</v>
      </c>
      <c r="G1262" s="365">
        <v>16</v>
      </c>
      <c r="H1262" s="30">
        <v>1</v>
      </c>
      <c r="I1262" s="9" t="s">
        <v>397</v>
      </c>
      <c r="J1262" s="9" t="s">
        <v>943</v>
      </c>
      <c r="K1262" s="30">
        <v>1</v>
      </c>
      <c r="L1262" s="9" t="s">
        <v>944</v>
      </c>
      <c r="M1262" s="30" t="s">
        <v>84</v>
      </c>
      <c r="N1262" s="30" t="s">
        <v>154</v>
      </c>
      <c r="O1262" s="24">
        <v>0</v>
      </c>
      <c r="P1262" s="24">
        <v>0</v>
      </c>
      <c r="Q1262" s="24">
        <v>0</v>
      </c>
      <c r="R1262" s="24">
        <v>124</v>
      </c>
      <c r="S1262" s="24">
        <v>145</v>
      </c>
      <c r="T1262" s="24">
        <v>269</v>
      </c>
    </row>
    <row r="1263" spans="1:20">
      <c r="A1263" s="9" t="s">
        <v>829</v>
      </c>
      <c r="B1263" s="30" t="s">
        <v>942</v>
      </c>
      <c r="C1263" s="30" t="str">
        <f>CONCATENATE(VOL_VOLUMEN_SUMINISTROS[[#This Row],[Proyecto]],VOL_VOLUMEN_SUMINISTROS[[#This Row],[J]],VOL_VOLUMEN_SUMINISTROS[[#This Row],[FIN DE SEMANA]])</f>
        <v>1052-1TNO</v>
      </c>
      <c r="D1263" s="365" t="str">
        <f>CONCATENATE(VOL_VOLUMEN_SUMINISTROS[[#This Row],[Grupo]],VOL_VOLUMEN_SUMINISTROS[[#This Row],[Proyecto]],VOL_VOLUMEN_SUMINISTROS[[#This Row],[FIN DE SEMANA]])</f>
        <v>161052-1NO</v>
      </c>
      <c r="E1263" s="30" t="s">
        <v>147</v>
      </c>
      <c r="F1263" s="30" t="s">
        <v>148</v>
      </c>
      <c r="G1263" s="365">
        <v>16</v>
      </c>
      <c r="H1263" s="30">
        <v>1</v>
      </c>
      <c r="I1263" s="9" t="s">
        <v>397</v>
      </c>
      <c r="J1263" s="9" t="s">
        <v>943</v>
      </c>
      <c r="K1263" s="30">
        <v>1</v>
      </c>
      <c r="L1263" s="9" t="s">
        <v>944</v>
      </c>
      <c r="M1263" s="30" t="s">
        <v>84</v>
      </c>
      <c r="N1263" s="30" t="s">
        <v>155</v>
      </c>
      <c r="O1263" s="24">
        <v>0</v>
      </c>
      <c r="P1263" s="24">
        <v>207</v>
      </c>
      <c r="Q1263" s="24">
        <v>388</v>
      </c>
      <c r="R1263" s="24">
        <v>0</v>
      </c>
      <c r="S1263" s="24">
        <v>0</v>
      </c>
      <c r="T1263" s="24">
        <v>595</v>
      </c>
    </row>
    <row r="1264" spans="1:20">
      <c r="A1264" s="9" t="s">
        <v>829</v>
      </c>
      <c r="B1264" s="30" t="s">
        <v>942</v>
      </c>
      <c r="C1264" s="30" t="str">
        <f>CONCATENATE(VOL_VOLUMEN_SUMINISTROS[[#This Row],[Proyecto]],VOL_VOLUMEN_SUMINISTROS[[#This Row],[J]],VOL_VOLUMEN_SUMINISTROS[[#This Row],[FIN DE SEMANA]])</f>
        <v>1052-1MNO</v>
      </c>
      <c r="D1264" s="365" t="str">
        <f>CONCATENATE(VOL_VOLUMEN_SUMINISTROS[[#This Row],[Grupo]],VOL_VOLUMEN_SUMINISTROS[[#This Row],[Proyecto]],VOL_VOLUMEN_SUMINISTROS[[#This Row],[FIN DE SEMANA]])</f>
        <v>161052-1NO</v>
      </c>
      <c r="E1264" s="30" t="s">
        <v>147</v>
      </c>
      <c r="F1264" s="30" t="s">
        <v>148</v>
      </c>
      <c r="G1264" s="365">
        <v>16</v>
      </c>
      <c r="H1264" s="30">
        <v>1</v>
      </c>
      <c r="I1264" s="9" t="s">
        <v>397</v>
      </c>
      <c r="J1264" s="9" t="s">
        <v>943</v>
      </c>
      <c r="K1264" s="30">
        <v>2</v>
      </c>
      <c r="L1264" s="9" t="s">
        <v>945</v>
      </c>
      <c r="M1264" s="30" t="s">
        <v>84</v>
      </c>
      <c r="N1264" s="30" t="s">
        <v>152</v>
      </c>
      <c r="O1264" s="24">
        <v>303</v>
      </c>
      <c r="P1264" s="24">
        <v>292</v>
      </c>
      <c r="Q1264" s="24">
        <v>59</v>
      </c>
      <c r="R1264" s="24">
        <v>0</v>
      </c>
      <c r="S1264" s="24">
        <v>0</v>
      </c>
      <c r="T1264" s="24">
        <v>654</v>
      </c>
    </row>
    <row r="1265" spans="1:20">
      <c r="A1265" s="9" t="s">
        <v>829</v>
      </c>
      <c r="B1265" s="30" t="s">
        <v>942</v>
      </c>
      <c r="C1265" s="30" t="str">
        <f>CONCATENATE(VOL_VOLUMEN_SUMINISTROS[[#This Row],[Proyecto]],VOL_VOLUMEN_SUMINISTROS[[#This Row],[J]],VOL_VOLUMEN_SUMINISTROS[[#This Row],[FIN DE SEMANA]])</f>
        <v>1052-1TNO</v>
      </c>
      <c r="D1265" s="365" t="str">
        <f>CONCATENATE(VOL_VOLUMEN_SUMINISTROS[[#This Row],[Grupo]],VOL_VOLUMEN_SUMINISTROS[[#This Row],[Proyecto]],VOL_VOLUMEN_SUMINISTROS[[#This Row],[FIN DE SEMANA]])</f>
        <v>161052-1NO</v>
      </c>
      <c r="E1265" s="30" t="s">
        <v>147</v>
      </c>
      <c r="F1265" s="30" t="s">
        <v>148</v>
      </c>
      <c r="G1265" s="365">
        <v>16</v>
      </c>
      <c r="H1265" s="30">
        <v>1</v>
      </c>
      <c r="I1265" s="9" t="s">
        <v>397</v>
      </c>
      <c r="J1265" s="9" t="s">
        <v>943</v>
      </c>
      <c r="K1265" s="30">
        <v>2</v>
      </c>
      <c r="L1265" s="9" t="s">
        <v>945</v>
      </c>
      <c r="M1265" s="30" t="s">
        <v>84</v>
      </c>
      <c r="N1265" s="30" t="s">
        <v>155</v>
      </c>
      <c r="O1265" s="24">
        <v>320</v>
      </c>
      <c r="P1265" s="24">
        <v>267</v>
      </c>
      <c r="Q1265" s="24">
        <v>51</v>
      </c>
      <c r="R1265" s="24">
        <v>0</v>
      </c>
      <c r="S1265" s="24">
        <v>0</v>
      </c>
      <c r="T1265" s="24">
        <v>638</v>
      </c>
    </row>
    <row r="1266" spans="1:20">
      <c r="A1266" s="9" t="s">
        <v>829</v>
      </c>
      <c r="B1266" s="30" t="s">
        <v>942</v>
      </c>
      <c r="C1266" s="30" t="str">
        <f>CONCATENATE(VOL_VOLUMEN_SUMINISTROS[[#This Row],[Proyecto]],VOL_VOLUMEN_SUMINISTROS[[#This Row],[J]],VOL_VOLUMEN_SUMINISTROS[[#This Row],[FIN DE SEMANA]])</f>
        <v>1052-1MNO</v>
      </c>
      <c r="D1266" s="365" t="str">
        <f>CONCATENATE(VOL_VOLUMEN_SUMINISTROS[[#This Row],[Grupo]],VOL_VOLUMEN_SUMINISTROS[[#This Row],[Proyecto]],VOL_VOLUMEN_SUMINISTROS[[#This Row],[FIN DE SEMANA]])</f>
        <v>51052-1NO</v>
      </c>
      <c r="E1266" s="30" t="s">
        <v>147</v>
      </c>
      <c r="F1266" s="30" t="s">
        <v>148</v>
      </c>
      <c r="G1266" s="365">
        <v>5</v>
      </c>
      <c r="H1266" s="30">
        <v>10</v>
      </c>
      <c r="I1266" s="9" t="s">
        <v>331</v>
      </c>
      <c r="J1266" s="9" t="s">
        <v>933</v>
      </c>
      <c r="K1266" s="30">
        <v>1</v>
      </c>
      <c r="L1266" s="9" t="s">
        <v>934</v>
      </c>
      <c r="M1266" s="30" t="s">
        <v>84</v>
      </c>
      <c r="N1266" s="30" t="s">
        <v>152</v>
      </c>
      <c r="O1266" s="24">
        <v>0</v>
      </c>
      <c r="P1266" s="24">
        <v>156</v>
      </c>
      <c r="Q1266" s="24">
        <v>285</v>
      </c>
      <c r="R1266" s="24">
        <v>0</v>
      </c>
      <c r="S1266" s="24">
        <v>0</v>
      </c>
      <c r="T1266" s="24">
        <v>441</v>
      </c>
    </row>
    <row r="1267" spans="1:20">
      <c r="A1267" s="9" t="s">
        <v>829</v>
      </c>
      <c r="B1267" s="30" t="s">
        <v>942</v>
      </c>
      <c r="C1267" s="30" t="str">
        <f>CONCATENATE(VOL_VOLUMEN_SUMINISTROS[[#This Row],[Proyecto]],VOL_VOLUMEN_SUMINISTROS[[#This Row],[J]],VOL_VOLUMEN_SUMINISTROS[[#This Row],[FIN DE SEMANA]])</f>
        <v>1052-1TNO</v>
      </c>
      <c r="D1267" s="365" t="str">
        <f>CONCATENATE(VOL_VOLUMEN_SUMINISTROS[[#This Row],[Grupo]],VOL_VOLUMEN_SUMINISTROS[[#This Row],[Proyecto]],VOL_VOLUMEN_SUMINISTROS[[#This Row],[FIN DE SEMANA]])</f>
        <v>51052-1NO</v>
      </c>
      <c r="E1267" s="30" t="s">
        <v>147</v>
      </c>
      <c r="F1267" s="30" t="s">
        <v>148</v>
      </c>
      <c r="G1267" s="365">
        <v>5</v>
      </c>
      <c r="H1267" s="30">
        <v>10</v>
      </c>
      <c r="I1267" s="9" t="s">
        <v>331</v>
      </c>
      <c r="J1267" s="9" t="s">
        <v>933</v>
      </c>
      <c r="K1267" s="30">
        <v>1</v>
      </c>
      <c r="L1267" s="9" t="s">
        <v>934</v>
      </c>
      <c r="M1267" s="30" t="s">
        <v>84</v>
      </c>
      <c r="N1267" s="30" t="s">
        <v>155</v>
      </c>
      <c r="O1267" s="24">
        <v>0</v>
      </c>
      <c r="P1267" s="24">
        <v>42</v>
      </c>
      <c r="Q1267" s="24">
        <v>142</v>
      </c>
      <c r="R1267" s="24">
        <v>0</v>
      </c>
      <c r="S1267" s="24">
        <v>0</v>
      </c>
      <c r="T1267" s="24">
        <v>184</v>
      </c>
    </row>
    <row r="1268" spans="1:20">
      <c r="A1268" s="9" t="s">
        <v>829</v>
      </c>
      <c r="B1268" s="30" t="s">
        <v>942</v>
      </c>
      <c r="C1268" s="30" t="str">
        <f>CONCATENATE(VOL_VOLUMEN_SUMINISTROS[[#This Row],[Proyecto]],VOL_VOLUMEN_SUMINISTROS[[#This Row],[J]],VOL_VOLUMEN_SUMINISTROS[[#This Row],[FIN DE SEMANA]])</f>
        <v>1052-1MNO</v>
      </c>
      <c r="D1268" s="365" t="str">
        <f>CONCATENATE(VOL_VOLUMEN_SUMINISTROS[[#This Row],[Grupo]],VOL_VOLUMEN_SUMINISTROS[[#This Row],[Proyecto]],VOL_VOLUMEN_SUMINISTROS[[#This Row],[FIN DE SEMANA]])</f>
        <v>51052-1NO</v>
      </c>
      <c r="E1268" s="30" t="s">
        <v>147</v>
      </c>
      <c r="F1268" s="30" t="s">
        <v>148</v>
      </c>
      <c r="G1268" s="365">
        <v>5</v>
      </c>
      <c r="H1268" s="30">
        <v>10</v>
      </c>
      <c r="I1268" s="9" t="s">
        <v>331</v>
      </c>
      <c r="J1268" s="9" t="s">
        <v>933</v>
      </c>
      <c r="K1268" s="30">
        <v>2</v>
      </c>
      <c r="L1268" s="9" t="s">
        <v>935</v>
      </c>
      <c r="M1268" s="30" t="s">
        <v>84</v>
      </c>
      <c r="N1268" s="30" t="s">
        <v>152</v>
      </c>
      <c r="O1268" s="24">
        <v>176</v>
      </c>
      <c r="P1268" s="24">
        <v>43</v>
      </c>
      <c r="Q1268" s="24">
        <v>0</v>
      </c>
      <c r="R1268" s="24">
        <v>0</v>
      </c>
      <c r="S1268" s="24">
        <v>0</v>
      </c>
      <c r="T1268" s="24">
        <v>219</v>
      </c>
    </row>
    <row r="1269" spans="1:20">
      <c r="A1269" s="9" t="s">
        <v>829</v>
      </c>
      <c r="B1269" s="30" t="s">
        <v>942</v>
      </c>
      <c r="C1269" s="30" t="str">
        <f>CONCATENATE(VOL_VOLUMEN_SUMINISTROS[[#This Row],[Proyecto]],VOL_VOLUMEN_SUMINISTROS[[#This Row],[J]],VOL_VOLUMEN_SUMINISTROS[[#This Row],[FIN DE SEMANA]])</f>
        <v>1052-1MNO</v>
      </c>
      <c r="D1269" s="365" t="str">
        <f>CONCATENATE(VOL_VOLUMEN_SUMINISTROS[[#This Row],[Grupo]],VOL_VOLUMEN_SUMINISTROS[[#This Row],[Proyecto]],VOL_VOLUMEN_SUMINISTROS[[#This Row],[FIN DE SEMANA]])</f>
        <v>51052-1NO</v>
      </c>
      <c r="E1269" s="30" t="s">
        <v>147</v>
      </c>
      <c r="F1269" s="30" t="s">
        <v>148</v>
      </c>
      <c r="G1269" s="365">
        <v>5</v>
      </c>
      <c r="H1269" s="30">
        <v>10</v>
      </c>
      <c r="I1269" s="9" t="s">
        <v>331</v>
      </c>
      <c r="J1269" s="9" t="s">
        <v>933</v>
      </c>
      <c r="K1269" s="30">
        <v>3</v>
      </c>
      <c r="L1269" s="9" t="s">
        <v>936</v>
      </c>
      <c r="M1269" s="30" t="s">
        <v>84</v>
      </c>
      <c r="N1269" s="30" t="s">
        <v>152</v>
      </c>
      <c r="O1269" s="24">
        <v>46</v>
      </c>
      <c r="P1269" s="24">
        <v>119</v>
      </c>
      <c r="Q1269" s="24">
        <v>32</v>
      </c>
      <c r="R1269" s="24">
        <v>0</v>
      </c>
      <c r="S1269" s="24">
        <v>0</v>
      </c>
      <c r="T1269" s="24">
        <v>197</v>
      </c>
    </row>
    <row r="1270" spans="1:20">
      <c r="A1270" s="9" t="s">
        <v>829</v>
      </c>
      <c r="B1270" s="30" t="s">
        <v>942</v>
      </c>
      <c r="C1270" s="30" t="str">
        <f>CONCATENATE(VOL_VOLUMEN_SUMINISTROS[[#This Row],[Proyecto]],VOL_VOLUMEN_SUMINISTROS[[#This Row],[J]],VOL_VOLUMEN_SUMINISTROS[[#This Row],[FIN DE SEMANA]])</f>
        <v>1052-1TNO</v>
      </c>
      <c r="D1270" s="365" t="str">
        <f>CONCATENATE(VOL_VOLUMEN_SUMINISTROS[[#This Row],[Grupo]],VOL_VOLUMEN_SUMINISTROS[[#This Row],[Proyecto]],VOL_VOLUMEN_SUMINISTROS[[#This Row],[FIN DE SEMANA]])</f>
        <v>51052-1NO</v>
      </c>
      <c r="E1270" s="30" t="s">
        <v>147</v>
      </c>
      <c r="F1270" s="30" t="s">
        <v>148</v>
      </c>
      <c r="G1270" s="365">
        <v>5</v>
      </c>
      <c r="H1270" s="30">
        <v>10</v>
      </c>
      <c r="I1270" s="9" t="s">
        <v>331</v>
      </c>
      <c r="J1270" s="9" t="s">
        <v>933</v>
      </c>
      <c r="K1270" s="30">
        <v>3</v>
      </c>
      <c r="L1270" s="9" t="s">
        <v>936</v>
      </c>
      <c r="M1270" s="30" t="s">
        <v>84</v>
      </c>
      <c r="N1270" s="30" t="s">
        <v>155</v>
      </c>
      <c r="O1270" s="24">
        <v>14</v>
      </c>
      <c r="P1270" s="24">
        <v>34</v>
      </c>
      <c r="Q1270" s="24">
        <v>9</v>
      </c>
      <c r="R1270" s="24">
        <v>0</v>
      </c>
      <c r="S1270" s="24">
        <v>0</v>
      </c>
      <c r="T1270" s="24">
        <v>57</v>
      </c>
    </row>
    <row r="1271" spans="1:20">
      <c r="A1271" s="9" t="s">
        <v>829</v>
      </c>
      <c r="B1271" s="30" t="s">
        <v>942</v>
      </c>
      <c r="C1271" s="30" t="str">
        <f>CONCATENATE(VOL_VOLUMEN_SUMINISTROS[[#This Row],[Proyecto]],VOL_VOLUMEN_SUMINISTROS[[#This Row],[J]],VOL_VOLUMEN_SUMINISTROS[[#This Row],[FIN DE SEMANA]])</f>
        <v>1052-1MNO</v>
      </c>
      <c r="D1271" s="365" t="str">
        <f>CONCATENATE(VOL_VOLUMEN_SUMINISTROS[[#This Row],[Grupo]],VOL_VOLUMEN_SUMINISTROS[[#This Row],[Proyecto]],VOL_VOLUMEN_SUMINISTROS[[#This Row],[FIN DE SEMANA]])</f>
        <v>51052-1NO</v>
      </c>
      <c r="E1271" s="30" t="s">
        <v>147</v>
      </c>
      <c r="F1271" s="30" t="s">
        <v>148</v>
      </c>
      <c r="G1271" s="365">
        <v>5</v>
      </c>
      <c r="H1271" s="30">
        <v>10</v>
      </c>
      <c r="I1271" s="9" t="s">
        <v>331</v>
      </c>
      <c r="J1271" s="9" t="s">
        <v>933</v>
      </c>
      <c r="K1271" s="30">
        <v>4</v>
      </c>
      <c r="L1271" s="9" t="s">
        <v>937</v>
      </c>
      <c r="M1271" s="30" t="s">
        <v>84</v>
      </c>
      <c r="N1271" s="30" t="s">
        <v>152</v>
      </c>
      <c r="O1271" s="24">
        <v>131</v>
      </c>
      <c r="P1271" s="24">
        <v>81</v>
      </c>
      <c r="Q1271" s="24">
        <v>16</v>
      </c>
      <c r="R1271" s="24">
        <v>0</v>
      </c>
      <c r="S1271" s="24">
        <v>0</v>
      </c>
      <c r="T1271" s="24">
        <v>228</v>
      </c>
    </row>
    <row r="1272" spans="1:20">
      <c r="A1272" s="9" t="s">
        <v>829</v>
      </c>
      <c r="B1272" s="30" t="s">
        <v>942</v>
      </c>
      <c r="C1272" s="30" t="str">
        <f>CONCATENATE(VOL_VOLUMEN_SUMINISTROS[[#This Row],[Proyecto]],VOL_VOLUMEN_SUMINISTROS[[#This Row],[J]],VOL_VOLUMEN_SUMINISTROS[[#This Row],[FIN DE SEMANA]])</f>
        <v>1052-1TNO</v>
      </c>
      <c r="D1272" s="365" t="str">
        <f>CONCATENATE(VOL_VOLUMEN_SUMINISTROS[[#This Row],[Grupo]],VOL_VOLUMEN_SUMINISTROS[[#This Row],[Proyecto]],VOL_VOLUMEN_SUMINISTROS[[#This Row],[FIN DE SEMANA]])</f>
        <v>51052-1NO</v>
      </c>
      <c r="E1272" s="30" t="s">
        <v>147</v>
      </c>
      <c r="F1272" s="30" t="s">
        <v>148</v>
      </c>
      <c r="G1272" s="365">
        <v>5</v>
      </c>
      <c r="H1272" s="30">
        <v>10</v>
      </c>
      <c r="I1272" s="9" t="s">
        <v>331</v>
      </c>
      <c r="J1272" s="9" t="s">
        <v>933</v>
      </c>
      <c r="K1272" s="30">
        <v>4</v>
      </c>
      <c r="L1272" s="9" t="s">
        <v>937</v>
      </c>
      <c r="M1272" s="30" t="s">
        <v>84</v>
      </c>
      <c r="N1272" s="30" t="s">
        <v>155</v>
      </c>
      <c r="O1272" s="24">
        <v>0</v>
      </c>
      <c r="P1272" s="24">
        <v>21</v>
      </c>
      <c r="Q1272" s="24">
        <v>7</v>
      </c>
      <c r="R1272" s="24">
        <v>0</v>
      </c>
      <c r="S1272" s="24">
        <v>0</v>
      </c>
      <c r="T1272" s="24">
        <v>28</v>
      </c>
    </row>
    <row r="1273" spans="1:20">
      <c r="A1273" s="9" t="s">
        <v>829</v>
      </c>
      <c r="B1273" s="30" t="s">
        <v>942</v>
      </c>
      <c r="C1273" s="30" t="str">
        <f>CONCATENATE(VOL_VOLUMEN_SUMINISTROS[[#This Row],[Proyecto]],VOL_VOLUMEN_SUMINISTROS[[#This Row],[J]],VOL_VOLUMEN_SUMINISTROS[[#This Row],[FIN DE SEMANA]])</f>
        <v>1052-1MNO</v>
      </c>
      <c r="D1273" s="365" t="str">
        <f>CONCATENATE(VOL_VOLUMEN_SUMINISTROS[[#This Row],[Grupo]],VOL_VOLUMEN_SUMINISTROS[[#This Row],[Proyecto]],VOL_VOLUMEN_SUMINISTROS[[#This Row],[FIN DE SEMANA]])</f>
        <v>51052-1NO</v>
      </c>
      <c r="E1273" s="30" t="s">
        <v>147</v>
      </c>
      <c r="F1273" s="30" t="s">
        <v>148</v>
      </c>
      <c r="G1273" s="365">
        <v>5</v>
      </c>
      <c r="H1273" s="30">
        <v>10</v>
      </c>
      <c r="I1273" s="9" t="s">
        <v>331</v>
      </c>
      <c r="J1273" s="9" t="s">
        <v>902</v>
      </c>
      <c r="K1273" s="30">
        <v>1</v>
      </c>
      <c r="L1273" s="9" t="s">
        <v>153</v>
      </c>
      <c r="M1273" s="30" t="s">
        <v>84</v>
      </c>
      <c r="N1273" s="30" t="s">
        <v>152</v>
      </c>
      <c r="O1273" s="24">
        <v>352</v>
      </c>
      <c r="P1273" s="24">
        <v>339</v>
      </c>
      <c r="Q1273" s="24">
        <v>66</v>
      </c>
      <c r="R1273" s="24">
        <v>0</v>
      </c>
      <c r="S1273" s="24">
        <v>0</v>
      </c>
      <c r="T1273" s="24">
        <v>757</v>
      </c>
    </row>
    <row r="1274" spans="1:20">
      <c r="A1274" s="9" t="s">
        <v>829</v>
      </c>
      <c r="B1274" s="30" t="s">
        <v>942</v>
      </c>
      <c r="C1274" s="30" t="str">
        <f>CONCATENATE(VOL_VOLUMEN_SUMINISTROS[[#This Row],[Proyecto]],VOL_VOLUMEN_SUMINISTROS[[#This Row],[J]],VOL_VOLUMEN_SUMINISTROS[[#This Row],[FIN DE SEMANA]])</f>
        <v>1052-1NNO</v>
      </c>
      <c r="D1274" s="365" t="str">
        <f>CONCATENATE(VOL_VOLUMEN_SUMINISTROS[[#This Row],[Grupo]],VOL_VOLUMEN_SUMINISTROS[[#This Row],[Proyecto]],VOL_VOLUMEN_SUMINISTROS[[#This Row],[FIN DE SEMANA]])</f>
        <v>51052-1NO</v>
      </c>
      <c r="E1274" s="30" t="s">
        <v>147</v>
      </c>
      <c r="F1274" s="30" t="s">
        <v>148</v>
      </c>
      <c r="G1274" s="365">
        <v>5</v>
      </c>
      <c r="H1274" s="30">
        <v>10</v>
      </c>
      <c r="I1274" s="9" t="s">
        <v>331</v>
      </c>
      <c r="J1274" s="9" t="s">
        <v>902</v>
      </c>
      <c r="K1274" s="30">
        <v>1</v>
      </c>
      <c r="L1274" s="9" t="s">
        <v>153</v>
      </c>
      <c r="M1274" s="30" t="s">
        <v>84</v>
      </c>
      <c r="N1274" s="30" t="s">
        <v>154</v>
      </c>
      <c r="O1274" s="24">
        <v>0</v>
      </c>
      <c r="P1274" s="24">
        <v>0</v>
      </c>
      <c r="Q1274" s="24">
        <v>0</v>
      </c>
      <c r="R1274" s="24">
        <v>117</v>
      </c>
      <c r="S1274" s="24">
        <v>112</v>
      </c>
      <c r="T1274" s="24">
        <v>229</v>
      </c>
    </row>
    <row r="1275" spans="1:20">
      <c r="A1275" s="9" t="s">
        <v>829</v>
      </c>
      <c r="B1275" s="30" t="s">
        <v>942</v>
      </c>
      <c r="C1275" s="30" t="str">
        <f>CONCATENATE(VOL_VOLUMEN_SUMINISTROS[[#This Row],[Proyecto]],VOL_VOLUMEN_SUMINISTROS[[#This Row],[J]],VOL_VOLUMEN_SUMINISTROS[[#This Row],[FIN DE SEMANA]])</f>
        <v>1052-1TNO</v>
      </c>
      <c r="D1275" s="365" t="str">
        <f>CONCATENATE(VOL_VOLUMEN_SUMINISTROS[[#This Row],[Grupo]],VOL_VOLUMEN_SUMINISTROS[[#This Row],[Proyecto]],VOL_VOLUMEN_SUMINISTROS[[#This Row],[FIN DE SEMANA]])</f>
        <v>51052-1NO</v>
      </c>
      <c r="E1275" s="30" t="s">
        <v>147</v>
      </c>
      <c r="F1275" s="30" t="s">
        <v>148</v>
      </c>
      <c r="G1275" s="365">
        <v>5</v>
      </c>
      <c r="H1275" s="30">
        <v>10</v>
      </c>
      <c r="I1275" s="9" t="s">
        <v>331</v>
      </c>
      <c r="J1275" s="9" t="s">
        <v>902</v>
      </c>
      <c r="K1275" s="30">
        <v>1</v>
      </c>
      <c r="L1275" s="9" t="s">
        <v>153</v>
      </c>
      <c r="M1275" s="30" t="s">
        <v>84</v>
      </c>
      <c r="N1275" s="30" t="s">
        <v>155</v>
      </c>
      <c r="O1275" s="24">
        <v>67</v>
      </c>
      <c r="P1275" s="24">
        <v>183</v>
      </c>
      <c r="Q1275" s="24">
        <v>432</v>
      </c>
      <c r="R1275" s="24">
        <v>0</v>
      </c>
      <c r="S1275" s="24">
        <v>0</v>
      </c>
      <c r="T1275" s="24">
        <v>682</v>
      </c>
    </row>
    <row r="1276" spans="1:20">
      <c r="A1276" s="9" t="s">
        <v>829</v>
      </c>
      <c r="B1276" s="30" t="s">
        <v>942</v>
      </c>
      <c r="C1276" s="30" t="str">
        <f>CONCATENATE(VOL_VOLUMEN_SUMINISTROS[[#This Row],[Proyecto]],VOL_VOLUMEN_SUMINISTROS[[#This Row],[J]],VOL_VOLUMEN_SUMINISTROS[[#This Row],[FIN DE SEMANA]])</f>
        <v>1052-1MNO</v>
      </c>
      <c r="D1276" s="365" t="str">
        <f>CONCATENATE(VOL_VOLUMEN_SUMINISTROS[[#This Row],[Grupo]],VOL_VOLUMEN_SUMINISTROS[[#This Row],[Proyecto]],VOL_VOLUMEN_SUMINISTROS[[#This Row],[FIN DE SEMANA]])</f>
        <v>51052-1NO</v>
      </c>
      <c r="E1276" s="30" t="s">
        <v>147</v>
      </c>
      <c r="F1276" s="30" t="s">
        <v>148</v>
      </c>
      <c r="G1276" s="365">
        <v>5</v>
      </c>
      <c r="H1276" s="30">
        <v>10</v>
      </c>
      <c r="I1276" s="9" t="s">
        <v>331</v>
      </c>
      <c r="J1276" s="9" t="s">
        <v>946</v>
      </c>
      <c r="K1276" s="30">
        <v>1</v>
      </c>
      <c r="L1276" s="9" t="s">
        <v>947</v>
      </c>
      <c r="M1276" s="30" t="s">
        <v>84</v>
      </c>
      <c r="N1276" s="30" t="s">
        <v>152</v>
      </c>
      <c r="O1276" s="24">
        <v>36</v>
      </c>
      <c r="P1276" s="24">
        <v>345</v>
      </c>
      <c r="Q1276" s="24">
        <v>561</v>
      </c>
      <c r="R1276" s="24">
        <v>0</v>
      </c>
      <c r="S1276" s="24">
        <v>0</v>
      </c>
      <c r="T1276" s="24">
        <v>942</v>
      </c>
    </row>
    <row r="1277" spans="1:20">
      <c r="A1277" s="9" t="s">
        <v>829</v>
      </c>
      <c r="B1277" s="30" t="s">
        <v>942</v>
      </c>
      <c r="C1277" s="30" t="str">
        <f>CONCATENATE(VOL_VOLUMEN_SUMINISTROS[[#This Row],[Proyecto]],VOL_VOLUMEN_SUMINISTROS[[#This Row],[J]],VOL_VOLUMEN_SUMINISTROS[[#This Row],[FIN DE SEMANA]])</f>
        <v>1052-1TNO</v>
      </c>
      <c r="D1277" s="365" t="str">
        <f>CONCATENATE(VOL_VOLUMEN_SUMINISTROS[[#This Row],[Grupo]],VOL_VOLUMEN_SUMINISTROS[[#This Row],[Proyecto]],VOL_VOLUMEN_SUMINISTROS[[#This Row],[FIN DE SEMANA]])</f>
        <v>51052-1NO</v>
      </c>
      <c r="E1277" s="30" t="s">
        <v>147</v>
      </c>
      <c r="F1277" s="30" t="s">
        <v>148</v>
      </c>
      <c r="G1277" s="365">
        <v>5</v>
      </c>
      <c r="H1277" s="30">
        <v>10</v>
      </c>
      <c r="I1277" s="9" t="s">
        <v>331</v>
      </c>
      <c r="J1277" s="9" t="s">
        <v>946</v>
      </c>
      <c r="K1277" s="30">
        <v>1</v>
      </c>
      <c r="L1277" s="9" t="s">
        <v>947</v>
      </c>
      <c r="M1277" s="30" t="s">
        <v>84</v>
      </c>
      <c r="N1277" s="30" t="s">
        <v>155</v>
      </c>
      <c r="O1277" s="24">
        <v>26</v>
      </c>
      <c r="P1277" s="24">
        <v>253</v>
      </c>
      <c r="Q1277" s="24">
        <v>409</v>
      </c>
      <c r="R1277" s="24">
        <v>0</v>
      </c>
      <c r="S1277" s="24">
        <v>0</v>
      </c>
      <c r="T1277" s="24">
        <v>688</v>
      </c>
    </row>
    <row r="1278" spans="1:20">
      <c r="A1278" s="9" t="s">
        <v>829</v>
      </c>
      <c r="B1278" s="30" t="s">
        <v>942</v>
      </c>
      <c r="C1278" s="30" t="str">
        <f>CONCATENATE(VOL_VOLUMEN_SUMINISTROS[[#This Row],[Proyecto]],VOL_VOLUMEN_SUMINISTROS[[#This Row],[J]],VOL_VOLUMEN_SUMINISTROS[[#This Row],[FIN DE SEMANA]])</f>
        <v>1052-1MNO</v>
      </c>
      <c r="D1278" s="365" t="str">
        <f>CONCATENATE(VOL_VOLUMEN_SUMINISTROS[[#This Row],[Grupo]],VOL_VOLUMEN_SUMINISTROS[[#This Row],[Proyecto]],VOL_VOLUMEN_SUMINISTROS[[#This Row],[FIN DE SEMANA]])</f>
        <v>51052-1NO</v>
      </c>
      <c r="E1278" s="30" t="s">
        <v>147</v>
      </c>
      <c r="F1278" s="30" t="s">
        <v>148</v>
      </c>
      <c r="G1278" s="365">
        <v>5</v>
      </c>
      <c r="H1278" s="30">
        <v>10</v>
      </c>
      <c r="I1278" s="9" t="s">
        <v>331</v>
      </c>
      <c r="J1278" s="9" t="s">
        <v>946</v>
      </c>
      <c r="K1278" s="30">
        <v>2</v>
      </c>
      <c r="L1278" s="9" t="s">
        <v>948</v>
      </c>
      <c r="M1278" s="30" t="s">
        <v>84</v>
      </c>
      <c r="N1278" s="30" t="s">
        <v>152</v>
      </c>
      <c r="O1278" s="24">
        <v>225</v>
      </c>
      <c r="P1278" s="24">
        <v>62</v>
      </c>
      <c r="Q1278" s="24">
        <v>0</v>
      </c>
      <c r="R1278" s="24">
        <v>0</v>
      </c>
      <c r="S1278" s="24">
        <v>0</v>
      </c>
      <c r="T1278" s="24">
        <v>287</v>
      </c>
    </row>
    <row r="1279" spans="1:20">
      <c r="A1279" s="9" t="s">
        <v>829</v>
      </c>
      <c r="B1279" s="30" t="s">
        <v>942</v>
      </c>
      <c r="C1279" s="30" t="str">
        <f>CONCATENATE(VOL_VOLUMEN_SUMINISTROS[[#This Row],[Proyecto]],VOL_VOLUMEN_SUMINISTROS[[#This Row],[J]],VOL_VOLUMEN_SUMINISTROS[[#This Row],[FIN DE SEMANA]])</f>
        <v>1052-1TNO</v>
      </c>
      <c r="D1279" s="365" t="str">
        <f>CONCATENATE(VOL_VOLUMEN_SUMINISTROS[[#This Row],[Grupo]],VOL_VOLUMEN_SUMINISTROS[[#This Row],[Proyecto]],VOL_VOLUMEN_SUMINISTROS[[#This Row],[FIN DE SEMANA]])</f>
        <v>51052-1NO</v>
      </c>
      <c r="E1279" s="30" t="s">
        <v>147</v>
      </c>
      <c r="F1279" s="30" t="s">
        <v>148</v>
      </c>
      <c r="G1279" s="365">
        <v>5</v>
      </c>
      <c r="H1279" s="30">
        <v>10</v>
      </c>
      <c r="I1279" s="9" t="s">
        <v>331</v>
      </c>
      <c r="J1279" s="9" t="s">
        <v>946</v>
      </c>
      <c r="K1279" s="30">
        <v>2</v>
      </c>
      <c r="L1279" s="9" t="s">
        <v>948</v>
      </c>
      <c r="M1279" s="30" t="s">
        <v>84</v>
      </c>
      <c r="N1279" s="30" t="s">
        <v>155</v>
      </c>
      <c r="O1279" s="24">
        <v>155</v>
      </c>
      <c r="P1279" s="24">
        <v>45</v>
      </c>
      <c r="Q1279" s="24">
        <v>0</v>
      </c>
      <c r="R1279" s="24">
        <v>0</v>
      </c>
      <c r="S1279" s="24">
        <v>0</v>
      </c>
      <c r="T1279" s="24">
        <v>200</v>
      </c>
    </row>
    <row r="1280" spans="1:20">
      <c r="A1280" s="9" t="s">
        <v>829</v>
      </c>
      <c r="B1280" s="30" t="s">
        <v>942</v>
      </c>
      <c r="C1280" s="30" t="str">
        <f>CONCATENATE(VOL_VOLUMEN_SUMINISTROS[[#This Row],[Proyecto]],VOL_VOLUMEN_SUMINISTROS[[#This Row],[J]],VOL_VOLUMEN_SUMINISTROS[[#This Row],[FIN DE SEMANA]])</f>
        <v>1052-1MNO</v>
      </c>
      <c r="D1280" s="365" t="str">
        <f>CONCATENATE(VOL_VOLUMEN_SUMINISTROS[[#This Row],[Grupo]],VOL_VOLUMEN_SUMINISTROS[[#This Row],[Proyecto]],VOL_VOLUMEN_SUMINISTROS[[#This Row],[FIN DE SEMANA]])</f>
        <v>51052-1NO</v>
      </c>
      <c r="E1280" s="30" t="s">
        <v>147</v>
      </c>
      <c r="F1280" s="30" t="s">
        <v>148</v>
      </c>
      <c r="G1280" s="365">
        <v>5</v>
      </c>
      <c r="H1280" s="30">
        <v>10</v>
      </c>
      <c r="I1280" s="9" t="s">
        <v>331</v>
      </c>
      <c r="J1280" s="9" t="s">
        <v>864</v>
      </c>
      <c r="K1280" s="30">
        <v>1</v>
      </c>
      <c r="L1280" s="9" t="s">
        <v>865</v>
      </c>
      <c r="M1280" s="30" t="s">
        <v>84</v>
      </c>
      <c r="N1280" s="30" t="s">
        <v>152</v>
      </c>
      <c r="O1280" s="24">
        <v>0</v>
      </c>
      <c r="P1280" s="24">
        <v>168</v>
      </c>
      <c r="Q1280" s="24">
        <v>469</v>
      </c>
      <c r="R1280" s="24">
        <v>0</v>
      </c>
      <c r="S1280" s="24">
        <v>0</v>
      </c>
      <c r="T1280" s="24">
        <v>637</v>
      </c>
    </row>
    <row r="1281" spans="1:20">
      <c r="A1281" s="9" t="s">
        <v>829</v>
      </c>
      <c r="B1281" s="30" t="s">
        <v>942</v>
      </c>
      <c r="C1281" s="30" t="str">
        <f>CONCATENATE(VOL_VOLUMEN_SUMINISTROS[[#This Row],[Proyecto]],VOL_VOLUMEN_SUMINISTROS[[#This Row],[J]],VOL_VOLUMEN_SUMINISTROS[[#This Row],[FIN DE SEMANA]])</f>
        <v>1052-1TNO</v>
      </c>
      <c r="D1281" s="365" t="str">
        <f>CONCATENATE(VOL_VOLUMEN_SUMINISTROS[[#This Row],[Grupo]],VOL_VOLUMEN_SUMINISTROS[[#This Row],[Proyecto]],VOL_VOLUMEN_SUMINISTROS[[#This Row],[FIN DE SEMANA]])</f>
        <v>51052-1NO</v>
      </c>
      <c r="E1281" s="30" t="s">
        <v>147</v>
      </c>
      <c r="F1281" s="30" t="s">
        <v>148</v>
      </c>
      <c r="G1281" s="365">
        <v>5</v>
      </c>
      <c r="H1281" s="30">
        <v>10</v>
      </c>
      <c r="I1281" s="9" t="s">
        <v>331</v>
      </c>
      <c r="J1281" s="9" t="s">
        <v>864</v>
      </c>
      <c r="K1281" s="30">
        <v>1</v>
      </c>
      <c r="L1281" s="9" t="s">
        <v>865</v>
      </c>
      <c r="M1281" s="30" t="s">
        <v>84</v>
      </c>
      <c r="N1281" s="30" t="s">
        <v>155</v>
      </c>
      <c r="O1281" s="24">
        <v>0</v>
      </c>
      <c r="P1281" s="24">
        <v>114</v>
      </c>
      <c r="Q1281" s="24">
        <v>292</v>
      </c>
      <c r="R1281" s="24">
        <v>0</v>
      </c>
      <c r="S1281" s="24">
        <v>0</v>
      </c>
      <c r="T1281" s="24">
        <v>406</v>
      </c>
    </row>
    <row r="1282" spans="1:20">
      <c r="A1282" s="9" t="s">
        <v>829</v>
      </c>
      <c r="B1282" s="30" t="s">
        <v>942</v>
      </c>
      <c r="C1282" s="30" t="str">
        <f>CONCATENATE(VOL_VOLUMEN_SUMINISTROS[[#This Row],[Proyecto]],VOL_VOLUMEN_SUMINISTROS[[#This Row],[J]],VOL_VOLUMEN_SUMINISTROS[[#This Row],[FIN DE SEMANA]])</f>
        <v>1052-1MNO</v>
      </c>
      <c r="D1282" s="365" t="str">
        <f>CONCATENATE(VOL_VOLUMEN_SUMINISTROS[[#This Row],[Grupo]],VOL_VOLUMEN_SUMINISTROS[[#This Row],[Proyecto]],VOL_VOLUMEN_SUMINISTROS[[#This Row],[FIN DE SEMANA]])</f>
        <v>51052-1NO</v>
      </c>
      <c r="E1282" s="30" t="s">
        <v>147</v>
      </c>
      <c r="F1282" s="30" t="s">
        <v>148</v>
      </c>
      <c r="G1282" s="365">
        <v>5</v>
      </c>
      <c r="H1282" s="30">
        <v>10</v>
      </c>
      <c r="I1282" s="9" t="s">
        <v>331</v>
      </c>
      <c r="J1282" s="9" t="s">
        <v>949</v>
      </c>
      <c r="K1282" s="30">
        <v>1</v>
      </c>
      <c r="L1282" s="9" t="s">
        <v>950</v>
      </c>
      <c r="M1282" s="30" t="s">
        <v>84</v>
      </c>
      <c r="N1282" s="30" t="s">
        <v>152</v>
      </c>
      <c r="O1282" s="24">
        <v>0</v>
      </c>
      <c r="P1282" s="24">
        <v>252</v>
      </c>
      <c r="Q1282" s="24">
        <v>518</v>
      </c>
      <c r="R1282" s="24">
        <v>0</v>
      </c>
      <c r="S1282" s="24">
        <v>0</v>
      </c>
      <c r="T1282" s="24">
        <v>770</v>
      </c>
    </row>
    <row r="1283" spans="1:20">
      <c r="A1283" s="9" t="s">
        <v>829</v>
      </c>
      <c r="B1283" s="30" t="s">
        <v>942</v>
      </c>
      <c r="C1283" s="30" t="str">
        <f>CONCATENATE(VOL_VOLUMEN_SUMINISTROS[[#This Row],[Proyecto]],VOL_VOLUMEN_SUMINISTROS[[#This Row],[J]],VOL_VOLUMEN_SUMINISTROS[[#This Row],[FIN DE SEMANA]])</f>
        <v>1052-1TNO</v>
      </c>
      <c r="D1283" s="365" t="str">
        <f>CONCATENATE(VOL_VOLUMEN_SUMINISTROS[[#This Row],[Grupo]],VOL_VOLUMEN_SUMINISTROS[[#This Row],[Proyecto]],VOL_VOLUMEN_SUMINISTROS[[#This Row],[FIN DE SEMANA]])</f>
        <v>51052-1NO</v>
      </c>
      <c r="E1283" s="30" t="s">
        <v>147</v>
      </c>
      <c r="F1283" s="30" t="s">
        <v>148</v>
      </c>
      <c r="G1283" s="365">
        <v>5</v>
      </c>
      <c r="H1283" s="30">
        <v>10</v>
      </c>
      <c r="I1283" s="9" t="s">
        <v>331</v>
      </c>
      <c r="J1283" s="9" t="s">
        <v>949</v>
      </c>
      <c r="K1283" s="30">
        <v>1</v>
      </c>
      <c r="L1283" s="9" t="s">
        <v>950</v>
      </c>
      <c r="M1283" s="30" t="s">
        <v>84</v>
      </c>
      <c r="N1283" s="30" t="s">
        <v>155</v>
      </c>
      <c r="O1283" s="24">
        <v>0</v>
      </c>
      <c r="P1283" s="24">
        <v>129</v>
      </c>
      <c r="Q1283" s="24">
        <v>258</v>
      </c>
      <c r="R1283" s="24">
        <v>0</v>
      </c>
      <c r="S1283" s="24">
        <v>0</v>
      </c>
      <c r="T1283" s="24">
        <v>387</v>
      </c>
    </row>
    <row r="1284" spans="1:20">
      <c r="A1284" s="9" t="s">
        <v>829</v>
      </c>
      <c r="B1284" s="30" t="s">
        <v>942</v>
      </c>
      <c r="C1284" s="30" t="str">
        <f>CONCATENATE(VOL_VOLUMEN_SUMINISTROS[[#This Row],[Proyecto]],VOL_VOLUMEN_SUMINISTROS[[#This Row],[J]],VOL_VOLUMEN_SUMINISTROS[[#This Row],[FIN DE SEMANA]])</f>
        <v>1052-1MNO</v>
      </c>
      <c r="D1284" s="365" t="str">
        <f>CONCATENATE(VOL_VOLUMEN_SUMINISTROS[[#This Row],[Grupo]],VOL_VOLUMEN_SUMINISTROS[[#This Row],[Proyecto]],VOL_VOLUMEN_SUMINISTROS[[#This Row],[FIN DE SEMANA]])</f>
        <v>51052-1NO</v>
      </c>
      <c r="E1284" s="30" t="s">
        <v>147</v>
      </c>
      <c r="F1284" s="30" t="s">
        <v>148</v>
      </c>
      <c r="G1284" s="365">
        <v>5</v>
      </c>
      <c r="H1284" s="30">
        <v>10</v>
      </c>
      <c r="I1284" s="9" t="s">
        <v>331</v>
      </c>
      <c r="J1284" s="9" t="s">
        <v>949</v>
      </c>
      <c r="K1284" s="30">
        <v>2</v>
      </c>
      <c r="L1284" s="9" t="s">
        <v>951</v>
      </c>
      <c r="M1284" s="30" t="s">
        <v>84</v>
      </c>
      <c r="N1284" s="30" t="s">
        <v>152</v>
      </c>
      <c r="O1284" s="24">
        <v>136</v>
      </c>
      <c r="P1284" s="24">
        <v>140</v>
      </c>
      <c r="Q1284" s="24">
        <v>24</v>
      </c>
      <c r="R1284" s="24">
        <v>0</v>
      </c>
      <c r="S1284" s="24">
        <v>0</v>
      </c>
      <c r="T1284" s="24">
        <v>300</v>
      </c>
    </row>
    <row r="1285" spans="1:20">
      <c r="A1285" s="9" t="s">
        <v>829</v>
      </c>
      <c r="B1285" s="30" t="s">
        <v>942</v>
      </c>
      <c r="C1285" s="30" t="str">
        <f>CONCATENATE(VOL_VOLUMEN_SUMINISTROS[[#This Row],[Proyecto]],VOL_VOLUMEN_SUMINISTROS[[#This Row],[J]],VOL_VOLUMEN_SUMINISTROS[[#This Row],[FIN DE SEMANA]])</f>
        <v>1052-1TNO</v>
      </c>
      <c r="D1285" s="365" t="str">
        <f>CONCATENATE(VOL_VOLUMEN_SUMINISTROS[[#This Row],[Grupo]],VOL_VOLUMEN_SUMINISTROS[[#This Row],[Proyecto]],VOL_VOLUMEN_SUMINISTROS[[#This Row],[FIN DE SEMANA]])</f>
        <v>51052-1NO</v>
      </c>
      <c r="E1285" s="30" t="s">
        <v>147</v>
      </c>
      <c r="F1285" s="30" t="s">
        <v>148</v>
      </c>
      <c r="G1285" s="365">
        <v>5</v>
      </c>
      <c r="H1285" s="30">
        <v>10</v>
      </c>
      <c r="I1285" s="9" t="s">
        <v>331</v>
      </c>
      <c r="J1285" s="9" t="s">
        <v>949</v>
      </c>
      <c r="K1285" s="30">
        <v>2</v>
      </c>
      <c r="L1285" s="9" t="s">
        <v>951</v>
      </c>
      <c r="M1285" s="30" t="s">
        <v>84</v>
      </c>
      <c r="N1285" s="30" t="s">
        <v>155</v>
      </c>
      <c r="O1285" s="24">
        <v>130</v>
      </c>
      <c r="P1285" s="24">
        <v>131</v>
      </c>
      <c r="Q1285" s="24">
        <v>22</v>
      </c>
      <c r="R1285" s="24">
        <v>0</v>
      </c>
      <c r="S1285" s="24">
        <v>0</v>
      </c>
      <c r="T1285" s="24">
        <v>283</v>
      </c>
    </row>
    <row r="1286" spans="1:20">
      <c r="A1286" s="9" t="s">
        <v>829</v>
      </c>
      <c r="B1286" s="30" t="s">
        <v>942</v>
      </c>
      <c r="C1286" s="30" t="str">
        <f>CONCATENATE(VOL_VOLUMEN_SUMINISTROS[[#This Row],[Proyecto]],VOL_VOLUMEN_SUMINISTROS[[#This Row],[J]],VOL_VOLUMEN_SUMINISTROS[[#This Row],[FIN DE SEMANA]])</f>
        <v>1052-1MNO</v>
      </c>
      <c r="D1286" s="365" t="str">
        <f>CONCATENATE(VOL_VOLUMEN_SUMINISTROS[[#This Row],[Grupo]],VOL_VOLUMEN_SUMINISTROS[[#This Row],[Proyecto]],VOL_VOLUMEN_SUMINISTROS[[#This Row],[FIN DE SEMANA]])</f>
        <v>51052-1NO</v>
      </c>
      <c r="E1286" s="30" t="s">
        <v>147</v>
      </c>
      <c r="F1286" s="30" t="s">
        <v>148</v>
      </c>
      <c r="G1286" s="365">
        <v>5</v>
      </c>
      <c r="H1286" s="30">
        <v>10</v>
      </c>
      <c r="I1286" s="9" t="s">
        <v>331</v>
      </c>
      <c r="J1286" s="9" t="s">
        <v>949</v>
      </c>
      <c r="K1286" s="30">
        <v>3</v>
      </c>
      <c r="L1286" s="9" t="s">
        <v>952</v>
      </c>
      <c r="M1286" s="30" t="s">
        <v>84</v>
      </c>
      <c r="N1286" s="30" t="s">
        <v>152</v>
      </c>
      <c r="O1286" s="24">
        <v>215</v>
      </c>
      <c r="P1286" s="24">
        <v>0</v>
      </c>
      <c r="Q1286" s="24">
        <v>0</v>
      </c>
      <c r="R1286" s="24">
        <v>0</v>
      </c>
      <c r="S1286" s="24">
        <v>0</v>
      </c>
      <c r="T1286" s="24">
        <v>215</v>
      </c>
    </row>
    <row r="1287" spans="1:20">
      <c r="A1287" s="9" t="s">
        <v>829</v>
      </c>
      <c r="B1287" s="30" t="s">
        <v>942</v>
      </c>
      <c r="C1287" s="30" t="str">
        <f>CONCATENATE(VOL_VOLUMEN_SUMINISTROS[[#This Row],[Proyecto]],VOL_VOLUMEN_SUMINISTROS[[#This Row],[J]],VOL_VOLUMEN_SUMINISTROS[[#This Row],[FIN DE SEMANA]])</f>
        <v>1052-1MNO</v>
      </c>
      <c r="D1287" s="365" t="str">
        <f>CONCATENATE(VOL_VOLUMEN_SUMINISTROS[[#This Row],[Grupo]],VOL_VOLUMEN_SUMINISTROS[[#This Row],[Proyecto]],VOL_VOLUMEN_SUMINISTROS[[#This Row],[FIN DE SEMANA]])</f>
        <v>51052-1NO</v>
      </c>
      <c r="E1287" s="30" t="s">
        <v>147</v>
      </c>
      <c r="F1287" s="30" t="s">
        <v>148</v>
      </c>
      <c r="G1287" s="365">
        <v>5</v>
      </c>
      <c r="H1287" s="30">
        <v>10</v>
      </c>
      <c r="I1287" s="9" t="s">
        <v>331</v>
      </c>
      <c r="J1287" s="9" t="s">
        <v>867</v>
      </c>
      <c r="K1287" s="30">
        <v>1</v>
      </c>
      <c r="L1287" s="9" t="s">
        <v>868</v>
      </c>
      <c r="M1287" s="30" t="s">
        <v>84</v>
      </c>
      <c r="N1287" s="30" t="s">
        <v>152</v>
      </c>
      <c r="O1287" s="24">
        <v>161</v>
      </c>
      <c r="P1287" s="24">
        <v>94</v>
      </c>
      <c r="Q1287" s="24">
        <v>19</v>
      </c>
      <c r="R1287" s="24">
        <v>0</v>
      </c>
      <c r="S1287" s="24">
        <v>0</v>
      </c>
      <c r="T1287" s="24">
        <v>274</v>
      </c>
    </row>
    <row r="1288" spans="1:20">
      <c r="A1288" s="9" t="s">
        <v>829</v>
      </c>
      <c r="B1288" s="30" t="s">
        <v>942</v>
      </c>
      <c r="C1288" s="30" t="str">
        <f>CONCATENATE(VOL_VOLUMEN_SUMINISTROS[[#This Row],[Proyecto]],VOL_VOLUMEN_SUMINISTROS[[#This Row],[J]],VOL_VOLUMEN_SUMINISTROS[[#This Row],[FIN DE SEMANA]])</f>
        <v>1052-1TNO</v>
      </c>
      <c r="D1288" s="365" t="str">
        <f>CONCATENATE(VOL_VOLUMEN_SUMINISTROS[[#This Row],[Grupo]],VOL_VOLUMEN_SUMINISTROS[[#This Row],[Proyecto]],VOL_VOLUMEN_SUMINISTROS[[#This Row],[FIN DE SEMANA]])</f>
        <v>51052-1NO</v>
      </c>
      <c r="E1288" s="30" t="s">
        <v>147</v>
      </c>
      <c r="F1288" s="30" t="s">
        <v>148</v>
      </c>
      <c r="G1288" s="365">
        <v>5</v>
      </c>
      <c r="H1288" s="30">
        <v>10</v>
      </c>
      <c r="I1288" s="9" t="s">
        <v>331</v>
      </c>
      <c r="J1288" s="9" t="s">
        <v>867</v>
      </c>
      <c r="K1288" s="30">
        <v>1</v>
      </c>
      <c r="L1288" s="9" t="s">
        <v>868</v>
      </c>
      <c r="M1288" s="30" t="s">
        <v>84</v>
      </c>
      <c r="N1288" s="30" t="s">
        <v>155</v>
      </c>
      <c r="O1288" s="24">
        <v>124</v>
      </c>
      <c r="P1288" s="24">
        <v>73</v>
      </c>
      <c r="Q1288" s="24">
        <v>14</v>
      </c>
      <c r="R1288" s="24">
        <v>0</v>
      </c>
      <c r="S1288" s="24">
        <v>0</v>
      </c>
      <c r="T1288" s="24">
        <v>211</v>
      </c>
    </row>
    <row r="1289" spans="1:20">
      <c r="A1289" s="9" t="s">
        <v>829</v>
      </c>
      <c r="B1289" s="30" t="s">
        <v>942</v>
      </c>
      <c r="C1289" s="30" t="str">
        <f>CONCATENATE(VOL_VOLUMEN_SUMINISTROS[[#This Row],[Proyecto]],VOL_VOLUMEN_SUMINISTROS[[#This Row],[J]],VOL_VOLUMEN_SUMINISTROS[[#This Row],[FIN DE SEMANA]])</f>
        <v>1052-1MNO</v>
      </c>
      <c r="D1289" s="365" t="str">
        <f>CONCATENATE(VOL_VOLUMEN_SUMINISTROS[[#This Row],[Grupo]],VOL_VOLUMEN_SUMINISTROS[[#This Row],[Proyecto]],VOL_VOLUMEN_SUMINISTROS[[#This Row],[FIN DE SEMANA]])</f>
        <v>51052-1NO</v>
      </c>
      <c r="E1289" s="30" t="s">
        <v>147</v>
      </c>
      <c r="F1289" s="30" t="s">
        <v>148</v>
      </c>
      <c r="G1289" s="365">
        <v>5</v>
      </c>
      <c r="H1289" s="30">
        <v>10</v>
      </c>
      <c r="I1289" s="9" t="s">
        <v>331</v>
      </c>
      <c r="J1289" s="9" t="s">
        <v>867</v>
      </c>
      <c r="K1289" s="30">
        <v>2</v>
      </c>
      <c r="L1289" s="9" t="s">
        <v>869</v>
      </c>
      <c r="M1289" s="30" t="s">
        <v>84</v>
      </c>
      <c r="N1289" s="30" t="s">
        <v>152</v>
      </c>
      <c r="O1289" s="24">
        <v>0</v>
      </c>
      <c r="P1289" s="24">
        <v>72</v>
      </c>
      <c r="Q1289" s="24">
        <v>203</v>
      </c>
      <c r="R1289" s="24">
        <v>0</v>
      </c>
      <c r="S1289" s="24">
        <v>0</v>
      </c>
      <c r="T1289" s="24">
        <v>275</v>
      </c>
    </row>
    <row r="1290" spans="1:20">
      <c r="A1290" s="9" t="s">
        <v>829</v>
      </c>
      <c r="B1290" s="30" t="s">
        <v>942</v>
      </c>
      <c r="C1290" s="30" t="str">
        <f>CONCATENATE(VOL_VOLUMEN_SUMINISTROS[[#This Row],[Proyecto]],VOL_VOLUMEN_SUMINISTROS[[#This Row],[J]],VOL_VOLUMEN_SUMINISTROS[[#This Row],[FIN DE SEMANA]])</f>
        <v>1052-1TNO</v>
      </c>
      <c r="D1290" s="365" t="str">
        <f>CONCATENATE(VOL_VOLUMEN_SUMINISTROS[[#This Row],[Grupo]],VOL_VOLUMEN_SUMINISTROS[[#This Row],[Proyecto]],VOL_VOLUMEN_SUMINISTROS[[#This Row],[FIN DE SEMANA]])</f>
        <v>51052-1NO</v>
      </c>
      <c r="E1290" s="30" t="s">
        <v>147</v>
      </c>
      <c r="F1290" s="30" t="s">
        <v>148</v>
      </c>
      <c r="G1290" s="365">
        <v>5</v>
      </c>
      <c r="H1290" s="30">
        <v>10</v>
      </c>
      <c r="I1290" s="9" t="s">
        <v>331</v>
      </c>
      <c r="J1290" s="9" t="s">
        <v>867</v>
      </c>
      <c r="K1290" s="30">
        <v>2</v>
      </c>
      <c r="L1290" s="9" t="s">
        <v>869</v>
      </c>
      <c r="M1290" s="30" t="s">
        <v>84</v>
      </c>
      <c r="N1290" s="30" t="s">
        <v>155</v>
      </c>
      <c r="O1290" s="24">
        <v>0</v>
      </c>
      <c r="P1290" s="24">
        <v>45</v>
      </c>
      <c r="Q1290" s="24">
        <v>150</v>
      </c>
      <c r="R1290" s="24">
        <v>0</v>
      </c>
      <c r="S1290" s="24">
        <v>0</v>
      </c>
      <c r="T1290" s="24">
        <v>195</v>
      </c>
    </row>
    <row r="1291" spans="1:20">
      <c r="A1291" s="9" t="s">
        <v>829</v>
      </c>
      <c r="B1291" s="30" t="s">
        <v>942</v>
      </c>
      <c r="C1291" s="30" t="str">
        <f>CONCATENATE(VOL_VOLUMEN_SUMINISTROS[[#This Row],[Proyecto]],VOL_VOLUMEN_SUMINISTROS[[#This Row],[J]],VOL_VOLUMEN_SUMINISTROS[[#This Row],[FIN DE SEMANA]])</f>
        <v>1052-1MNO</v>
      </c>
      <c r="D1291" s="365" t="str">
        <f>CONCATENATE(VOL_VOLUMEN_SUMINISTROS[[#This Row],[Grupo]],VOL_VOLUMEN_SUMINISTROS[[#This Row],[Proyecto]],VOL_VOLUMEN_SUMINISTROS[[#This Row],[FIN DE SEMANA]])</f>
        <v>51052-1NO</v>
      </c>
      <c r="E1291" s="30" t="s">
        <v>147</v>
      </c>
      <c r="F1291" s="30" t="s">
        <v>148</v>
      </c>
      <c r="G1291" s="365">
        <v>5</v>
      </c>
      <c r="H1291" s="30">
        <v>10</v>
      </c>
      <c r="I1291" s="9" t="s">
        <v>331</v>
      </c>
      <c r="J1291" s="9" t="s">
        <v>903</v>
      </c>
      <c r="K1291" s="30">
        <v>1</v>
      </c>
      <c r="L1291" s="9" t="s">
        <v>904</v>
      </c>
      <c r="M1291" s="30" t="s">
        <v>84</v>
      </c>
      <c r="N1291" s="30" t="s">
        <v>152</v>
      </c>
      <c r="O1291" s="24">
        <v>292</v>
      </c>
      <c r="P1291" s="24">
        <v>311</v>
      </c>
      <c r="Q1291" s="24">
        <v>60</v>
      </c>
      <c r="R1291" s="24">
        <v>0</v>
      </c>
      <c r="S1291" s="24">
        <v>0</v>
      </c>
      <c r="T1291" s="24">
        <v>663</v>
      </c>
    </row>
    <row r="1292" spans="1:20">
      <c r="A1292" s="9" t="s">
        <v>829</v>
      </c>
      <c r="B1292" s="30" t="s">
        <v>942</v>
      </c>
      <c r="C1292" s="30" t="str">
        <f>CONCATENATE(VOL_VOLUMEN_SUMINISTROS[[#This Row],[Proyecto]],VOL_VOLUMEN_SUMINISTROS[[#This Row],[J]],VOL_VOLUMEN_SUMINISTROS[[#This Row],[FIN DE SEMANA]])</f>
        <v>1052-1TNO</v>
      </c>
      <c r="D1292" s="365" t="str">
        <f>CONCATENATE(VOL_VOLUMEN_SUMINISTROS[[#This Row],[Grupo]],VOL_VOLUMEN_SUMINISTROS[[#This Row],[Proyecto]],VOL_VOLUMEN_SUMINISTROS[[#This Row],[FIN DE SEMANA]])</f>
        <v>51052-1NO</v>
      </c>
      <c r="E1292" s="30" t="s">
        <v>147</v>
      </c>
      <c r="F1292" s="30" t="s">
        <v>148</v>
      </c>
      <c r="G1292" s="365">
        <v>5</v>
      </c>
      <c r="H1292" s="30">
        <v>10</v>
      </c>
      <c r="I1292" s="9" t="s">
        <v>331</v>
      </c>
      <c r="J1292" s="9" t="s">
        <v>903</v>
      </c>
      <c r="K1292" s="30">
        <v>1</v>
      </c>
      <c r="L1292" s="9" t="s">
        <v>904</v>
      </c>
      <c r="M1292" s="30" t="s">
        <v>84</v>
      </c>
      <c r="N1292" s="30" t="s">
        <v>155</v>
      </c>
      <c r="O1292" s="24">
        <v>30</v>
      </c>
      <c r="P1292" s="24">
        <v>192</v>
      </c>
      <c r="Q1292" s="24">
        <v>461</v>
      </c>
      <c r="R1292" s="24">
        <v>0</v>
      </c>
      <c r="S1292" s="24">
        <v>0</v>
      </c>
      <c r="T1292" s="24">
        <v>683</v>
      </c>
    </row>
    <row r="1293" spans="1:20">
      <c r="A1293" s="9" t="s">
        <v>829</v>
      </c>
      <c r="B1293" s="30" t="s">
        <v>942</v>
      </c>
      <c r="C1293" s="30" t="str">
        <f>CONCATENATE(VOL_VOLUMEN_SUMINISTROS[[#This Row],[Proyecto]],VOL_VOLUMEN_SUMINISTROS[[#This Row],[J]],VOL_VOLUMEN_SUMINISTROS[[#This Row],[FIN DE SEMANA]])</f>
        <v>1052-1MNO</v>
      </c>
      <c r="D1293" s="365" t="str">
        <f>CONCATENATE(VOL_VOLUMEN_SUMINISTROS[[#This Row],[Grupo]],VOL_VOLUMEN_SUMINISTROS[[#This Row],[Proyecto]],VOL_VOLUMEN_SUMINISTROS[[#This Row],[FIN DE SEMANA]])</f>
        <v>51052-1NO</v>
      </c>
      <c r="E1293" s="30" t="s">
        <v>147</v>
      </c>
      <c r="F1293" s="30" t="s">
        <v>148</v>
      </c>
      <c r="G1293" s="365">
        <v>5</v>
      </c>
      <c r="H1293" s="30">
        <v>10</v>
      </c>
      <c r="I1293" s="9" t="s">
        <v>331</v>
      </c>
      <c r="J1293" s="9" t="s">
        <v>953</v>
      </c>
      <c r="K1293" s="30">
        <v>1</v>
      </c>
      <c r="L1293" s="9" t="s">
        <v>954</v>
      </c>
      <c r="M1293" s="30" t="s">
        <v>84</v>
      </c>
      <c r="N1293" s="30" t="s">
        <v>152</v>
      </c>
      <c r="O1293" s="24">
        <v>42</v>
      </c>
      <c r="P1293" s="24">
        <v>285</v>
      </c>
      <c r="Q1293" s="24">
        <v>426</v>
      </c>
      <c r="R1293" s="24">
        <v>0</v>
      </c>
      <c r="S1293" s="24">
        <v>0</v>
      </c>
      <c r="T1293" s="24">
        <v>753</v>
      </c>
    </row>
    <row r="1294" spans="1:20">
      <c r="A1294" s="9" t="s">
        <v>829</v>
      </c>
      <c r="B1294" s="30" t="s">
        <v>942</v>
      </c>
      <c r="C1294" s="30" t="str">
        <f>CONCATENATE(VOL_VOLUMEN_SUMINISTROS[[#This Row],[Proyecto]],VOL_VOLUMEN_SUMINISTROS[[#This Row],[J]],VOL_VOLUMEN_SUMINISTROS[[#This Row],[FIN DE SEMANA]])</f>
        <v>1052-1TNO</v>
      </c>
      <c r="D1294" s="365" t="str">
        <f>CONCATENATE(VOL_VOLUMEN_SUMINISTROS[[#This Row],[Grupo]],VOL_VOLUMEN_SUMINISTROS[[#This Row],[Proyecto]],VOL_VOLUMEN_SUMINISTROS[[#This Row],[FIN DE SEMANA]])</f>
        <v>51052-1NO</v>
      </c>
      <c r="E1294" s="30" t="s">
        <v>147</v>
      </c>
      <c r="F1294" s="30" t="s">
        <v>148</v>
      </c>
      <c r="G1294" s="365">
        <v>5</v>
      </c>
      <c r="H1294" s="30">
        <v>10</v>
      </c>
      <c r="I1294" s="9" t="s">
        <v>331</v>
      </c>
      <c r="J1294" s="9" t="s">
        <v>953</v>
      </c>
      <c r="K1294" s="30">
        <v>1</v>
      </c>
      <c r="L1294" s="9" t="s">
        <v>954</v>
      </c>
      <c r="M1294" s="30" t="s">
        <v>84</v>
      </c>
      <c r="N1294" s="30" t="s">
        <v>155</v>
      </c>
      <c r="O1294" s="24">
        <v>64</v>
      </c>
      <c r="P1294" s="24">
        <v>251</v>
      </c>
      <c r="Q1294" s="24">
        <v>304</v>
      </c>
      <c r="R1294" s="24">
        <v>0</v>
      </c>
      <c r="S1294" s="24">
        <v>0</v>
      </c>
      <c r="T1294" s="24">
        <v>619</v>
      </c>
    </row>
    <row r="1295" spans="1:20">
      <c r="A1295" s="9" t="s">
        <v>829</v>
      </c>
      <c r="B1295" s="30" t="s">
        <v>942</v>
      </c>
      <c r="C1295" s="30" t="str">
        <f>CONCATENATE(VOL_VOLUMEN_SUMINISTROS[[#This Row],[Proyecto]],VOL_VOLUMEN_SUMINISTROS[[#This Row],[J]],VOL_VOLUMEN_SUMINISTROS[[#This Row],[FIN DE SEMANA]])</f>
        <v>1052-1MNO</v>
      </c>
      <c r="D1295" s="365" t="str">
        <f>CONCATENATE(VOL_VOLUMEN_SUMINISTROS[[#This Row],[Grupo]],VOL_VOLUMEN_SUMINISTROS[[#This Row],[Proyecto]],VOL_VOLUMEN_SUMINISTROS[[#This Row],[FIN DE SEMANA]])</f>
        <v>51052-1NO</v>
      </c>
      <c r="E1295" s="30" t="s">
        <v>147</v>
      </c>
      <c r="F1295" s="30" t="s">
        <v>148</v>
      </c>
      <c r="G1295" s="365">
        <v>5</v>
      </c>
      <c r="H1295" s="30">
        <v>10</v>
      </c>
      <c r="I1295" s="9" t="s">
        <v>331</v>
      </c>
      <c r="J1295" s="9" t="s">
        <v>953</v>
      </c>
      <c r="K1295" s="30">
        <v>2</v>
      </c>
      <c r="L1295" s="9" t="s">
        <v>955</v>
      </c>
      <c r="M1295" s="30" t="s">
        <v>84</v>
      </c>
      <c r="N1295" s="30" t="s">
        <v>152</v>
      </c>
      <c r="O1295" s="24">
        <v>139</v>
      </c>
      <c r="P1295" s="24">
        <v>41</v>
      </c>
      <c r="Q1295" s="24">
        <v>0</v>
      </c>
      <c r="R1295" s="24">
        <v>0</v>
      </c>
      <c r="S1295" s="24">
        <v>0</v>
      </c>
      <c r="T1295" s="24">
        <v>180</v>
      </c>
    </row>
    <row r="1296" spans="1:20">
      <c r="A1296" s="9" t="s">
        <v>829</v>
      </c>
      <c r="B1296" s="30" t="s">
        <v>942</v>
      </c>
      <c r="C1296" s="30" t="str">
        <f>CONCATENATE(VOL_VOLUMEN_SUMINISTROS[[#This Row],[Proyecto]],VOL_VOLUMEN_SUMINISTROS[[#This Row],[J]],VOL_VOLUMEN_SUMINISTROS[[#This Row],[FIN DE SEMANA]])</f>
        <v>1052-1TNO</v>
      </c>
      <c r="D1296" s="365" t="str">
        <f>CONCATENATE(VOL_VOLUMEN_SUMINISTROS[[#This Row],[Grupo]],VOL_VOLUMEN_SUMINISTROS[[#This Row],[Proyecto]],VOL_VOLUMEN_SUMINISTROS[[#This Row],[FIN DE SEMANA]])</f>
        <v>51052-1NO</v>
      </c>
      <c r="E1296" s="30" t="s">
        <v>147</v>
      </c>
      <c r="F1296" s="30" t="s">
        <v>148</v>
      </c>
      <c r="G1296" s="365">
        <v>5</v>
      </c>
      <c r="H1296" s="30">
        <v>10</v>
      </c>
      <c r="I1296" s="9" t="s">
        <v>331</v>
      </c>
      <c r="J1296" s="9" t="s">
        <v>953</v>
      </c>
      <c r="K1296" s="30">
        <v>2</v>
      </c>
      <c r="L1296" s="9" t="s">
        <v>955</v>
      </c>
      <c r="M1296" s="30" t="s">
        <v>84</v>
      </c>
      <c r="N1296" s="30" t="s">
        <v>155</v>
      </c>
      <c r="O1296" s="24">
        <v>148</v>
      </c>
      <c r="P1296" s="24">
        <v>20</v>
      </c>
      <c r="Q1296" s="24">
        <v>0</v>
      </c>
      <c r="R1296" s="24">
        <v>0</v>
      </c>
      <c r="S1296" s="24">
        <v>0</v>
      </c>
      <c r="T1296" s="24">
        <v>168</v>
      </c>
    </row>
    <row r="1297" spans="1:20">
      <c r="A1297" s="9" t="s">
        <v>829</v>
      </c>
      <c r="B1297" s="30" t="s">
        <v>942</v>
      </c>
      <c r="C1297" s="30" t="str">
        <f>CONCATENATE(VOL_VOLUMEN_SUMINISTROS[[#This Row],[Proyecto]],VOL_VOLUMEN_SUMINISTROS[[#This Row],[J]],VOL_VOLUMEN_SUMINISTROS[[#This Row],[FIN DE SEMANA]])</f>
        <v>1052-1MNO</v>
      </c>
      <c r="D1297" s="365" t="str">
        <f>CONCATENATE(VOL_VOLUMEN_SUMINISTROS[[#This Row],[Grupo]],VOL_VOLUMEN_SUMINISTROS[[#This Row],[Proyecto]],VOL_VOLUMEN_SUMINISTROS[[#This Row],[FIN DE SEMANA]])</f>
        <v>51052-1NO</v>
      </c>
      <c r="E1297" s="30" t="s">
        <v>147</v>
      </c>
      <c r="F1297" s="30" t="s">
        <v>148</v>
      </c>
      <c r="G1297" s="365">
        <v>5</v>
      </c>
      <c r="H1297" s="30">
        <v>10</v>
      </c>
      <c r="I1297" s="9" t="s">
        <v>331</v>
      </c>
      <c r="J1297" s="9" t="s">
        <v>956</v>
      </c>
      <c r="K1297" s="30">
        <v>1</v>
      </c>
      <c r="L1297" s="9" t="s">
        <v>957</v>
      </c>
      <c r="M1297" s="30" t="s">
        <v>84</v>
      </c>
      <c r="N1297" s="30" t="s">
        <v>152</v>
      </c>
      <c r="O1297" s="24">
        <v>151</v>
      </c>
      <c r="P1297" s="24">
        <v>137</v>
      </c>
      <c r="Q1297" s="24">
        <v>28</v>
      </c>
      <c r="R1297" s="24">
        <v>0</v>
      </c>
      <c r="S1297" s="24">
        <v>0</v>
      </c>
      <c r="T1297" s="24">
        <v>316</v>
      </c>
    </row>
    <row r="1298" spans="1:20">
      <c r="A1298" s="9" t="s">
        <v>829</v>
      </c>
      <c r="B1298" s="30" t="s">
        <v>942</v>
      </c>
      <c r="C1298" s="30" t="str">
        <f>CONCATENATE(VOL_VOLUMEN_SUMINISTROS[[#This Row],[Proyecto]],VOL_VOLUMEN_SUMINISTROS[[#This Row],[J]],VOL_VOLUMEN_SUMINISTROS[[#This Row],[FIN DE SEMANA]])</f>
        <v>1052-1TNO</v>
      </c>
      <c r="D1298" s="365" t="str">
        <f>CONCATENATE(VOL_VOLUMEN_SUMINISTROS[[#This Row],[Grupo]],VOL_VOLUMEN_SUMINISTROS[[#This Row],[Proyecto]],VOL_VOLUMEN_SUMINISTROS[[#This Row],[FIN DE SEMANA]])</f>
        <v>51052-1NO</v>
      </c>
      <c r="E1298" s="30" t="s">
        <v>147</v>
      </c>
      <c r="F1298" s="30" t="s">
        <v>148</v>
      </c>
      <c r="G1298" s="365">
        <v>5</v>
      </c>
      <c r="H1298" s="30">
        <v>10</v>
      </c>
      <c r="I1298" s="9" t="s">
        <v>331</v>
      </c>
      <c r="J1298" s="9" t="s">
        <v>956</v>
      </c>
      <c r="K1298" s="30">
        <v>1</v>
      </c>
      <c r="L1298" s="9" t="s">
        <v>957</v>
      </c>
      <c r="M1298" s="30" t="s">
        <v>84</v>
      </c>
      <c r="N1298" s="30" t="s">
        <v>155</v>
      </c>
      <c r="O1298" s="24">
        <v>0</v>
      </c>
      <c r="P1298" s="24">
        <v>75</v>
      </c>
      <c r="Q1298" s="24">
        <v>187</v>
      </c>
      <c r="R1298" s="24">
        <v>0</v>
      </c>
      <c r="S1298" s="24">
        <v>0</v>
      </c>
      <c r="T1298" s="24">
        <v>262</v>
      </c>
    </row>
    <row r="1299" spans="1:20">
      <c r="A1299" s="9" t="s">
        <v>829</v>
      </c>
      <c r="B1299" s="30" t="s">
        <v>942</v>
      </c>
      <c r="C1299" s="30" t="str">
        <f>CONCATENATE(VOL_VOLUMEN_SUMINISTROS[[#This Row],[Proyecto]],VOL_VOLUMEN_SUMINISTROS[[#This Row],[J]],VOL_VOLUMEN_SUMINISTROS[[#This Row],[FIN DE SEMANA]])</f>
        <v>1052-1MNO</v>
      </c>
      <c r="D1299" s="365" t="str">
        <f>CONCATENATE(VOL_VOLUMEN_SUMINISTROS[[#This Row],[Grupo]],VOL_VOLUMEN_SUMINISTROS[[#This Row],[Proyecto]],VOL_VOLUMEN_SUMINISTROS[[#This Row],[FIN DE SEMANA]])</f>
        <v>51052-1NO</v>
      </c>
      <c r="E1299" s="30" t="s">
        <v>147</v>
      </c>
      <c r="F1299" s="30" t="s">
        <v>148</v>
      </c>
      <c r="G1299" s="365">
        <v>5</v>
      </c>
      <c r="H1299" s="30">
        <v>10</v>
      </c>
      <c r="I1299" s="9" t="s">
        <v>331</v>
      </c>
      <c r="J1299" s="9" t="s">
        <v>958</v>
      </c>
      <c r="K1299" s="30">
        <v>1</v>
      </c>
      <c r="L1299" s="9" t="s">
        <v>959</v>
      </c>
      <c r="M1299" s="30" t="s">
        <v>84</v>
      </c>
      <c r="N1299" s="30" t="s">
        <v>152</v>
      </c>
      <c r="O1299" s="24">
        <v>0</v>
      </c>
      <c r="P1299" s="24">
        <v>75</v>
      </c>
      <c r="Q1299" s="24">
        <v>219</v>
      </c>
      <c r="R1299" s="24">
        <v>0</v>
      </c>
      <c r="S1299" s="24">
        <v>0</v>
      </c>
      <c r="T1299" s="24">
        <v>294</v>
      </c>
    </row>
    <row r="1300" spans="1:20">
      <c r="A1300" s="9" t="s">
        <v>829</v>
      </c>
      <c r="B1300" s="30" t="s">
        <v>942</v>
      </c>
      <c r="C1300" s="30" t="str">
        <f>CONCATENATE(VOL_VOLUMEN_SUMINISTROS[[#This Row],[Proyecto]],VOL_VOLUMEN_SUMINISTROS[[#This Row],[J]],VOL_VOLUMEN_SUMINISTROS[[#This Row],[FIN DE SEMANA]])</f>
        <v>1052-1TNO</v>
      </c>
      <c r="D1300" s="365" t="str">
        <f>CONCATENATE(VOL_VOLUMEN_SUMINISTROS[[#This Row],[Grupo]],VOL_VOLUMEN_SUMINISTROS[[#This Row],[Proyecto]],VOL_VOLUMEN_SUMINISTROS[[#This Row],[FIN DE SEMANA]])</f>
        <v>51052-1NO</v>
      </c>
      <c r="E1300" s="30" t="s">
        <v>147</v>
      </c>
      <c r="F1300" s="30" t="s">
        <v>148</v>
      </c>
      <c r="G1300" s="365">
        <v>5</v>
      </c>
      <c r="H1300" s="30">
        <v>10</v>
      </c>
      <c r="I1300" s="9" t="s">
        <v>331</v>
      </c>
      <c r="J1300" s="9" t="s">
        <v>958</v>
      </c>
      <c r="K1300" s="30">
        <v>1</v>
      </c>
      <c r="L1300" s="9" t="s">
        <v>959</v>
      </c>
      <c r="M1300" s="30" t="s">
        <v>84</v>
      </c>
      <c r="N1300" s="30" t="s">
        <v>155</v>
      </c>
      <c r="O1300" s="24">
        <v>0</v>
      </c>
      <c r="P1300" s="24">
        <v>84</v>
      </c>
      <c r="Q1300" s="24">
        <v>153</v>
      </c>
      <c r="R1300" s="24">
        <v>0</v>
      </c>
      <c r="S1300" s="24">
        <v>0</v>
      </c>
      <c r="T1300" s="24">
        <v>237</v>
      </c>
    </row>
    <row r="1301" spans="1:20">
      <c r="A1301" s="9" t="s">
        <v>829</v>
      </c>
      <c r="B1301" s="30" t="s">
        <v>942</v>
      </c>
      <c r="C1301" s="30" t="str">
        <f>CONCATENATE(VOL_VOLUMEN_SUMINISTROS[[#This Row],[Proyecto]],VOL_VOLUMEN_SUMINISTROS[[#This Row],[J]],VOL_VOLUMEN_SUMINISTROS[[#This Row],[FIN DE SEMANA]])</f>
        <v>1052-1MNO</v>
      </c>
      <c r="D1301" s="365" t="str">
        <f>CONCATENATE(VOL_VOLUMEN_SUMINISTROS[[#This Row],[Grupo]],VOL_VOLUMEN_SUMINISTROS[[#This Row],[Proyecto]],VOL_VOLUMEN_SUMINISTROS[[#This Row],[FIN DE SEMANA]])</f>
        <v>51052-1NO</v>
      </c>
      <c r="E1301" s="30" t="s">
        <v>147</v>
      </c>
      <c r="F1301" s="30" t="s">
        <v>148</v>
      </c>
      <c r="G1301" s="365">
        <v>5</v>
      </c>
      <c r="H1301" s="30">
        <v>10</v>
      </c>
      <c r="I1301" s="9" t="s">
        <v>331</v>
      </c>
      <c r="J1301" s="9" t="s">
        <v>958</v>
      </c>
      <c r="K1301" s="30">
        <v>2</v>
      </c>
      <c r="L1301" s="9" t="s">
        <v>165</v>
      </c>
      <c r="M1301" s="30" t="s">
        <v>84</v>
      </c>
      <c r="N1301" s="30" t="s">
        <v>152</v>
      </c>
      <c r="O1301" s="24">
        <v>178</v>
      </c>
      <c r="P1301" s="24">
        <v>59</v>
      </c>
      <c r="Q1301" s="24">
        <v>0</v>
      </c>
      <c r="R1301" s="24">
        <v>0</v>
      </c>
      <c r="S1301" s="24">
        <v>0</v>
      </c>
      <c r="T1301" s="24">
        <v>237</v>
      </c>
    </row>
    <row r="1302" spans="1:20">
      <c r="A1302" s="9" t="s">
        <v>829</v>
      </c>
      <c r="B1302" s="30" t="s">
        <v>942</v>
      </c>
      <c r="C1302" s="30" t="str">
        <f>CONCATENATE(VOL_VOLUMEN_SUMINISTROS[[#This Row],[Proyecto]],VOL_VOLUMEN_SUMINISTROS[[#This Row],[J]],VOL_VOLUMEN_SUMINISTROS[[#This Row],[FIN DE SEMANA]])</f>
        <v>1052-1TNO</v>
      </c>
      <c r="D1302" s="365" t="str">
        <f>CONCATENATE(VOL_VOLUMEN_SUMINISTROS[[#This Row],[Grupo]],VOL_VOLUMEN_SUMINISTROS[[#This Row],[Proyecto]],VOL_VOLUMEN_SUMINISTROS[[#This Row],[FIN DE SEMANA]])</f>
        <v>51052-1NO</v>
      </c>
      <c r="E1302" s="30" t="s">
        <v>147</v>
      </c>
      <c r="F1302" s="30" t="s">
        <v>148</v>
      </c>
      <c r="G1302" s="365">
        <v>5</v>
      </c>
      <c r="H1302" s="30">
        <v>10</v>
      </c>
      <c r="I1302" s="9" t="s">
        <v>331</v>
      </c>
      <c r="J1302" s="9" t="s">
        <v>958</v>
      </c>
      <c r="K1302" s="30">
        <v>2</v>
      </c>
      <c r="L1302" s="9" t="s">
        <v>165</v>
      </c>
      <c r="M1302" s="30" t="s">
        <v>84</v>
      </c>
      <c r="N1302" s="30" t="s">
        <v>155</v>
      </c>
      <c r="O1302" s="24">
        <v>107</v>
      </c>
      <c r="P1302" s="24">
        <v>58</v>
      </c>
      <c r="Q1302" s="24">
        <v>10</v>
      </c>
      <c r="R1302" s="24">
        <v>0</v>
      </c>
      <c r="S1302" s="24">
        <v>0</v>
      </c>
      <c r="T1302" s="24">
        <v>175</v>
      </c>
    </row>
    <row r="1303" spans="1:20">
      <c r="A1303" s="9" t="s">
        <v>829</v>
      </c>
      <c r="B1303" s="30" t="s">
        <v>942</v>
      </c>
      <c r="C1303" s="30" t="str">
        <f>CONCATENATE(VOL_VOLUMEN_SUMINISTROS[[#This Row],[Proyecto]],VOL_VOLUMEN_SUMINISTROS[[#This Row],[J]],VOL_VOLUMEN_SUMINISTROS[[#This Row],[FIN DE SEMANA]])</f>
        <v>1052-1MNO</v>
      </c>
      <c r="D1303" s="365" t="str">
        <f>CONCATENATE(VOL_VOLUMEN_SUMINISTROS[[#This Row],[Grupo]],VOL_VOLUMEN_SUMINISTROS[[#This Row],[Proyecto]],VOL_VOLUMEN_SUMINISTROS[[#This Row],[FIN DE SEMANA]])</f>
        <v>51052-1NO</v>
      </c>
      <c r="E1303" s="30" t="s">
        <v>147</v>
      </c>
      <c r="F1303" s="30" t="s">
        <v>148</v>
      </c>
      <c r="G1303" s="365">
        <v>5</v>
      </c>
      <c r="H1303" s="30">
        <v>10</v>
      </c>
      <c r="I1303" s="9" t="s">
        <v>331</v>
      </c>
      <c r="J1303" s="9" t="s">
        <v>958</v>
      </c>
      <c r="K1303" s="30">
        <v>3</v>
      </c>
      <c r="L1303" s="9" t="s">
        <v>458</v>
      </c>
      <c r="M1303" s="30" t="s">
        <v>84</v>
      </c>
      <c r="N1303" s="30" t="s">
        <v>152</v>
      </c>
      <c r="O1303" s="24">
        <v>24</v>
      </c>
      <c r="P1303" s="24">
        <v>126</v>
      </c>
      <c r="Q1303" s="24">
        <v>38</v>
      </c>
      <c r="R1303" s="24">
        <v>0</v>
      </c>
      <c r="S1303" s="24">
        <v>0</v>
      </c>
      <c r="T1303" s="24">
        <v>188</v>
      </c>
    </row>
    <row r="1304" spans="1:20">
      <c r="A1304" s="9" t="s">
        <v>829</v>
      </c>
      <c r="B1304" s="30" t="s">
        <v>942</v>
      </c>
      <c r="C1304" s="30" t="str">
        <f>CONCATENATE(VOL_VOLUMEN_SUMINISTROS[[#This Row],[Proyecto]],VOL_VOLUMEN_SUMINISTROS[[#This Row],[J]],VOL_VOLUMEN_SUMINISTROS[[#This Row],[FIN DE SEMANA]])</f>
        <v>1052-1MNO</v>
      </c>
      <c r="D1304" s="365" t="str">
        <f>CONCATENATE(VOL_VOLUMEN_SUMINISTROS[[#This Row],[Grupo]],VOL_VOLUMEN_SUMINISTROS[[#This Row],[Proyecto]],VOL_VOLUMEN_SUMINISTROS[[#This Row],[FIN DE SEMANA]])</f>
        <v>51052-1NO</v>
      </c>
      <c r="E1304" s="30" t="s">
        <v>147</v>
      </c>
      <c r="F1304" s="30" t="s">
        <v>148</v>
      </c>
      <c r="G1304" s="365">
        <v>5</v>
      </c>
      <c r="H1304" s="30">
        <v>10</v>
      </c>
      <c r="I1304" s="9" t="s">
        <v>331</v>
      </c>
      <c r="J1304" s="9" t="s">
        <v>960</v>
      </c>
      <c r="K1304" s="30">
        <v>1</v>
      </c>
      <c r="L1304" s="9" t="s">
        <v>961</v>
      </c>
      <c r="M1304" s="30" t="s">
        <v>84</v>
      </c>
      <c r="N1304" s="30" t="s">
        <v>152</v>
      </c>
      <c r="O1304" s="24">
        <v>342</v>
      </c>
      <c r="P1304" s="24">
        <v>228</v>
      </c>
      <c r="Q1304" s="24">
        <v>46</v>
      </c>
      <c r="R1304" s="24">
        <v>0</v>
      </c>
      <c r="S1304" s="24">
        <v>0</v>
      </c>
      <c r="T1304" s="24">
        <v>616</v>
      </c>
    </row>
    <row r="1305" spans="1:20">
      <c r="A1305" s="9" t="s">
        <v>829</v>
      </c>
      <c r="B1305" s="30" t="s">
        <v>942</v>
      </c>
      <c r="C1305" s="30" t="str">
        <f>CONCATENATE(VOL_VOLUMEN_SUMINISTROS[[#This Row],[Proyecto]],VOL_VOLUMEN_SUMINISTROS[[#This Row],[J]],VOL_VOLUMEN_SUMINISTROS[[#This Row],[FIN DE SEMANA]])</f>
        <v>1052-1TNO</v>
      </c>
      <c r="D1305" s="365" t="str">
        <f>CONCATENATE(VOL_VOLUMEN_SUMINISTROS[[#This Row],[Grupo]],VOL_VOLUMEN_SUMINISTROS[[#This Row],[Proyecto]],VOL_VOLUMEN_SUMINISTROS[[#This Row],[FIN DE SEMANA]])</f>
        <v>51052-1NO</v>
      </c>
      <c r="E1305" s="30" t="s">
        <v>147</v>
      </c>
      <c r="F1305" s="30" t="s">
        <v>148</v>
      </c>
      <c r="G1305" s="365">
        <v>5</v>
      </c>
      <c r="H1305" s="30">
        <v>10</v>
      </c>
      <c r="I1305" s="9" t="s">
        <v>331</v>
      </c>
      <c r="J1305" s="9" t="s">
        <v>960</v>
      </c>
      <c r="K1305" s="30">
        <v>1</v>
      </c>
      <c r="L1305" s="9" t="s">
        <v>961</v>
      </c>
      <c r="M1305" s="30" t="s">
        <v>84</v>
      </c>
      <c r="N1305" s="30" t="s">
        <v>155</v>
      </c>
      <c r="O1305" s="24">
        <v>0</v>
      </c>
      <c r="P1305" s="24">
        <v>174</v>
      </c>
      <c r="Q1305" s="24">
        <v>558</v>
      </c>
      <c r="R1305" s="24">
        <v>0</v>
      </c>
      <c r="S1305" s="24">
        <v>0</v>
      </c>
      <c r="T1305" s="24">
        <v>732</v>
      </c>
    </row>
    <row r="1306" spans="1:20">
      <c r="A1306" s="9" t="s">
        <v>829</v>
      </c>
      <c r="B1306" s="30" t="s">
        <v>942</v>
      </c>
      <c r="C1306" s="30" t="str">
        <f>CONCATENATE(VOL_VOLUMEN_SUMINISTROS[[#This Row],[Proyecto]],VOL_VOLUMEN_SUMINISTROS[[#This Row],[J]],VOL_VOLUMEN_SUMINISTROS[[#This Row],[FIN DE SEMANA]])</f>
        <v>1052-1NNO</v>
      </c>
      <c r="D1306" s="365" t="str">
        <f>CONCATENATE(VOL_VOLUMEN_SUMINISTROS[[#This Row],[Grupo]],VOL_VOLUMEN_SUMINISTROS[[#This Row],[Proyecto]],VOL_VOLUMEN_SUMINISTROS[[#This Row],[FIN DE SEMANA]])</f>
        <v>51052-1NO</v>
      </c>
      <c r="E1306" s="30" t="s">
        <v>147</v>
      </c>
      <c r="F1306" s="30" t="s">
        <v>148</v>
      </c>
      <c r="G1306" s="365">
        <v>5</v>
      </c>
      <c r="H1306" s="30">
        <v>10</v>
      </c>
      <c r="I1306" s="9" t="s">
        <v>331</v>
      </c>
      <c r="J1306" s="9" t="s">
        <v>962</v>
      </c>
      <c r="K1306" s="30">
        <v>1</v>
      </c>
      <c r="L1306" s="9" t="s">
        <v>963</v>
      </c>
      <c r="M1306" s="30" t="s">
        <v>84</v>
      </c>
      <c r="N1306" s="30" t="s">
        <v>154</v>
      </c>
      <c r="O1306" s="24">
        <v>0</v>
      </c>
      <c r="P1306" s="24">
        <v>0</v>
      </c>
      <c r="Q1306" s="24">
        <v>0</v>
      </c>
      <c r="R1306" s="24">
        <v>60</v>
      </c>
      <c r="S1306" s="24">
        <v>40</v>
      </c>
      <c r="T1306" s="24">
        <v>100</v>
      </c>
    </row>
    <row r="1307" spans="1:20">
      <c r="A1307" s="9" t="s">
        <v>829</v>
      </c>
      <c r="B1307" s="30" t="s">
        <v>942</v>
      </c>
      <c r="C1307" s="30" t="str">
        <f>CONCATENATE(VOL_VOLUMEN_SUMINISTROS[[#This Row],[Proyecto]],VOL_VOLUMEN_SUMINISTROS[[#This Row],[J]],VOL_VOLUMEN_SUMINISTROS[[#This Row],[FIN DE SEMANA]])</f>
        <v>1052-1MNO</v>
      </c>
      <c r="D1307" s="365" t="str">
        <f>CONCATENATE(VOL_VOLUMEN_SUMINISTROS[[#This Row],[Grupo]],VOL_VOLUMEN_SUMINISTROS[[#This Row],[Proyecto]],VOL_VOLUMEN_SUMINISTROS[[#This Row],[FIN DE SEMANA]])</f>
        <v>51052-1NO</v>
      </c>
      <c r="E1307" s="30" t="s">
        <v>147</v>
      </c>
      <c r="F1307" s="30" t="s">
        <v>148</v>
      </c>
      <c r="G1307" s="365">
        <v>5</v>
      </c>
      <c r="H1307" s="30">
        <v>10</v>
      </c>
      <c r="I1307" s="9" t="s">
        <v>331</v>
      </c>
      <c r="J1307" s="9" t="s">
        <v>964</v>
      </c>
      <c r="K1307" s="30">
        <v>1</v>
      </c>
      <c r="L1307" s="9" t="s">
        <v>965</v>
      </c>
      <c r="M1307" s="30" t="s">
        <v>84</v>
      </c>
      <c r="N1307" s="30" t="s">
        <v>152</v>
      </c>
      <c r="O1307" s="24">
        <v>0</v>
      </c>
      <c r="P1307" s="24">
        <v>0</v>
      </c>
      <c r="Q1307" s="24">
        <v>322</v>
      </c>
      <c r="R1307" s="24">
        <v>0</v>
      </c>
      <c r="S1307" s="24">
        <v>0</v>
      </c>
      <c r="T1307" s="24">
        <v>322</v>
      </c>
    </row>
    <row r="1308" spans="1:20">
      <c r="A1308" s="9" t="s">
        <v>829</v>
      </c>
      <c r="B1308" s="30" t="s">
        <v>942</v>
      </c>
      <c r="C1308" s="30" t="str">
        <f>CONCATENATE(VOL_VOLUMEN_SUMINISTROS[[#This Row],[Proyecto]],VOL_VOLUMEN_SUMINISTROS[[#This Row],[J]],VOL_VOLUMEN_SUMINISTROS[[#This Row],[FIN DE SEMANA]])</f>
        <v>1052-1MNO</v>
      </c>
      <c r="D1308" s="365" t="str">
        <f>CONCATENATE(VOL_VOLUMEN_SUMINISTROS[[#This Row],[Grupo]],VOL_VOLUMEN_SUMINISTROS[[#This Row],[Proyecto]],VOL_VOLUMEN_SUMINISTROS[[#This Row],[FIN DE SEMANA]])</f>
        <v>51052-1NO</v>
      </c>
      <c r="E1308" s="30" t="s">
        <v>147</v>
      </c>
      <c r="F1308" s="30" t="s">
        <v>148</v>
      </c>
      <c r="G1308" s="365">
        <v>5</v>
      </c>
      <c r="H1308" s="30">
        <v>10</v>
      </c>
      <c r="I1308" s="9" t="s">
        <v>331</v>
      </c>
      <c r="J1308" s="9" t="s">
        <v>964</v>
      </c>
      <c r="K1308" s="30">
        <v>2</v>
      </c>
      <c r="L1308" s="9" t="s">
        <v>966</v>
      </c>
      <c r="M1308" s="30" t="s">
        <v>84</v>
      </c>
      <c r="N1308" s="30" t="s">
        <v>152</v>
      </c>
      <c r="O1308" s="24">
        <v>364</v>
      </c>
      <c r="P1308" s="24">
        <v>439</v>
      </c>
      <c r="Q1308" s="24">
        <v>343</v>
      </c>
      <c r="R1308" s="24">
        <v>0</v>
      </c>
      <c r="S1308" s="24">
        <v>0</v>
      </c>
      <c r="T1308" s="24">
        <v>1146</v>
      </c>
    </row>
    <row r="1309" spans="1:20">
      <c r="A1309" s="9" t="s">
        <v>829</v>
      </c>
      <c r="B1309" s="30" t="s">
        <v>942</v>
      </c>
      <c r="C1309" s="30" t="str">
        <f>CONCATENATE(VOL_VOLUMEN_SUMINISTROS[[#This Row],[Proyecto]],VOL_VOLUMEN_SUMINISTROS[[#This Row],[J]],VOL_VOLUMEN_SUMINISTROS[[#This Row],[FIN DE SEMANA]])</f>
        <v>1052-1MNO</v>
      </c>
      <c r="D1309" s="365" t="str">
        <f>CONCATENATE(VOL_VOLUMEN_SUMINISTROS[[#This Row],[Grupo]],VOL_VOLUMEN_SUMINISTROS[[#This Row],[Proyecto]],VOL_VOLUMEN_SUMINISTROS[[#This Row],[FIN DE SEMANA]])</f>
        <v>51052-1NO</v>
      </c>
      <c r="E1309" s="30" t="s">
        <v>147</v>
      </c>
      <c r="F1309" s="30" t="s">
        <v>148</v>
      </c>
      <c r="G1309" s="365">
        <v>5</v>
      </c>
      <c r="H1309" s="30">
        <v>10</v>
      </c>
      <c r="I1309" s="9" t="s">
        <v>331</v>
      </c>
      <c r="J1309" s="9" t="s">
        <v>967</v>
      </c>
      <c r="K1309" s="30">
        <v>2</v>
      </c>
      <c r="L1309" s="9" t="s">
        <v>968</v>
      </c>
      <c r="M1309" s="30" t="s">
        <v>84</v>
      </c>
      <c r="N1309" s="30" t="s">
        <v>152</v>
      </c>
      <c r="O1309" s="24">
        <v>467</v>
      </c>
      <c r="P1309" s="24">
        <v>453</v>
      </c>
      <c r="Q1309" s="24">
        <v>94</v>
      </c>
      <c r="R1309" s="24">
        <v>0</v>
      </c>
      <c r="S1309" s="24">
        <v>0</v>
      </c>
      <c r="T1309" s="24">
        <v>1014</v>
      </c>
    </row>
    <row r="1310" spans="1:20">
      <c r="A1310" s="9" t="s">
        <v>829</v>
      </c>
      <c r="B1310" s="30" t="s">
        <v>942</v>
      </c>
      <c r="C1310" s="30" t="str">
        <f>CONCATENATE(VOL_VOLUMEN_SUMINISTROS[[#This Row],[Proyecto]],VOL_VOLUMEN_SUMINISTROS[[#This Row],[J]],VOL_VOLUMEN_SUMINISTROS[[#This Row],[FIN DE SEMANA]])</f>
        <v>1052-1TNO</v>
      </c>
      <c r="D1310" s="365" t="str">
        <f>CONCATENATE(VOL_VOLUMEN_SUMINISTROS[[#This Row],[Grupo]],VOL_VOLUMEN_SUMINISTROS[[#This Row],[Proyecto]],VOL_VOLUMEN_SUMINISTROS[[#This Row],[FIN DE SEMANA]])</f>
        <v>51052-1NO</v>
      </c>
      <c r="E1310" s="30" t="s">
        <v>147</v>
      </c>
      <c r="F1310" s="30" t="s">
        <v>148</v>
      </c>
      <c r="G1310" s="365">
        <v>5</v>
      </c>
      <c r="H1310" s="30">
        <v>10</v>
      </c>
      <c r="I1310" s="9" t="s">
        <v>331</v>
      </c>
      <c r="J1310" s="9" t="s">
        <v>967</v>
      </c>
      <c r="K1310" s="30">
        <v>2</v>
      </c>
      <c r="L1310" s="9" t="s">
        <v>969</v>
      </c>
      <c r="M1310" s="30" t="s">
        <v>84</v>
      </c>
      <c r="N1310" s="30" t="s">
        <v>155</v>
      </c>
      <c r="O1310" s="24">
        <v>428</v>
      </c>
      <c r="P1310" s="24">
        <v>401</v>
      </c>
      <c r="Q1310" s="24">
        <v>83</v>
      </c>
      <c r="R1310" s="24">
        <v>0</v>
      </c>
      <c r="S1310" s="24">
        <v>0</v>
      </c>
      <c r="T1310" s="24">
        <v>912</v>
      </c>
    </row>
    <row r="1311" spans="1:20">
      <c r="A1311" s="9" t="s">
        <v>829</v>
      </c>
      <c r="B1311" s="30" t="s">
        <v>942</v>
      </c>
      <c r="C1311" s="30" t="str">
        <f>CONCATENATE(VOL_VOLUMEN_SUMINISTROS[[#This Row],[Proyecto]],VOL_VOLUMEN_SUMINISTROS[[#This Row],[J]],VOL_VOLUMEN_SUMINISTROS[[#This Row],[FIN DE SEMANA]])</f>
        <v>1052-1MNO</v>
      </c>
      <c r="D1311" s="365" t="str">
        <f>CONCATENATE(VOL_VOLUMEN_SUMINISTROS[[#This Row],[Grupo]],VOL_VOLUMEN_SUMINISTROS[[#This Row],[Proyecto]],VOL_VOLUMEN_SUMINISTROS[[#This Row],[FIN DE SEMANA]])</f>
        <v>51052-1NO</v>
      </c>
      <c r="E1311" s="30" t="s">
        <v>147</v>
      </c>
      <c r="F1311" s="30" t="s">
        <v>148</v>
      </c>
      <c r="G1311" s="365">
        <v>5</v>
      </c>
      <c r="H1311" s="30">
        <v>10</v>
      </c>
      <c r="I1311" s="9" t="s">
        <v>331</v>
      </c>
      <c r="J1311" s="9" t="s">
        <v>967</v>
      </c>
      <c r="K1311" s="30">
        <v>3</v>
      </c>
      <c r="L1311" s="9" t="s">
        <v>970</v>
      </c>
      <c r="M1311" s="30" t="s">
        <v>84</v>
      </c>
      <c r="N1311" s="30" t="s">
        <v>152</v>
      </c>
      <c r="O1311" s="24">
        <v>80</v>
      </c>
      <c r="P1311" s="24">
        <v>0</v>
      </c>
      <c r="Q1311" s="24">
        <v>0</v>
      </c>
      <c r="R1311" s="24">
        <v>0</v>
      </c>
      <c r="S1311" s="24">
        <v>0</v>
      </c>
      <c r="T1311" s="24">
        <v>80</v>
      </c>
    </row>
    <row r="1312" spans="1:20">
      <c r="A1312" s="9" t="s">
        <v>829</v>
      </c>
      <c r="B1312" s="30" t="s">
        <v>942</v>
      </c>
      <c r="C1312" s="30" t="str">
        <f>CONCATENATE(VOL_VOLUMEN_SUMINISTROS[[#This Row],[Proyecto]],VOL_VOLUMEN_SUMINISTROS[[#This Row],[J]],VOL_VOLUMEN_SUMINISTROS[[#This Row],[FIN DE SEMANA]])</f>
        <v>1052-1MNO</v>
      </c>
      <c r="D1312" s="365" t="str">
        <f>CONCATENATE(VOL_VOLUMEN_SUMINISTROS[[#This Row],[Grupo]],VOL_VOLUMEN_SUMINISTROS[[#This Row],[Proyecto]],VOL_VOLUMEN_SUMINISTROS[[#This Row],[FIN DE SEMANA]])</f>
        <v>51052-1NO</v>
      </c>
      <c r="E1312" s="30" t="s">
        <v>147</v>
      </c>
      <c r="F1312" s="30" t="s">
        <v>148</v>
      </c>
      <c r="G1312" s="365">
        <v>5</v>
      </c>
      <c r="H1312" s="30">
        <v>10</v>
      </c>
      <c r="I1312" s="9" t="s">
        <v>331</v>
      </c>
      <c r="J1312" s="9" t="s">
        <v>971</v>
      </c>
      <c r="K1312" s="30">
        <v>1</v>
      </c>
      <c r="L1312" s="9" t="s">
        <v>972</v>
      </c>
      <c r="M1312" s="30" t="s">
        <v>84</v>
      </c>
      <c r="N1312" s="30" t="s">
        <v>152</v>
      </c>
      <c r="O1312" s="24">
        <v>0</v>
      </c>
      <c r="P1312" s="24">
        <v>123</v>
      </c>
      <c r="Q1312" s="24">
        <v>378</v>
      </c>
      <c r="R1312" s="24">
        <v>0</v>
      </c>
      <c r="S1312" s="24">
        <v>0</v>
      </c>
      <c r="T1312" s="24">
        <v>501</v>
      </c>
    </row>
    <row r="1313" spans="1:20">
      <c r="A1313" s="9" t="s">
        <v>829</v>
      </c>
      <c r="B1313" s="30" t="s">
        <v>942</v>
      </c>
      <c r="C1313" s="30" t="str">
        <f>CONCATENATE(VOL_VOLUMEN_SUMINISTROS[[#This Row],[Proyecto]],VOL_VOLUMEN_SUMINISTROS[[#This Row],[J]],VOL_VOLUMEN_SUMINISTROS[[#This Row],[FIN DE SEMANA]])</f>
        <v>1052-1TNO</v>
      </c>
      <c r="D1313" s="365" t="str">
        <f>CONCATENATE(VOL_VOLUMEN_SUMINISTROS[[#This Row],[Grupo]],VOL_VOLUMEN_SUMINISTROS[[#This Row],[Proyecto]],VOL_VOLUMEN_SUMINISTROS[[#This Row],[FIN DE SEMANA]])</f>
        <v>51052-1NO</v>
      </c>
      <c r="E1313" s="30" t="s">
        <v>147</v>
      </c>
      <c r="F1313" s="30" t="s">
        <v>148</v>
      </c>
      <c r="G1313" s="365">
        <v>5</v>
      </c>
      <c r="H1313" s="30">
        <v>10</v>
      </c>
      <c r="I1313" s="9" t="s">
        <v>331</v>
      </c>
      <c r="J1313" s="9" t="s">
        <v>971</v>
      </c>
      <c r="K1313" s="30">
        <v>1</v>
      </c>
      <c r="L1313" s="9" t="s">
        <v>972</v>
      </c>
      <c r="M1313" s="30" t="s">
        <v>84</v>
      </c>
      <c r="N1313" s="30" t="s">
        <v>155</v>
      </c>
      <c r="O1313" s="24">
        <v>0</v>
      </c>
      <c r="P1313" s="24">
        <v>93</v>
      </c>
      <c r="Q1313" s="24">
        <v>299</v>
      </c>
      <c r="R1313" s="24">
        <v>0</v>
      </c>
      <c r="S1313" s="24">
        <v>0</v>
      </c>
      <c r="T1313" s="24">
        <v>392</v>
      </c>
    </row>
    <row r="1314" spans="1:20">
      <c r="A1314" s="9" t="s">
        <v>829</v>
      </c>
      <c r="B1314" s="30" t="s">
        <v>942</v>
      </c>
      <c r="C1314" s="30" t="str">
        <f>CONCATENATE(VOL_VOLUMEN_SUMINISTROS[[#This Row],[Proyecto]],VOL_VOLUMEN_SUMINISTROS[[#This Row],[J]],VOL_VOLUMEN_SUMINISTROS[[#This Row],[FIN DE SEMANA]])</f>
        <v>1052-1MNO</v>
      </c>
      <c r="D1314" s="365" t="str">
        <f>CONCATENATE(VOL_VOLUMEN_SUMINISTROS[[#This Row],[Grupo]],VOL_VOLUMEN_SUMINISTROS[[#This Row],[Proyecto]],VOL_VOLUMEN_SUMINISTROS[[#This Row],[FIN DE SEMANA]])</f>
        <v>51052-1NO</v>
      </c>
      <c r="E1314" s="30" t="s">
        <v>147</v>
      </c>
      <c r="F1314" s="30" t="s">
        <v>148</v>
      </c>
      <c r="G1314" s="365">
        <v>5</v>
      </c>
      <c r="H1314" s="30">
        <v>10</v>
      </c>
      <c r="I1314" s="9" t="s">
        <v>331</v>
      </c>
      <c r="J1314" s="9" t="s">
        <v>971</v>
      </c>
      <c r="K1314" s="30">
        <v>2</v>
      </c>
      <c r="L1314" s="9" t="s">
        <v>973</v>
      </c>
      <c r="M1314" s="30" t="s">
        <v>84</v>
      </c>
      <c r="N1314" s="30" t="s">
        <v>152</v>
      </c>
      <c r="O1314" s="24">
        <v>169</v>
      </c>
      <c r="P1314" s="24">
        <v>176</v>
      </c>
      <c r="Q1314" s="24">
        <v>37</v>
      </c>
      <c r="R1314" s="24">
        <v>0</v>
      </c>
      <c r="S1314" s="24">
        <v>0</v>
      </c>
      <c r="T1314" s="24">
        <v>382</v>
      </c>
    </row>
    <row r="1315" spans="1:20">
      <c r="A1315" s="9" t="s">
        <v>829</v>
      </c>
      <c r="B1315" s="30" t="s">
        <v>942</v>
      </c>
      <c r="C1315" s="30" t="str">
        <f>CONCATENATE(VOL_VOLUMEN_SUMINISTROS[[#This Row],[Proyecto]],VOL_VOLUMEN_SUMINISTROS[[#This Row],[J]],VOL_VOLUMEN_SUMINISTROS[[#This Row],[FIN DE SEMANA]])</f>
        <v>1052-1TNO</v>
      </c>
      <c r="D1315" s="365" t="str">
        <f>CONCATENATE(VOL_VOLUMEN_SUMINISTROS[[#This Row],[Grupo]],VOL_VOLUMEN_SUMINISTROS[[#This Row],[Proyecto]],VOL_VOLUMEN_SUMINISTROS[[#This Row],[FIN DE SEMANA]])</f>
        <v>51052-1NO</v>
      </c>
      <c r="E1315" s="30" t="s">
        <v>147</v>
      </c>
      <c r="F1315" s="30" t="s">
        <v>148</v>
      </c>
      <c r="G1315" s="365">
        <v>5</v>
      </c>
      <c r="H1315" s="30">
        <v>10</v>
      </c>
      <c r="I1315" s="9" t="s">
        <v>331</v>
      </c>
      <c r="J1315" s="9" t="s">
        <v>971</v>
      </c>
      <c r="K1315" s="30">
        <v>2</v>
      </c>
      <c r="L1315" s="9" t="s">
        <v>973</v>
      </c>
      <c r="M1315" s="30" t="s">
        <v>84</v>
      </c>
      <c r="N1315" s="30" t="s">
        <v>155</v>
      </c>
      <c r="O1315" s="24">
        <v>165</v>
      </c>
      <c r="P1315" s="24">
        <v>88</v>
      </c>
      <c r="Q1315" s="24">
        <v>17</v>
      </c>
      <c r="R1315" s="24">
        <v>0</v>
      </c>
      <c r="S1315" s="24">
        <v>0</v>
      </c>
      <c r="T1315" s="24">
        <v>270</v>
      </c>
    </row>
    <row r="1316" spans="1:20">
      <c r="A1316" s="9" t="s">
        <v>829</v>
      </c>
      <c r="B1316" s="30" t="s">
        <v>974</v>
      </c>
      <c r="C1316" s="30" t="str">
        <f>CONCATENATE(VOL_VOLUMEN_SUMINISTROS[[#This Row],[Proyecto]],VOL_VOLUMEN_SUMINISTROS[[#This Row],[J]],VOL_VOLUMEN_SUMINISTROS[[#This Row],[FIN DE SEMANA]])</f>
        <v>1052-2MNO</v>
      </c>
      <c r="D1316" s="365" t="str">
        <f>CONCATENATE(VOL_VOLUMEN_SUMINISTROS[[#This Row],[Grupo]],VOL_VOLUMEN_SUMINISTROS[[#This Row],[Proyecto]],VOL_VOLUMEN_SUMINISTROS[[#This Row],[FIN DE SEMANA]])</f>
        <v>51052-2NO</v>
      </c>
      <c r="E1316" s="30" t="s">
        <v>183</v>
      </c>
      <c r="F1316" s="30" t="s">
        <v>148</v>
      </c>
      <c r="G1316" s="365">
        <v>5</v>
      </c>
      <c r="H1316" s="30">
        <v>10</v>
      </c>
      <c r="I1316" s="9" t="s">
        <v>331</v>
      </c>
      <c r="J1316" s="9" t="s">
        <v>949</v>
      </c>
      <c r="K1316" s="30">
        <v>1</v>
      </c>
      <c r="L1316" s="9" t="s">
        <v>950</v>
      </c>
      <c r="M1316" s="30" t="s">
        <v>84</v>
      </c>
      <c r="N1316" s="30" t="s">
        <v>152</v>
      </c>
      <c r="O1316" s="24">
        <v>0</v>
      </c>
      <c r="P1316" s="24">
        <v>0</v>
      </c>
      <c r="Q1316" s="24">
        <v>69</v>
      </c>
      <c r="R1316" s="24">
        <v>0</v>
      </c>
      <c r="S1316" s="24">
        <v>0</v>
      </c>
      <c r="T1316" s="24">
        <v>69</v>
      </c>
    </row>
    <row r="1317" spans="1:20">
      <c r="A1317" s="9" t="s">
        <v>829</v>
      </c>
      <c r="B1317" s="30" t="s">
        <v>974</v>
      </c>
      <c r="C1317" s="30" t="str">
        <f>CONCATENATE(VOL_VOLUMEN_SUMINISTROS[[#This Row],[Proyecto]],VOL_VOLUMEN_SUMINISTROS[[#This Row],[J]],VOL_VOLUMEN_SUMINISTROS[[#This Row],[FIN DE SEMANA]])</f>
        <v>1052-2TNO</v>
      </c>
      <c r="D1317" s="365" t="str">
        <f>CONCATENATE(VOL_VOLUMEN_SUMINISTROS[[#This Row],[Grupo]],VOL_VOLUMEN_SUMINISTROS[[#This Row],[Proyecto]],VOL_VOLUMEN_SUMINISTROS[[#This Row],[FIN DE SEMANA]])</f>
        <v>51052-2NO</v>
      </c>
      <c r="E1317" s="30" t="s">
        <v>183</v>
      </c>
      <c r="F1317" s="30" t="s">
        <v>148</v>
      </c>
      <c r="G1317" s="365">
        <v>5</v>
      </c>
      <c r="H1317" s="30">
        <v>10</v>
      </c>
      <c r="I1317" s="9" t="s">
        <v>331</v>
      </c>
      <c r="J1317" s="9" t="s">
        <v>949</v>
      </c>
      <c r="K1317" s="30">
        <v>1</v>
      </c>
      <c r="L1317" s="9" t="s">
        <v>950</v>
      </c>
      <c r="M1317" s="30" t="s">
        <v>84</v>
      </c>
      <c r="N1317" s="30" t="s">
        <v>155</v>
      </c>
      <c r="O1317" s="24">
        <v>0</v>
      </c>
      <c r="P1317" s="24">
        <v>0</v>
      </c>
      <c r="Q1317" s="24">
        <v>122</v>
      </c>
      <c r="R1317" s="24">
        <v>0</v>
      </c>
      <c r="S1317" s="24">
        <v>0</v>
      </c>
      <c r="T1317" s="24">
        <v>122</v>
      </c>
    </row>
    <row r="1318" spans="1:20">
      <c r="A1318" s="9" t="s">
        <v>829</v>
      </c>
      <c r="B1318" s="30" t="s">
        <v>974</v>
      </c>
      <c r="C1318" s="30" t="str">
        <f>CONCATENATE(VOL_VOLUMEN_SUMINISTROS[[#This Row],[Proyecto]],VOL_VOLUMEN_SUMINISTROS[[#This Row],[J]],VOL_VOLUMEN_SUMINISTROS[[#This Row],[FIN DE SEMANA]])</f>
        <v>1052-2MNO</v>
      </c>
      <c r="D1318" s="365" t="str">
        <f>CONCATENATE(VOL_VOLUMEN_SUMINISTROS[[#This Row],[Grupo]],VOL_VOLUMEN_SUMINISTROS[[#This Row],[Proyecto]],VOL_VOLUMEN_SUMINISTROS[[#This Row],[FIN DE SEMANA]])</f>
        <v>51052-2NO</v>
      </c>
      <c r="E1318" s="30" t="s">
        <v>183</v>
      </c>
      <c r="F1318" s="30" t="s">
        <v>148</v>
      </c>
      <c r="G1318" s="365">
        <v>5</v>
      </c>
      <c r="H1318" s="30">
        <v>10</v>
      </c>
      <c r="I1318" s="9" t="s">
        <v>331</v>
      </c>
      <c r="J1318" s="9" t="s">
        <v>953</v>
      </c>
      <c r="K1318" s="30">
        <v>1</v>
      </c>
      <c r="L1318" s="9" t="s">
        <v>954</v>
      </c>
      <c r="M1318" s="30" t="s">
        <v>84</v>
      </c>
      <c r="N1318" s="30" t="s">
        <v>152</v>
      </c>
      <c r="O1318" s="24">
        <v>0</v>
      </c>
      <c r="P1318" s="24">
        <v>0</v>
      </c>
      <c r="Q1318" s="24">
        <v>57</v>
      </c>
      <c r="R1318" s="24">
        <v>0</v>
      </c>
      <c r="S1318" s="24">
        <v>0</v>
      </c>
      <c r="T1318" s="24">
        <v>57</v>
      </c>
    </row>
    <row r="1319" spans="1:20">
      <c r="A1319" s="9" t="s">
        <v>829</v>
      </c>
      <c r="B1319" s="30" t="s">
        <v>974</v>
      </c>
      <c r="C1319" s="30" t="str">
        <f>CONCATENATE(VOL_VOLUMEN_SUMINISTROS[[#This Row],[Proyecto]],VOL_VOLUMEN_SUMINISTROS[[#This Row],[J]],VOL_VOLUMEN_SUMINISTROS[[#This Row],[FIN DE SEMANA]])</f>
        <v>1052-2TNO</v>
      </c>
      <c r="D1319" s="365" t="str">
        <f>CONCATENATE(VOL_VOLUMEN_SUMINISTROS[[#This Row],[Grupo]],VOL_VOLUMEN_SUMINISTROS[[#This Row],[Proyecto]],VOL_VOLUMEN_SUMINISTROS[[#This Row],[FIN DE SEMANA]])</f>
        <v>51052-2NO</v>
      </c>
      <c r="E1319" s="30" t="s">
        <v>183</v>
      </c>
      <c r="F1319" s="30" t="s">
        <v>148</v>
      </c>
      <c r="G1319" s="365">
        <v>5</v>
      </c>
      <c r="H1319" s="30">
        <v>10</v>
      </c>
      <c r="I1319" s="9" t="s">
        <v>331</v>
      </c>
      <c r="J1319" s="9" t="s">
        <v>953</v>
      </c>
      <c r="K1319" s="30">
        <v>1</v>
      </c>
      <c r="L1319" s="9" t="s">
        <v>954</v>
      </c>
      <c r="M1319" s="30" t="s">
        <v>84</v>
      </c>
      <c r="N1319" s="30" t="s">
        <v>155</v>
      </c>
      <c r="O1319" s="24">
        <v>0</v>
      </c>
      <c r="P1319" s="24">
        <v>0</v>
      </c>
      <c r="Q1319" s="24">
        <v>71</v>
      </c>
      <c r="R1319" s="24">
        <v>0</v>
      </c>
      <c r="S1319" s="24">
        <v>0</v>
      </c>
      <c r="T1319" s="24">
        <v>71</v>
      </c>
    </row>
    <row r="1320" spans="1:20">
      <c r="A1320" s="9" t="s">
        <v>829</v>
      </c>
      <c r="B1320" s="30" t="s">
        <v>974</v>
      </c>
      <c r="C1320" s="30" t="str">
        <f>CONCATENATE(VOL_VOLUMEN_SUMINISTROS[[#This Row],[Proyecto]],VOL_VOLUMEN_SUMINISTROS[[#This Row],[J]],VOL_VOLUMEN_SUMINISTROS[[#This Row],[FIN DE SEMANA]])</f>
        <v>1052-2MNO</v>
      </c>
      <c r="D1320" s="365" t="str">
        <f>CONCATENATE(VOL_VOLUMEN_SUMINISTROS[[#This Row],[Grupo]],VOL_VOLUMEN_SUMINISTROS[[#This Row],[Proyecto]],VOL_VOLUMEN_SUMINISTROS[[#This Row],[FIN DE SEMANA]])</f>
        <v>51052-2NO</v>
      </c>
      <c r="E1320" s="30" t="s">
        <v>183</v>
      </c>
      <c r="F1320" s="30" t="s">
        <v>148</v>
      </c>
      <c r="G1320" s="365">
        <v>5</v>
      </c>
      <c r="H1320" s="30">
        <v>10</v>
      </c>
      <c r="I1320" s="9" t="s">
        <v>331</v>
      </c>
      <c r="J1320" s="9" t="s">
        <v>960</v>
      </c>
      <c r="K1320" s="30">
        <v>1</v>
      </c>
      <c r="L1320" s="9" t="s">
        <v>961</v>
      </c>
      <c r="M1320" s="30" t="s">
        <v>84</v>
      </c>
      <c r="N1320" s="30" t="s">
        <v>152</v>
      </c>
      <c r="O1320" s="24">
        <v>0</v>
      </c>
      <c r="P1320" s="24">
        <v>0</v>
      </c>
      <c r="Q1320" s="24">
        <v>153</v>
      </c>
      <c r="R1320" s="24">
        <v>0</v>
      </c>
      <c r="S1320" s="24">
        <v>0</v>
      </c>
      <c r="T1320" s="24">
        <v>153</v>
      </c>
    </row>
    <row r="1321" spans="1:20">
      <c r="A1321" s="9" t="s">
        <v>829</v>
      </c>
      <c r="B1321" s="30" t="s">
        <v>975</v>
      </c>
      <c r="C1321" s="30" t="str">
        <f>CONCATENATE(VOL_VOLUMEN_SUMINISTROS[[#This Row],[Proyecto]],VOL_VOLUMEN_SUMINISTROS[[#This Row],[J]],VOL_VOLUMEN_SUMINISTROS[[#This Row],[FIN DE SEMANA]])</f>
        <v>1052-2MNO</v>
      </c>
      <c r="D1321" s="365" t="str">
        <f>CONCATENATE(VOL_VOLUMEN_SUMINISTROS[[#This Row],[Grupo]],VOL_VOLUMEN_SUMINISTROS[[#This Row],[Proyecto]],VOL_VOLUMEN_SUMINISTROS[[#This Row],[FIN DE SEMANA]])</f>
        <v>51052-2NO</v>
      </c>
      <c r="E1321" s="30" t="s">
        <v>183</v>
      </c>
      <c r="F1321" s="30" t="s">
        <v>148</v>
      </c>
      <c r="G1321" s="365">
        <v>5</v>
      </c>
      <c r="H1321" s="30">
        <v>10</v>
      </c>
      <c r="I1321" s="9" t="s">
        <v>331</v>
      </c>
      <c r="J1321" s="9" t="s">
        <v>864</v>
      </c>
      <c r="K1321" s="30">
        <v>2</v>
      </c>
      <c r="L1321" s="9" t="s">
        <v>866</v>
      </c>
      <c r="M1321" s="30" t="s">
        <v>84</v>
      </c>
      <c r="N1321" s="30" t="s">
        <v>152</v>
      </c>
      <c r="O1321" s="24">
        <v>48</v>
      </c>
      <c r="P1321" s="24">
        <v>0</v>
      </c>
      <c r="Q1321" s="24">
        <v>0</v>
      </c>
      <c r="R1321" s="24">
        <v>0</v>
      </c>
      <c r="S1321" s="24">
        <v>0</v>
      </c>
      <c r="T1321" s="24">
        <v>48</v>
      </c>
    </row>
    <row r="1322" spans="1:20">
      <c r="A1322" s="9" t="s">
        <v>829</v>
      </c>
      <c r="B1322" s="30" t="s">
        <v>975</v>
      </c>
      <c r="C1322" s="30" t="str">
        <f>CONCATENATE(VOL_VOLUMEN_SUMINISTROS[[#This Row],[Proyecto]],VOL_VOLUMEN_SUMINISTROS[[#This Row],[J]],VOL_VOLUMEN_SUMINISTROS[[#This Row],[FIN DE SEMANA]])</f>
        <v>1052-2TNO</v>
      </c>
      <c r="D1322" s="365" t="str">
        <f>CONCATENATE(VOL_VOLUMEN_SUMINISTROS[[#This Row],[Grupo]],VOL_VOLUMEN_SUMINISTROS[[#This Row],[Proyecto]],VOL_VOLUMEN_SUMINISTROS[[#This Row],[FIN DE SEMANA]])</f>
        <v>51052-2NO</v>
      </c>
      <c r="E1322" s="30" t="s">
        <v>183</v>
      </c>
      <c r="F1322" s="30" t="s">
        <v>148</v>
      </c>
      <c r="G1322" s="365">
        <v>5</v>
      </c>
      <c r="H1322" s="30">
        <v>10</v>
      </c>
      <c r="I1322" s="9" t="s">
        <v>331</v>
      </c>
      <c r="J1322" s="9" t="s">
        <v>864</v>
      </c>
      <c r="K1322" s="30">
        <v>2</v>
      </c>
      <c r="L1322" s="9" t="s">
        <v>866</v>
      </c>
      <c r="M1322" s="30" t="s">
        <v>84</v>
      </c>
      <c r="N1322" s="30" t="s">
        <v>155</v>
      </c>
      <c r="O1322" s="24">
        <v>50</v>
      </c>
      <c r="P1322" s="24">
        <v>0</v>
      </c>
      <c r="Q1322" s="24">
        <v>0</v>
      </c>
      <c r="R1322" s="24">
        <v>0</v>
      </c>
      <c r="S1322" s="24">
        <v>0</v>
      </c>
      <c r="T1322" s="24">
        <v>50</v>
      </c>
    </row>
    <row r="1323" spans="1:20">
      <c r="A1323" s="9" t="s">
        <v>976</v>
      </c>
      <c r="B1323" s="30" t="s">
        <v>977</v>
      </c>
      <c r="C1323" s="30" t="str">
        <f>CONCATENATE(VOL_VOLUMEN_SUMINISTROS[[#This Row],[Proyecto]],VOL_VOLUMEN_SUMINISTROS[[#This Row],[J]],VOL_VOLUMEN_SUMINISTROS[[#This Row],[FIN DE SEMANA]])</f>
        <v>1052-1MNO</v>
      </c>
      <c r="D1323" s="365" t="str">
        <f>CONCATENATE(VOL_VOLUMEN_SUMINISTROS[[#This Row],[Grupo]],VOL_VOLUMEN_SUMINISTROS[[#This Row],[Proyecto]],VOL_VOLUMEN_SUMINISTROS[[#This Row],[FIN DE SEMANA]])</f>
        <v>111052-1NO</v>
      </c>
      <c r="E1323" s="30" t="s">
        <v>147</v>
      </c>
      <c r="F1323" s="30" t="s">
        <v>148</v>
      </c>
      <c r="G1323" s="365">
        <v>11</v>
      </c>
      <c r="H1323" s="30">
        <v>9</v>
      </c>
      <c r="I1323" s="9" t="s">
        <v>978</v>
      </c>
      <c r="J1323" s="9" t="s">
        <v>979</v>
      </c>
      <c r="K1323" s="30">
        <v>1</v>
      </c>
      <c r="L1323" s="9" t="s">
        <v>153</v>
      </c>
      <c r="M1323" s="30" t="s">
        <v>84</v>
      </c>
      <c r="N1323" s="30" t="s">
        <v>152</v>
      </c>
      <c r="O1323" s="24">
        <v>251</v>
      </c>
      <c r="P1323" s="24">
        <v>389</v>
      </c>
      <c r="Q1323" s="24">
        <v>420</v>
      </c>
      <c r="R1323" s="24">
        <v>0</v>
      </c>
      <c r="S1323" s="24">
        <v>0</v>
      </c>
      <c r="T1323" s="24">
        <v>1060</v>
      </c>
    </row>
    <row r="1324" spans="1:20">
      <c r="A1324" s="9" t="s">
        <v>976</v>
      </c>
      <c r="B1324" s="30" t="s">
        <v>977</v>
      </c>
      <c r="C1324" s="30" t="str">
        <f>CONCATENATE(VOL_VOLUMEN_SUMINISTROS[[#This Row],[Proyecto]],VOL_VOLUMEN_SUMINISTROS[[#This Row],[J]],VOL_VOLUMEN_SUMINISTROS[[#This Row],[FIN DE SEMANA]])</f>
        <v>1052-1TNO</v>
      </c>
      <c r="D1324" s="365" t="str">
        <f>CONCATENATE(VOL_VOLUMEN_SUMINISTROS[[#This Row],[Grupo]],VOL_VOLUMEN_SUMINISTROS[[#This Row],[Proyecto]],VOL_VOLUMEN_SUMINISTROS[[#This Row],[FIN DE SEMANA]])</f>
        <v>111052-1NO</v>
      </c>
      <c r="E1324" s="30" t="s">
        <v>147</v>
      </c>
      <c r="F1324" s="30" t="s">
        <v>148</v>
      </c>
      <c r="G1324" s="365">
        <v>11</v>
      </c>
      <c r="H1324" s="30">
        <v>9</v>
      </c>
      <c r="I1324" s="9" t="s">
        <v>978</v>
      </c>
      <c r="J1324" s="9" t="s">
        <v>979</v>
      </c>
      <c r="K1324" s="30">
        <v>1</v>
      </c>
      <c r="L1324" s="9" t="s">
        <v>153</v>
      </c>
      <c r="M1324" s="30" t="s">
        <v>84</v>
      </c>
      <c r="N1324" s="30" t="s">
        <v>155</v>
      </c>
      <c r="O1324" s="24">
        <v>240</v>
      </c>
      <c r="P1324" s="24">
        <v>343</v>
      </c>
      <c r="Q1324" s="24">
        <v>377</v>
      </c>
      <c r="R1324" s="24">
        <v>0</v>
      </c>
      <c r="S1324" s="24">
        <v>0</v>
      </c>
      <c r="T1324" s="24">
        <v>960</v>
      </c>
    </row>
    <row r="1325" spans="1:20">
      <c r="A1325" s="9" t="s">
        <v>976</v>
      </c>
      <c r="B1325" s="30" t="s">
        <v>977</v>
      </c>
      <c r="C1325" s="30" t="str">
        <f>CONCATENATE(VOL_VOLUMEN_SUMINISTROS[[#This Row],[Proyecto]],VOL_VOLUMEN_SUMINISTROS[[#This Row],[J]],VOL_VOLUMEN_SUMINISTROS[[#This Row],[FIN DE SEMANA]])</f>
        <v>1052-1MNO</v>
      </c>
      <c r="D1325" s="365" t="str">
        <f>CONCATENATE(VOL_VOLUMEN_SUMINISTROS[[#This Row],[Grupo]],VOL_VOLUMEN_SUMINISTROS[[#This Row],[Proyecto]],VOL_VOLUMEN_SUMINISTROS[[#This Row],[FIN DE SEMANA]])</f>
        <v>111052-1NO</v>
      </c>
      <c r="E1325" s="30" t="s">
        <v>147</v>
      </c>
      <c r="F1325" s="30" t="s">
        <v>148</v>
      </c>
      <c r="G1325" s="365">
        <v>11</v>
      </c>
      <c r="H1325" s="30">
        <v>9</v>
      </c>
      <c r="I1325" s="9" t="s">
        <v>978</v>
      </c>
      <c r="J1325" s="9" t="s">
        <v>979</v>
      </c>
      <c r="K1325" s="30">
        <v>2</v>
      </c>
      <c r="L1325" s="9" t="s">
        <v>483</v>
      </c>
      <c r="M1325" s="30" t="s">
        <v>84</v>
      </c>
      <c r="N1325" s="30" t="s">
        <v>152</v>
      </c>
      <c r="O1325" s="24">
        <v>60</v>
      </c>
      <c r="P1325" s="24">
        <v>0</v>
      </c>
      <c r="Q1325" s="24">
        <v>0</v>
      </c>
      <c r="R1325" s="24">
        <v>0</v>
      </c>
      <c r="S1325" s="24">
        <v>0</v>
      </c>
      <c r="T1325" s="24">
        <v>60</v>
      </c>
    </row>
    <row r="1326" spans="1:20">
      <c r="A1326" s="9" t="s">
        <v>976</v>
      </c>
      <c r="B1326" s="30" t="s">
        <v>977</v>
      </c>
      <c r="C1326" s="30" t="str">
        <f>CONCATENATE(VOL_VOLUMEN_SUMINISTROS[[#This Row],[Proyecto]],VOL_VOLUMEN_SUMINISTROS[[#This Row],[J]],VOL_VOLUMEN_SUMINISTROS[[#This Row],[FIN DE SEMANA]])</f>
        <v>1052-1MNO</v>
      </c>
      <c r="D1326" s="365" t="str">
        <f>CONCATENATE(VOL_VOLUMEN_SUMINISTROS[[#This Row],[Grupo]],VOL_VOLUMEN_SUMINISTROS[[#This Row],[Proyecto]],VOL_VOLUMEN_SUMINISTROS[[#This Row],[FIN DE SEMANA]])</f>
        <v>111052-1NO</v>
      </c>
      <c r="E1326" s="30" t="s">
        <v>147</v>
      </c>
      <c r="F1326" s="30" t="s">
        <v>148</v>
      </c>
      <c r="G1326" s="365">
        <v>11</v>
      </c>
      <c r="H1326" s="30">
        <v>9</v>
      </c>
      <c r="I1326" s="9" t="s">
        <v>978</v>
      </c>
      <c r="J1326" s="9" t="s">
        <v>980</v>
      </c>
      <c r="K1326" s="30">
        <v>1</v>
      </c>
      <c r="L1326" s="9" t="s">
        <v>981</v>
      </c>
      <c r="M1326" s="30" t="s">
        <v>84</v>
      </c>
      <c r="N1326" s="30" t="s">
        <v>152</v>
      </c>
      <c r="O1326" s="24">
        <v>0</v>
      </c>
      <c r="P1326" s="24">
        <v>60</v>
      </c>
      <c r="Q1326" s="24">
        <v>911</v>
      </c>
      <c r="R1326" s="24">
        <v>0</v>
      </c>
      <c r="S1326" s="24">
        <v>0</v>
      </c>
      <c r="T1326" s="24">
        <v>971</v>
      </c>
    </row>
    <row r="1327" spans="1:20">
      <c r="A1327" s="9" t="s">
        <v>976</v>
      </c>
      <c r="B1327" s="30" t="s">
        <v>977</v>
      </c>
      <c r="C1327" s="30" t="str">
        <f>CONCATENATE(VOL_VOLUMEN_SUMINISTROS[[#This Row],[Proyecto]],VOL_VOLUMEN_SUMINISTROS[[#This Row],[J]],VOL_VOLUMEN_SUMINISTROS[[#This Row],[FIN DE SEMANA]])</f>
        <v>1052-1TNO</v>
      </c>
      <c r="D1327" s="365" t="str">
        <f>CONCATENATE(VOL_VOLUMEN_SUMINISTROS[[#This Row],[Grupo]],VOL_VOLUMEN_SUMINISTROS[[#This Row],[Proyecto]],VOL_VOLUMEN_SUMINISTROS[[#This Row],[FIN DE SEMANA]])</f>
        <v>111052-1NO</v>
      </c>
      <c r="E1327" s="30" t="s">
        <v>147</v>
      </c>
      <c r="F1327" s="30" t="s">
        <v>148</v>
      </c>
      <c r="G1327" s="365">
        <v>11</v>
      </c>
      <c r="H1327" s="30">
        <v>9</v>
      </c>
      <c r="I1327" s="9" t="s">
        <v>978</v>
      </c>
      <c r="J1327" s="9" t="s">
        <v>980</v>
      </c>
      <c r="K1327" s="30">
        <v>1</v>
      </c>
      <c r="L1327" s="9" t="s">
        <v>981</v>
      </c>
      <c r="M1327" s="30" t="s">
        <v>84</v>
      </c>
      <c r="N1327" s="30" t="s">
        <v>155</v>
      </c>
      <c r="O1327" s="24">
        <v>78</v>
      </c>
      <c r="P1327" s="24">
        <v>504</v>
      </c>
      <c r="Q1327" s="24">
        <v>155</v>
      </c>
      <c r="R1327" s="24">
        <v>0</v>
      </c>
      <c r="S1327" s="24">
        <v>0</v>
      </c>
      <c r="T1327" s="24">
        <v>737</v>
      </c>
    </row>
    <row r="1328" spans="1:20">
      <c r="A1328" s="9" t="s">
        <v>976</v>
      </c>
      <c r="B1328" s="30" t="s">
        <v>977</v>
      </c>
      <c r="C1328" s="30" t="str">
        <f>CONCATENATE(VOL_VOLUMEN_SUMINISTROS[[#This Row],[Proyecto]],VOL_VOLUMEN_SUMINISTROS[[#This Row],[J]],VOL_VOLUMEN_SUMINISTROS[[#This Row],[FIN DE SEMANA]])</f>
        <v>1052-1MNO</v>
      </c>
      <c r="D1328" s="365" t="str">
        <f>CONCATENATE(VOL_VOLUMEN_SUMINISTROS[[#This Row],[Grupo]],VOL_VOLUMEN_SUMINISTROS[[#This Row],[Proyecto]],VOL_VOLUMEN_SUMINISTROS[[#This Row],[FIN DE SEMANA]])</f>
        <v>111052-1NO</v>
      </c>
      <c r="E1328" s="30" t="s">
        <v>147</v>
      </c>
      <c r="F1328" s="30" t="s">
        <v>148</v>
      </c>
      <c r="G1328" s="365">
        <v>11</v>
      </c>
      <c r="H1328" s="30">
        <v>9</v>
      </c>
      <c r="I1328" s="9" t="s">
        <v>978</v>
      </c>
      <c r="J1328" s="9" t="s">
        <v>980</v>
      </c>
      <c r="K1328" s="30">
        <v>2</v>
      </c>
      <c r="L1328" s="9" t="s">
        <v>982</v>
      </c>
      <c r="M1328" s="30" t="s">
        <v>84</v>
      </c>
      <c r="N1328" s="30" t="s">
        <v>152</v>
      </c>
      <c r="O1328" s="24">
        <v>188</v>
      </c>
      <c r="P1328" s="24">
        <v>124</v>
      </c>
      <c r="Q1328" s="24">
        <v>18</v>
      </c>
      <c r="R1328" s="24">
        <v>0</v>
      </c>
      <c r="S1328" s="24">
        <v>0</v>
      </c>
      <c r="T1328" s="24">
        <v>330</v>
      </c>
    </row>
    <row r="1329" spans="1:20">
      <c r="A1329" s="9" t="s">
        <v>976</v>
      </c>
      <c r="B1329" s="30" t="s">
        <v>977</v>
      </c>
      <c r="C1329" s="30" t="str">
        <f>CONCATENATE(VOL_VOLUMEN_SUMINISTROS[[#This Row],[Proyecto]],VOL_VOLUMEN_SUMINISTROS[[#This Row],[J]],VOL_VOLUMEN_SUMINISTROS[[#This Row],[FIN DE SEMANA]])</f>
        <v>1052-1TNO</v>
      </c>
      <c r="D1329" s="365" t="str">
        <f>CONCATENATE(VOL_VOLUMEN_SUMINISTROS[[#This Row],[Grupo]],VOL_VOLUMEN_SUMINISTROS[[#This Row],[Proyecto]],VOL_VOLUMEN_SUMINISTROS[[#This Row],[FIN DE SEMANA]])</f>
        <v>111052-1NO</v>
      </c>
      <c r="E1329" s="30" t="s">
        <v>147</v>
      </c>
      <c r="F1329" s="30" t="s">
        <v>148</v>
      </c>
      <c r="G1329" s="365">
        <v>11</v>
      </c>
      <c r="H1329" s="30">
        <v>9</v>
      </c>
      <c r="I1329" s="9" t="s">
        <v>978</v>
      </c>
      <c r="J1329" s="9" t="s">
        <v>980</v>
      </c>
      <c r="K1329" s="30">
        <v>2</v>
      </c>
      <c r="L1329" s="9" t="s">
        <v>982</v>
      </c>
      <c r="M1329" s="30" t="s">
        <v>84</v>
      </c>
      <c r="N1329" s="30" t="s">
        <v>155</v>
      </c>
      <c r="O1329" s="24">
        <v>211</v>
      </c>
      <c r="P1329" s="24">
        <v>60</v>
      </c>
      <c r="Q1329" s="24">
        <v>0</v>
      </c>
      <c r="R1329" s="24">
        <v>0</v>
      </c>
      <c r="S1329" s="24">
        <v>0</v>
      </c>
      <c r="T1329" s="24">
        <v>271</v>
      </c>
    </row>
    <row r="1330" spans="1:20">
      <c r="A1330" s="9" t="s">
        <v>976</v>
      </c>
      <c r="B1330" s="30" t="s">
        <v>977</v>
      </c>
      <c r="C1330" s="30" t="str">
        <f>CONCATENATE(VOL_VOLUMEN_SUMINISTROS[[#This Row],[Proyecto]],VOL_VOLUMEN_SUMINISTROS[[#This Row],[J]],VOL_VOLUMEN_SUMINISTROS[[#This Row],[FIN DE SEMANA]])</f>
        <v>1052-1MNO</v>
      </c>
      <c r="D1330" s="365" t="str">
        <f>CONCATENATE(VOL_VOLUMEN_SUMINISTROS[[#This Row],[Grupo]],VOL_VOLUMEN_SUMINISTROS[[#This Row],[Proyecto]],VOL_VOLUMEN_SUMINISTROS[[#This Row],[FIN DE SEMANA]])</f>
        <v>111052-1NO</v>
      </c>
      <c r="E1330" s="30" t="s">
        <v>147</v>
      </c>
      <c r="F1330" s="30" t="s">
        <v>148</v>
      </c>
      <c r="G1330" s="365">
        <v>11</v>
      </c>
      <c r="H1330" s="30">
        <v>9</v>
      </c>
      <c r="I1330" s="9" t="s">
        <v>978</v>
      </c>
      <c r="J1330" s="9" t="s">
        <v>983</v>
      </c>
      <c r="K1330" s="30">
        <v>1</v>
      </c>
      <c r="L1330" s="9" t="s">
        <v>984</v>
      </c>
      <c r="M1330" s="30" t="s">
        <v>84</v>
      </c>
      <c r="N1330" s="30" t="s">
        <v>152</v>
      </c>
      <c r="O1330" s="24">
        <v>0</v>
      </c>
      <c r="P1330" s="24">
        <v>273</v>
      </c>
      <c r="Q1330" s="24">
        <v>520</v>
      </c>
      <c r="R1330" s="24">
        <v>0</v>
      </c>
      <c r="S1330" s="24">
        <v>0</v>
      </c>
      <c r="T1330" s="24">
        <v>793</v>
      </c>
    </row>
    <row r="1331" spans="1:20">
      <c r="A1331" s="9" t="s">
        <v>976</v>
      </c>
      <c r="B1331" s="30" t="s">
        <v>977</v>
      </c>
      <c r="C1331" s="30" t="str">
        <f>CONCATENATE(VOL_VOLUMEN_SUMINISTROS[[#This Row],[Proyecto]],VOL_VOLUMEN_SUMINISTROS[[#This Row],[J]],VOL_VOLUMEN_SUMINISTROS[[#This Row],[FIN DE SEMANA]])</f>
        <v>1052-1TNO</v>
      </c>
      <c r="D1331" s="365" t="str">
        <f>CONCATENATE(VOL_VOLUMEN_SUMINISTROS[[#This Row],[Grupo]],VOL_VOLUMEN_SUMINISTROS[[#This Row],[Proyecto]],VOL_VOLUMEN_SUMINISTROS[[#This Row],[FIN DE SEMANA]])</f>
        <v>111052-1NO</v>
      </c>
      <c r="E1331" s="30" t="s">
        <v>147</v>
      </c>
      <c r="F1331" s="30" t="s">
        <v>148</v>
      </c>
      <c r="G1331" s="365">
        <v>11</v>
      </c>
      <c r="H1331" s="30">
        <v>9</v>
      </c>
      <c r="I1331" s="9" t="s">
        <v>978</v>
      </c>
      <c r="J1331" s="9" t="s">
        <v>983</v>
      </c>
      <c r="K1331" s="30">
        <v>1</v>
      </c>
      <c r="L1331" s="9" t="s">
        <v>984</v>
      </c>
      <c r="M1331" s="30" t="s">
        <v>84</v>
      </c>
      <c r="N1331" s="30" t="s">
        <v>155</v>
      </c>
      <c r="O1331" s="24">
        <v>0</v>
      </c>
      <c r="P1331" s="24">
        <v>261</v>
      </c>
      <c r="Q1331" s="24">
        <v>498</v>
      </c>
      <c r="R1331" s="24">
        <v>0</v>
      </c>
      <c r="S1331" s="24">
        <v>0</v>
      </c>
      <c r="T1331" s="24">
        <v>759</v>
      </c>
    </row>
    <row r="1332" spans="1:20">
      <c r="A1332" s="9" t="s">
        <v>976</v>
      </c>
      <c r="B1332" s="30" t="s">
        <v>977</v>
      </c>
      <c r="C1332" s="30" t="str">
        <f>CONCATENATE(VOL_VOLUMEN_SUMINISTROS[[#This Row],[Proyecto]],VOL_VOLUMEN_SUMINISTROS[[#This Row],[J]],VOL_VOLUMEN_SUMINISTROS[[#This Row],[FIN DE SEMANA]])</f>
        <v>1052-1MNO</v>
      </c>
      <c r="D1332" s="365" t="str">
        <f>CONCATENATE(VOL_VOLUMEN_SUMINISTROS[[#This Row],[Grupo]],VOL_VOLUMEN_SUMINISTROS[[#This Row],[Proyecto]],VOL_VOLUMEN_SUMINISTROS[[#This Row],[FIN DE SEMANA]])</f>
        <v>111052-1NO</v>
      </c>
      <c r="E1332" s="30" t="s">
        <v>147</v>
      </c>
      <c r="F1332" s="30" t="s">
        <v>148</v>
      </c>
      <c r="G1332" s="365">
        <v>11</v>
      </c>
      <c r="H1332" s="30">
        <v>9</v>
      </c>
      <c r="I1332" s="9" t="s">
        <v>978</v>
      </c>
      <c r="J1332" s="9" t="s">
        <v>983</v>
      </c>
      <c r="K1332" s="30">
        <v>2</v>
      </c>
      <c r="L1332" s="9" t="s">
        <v>985</v>
      </c>
      <c r="M1332" s="30" t="s">
        <v>84</v>
      </c>
      <c r="N1332" s="30" t="s">
        <v>152</v>
      </c>
      <c r="O1332" s="24">
        <v>183</v>
      </c>
      <c r="P1332" s="24">
        <v>53</v>
      </c>
      <c r="Q1332" s="24">
        <v>0</v>
      </c>
      <c r="R1332" s="24">
        <v>0</v>
      </c>
      <c r="S1332" s="24">
        <v>0</v>
      </c>
      <c r="T1332" s="24">
        <v>236</v>
      </c>
    </row>
    <row r="1333" spans="1:20">
      <c r="A1333" s="9" t="s">
        <v>976</v>
      </c>
      <c r="B1333" s="30" t="s">
        <v>977</v>
      </c>
      <c r="C1333" s="30" t="str">
        <f>CONCATENATE(VOL_VOLUMEN_SUMINISTROS[[#This Row],[Proyecto]],VOL_VOLUMEN_SUMINISTROS[[#This Row],[J]],VOL_VOLUMEN_SUMINISTROS[[#This Row],[FIN DE SEMANA]])</f>
        <v>1052-1TNO</v>
      </c>
      <c r="D1333" s="365" t="str">
        <f>CONCATENATE(VOL_VOLUMEN_SUMINISTROS[[#This Row],[Grupo]],VOL_VOLUMEN_SUMINISTROS[[#This Row],[Proyecto]],VOL_VOLUMEN_SUMINISTROS[[#This Row],[FIN DE SEMANA]])</f>
        <v>111052-1NO</v>
      </c>
      <c r="E1333" s="30" t="s">
        <v>147</v>
      </c>
      <c r="F1333" s="30" t="s">
        <v>148</v>
      </c>
      <c r="G1333" s="365">
        <v>11</v>
      </c>
      <c r="H1333" s="30">
        <v>9</v>
      </c>
      <c r="I1333" s="9" t="s">
        <v>978</v>
      </c>
      <c r="J1333" s="9" t="s">
        <v>983</v>
      </c>
      <c r="K1333" s="30">
        <v>2</v>
      </c>
      <c r="L1333" s="9" t="s">
        <v>985</v>
      </c>
      <c r="M1333" s="30" t="s">
        <v>84</v>
      </c>
      <c r="N1333" s="30" t="s">
        <v>155</v>
      </c>
      <c r="O1333" s="24">
        <v>194</v>
      </c>
      <c r="P1333" s="24">
        <v>54</v>
      </c>
      <c r="Q1333" s="24">
        <v>0</v>
      </c>
      <c r="R1333" s="24">
        <v>0</v>
      </c>
      <c r="S1333" s="24">
        <v>0</v>
      </c>
      <c r="T1333" s="24">
        <v>248</v>
      </c>
    </row>
    <row r="1334" spans="1:20">
      <c r="A1334" s="9" t="s">
        <v>976</v>
      </c>
      <c r="B1334" s="30" t="s">
        <v>977</v>
      </c>
      <c r="C1334" s="30" t="str">
        <f>CONCATENATE(VOL_VOLUMEN_SUMINISTROS[[#This Row],[Proyecto]],VOL_VOLUMEN_SUMINISTROS[[#This Row],[J]],VOL_VOLUMEN_SUMINISTROS[[#This Row],[FIN DE SEMANA]])</f>
        <v>1052-1MNO</v>
      </c>
      <c r="D1334" s="365" t="str">
        <f>CONCATENATE(VOL_VOLUMEN_SUMINISTROS[[#This Row],[Grupo]],VOL_VOLUMEN_SUMINISTROS[[#This Row],[Proyecto]],VOL_VOLUMEN_SUMINISTROS[[#This Row],[FIN DE SEMANA]])</f>
        <v>111052-1NO</v>
      </c>
      <c r="E1334" s="30" t="s">
        <v>147</v>
      </c>
      <c r="F1334" s="30" t="s">
        <v>148</v>
      </c>
      <c r="G1334" s="365">
        <v>11</v>
      </c>
      <c r="H1334" s="30">
        <v>9</v>
      </c>
      <c r="I1334" s="9" t="s">
        <v>978</v>
      </c>
      <c r="J1334" s="9" t="s">
        <v>983</v>
      </c>
      <c r="K1334" s="30">
        <v>3</v>
      </c>
      <c r="L1334" s="9" t="s">
        <v>986</v>
      </c>
      <c r="M1334" s="30" t="s">
        <v>84</v>
      </c>
      <c r="N1334" s="30" t="s">
        <v>152</v>
      </c>
      <c r="O1334" s="24">
        <v>96</v>
      </c>
      <c r="P1334" s="24">
        <v>135</v>
      </c>
      <c r="Q1334" s="24">
        <v>29</v>
      </c>
      <c r="R1334" s="24">
        <v>0</v>
      </c>
      <c r="S1334" s="24">
        <v>0</v>
      </c>
      <c r="T1334" s="24">
        <v>260</v>
      </c>
    </row>
    <row r="1335" spans="1:20">
      <c r="A1335" s="9" t="s">
        <v>976</v>
      </c>
      <c r="B1335" s="30" t="s">
        <v>977</v>
      </c>
      <c r="C1335" s="30" t="str">
        <f>CONCATENATE(VOL_VOLUMEN_SUMINISTROS[[#This Row],[Proyecto]],VOL_VOLUMEN_SUMINISTROS[[#This Row],[J]],VOL_VOLUMEN_SUMINISTROS[[#This Row],[FIN DE SEMANA]])</f>
        <v>1052-1TNO</v>
      </c>
      <c r="D1335" s="365" t="str">
        <f>CONCATENATE(VOL_VOLUMEN_SUMINISTROS[[#This Row],[Grupo]],VOL_VOLUMEN_SUMINISTROS[[#This Row],[Proyecto]],VOL_VOLUMEN_SUMINISTROS[[#This Row],[FIN DE SEMANA]])</f>
        <v>111052-1NO</v>
      </c>
      <c r="E1335" s="30" t="s">
        <v>147</v>
      </c>
      <c r="F1335" s="30" t="s">
        <v>148</v>
      </c>
      <c r="G1335" s="365">
        <v>11</v>
      </c>
      <c r="H1335" s="30">
        <v>9</v>
      </c>
      <c r="I1335" s="9" t="s">
        <v>978</v>
      </c>
      <c r="J1335" s="9" t="s">
        <v>983</v>
      </c>
      <c r="K1335" s="30">
        <v>3</v>
      </c>
      <c r="L1335" s="9" t="s">
        <v>986</v>
      </c>
      <c r="M1335" s="30" t="s">
        <v>84</v>
      </c>
      <c r="N1335" s="30" t="s">
        <v>155</v>
      </c>
      <c r="O1335" s="24">
        <v>104</v>
      </c>
      <c r="P1335" s="24">
        <v>139</v>
      </c>
      <c r="Q1335" s="24">
        <v>29</v>
      </c>
      <c r="R1335" s="24">
        <v>0</v>
      </c>
      <c r="S1335" s="24">
        <v>0</v>
      </c>
      <c r="T1335" s="24">
        <v>272</v>
      </c>
    </row>
    <row r="1336" spans="1:20">
      <c r="A1336" s="9" t="s">
        <v>976</v>
      </c>
      <c r="B1336" s="30" t="s">
        <v>977</v>
      </c>
      <c r="C1336" s="30" t="str">
        <f>CONCATENATE(VOL_VOLUMEN_SUMINISTROS[[#This Row],[Proyecto]],VOL_VOLUMEN_SUMINISTROS[[#This Row],[J]],VOL_VOLUMEN_SUMINISTROS[[#This Row],[FIN DE SEMANA]])</f>
        <v>1052-1MNO</v>
      </c>
      <c r="D1336" s="365" t="str">
        <f>CONCATENATE(VOL_VOLUMEN_SUMINISTROS[[#This Row],[Grupo]],VOL_VOLUMEN_SUMINISTROS[[#This Row],[Proyecto]],VOL_VOLUMEN_SUMINISTROS[[#This Row],[FIN DE SEMANA]])</f>
        <v>111052-1NO</v>
      </c>
      <c r="E1336" s="30" t="s">
        <v>147</v>
      </c>
      <c r="F1336" s="30" t="s">
        <v>148</v>
      </c>
      <c r="G1336" s="365">
        <v>11</v>
      </c>
      <c r="H1336" s="30">
        <v>9</v>
      </c>
      <c r="I1336" s="9" t="s">
        <v>978</v>
      </c>
      <c r="J1336" s="9" t="s">
        <v>987</v>
      </c>
      <c r="K1336" s="30">
        <v>2</v>
      </c>
      <c r="L1336" s="9" t="s">
        <v>988</v>
      </c>
      <c r="M1336" s="30" t="s">
        <v>84</v>
      </c>
      <c r="N1336" s="30" t="s">
        <v>152</v>
      </c>
      <c r="O1336" s="24">
        <v>139</v>
      </c>
      <c r="P1336" s="24">
        <v>109</v>
      </c>
      <c r="Q1336" s="24">
        <v>23</v>
      </c>
      <c r="R1336" s="24">
        <v>0</v>
      </c>
      <c r="S1336" s="24">
        <v>0</v>
      </c>
      <c r="T1336" s="24">
        <v>271</v>
      </c>
    </row>
    <row r="1337" spans="1:20">
      <c r="A1337" s="9" t="s">
        <v>976</v>
      </c>
      <c r="B1337" s="30" t="s">
        <v>977</v>
      </c>
      <c r="C1337" s="30" t="str">
        <f>CONCATENATE(VOL_VOLUMEN_SUMINISTROS[[#This Row],[Proyecto]],VOL_VOLUMEN_SUMINISTROS[[#This Row],[J]],VOL_VOLUMEN_SUMINISTROS[[#This Row],[FIN DE SEMANA]])</f>
        <v>1052-1TNO</v>
      </c>
      <c r="D1337" s="365" t="str">
        <f>CONCATENATE(VOL_VOLUMEN_SUMINISTROS[[#This Row],[Grupo]],VOL_VOLUMEN_SUMINISTROS[[#This Row],[Proyecto]],VOL_VOLUMEN_SUMINISTROS[[#This Row],[FIN DE SEMANA]])</f>
        <v>111052-1NO</v>
      </c>
      <c r="E1337" s="30" t="s">
        <v>147</v>
      </c>
      <c r="F1337" s="30" t="s">
        <v>148</v>
      </c>
      <c r="G1337" s="365">
        <v>11</v>
      </c>
      <c r="H1337" s="30">
        <v>9</v>
      </c>
      <c r="I1337" s="9" t="s">
        <v>978</v>
      </c>
      <c r="J1337" s="9" t="s">
        <v>987</v>
      </c>
      <c r="K1337" s="30">
        <v>2</v>
      </c>
      <c r="L1337" s="9" t="s">
        <v>988</v>
      </c>
      <c r="M1337" s="30" t="s">
        <v>84</v>
      </c>
      <c r="N1337" s="30" t="s">
        <v>155</v>
      </c>
      <c r="O1337" s="24">
        <v>156</v>
      </c>
      <c r="P1337" s="24">
        <v>114</v>
      </c>
      <c r="Q1337" s="24">
        <v>23</v>
      </c>
      <c r="R1337" s="24">
        <v>0</v>
      </c>
      <c r="S1337" s="24">
        <v>0</v>
      </c>
      <c r="T1337" s="24">
        <v>293</v>
      </c>
    </row>
    <row r="1338" spans="1:20">
      <c r="A1338" s="9" t="s">
        <v>976</v>
      </c>
      <c r="B1338" s="30" t="s">
        <v>977</v>
      </c>
      <c r="C1338" s="30" t="str">
        <f>CONCATENATE(VOL_VOLUMEN_SUMINISTROS[[#This Row],[Proyecto]],VOL_VOLUMEN_SUMINISTROS[[#This Row],[J]],VOL_VOLUMEN_SUMINISTROS[[#This Row],[FIN DE SEMANA]])</f>
        <v>1052-1MNO</v>
      </c>
      <c r="D1338" s="365" t="str">
        <f>CONCATENATE(VOL_VOLUMEN_SUMINISTROS[[#This Row],[Grupo]],VOL_VOLUMEN_SUMINISTROS[[#This Row],[Proyecto]],VOL_VOLUMEN_SUMINISTROS[[#This Row],[FIN DE SEMANA]])</f>
        <v>111052-1NO</v>
      </c>
      <c r="E1338" s="30" t="s">
        <v>147</v>
      </c>
      <c r="F1338" s="30" t="s">
        <v>148</v>
      </c>
      <c r="G1338" s="365">
        <v>11</v>
      </c>
      <c r="H1338" s="30">
        <v>9</v>
      </c>
      <c r="I1338" s="9" t="s">
        <v>978</v>
      </c>
      <c r="J1338" s="9" t="s">
        <v>987</v>
      </c>
      <c r="K1338" s="30">
        <v>4</v>
      </c>
      <c r="L1338" s="9" t="s">
        <v>989</v>
      </c>
      <c r="M1338" s="30" t="s">
        <v>84</v>
      </c>
      <c r="N1338" s="30" t="s">
        <v>152</v>
      </c>
      <c r="O1338" s="24">
        <v>207</v>
      </c>
      <c r="P1338" s="24">
        <v>201</v>
      </c>
      <c r="Q1338" s="24">
        <v>44</v>
      </c>
      <c r="R1338" s="24">
        <v>0</v>
      </c>
      <c r="S1338" s="24">
        <v>0</v>
      </c>
      <c r="T1338" s="24">
        <v>452</v>
      </c>
    </row>
    <row r="1339" spans="1:20">
      <c r="A1339" s="9" t="s">
        <v>976</v>
      </c>
      <c r="B1339" s="30" t="s">
        <v>977</v>
      </c>
      <c r="C1339" s="30" t="str">
        <f>CONCATENATE(VOL_VOLUMEN_SUMINISTROS[[#This Row],[Proyecto]],VOL_VOLUMEN_SUMINISTROS[[#This Row],[J]],VOL_VOLUMEN_SUMINISTROS[[#This Row],[FIN DE SEMANA]])</f>
        <v>1052-1TNO</v>
      </c>
      <c r="D1339" s="365" t="str">
        <f>CONCATENATE(VOL_VOLUMEN_SUMINISTROS[[#This Row],[Grupo]],VOL_VOLUMEN_SUMINISTROS[[#This Row],[Proyecto]],VOL_VOLUMEN_SUMINISTROS[[#This Row],[FIN DE SEMANA]])</f>
        <v>111052-1NO</v>
      </c>
      <c r="E1339" s="30" t="s">
        <v>147</v>
      </c>
      <c r="F1339" s="30" t="s">
        <v>148</v>
      </c>
      <c r="G1339" s="365">
        <v>11</v>
      </c>
      <c r="H1339" s="30">
        <v>9</v>
      </c>
      <c r="I1339" s="9" t="s">
        <v>978</v>
      </c>
      <c r="J1339" s="9" t="s">
        <v>987</v>
      </c>
      <c r="K1339" s="30">
        <v>4</v>
      </c>
      <c r="L1339" s="9" t="s">
        <v>989</v>
      </c>
      <c r="M1339" s="30" t="s">
        <v>84</v>
      </c>
      <c r="N1339" s="30" t="s">
        <v>155</v>
      </c>
      <c r="O1339" s="24">
        <v>260</v>
      </c>
      <c r="P1339" s="24">
        <v>181</v>
      </c>
      <c r="Q1339" s="24">
        <v>32</v>
      </c>
      <c r="R1339" s="24">
        <v>0</v>
      </c>
      <c r="S1339" s="24">
        <v>0</v>
      </c>
      <c r="T1339" s="24">
        <v>473</v>
      </c>
    </row>
    <row r="1340" spans="1:20">
      <c r="A1340" s="9" t="s">
        <v>976</v>
      </c>
      <c r="B1340" s="30" t="s">
        <v>977</v>
      </c>
      <c r="C1340" s="30" t="str">
        <f>CONCATENATE(VOL_VOLUMEN_SUMINISTROS[[#This Row],[Proyecto]],VOL_VOLUMEN_SUMINISTROS[[#This Row],[J]],VOL_VOLUMEN_SUMINISTROS[[#This Row],[FIN DE SEMANA]])</f>
        <v>1052-1MNO</v>
      </c>
      <c r="D1340" s="365" t="str">
        <f>CONCATENATE(VOL_VOLUMEN_SUMINISTROS[[#This Row],[Grupo]],VOL_VOLUMEN_SUMINISTROS[[#This Row],[Proyecto]],VOL_VOLUMEN_SUMINISTROS[[#This Row],[FIN DE SEMANA]])</f>
        <v>111052-1NO</v>
      </c>
      <c r="E1340" s="30" t="s">
        <v>147</v>
      </c>
      <c r="F1340" s="30" t="s">
        <v>148</v>
      </c>
      <c r="G1340" s="365">
        <v>11</v>
      </c>
      <c r="H1340" s="30">
        <v>9</v>
      </c>
      <c r="I1340" s="9" t="s">
        <v>978</v>
      </c>
      <c r="J1340" s="9" t="s">
        <v>990</v>
      </c>
      <c r="K1340" s="30">
        <v>1</v>
      </c>
      <c r="L1340" s="9" t="s">
        <v>991</v>
      </c>
      <c r="M1340" s="30" t="s">
        <v>84</v>
      </c>
      <c r="N1340" s="30" t="s">
        <v>152</v>
      </c>
      <c r="O1340" s="24">
        <v>410</v>
      </c>
      <c r="P1340" s="24">
        <v>597</v>
      </c>
      <c r="Q1340" s="24">
        <v>604</v>
      </c>
      <c r="R1340" s="24">
        <v>0</v>
      </c>
      <c r="S1340" s="24">
        <v>0</v>
      </c>
      <c r="T1340" s="24">
        <v>1611</v>
      </c>
    </row>
    <row r="1341" spans="1:20">
      <c r="A1341" s="9" t="s">
        <v>976</v>
      </c>
      <c r="B1341" s="30" t="s">
        <v>977</v>
      </c>
      <c r="C1341" s="30" t="str">
        <f>CONCATENATE(VOL_VOLUMEN_SUMINISTROS[[#This Row],[Proyecto]],VOL_VOLUMEN_SUMINISTROS[[#This Row],[J]],VOL_VOLUMEN_SUMINISTROS[[#This Row],[FIN DE SEMANA]])</f>
        <v>1052-1TNO</v>
      </c>
      <c r="D1341" s="365" t="str">
        <f>CONCATENATE(VOL_VOLUMEN_SUMINISTROS[[#This Row],[Grupo]],VOL_VOLUMEN_SUMINISTROS[[#This Row],[Proyecto]],VOL_VOLUMEN_SUMINISTROS[[#This Row],[FIN DE SEMANA]])</f>
        <v>111052-1NO</v>
      </c>
      <c r="E1341" s="30" t="s">
        <v>147</v>
      </c>
      <c r="F1341" s="30" t="s">
        <v>148</v>
      </c>
      <c r="G1341" s="365">
        <v>11</v>
      </c>
      <c r="H1341" s="30">
        <v>9</v>
      </c>
      <c r="I1341" s="9" t="s">
        <v>978</v>
      </c>
      <c r="J1341" s="9" t="s">
        <v>990</v>
      </c>
      <c r="K1341" s="30">
        <v>1</v>
      </c>
      <c r="L1341" s="9" t="s">
        <v>991</v>
      </c>
      <c r="M1341" s="30" t="s">
        <v>84</v>
      </c>
      <c r="N1341" s="30" t="s">
        <v>155</v>
      </c>
      <c r="O1341" s="24">
        <v>384</v>
      </c>
      <c r="P1341" s="24">
        <v>575</v>
      </c>
      <c r="Q1341" s="24">
        <v>585</v>
      </c>
      <c r="R1341" s="24">
        <v>0</v>
      </c>
      <c r="S1341" s="24">
        <v>0</v>
      </c>
      <c r="T1341" s="24">
        <v>1544</v>
      </c>
    </row>
    <row r="1342" spans="1:20">
      <c r="A1342" s="9" t="s">
        <v>976</v>
      </c>
      <c r="B1342" s="30" t="s">
        <v>977</v>
      </c>
      <c r="C1342" s="30" t="str">
        <f>CONCATENATE(VOL_VOLUMEN_SUMINISTROS[[#This Row],[Proyecto]],VOL_VOLUMEN_SUMINISTROS[[#This Row],[J]],VOL_VOLUMEN_SUMINISTROS[[#This Row],[FIN DE SEMANA]])</f>
        <v>1052-1MNO</v>
      </c>
      <c r="D1342" s="365" t="str">
        <f>CONCATENATE(VOL_VOLUMEN_SUMINISTROS[[#This Row],[Grupo]],VOL_VOLUMEN_SUMINISTROS[[#This Row],[Proyecto]],VOL_VOLUMEN_SUMINISTROS[[#This Row],[FIN DE SEMANA]])</f>
        <v>111052-1NO</v>
      </c>
      <c r="E1342" s="30" t="s">
        <v>147</v>
      </c>
      <c r="F1342" s="30" t="s">
        <v>148</v>
      </c>
      <c r="G1342" s="365">
        <v>11</v>
      </c>
      <c r="H1342" s="30">
        <v>9</v>
      </c>
      <c r="I1342" s="9" t="s">
        <v>978</v>
      </c>
      <c r="J1342" s="9" t="s">
        <v>992</v>
      </c>
      <c r="K1342" s="30">
        <v>1</v>
      </c>
      <c r="L1342" s="9" t="s">
        <v>993</v>
      </c>
      <c r="M1342" s="30" t="s">
        <v>84</v>
      </c>
      <c r="N1342" s="30" t="s">
        <v>152</v>
      </c>
      <c r="O1342" s="24">
        <v>0</v>
      </c>
      <c r="P1342" s="24">
        <v>168</v>
      </c>
      <c r="Q1342" s="24">
        <v>268</v>
      </c>
      <c r="R1342" s="24">
        <v>0</v>
      </c>
      <c r="S1342" s="24">
        <v>0</v>
      </c>
      <c r="T1342" s="24">
        <v>436</v>
      </c>
    </row>
    <row r="1343" spans="1:20">
      <c r="A1343" s="9" t="s">
        <v>976</v>
      </c>
      <c r="B1343" s="30" t="s">
        <v>977</v>
      </c>
      <c r="C1343" s="30" t="str">
        <f>CONCATENATE(VOL_VOLUMEN_SUMINISTROS[[#This Row],[Proyecto]],VOL_VOLUMEN_SUMINISTROS[[#This Row],[J]],VOL_VOLUMEN_SUMINISTROS[[#This Row],[FIN DE SEMANA]])</f>
        <v>1052-1TNO</v>
      </c>
      <c r="D1343" s="365" t="str">
        <f>CONCATENATE(VOL_VOLUMEN_SUMINISTROS[[#This Row],[Grupo]],VOL_VOLUMEN_SUMINISTROS[[#This Row],[Proyecto]],VOL_VOLUMEN_SUMINISTROS[[#This Row],[FIN DE SEMANA]])</f>
        <v>111052-1NO</v>
      </c>
      <c r="E1343" s="30" t="s">
        <v>147</v>
      </c>
      <c r="F1343" s="30" t="s">
        <v>148</v>
      </c>
      <c r="G1343" s="365">
        <v>11</v>
      </c>
      <c r="H1343" s="30">
        <v>9</v>
      </c>
      <c r="I1343" s="9" t="s">
        <v>978</v>
      </c>
      <c r="J1343" s="9" t="s">
        <v>992</v>
      </c>
      <c r="K1343" s="30">
        <v>1</v>
      </c>
      <c r="L1343" s="9" t="s">
        <v>993</v>
      </c>
      <c r="M1343" s="30" t="s">
        <v>84</v>
      </c>
      <c r="N1343" s="30" t="s">
        <v>155</v>
      </c>
      <c r="O1343" s="24">
        <v>0</v>
      </c>
      <c r="P1343" s="24">
        <v>153</v>
      </c>
      <c r="Q1343" s="24">
        <v>222</v>
      </c>
      <c r="R1343" s="24">
        <v>0</v>
      </c>
      <c r="S1343" s="24">
        <v>0</v>
      </c>
      <c r="T1343" s="24">
        <v>375</v>
      </c>
    </row>
    <row r="1344" spans="1:20">
      <c r="A1344" s="9" t="s">
        <v>976</v>
      </c>
      <c r="B1344" s="30" t="s">
        <v>977</v>
      </c>
      <c r="C1344" s="30" t="str">
        <f>CONCATENATE(VOL_VOLUMEN_SUMINISTROS[[#This Row],[Proyecto]],VOL_VOLUMEN_SUMINISTROS[[#This Row],[J]],VOL_VOLUMEN_SUMINISTROS[[#This Row],[FIN DE SEMANA]])</f>
        <v>1052-1MNO</v>
      </c>
      <c r="D1344" s="365" t="str">
        <f>CONCATENATE(VOL_VOLUMEN_SUMINISTROS[[#This Row],[Grupo]],VOL_VOLUMEN_SUMINISTROS[[#This Row],[Proyecto]],VOL_VOLUMEN_SUMINISTROS[[#This Row],[FIN DE SEMANA]])</f>
        <v>111052-1NO</v>
      </c>
      <c r="E1344" s="30" t="s">
        <v>147</v>
      </c>
      <c r="F1344" s="30" t="s">
        <v>148</v>
      </c>
      <c r="G1344" s="365">
        <v>11</v>
      </c>
      <c r="H1344" s="30">
        <v>9</v>
      </c>
      <c r="I1344" s="9" t="s">
        <v>978</v>
      </c>
      <c r="J1344" s="9" t="s">
        <v>992</v>
      </c>
      <c r="K1344" s="30">
        <v>2</v>
      </c>
      <c r="L1344" s="9" t="s">
        <v>994</v>
      </c>
      <c r="M1344" s="30" t="s">
        <v>84</v>
      </c>
      <c r="N1344" s="30" t="s">
        <v>152</v>
      </c>
      <c r="O1344" s="24">
        <v>190</v>
      </c>
      <c r="P1344" s="24">
        <v>124</v>
      </c>
      <c r="Q1344" s="24">
        <v>18</v>
      </c>
      <c r="R1344" s="24">
        <v>0</v>
      </c>
      <c r="S1344" s="24">
        <v>0</v>
      </c>
      <c r="T1344" s="24">
        <v>332</v>
      </c>
    </row>
    <row r="1345" spans="1:20">
      <c r="A1345" s="9" t="s">
        <v>976</v>
      </c>
      <c r="B1345" s="30" t="s">
        <v>977</v>
      </c>
      <c r="C1345" s="30" t="str">
        <f>CONCATENATE(VOL_VOLUMEN_SUMINISTROS[[#This Row],[Proyecto]],VOL_VOLUMEN_SUMINISTROS[[#This Row],[J]],VOL_VOLUMEN_SUMINISTROS[[#This Row],[FIN DE SEMANA]])</f>
        <v>1052-1TNO</v>
      </c>
      <c r="D1345" s="365" t="str">
        <f>CONCATENATE(VOL_VOLUMEN_SUMINISTROS[[#This Row],[Grupo]],VOL_VOLUMEN_SUMINISTROS[[#This Row],[Proyecto]],VOL_VOLUMEN_SUMINISTROS[[#This Row],[FIN DE SEMANA]])</f>
        <v>111052-1NO</v>
      </c>
      <c r="E1345" s="30" t="s">
        <v>147</v>
      </c>
      <c r="F1345" s="30" t="s">
        <v>148</v>
      </c>
      <c r="G1345" s="365">
        <v>11</v>
      </c>
      <c r="H1345" s="30">
        <v>9</v>
      </c>
      <c r="I1345" s="9" t="s">
        <v>978</v>
      </c>
      <c r="J1345" s="9" t="s">
        <v>992</v>
      </c>
      <c r="K1345" s="30">
        <v>2</v>
      </c>
      <c r="L1345" s="9" t="s">
        <v>994</v>
      </c>
      <c r="M1345" s="30" t="s">
        <v>84</v>
      </c>
      <c r="N1345" s="30" t="s">
        <v>155</v>
      </c>
      <c r="O1345" s="24">
        <v>178</v>
      </c>
      <c r="P1345" s="24">
        <v>118</v>
      </c>
      <c r="Q1345" s="24">
        <v>18</v>
      </c>
      <c r="R1345" s="24">
        <v>0</v>
      </c>
      <c r="S1345" s="24">
        <v>0</v>
      </c>
      <c r="T1345" s="24">
        <v>314</v>
      </c>
    </row>
    <row r="1346" spans="1:20">
      <c r="A1346" s="9" t="s">
        <v>976</v>
      </c>
      <c r="B1346" s="30" t="s">
        <v>977</v>
      </c>
      <c r="C1346" s="30" t="str">
        <f>CONCATENATE(VOL_VOLUMEN_SUMINISTROS[[#This Row],[Proyecto]],VOL_VOLUMEN_SUMINISTROS[[#This Row],[J]],VOL_VOLUMEN_SUMINISTROS[[#This Row],[FIN DE SEMANA]])</f>
        <v>1052-1MNO</v>
      </c>
      <c r="D1346" s="365" t="str">
        <f>CONCATENATE(VOL_VOLUMEN_SUMINISTROS[[#This Row],[Grupo]],VOL_VOLUMEN_SUMINISTROS[[#This Row],[Proyecto]],VOL_VOLUMEN_SUMINISTROS[[#This Row],[FIN DE SEMANA]])</f>
        <v>111052-1NO</v>
      </c>
      <c r="E1346" s="30" t="s">
        <v>147</v>
      </c>
      <c r="F1346" s="30" t="s">
        <v>148</v>
      </c>
      <c r="G1346" s="365">
        <v>11</v>
      </c>
      <c r="H1346" s="30">
        <v>9</v>
      </c>
      <c r="I1346" s="9" t="s">
        <v>978</v>
      </c>
      <c r="J1346" s="9" t="s">
        <v>995</v>
      </c>
      <c r="K1346" s="30">
        <v>1</v>
      </c>
      <c r="L1346" s="9" t="s">
        <v>996</v>
      </c>
      <c r="M1346" s="30" t="s">
        <v>84</v>
      </c>
      <c r="N1346" s="30" t="s">
        <v>152</v>
      </c>
      <c r="O1346" s="24">
        <v>86</v>
      </c>
      <c r="P1346" s="24">
        <v>214</v>
      </c>
      <c r="Q1346" s="24">
        <v>712</v>
      </c>
      <c r="R1346" s="24">
        <v>0</v>
      </c>
      <c r="S1346" s="24">
        <v>0</v>
      </c>
      <c r="T1346" s="24">
        <v>1012</v>
      </c>
    </row>
    <row r="1347" spans="1:20">
      <c r="A1347" s="9" t="s">
        <v>976</v>
      </c>
      <c r="B1347" s="30" t="s">
        <v>977</v>
      </c>
      <c r="C1347" s="30" t="str">
        <f>CONCATENATE(VOL_VOLUMEN_SUMINISTROS[[#This Row],[Proyecto]],VOL_VOLUMEN_SUMINISTROS[[#This Row],[J]],VOL_VOLUMEN_SUMINISTROS[[#This Row],[FIN DE SEMANA]])</f>
        <v>1052-1NNO</v>
      </c>
      <c r="D1347" s="365" t="str">
        <f>CONCATENATE(VOL_VOLUMEN_SUMINISTROS[[#This Row],[Grupo]],VOL_VOLUMEN_SUMINISTROS[[#This Row],[Proyecto]],VOL_VOLUMEN_SUMINISTROS[[#This Row],[FIN DE SEMANA]])</f>
        <v>111052-1NO</v>
      </c>
      <c r="E1347" s="30" t="s">
        <v>147</v>
      </c>
      <c r="F1347" s="30" t="s">
        <v>148</v>
      </c>
      <c r="G1347" s="365">
        <v>11</v>
      </c>
      <c r="H1347" s="30">
        <v>9</v>
      </c>
      <c r="I1347" s="9" t="s">
        <v>978</v>
      </c>
      <c r="J1347" s="9" t="s">
        <v>995</v>
      </c>
      <c r="K1347" s="30">
        <v>1</v>
      </c>
      <c r="L1347" s="9" t="s">
        <v>996</v>
      </c>
      <c r="M1347" s="30" t="s">
        <v>84</v>
      </c>
      <c r="N1347" s="30" t="s">
        <v>154</v>
      </c>
      <c r="O1347" s="24">
        <v>0</v>
      </c>
      <c r="P1347" s="24">
        <v>0</v>
      </c>
      <c r="Q1347" s="24">
        <v>0</v>
      </c>
      <c r="R1347" s="24">
        <v>158</v>
      </c>
      <c r="S1347" s="24">
        <v>141</v>
      </c>
      <c r="T1347" s="24">
        <v>299</v>
      </c>
    </row>
    <row r="1348" spans="1:20">
      <c r="A1348" s="9" t="s">
        <v>976</v>
      </c>
      <c r="B1348" s="30" t="s">
        <v>977</v>
      </c>
      <c r="C1348" s="30" t="str">
        <f>CONCATENATE(VOL_VOLUMEN_SUMINISTROS[[#This Row],[Proyecto]],VOL_VOLUMEN_SUMINISTROS[[#This Row],[J]],VOL_VOLUMEN_SUMINISTROS[[#This Row],[FIN DE SEMANA]])</f>
        <v>1052-1TNO</v>
      </c>
      <c r="D1348" s="365" t="str">
        <f>CONCATENATE(VOL_VOLUMEN_SUMINISTROS[[#This Row],[Grupo]],VOL_VOLUMEN_SUMINISTROS[[#This Row],[Proyecto]],VOL_VOLUMEN_SUMINISTROS[[#This Row],[FIN DE SEMANA]])</f>
        <v>111052-1NO</v>
      </c>
      <c r="E1348" s="30" t="s">
        <v>147</v>
      </c>
      <c r="F1348" s="30" t="s">
        <v>148</v>
      </c>
      <c r="G1348" s="365">
        <v>11</v>
      </c>
      <c r="H1348" s="30">
        <v>9</v>
      </c>
      <c r="I1348" s="9" t="s">
        <v>978</v>
      </c>
      <c r="J1348" s="9" t="s">
        <v>995</v>
      </c>
      <c r="K1348" s="30">
        <v>1</v>
      </c>
      <c r="L1348" s="9" t="s">
        <v>996</v>
      </c>
      <c r="M1348" s="30" t="s">
        <v>84</v>
      </c>
      <c r="N1348" s="30" t="s">
        <v>155</v>
      </c>
      <c r="O1348" s="24">
        <v>80</v>
      </c>
      <c r="P1348" s="24">
        <v>499</v>
      </c>
      <c r="Q1348" s="24">
        <v>153</v>
      </c>
      <c r="R1348" s="24">
        <v>0</v>
      </c>
      <c r="S1348" s="24">
        <v>0</v>
      </c>
      <c r="T1348" s="24">
        <v>732</v>
      </c>
    </row>
    <row r="1349" spans="1:20">
      <c r="A1349" s="9" t="s">
        <v>976</v>
      </c>
      <c r="B1349" s="30" t="s">
        <v>977</v>
      </c>
      <c r="C1349" s="30" t="str">
        <f>CONCATENATE(VOL_VOLUMEN_SUMINISTROS[[#This Row],[Proyecto]],VOL_VOLUMEN_SUMINISTROS[[#This Row],[J]],VOL_VOLUMEN_SUMINISTROS[[#This Row],[FIN DE SEMANA]])</f>
        <v>1052-1MNO</v>
      </c>
      <c r="D1349" s="365" t="str">
        <f>CONCATENATE(VOL_VOLUMEN_SUMINISTROS[[#This Row],[Grupo]],VOL_VOLUMEN_SUMINISTROS[[#This Row],[Proyecto]],VOL_VOLUMEN_SUMINISTROS[[#This Row],[FIN DE SEMANA]])</f>
        <v>111052-1NO</v>
      </c>
      <c r="E1349" s="30" t="s">
        <v>147</v>
      </c>
      <c r="F1349" s="30" t="s">
        <v>148</v>
      </c>
      <c r="G1349" s="365">
        <v>11</v>
      </c>
      <c r="H1349" s="30">
        <v>9</v>
      </c>
      <c r="I1349" s="9" t="s">
        <v>978</v>
      </c>
      <c r="J1349" s="9" t="s">
        <v>995</v>
      </c>
      <c r="K1349" s="30">
        <v>2</v>
      </c>
      <c r="L1349" s="9" t="s">
        <v>997</v>
      </c>
      <c r="M1349" s="30" t="s">
        <v>84</v>
      </c>
      <c r="N1349" s="30" t="s">
        <v>152</v>
      </c>
      <c r="O1349" s="24">
        <v>132</v>
      </c>
      <c r="P1349" s="24">
        <v>23</v>
      </c>
      <c r="Q1349" s="24">
        <v>0</v>
      </c>
      <c r="R1349" s="24">
        <v>0</v>
      </c>
      <c r="S1349" s="24">
        <v>0</v>
      </c>
      <c r="T1349" s="24">
        <v>155</v>
      </c>
    </row>
    <row r="1350" spans="1:20">
      <c r="A1350" s="9" t="s">
        <v>976</v>
      </c>
      <c r="B1350" s="30" t="s">
        <v>977</v>
      </c>
      <c r="C1350" s="30" t="str">
        <f>CONCATENATE(VOL_VOLUMEN_SUMINISTROS[[#This Row],[Proyecto]],VOL_VOLUMEN_SUMINISTROS[[#This Row],[J]],VOL_VOLUMEN_SUMINISTROS[[#This Row],[FIN DE SEMANA]])</f>
        <v>1052-1MNO</v>
      </c>
      <c r="D1350" s="365" t="str">
        <f>CONCATENATE(VOL_VOLUMEN_SUMINISTROS[[#This Row],[Grupo]],VOL_VOLUMEN_SUMINISTROS[[#This Row],[Proyecto]],VOL_VOLUMEN_SUMINISTROS[[#This Row],[FIN DE SEMANA]])</f>
        <v>111052-1NO</v>
      </c>
      <c r="E1350" s="30" t="s">
        <v>147</v>
      </c>
      <c r="F1350" s="30" t="s">
        <v>148</v>
      </c>
      <c r="G1350" s="365">
        <v>11</v>
      </c>
      <c r="H1350" s="30">
        <v>9</v>
      </c>
      <c r="I1350" s="9" t="s">
        <v>978</v>
      </c>
      <c r="J1350" s="9" t="s">
        <v>995</v>
      </c>
      <c r="K1350" s="30">
        <v>3</v>
      </c>
      <c r="L1350" s="9" t="s">
        <v>998</v>
      </c>
      <c r="M1350" s="30" t="s">
        <v>84</v>
      </c>
      <c r="N1350" s="30" t="s">
        <v>152</v>
      </c>
      <c r="O1350" s="24">
        <v>248</v>
      </c>
      <c r="P1350" s="24">
        <v>0</v>
      </c>
      <c r="Q1350" s="24">
        <v>0</v>
      </c>
      <c r="R1350" s="24">
        <v>0</v>
      </c>
      <c r="S1350" s="24">
        <v>0</v>
      </c>
      <c r="T1350" s="24">
        <v>248</v>
      </c>
    </row>
    <row r="1351" spans="1:20">
      <c r="A1351" s="9" t="s">
        <v>976</v>
      </c>
      <c r="B1351" s="30" t="s">
        <v>977</v>
      </c>
      <c r="C1351" s="30" t="str">
        <f>CONCATENATE(VOL_VOLUMEN_SUMINISTROS[[#This Row],[Proyecto]],VOL_VOLUMEN_SUMINISTROS[[#This Row],[J]],VOL_VOLUMEN_SUMINISTROS[[#This Row],[FIN DE SEMANA]])</f>
        <v>1052-1MNO</v>
      </c>
      <c r="D1351" s="365" t="str">
        <f>CONCATENATE(VOL_VOLUMEN_SUMINISTROS[[#This Row],[Grupo]],VOL_VOLUMEN_SUMINISTROS[[#This Row],[Proyecto]],VOL_VOLUMEN_SUMINISTROS[[#This Row],[FIN DE SEMANA]])</f>
        <v>111052-1NO</v>
      </c>
      <c r="E1351" s="30" t="s">
        <v>147</v>
      </c>
      <c r="F1351" s="30" t="s">
        <v>148</v>
      </c>
      <c r="G1351" s="365">
        <v>11</v>
      </c>
      <c r="H1351" s="30">
        <v>9</v>
      </c>
      <c r="I1351" s="9" t="s">
        <v>978</v>
      </c>
      <c r="J1351" s="9" t="s">
        <v>999</v>
      </c>
      <c r="K1351" s="30">
        <v>1</v>
      </c>
      <c r="L1351" s="9" t="s">
        <v>1000</v>
      </c>
      <c r="M1351" s="30" t="s">
        <v>84</v>
      </c>
      <c r="N1351" s="30" t="s">
        <v>152</v>
      </c>
      <c r="O1351" s="24">
        <v>0</v>
      </c>
      <c r="P1351" s="24">
        <v>255</v>
      </c>
      <c r="Q1351" s="24">
        <v>504</v>
      </c>
      <c r="R1351" s="24">
        <v>0</v>
      </c>
      <c r="S1351" s="24">
        <v>0</v>
      </c>
      <c r="T1351" s="24">
        <v>759</v>
      </c>
    </row>
    <row r="1352" spans="1:20">
      <c r="A1352" s="9" t="s">
        <v>976</v>
      </c>
      <c r="B1352" s="30" t="s">
        <v>977</v>
      </c>
      <c r="C1352" s="30" t="str">
        <f>CONCATENATE(VOL_VOLUMEN_SUMINISTROS[[#This Row],[Proyecto]],VOL_VOLUMEN_SUMINISTROS[[#This Row],[J]],VOL_VOLUMEN_SUMINISTROS[[#This Row],[FIN DE SEMANA]])</f>
        <v>1052-1NNO</v>
      </c>
      <c r="D1352" s="365" t="str">
        <f>CONCATENATE(VOL_VOLUMEN_SUMINISTROS[[#This Row],[Grupo]],VOL_VOLUMEN_SUMINISTROS[[#This Row],[Proyecto]],VOL_VOLUMEN_SUMINISTROS[[#This Row],[FIN DE SEMANA]])</f>
        <v>111052-1NO</v>
      </c>
      <c r="E1352" s="30" t="s">
        <v>147</v>
      </c>
      <c r="F1352" s="30" t="s">
        <v>148</v>
      </c>
      <c r="G1352" s="365">
        <v>11</v>
      </c>
      <c r="H1352" s="30">
        <v>9</v>
      </c>
      <c r="I1352" s="9" t="s">
        <v>978</v>
      </c>
      <c r="J1352" s="9" t="s">
        <v>999</v>
      </c>
      <c r="K1352" s="30">
        <v>1</v>
      </c>
      <c r="L1352" s="9" t="s">
        <v>1000</v>
      </c>
      <c r="M1352" s="30" t="s">
        <v>84</v>
      </c>
      <c r="N1352" s="30" t="s">
        <v>154</v>
      </c>
      <c r="O1352" s="24">
        <v>0</v>
      </c>
      <c r="P1352" s="24">
        <v>0</v>
      </c>
      <c r="Q1352" s="24">
        <v>0</v>
      </c>
      <c r="R1352" s="24">
        <v>130</v>
      </c>
      <c r="S1352" s="24">
        <v>120</v>
      </c>
      <c r="T1352" s="24">
        <v>250</v>
      </c>
    </row>
    <row r="1353" spans="1:20">
      <c r="A1353" s="9" t="s">
        <v>976</v>
      </c>
      <c r="B1353" s="30" t="s">
        <v>977</v>
      </c>
      <c r="C1353" s="30" t="str">
        <f>CONCATENATE(VOL_VOLUMEN_SUMINISTROS[[#This Row],[Proyecto]],VOL_VOLUMEN_SUMINISTROS[[#This Row],[J]],VOL_VOLUMEN_SUMINISTROS[[#This Row],[FIN DE SEMANA]])</f>
        <v>1052-1TNO</v>
      </c>
      <c r="D1353" s="365" t="str">
        <f>CONCATENATE(VOL_VOLUMEN_SUMINISTROS[[#This Row],[Grupo]],VOL_VOLUMEN_SUMINISTROS[[#This Row],[Proyecto]],VOL_VOLUMEN_SUMINISTROS[[#This Row],[FIN DE SEMANA]])</f>
        <v>111052-1NO</v>
      </c>
      <c r="E1353" s="30" t="s">
        <v>147</v>
      </c>
      <c r="F1353" s="30" t="s">
        <v>148</v>
      </c>
      <c r="G1353" s="365">
        <v>11</v>
      </c>
      <c r="H1353" s="30">
        <v>9</v>
      </c>
      <c r="I1353" s="9" t="s">
        <v>978</v>
      </c>
      <c r="J1353" s="9" t="s">
        <v>999</v>
      </c>
      <c r="K1353" s="30">
        <v>1</v>
      </c>
      <c r="L1353" s="9" t="s">
        <v>1000</v>
      </c>
      <c r="M1353" s="30" t="s">
        <v>84</v>
      </c>
      <c r="N1353" s="30" t="s">
        <v>155</v>
      </c>
      <c r="O1353" s="24">
        <v>0</v>
      </c>
      <c r="P1353" s="24">
        <v>210</v>
      </c>
      <c r="Q1353" s="24">
        <v>260</v>
      </c>
      <c r="R1353" s="24">
        <v>0</v>
      </c>
      <c r="S1353" s="24">
        <v>0</v>
      </c>
      <c r="T1353" s="24">
        <v>470</v>
      </c>
    </row>
    <row r="1354" spans="1:20">
      <c r="A1354" s="9" t="s">
        <v>976</v>
      </c>
      <c r="B1354" s="30" t="s">
        <v>977</v>
      </c>
      <c r="C1354" s="30" t="str">
        <f>CONCATENATE(VOL_VOLUMEN_SUMINISTROS[[#This Row],[Proyecto]],VOL_VOLUMEN_SUMINISTROS[[#This Row],[J]],VOL_VOLUMEN_SUMINISTROS[[#This Row],[FIN DE SEMANA]])</f>
        <v>1052-1MNO</v>
      </c>
      <c r="D1354" s="365" t="str">
        <f>CONCATENATE(VOL_VOLUMEN_SUMINISTROS[[#This Row],[Grupo]],VOL_VOLUMEN_SUMINISTROS[[#This Row],[Proyecto]],VOL_VOLUMEN_SUMINISTROS[[#This Row],[FIN DE SEMANA]])</f>
        <v>111052-1NO</v>
      </c>
      <c r="E1354" s="30" t="s">
        <v>147</v>
      </c>
      <c r="F1354" s="30" t="s">
        <v>148</v>
      </c>
      <c r="G1354" s="365">
        <v>11</v>
      </c>
      <c r="H1354" s="30">
        <v>9</v>
      </c>
      <c r="I1354" s="9" t="s">
        <v>978</v>
      </c>
      <c r="J1354" s="9" t="s">
        <v>999</v>
      </c>
      <c r="K1354" s="30">
        <v>2</v>
      </c>
      <c r="L1354" s="9" t="s">
        <v>1001</v>
      </c>
      <c r="M1354" s="30" t="s">
        <v>84</v>
      </c>
      <c r="N1354" s="30" t="s">
        <v>152</v>
      </c>
      <c r="O1354" s="24">
        <v>239</v>
      </c>
      <c r="P1354" s="24">
        <v>182</v>
      </c>
      <c r="Q1354" s="24">
        <v>35</v>
      </c>
      <c r="R1354" s="24">
        <v>0</v>
      </c>
      <c r="S1354" s="24">
        <v>0</v>
      </c>
      <c r="T1354" s="24">
        <v>456</v>
      </c>
    </row>
    <row r="1355" spans="1:20">
      <c r="A1355" s="9" t="s">
        <v>976</v>
      </c>
      <c r="B1355" s="30" t="s">
        <v>977</v>
      </c>
      <c r="C1355" s="30" t="str">
        <f>CONCATENATE(VOL_VOLUMEN_SUMINISTROS[[#This Row],[Proyecto]],VOL_VOLUMEN_SUMINISTROS[[#This Row],[J]],VOL_VOLUMEN_SUMINISTROS[[#This Row],[FIN DE SEMANA]])</f>
        <v>1052-1TNO</v>
      </c>
      <c r="D1355" s="365" t="str">
        <f>CONCATENATE(VOL_VOLUMEN_SUMINISTROS[[#This Row],[Grupo]],VOL_VOLUMEN_SUMINISTROS[[#This Row],[Proyecto]],VOL_VOLUMEN_SUMINISTROS[[#This Row],[FIN DE SEMANA]])</f>
        <v>111052-1NO</v>
      </c>
      <c r="E1355" s="30" t="s">
        <v>147</v>
      </c>
      <c r="F1355" s="30" t="s">
        <v>148</v>
      </c>
      <c r="G1355" s="365">
        <v>11</v>
      </c>
      <c r="H1355" s="30">
        <v>9</v>
      </c>
      <c r="I1355" s="9" t="s">
        <v>978</v>
      </c>
      <c r="J1355" s="9" t="s">
        <v>999</v>
      </c>
      <c r="K1355" s="30">
        <v>2</v>
      </c>
      <c r="L1355" s="9" t="s">
        <v>1001</v>
      </c>
      <c r="M1355" s="30" t="s">
        <v>84</v>
      </c>
      <c r="N1355" s="30" t="s">
        <v>155</v>
      </c>
      <c r="O1355" s="24">
        <v>161</v>
      </c>
      <c r="P1355" s="24">
        <v>190</v>
      </c>
      <c r="Q1355" s="24">
        <v>44</v>
      </c>
      <c r="R1355" s="24">
        <v>0</v>
      </c>
      <c r="S1355" s="24">
        <v>0</v>
      </c>
      <c r="T1355" s="24">
        <v>395</v>
      </c>
    </row>
    <row r="1356" spans="1:20">
      <c r="A1356" s="9" t="s">
        <v>976</v>
      </c>
      <c r="B1356" s="30" t="s">
        <v>977</v>
      </c>
      <c r="C1356" s="30" t="str">
        <f>CONCATENATE(VOL_VOLUMEN_SUMINISTROS[[#This Row],[Proyecto]],VOL_VOLUMEN_SUMINISTROS[[#This Row],[J]],VOL_VOLUMEN_SUMINISTROS[[#This Row],[FIN DE SEMANA]])</f>
        <v>1052-1MNO</v>
      </c>
      <c r="D1356" s="365" t="str">
        <f>CONCATENATE(VOL_VOLUMEN_SUMINISTROS[[#This Row],[Grupo]],VOL_VOLUMEN_SUMINISTROS[[#This Row],[Proyecto]],VOL_VOLUMEN_SUMINISTROS[[#This Row],[FIN DE SEMANA]])</f>
        <v>111052-1NO</v>
      </c>
      <c r="E1356" s="30" t="s">
        <v>147</v>
      </c>
      <c r="F1356" s="30" t="s">
        <v>148</v>
      </c>
      <c r="G1356" s="365">
        <v>11</v>
      </c>
      <c r="H1356" s="30">
        <v>9</v>
      </c>
      <c r="I1356" s="9" t="s">
        <v>978</v>
      </c>
      <c r="J1356" s="9" t="s">
        <v>999</v>
      </c>
      <c r="K1356" s="30">
        <v>3</v>
      </c>
      <c r="L1356" s="9" t="s">
        <v>1002</v>
      </c>
      <c r="M1356" s="30" t="s">
        <v>84</v>
      </c>
      <c r="N1356" s="30" t="s">
        <v>152</v>
      </c>
      <c r="O1356" s="24">
        <v>107</v>
      </c>
      <c r="P1356" s="24">
        <v>86</v>
      </c>
      <c r="Q1356" s="24">
        <v>15</v>
      </c>
      <c r="R1356" s="24">
        <v>0</v>
      </c>
      <c r="S1356" s="24">
        <v>0</v>
      </c>
      <c r="T1356" s="24">
        <v>208</v>
      </c>
    </row>
    <row r="1357" spans="1:20">
      <c r="A1357" s="9" t="s">
        <v>976</v>
      </c>
      <c r="B1357" s="30" t="s">
        <v>977</v>
      </c>
      <c r="C1357" s="30" t="str">
        <f>CONCATENATE(VOL_VOLUMEN_SUMINISTROS[[#This Row],[Proyecto]],VOL_VOLUMEN_SUMINISTROS[[#This Row],[J]],VOL_VOLUMEN_SUMINISTROS[[#This Row],[FIN DE SEMANA]])</f>
        <v>1052-1TNO</v>
      </c>
      <c r="D1357" s="365" t="str">
        <f>CONCATENATE(VOL_VOLUMEN_SUMINISTROS[[#This Row],[Grupo]],VOL_VOLUMEN_SUMINISTROS[[#This Row],[Proyecto]],VOL_VOLUMEN_SUMINISTROS[[#This Row],[FIN DE SEMANA]])</f>
        <v>111052-1NO</v>
      </c>
      <c r="E1357" s="30" t="s">
        <v>147</v>
      </c>
      <c r="F1357" s="30" t="s">
        <v>148</v>
      </c>
      <c r="G1357" s="365">
        <v>11</v>
      </c>
      <c r="H1357" s="30">
        <v>9</v>
      </c>
      <c r="I1357" s="9" t="s">
        <v>978</v>
      </c>
      <c r="J1357" s="9" t="s">
        <v>999</v>
      </c>
      <c r="K1357" s="30">
        <v>3</v>
      </c>
      <c r="L1357" s="9" t="s">
        <v>1002</v>
      </c>
      <c r="M1357" s="30" t="s">
        <v>84</v>
      </c>
      <c r="N1357" s="30" t="s">
        <v>155</v>
      </c>
      <c r="O1357" s="24">
        <v>73</v>
      </c>
      <c r="P1357" s="24">
        <v>72</v>
      </c>
      <c r="Q1357" s="24">
        <v>16</v>
      </c>
      <c r="R1357" s="24">
        <v>0</v>
      </c>
      <c r="S1357" s="24">
        <v>0</v>
      </c>
      <c r="T1357" s="24">
        <v>161</v>
      </c>
    </row>
    <row r="1358" spans="1:20">
      <c r="A1358" s="9" t="s">
        <v>976</v>
      </c>
      <c r="B1358" s="30" t="s">
        <v>977</v>
      </c>
      <c r="C1358" s="30" t="str">
        <f>CONCATENATE(VOL_VOLUMEN_SUMINISTROS[[#This Row],[Proyecto]],VOL_VOLUMEN_SUMINISTROS[[#This Row],[J]],VOL_VOLUMEN_SUMINISTROS[[#This Row],[FIN DE SEMANA]])</f>
        <v>1052-1MNO</v>
      </c>
      <c r="D1358" s="365" t="str">
        <f>CONCATENATE(VOL_VOLUMEN_SUMINISTROS[[#This Row],[Grupo]],VOL_VOLUMEN_SUMINISTROS[[#This Row],[Proyecto]],VOL_VOLUMEN_SUMINISTROS[[#This Row],[FIN DE SEMANA]])</f>
        <v>111052-1NO</v>
      </c>
      <c r="E1358" s="30" t="s">
        <v>147</v>
      </c>
      <c r="F1358" s="30" t="s">
        <v>148</v>
      </c>
      <c r="G1358" s="365">
        <v>11</v>
      </c>
      <c r="H1358" s="30">
        <v>9</v>
      </c>
      <c r="I1358" s="9" t="s">
        <v>978</v>
      </c>
      <c r="J1358" s="9" t="s">
        <v>999</v>
      </c>
      <c r="K1358" s="30">
        <v>4</v>
      </c>
      <c r="L1358" s="9" t="s">
        <v>1003</v>
      </c>
      <c r="M1358" s="30" t="s">
        <v>84</v>
      </c>
      <c r="N1358" s="30" t="s">
        <v>152</v>
      </c>
      <c r="O1358" s="24">
        <v>56</v>
      </c>
      <c r="P1358" s="24">
        <v>73</v>
      </c>
      <c r="Q1358" s="24">
        <v>15</v>
      </c>
      <c r="R1358" s="24">
        <v>0</v>
      </c>
      <c r="S1358" s="24">
        <v>0</v>
      </c>
      <c r="T1358" s="24">
        <v>144</v>
      </c>
    </row>
    <row r="1359" spans="1:20">
      <c r="A1359" s="9" t="s">
        <v>976</v>
      </c>
      <c r="B1359" s="30" t="s">
        <v>977</v>
      </c>
      <c r="C1359" s="30" t="str">
        <f>CONCATENATE(VOL_VOLUMEN_SUMINISTROS[[#This Row],[Proyecto]],VOL_VOLUMEN_SUMINISTROS[[#This Row],[J]],VOL_VOLUMEN_SUMINISTROS[[#This Row],[FIN DE SEMANA]])</f>
        <v>1052-1MNO</v>
      </c>
      <c r="D1359" s="365" t="str">
        <f>CONCATENATE(VOL_VOLUMEN_SUMINISTROS[[#This Row],[Grupo]],VOL_VOLUMEN_SUMINISTROS[[#This Row],[Proyecto]],VOL_VOLUMEN_SUMINISTROS[[#This Row],[FIN DE SEMANA]])</f>
        <v>111052-1NO</v>
      </c>
      <c r="E1359" s="30" t="s">
        <v>147</v>
      </c>
      <c r="F1359" s="30" t="s">
        <v>148</v>
      </c>
      <c r="G1359" s="365">
        <v>11</v>
      </c>
      <c r="H1359" s="30">
        <v>9</v>
      </c>
      <c r="I1359" s="9" t="s">
        <v>978</v>
      </c>
      <c r="J1359" s="9" t="s">
        <v>999</v>
      </c>
      <c r="K1359" s="30">
        <v>5</v>
      </c>
      <c r="L1359" s="9" t="s">
        <v>1004</v>
      </c>
      <c r="M1359" s="30" t="s">
        <v>84</v>
      </c>
      <c r="N1359" s="30" t="s">
        <v>152</v>
      </c>
      <c r="O1359" s="24">
        <v>81</v>
      </c>
      <c r="P1359" s="24">
        <v>0</v>
      </c>
      <c r="Q1359" s="24">
        <v>0</v>
      </c>
      <c r="R1359" s="24">
        <v>0</v>
      </c>
      <c r="S1359" s="24">
        <v>0</v>
      </c>
      <c r="T1359" s="24">
        <v>81</v>
      </c>
    </row>
    <row r="1360" spans="1:20">
      <c r="A1360" s="9" t="s">
        <v>976</v>
      </c>
      <c r="B1360" s="30" t="s">
        <v>977</v>
      </c>
      <c r="C1360" s="30" t="str">
        <f>CONCATENATE(VOL_VOLUMEN_SUMINISTROS[[#This Row],[Proyecto]],VOL_VOLUMEN_SUMINISTROS[[#This Row],[J]],VOL_VOLUMEN_SUMINISTROS[[#This Row],[FIN DE SEMANA]])</f>
        <v>1052-1MNO</v>
      </c>
      <c r="D1360" s="365" t="str">
        <f>CONCATENATE(VOL_VOLUMEN_SUMINISTROS[[#This Row],[Grupo]],VOL_VOLUMEN_SUMINISTROS[[#This Row],[Proyecto]],VOL_VOLUMEN_SUMINISTROS[[#This Row],[FIN DE SEMANA]])</f>
        <v>111052-1NO</v>
      </c>
      <c r="E1360" s="30" t="s">
        <v>147</v>
      </c>
      <c r="F1360" s="30" t="s">
        <v>148</v>
      </c>
      <c r="G1360" s="365">
        <v>11</v>
      </c>
      <c r="H1360" s="30">
        <v>9</v>
      </c>
      <c r="I1360" s="9" t="s">
        <v>978</v>
      </c>
      <c r="J1360" s="9" t="s">
        <v>1005</v>
      </c>
      <c r="K1360" s="30">
        <v>1</v>
      </c>
      <c r="L1360" s="9" t="s">
        <v>1006</v>
      </c>
      <c r="M1360" s="30" t="s">
        <v>84</v>
      </c>
      <c r="N1360" s="30" t="s">
        <v>152</v>
      </c>
      <c r="O1360" s="24">
        <v>169</v>
      </c>
      <c r="P1360" s="24">
        <v>274</v>
      </c>
      <c r="Q1360" s="24">
        <v>303</v>
      </c>
      <c r="R1360" s="24">
        <v>0</v>
      </c>
      <c r="S1360" s="24">
        <v>0</v>
      </c>
      <c r="T1360" s="24">
        <v>746</v>
      </c>
    </row>
    <row r="1361" spans="1:20">
      <c r="A1361" s="9" t="s">
        <v>976</v>
      </c>
      <c r="B1361" s="30" t="s">
        <v>977</v>
      </c>
      <c r="C1361" s="30" t="str">
        <f>CONCATENATE(VOL_VOLUMEN_SUMINISTROS[[#This Row],[Proyecto]],VOL_VOLUMEN_SUMINISTROS[[#This Row],[J]],VOL_VOLUMEN_SUMINISTROS[[#This Row],[FIN DE SEMANA]])</f>
        <v>1052-1TNO</v>
      </c>
      <c r="D1361" s="365" t="str">
        <f>CONCATENATE(VOL_VOLUMEN_SUMINISTROS[[#This Row],[Grupo]],VOL_VOLUMEN_SUMINISTROS[[#This Row],[Proyecto]],VOL_VOLUMEN_SUMINISTROS[[#This Row],[FIN DE SEMANA]])</f>
        <v>111052-1NO</v>
      </c>
      <c r="E1361" s="30" t="s">
        <v>147</v>
      </c>
      <c r="F1361" s="30" t="s">
        <v>148</v>
      </c>
      <c r="G1361" s="365">
        <v>11</v>
      </c>
      <c r="H1361" s="30">
        <v>9</v>
      </c>
      <c r="I1361" s="9" t="s">
        <v>978</v>
      </c>
      <c r="J1361" s="9" t="s">
        <v>1005</v>
      </c>
      <c r="K1361" s="30">
        <v>1</v>
      </c>
      <c r="L1361" s="9" t="s">
        <v>1006</v>
      </c>
      <c r="M1361" s="30" t="s">
        <v>84</v>
      </c>
      <c r="N1361" s="30" t="s">
        <v>155</v>
      </c>
      <c r="O1361" s="24">
        <v>207</v>
      </c>
      <c r="P1361" s="24">
        <v>276</v>
      </c>
      <c r="Q1361" s="24">
        <v>248</v>
      </c>
      <c r="R1361" s="24">
        <v>0</v>
      </c>
      <c r="S1361" s="24">
        <v>0</v>
      </c>
      <c r="T1361" s="24">
        <v>731</v>
      </c>
    </row>
    <row r="1362" spans="1:20">
      <c r="A1362" s="9" t="s">
        <v>976</v>
      </c>
      <c r="B1362" s="30" t="s">
        <v>1007</v>
      </c>
      <c r="C1362" s="30" t="str">
        <f>CONCATENATE(VOL_VOLUMEN_SUMINISTROS[[#This Row],[Proyecto]],VOL_VOLUMEN_SUMINISTROS[[#This Row],[J]],VOL_VOLUMEN_SUMINISTROS[[#This Row],[FIN DE SEMANA]])</f>
        <v>1052-2MNO</v>
      </c>
      <c r="D1362" s="365" t="str">
        <f>CONCATENATE(VOL_VOLUMEN_SUMINISTROS[[#This Row],[Grupo]],VOL_VOLUMEN_SUMINISTROS[[#This Row],[Proyecto]],VOL_VOLUMEN_SUMINISTROS[[#This Row],[FIN DE SEMANA]])</f>
        <v>111052-2NO</v>
      </c>
      <c r="E1362" s="30" t="s">
        <v>183</v>
      </c>
      <c r="F1362" s="30" t="s">
        <v>148</v>
      </c>
      <c r="G1362" s="365">
        <v>11</v>
      </c>
      <c r="H1362" s="30">
        <v>9</v>
      </c>
      <c r="I1362" s="9" t="s">
        <v>978</v>
      </c>
      <c r="J1362" s="9" t="s">
        <v>999</v>
      </c>
      <c r="K1362" s="30">
        <v>4</v>
      </c>
      <c r="L1362" s="9" t="s">
        <v>1003</v>
      </c>
      <c r="M1362" s="30" t="s">
        <v>84</v>
      </c>
      <c r="N1362" s="30" t="s">
        <v>152</v>
      </c>
      <c r="O1362" s="24">
        <v>54</v>
      </c>
      <c r="P1362" s="24">
        <v>75</v>
      </c>
      <c r="Q1362" s="24">
        <v>16</v>
      </c>
      <c r="R1362" s="24">
        <v>0</v>
      </c>
      <c r="S1362" s="24">
        <v>0</v>
      </c>
      <c r="T1362" s="24">
        <v>145</v>
      </c>
    </row>
    <row r="1363" spans="1:20">
      <c r="A1363" s="9" t="s">
        <v>976</v>
      </c>
      <c r="B1363" s="30" t="s">
        <v>1008</v>
      </c>
      <c r="C1363" s="30" t="str">
        <f>CONCATENATE(VOL_VOLUMEN_SUMINISTROS[[#This Row],[Proyecto]],VOL_VOLUMEN_SUMINISTROS[[#This Row],[J]],VOL_VOLUMEN_SUMINISTROS[[#This Row],[FIN DE SEMANA]])</f>
        <v>1052-2TNO</v>
      </c>
      <c r="D1363" s="365" t="str">
        <f>CONCATENATE(VOL_VOLUMEN_SUMINISTROS[[#This Row],[Grupo]],VOL_VOLUMEN_SUMINISTROS[[#This Row],[Proyecto]],VOL_VOLUMEN_SUMINISTROS[[#This Row],[FIN DE SEMANA]])</f>
        <v>111052-2NO</v>
      </c>
      <c r="E1363" s="30" t="s">
        <v>183</v>
      </c>
      <c r="F1363" s="30" t="s">
        <v>148</v>
      </c>
      <c r="G1363" s="365">
        <v>11</v>
      </c>
      <c r="H1363" s="30">
        <v>9</v>
      </c>
      <c r="I1363" s="9" t="s">
        <v>978</v>
      </c>
      <c r="J1363" s="9" t="s">
        <v>980</v>
      </c>
      <c r="K1363" s="30">
        <v>1</v>
      </c>
      <c r="L1363" s="9" t="s">
        <v>981</v>
      </c>
      <c r="M1363" s="30" t="s">
        <v>84</v>
      </c>
      <c r="N1363" s="30" t="s">
        <v>155</v>
      </c>
      <c r="O1363" s="24">
        <v>0</v>
      </c>
      <c r="P1363" s="24">
        <v>0</v>
      </c>
      <c r="Q1363" s="24">
        <v>230</v>
      </c>
      <c r="R1363" s="24">
        <v>0</v>
      </c>
      <c r="S1363" s="24">
        <v>0</v>
      </c>
      <c r="T1363" s="24">
        <v>230</v>
      </c>
    </row>
    <row r="1364" spans="1:20">
      <c r="A1364" s="9" t="s">
        <v>976</v>
      </c>
      <c r="B1364" s="30" t="s">
        <v>1008</v>
      </c>
      <c r="C1364" s="30" t="str">
        <f>CONCATENATE(VOL_VOLUMEN_SUMINISTROS[[#This Row],[Proyecto]],VOL_VOLUMEN_SUMINISTROS[[#This Row],[J]],VOL_VOLUMEN_SUMINISTROS[[#This Row],[FIN DE SEMANA]])</f>
        <v>1052-2TNO</v>
      </c>
      <c r="D1364" s="365" t="str">
        <f>CONCATENATE(VOL_VOLUMEN_SUMINISTROS[[#This Row],[Grupo]],VOL_VOLUMEN_SUMINISTROS[[#This Row],[Proyecto]],VOL_VOLUMEN_SUMINISTROS[[#This Row],[FIN DE SEMANA]])</f>
        <v>111052-2NO</v>
      </c>
      <c r="E1364" s="30" t="s">
        <v>183</v>
      </c>
      <c r="F1364" s="30" t="s">
        <v>148</v>
      </c>
      <c r="G1364" s="365">
        <v>11</v>
      </c>
      <c r="H1364" s="30">
        <v>9</v>
      </c>
      <c r="I1364" s="9" t="s">
        <v>978</v>
      </c>
      <c r="J1364" s="9" t="s">
        <v>983</v>
      </c>
      <c r="K1364" s="30">
        <v>1</v>
      </c>
      <c r="L1364" s="9" t="s">
        <v>984</v>
      </c>
      <c r="M1364" s="30" t="s">
        <v>84</v>
      </c>
      <c r="N1364" s="30" t="s">
        <v>155</v>
      </c>
      <c r="O1364" s="24">
        <v>0</v>
      </c>
      <c r="P1364" s="24">
        <v>0</v>
      </c>
      <c r="Q1364" s="24">
        <v>225</v>
      </c>
      <c r="R1364" s="24">
        <v>0</v>
      </c>
      <c r="S1364" s="24">
        <v>0</v>
      </c>
      <c r="T1364" s="24">
        <v>225</v>
      </c>
    </row>
    <row r="1365" spans="1:20">
      <c r="A1365" s="9" t="s">
        <v>976</v>
      </c>
      <c r="B1365" s="30" t="s">
        <v>1008</v>
      </c>
      <c r="C1365" s="30" t="str">
        <f>CONCATENATE(VOL_VOLUMEN_SUMINISTROS[[#This Row],[Proyecto]],VOL_VOLUMEN_SUMINISTROS[[#This Row],[J]],VOL_VOLUMEN_SUMINISTROS[[#This Row],[FIN DE SEMANA]])</f>
        <v>1052-2MNO</v>
      </c>
      <c r="D1365" s="365" t="str">
        <f>CONCATENATE(VOL_VOLUMEN_SUMINISTROS[[#This Row],[Grupo]],VOL_VOLUMEN_SUMINISTROS[[#This Row],[Proyecto]],VOL_VOLUMEN_SUMINISTROS[[#This Row],[FIN DE SEMANA]])</f>
        <v>111052-2NO</v>
      </c>
      <c r="E1365" s="30" t="s">
        <v>183</v>
      </c>
      <c r="F1365" s="30" t="s">
        <v>148</v>
      </c>
      <c r="G1365" s="365">
        <v>11</v>
      </c>
      <c r="H1365" s="30">
        <v>9</v>
      </c>
      <c r="I1365" s="9" t="s">
        <v>978</v>
      </c>
      <c r="J1365" s="9" t="s">
        <v>990</v>
      </c>
      <c r="K1365" s="30">
        <v>1</v>
      </c>
      <c r="L1365" s="9" t="s">
        <v>991</v>
      </c>
      <c r="M1365" s="30" t="s">
        <v>84</v>
      </c>
      <c r="N1365" s="30" t="s">
        <v>152</v>
      </c>
      <c r="O1365" s="24">
        <v>0</v>
      </c>
      <c r="P1365" s="24">
        <v>0</v>
      </c>
      <c r="Q1365" s="24">
        <v>100</v>
      </c>
      <c r="R1365" s="24">
        <v>0</v>
      </c>
      <c r="S1365" s="24">
        <v>0</v>
      </c>
      <c r="T1365" s="24">
        <v>100</v>
      </c>
    </row>
    <row r="1366" spans="1:20">
      <c r="A1366" s="9" t="s">
        <v>976</v>
      </c>
      <c r="B1366" s="30" t="s">
        <v>1008</v>
      </c>
      <c r="C1366" s="30" t="str">
        <f>CONCATENATE(VOL_VOLUMEN_SUMINISTROS[[#This Row],[Proyecto]],VOL_VOLUMEN_SUMINISTROS[[#This Row],[J]],VOL_VOLUMEN_SUMINISTROS[[#This Row],[FIN DE SEMANA]])</f>
        <v>1052-2TNO</v>
      </c>
      <c r="D1366" s="365" t="str">
        <f>CONCATENATE(VOL_VOLUMEN_SUMINISTROS[[#This Row],[Grupo]],VOL_VOLUMEN_SUMINISTROS[[#This Row],[Proyecto]],VOL_VOLUMEN_SUMINISTROS[[#This Row],[FIN DE SEMANA]])</f>
        <v>111052-2NO</v>
      </c>
      <c r="E1366" s="30" t="s">
        <v>183</v>
      </c>
      <c r="F1366" s="30" t="s">
        <v>148</v>
      </c>
      <c r="G1366" s="365">
        <v>11</v>
      </c>
      <c r="H1366" s="30">
        <v>9</v>
      </c>
      <c r="I1366" s="9" t="s">
        <v>978</v>
      </c>
      <c r="J1366" s="9" t="s">
        <v>990</v>
      </c>
      <c r="K1366" s="30">
        <v>1</v>
      </c>
      <c r="L1366" s="9" t="s">
        <v>991</v>
      </c>
      <c r="M1366" s="30" t="s">
        <v>84</v>
      </c>
      <c r="N1366" s="30" t="s">
        <v>155</v>
      </c>
      <c r="O1366" s="24">
        <v>0</v>
      </c>
      <c r="P1366" s="24">
        <v>0</v>
      </c>
      <c r="Q1366" s="24">
        <v>100</v>
      </c>
      <c r="R1366" s="24">
        <v>0</v>
      </c>
      <c r="S1366" s="24">
        <v>0</v>
      </c>
      <c r="T1366" s="24">
        <v>100</v>
      </c>
    </row>
    <row r="1367" spans="1:20">
      <c r="A1367" s="9" t="s">
        <v>976</v>
      </c>
      <c r="B1367" s="30" t="s">
        <v>1008</v>
      </c>
      <c r="C1367" s="30" t="str">
        <f>CONCATENATE(VOL_VOLUMEN_SUMINISTROS[[#This Row],[Proyecto]],VOL_VOLUMEN_SUMINISTROS[[#This Row],[J]],VOL_VOLUMEN_SUMINISTROS[[#This Row],[FIN DE SEMANA]])</f>
        <v>1052-2MNO</v>
      </c>
      <c r="D1367" s="365" t="str">
        <f>CONCATENATE(VOL_VOLUMEN_SUMINISTROS[[#This Row],[Grupo]],VOL_VOLUMEN_SUMINISTROS[[#This Row],[Proyecto]],VOL_VOLUMEN_SUMINISTROS[[#This Row],[FIN DE SEMANA]])</f>
        <v>111052-2NO</v>
      </c>
      <c r="E1367" s="30" t="s">
        <v>183</v>
      </c>
      <c r="F1367" s="30" t="s">
        <v>148</v>
      </c>
      <c r="G1367" s="365">
        <v>11</v>
      </c>
      <c r="H1367" s="30">
        <v>9</v>
      </c>
      <c r="I1367" s="9" t="s">
        <v>978</v>
      </c>
      <c r="J1367" s="9" t="s">
        <v>992</v>
      </c>
      <c r="K1367" s="30">
        <v>1</v>
      </c>
      <c r="L1367" s="9" t="s">
        <v>993</v>
      </c>
      <c r="M1367" s="30" t="s">
        <v>84</v>
      </c>
      <c r="N1367" s="30" t="s">
        <v>152</v>
      </c>
      <c r="O1367" s="24">
        <v>0</v>
      </c>
      <c r="P1367" s="24">
        <v>0</v>
      </c>
      <c r="Q1367" s="24">
        <v>79</v>
      </c>
      <c r="R1367" s="24">
        <v>0</v>
      </c>
      <c r="S1367" s="24">
        <v>0</v>
      </c>
      <c r="T1367" s="24">
        <v>79</v>
      </c>
    </row>
    <row r="1368" spans="1:20">
      <c r="A1368" s="9" t="s">
        <v>976</v>
      </c>
      <c r="B1368" s="30" t="s">
        <v>1008</v>
      </c>
      <c r="C1368" s="30" t="str">
        <f>CONCATENATE(VOL_VOLUMEN_SUMINISTROS[[#This Row],[Proyecto]],VOL_VOLUMEN_SUMINISTROS[[#This Row],[J]],VOL_VOLUMEN_SUMINISTROS[[#This Row],[FIN DE SEMANA]])</f>
        <v>1052-2TNO</v>
      </c>
      <c r="D1368" s="365" t="str">
        <f>CONCATENATE(VOL_VOLUMEN_SUMINISTROS[[#This Row],[Grupo]],VOL_VOLUMEN_SUMINISTROS[[#This Row],[Proyecto]],VOL_VOLUMEN_SUMINISTROS[[#This Row],[FIN DE SEMANA]])</f>
        <v>111052-2NO</v>
      </c>
      <c r="E1368" s="30" t="s">
        <v>183</v>
      </c>
      <c r="F1368" s="30" t="s">
        <v>148</v>
      </c>
      <c r="G1368" s="365">
        <v>11</v>
      </c>
      <c r="H1368" s="30">
        <v>9</v>
      </c>
      <c r="I1368" s="9" t="s">
        <v>978</v>
      </c>
      <c r="J1368" s="9" t="s">
        <v>992</v>
      </c>
      <c r="K1368" s="30">
        <v>1</v>
      </c>
      <c r="L1368" s="9" t="s">
        <v>993</v>
      </c>
      <c r="M1368" s="30" t="s">
        <v>84</v>
      </c>
      <c r="N1368" s="30" t="s">
        <v>155</v>
      </c>
      <c r="O1368" s="24">
        <v>0</v>
      </c>
      <c r="P1368" s="24">
        <v>0</v>
      </c>
      <c r="Q1368" s="24">
        <v>76</v>
      </c>
      <c r="R1368" s="24">
        <v>0</v>
      </c>
      <c r="S1368" s="24">
        <v>0</v>
      </c>
      <c r="T1368" s="24">
        <v>76</v>
      </c>
    </row>
    <row r="1369" spans="1:20">
      <c r="A1369" s="9" t="s">
        <v>976</v>
      </c>
      <c r="B1369" s="30" t="s">
        <v>1008</v>
      </c>
      <c r="C1369" s="30" t="str">
        <f>CONCATENATE(VOL_VOLUMEN_SUMINISTROS[[#This Row],[Proyecto]],VOL_VOLUMEN_SUMINISTROS[[#This Row],[J]],VOL_VOLUMEN_SUMINISTROS[[#This Row],[FIN DE SEMANA]])</f>
        <v>1052-2MNO</v>
      </c>
      <c r="D1369" s="365" t="str">
        <f>CONCATENATE(VOL_VOLUMEN_SUMINISTROS[[#This Row],[Grupo]],VOL_VOLUMEN_SUMINISTROS[[#This Row],[Proyecto]],VOL_VOLUMEN_SUMINISTROS[[#This Row],[FIN DE SEMANA]])</f>
        <v>111052-2NO</v>
      </c>
      <c r="E1369" s="30" t="s">
        <v>183</v>
      </c>
      <c r="F1369" s="30" t="s">
        <v>148</v>
      </c>
      <c r="G1369" s="365">
        <v>11</v>
      </c>
      <c r="H1369" s="30">
        <v>9</v>
      </c>
      <c r="I1369" s="9" t="s">
        <v>978</v>
      </c>
      <c r="J1369" s="9" t="s">
        <v>999</v>
      </c>
      <c r="K1369" s="30">
        <v>1</v>
      </c>
      <c r="L1369" s="9" t="s">
        <v>1000</v>
      </c>
      <c r="M1369" s="30" t="s">
        <v>84</v>
      </c>
      <c r="N1369" s="30" t="s">
        <v>152</v>
      </c>
      <c r="O1369" s="24">
        <v>0</v>
      </c>
      <c r="P1369" s="24">
        <v>0</v>
      </c>
      <c r="Q1369" s="24">
        <v>120</v>
      </c>
      <c r="R1369" s="24">
        <v>0</v>
      </c>
      <c r="S1369" s="24">
        <v>0</v>
      </c>
      <c r="T1369" s="24">
        <v>120</v>
      </c>
    </row>
    <row r="1370" spans="1:20">
      <c r="A1370" s="9" t="s">
        <v>976</v>
      </c>
      <c r="B1370" s="30" t="s">
        <v>1009</v>
      </c>
      <c r="C1370" s="30" t="str">
        <f>CONCATENATE(VOL_VOLUMEN_SUMINISTROS[[#This Row],[Proyecto]],VOL_VOLUMEN_SUMINISTROS[[#This Row],[J]],VOL_VOLUMEN_SUMINISTROS[[#This Row],[FIN DE SEMANA]])</f>
        <v>1052-1MNO</v>
      </c>
      <c r="D1370" s="365" t="str">
        <f>CONCATENATE(VOL_VOLUMEN_SUMINISTROS[[#This Row],[Grupo]],VOL_VOLUMEN_SUMINISTROS[[#This Row],[Proyecto]],VOL_VOLUMEN_SUMINISTROS[[#This Row],[FIN DE SEMANA]])</f>
        <v>81052-1NO</v>
      </c>
      <c r="E1370" s="30" t="s">
        <v>147</v>
      </c>
      <c r="F1370" s="30" t="s">
        <v>148</v>
      </c>
      <c r="G1370" s="365">
        <v>8</v>
      </c>
      <c r="H1370" s="30">
        <v>12</v>
      </c>
      <c r="I1370" s="9" t="s">
        <v>768</v>
      </c>
      <c r="J1370" s="9" t="s">
        <v>1010</v>
      </c>
      <c r="K1370" s="30">
        <v>1</v>
      </c>
      <c r="L1370" s="9" t="s">
        <v>153</v>
      </c>
      <c r="M1370" s="30" t="s">
        <v>84</v>
      </c>
      <c r="N1370" s="30" t="s">
        <v>152</v>
      </c>
      <c r="O1370" s="24">
        <v>217</v>
      </c>
      <c r="P1370" s="24">
        <v>213</v>
      </c>
      <c r="Q1370" s="24">
        <v>45</v>
      </c>
      <c r="R1370" s="24">
        <v>0</v>
      </c>
      <c r="S1370" s="24">
        <v>0</v>
      </c>
      <c r="T1370" s="24">
        <v>475</v>
      </c>
    </row>
    <row r="1371" spans="1:20">
      <c r="A1371" s="9" t="s">
        <v>976</v>
      </c>
      <c r="B1371" s="30" t="s">
        <v>1009</v>
      </c>
      <c r="C1371" s="30" t="str">
        <f>CONCATENATE(VOL_VOLUMEN_SUMINISTROS[[#This Row],[Proyecto]],VOL_VOLUMEN_SUMINISTROS[[#This Row],[J]],VOL_VOLUMEN_SUMINISTROS[[#This Row],[FIN DE SEMANA]])</f>
        <v>1052-1TNO</v>
      </c>
      <c r="D1371" s="365" t="str">
        <f>CONCATENATE(VOL_VOLUMEN_SUMINISTROS[[#This Row],[Grupo]],VOL_VOLUMEN_SUMINISTROS[[#This Row],[Proyecto]],VOL_VOLUMEN_SUMINISTROS[[#This Row],[FIN DE SEMANA]])</f>
        <v>81052-1NO</v>
      </c>
      <c r="E1371" s="30" t="s">
        <v>147</v>
      </c>
      <c r="F1371" s="30" t="s">
        <v>148</v>
      </c>
      <c r="G1371" s="365">
        <v>8</v>
      </c>
      <c r="H1371" s="30">
        <v>12</v>
      </c>
      <c r="I1371" s="9" t="s">
        <v>768</v>
      </c>
      <c r="J1371" s="9" t="s">
        <v>1010</v>
      </c>
      <c r="K1371" s="30">
        <v>1</v>
      </c>
      <c r="L1371" s="9" t="s">
        <v>153</v>
      </c>
      <c r="M1371" s="30" t="s">
        <v>84</v>
      </c>
      <c r="N1371" s="30" t="s">
        <v>155</v>
      </c>
      <c r="O1371" s="24">
        <v>0</v>
      </c>
      <c r="P1371" s="24">
        <v>132</v>
      </c>
      <c r="Q1371" s="24">
        <v>284</v>
      </c>
      <c r="R1371" s="24">
        <v>0</v>
      </c>
      <c r="S1371" s="24">
        <v>0</v>
      </c>
      <c r="T1371" s="24">
        <v>416</v>
      </c>
    </row>
    <row r="1372" spans="1:20">
      <c r="A1372" s="9" t="s">
        <v>976</v>
      </c>
      <c r="B1372" s="30" t="s">
        <v>1009</v>
      </c>
      <c r="C1372" s="30" t="str">
        <f>CONCATENATE(VOL_VOLUMEN_SUMINISTROS[[#This Row],[Proyecto]],VOL_VOLUMEN_SUMINISTROS[[#This Row],[J]],VOL_VOLUMEN_SUMINISTROS[[#This Row],[FIN DE SEMANA]])</f>
        <v>1052-1MNO</v>
      </c>
      <c r="D1372" s="365" t="str">
        <f>CONCATENATE(VOL_VOLUMEN_SUMINISTROS[[#This Row],[Grupo]],VOL_VOLUMEN_SUMINISTROS[[#This Row],[Proyecto]],VOL_VOLUMEN_SUMINISTROS[[#This Row],[FIN DE SEMANA]])</f>
        <v>81052-1NO</v>
      </c>
      <c r="E1372" s="30" t="s">
        <v>147</v>
      </c>
      <c r="F1372" s="30" t="s">
        <v>148</v>
      </c>
      <c r="G1372" s="365">
        <v>8</v>
      </c>
      <c r="H1372" s="30">
        <v>12</v>
      </c>
      <c r="I1372" s="9" t="s">
        <v>768</v>
      </c>
      <c r="J1372" s="9" t="s">
        <v>1011</v>
      </c>
      <c r="K1372" s="30">
        <v>1</v>
      </c>
      <c r="L1372" s="9" t="s">
        <v>1012</v>
      </c>
      <c r="M1372" s="30" t="s">
        <v>84</v>
      </c>
      <c r="N1372" s="30" t="s">
        <v>152</v>
      </c>
      <c r="O1372" s="24">
        <v>0</v>
      </c>
      <c r="P1372" s="24">
        <v>159</v>
      </c>
      <c r="Q1372" s="24">
        <v>203</v>
      </c>
      <c r="R1372" s="24">
        <v>0</v>
      </c>
      <c r="S1372" s="24">
        <v>0</v>
      </c>
      <c r="T1372" s="24">
        <v>362</v>
      </c>
    </row>
    <row r="1373" spans="1:20">
      <c r="A1373" s="9" t="s">
        <v>976</v>
      </c>
      <c r="B1373" s="30" t="s">
        <v>1009</v>
      </c>
      <c r="C1373" s="30" t="str">
        <f>CONCATENATE(VOL_VOLUMEN_SUMINISTROS[[#This Row],[Proyecto]],VOL_VOLUMEN_SUMINISTROS[[#This Row],[J]],VOL_VOLUMEN_SUMINISTROS[[#This Row],[FIN DE SEMANA]])</f>
        <v>1052-1TNO</v>
      </c>
      <c r="D1373" s="365" t="str">
        <f>CONCATENATE(VOL_VOLUMEN_SUMINISTROS[[#This Row],[Grupo]],VOL_VOLUMEN_SUMINISTROS[[#This Row],[Proyecto]],VOL_VOLUMEN_SUMINISTROS[[#This Row],[FIN DE SEMANA]])</f>
        <v>81052-1NO</v>
      </c>
      <c r="E1373" s="30" t="s">
        <v>147</v>
      </c>
      <c r="F1373" s="30" t="s">
        <v>148</v>
      </c>
      <c r="G1373" s="365">
        <v>8</v>
      </c>
      <c r="H1373" s="30">
        <v>12</v>
      </c>
      <c r="I1373" s="9" t="s">
        <v>768</v>
      </c>
      <c r="J1373" s="9" t="s">
        <v>1011</v>
      </c>
      <c r="K1373" s="30">
        <v>1</v>
      </c>
      <c r="L1373" s="9" t="s">
        <v>1012</v>
      </c>
      <c r="M1373" s="30" t="s">
        <v>84</v>
      </c>
      <c r="N1373" s="30" t="s">
        <v>155</v>
      </c>
      <c r="O1373" s="24">
        <v>0</v>
      </c>
      <c r="P1373" s="24">
        <v>90</v>
      </c>
      <c r="Q1373" s="24">
        <v>137</v>
      </c>
      <c r="R1373" s="24">
        <v>0</v>
      </c>
      <c r="S1373" s="24">
        <v>0</v>
      </c>
      <c r="T1373" s="24">
        <v>227</v>
      </c>
    </row>
    <row r="1374" spans="1:20">
      <c r="A1374" s="9" t="s">
        <v>976</v>
      </c>
      <c r="B1374" s="30" t="s">
        <v>1009</v>
      </c>
      <c r="C1374" s="30" t="str">
        <f>CONCATENATE(VOL_VOLUMEN_SUMINISTROS[[#This Row],[Proyecto]],VOL_VOLUMEN_SUMINISTROS[[#This Row],[J]],VOL_VOLUMEN_SUMINISTROS[[#This Row],[FIN DE SEMANA]])</f>
        <v>1052-1MNO</v>
      </c>
      <c r="D1374" s="365" t="str">
        <f>CONCATENATE(VOL_VOLUMEN_SUMINISTROS[[#This Row],[Grupo]],VOL_VOLUMEN_SUMINISTROS[[#This Row],[Proyecto]],VOL_VOLUMEN_SUMINISTROS[[#This Row],[FIN DE SEMANA]])</f>
        <v>81052-1NO</v>
      </c>
      <c r="E1374" s="30" t="s">
        <v>147</v>
      </c>
      <c r="F1374" s="30" t="s">
        <v>148</v>
      </c>
      <c r="G1374" s="365">
        <v>8</v>
      </c>
      <c r="H1374" s="30">
        <v>12</v>
      </c>
      <c r="I1374" s="9" t="s">
        <v>768</v>
      </c>
      <c r="J1374" s="9" t="s">
        <v>1011</v>
      </c>
      <c r="K1374" s="30">
        <v>2</v>
      </c>
      <c r="L1374" s="9" t="s">
        <v>1013</v>
      </c>
      <c r="M1374" s="30" t="s">
        <v>84</v>
      </c>
      <c r="N1374" s="30" t="s">
        <v>152</v>
      </c>
      <c r="O1374" s="24">
        <v>0</v>
      </c>
      <c r="P1374" s="24">
        <v>141</v>
      </c>
      <c r="Q1374" s="24">
        <v>47</v>
      </c>
      <c r="R1374" s="24">
        <v>0</v>
      </c>
      <c r="S1374" s="24">
        <v>0</v>
      </c>
      <c r="T1374" s="24">
        <v>188</v>
      </c>
    </row>
    <row r="1375" spans="1:20">
      <c r="A1375" s="9" t="s">
        <v>976</v>
      </c>
      <c r="B1375" s="30" t="s">
        <v>1009</v>
      </c>
      <c r="C1375" s="30" t="str">
        <f>CONCATENATE(VOL_VOLUMEN_SUMINISTROS[[#This Row],[Proyecto]],VOL_VOLUMEN_SUMINISTROS[[#This Row],[J]],VOL_VOLUMEN_SUMINISTROS[[#This Row],[FIN DE SEMANA]])</f>
        <v>1052-1TNO</v>
      </c>
      <c r="D1375" s="365" t="str">
        <f>CONCATENATE(VOL_VOLUMEN_SUMINISTROS[[#This Row],[Grupo]],VOL_VOLUMEN_SUMINISTROS[[#This Row],[Proyecto]],VOL_VOLUMEN_SUMINISTROS[[#This Row],[FIN DE SEMANA]])</f>
        <v>81052-1NO</v>
      </c>
      <c r="E1375" s="30" t="s">
        <v>147</v>
      </c>
      <c r="F1375" s="30" t="s">
        <v>148</v>
      </c>
      <c r="G1375" s="365">
        <v>8</v>
      </c>
      <c r="H1375" s="30">
        <v>12</v>
      </c>
      <c r="I1375" s="9" t="s">
        <v>768</v>
      </c>
      <c r="J1375" s="9" t="s">
        <v>1011</v>
      </c>
      <c r="K1375" s="30">
        <v>2</v>
      </c>
      <c r="L1375" s="9" t="s">
        <v>1013</v>
      </c>
      <c r="M1375" s="30" t="s">
        <v>84</v>
      </c>
      <c r="N1375" s="30" t="s">
        <v>155</v>
      </c>
      <c r="O1375" s="24">
        <v>44</v>
      </c>
      <c r="P1375" s="24">
        <v>91</v>
      </c>
      <c r="Q1375" s="24">
        <v>23</v>
      </c>
      <c r="R1375" s="24">
        <v>0</v>
      </c>
      <c r="S1375" s="24">
        <v>0</v>
      </c>
      <c r="T1375" s="24">
        <v>158</v>
      </c>
    </row>
    <row r="1376" spans="1:20">
      <c r="A1376" s="9" t="s">
        <v>976</v>
      </c>
      <c r="B1376" s="30" t="s">
        <v>1009</v>
      </c>
      <c r="C1376" s="30" t="str">
        <f>CONCATENATE(VOL_VOLUMEN_SUMINISTROS[[#This Row],[Proyecto]],VOL_VOLUMEN_SUMINISTROS[[#This Row],[J]],VOL_VOLUMEN_SUMINISTROS[[#This Row],[FIN DE SEMANA]])</f>
        <v>1052-1MNO</v>
      </c>
      <c r="D1376" s="365" t="str">
        <f>CONCATENATE(VOL_VOLUMEN_SUMINISTROS[[#This Row],[Grupo]],VOL_VOLUMEN_SUMINISTROS[[#This Row],[Proyecto]],VOL_VOLUMEN_SUMINISTROS[[#This Row],[FIN DE SEMANA]])</f>
        <v>81052-1NO</v>
      </c>
      <c r="E1376" s="30" t="s">
        <v>147</v>
      </c>
      <c r="F1376" s="30" t="s">
        <v>148</v>
      </c>
      <c r="G1376" s="365">
        <v>8</v>
      </c>
      <c r="H1376" s="30">
        <v>12</v>
      </c>
      <c r="I1376" s="9" t="s">
        <v>768</v>
      </c>
      <c r="J1376" s="9" t="s">
        <v>1011</v>
      </c>
      <c r="K1376" s="30">
        <v>3</v>
      </c>
      <c r="L1376" s="9" t="s">
        <v>1014</v>
      </c>
      <c r="M1376" s="30" t="s">
        <v>84</v>
      </c>
      <c r="N1376" s="30" t="s">
        <v>152</v>
      </c>
      <c r="O1376" s="24">
        <v>130</v>
      </c>
      <c r="P1376" s="24">
        <v>20</v>
      </c>
      <c r="Q1376" s="24">
        <v>0</v>
      </c>
      <c r="R1376" s="24">
        <v>0</v>
      </c>
      <c r="S1376" s="24">
        <v>0</v>
      </c>
      <c r="T1376" s="24">
        <v>150</v>
      </c>
    </row>
    <row r="1377" spans="1:20">
      <c r="A1377" s="9" t="s">
        <v>976</v>
      </c>
      <c r="B1377" s="30" t="s">
        <v>1009</v>
      </c>
      <c r="C1377" s="30" t="str">
        <f>CONCATENATE(VOL_VOLUMEN_SUMINISTROS[[#This Row],[Proyecto]],VOL_VOLUMEN_SUMINISTROS[[#This Row],[J]],VOL_VOLUMEN_SUMINISTROS[[#This Row],[FIN DE SEMANA]])</f>
        <v>1052-1TNO</v>
      </c>
      <c r="D1377" s="365" t="str">
        <f>CONCATENATE(VOL_VOLUMEN_SUMINISTROS[[#This Row],[Grupo]],VOL_VOLUMEN_SUMINISTROS[[#This Row],[Proyecto]],VOL_VOLUMEN_SUMINISTROS[[#This Row],[FIN DE SEMANA]])</f>
        <v>81052-1NO</v>
      </c>
      <c r="E1377" s="30" t="s">
        <v>147</v>
      </c>
      <c r="F1377" s="30" t="s">
        <v>148</v>
      </c>
      <c r="G1377" s="365">
        <v>8</v>
      </c>
      <c r="H1377" s="30">
        <v>12</v>
      </c>
      <c r="I1377" s="9" t="s">
        <v>768</v>
      </c>
      <c r="J1377" s="9" t="s">
        <v>1011</v>
      </c>
      <c r="K1377" s="30">
        <v>3</v>
      </c>
      <c r="L1377" s="9" t="s">
        <v>1014</v>
      </c>
      <c r="M1377" s="30" t="s">
        <v>84</v>
      </c>
      <c r="N1377" s="30" t="s">
        <v>155</v>
      </c>
      <c r="O1377" s="24">
        <v>52</v>
      </c>
      <c r="P1377" s="24">
        <v>0</v>
      </c>
      <c r="Q1377" s="24">
        <v>0</v>
      </c>
      <c r="R1377" s="24">
        <v>0</v>
      </c>
      <c r="S1377" s="24">
        <v>0</v>
      </c>
      <c r="T1377" s="24">
        <v>52</v>
      </c>
    </row>
    <row r="1378" spans="1:20">
      <c r="A1378" s="9" t="s">
        <v>976</v>
      </c>
      <c r="B1378" s="30" t="s">
        <v>1009</v>
      </c>
      <c r="C1378" s="30" t="str">
        <f>CONCATENATE(VOL_VOLUMEN_SUMINISTROS[[#This Row],[Proyecto]],VOL_VOLUMEN_SUMINISTROS[[#This Row],[J]],VOL_VOLUMEN_SUMINISTROS[[#This Row],[FIN DE SEMANA]])</f>
        <v>1052-1MNO</v>
      </c>
      <c r="D1378" s="365" t="str">
        <f>CONCATENATE(VOL_VOLUMEN_SUMINISTROS[[#This Row],[Grupo]],VOL_VOLUMEN_SUMINISTROS[[#This Row],[Proyecto]],VOL_VOLUMEN_SUMINISTROS[[#This Row],[FIN DE SEMANA]])</f>
        <v>81052-1NO</v>
      </c>
      <c r="E1378" s="30" t="s">
        <v>147</v>
      </c>
      <c r="F1378" s="30" t="s">
        <v>148</v>
      </c>
      <c r="G1378" s="365">
        <v>8</v>
      </c>
      <c r="H1378" s="30">
        <v>12</v>
      </c>
      <c r="I1378" s="9" t="s">
        <v>768</v>
      </c>
      <c r="J1378" s="9" t="s">
        <v>1011</v>
      </c>
      <c r="K1378" s="30">
        <v>4</v>
      </c>
      <c r="L1378" s="9" t="s">
        <v>1015</v>
      </c>
      <c r="M1378" s="30" t="s">
        <v>84</v>
      </c>
      <c r="N1378" s="30" t="s">
        <v>152</v>
      </c>
      <c r="O1378" s="24">
        <v>112</v>
      </c>
      <c r="P1378" s="24">
        <v>56</v>
      </c>
      <c r="Q1378" s="24">
        <v>0</v>
      </c>
      <c r="R1378" s="24">
        <v>0</v>
      </c>
      <c r="S1378" s="24">
        <v>0</v>
      </c>
      <c r="T1378" s="24">
        <v>168</v>
      </c>
    </row>
    <row r="1379" spans="1:20">
      <c r="A1379" s="9" t="s">
        <v>976</v>
      </c>
      <c r="B1379" s="30" t="s">
        <v>1009</v>
      </c>
      <c r="C1379" s="30" t="str">
        <f>CONCATENATE(VOL_VOLUMEN_SUMINISTROS[[#This Row],[Proyecto]],VOL_VOLUMEN_SUMINISTROS[[#This Row],[J]],VOL_VOLUMEN_SUMINISTROS[[#This Row],[FIN DE SEMANA]])</f>
        <v>1052-1TNO</v>
      </c>
      <c r="D1379" s="365" t="str">
        <f>CONCATENATE(VOL_VOLUMEN_SUMINISTROS[[#This Row],[Grupo]],VOL_VOLUMEN_SUMINISTROS[[#This Row],[Proyecto]],VOL_VOLUMEN_SUMINISTROS[[#This Row],[FIN DE SEMANA]])</f>
        <v>81052-1NO</v>
      </c>
      <c r="E1379" s="30" t="s">
        <v>147</v>
      </c>
      <c r="F1379" s="30" t="s">
        <v>148</v>
      </c>
      <c r="G1379" s="365">
        <v>8</v>
      </c>
      <c r="H1379" s="30">
        <v>12</v>
      </c>
      <c r="I1379" s="9" t="s">
        <v>768</v>
      </c>
      <c r="J1379" s="9" t="s">
        <v>1011</v>
      </c>
      <c r="K1379" s="30">
        <v>4</v>
      </c>
      <c r="L1379" s="9" t="s">
        <v>1015</v>
      </c>
      <c r="M1379" s="30" t="s">
        <v>84</v>
      </c>
      <c r="N1379" s="30" t="s">
        <v>155</v>
      </c>
      <c r="O1379" s="24">
        <v>86</v>
      </c>
      <c r="P1379" s="24">
        <v>43</v>
      </c>
      <c r="Q1379" s="24">
        <v>0</v>
      </c>
      <c r="R1379" s="24">
        <v>0</v>
      </c>
      <c r="S1379" s="24">
        <v>0</v>
      </c>
      <c r="T1379" s="24">
        <v>129</v>
      </c>
    </row>
    <row r="1380" spans="1:20">
      <c r="A1380" s="9" t="s">
        <v>976</v>
      </c>
      <c r="B1380" s="30" t="s">
        <v>1009</v>
      </c>
      <c r="C1380" s="30" t="str">
        <f>CONCATENATE(VOL_VOLUMEN_SUMINISTROS[[#This Row],[Proyecto]],VOL_VOLUMEN_SUMINISTROS[[#This Row],[J]],VOL_VOLUMEN_SUMINISTROS[[#This Row],[FIN DE SEMANA]])</f>
        <v>1052-1MNO</v>
      </c>
      <c r="D1380" s="365" t="str">
        <f>CONCATENATE(VOL_VOLUMEN_SUMINISTROS[[#This Row],[Grupo]],VOL_VOLUMEN_SUMINISTROS[[#This Row],[Proyecto]],VOL_VOLUMEN_SUMINISTROS[[#This Row],[FIN DE SEMANA]])</f>
        <v>81052-1NO</v>
      </c>
      <c r="E1380" s="30" t="s">
        <v>147</v>
      </c>
      <c r="F1380" s="30" t="s">
        <v>148</v>
      </c>
      <c r="G1380" s="365">
        <v>8</v>
      </c>
      <c r="H1380" s="30">
        <v>12</v>
      </c>
      <c r="I1380" s="9" t="s">
        <v>768</v>
      </c>
      <c r="J1380" s="9" t="s">
        <v>1016</v>
      </c>
      <c r="K1380" s="30">
        <v>1</v>
      </c>
      <c r="L1380" s="9" t="s">
        <v>153</v>
      </c>
      <c r="M1380" s="30" t="s">
        <v>84</v>
      </c>
      <c r="N1380" s="30" t="s">
        <v>152</v>
      </c>
      <c r="O1380" s="24">
        <v>0</v>
      </c>
      <c r="P1380" s="24">
        <v>117</v>
      </c>
      <c r="Q1380" s="24">
        <v>343</v>
      </c>
      <c r="R1380" s="24">
        <v>0</v>
      </c>
      <c r="S1380" s="24">
        <v>0</v>
      </c>
      <c r="T1380" s="24">
        <v>460</v>
      </c>
    </row>
    <row r="1381" spans="1:20">
      <c r="A1381" s="9" t="s">
        <v>976</v>
      </c>
      <c r="B1381" s="30" t="s">
        <v>1009</v>
      </c>
      <c r="C1381" s="30" t="str">
        <f>CONCATENATE(VOL_VOLUMEN_SUMINISTROS[[#This Row],[Proyecto]],VOL_VOLUMEN_SUMINISTROS[[#This Row],[J]],VOL_VOLUMEN_SUMINISTROS[[#This Row],[FIN DE SEMANA]])</f>
        <v>1052-1TNO</v>
      </c>
      <c r="D1381" s="365" t="str">
        <f>CONCATENATE(VOL_VOLUMEN_SUMINISTROS[[#This Row],[Grupo]],VOL_VOLUMEN_SUMINISTROS[[#This Row],[Proyecto]],VOL_VOLUMEN_SUMINISTROS[[#This Row],[FIN DE SEMANA]])</f>
        <v>81052-1NO</v>
      </c>
      <c r="E1381" s="30" t="s">
        <v>147</v>
      </c>
      <c r="F1381" s="30" t="s">
        <v>148</v>
      </c>
      <c r="G1381" s="365">
        <v>8</v>
      </c>
      <c r="H1381" s="30">
        <v>12</v>
      </c>
      <c r="I1381" s="9" t="s">
        <v>768</v>
      </c>
      <c r="J1381" s="9" t="s">
        <v>1016</v>
      </c>
      <c r="K1381" s="30">
        <v>1</v>
      </c>
      <c r="L1381" s="9" t="s">
        <v>153</v>
      </c>
      <c r="M1381" s="30" t="s">
        <v>84</v>
      </c>
      <c r="N1381" s="30" t="s">
        <v>155</v>
      </c>
      <c r="O1381" s="24">
        <v>0</v>
      </c>
      <c r="P1381" s="24">
        <v>111</v>
      </c>
      <c r="Q1381" s="24">
        <v>258</v>
      </c>
      <c r="R1381" s="24">
        <v>0</v>
      </c>
      <c r="S1381" s="24">
        <v>0</v>
      </c>
      <c r="T1381" s="24">
        <v>369</v>
      </c>
    </row>
    <row r="1382" spans="1:20">
      <c r="A1382" s="9" t="s">
        <v>976</v>
      </c>
      <c r="B1382" s="30" t="s">
        <v>1009</v>
      </c>
      <c r="C1382" s="30" t="str">
        <f>CONCATENATE(VOL_VOLUMEN_SUMINISTROS[[#This Row],[Proyecto]],VOL_VOLUMEN_SUMINISTROS[[#This Row],[J]],VOL_VOLUMEN_SUMINISTROS[[#This Row],[FIN DE SEMANA]])</f>
        <v>1052-1MNO</v>
      </c>
      <c r="D1382" s="365" t="str">
        <f>CONCATENATE(VOL_VOLUMEN_SUMINISTROS[[#This Row],[Grupo]],VOL_VOLUMEN_SUMINISTROS[[#This Row],[Proyecto]],VOL_VOLUMEN_SUMINISTROS[[#This Row],[FIN DE SEMANA]])</f>
        <v>81052-1NO</v>
      </c>
      <c r="E1382" s="30" t="s">
        <v>147</v>
      </c>
      <c r="F1382" s="30" t="s">
        <v>148</v>
      </c>
      <c r="G1382" s="365">
        <v>8</v>
      </c>
      <c r="H1382" s="30">
        <v>12</v>
      </c>
      <c r="I1382" s="9" t="s">
        <v>768</v>
      </c>
      <c r="J1382" s="9" t="s">
        <v>1016</v>
      </c>
      <c r="K1382" s="30">
        <v>2</v>
      </c>
      <c r="L1382" s="9" t="s">
        <v>1017</v>
      </c>
      <c r="M1382" s="30" t="s">
        <v>84</v>
      </c>
      <c r="N1382" s="30" t="s">
        <v>152</v>
      </c>
      <c r="O1382" s="24">
        <v>176</v>
      </c>
      <c r="P1382" s="24">
        <v>171</v>
      </c>
      <c r="Q1382" s="24">
        <v>36</v>
      </c>
      <c r="R1382" s="24">
        <v>0</v>
      </c>
      <c r="S1382" s="24">
        <v>0</v>
      </c>
      <c r="T1382" s="24">
        <v>383</v>
      </c>
    </row>
    <row r="1383" spans="1:20">
      <c r="A1383" s="9" t="s">
        <v>976</v>
      </c>
      <c r="B1383" s="30" t="s">
        <v>1009</v>
      </c>
      <c r="C1383" s="30" t="str">
        <f>CONCATENATE(VOL_VOLUMEN_SUMINISTROS[[#This Row],[Proyecto]],VOL_VOLUMEN_SUMINISTROS[[#This Row],[J]],VOL_VOLUMEN_SUMINISTROS[[#This Row],[FIN DE SEMANA]])</f>
        <v>1052-1TNO</v>
      </c>
      <c r="D1383" s="365" t="str">
        <f>CONCATENATE(VOL_VOLUMEN_SUMINISTROS[[#This Row],[Grupo]],VOL_VOLUMEN_SUMINISTROS[[#This Row],[Proyecto]],VOL_VOLUMEN_SUMINISTROS[[#This Row],[FIN DE SEMANA]])</f>
        <v>81052-1NO</v>
      </c>
      <c r="E1383" s="30" t="s">
        <v>147</v>
      </c>
      <c r="F1383" s="30" t="s">
        <v>148</v>
      </c>
      <c r="G1383" s="365">
        <v>8</v>
      </c>
      <c r="H1383" s="30">
        <v>12</v>
      </c>
      <c r="I1383" s="9" t="s">
        <v>768</v>
      </c>
      <c r="J1383" s="9" t="s">
        <v>1016</v>
      </c>
      <c r="K1383" s="30">
        <v>2</v>
      </c>
      <c r="L1383" s="9" t="s">
        <v>1017</v>
      </c>
      <c r="M1383" s="30" t="s">
        <v>84</v>
      </c>
      <c r="N1383" s="30" t="s">
        <v>155</v>
      </c>
      <c r="O1383" s="24">
        <v>162</v>
      </c>
      <c r="P1383" s="24">
        <v>151</v>
      </c>
      <c r="Q1383" s="24">
        <v>30</v>
      </c>
      <c r="R1383" s="24">
        <v>0</v>
      </c>
      <c r="S1383" s="24">
        <v>0</v>
      </c>
      <c r="T1383" s="24">
        <v>343</v>
      </c>
    </row>
    <row r="1384" spans="1:20">
      <c r="A1384" s="9" t="s">
        <v>976</v>
      </c>
      <c r="B1384" s="30" t="s">
        <v>1009</v>
      </c>
      <c r="C1384" s="30" t="str">
        <f>CONCATENATE(VOL_VOLUMEN_SUMINISTROS[[#This Row],[Proyecto]],VOL_VOLUMEN_SUMINISTROS[[#This Row],[J]],VOL_VOLUMEN_SUMINISTROS[[#This Row],[FIN DE SEMANA]])</f>
        <v>1052-1MNO</v>
      </c>
      <c r="D1384" s="365" t="str">
        <f>CONCATENATE(VOL_VOLUMEN_SUMINISTROS[[#This Row],[Grupo]],VOL_VOLUMEN_SUMINISTROS[[#This Row],[Proyecto]],VOL_VOLUMEN_SUMINISTROS[[#This Row],[FIN DE SEMANA]])</f>
        <v>81052-1NO</v>
      </c>
      <c r="E1384" s="30" t="s">
        <v>147</v>
      </c>
      <c r="F1384" s="30" t="s">
        <v>148</v>
      </c>
      <c r="G1384" s="365">
        <v>8</v>
      </c>
      <c r="H1384" s="30">
        <v>12</v>
      </c>
      <c r="I1384" s="9" t="s">
        <v>768</v>
      </c>
      <c r="J1384" s="9" t="s">
        <v>769</v>
      </c>
      <c r="K1384" s="30">
        <v>1</v>
      </c>
      <c r="L1384" s="9" t="s">
        <v>151</v>
      </c>
      <c r="M1384" s="30" t="s">
        <v>84</v>
      </c>
      <c r="N1384" s="30" t="s">
        <v>152</v>
      </c>
      <c r="O1384" s="24">
        <v>0</v>
      </c>
      <c r="P1384" s="24">
        <v>240</v>
      </c>
      <c r="Q1384" s="24">
        <v>838</v>
      </c>
      <c r="R1384" s="24">
        <v>0</v>
      </c>
      <c r="S1384" s="24">
        <v>0</v>
      </c>
      <c r="T1384" s="24">
        <v>1078</v>
      </c>
    </row>
    <row r="1385" spans="1:20">
      <c r="A1385" s="9" t="s">
        <v>976</v>
      </c>
      <c r="B1385" s="30" t="s">
        <v>1009</v>
      </c>
      <c r="C1385" s="30" t="str">
        <f>CONCATENATE(VOL_VOLUMEN_SUMINISTROS[[#This Row],[Proyecto]],VOL_VOLUMEN_SUMINISTROS[[#This Row],[J]],VOL_VOLUMEN_SUMINISTROS[[#This Row],[FIN DE SEMANA]])</f>
        <v>1052-1MNO</v>
      </c>
      <c r="D1385" s="365" t="str">
        <f>CONCATENATE(VOL_VOLUMEN_SUMINISTROS[[#This Row],[Grupo]],VOL_VOLUMEN_SUMINISTROS[[#This Row],[Proyecto]],VOL_VOLUMEN_SUMINISTROS[[#This Row],[FIN DE SEMANA]])</f>
        <v>81052-1NO</v>
      </c>
      <c r="E1385" s="30" t="s">
        <v>147</v>
      </c>
      <c r="F1385" s="30" t="s">
        <v>148</v>
      </c>
      <c r="G1385" s="365">
        <v>8</v>
      </c>
      <c r="H1385" s="30">
        <v>12</v>
      </c>
      <c r="I1385" s="9" t="s">
        <v>768</v>
      </c>
      <c r="J1385" s="9" t="s">
        <v>769</v>
      </c>
      <c r="K1385" s="30">
        <v>3</v>
      </c>
      <c r="L1385" s="9" t="s">
        <v>1018</v>
      </c>
      <c r="M1385" s="30" t="s">
        <v>84</v>
      </c>
      <c r="N1385" s="30" t="s">
        <v>152</v>
      </c>
      <c r="O1385" s="24">
        <v>160</v>
      </c>
      <c r="P1385" s="24">
        <v>0</v>
      </c>
      <c r="Q1385" s="24">
        <v>0</v>
      </c>
      <c r="R1385" s="24">
        <v>0</v>
      </c>
      <c r="S1385" s="24">
        <v>0</v>
      </c>
      <c r="T1385" s="24">
        <v>160</v>
      </c>
    </row>
    <row r="1386" spans="1:20">
      <c r="A1386" s="9" t="s">
        <v>976</v>
      </c>
      <c r="B1386" s="30" t="s">
        <v>1009</v>
      </c>
      <c r="C1386" s="30" t="str">
        <f>CONCATENATE(VOL_VOLUMEN_SUMINISTROS[[#This Row],[Proyecto]],VOL_VOLUMEN_SUMINISTROS[[#This Row],[J]],VOL_VOLUMEN_SUMINISTROS[[#This Row],[FIN DE SEMANA]])</f>
        <v>1052-1MNO</v>
      </c>
      <c r="D1386" s="365" t="str">
        <f>CONCATENATE(VOL_VOLUMEN_SUMINISTROS[[#This Row],[Grupo]],VOL_VOLUMEN_SUMINISTROS[[#This Row],[Proyecto]],VOL_VOLUMEN_SUMINISTROS[[#This Row],[FIN DE SEMANA]])</f>
        <v>81052-1NO</v>
      </c>
      <c r="E1386" s="30" t="s">
        <v>147</v>
      </c>
      <c r="F1386" s="30" t="s">
        <v>148</v>
      </c>
      <c r="G1386" s="365">
        <v>8</v>
      </c>
      <c r="H1386" s="30">
        <v>12</v>
      </c>
      <c r="I1386" s="9" t="s">
        <v>768</v>
      </c>
      <c r="J1386" s="9" t="s">
        <v>1019</v>
      </c>
      <c r="K1386" s="30">
        <v>1</v>
      </c>
      <c r="L1386" s="9" t="s">
        <v>1020</v>
      </c>
      <c r="M1386" s="30" t="s">
        <v>84</v>
      </c>
      <c r="N1386" s="30" t="s">
        <v>152</v>
      </c>
      <c r="O1386" s="24">
        <v>0</v>
      </c>
      <c r="P1386" s="24">
        <v>216</v>
      </c>
      <c r="Q1386" s="24">
        <v>302</v>
      </c>
      <c r="R1386" s="24">
        <v>0</v>
      </c>
      <c r="S1386" s="24">
        <v>0</v>
      </c>
      <c r="T1386" s="24">
        <v>518</v>
      </c>
    </row>
    <row r="1387" spans="1:20">
      <c r="A1387" s="9" t="s">
        <v>976</v>
      </c>
      <c r="B1387" s="30" t="s">
        <v>1009</v>
      </c>
      <c r="C1387" s="30" t="str">
        <f>CONCATENATE(VOL_VOLUMEN_SUMINISTROS[[#This Row],[Proyecto]],VOL_VOLUMEN_SUMINISTROS[[#This Row],[J]],VOL_VOLUMEN_SUMINISTROS[[#This Row],[FIN DE SEMANA]])</f>
        <v>1052-1MNO</v>
      </c>
      <c r="D1387" s="365" t="str">
        <f>CONCATENATE(VOL_VOLUMEN_SUMINISTROS[[#This Row],[Grupo]],VOL_VOLUMEN_SUMINISTROS[[#This Row],[Proyecto]],VOL_VOLUMEN_SUMINISTROS[[#This Row],[FIN DE SEMANA]])</f>
        <v>81052-1NO</v>
      </c>
      <c r="E1387" s="30" t="s">
        <v>147</v>
      </c>
      <c r="F1387" s="30" t="s">
        <v>148</v>
      </c>
      <c r="G1387" s="365">
        <v>8</v>
      </c>
      <c r="H1387" s="30">
        <v>12</v>
      </c>
      <c r="I1387" s="9" t="s">
        <v>768</v>
      </c>
      <c r="J1387" s="9" t="s">
        <v>1019</v>
      </c>
      <c r="K1387" s="30">
        <v>2</v>
      </c>
      <c r="L1387" s="9" t="s">
        <v>165</v>
      </c>
      <c r="M1387" s="30" t="s">
        <v>84</v>
      </c>
      <c r="N1387" s="30" t="s">
        <v>152</v>
      </c>
      <c r="O1387" s="24">
        <v>150</v>
      </c>
      <c r="P1387" s="24">
        <v>0</v>
      </c>
      <c r="Q1387" s="24">
        <v>0</v>
      </c>
      <c r="R1387" s="24">
        <v>0</v>
      </c>
      <c r="S1387" s="24">
        <v>0</v>
      </c>
      <c r="T1387" s="24">
        <v>150</v>
      </c>
    </row>
    <row r="1388" spans="1:20">
      <c r="A1388" s="9" t="s">
        <v>976</v>
      </c>
      <c r="B1388" s="30" t="s">
        <v>1009</v>
      </c>
      <c r="C1388" s="30" t="str">
        <f>CONCATENATE(VOL_VOLUMEN_SUMINISTROS[[#This Row],[Proyecto]],VOL_VOLUMEN_SUMINISTROS[[#This Row],[J]],VOL_VOLUMEN_SUMINISTROS[[#This Row],[FIN DE SEMANA]])</f>
        <v>1052-1MNO</v>
      </c>
      <c r="D1388" s="365" t="str">
        <f>CONCATENATE(VOL_VOLUMEN_SUMINISTROS[[#This Row],[Grupo]],VOL_VOLUMEN_SUMINISTROS[[#This Row],[Proyecto]],VOL_VOLUMEN_SUMINISTROS[[#This Row],[FIN DE SEMANA]])</f>
        <v>81052-1NO</v>
      </c>
      <c r="E1388" s="30" t="s">
        <v>147</v>
      </c>
      <c r="F1388" s="30" t="s">
        <v>148</v>
      </c>
      <c r="G1388" s="365">
        <v>8</v>
      </c>
      <c r="H1388" s="30">
        <v>12</v>
      </c>
      <c r="I1388" s="9" t="s">
        <v>768</v>
      </c>
      <c r="J1388" s="9" t="s">
        <v>1019</v>
      </c>
      <c r="K1388" s="30">
        <v>3</v>
      </c>
      <c r="L1388" s="9" t="s">
        <v>458</v>
      </c>
      <c r="M1388" s="30" t="s">
        <v>84</v>
      </c>
      <c r="N1388" s="30" t="s">
        <v>152</v>
      </c>
      <c r="O1388" s="24">
        <v>160</v>
      </c>
      <c r="P1388" s="24">
        <v>107</v>
      </c>
      <c r="Q1388" s="24">
        <v>9</v>
      </c>
      <c r="R1388" s="24">
        <v>0</v>
      </c>
      <c r="S1388" s="24">
        <v>0</v>
      </c>
      <c r="T1388" s="24">
        <v>276</v>
      </c>
    </row>
    <row r="1389" spans="1:20">
      <c r="A1389" s="9" t="s">
        <v>976</v>
      </c>
      <c r="B1389" s="30" t="s">
        <v>1009</v>
      </c>
      <c r="C1389" s="30" t="str">
        <f>CONCATENATE(VOL_VOLUMEN_SUMINISTROS[[#This Row],[Proyecto]],VOL_VOLUMEN_SUMINISTROS[[#This Row],[J]],VOL_VOLUMEN_SUMINISTROS[[#This Row],[FIN DE SEMANA]])</f>
        <v>1052-1MNO</v>
      </c>
      <c r="D1389" s="365" t="str">
        <f>CONCATENATE(VOL_VOLUMEN_SUMINISTROS[[#This Row],[Grupo]],VOL_VOLUMEN_SUMINISTROS[[#This Row],[Proyecto]],VOL_VOLUMEN_SUMINISTROS[[#This Row],[FIN DE SEMANA]])</f>
        <v>81052-1NO</v>
      </c>
      <c r="E1389" s="30" t="s">
        <v>147</v>
      </c>
      <c r="F1389" s="30" t="s">
        <v>148</v>
      </c>
      <c r="G1389" s="365">
        <v>8</v>
      </c>
      <c r="H1389" s="30">
        <v>12</v>
      </c>
      <c r="I1389" s="9" t="s">
        <v>768</v>
      </c>
      <c r="J1389" s="9" t="s">
        <v>1021</v>
      </c>
      <c r="K1389" s="30">
        <v>1</v>
      </c>
      <c r="L1389" s="9" t="s">
        <v>1022</v>
      </c>
      <c r="M1389" s="30" t="s">
        <v>84</v>
      </c>
      <c r="N1389" s="30" t="s">
        <v>152</v>
      </c>
      <c r="O1389" s="24">
        <v>86</v>
      </c>
      <c r="P1389" s="24">
        <v>223</v>
      </c>
      <c r="Q1389" s="24">
        <v>60</v>
      </c>
      <c r="R1389" s="24">
        <v>0</v>
      </c>
      <c r="S1389" s="24">
        <v>0</v>
      </c>
      <c r="T1389" s="24">
        <v>369</v>
      </c>
    </row>
    <row r="1390" spans="1:20">
      <c r="A1390" s="9" t="s">
        <v>976</v>
      </c>
      <c r="B1390" s="30" t="s">
        <v>1009</v>
      </c>
      <c r="C1390" s="30" t="str">
        <f>CONCATENATE(VOL_VOLUMEN_SUMINISTROS[[#This Row],[Proyecto]],VOL_VOLUMEN_SUMINISTROS[[#This Row],[J]],VOL_VOLUMEN_SUMINISTROS[[#This Row],[FIN DE SEMANA]])</f>
        <v>1052-1TNO</v>
      </c>
      <c r="D1390" s="365" t="str">
        <f>CONCATENATE(VOL_VOLUMEN_SUMINISTROS[[#This Row],[Grupo]],VOL_VOLUMEN_SUMINISTROS[[#This Row],[Proyecto]],VOL_VOLUMEN_SUMINISTROS[[#This Row],[FIN DE SEMANA]])</f>
        <v>81052-1NO</v>
      </c>
      <c r="E1390" s="30" t="s">
        <v>147</v>
      </c>
      <c r="F1390" s="30" t="s">
        <v>148</v>
      </c>
      <c r="G1390" s="365">
        <v>8</v>
      </c>
      <c r="H1390" s="30">
        <v>12</v>
      </c>
      <c r="I1390" s="9" t="s">
        <v>768</v>
      </c>
      <c r="J1390" s="9" t="s">
        <v>1021</v>
      </c>
      <c r="K1390" s="30">
        <v>1</v>
      </c>
      <c r="L1390" s="9" t="s">
        <v>1022</v>
      </c>
      <c r="M1390" s="30" t="s">
        <v>84</v>
      </c>
      <c r="N1390" s="30" t="s">
        <v>155</v>
      </c>
      <c r="O1390" s="24">
        <v>0</v>
      </c>
      <c r="P1390" s="24">
        <v>105</v>
      </c>
      <c r="Q1390" s="24">
        <v>35</v>
      </c>
      <c r="R1390" s="24">
        <v>0</v>
      </c>
      <c r="S1390" s="24">
        <v>0</v>
      </c>
      <c r="T1390" s="24">
        <v>140</v>
      </c>
    </row>
    <row r="1391" spans="1:20">
      <c r="A1391" s="9" t="s">
        <v>976</v>
      </c>
      <c r="B1391" s="30" t="s">
        <v>1009</v>
      </c>
      <c r="C1391" s="30" t="str">
        <f>CONCATENATE(VOL_VOLUMEN_SUMINISTROS[[#This Row],[Proyecto]],VOL_VOLUMEN_SUMINISTROS[[#This Row],[J]],VOL_VOLUMEN_SUMINISTROS[[#This Row],[FIN DE SEMANA]])</f>
        <v>1052-1MNO</v>
      </c>
      <c r="D1391" s="365" t="str">
        <f>CONCATENATE(VOL_VOLUMEN_SUMINISTROS[[#This Row],[Grupo]],VOL_VOLUMEN_SUMINISTROS[[#This Row],[Proyecto]],VOL_VOLUMEN_SUMINISTROS[[#This Row],[FIN DE SEMANA]])</f>
        <v>81052-1NO</v>
      </c>
      <c r="E1391" s="30" t="s">
        <v>147</v>
      </c>
      <c r="F1391" s="30" t="s">
        <v>148</v>
      </c>
      <c r="G1391" s="365">
        <v>8</v>
      </c>
      <c r="H1391" s="30">
        <v>12</v>
      </c>
      <c r="I1391" s="9" t="s">
        <v>768</v>
      </c>
      <c r="J1391" s="9" t="s">
        <v>1021</v>
      </c>
      <c r="K1391" s="30">
        <v>2</v>
      </c>
      <c r="L1391" s="9" t="s">
        <v>1023</v>
      </c>
      <c r="M1391" s="30" t="s">
        <v>84</v>
      </c>
      <c r="N1391" s="30" t="s">
        <v>152</v>
      </c>
      <c r="O1391" s="24">
        <v>225</v>
      </c>
      <c r="P1391" s="24">
        <v>64</v>
      </c>
      <c r="Q1391" s="24">
        <v>0</v>
      </c>
      <c r="R1391" s="24">
        <v>0</v>
      </c>
      <c r="S1391" s="24">
        <v>0</v>
      </c>
      <c r="T1391" s="24">
        <v>289</v>
      </c>
    </row>
    <row r="1392" spans="1:20">
      <c r="A1392" s="9" t="s">
        <v>976</v>
      </c>
      <c r="B1392" s="30" t="s">
        <v>1009</v>
      </c>
      <c r="C1392" s="30" t="str">
        <f>CONCATENATE(VOL_VOLUMEN_SUMINISTROS[[#This Row],[Proyecto]],VOL_VOLUMEN_SUMINISTROS[[#This Row],[J]],VOL_VOLUMEN_SUMINISTROS[[#This Row],[FIN DE SEMANA]])</f>
        <v>1052-1MNO</v>
      </c>
      <c r="D1392" s="365" t="str">
        <f>CONCATENATE(VOL_VOLUMEN_SUMINISTROS[[#This Row],[Grupo]],VOL_VOLUMEN_SUMINISTROS[[#This Row],[Proyecto]],VOL_VOLUMEN_SUMINISTROS[[#This Row],[FIN DE SEMANA]])</f>
        <v>81052-1NO</v>
      </c>
      <c r="E1392" s="30" t="s">
        <v>147</v>
      </c>
      <c r="F1392" s="30" t="s">
        <v>148</v>
      </c>
      <c r="G1392" s="365">
        <v>8</v>
      </c>
      <c r="H1392" s="30">
        <v>12</v>
      </c>
      <c r="I1392" s="9" t="s">
        <v>768</v>
      </c>
      <c r="J1392" s="9" t="s">
        <v>1021</v>
      </c>
      <c r="K1392" s="30">
        <v>3</v>
      </c>
      <c r="L1392" s="9" t="s">
        <v>1024</v>
      </c>
      <c r="M1392" s="30" t="s">
        <v>84</v>
      </c>
      <c r="N1392" s="30" t="s">
        <v>152</v>
      </c>
      <c r="O1392" s="24">
        <v>0</v>
      </c>
      <c r="P1392" s="24">
        <v>132</v>
      </c>
      <c r="Q1392" s="24">
        <v>271</v>
      </c>
      <c r="R1392" s="24">
        <v>0</v>
      </c>
      <c r="S1392" s="24">
        <v>0</v>
      </c>
      <c r="T1392" s="24">
        <v>403</v>
      </c>
    </row>
    <row r="1393" spans="1:20">
      <c r="A1393" s="9" t="s">
        <v>976</v>
      </c>
      <c r="B1393" s="30" t="s">
        <v>1009</v>
      </c>
      <c r="C1393" s="30" t="str">
        <f>CONCATENATE(VOL_VOLUMEN_SUMINISTROS[[#This Row],[Proyecto]],VOL_VOLUMEN_SUMINISTROS[[#This Row],[J]],VOL_VOLUMEN_SUMINISTROS[[#This Row],[FIN DE SEMANA]])</f>
        <v>1052-1TNO</v>
      </c>
      <c r="D1393" s="365" t="str">
        <f>CONCATENATE(VOL_VOLUMEN_SUMINISTROS[[#This Row],[Grupo]],VOL_VOLUMEN_SUMINISTROS[[#This Row],[Proyecto]],VOL_VOLUMEN_SUMINISTROS[[#This Row],[FIN DE SEMANA]])</f>
        <v>81052-1NO</v>
      </c>
      <c r="E1393" s="30" t="s">
        <v>147</v>
      </c>
      <c r="F1393" s="30" t="s">
        <v>148</v>
      </c>
      <c r="G1393" s="365">
        <v>8</v>
      </c>
      <c r="H1393" s="30">
        <v>12</v>
      </c>
      <c r="I1393" s="9" t="s">
        <v>768</v>
      </c>
      <c r="J1393" s="9" t="s">
        <v>1021</v>
      </c>
      <c r="K1393" s="30">
        <v>3</v>
      </c>
      <c r="L1393" s="9" t="s">
        <v>1024</v>
      </c>
      <c r="M1393" s="30" t="s">
        <v>84</v>
      </c>
      <c r="N1393" s="30" t="s">
        <v>155</v>
      </c>
      <c r="O1393" s="24">
        <v>0</v>
      </c>
      <c r="P1393" s="24">
        <v>87</v>
      </c>
      <c r="Q1393" s="24">
        <v>29</v>
      </c>
      <c r="R1393" s="24">
        <v>0</v>
      </c>
      <c r="S1393" s="24">
        <v>0</v>
      </c>
      <c r="T1393" s="24">
        <v>116</v>
      </c>
    </row>
    <row r="1394" spans="1:20">
      <c r="A1394" s="9" t="s">
        <v>976</v>
      </c>
      <c r="B1394" s="30" t="s">
        <v>1009</v>
      </c>
      <c r="C1394" s="30" t="str">
        <f>CONCATENATE(VOL_VOLUMEN_SUMINISTROS[[#This Row],[Proyecto]],VOL_VOLUMEN_SUMINISTROS[[#This Row],[J]],VOL_VOLUMEN_SUMINISTROS[[#This Row],[FIN DE SEMANA]])</f>
        <v>1052-1MNO</v>
      </c>
      <c r="D1394" s="365" t="str">
        <f>CONCATENATE(VOL_VOLUMEN_SUMINISTROS[[#This Row],[Grupo]],VOL_VOLUMEN_SUMINISTROS[[#This Row],[Proyecto]],VOL_VOLUMEN_SUMINISTROS[[#This Row],[FIN DE SEMANA]])</f>
        <v>81052-1NO</v>
      </c>
      <c r="E1394" s="30" t="s">
        <v>147</v>
      </c>
      <c r="F1394" s="30" t="s">
        <v>148</v>
      </c>
      <c r="G1394" s="365">
        <v>8</v>
      </c>
      <c r="H1394" s="30">
        <v>12</v>
      </c>
      <c r="I1394" s="9" t="s">
        <v>768</v>
      </c>
      <c r="J1394" s="9" t="s">
        <v>1025</v>
      </c>
      <c r="K1394" s="30">
        <v>1</v>
      </c>
      <c r="L1394" s="9" t="s">
        <v>1026</v>
      </c>
      <c r="M1394" s="30" t="s">
        <v>84</v>
      </c>
      <c r="N1394" s="30" t="s">
        <v>152</v>
      </c>
      <c r="O1394" s="24">
        <v>0</v>
      </c>
      <c r="P1394" s="24">
        <v>150</v>
      </c>
      <c r="Q1394" s="24">
        <v>350</v>
      </c>
      <c r="R1394" s="24">
        <v>0</v>
      </c>
      <c r="S1394" s="24">
        <v>0</v>
      </c>
      <c r="T1394" s="24">
        <v>500</v>
      </c>
    </row>
    <row r="1395" spans="1:20">
      <c r="A1395" s="9" t="s">
        <v>976</v>
      </c>
      <c r="B1395" s="30" t="s">
        <v>1009</v>
      </c>
      <c r="C1395" s="30" t="str">
        <f>CONCATENATE(VOL_VOLUMEN_SUMINISTROS[[#This Row],[Proyecto]],VOL_VOLUMEN_SUMINISTROS[[#This Row],[J]],VOL_VOLUMEN_SUMINISTROS[[#This Row],[FIN DE SEMANA]])</f>
        <v>1052-1MNO</v>
      </c>
      <c r="D1395" s="365" t="str">
        <f>CONCATENATE(VOL_VOLUMEN_SUMINISTROS[[#This Row],[Grupo]],VOL_VOLUMEN_SUMINISTROS[[#This Row],[Proyecto]],VOL_VOLUMEN_SUMINISTROS[[#This Row],[FIN DE SEMANA]])</f>
        <v>81052-1NO</v>
      </c>
      <c r="E1395" s="30" t="s">
        <v>147</v>
      </c>
      <c r="F1395" s="30" t="s">
        <v>148</v>
      </c>
      <c r="G1395" s="365">
        <v>8</v>
      </c>
      <c r="H1395" s="30">
        <v>12</v>
      </c>
      <c r="I1395" s="9" t="s">
        <v>768</v>
      </c>
      <c r="J1395" s="9" t="s">
        <v>1025</v>
      </c>
      <c r="K1395" s="30">
        <v>2</v>
      </c>
      <c r="L1395" s="9" t="s">
        <v>1027</v>
      </c>
      <c r="M1395" s="30" t="s">
        <v>84</v>
      </c>
      <c r="N1395" s="30" t="s">
        <v>152</v>
      </c>
      <c r="O1395" s="24">
        <v>342</v>
      </c>
      <c r="P1395" s="24">
        <v>188</v>
      </c>
      <c r="Q1395" s="24">
        <v>27</v>
      </c>
      <c r="R1395" s="24">
        <v>0</v>
      </c>
      <c r="S1395" s="24">
        <v>0</v>
      </c>
      <c r="T1395" s="24">
        <v>557</v>
      </c>
    </row>
    <row r="1396" spans="1:20">
      <c r="A1396" s="9" t="s">
        <v>976</v>
      </c>
      <c r="B1396" s="30" t="s">
        <v>1009</v>
      </c>
      <c r="C1396" s="30" t="str">
        <f>CONCATENATE(VOL_VOLUMEN_SUMINISTROS[[#This Row],[Proyecto]],VOL_VOLUMEN_SUMINISTROS[[#This Row],[J]],VOL_VOLUMEN_SUMINISTROS[[#This Row],[FIN DE SEMANA]])</f>
        <v>1052-1MNO</v>
      </c>
      <c r="D1396" s="365" t="str">
        <f>CONCATENATE(VOL_VOLUMEN_SUMINISTROS[[#This Row],[Grupo]],VOL_VOLUMEN_SUMINISTROS[[#This Row],[Proyecto]],VOL_VOLUMEN_SUMINISTROS[[#This Row],[FIN DE SEMANA]])</f>
        <v>81052-1NO</v>
      </c>
      <c r="E1396" s="30" t="s">
        <v>147</v>
      </c>
      <c r="F1396" s="30" t="s">
        <v>148</v>
      </c>
      <c r="G1396" s="365">
        <v>8</v>
      </c>
      <c r="H1396" s="30">
        <v>12</v>
      </c>
      <c r="I1396" s="9" t="s">
        <v>768</v>
      </c>
      <c r="J1396" s="9" t="s">
        <v>1028</v>
      </c>
      <c r="K1396" s="30">
        <v>1</v>
      </c>
      <c r="L1396" s="9" t="s">
        <v>153</v>
      </c>
      <c r="M1396" s="30" t="s">
        <v>84</v>
      </c>
      <c r="N1396" s="30" t="s">
        <v>152</v>
      </c>
      <c r="O1396" s="24">
        <v>138</v>
      </c>
      <c r="P1396" s="24">
        <v>309</v>
      </c>
      <c r="Q1396" s="24">
        <v>455</v>
      </c>
      <c r="R1396" s="24">
        <v>0</v>
      </c>
      <c r="S1396" s="24">
        <v>0</v>
      </c>
      <c r="T1396" s="24">
        <v>902</v>
      </c>
    </row>
    <row r="1397" spans="1:20">
      <c r="A1397" s="9" t="s">
        <v>976</v>
      </c>
      <c r="B1397" s="30" t="s">
        <v>1009</v>
      </c>
      <c r="C1397" s="30" t="str">
        <f>CONCATENATE(VOL_VOLUMEN_SUMINISTROS[[#This Row],[Proyecto]],VOL_VOLUMEN_SUMINISTROS[[#This Row],[J]],VOL_VOLUMEN_SUMINISTROS[[#This Row],[FIN DE SEMANA]])</f>
        <v>1052-1TNO</v>
      </c>
      <c r="D1397" s="365" t="str">
        <f>CONCATENATE(VOL_VOLUMEN_SUMINISTROS[[#This Row],[Grupo]],VOL_VOLUMEN_SUMINISTROS[[#This Row],[Proyecto]],VOL_VOLUMEN_SUMINISTROS[[#This Row],[FIN DE SEMANA]])</f>
        <v>81052-1NO</v>
      </c>
      <c r="E1397" s="30" t="s">
        <v>147</v>
      </c>
      <c r="F1397" s="30" t="s">
        <v>148</v>
      </c>
      <c r="G1397" s="365">
        <v>8</v>
      </c>
      <c r="H1397" s="30">
        <v>12</v>
      </c>
      <c r="I1397" s="9" t="s">
        <v>768</v>
      </c>
      <c r="J1397" s="9" t="s">
        <v>1028</v>
      </c>
      <c r="K1397" s="30">
        <v>1</v>
      </c>
      <c r="L1397" s="9" t="s">
        <v>153</v>
      </c>
      <c r="M1397" s="30" t="s">
        <v>84</v>
      </c>
      <c r="N1397" s="30" t="s">
        <v>155</v>
      </c>
      <c r="O1397" s="24">
        <v>0</v>
      </c>
      <c r="P1397" s="24">
        <v>87</v>
      </c>
      <c r="Q1397" s="24">
        <v>29</v>
      </c>
      <c r="R1397" s="24">
        <v>0</v>
      </c>
      <c r="S1397" s="24">
        <v>0</v>
      </c>
      <c r="T1397" s="24">
        <v>116</v>
      </c>
    </row>
    <row r="1398" spans="1:20">
      <c r="A1398" s="9" t="s">
        <v>976</v>
      </c>
      <c r="B1398" s="30" t="s">
        <v>1009</v>
      </c>
      <c r="C1398" s="30" t="str">
        <f>CONCATENATE(VOL_VOLUMEN_SUMINISTROS[[#This Row],[Proyecto]],VOL_VOLUMEN_SUMINISTROS[[#This Row],[J]],VOL_VOLUMEN_SUMINISTROS[[#This Row],[FIN DE SEMANA]])</f>
        <v>1052-1MNO</v>
      </c>
      <c r="D1398" s="365" t="str">
        <f>CONCATENATE(VOL_VOLUMEN_SUMINISTROS[[#This Row],[Grupo]],VOL_VOLUMEN_SUMINISTROS[[#This Row],[Proyecto]],VOL_VOLUMEN_SUMINISTROS[[#This Row],[FIN DE SEMANA]])</f>
        <v>81052-1NO</v>
      </c>
      <c r="E1398" s="30" t="s">
        <v>147</v>
      </c>
      <c r="F1398" s="30" t="s">
        <v>148</v>
      </c>
      <c r="G1398" s="365">
        <v>8</v>
      </c>
      <c r="H1398" s="30">
        <v>12</v>
      </c>
      <c r="I1398" s="9" t="s">
        <v>768</v>
      </c>
      <c r="J1398" s="9" t="s">
        <v>1028</v>
      </c>
      <c r="K1398" s="30">
        <v>2</v>
      </c>
      <c r="L1398" s="9" t="s">
        <v>165</v>
      </c>
      <c r="M1398" s="30" t="s">
        <v>84</v>
      </c>
      <c r="N1398" s="30" t="s">
        <v>152</v>
      </c>
      <c r="O1398" s="24">
        <v>187</v>
      </c>
      <c r="P1398" s="24">
        <v>77</v>
      </c>
      <c r="Q1398" s="24">
        <v>15</v>
      </c>
      <c r="R1398" s="24">
        <v>0</v>
      </c>
      <c r="S1398" s="24">
        <v>0</v>
      </c>
      <c r="T1398" s="24">
        <v>279</v>
      </c>
    </row>
    <row r="1399" spans="1:20">
      <c r="A1399" s="9" t="s">
        <v>976</v>
      </c>
      <c r="B1399" s="30" t="s">
        <v>1009</v>
      </c>
      <c r="C1399" s="30" t="str">
        <f>CONCATENATE(VOL_VOLUMEN_SUMINISTROS[[#This Row],[Proyecto]],VOL_VOLUMEN_SUMINISTROS[[#This Row],[J]],VOL_VOLUMEN_SUMINISTROS[[#This Row],[FIN DE SEMANA]])</f>
        <v>1052-1MNO</v>
      </c>
      <c r="D1399" s="365" t="str">
        <f>CONCATENATE(VOL_VOLUMEN_SUMINISTROS[[#This Row],[Grupo]],VOL_VOLUMEN_SUMINISTROS[[#This Row],[Proyecto]],VOL_VOLUMEN_SUMINISTROS[[#This Row],[FIN DE SEMANA]])</f>
        <v>81052-1NO</v>
      </c>
      <c r="E1399" s="30" t="s">
        <v>147</v>
      </c>
      <c r="F1399" s="30" t="s">
        <v>148</v>
      </c>
      <c r="G1399" s="365">
        <v>8</v>
      </c>
      <c r="H1399" s="30">
        <v>13</v>
      </c>
      <c r="I1399" s="9" t="s">
        <v>1029</v>
      </c>
      <c r="J1399" s="9" t="s">
        <v>1030</v>
      </c>
      <c r="K1399" s="30">
        <v>1</v>
      </c>
      <c r="L1399" s="9" t="s">
        <v>1031</v>
      </c>
      <c r="M1399" s="30" t="s">
        <v>84</v>
      </c>
      <c r="N1399" s="30" t="s">
        <v>152</v>
      </c>
      <c r="O1399" s="24">
        <v>0</v>
      </c>
      <c r="P1399" s="24">
        <v>165</v>
      </c>
      <c r="Q1399" s="24">
        <v>384</v>
      </c>
      <c r="R1399" s="24">
        <v>0</v>
      </c>
      <c r="S1399" s="24">
        <v>0</v>
      </c>
      <c r="T1399" s="24">
        <v>549</v>
      </c>
    </row>
    <row r="1400" spans="1:20">
      <c r="A1400" s="9" t="s">
        <v>976</v>
      </c>
      <c r="B1400" s="30" t="s">
        <v>1009</v>
      </c>
      <c r="C1400" s="30" t="str">
        <f>CONCATENATE(VOL_VOLUMEN_SUMINISTROS[[#This Row],[Proyecto]],VOL_VOLUMEN_SUMINISTROS[[#This Row],[J]],VOL_VOLUMEN_SUMINISTROS[[#This Row],[FIN DE SEMANA]])</f>
        <v>1052-1NNO</v>
      </c>
      <c r="D1400" s="365" t="str">
        <f>CONCATENATE(VOL_VOLUMEN_SUMINISTROS[[#This Row],[Grupo]],VOL_VOLUMEN_SUMINISTROS[[#This Row],[Proyecto]],VOL_VOLUMEN_SUMINISTROS[[#This Row],[FIN DE SEMANA]])</f>
        <v>81052-1NO</v>
      </c>
      <c r="E1400" s="30" t="s">
        <v>147</v>
      </c>
      <c r="F1400" s="30" t="s">
        <v>148</v>
      </c>
      <c r="G1400" s="365">
        <v>8</v>
      </c>
      <c r="H1400" s="30">
        <v>13</v>
      </c>
      <c r="I1400" s="9" t="s">
        <v>1029</v>
      </c>
      <c r="J1400" s="9" t="s">
        <v>1030</v>
      </c>
      <c r="K1400" s="30">
        <v>1</v>
      </c>
      <c r="L1400" s="9" t="s">
        <v>1031</v>
      </c>
      <c r="M1400" s="30" t="s">
        <v>84</v>
      </c>
      <c r="N1400" s="30" t="s">
        <v>154</v>
      </c>
      <c r="O1400" s="24">
        <v>0</v>
      </c>
      <c r="P1400" s="24">
        <v>0</v>
      </c>
      <c r="Q1400" s="24">
        <v>0</v>
      </c>
      <c r="R1400" s="24">
        <v>162</v>
      </c>
      <c r="S1400" s="24">
        <v>170</v>
      </c>
      <c r="T1400" s="24">
        <v>332</v>
      </c>
    </row>
    <row r="1401" spans="1:20">
      <c r="A1401" s="9" t="s">
        <v>976</v>
      </c>
      <c r="B1401" s="30" t="s">
        <v>1009</v>
      </c>
      <c r="C1401" s="30" t="str">
        <f>CONCATENATE(VOL_VOLUMEN_SUMINISTROS[[#This Row],[Proyecto]],VOL_VOLUMEN_SUMINISTROS[[#This Row],[J]],VOL_VOLUMEN_SUMINISTROS[[#This Row],[FIN DE SEMANA]])</f>
        <v>1052-1TNO</v>
      </c>
      <c r="D1401" s="365" t="str">
        <f>CONCATENATE(VOL_VOLUMEN_SUMINISTROS[[#This Row],[Grupo]],VOL_VOLUMEN_SUMINISTROS[[#This Row],[Proyecto]],VOL_VOLUMEN_SUMINISTROS[[#This Row],[FIN DE SEMANA]])</f>
        <v>81052-1NO</v>
      </c>
      <c r="E1401" s="30" t="s">
        <v>147</v>
      </c>
      <c r="F1401" s="30" t="s">
        <v>148</v>
      </c>
      <c r="G1401" s="365">
        <v>8</v>
      </c>
      <c r="H1401" s="30">
        <v>13</v>
      </c>
      <c r="I1401" s="9" t="s">
        <v>1029</v>
      </c>
      <c r="J1401" s="9" t="s">
        <v>1030</v>
      </c>
      <c r="K1401" s="30">
        <v>1</v>
      </c>
      <c r="L1401" s="9" t="s">
        <v>1031</v>
      </c>
      <c r="M1401" s="30" t="s">
        <v>84</v>
      </c>
      <c r="N1401" s="30" t="s">
        <v>155</v>
      </c>
      <c r="O1401" s="24">
        <v>0</v>
      </c>
      <c r="P1401" s="24">
        <v>144</v>
      </c>
      <c r="Q1401" s="24">
        <v>318</v>
      </c>
      <c r="R1401" s="24">
        <v>0</v>
      </c>
      <c r="S1401" s="24">
        <v>0</v>
      </c>
      <c r="T1401" s="24">
        <v>462</v>
      </c>
    </row>
    <row r="1402" spans="1:20">
      <c r="A1402" s="9" t="s">
        <v>976</v>
      </c>
      <c r="B1402" s="30" t="s">
        <v>1009</v>
      </c>
      <c r="C1402" s="30" t="str">
        <f>CONCATENATE(VOL_VOLUMEN_SUMINISTROS[[#This Row],[Proyecto]],VOL_VOLUMEN_SUMINISTROS[[#This Row],[J]],VOL_VOLUMEN_SUMINISTROS[[#This Row],[FIN DE SEMANA]])</f>
        <v>1052-1MNO</v>
      </c>
      <c r="D1402" s="365" t="str">
        <f>CONCATENATE(VOL_VOLUMEN_SUMINISTROS[[#This Row],[Grupo]],VOL_VOLUMEN_SUMINISTROS[[#This Row],[Proyecto]],VOL_VOLUMEN_SUMINISTROS[[#This Row],[FIN DE SEMANA]])</f>
        <v>81052-1NO</v>
      </c>
      <c r="E1402" s="30" t="s">
        <v>147</v>
      </c>
      <c r="F1402" s="30" t="s">
        <v>148</v>
      </c>
      <c r="G1402" s="365">
        <v>8</v>
      </c>
      <c r="H1402" s="30">
        <v>13</v>
      </c>
      <c r="I1402" s="9" t="s">
        <v>1029</v>
      </c>
      <c r="J1402" s="9" t="s">
        <v>1030</v>
      </c>
      <c r="K1402" s="30">
        <v>2</v>
      </c>
      <c r="L1402" s="9" t="s">
        <v>1032</v>
      </c>
      <c r="M1402" s="30" t="s">
        <v>84</v>
      </c>
      <c r="N1402" s="30" t="s">
        <v>152</v>
      </c>
      <c r="O1402" s="24">
        <v>261</v>
      </c>
      <c r="P1402" s="24">
        <v>145</v>
      </c>
      <c r="Q1402" s="24">
        <v>23</v>
      </c>
      <c r="R1402" s="24">
        <v>0</v>
      </c>
      <c r="S1402" s="24">
        <v>0</v>
      </c>
      <c r="T1402" s="24">
        <v>429</v>
      </c>
    </row>
    <row r="1403" spans="1:20">
      <c r="A1403" s="9" t="s">
        <v>976</v>
      </c>
      <c r="B1403" s="30" t="s">
        <v>1009</v>
      </c>
      <c r="C1403" s="30" t="str">
        <f>CONCATENATE(VOL_VOLUMEN_SUMINISTROS[[#This Row],[Proyecto]],VOL_VOLUMEN_SUMINISTROS[[#This Row],[J]],VOL_VOLUMEN_SUMINISTROS[[#This Row],[FIN DE SEMANA]])</f>
        <v>1052-1TNO</v>
      </c>
      <c r="D1403" s="365" t="str">
        <f>CONCATENATE(VOL_VOLUMEN_SUMINISTROS[[#This Row],[Grupo]],VOL_VOLUMEN_SUMINISTROS[[#This Row],[Proyecto]],VOL_VOLUMEN_SUMINISTROS[[#This Row],[FIN DE SEMANA]])</f>
        <v>81052-1NO</v>
      </c>
      <c r="E1403" s="30" t="s">
        <v>147</v>
      </c>
      <c r="F1403" s="30" t="s">
        <v>148</v>
      </c>
      <c r="G1403" s="365">
        <v>8</v>
      </c>
      <c r="H1403" s="30">
        <v>13</v>
      </c>
      <c r="I1403" s="9" t="s">
        <v>1029</v>
      </c>
      <c r="J1403" s="9" t="s">
        <v>1030</v>
      </c>
      <c r="K1403" s="30">
        <v>2</v>
      </c>
      <c r="L1403" s="9" t="s">
        <v>1032</v>
      </c>
      <c r="M1403" s="30" t="s">
        <v>84</v>
      </c>
      <c r="N1403" s="30" t="s">
        <v>155</v>
      </c>
      <c r="O1403" s="24">
        <v>205</v>
      </c>
      <c r="P1403" s="24">
        <v>105</v>
      </c>
      <c r="Q1403" s="24">
        <v>16</v>
      </c>
      <c r="R1403" s="24">
        <v>0</v>
      </c>
      <c r="S1403" s="24">
        <v>0</v>
      </c>
      <c r="T1403" s="24">
        <v>326</v>
      </c>
    </row>
    <row r="1404" spans="1:20">
      <c r="A1404" s="9" t="s">
        <v>976</v>
      </c>
      <c r="B1404" s="30" t="s">
        <v>1009</v>
      </c>
      <c r="C1404" s="30" t="str">
        <f>CONCATENATE(VOL_VOLUMEN_SUMINISTROS[[#This Row],[Proyecto]],VOL_VOLUMEN_SUMINISTROS[[#This Row],[J]],VOL_VOLUMEN_SUMINISTROS[[#This Row],[FIN DE SEMANA]])</f>
        <v>1052-1MNO</v>
      </c>
      <c r="D1404" s="365" t="str">
        <f>CONCATENATE(VOL_VOLUMEN_SUMINISTROS[[#This Row],[Grupo]],VOL_VOLUMEN_SUMINISTROS[[#This Row],[Proyecto]],VOL_VOLUMEN_SUMINISTROS[[#This Row],[FIN DE SEMANA]])</f>
        <v>81052-1NO</v>
      </c>
      <c r="E1404" s="30" t="s">
        <v>147</v>
      </c>
      <c r="F1404" s="30" t="s">
        <v>148</v>
      </c>
      <c r="G1404" s="365">
        <v>8</v>
      </c>
      <c r="H1404" s="30">
        <v>2</v>
      </c>
      <c r="I1404" s="9" t="s">
        <v>1033</v>
      </c>
      <c r="J1404" s="9" t="s">
        <v>1034</v>
      </c>
      <c r="K1404" s="30">
        <v>2</v>
      </c>
      <c r="L1404" s="9" t="s">
        <v>1035</v>
      </c>
      <c r="M1404" s="30" t="s">
        <v>84</v>
      </c>
      <c r="N1404" s="30" t="s">
        <v>152</v>
      </c>
      <c r="O1404" s="24">
        <v>121</v>
      </c>
      <c r="P1404" s="24">
        <v>121</v>
      </c>
      <c r="Q1404" s="24">
        <v>24</v>
      </c>
      <c r="R1404" s="24">
        <v>0</v>
      </c>
      <c r="S1404" s="24">
        <v>0</v>
      </c>
      <c r="T1404" s="24">
        <v>266</v>
      </c>
    </row>
    <row r="1405" spans="1:20">
      <c r="A1405" s="9" t="s">
        <v>976</v>
      </c>
      <c r="B1405" s="30" t="s">
        <v>1009</v>
      </c>
      <c r="C1405" s="30" t="str">
        <f>CONCATENATE(VOL_VOLUMEN_SUMINISTROS[[#This Row],[Proyecto]],VOL_VOLUMEN_SUMINISTROS[[#This Row],[J]],VOL_VOLUMEN_SUMINISTROS[[#This Row],[FIN DE SEMANA]])</f>
        <v>1052-1MNO</v>
      </c>
      <c r="D1405" s="365" t="str">
        <f>CONCATENATE(VOL_VOLUMEN_SUMINISTROS[[#This Row],[Grupo]],VOL_VOLUMEN_SUMINISTROS[[#This Row],[Proyecto]],VOL_VOLUMEN_SUMINISTROS[[#This Row],[FIN DE SEMANA]])</f>
        <v>81052-1NO</v>
      </c>
      <c r="E1405" s="30" t="s">
        <v>147</v>
      </c>
      <c r="F1405" s="30" t="s">
        <v>148</v>
      </c>
      <c r="G1405" s="365">
        <v>8</v>
      </c>
      <c r="H1405" s="30">
        <v>2</v>
      </c>
      <c r="I1405" s="9" t="s">
        <v>1033</v>
      </c>
      <c r="J1405" s="9" t="s">
        <v>1034</v>
      </c>
      <c r="K1405" s="30">
        <v>3</v>
      </c>
      <c r="L1405" s="9" t="s">
        <v>1036</v>
      </c>
      <c r="M1405" s="30" t="s">
        <v>84</v>
      </c>
      <c r="N1405" s="30" t="s">
        <v>152</v>
      </c>
      <c r="O1405" s="24">
        <v>81</v>
      </c>
      <c r="P1405" s="24">
        <v>67</v>
      </c>
      <c r="Q1405" s="24">
        <v>13</v>
      </c>
      <c r="R1405" s="24">
        <v>0</v>
      </c>
      <c r="S1405" s="24">
        <v>0</v>
      </c>
      <c r="T1405" s="24">
        <v>161</v>
      </c>
    </row>
    <row r="1406" spans="1:20">
      <c r="A1406" s="9" t="s">
        <v>976</v>
      </c>
      <c r="B1406" s="30" t="s">
        <v>1009</v>
      </c>
      <c r="C1406" s="30" t="str">
        <f>CONCATENATE(VOL_VOLUMEN_SUMINISTROS[[#This Row],[Proyecto]],VOL_VOLUMEN_SUMINISTROS[[#This Row],[J]],VOL_VOLUMEN_SUMINISTROS[[#This Row],[FIN DE SEMANA]])</f>
        <v>1052-1MNO</v>
      </c>
      <c r="D1406" s="365" t="str">
        <f>CONCATENATE(VOL_VOLUMEN_SUMINISTROS[[#This Row],[Grupo]],VOL_VOLUMEN_SUMINISTROS[[#This Row],[Proyecto]],VOL_VOLUMEN_SUMINISTROS[[#This Row],[FIN DE SEMANA]])</f>
        <v>81052-1NO</v>
      </c>
      <c r="E1406" s="30" t="s">
        <v>147</v>
      </c>
      <c r="F1406" s="30" t="s">
        <v>148</v>
      </c>
      <c r="G1406" s="365">
        <v>8</v>
      </c>
      <c r="H1406" s="30">
        <v>2</v>
      </c>
      <c r="I1406" s="9" t="s">
        <v>1033</v>
      </c>
      <c r="J1406" s="9" t="s">
        <v>1037</v>
      </c>
      <c r="K1406" s="30">
        <v>1</v>
      </c>
      <c r="L1406" s="9" t="s">
        <v>1038</v>
      </c>
      <c r="M1406" s="30" t="s">
        <v>84</v>
      </c>
      <c r="N1406" s="30" t="s">
        <v>152</v>
      </c>
      <c r="O1406" s="24">
        <v>30</v>
      </c>
      <c r="P1406" s="24">
        <v>66</v>
      </c>
      <c r="Q1406" s="24">
        <v>17</v>
      </c>
      <c r="R1406" s="24">
        <v>0</v>
      </c>
      <c r="S1406" s="24">
        <v>0</v>
      </c>
      <c r="T1406" s="24">
        <v>113</v>
      </c>
    </row>
    <row r="1407" spans="1:20">
      <c r="A1407" s="9" t="s">
        <v>976</v>
      </c>
      <c r="B1407" s="30" t="s">
        <v>1009</v>
      </c>
      <c r="C1407" s="30" t="str">
        <f>CONCATENATE(VOL_VOLUMEN_SUMINISTROS[[#This Row],[Proyecto]],VOL_VOLUMEN_SUMINISTROS[[#This Row],[J]],VOL_VOLUMEN_SUMINISTROS[[#This Row],[FIN DE SEMANA]])</f>
        <v>1052-1TNO</v>
      </c>
      <c r="D1407" s="365" t="str">
        <f>CONCATENATE(VOL_VOLUMEN_SUMINISTROS[[#This Row],[Grupo]],VOL_VOLUMEN_SUMINISTROS[[#This Row],[Proyecto]],VOL_VOLUMEN_SUMINISTROS[[#This Row],[FIN DE SEMANA]])</f>
        <v>81052-1NO</v>
      </c>
      <c r="E1407" s="30" t="s">
        <v>147</v>
      </c>
      <c r="F1407" s="30" t="s">
        <v>148</v>
      </c>
      <c r="G1407" s="365">
        <v>8</v>
      </c>
      <c r="H1407" s="30">
        <v>2</v>
      </c>
      <c r="I1407" s="9" t="s">
        <v>1033</v>
      </c>
      <c r="J1407" s="9" t="s">
        <v>1037</v>
      </c>
      <c r="K1407" s="30">
        <v>1</v>
      </c>
      <c r="L1407" s="9" t="s">
        <v>1038</v>
      </c>
      <c r="M1407" s="30" t="s">
        <v>84</v>
      </c>
      <c r="N1407" s="30" t="s">
        <v>155</v>
      </c>
      <c r="O1407" s="24">
        <v>0</v>
      </c>
      <c r="P1407" s="24">
        <v>60</v>
      </c>
      <c r="Q1407" s="24">
        <v>114</v>
      </c>
      <c r="R1407" s="24">
        <v>0</v>
      </c>
      <c r="S1407" s="24">
        <v>0</v>
      </c>
      <c r="T1407" s="24">
        <v>174</v>
      </c>
    </row>
    <row r="1408" spans="1:20">
      <c r="A1408" s="9" t="s">
        <v>976</v>
      </c>
      <c r="B1408" s="30" t="s">
        <v>1009</v>
      </c>
      <c r="C1408" s="30" t="str">
        <f>CONCATENATE(VOL_VOLUMEN_SUMINISTROS[[#This Row],[Proyecto]],VOL_VOLUMEN_SUMINISTROS[[#This Row],[J]],VOL_VOLUMEN_SUMINISTROS[[#This Row],[FIN DE SEMANA]])</f>
        <v>1052-1MNO</v>
      </c>
      <c r="D1408" s="365" t="str">
        <f>CONCATENATE(VOL_VOLUMEN_SUMINISTROS[[#This Row],[Grupo]],VOL_VOLUMEN_SUMINISTROS[[#This Row],[Proyecto]],VOL_VOLUMEN_SUMINISTROS[[#This Row],[FIN DE SEMANA]])</f>
        <v>81052-1NO</v>
      </c>
      <c r="E1408" s="30" t="s">
        <v>147</v>
      </c>
      <c r="F1408" s="30" t="s">
        <v>148</v>
      </c>
      <c r="G1408" s="365">
        <v>8</v>
      </c>
      <c r="H1408" s="30">
        <v>2</v>
      </c>
      <c r="I1408" s="9" t="s">
        <v>1033</v>
      </c>
      <c r="J1408" s="9" t="s">
        <v>1037</v>
      </c>
      <c r="K1408" s="30">
        <v>2</v>
      </c>
      <c r="L1408" s="9" t="s">
        <v>1039</v>
      </c>
      <c r="M1408" s="30" t="s">
        <v>84</v>
      </c>
      <c r="N1408" s="30" t="s">
        <v>152</v>
      </c>
      <c r="O1408" s="24">
        <v>100</v>
      </c>
      <c r="P1408" s="24">
        <v>34</v>
      </c>
      <c r="Q1408" s="24">
        <v>0</v>
      </c>
      <c r="R1408" s="24">
        <v>0</v>
      </c>
      <c r="S1408" s="24">
        <v>0</v>
      </c>
      <c r="T1408" s="24">
        <v>134</v>
      </c>
    </row>
    <row r="1409" spans="1:20">
      <c r="A1409" s="9" t="s">
        <v>976</v>
      </c>
      <c r="B1409" s="30" t="s">
        <v>1009</v>
      </c>
      <c r="C1409" s="30" t="str">
        <f>CONCATENATE(VOL_VOLUMEN_SUMINISTROS[[#This Row],[Proyecto]],VOL_VOLUMEN_SUMINISTROS[[#This Row],[J]],VOL_VOLUMEN_SUMINISTROS[[#This Row],[FIN DE SEMANA]])</f>
        <v>1052-1TNO</v>
      </c>
      <c r="D1409" s="365" t="str">
        <f>CONCATENATE(VOL_VOLUMEN_SUMINISTROS[[#This Row],[Grupo]],VOL_VOLUMEN_SUMINISTROS[[#This Row],[Proyecto]],VOL_VOLUMEN_SUMINISTROS[[#This Row],[FIN DE SEMANA]])</f>
        <v>81052-1NO</v>
      </c>
      <c r="E1409" s="30" t="s">
        <v>147</v>
      </c>
      <c r="F1409" s="30" t="s">
        <v>148</v>
      </c>
      <c r="G1409" s="365">
        <v>8</v>
      </c>
      <c r="H1409" s="30">
        <v>2</v>
      </c>
      <c r="I1409" s="9" t="s">
        <v>1033</v>
      </c>
      <c r="J1409" s="9" t="s">
        <v>1037</v>
      </c>
      <c r="K1409" s="30">
        <v>2</v>
      </c>
      <c r="L1409" s="9" t="s">
        <v>533</v>
      </c>
      <c r="M1409" s="30" t="s">
        <v>84</v>
      </c>
      <c r="N1409" s="30" t="s">
        <v>155</v>
      </c>
      <c r="O1409" s="24">
        <v>0</v>
      </c>
      <c r="P1409" s="24">
        <v>21</v>
      </c>
      <c r="Q1409" s="24">
        <v>39</v>
      </c>
      <c r="R1409" s="24">
        <v>0</v>
      </c>
      <c r="S1409" s="24">
        <v>0</v>
      </c>
      <c r="T1409" s="24">
        <v>60</v>
      </c>
    </row>
    <row r="1410" spans="1:20">
      <c r="A1410" s="9" t="s">
        <v>976</v>
      </c>
      <c r="B1410" s="30" t="s">
        <v>1009</v>
      </c>
      <c r="C1410" s="30" t="str">
        <f>CONCATENATE(VOL_VOLUMEN_SUMINISTROS[[#This Row],[Proyecto]],VOL_VOLUMEN_SUMINISTROS[[#This Row],[J]],VOL_VOLUMEN_SUMINISTROS[[#This Row],[FIN DE SEMANA]])</f>
        <v>1052-1MNO</v>
      </c>
      <c r="D1410" s="365" t="str">
        <f>CONCATENATE(VOL_VOLUMEN_SUMINISTROS[[#This Row],[Grupo]],VOL_VOLUMEN_SUMINISTROS[[#This Row],[Proyecto]],VOL_VOLUMEN_SUMINISTROS[[#This Row],[FIN DE SEMANA]])</f>
        <v>81052-1NO</v>
      </c>
      <c r="E1410" s="30" t="s">
        <v>147</v>
      </c>
      <c r="F1410" s="30" t="s">
        <v>148</v>
      </c>
      <c r="G1410" s="365">
        <v>8</v>
      </c>
      <c r="H1410" s="30">
        <v>2</v>
      </c>
      <c r="I1410" s="9" t="s">
        <v>1033</v>
      </c>
      <c r="J1410" s="9" t="s">
        <v>1040</v>
      </c>
      <c r="K1410" s="30">
        <v>1</v>
      </c>
      <c r="L1410" s="9" t="s">
        <v>1041</v>
      </c>
      <c r="M1410" s="30" t="s">
        <v>84</v>
      </c>
      <c r="N1410" s="30" t="s">
        <v>152</v>
      </c>
      <c r="O1410" s="24">
        <v>130</v>
      </c>
      <c r="P1410" s="24">
        <v>311</v>
      </c>
      <c r="Q1410" s="24">
        <v>336</v>
      </c>
      <c r="R1410" s="24">
        <v>0</v>
      </c>
      <c r="S1410" s="24">
        <v>0</v>
      </c>
      <c r="T1410" s="24">
        <v>777</v>
      </c>
    </row>
    <row r="1411" spans="1:20">
      <c r="A1411" s="9" t="s">
        <v>976</v>
      </c>
      <c r="B1411" s="30" t="s">
        <v>1009</v>
      </c>
      <c r="C1411" s="30" t="str">
        <f>CONCATENATE(VOL_VOLUMEN_SUMINISTROS[[#This Row],[Proyecto]],VOL_VOLUMEN_SUMINISTROS[[#This Row],[J]],VOL_VOLUMEN_SUMINISTROS[[#This Row],[FIN DE SEMANA]])</f>
        <v>1052-1NNO</v>
      </c>
      <c r="D1411" s="365" t="str">
        <f>CONCATENATE(VOL_VOLUMEN_SUMINISTROS[[#This Row],[Grupo]],VOL_VOLUMEN_SUMINISTROS[[#This Row],[Proyecto]],VOL_VOLUMEN_SUMINISTROS[[#This Row],[FIN DE SEMANA]])</f>
        <v>81052-1NO</v>
      </c>
      <c r="E1411" s="30" t="s">
        <v>147</v>
      </c>
      <c r="F1411" s="30" t="s">
        <v>148</v>
      </c>
      <c r="G1411" s="365">
        <v>8</v>
      </c>
      <c r="H1411" s="30">
        <v>2</v>
      </c>
      <c r="I1411" s="9" t="s">
        <v>1033</v>
      </c>
      <c r="J1411" s="9" t="s">
        <v>1040</v>
      </c>
      <c r="K1411" s="30">
        <v>1</v>
      </c>
      <c r="L1411" s="9" t="s">
        <v>1041</v>
      </c>
      <c r="M1411" s="30" t="s">
        <v>84</v>
      </c>
      <c r="N1411" s="30" t="s">
        <v>154</v>
      </c>
      <c r="O1411" s="24">
        <v>0</v>
      </c>
      <c r="P1411" s="24">
        <v>0</v>
      </c>
      <c r="Q1411" s="24">
        <v>0</v>
      </c>
      <c r="R1411" s="24">
        <v>73</v>
      </c>
      <c r="S1411" s="24">
        <v>73</v>
      </c>
      <c r="T1411" s="24">
        <v>146</v>
      </c>
    </row>
    <row r="1412" spans="1:20">
      <c r="A1412" s="9" t="s">
        <v>976</v>
      </c>
      <c r="B1412" s="30" t="s">
        <v>1009</v>
      </c>
      <c r="C1412" s="30" t="str">
        <f>CONCATENATE(VOL_VOLUMEN_SUMINISTROS[[#This Row],[Proyecto]],VOL_VOLUMEN_SUMINISTROS[[#This Row],[J]],VOL_VOLUMEN_SUMINISTROS[[#This Row],[FIN DE SEMANA]])</f>
        <v>1052-1TNO</v>
      </c>
      <c r="D1412" s="365" t="str">
        <f>CONCATENATE(VOL_VOLUMEN_SUMINISTROS[[#This Row],[Grupo]],VOL_VOLUMEN_SUMINISTROS[[#This Row],[Proyecto]],VOL_VOLUMEN_SUMINISTROS[[#This Row],[FIN DE SEMANA]])</f>
        <v>81052-1NO</v>
      </c>
      <c r="E1412" s="30" t="s">
        <v>147</v>
      </c>
      <c r="F1412" s="30" t="s">
        <v>148</v>
      </c>
      <c r="G1412" s="365">
        <v>8</v>
      </c>
      <c r="H1412" s="30">
        <v>2</v>
      </c>
      <c r="I1412" s="9" t="s">
        <v>1033</v>
      </c>
      <c r="J1412" s="9" t="s">
        <v>1040</v>
      </c>
      <c r="K1412" s="30">
        <v>1</v>
      </c>
      <c r="L1412" s="9" t="s">
        <v>1041</v>
      </c>
      <c r="M1412" s="30" t="s">
        <v>84</v>
      </c>
      <c r="N1412" s="30" t="s">
        <v>155</v>
      </c>
      <c r="O1412" s="24">
        <v>108</v>
      </c>
      <c r="P1412" s="24">
        <v>294</v>
      </c>
      <c r="Q1412" s="24">
        <v>336</v>
      </c>
      <c r="R1412" s="24">
        <v>0</v>
      </c>
      <c r="S1412" s="24">
        <v>0</v>
      </c>
      <c r="T1412" s="24">
        <v>738</v>
      </c>
    </row>
    <row r="1413" spans="1:20">
      <c r="A1413" s="9" t="s">
        <v>976</v>
      </c>
      <c r="B1413" s="30" t="s">
        <v>1009</v>
      </c>
      <c r="C1413" s="30" t="str">
        <f>CONCATENATE(VOL_VOLUMEN_SUMINISTROS[[#This Row],[Proyecto]],VOL_VOLUMEN_SUMINISTROS[[#This Row],[J]],VOL_VOLUMEN_SUMINISTROS[[#This Row],[FIN DE SEMANA]])</f>
        <v>1052-1MNO</v>
      </c>
      <c r="D1413" s="365" t="str">
        <f>CONCATENATE(VOL_VOLUMEN_SUMINISTROS[[#This Row],[Grupo]],VOL_VOLUMEN_SUMINISTROS[[#This Row],[Proyecto]],VOL_VOLUMEN_SUMINISTROS[[#This Row],[FIN DE SEMANA]])</f>
        <v>81052-1NO</v>
      </c>
      <c r="E1413" s="30" t="s">
        <v>147</v>
      </c>
      <c r="F1413" s="30" t="s">
        <v>148</v>
      </c>
      <c r="G1413" s="365">
        <v>8</v>
      </c>
      <c r="H1413" s="30">
        <v>2</v>
      </c>
      <c r="I1413" s="9" t="s">
        <v>1033</v>
      </c>
      <c r="J1413" s="9" t="s">
        <v>1040</v>
      </c>
      <c r="K1413" s="30">
        <v>2</v>
      </c>
      <c r="L1413" s="9" t="s">
        <v>1042</v>
      </c>
      <c r="M1413" s="30" t="s">
        <v>84</v>
      </c>
      <c r="N1413" s="30" t="s">
        <v>152</v>
      </c>
      <c r="O1413" s="24">
        <v>176</v>
      </c>
      <c r="P1413" s="24">
        <v>0</v>
      </c>
      <c r="Q1413" s="24">
        <v>0</v>
      </c>
      <c r="R1413" s="24">
        <v>0</v>
      </c>
      <c r="S1413" s="24">
        <v>0</v>
      </c>
      <c r="T1413" s="24">
        <v>176</v>
      </c>
    </row>
    <row r="1414" spans="1:20">
      <c r="A1414" s="9" t="s">
        <v>976</v>
      </c>
      <c r="B1414" s="30" t="s">
        <v>1043</v>
      </c>
      <c r="C1414" s="30" t="str">
        <f>CONCATENATE(VOL_VOLUMEN_SUMINISTROS[[#This Row],[Proyecto]],VOL_VOLUMEN_SUMINISTROS[[#This Row],[J]],VOL_VOLUMEN_SUMINISTROS[[#This Row],[FIN DE SEMANA]])</f>
        <v>1052-2MNO</v>
      </c>
      <c r="D1414" s="365" t="str">
        <f>CONCATENATE(VOL_VOLUMEN_SUMINISTROS[[#This Row],[Grupo]],VOL_VOLUMEN_SUMINISTROS[[#This Row],[Proyecto]],VOL_VOLUMEN_SUMINISTROS[[#This Row],[FIN DE SEMANA]])</f>
        <v>81052-2NO</v>
      </c>
      <c r="E1414" s="30" t="s">
        <v>183</v>
      </c>
      <c r="F1414" s="30" t="s">
        <v>148</v>
      </c>
      <c r="G1414" s="365">
        <v>8</v>
      </c>
      <c r="H1414" s="30">
        <v>12</v>
      </c>
      <c r="I1414" s="9" t="s">
        <v>768</v>
      </c>
      <c r="J1414" s="9" t="s">
        <v>1016</v>
      </c>
      <c r="K1414" s="30">
        <v>1</v>
      </c>
      <c r="L1414" s="9" t="s">
        <v>153</v>
      </c>
      <c r="M1414" s="30" t="s">
        <v>84</v>
      </c>
      <c r="N1414" s="30" t="s">
        <v>152</v>
      </c>
      <c r="O1414" s="24">
        <v>2</v>
      </c>
      <c r="P1414" s="24">
        <v>22</v>
      </c>
      <c r="Q1414" s="24">
        <v>29</v>
      </c>
      <c r="R1414" s="24">
        <v>0</v>
      </c>
      <c r="S1414" s="24">
        <v>0</v>
      </c>
      <c r="T1414" s="24">
        <v>53</v>
      </c>
    </row>
    <row r="1415" spans="1:20">
      <c r="A1415" s="9" t="s">
        <v>976</v>
      </c>
      <c r="B1415" s="30" t="s">
        <v>1043</v>
      </c>
      <c r="C1415" s="30" t="str">
        <f>CONCATENATE(VOL_VOLUMEN_SUMINISTROS[[#This Row],[Proyecto]],VOL_VOLUMEN_SUMINISTROS[[#This Row],[J]],VOL_VOLUMEN_SUMINISTROS[[#This Row],[FIN DE SEMANA]])</f>
        <v>1052-2TNO</v>
      </c>
      <c r="D1415" s="365" t="str">
        <f>CONCATENATE(VOL_VOLUMEN_SUMINISTROS[[#This Row],[Grupo]],VOL_VOLUMEN_SUMINISTROS[[#This Row],[Proyecto]],VOL_VOLUMEN_SUMINISTROS[[#This Row],[FIN DE SEMANA]])</f>
        <v>81052-2NO</v>
      </c>
      <c r="E1415" s="30" t="s">
        <v>183</v>
      </c>
      <c r="F1415" s="30" t="s">
        <v>148</v>
      </c>
      <c r="G1415" s="365">
        <v>8</v>
      </c>
      <c r="H1415" s="30">
        <v>12</v>
      </c>
      <c r="I1415" s="9" t="s">
        <v>768</v>
      </c>
      <c r="J1415" s="9" t="s">
        <v>1016</v>
      </c>
      <c r="K1415" s="30">
        <v>1</v>
      </c>
      <c r="L1415" s="9" t="s">
        <v>153</v>
      </c>
      <c r="M1415" s="30" t="s">
        <v>84</v>
      </c>
      <c r="N1415" s="30" t="s">
        <v>155</v>
      </c>
      <c r="O1415" s="24">
        <v>12</v>
      </c>
      <c r="P1415" s="24">
        <v>33</v>
      </c>
      <c r="Q1415" s="24">
        <v>39</v>
      </c>
      <c r="R1415" s="24">
        <v>0</v>
      </c>
      <c r="S1415" s="24">
        <v>0</v>
      </c>
      <c r="T1415" s="24">
        <v>84</v>
      </c>
    </row>
    <row r="1416" spans="1:20">
      <c r="A1416" s="9" t="s">
        <v>976</v>
      </c>
      <c r="B1416" s="30" t="s">
        <v>1043</v>
      </c>
      <c r="C1416" s="30" t="str">
        <f>CONCATENATE(VOL_VOLUMEN_SUMINISTROS[[#This Row],[Proyecto]],VOL_VOLUMEN_SUMINISTROS[[#This Row],[J]],VOL_VOLUMEN_SUMINISTROS[[#This Row],[FIN DE SEMANA]])</f>
        <v>1052-2MNO</v>
      </c>
      <c r="D1416" s="365" t="str">
        <f>CONCATENATE(VOL_VOLUMEN_SUMINISTROS[[#This Row],[Grupo]],VOL_VOLUMEN_SUMINISTROS[[#This Row],[Proyecto]],VOL_VOLUMEN_SUMINISTROS[[#This Row],[FIN DE SEMANA]])</f>
        <v>81052-2NO</v>
      </c>
      <c r="E1416" s="30" t="s">
        <v>183</v>
      </c>
      <c r="F1416" s="30" t="s">
        <v>148</v>
      </c>
      <c r="G1416" s="365">
        <v>8</v>
      </c>
      <c r="H1416" s="30">
        <v>12</v>
      </c>
      <c r="I1416" s="9" t="s">
        <v>768</v>
      </c>
      <c r="J1416" s="9" t="s">
        <v>1016</v>
      </c>
      <c r="K1416" s="30">
        <v>2</v>
      </c>
      <c r="L1416" s="9" t="s">
        <v>1017</v>
      </c>
      <c r="M1416" s="30" t="s">
        <v>84</v>
      </c>
      <c r="N1416" s="30" t="s">
        <v>152</v>
      </c>
      <c r="O1416" s="24">
        <v>8</v>
      </c>
      <c r="P1416" s="24">
        <v>10</v>
      </c>
      <c r="Q1416" s="24">
        <v>2</v>
      </c>
      <c r="R1416" s="24">
        <v>0</v>
      </c>
      <c r="S1416" s="24">
        <v>0</v>
      </c>
      <c r="T1416" s="24">
        <v>20</v>
      </c>
    </row>
    <row r="1417" spans="1:20">
      <c r="A1417" s="9" t="s">
        <v>976</v>
      </c>
      <c r="B1417" s="30" t="s">
        <v>1043</v>
      </c>
      <c r="C1417" s="30" t="str">
        <f>CONCATENATE(VOL_VOLUMEN_SUMINISTROS[[#This Row],[Proyecto]],VOL_VOLUMEN_SUMINISTROS[[#This Row],[J]],VOL_VOLUMEN_SUMINISTROS[[#This Row],[FIN DE SEMANA]])</f>
        <v>1052-2M1NO</v>
      </c>
      <c r="D1417" s="365" t="str">
        <f>CONCATENATE(VOL_VOLUMEN_SUMINISTROS[[#This Row],[Grupo]],VOL_VOLUMEN_SUMINISTROS[[#This Row],[Proyecto]],VOL_VOLUMEN_SUMINISTROS[[#This Row],[FIN DE SEMANA]])</f>
        <v>81052-2NO</v>
      </c>
      <c r="E1417" s="30" t="s">
        <v>183</v>
      </c>
      <c r="F1417" s="30" t="s">
        <v>148</v>
      </c>
      <c r="G1417" s="365">
        <v>8</v>
      </c>
      <c r="H1417" s="30">
        <v>12</v>
      </c>
      <c r="I1417" s="9" t="s">
        <v>768</v>
      </c>
      <c r="J1417" s="9" t="s">
        <v>1016</v>
      </c>
      <c r="K1417" s="30">
        <v>2</v>
      </c>
      <c r="L1417" s="9" t="s">
        <v>1017</v>
      </c>
      <c r="M1417" s="30" t="s">
        <v>84</v>
      </c>
      <c r="N1417" s="30" t="s">
        <v>216</v>
      </c>
      <c r="O1417" s="24">
        <v>8</v>
      </c>
      <c r="P1417" s="24">
        <v>16</v>
      </c>
      <c r="Q1417" s="24">
        <v>4</v>
      </c>
      <c r="R1417" s="24">
        <v>0</v>
      </c>
      <c r="S1417" s="24">
        <v>0</v>
      </c>
      <c r="T1417" s="24">
        <v>28</v>
      </c>
    </row>
    <row r="1418" spans="1:20">
      <c r="A1418" s="9" t="s">
        <v>976</v>
      </c>
      <c r="B1418" s="30" t="s">
        <v>1043</v>
      </c>
      <c r="C1418" s="30" t="str">
        <f>CONCATENATE(VOL_VOLUMEN_SUMINISTROS[[#This Row],[Proyecto]],VOL_VOLUMEN_SUMINISTROS[[#This Row],[J]],VOL_VOLUMEN_SUMINISTROS[[#This Row],[FIN DE SEMANA]])</f>
        <v>1052-2M1NO</v>
      </c>
      <c r="D1418" s="365" t="str">
        <f>CONCATENATE(VOL_VOLUMEN_SUMINISTROS[[#This Row],[Grupo]],VOL_VOLUMEN_SUMINISTROS[[#This Row],[Proyecto]],VOL_VOLUMEN_SUMINISTROS[[#This Row],[FIN DE SEMANA]])</f>
        <v>81052-2NO</v>
      </c>
      <c r="E1418" s="30" t="s">
        <v>183</v>
      </c>
      <c r="F1418" s="30" t="s">
        <v>148</v>
      </c>
      <c r="G1418" s="365">
        <v>8</v>
      </c>
      <c r="H1418" s="30">
        <v>12</v>
      </c>
      <c r="I1418" s="9" t="s">
        <v>768</v>
      </c>
      <c r="J1418" s="9" t="s">
        <v>769</v>
      </c>
      <c r="K1418" s="30">
        <v>1</v>
      </c>
      <c r="L1418" s="9" t="s">
        <v>151</v>
      </c>
      <c r="M1418" s="30" t="s">
        <v>84</v>
      </c>
      <c r="N1418" s="30" t="s">
        <v>216</v>
      </c>
      <c r="O1418" s="24">
        <v>0</v>
      </c>
      <c r="P1418" s="24">
        <v>240</v>
      </c>
      <c r="Q1418" s="24">
        <v>838</v>
      </c>
      <c r="R1418" s="24">
        <v>0</v>
      </c>
      <c r="S1418" s="24">
        <v>0</v>
      </c>
      <c r="T1418" s="24">
        <v>1078</v>
      </c>
    </row>
    <row r="1419" spans="1:20">
      <c r="A1419" s="9" t="s">
        <v>976</v>
      </c>
      <c r="B1419" s="30" t="s">
        <v>1043</v>
      </c>
      <c r="C1419" s="30" t="str">
        <f>CONCATENATE(VOL_VOLUMEN_SUMINISTROS[[#This Row],[Proyecto]],VOL_VOLUMEN_SUMINISTROS[[#This Row],[J]],VOL_VOLUMEN_SUMINISTROS[[#This Row],[FIN DE SEMANA]])</f>
        <v>1052-2MNO</v>
      </c>
      <c r="D1419" s="365" t="str">
        <f>CONCATENATE(VOL_VOLUMEN_SUMINISTROS[[#This Row],[Grupo]],VOL_VOLUMEN_SUMINISTROS[[#This Row],[Proyecto]],VOL_VOLUMEN_SUMINISTROS[[#This Row],[FIN DE SEMANA]])</f>
        <v>81052-2NO</v>
      </c>
      <c r="E1419" s="30" t="s">
        <v>183</v>
      </c>
      <c r="F1419" s="30" t="s">
        <v>148</v>
      </c>
      <c r="G1419" s="365">
        <v>8</v>
      </c>
      <c r="H1419" s="30">
        <v>12</v>
      </c>
      <c r="I1419" s="9" t="s">
        <v>768</v>
      </c>
      <c r="J1419" s="9" t="s">
        <v>769</v>
      </c>
      <c r="K1419" s="30">
        <v>2</v>
      </c>
      <c r="L1419" s="9" t="s">
        <v>770</v>
      </c>
      <c r="M1419" s="30" t="s">
        <v>84</v>
      </c>
      <c r="N1419" s="30" t="s">
        <v>152</v>
      </c>
      <c r="O1419" s="24">
        <v>278</v>
      </c>
      <c r="P1419" s="24">
        <v>358</v>
      </c>
      <c r="Q1419" s="24">
        <v>73</v>
      </c>
      <c r="R1419" s="24">
        <v>0</v>
      </c>
      <c r="S1419" s="24">
        <v>0</v>
      </c>
      <c r="T1419" s="24">
        <v>709</v>
      </c>
    </row>
    <row r="1420" spans="1:20">
      <c r="A1420" s="9" t="s">
        <v>976</v>
      </c>
      <c r="B1420" s="30" t="s">
        <v>1043</v>
      </c>
      <c r="C1420" s="30" t="str">
        <f>CONCATENATE(VOL_VOLUMEN_SUMINISTROS[[#This Row],[Proyecto]],VOL_VOLUMEN_SUMINISTROS[[#This Row],[J]],VOL_VOLUMEN_SUMINISTROS[[#This Row],[FIN DE SEMANA]])</f>
        <v>1052-2TNO</v>
      </c>
      <c r="D1420" s="365" t="str">
        <f>CONCATENATE(VOL_VOLUMEN_SUMINISTROS[[#This Row],[Grupo]],VOL_VOLUMEN_SUMINISTROS[[#This Row],[Proyecto]],VOL_VOLUMEN_SUMINISTROS[[#This Row],[FIN DE SEMANA]])</f>
        <v>81052-2NO</v>
      </c>
      <c r="E1420" s="30" t="s">
        <v>183</v>
      </c>
      <c r="F1420" s="30" t="s">
        <v>148</v>
      </c>
      <c r="G1420" s="365">
        <v>8</v>
      </c>
      <c r="H1420" s="30">
        <v>12</v>
      </c>
      <c r="I1420" s="9" t="s">
        <v>768</v>
      </c>
      <c r="J1420" s="9" t="s">
        <v>1019</v>
      </c>
      <c r="K1420" s="30">
        <v>1</v>
      </c>
      <c r="L1420" s="9" t="s">
        <v>1020</v>
      </c>
      <c r="M1420" s="30" t="s">
        <v>84</v>
      </c>
      <c r="N1420" s="30" t="s">
        <v>155</v>
      </c>
      <c r="O1420" s="24">
        <v>0</v>
      </c>
      <c r="P1420" s="24">
        <v>177</v>
      </c>
      <c r="Q1420" s="24">
        <v>194</v>
      </c>
      <c r="R1420" s="24">
        <v>0</v>
      </c>
      <c r="S1420" s="24">
        <v>0</v>
      </c>
      <c r="T1420" s="24">
        <v>371</v>
      </c>
    </row>
    <row r="1421" spans="1:20">
      <c r="A1421" s="9" t="s">
        <v>976</v>
      </c>
      <c r="B1421" s="30" t="s">
        <v>1043</v>
      </c>
      <c r="C1421" s="30" t="str">
        <f>CONCATENATE(VOL_VOLUMEN_SUMINISTROS[[#This Row],[Proyecto]],VOL_VOLUMEN_SUMINISTROS[[#This Row],[J]],VOL_VOLUMEN_SUMINISTROS[[#This Row],[FIN DE SEMANA]])</f>
        <v>1052-2TNO</v>
      </c>
      <c r="D1421" s="365" t="str">
        <f>CONCATENATE(VOL_VOLUMEN_SUMINISTROS[[#This Row],[Grupo]],VOL_VOLUMEN_SUMINISTROS[[#This Row],[Proyecto]],VOL_VOLUMEN_SUMINISTROS[[#This Row],[FIN DE SEMANA]])</f>
        <v>81052-2NO</v>
      </c>
      <c r="E1421" s="30" t="s">
        <v>183</v>
      </c>
      <c r="F1421" s="30" t="s">
        <v>148</v>
      </c>
      <c r="G1421" s="365">
        <v>8</v>
      </c>
      <c r="H1421" s="30">
        <v>12</v>
      </c>
      <c r="I1421" s="9" t="s">
        <v>768</v>
      </c>
      <c r="J1421" s="9" t="s">
        <v>1019</v>
      </c>
      <c r="K1421" s="30">
        <v>3</v>
      </c>
      <c r="L1421" s="9" t="s">
        <v>458</v>
      </c>
      <c r="M1421" s="30" t="s">
        <v>84</v>
      </c>
      <c r="N1421" s="30" t="s">
        <v>155</v>
      </c>
      <c r="O1421" s="24">
        <v>128</v>
      </c>
      <c r="P1421" s="24">
        <v>85</v>
      </c>
      <c r="Q1421" s="24">
        <v>7</v>
      </c>
      <c r="R1421" s="24">
        <v>0</v>
      </c>
      <c r="S1421" s="24">
        <v>0</v>
      </c>
      <c r="T1421" s="24">
        <v>220</v>
      </c>
    </row>
    <row r="1422" spans="1:20">
      <c r="A1422" s="9" t="s">
        <v>976</v>
      </c>
      <c r="B1422" s="30" t="s">
        <v>1043</v>
      </c>
      <c r="C1422" s="30" t="str">
        <f>CONCATENATE(VOL_VOLUMEN_SUMINISTROS[[#This Row],[Proyecto]],VOL_VOLUMEN_SUMINISTROS[[#This Row],[J]],VOL_VOLUMEN_SUMINISTROS[[#This Row],[FIN DE SEMANA]])</f>
        <v>1052-2M1NO</v>
      </c>
      <c r="D1422" s="365" t="str">
        <f>CONCATENATE(VOL_VOLUMEN_SUMINISTROS[[#This Row],[Grupo]],VOL_VOLUMEN_SUMINISTROS[[#This Row],[Proyecto]],VOL_VOLUMEN_SUMINISTROS[[#This Row],[FIN DE SEMANA]])</f>
        <v>81052-2NO</v>
      </c>
      <c r="E1422" s="30" t="s">
        <v>183</v>
      </c>
      <c r="F1422" s="30" t="s">
        <v>148</v>
      </c>
      <c r="G1422" s="365">
        <v>8</v>
      </c>
      <c r="H1422" s="30">
        <v>12</v>
      </c>
      <c r="I1422" s="9" t="s">
        <v>768</v>
      </c>
      <c r="J1422" s="9" t="s">
        <v>1021</v>
      </c>
      <c r="K1422" s="30">
        <v>1</v>
      </c>
      <c r="L1422" s="9" t="s">
        <v>1022</v>
      </c>
      <c r="M1422" s="30" t="s">
        <v>84</v>
      </c>
      <c r="N1422" s="30" t="s">
        <v>216</v>
      </c>
      <c r="O1422" s="24">
        <v>86</v>
      </c>
      <c r="P1422" s="24">
        <v>223</v>
      </c>
      <c r="Q1422" s="24">
        <v>60</v>
      </c>
      <c r="R1422" s="24">
        <v>0</v>
      </c>
      <c r="S1422" s="24">
        <v>0</v>
      </c>
      <c r="T1422" s="24">
        <v>369</v>
      </c>
    </row>
    <row r="1423" spans="1:20">
      <c r="A1423" s="9" t="s">
        <v>976</v>
      </c>
      <c r="B1423" s="30" t="s">
        <v>1043</v>
      </c>
      <c r="C1423" s="30" t="str">
        <f>CONCATENATE(VOL_VOLUMEN_SUMINISTROS[[#This Row],[Proyecto]],VOL_VOLUMEN_SUMINISTROS[[#This Row],[J]],VOL_VOLUMEN_SUMINISTROS[[#This Row],[FIN DE SEMANA]])</f>
        <v>1052-2M1NO</v>
      </c>
      <c r="D1423" s="365" t="str">
        <f>CONCATENATE(VOL_VOLUMEN_SUMINISTROS[[#This Row],[Grupo]],VOL_VOLUMEN_SUMINISTROS[[#This Row],[Proyecto]],VOL_VOLUMEN_SUMINISTROS[[#This Row],[FIN DE SEMANA]])</f>
        <v>81052-2NO</v>
      </c>
      <c r="E1423" s="30" t="s">
        <v>183</v>
      </c>
      <c r="F1423" s="30" t="s">
        <v>148</v>
      </c>
      <c r="G1423" s="365">
        <v>8</v>
      </c>
      <c r="H1423" s="30">
        <v>12</v>
      </c>
      <c r="I1423" s="9" t="s">
        <v>768</v>
      </c>
      <c r="J1423" s="9" t="s">
        <v>1021</v>
      </c>
      <c r="K1423" s="30">
        <v>2</v>
      </c>
      <c r="L1423" s="9" t="s">
        <v>1023</v>
      </c>
      <c r="M1423" s="30" t="s">
        <v>84</v>
      </c>
      <c r="N1423" s="30" t="s">
        <v>216</v>
      </c>
      <c r="O1423" s="24">
        <v>128</v>
      </c>
      <c r="P1423" s="24">
        <v>64</v>
      </c>
      <c r="Q1423" s="24">
        <v>0</v>
      </c>
      <c r="R1423" s="24">
        <v>0</v>
      </c>
      <c r="S1423" s="24">
        <v>0</v>
      </c>
      <c r="T1423" s="24">
        <v>192</v>
      </c>
    </row>
    <row r="1424" spans="1:20">
      <c r="A1424" s="9" t="s">
        <v>976</v>
      </c>
      <c r="B1424" s="30" t="s">
        <v>1043</v>
      </c>
      <c r="C1424" s="30" t="str">
        <f>CONCATENATE(VOL_VOLUMEN_SUMINISTROS[[#This Row],[Proyecto]],VOL_VOLUMEN_SUMINISTROS[[#This Row],[J]],VOL_VOLUMEN_SUMINISTROS[[#This Row],[FIN DE SEMANA]])</f>
        <v>1052-2M1NO</v>
      </c>
      <c r="D1424" s="365" t="str">
        <f>CONCATENATE(VOL_VOLUMEN_SUMINISTROS[[#This Row],[Grupo]],VOL_VOLUMEN_SUMINISTROS[[#This Row],[Proyecto]],VOL_VOLUMEN_SUMINISTROS[[#This Row],[FIN DE SEMANA]])</f>
        <v>81052-2NO</v>
      </c>
      <c r="E1424" s="30" t="s">
        <v>183</v>
      </c>
      <c r="F1424" s="30" t="s">
        <v>148</v>
      </c>
      <c r="G1424" s="365">
        <v>8</v>
      </c>
      <c r="H1424" s="30">
        <v>12</v>
      </c>
      <c r="I1424" s="9" t="s">
        <v>768</v>
      </c>
      <c r="J1424" s="9" t="s">
        <v>1021</v>
      </c>
      <c r="K1424" s="30">
        <v>3</v>
      </c>
      <c r="L1424" s="9" t="s">
        <v>1024</v>
      </c>
      <c r="M1424" s="30" t="s">
        <v>84</v>
      </c>
      <c r="N1424" s="30" t="s">
        <v>216</v>
      </c>
      <c r="O1424" s="24">
        <v>0</v>
      </c>
      <c r="P1424" s="24">
        <v>132</v>
      </c>
      <c r="Q1424" s="24">
        <v>173</v>
      </c>
      <c r="R1424" s="24">
        <v>0</v>
      </c>
      <c r="S1424" s="24">
        <v>0</v>
      </c>
      <c r="T1424" s="24">
        <v>305</v>
      </c>
    </row>
    <row r="1425" spans="1:20">
      <c r="A1425" s="9" t="s">
        <v>976</v>
      </c>
      <c r="B1425" s="30" t="s">
        <v>1043</v>
      </c>
      <c r="C1425" s="30" t="str">
        <f>CONCATENATE(VOL_VOLUMEN_SUMINISTROS[[#This Row],[Proyecto]],VOL_VOLUMEN_SUMINISTROS[[#This Row],[J]],VOL_VOLUMEN_SUMINISTROS[[#This Row],[FIN DE SEMANA]])</f>
        <v>1052-2M1NO</v>
      </c>
      <c r="D1425" s="365" t="str">
        <f>CONCATENATE(VOL_VOLUMEN_SUMINISTROS[[#This Row],[Grupo]],VOL_VOLUMEN_SUMINISTROS[[#This Row],[Proyecto]],VOL_VOLUMEN_SUMINISTROS[[#This Row],[FIN DE SEMANA]])</f>
        <v>81052-2NO</v>
      </c>
      <c r="E1425" s="30" t="s">
        <v>183</v>
      </c>
      <c r="F1425" s="30" t="s">
        <v>148</v>
      </c>
      <c r="G1425" s="365">
        <v>8</v>
      </c>
      <c r="H1425" s="30">
        <v>12</v>
      </c>
      <c r="I1425" s="9" t="s">
        <v>768</v>
      </c>
      <c r="J1425" s="9" t="s">
        <v>1025</v>
      </c>
      <c r="K1425" s="30">
        <v>1</v>
      </c>
      <c r="L1425" s="9" t="s">
        <v>1026</v>
      </c>
      <c r="M1425" s="30" t="s">
        <v>84</v>
      </c>
      <c r="N1425" s="30" t="s">
        <v>216</v>
      </c>
      <c r="O1425" s="24">
        <v>0</v>
      </c>
      <c r="P1425" s="24">
        <v>189</v>
      </c>
      <c r="Q1425" s="24">
        <v>343</v>
      </c>
      <c r="R1425" s="24">
        <v>0</v>
      </c>
      <c r="S1425" s="24">
        <v>0</v>
      </c>
      <c r="T1425" s="24">
        <v>532</v>
      </c>
    </row>
    <row r="1426" spans="1:20">
      <c r="A1426" s="9" t="s">
        <v>976</v>
      </c>
      <c r="B1426" s="30" t="s">
        <v>1043</v>
      </c>
      <c r="C1426" s="30" t="str">
        <f>CONCATENATE(VOL_VOLUMEN_SUMINISTROS[[#This Row],[Proyecto]],VOL_VOLUMEN_SUMINISTROS[[#This Row],[J]],VOL_VOLUMEN_SUMINISTROS[[#This Row],[FIN DE SEMANA]])</f>
        <v>1052-2M1NO</v>
      </c>
      <c r="D1426" s="365" t="str">
        <f>CONCATENATE(VOL_VOLUMEN_SUMINISTROS[[#This Row],[Grupo]],VOL_VOLUMEN_SUMINISTROS[[#This Row],[Proyecto]],VOL_VOLUMEN_SUMINISTROS[[#This Row],[FIN DE SEMANA]])</f>
        <v>81052-2NO</v>
      </c>
      <c r="E1426" s="30" t="s">
        <v>183</v>
      </c>
      <c r="F1426" s="30" t="s">
        <v>148</v>
      </c>
      <c r="G1426" s="365">
        <v>8</v>
      </c>
      <c r="H1426" s="30">
        <v>12</v>
      </c>
      <c r="I1426" s="9" t="s">
        <v>768</v>
      </c>
      <c r="J1426" s="9" t="s">
        <v>1025</v>
      </c>
      <c r="K1426" s="30">
        <v>2</v>
      </c>
      <c r="L1426" s="9" t="s">
        <v>1027</v>
      </c>
      <c r="M1426" s="30" t="s">
        <v>84</v>
      </c>
      <c r="N1426" s="30" t="s">
        <v>216</v>
      </c>
      <c r="O1426" s="24">
        <v>210</v>
      </c>
      <c r="P1426" s="24">
        <v>186</v>
      </c>
      <c r="Q1426" s="24">
        <v>27</v>
      </c>
      <c r="R1426" s="24">
        <v>0</v>
      </c>
      <c r="S1426" s="24">
        <v>0</v>
      </c>
      <c r="T1426" s="24">
        <v>423</v>
      </c>
    </row>
    <row r="1427" spans="1:20">
      <c r="A1427" s="9" t="s">
        <v>976</v>
      </c>
      <c r="B1427" s="30" t="s">
        <v>1043</v>
      </c>
      <c r="C1427" s="30" t="str">
        <f>CONCATENATE(VOL_VOLUMEN_SUMINISTROS[[#This Row],[Proyecto]],VOL_VOLUMEN_SUMINISTROS[[#This Row],[J]],VOL_VOLUMEN_SUMINISTROS[[#This Row],[FIN DE SEMANA]])</f>
        <v>1052-2M1NO</v>
      </c>
      <c r="D1427" s="365" t="str">
        <f>CONCATENATE(VOL_VOLUMEN_SUMINISTROS[[#This Row],[Grupo]],VOL_VOLUMEN_SUMINISTROS[[#This Row],[Proyecto]],VOL_VOLUMEN_SUMINISTROS[[#This Row],[FIN DE SEMANA]])</f>
        <v>81052-2NO</v>
      </c>
      <c r="E1427" s="30" t="s">
        <v>183</v>
      </c>
      <c r="F1427" s="30" t="s">
        <v>148</v>
      </c>
      <c r="G1427" s="365">
        <v>8</v>
      </c>
      <c r="H1427" s="30">
        <v>12</v>
      </c>
      <c r="I1427" s="9" t="s">
        <v>768</v>
      </c>
      <c r="J1427" s="9" t="s">
        <v>1044</v>
      </c>
      <c r="K1427" s="30">
        <v>1</v>
      </c>
      <c r="L1427" s="9" t="s">
        <v>1045</v>
      </c>
      <c r="M1427" s="30" t="s">
        <v>84</v>
      </c>
      <c r="N1427" s="30" t="s">
        <v>216</v>
      </c>
      <c r="O1427" s="24">
        <v>0</v>
      </c>
      <c r="P1427" s="24">
        <v>45</v>
      </c>
      <c r="Q1427" s="24">
        <v>15</v>
      </c>
      <c r="R1427" s="24">
        <v>0</v>
      </c>
      <c r="S1427" s="24">
        <v>0</v>
      </c>
      <c r="T1427" s="24">
        <v>60</v>
      </c>
    </row>
    <row r="1428" spans="1:20">
      <c r="A1428" s="9" t="s">
        <v>976</v>
      </c>
      <c r="B1428" s="30" t="s">
        <v>1043</v>
      </c>
      <c r="C1428" s="30" t="str">
        <f>CONCATENATE(VOL_VOLUMEN_SUMINISTROS[[#This Row],[Proyecto]],VOL_VOLUMEN_SUMINISTROS[[#This Row],[J]],VOL_VOLUMEN_SUMINISTROS[[#This Row],[FIN DE SEMANA]])</f>
        <v>1052-2M1NO</v>
      </c>
      <c r="D1428" s="365" t="str">
        <f>CONCATENATE(VOL_VOLUMEN_SUMINISTROS[[#This Row],[Grupo]],VOL_VOLUMEN_SUMINISTROS[[#This Row],[Proyecto]],VOL_VOLUMEN_SUMINISTROS[[#This Row],[FIN DE SEMANA]])</f>
        <v>81052-2NO</v>
      </c>
      <c r="E1428" s="30" t="s">
        <v>183</v>
      </c>
      <c r="F1428" s="30" t="s">
        <v>148</v>
      </c>
      <c r="G1428" s="365">
        <v>8</v>
      </c>
      <c r="H1428" s="30">
        <v>12</v>
      </c>
      <c r="I1428" s="9" t="s">
        <v>768</v>
      </c>
      <c r="J1428" s="9" t="s">
        <v>1044</v>
      </c>
      <c r="K1428" s="30">
        <v>2</v>
      </c>
      <c r="L1428" s="9" t="s">
        <v>1046</v>
      </c>
      <c r="M1428" s="30" t="s">
        <v>84</v>
      </c>
      <c r="N1428" s="30" t="s">
        <v>216</v>
      </c>
      <c r="O1428" s="24">
        <v>208</v>
      </c>
      <c r="P1428" s="24">
        <v>269</v>
      </c>
      <c r="Q1428" s="24">
        <v>55</v>
      </c>
      <c r="R1428" s="24">
        <v>0</v>
      </c>
      <c r="S1428" s="24">
        <v>0</v>
      </c>
      <c r="T1428" s="24">
        <v>532</v>
      </c>
    </row>
    <row r="1429" spans="1:20">
      <c r="A1429" s="9" t="s">
        <v>976</v>
      </c>
      <c r="B1429" s="30" t="s">
        <v>1043</v>
      </c>
      <c r="C1429" s="30" t="str">
        <f>CONCATENATE(VOL_VOLUMEN_SUMINISTROS[[#This Row],[Proyecto]],VOL_VOLUMEN_SUMINISTROS[[#This Row],[J]],VOL_VOLUMEN_SUMINISTROS[[#This Row],[FIN DE SEMANA]])</f>
        <v>1052-2TNO</v>
      </c>
      <c r="D1429" s="365" t="str">
        <f>CONCATENATE(VOL_VOLUMEN_SUMINISTROS[[#This Row],[Grupo]],VOL_VOLUMEN_SUMINISTROS[[#This Row],[Proyecto]],VOL_VOLUMEN_SUMINISTROS[[#This Row],[FIN DE SEMANA]])</f>
        <v>81052-2NO</v>
      </c>
      <c r="E1429" s="30" t="s">
        <v>183</v>
      </c>
      <c r="F1429" s="30" t="s">
        <v>148</v>
      </c>
      <c r="G1429" s="365">
        <v>8</v>
      </c>
      <c r="H1429" s="30">
        <v>12</v>
      </c>
      <c r="I1429" s="9" t="s">
        <v>768</v>
      </c>
      <c r="J1429" s="9" t="s">
        <v>1044</v>
      </c>
      <c r="K1429" s="30">
        <v>2</v>
      </c>
      <c r="L1429" s="9" t="s">
        <v>1046</v>
      </c>
      <c r="M1429" s="30" t="s">
        <v>84</v>
      </c>
      <c r="N1429" s="30" t="s">
        <v>155</v>
      </c>
      <c r="O1429" s="24">
        <v>196</v>
      </c>
      <c r="P1429" s="24">
        <v>242</v>
      </c>
      <c r="Q1429" s="24">
        <v>48</v>
      </c>
      <c r="R1429" s="24">
        <v>0</v>
      </c>
      <c r="S1429" s="24">
        <v>0</v>
      </c>
      <c r="T1429" s="24">
        <v>486</v>
      </c>
    </row>
    <row r="1430" spans="1:20">
      <c r="A1430" s="9" t="s">
        <v>976</v>
      </c>
      <c r="B1430" s="30" t="s">
        <v>1043</v>
      </c>
      <c r="C1430" s="30" t="str">
        <f>CONCATENATE(VOL_VOLUMEN_SUMINISTROS[[#This Row],[Proyecto]],VOL_VOLUMEN_SUMINISTROS[[#This Row],[J]],VOL_VOLUMEN_SUMINISTROS[[#This Row],[FIN DE SEMANA]])</f>
        <v>1052-2MNO</v>
      </c>
      <c r="D1430" s="365" t="str">
        <f>CONCATENATE(VOL_VOLUMEN_SUMINISTROS[[#This Row],[Grupo]],VOL_VOLUMEN_SUMINISTROS[[#This Row],[Proyecto]],VOL_VOLUMEN_SUMINISTROS[[#This Row],[FIN DE SEMANA]])</f>
        <v>81052-2NO</v>
      </c>
      <c r="E1430" s="30" t="s">
        <v>183</v>
      </c>
      <c r="F1430" s="30" t="s">
        <v>148</v>
      </c>
      <c r="G1430" s="365">
        <v>8</v>
      </c>
      <c r="H1430" s="30">
        <v>13</v>
      </c>
      <c r="I1430" s="9" t="s">
        <v>1029</v>
      </c>
      <c r="J1430" s="9" t="s">
        <v>1030</v>
      </c>
      <c r="K1430" s="30">
        <v>1</v>
      </c>
      <c r="L1430" s="9" t="s">
        <v>1031</v>
      </c>
      <c r="M1430" s="30" t="s">
        <v>84</v>
      </c>
      <c r="N1430" s="30" t="s">
        <v>152</v>
      </c>
      <c r="O1430" s="24">
        <v>0</v>
      </c>
      <c r="P1430" s="24">
        <v>114</v>
      </c>
      <c r="Q1430" s="24">
        <v>188</v>
      </c>
      <c r="R1430" s="24">
        <v>0</v>
      </c>
      <c r="S1430" s="24">
        <v>0</v>
      </c>
      <c r="T1430" s="24">
        <v>302</v>
      </c>
    </row>
    <row r="1431" spans="1:20">
      <c r="A1431" s="9" t="s">
        <v>976</v>
      </c>
      <c r="B1431" s="30" t="s">
        <v>1043</v>
      </c>
      <c r="C1431" s="30" t="str">
        <f>CONCATENATE(VOL_VOLUMEN_SUMINISTROS[[#This Row],[Proyecto]],VOL_VOLUMEN_SUMINISTROS[[#This Row],[J]],VOL_VOLUMEN_SUMINISTROS[[#This Row],[FIN DE SEMANA]])</f>
        <v>1052-2TNO</v>
      </c>
      <c r="D1431" s="365" t="str">
        <f>CONCATENATE(VOL_VOLUMEN_SUMINISTROS[[#This Row],[Grupo]],VOL_VOLUMEN_SUMINISTROS[[#This Row],[Proyecto]],VOL_VOLUMEN_SUMINISTROS[[#This Row],[FIN DE SEMANA]])</f>
        <v>81052-2NO</v>
      </c>
      <c r="E1431" s="30" t="s">
        <v>183</v>
      </c>
      <c r="F1431" s="30" t="s">
        <v>148</v>
      </c>
      <c r="G1431" s="365">
        <v>8</v>
      </c>
      <c r="H1431" s="30">
        <v>13</v>
      </c>
      <c r="I1431" s="9" t="s">
        <v>1029</v>
      </c>
      <c r="J1431" s="9" t="s">
        <v>1030</v>
      </c>
      <c r="K1431" s="30">
        <v>1</v>
      </c>
      <c r="L1431" s="9" t="s">
        <v>1031</v>
      </c>
      <c r="M1431" s="30" t="s">
        <v>84</v>
      </c>
      <c r="N1431" s="30" t="s">
        <v>155</v>
      </c>
      <c r="O1431" s="24">
        <v>0</v>
      </c>
      <c r="P1431" s="24">
        <v>141</v>
      </c>
      <c r="Q1431" s="24">
        <v>100</v>
      </c>
      <c r="R1431" s="24">
        <v>0</v>
      </c>
      <c r="S1431" s="24">
        <v>0</v>
      </c>
      <c r="T1431" s="24">
        <v>241</v>
      </c>
    </row>
    <row r="1432" spans="1:20">
      <c r="A1432" s="9" t="s">
        <v>976</v>
      </c>
      <c r="B1432" s="30" t="s">
        <v>1043</v>
      </c>
      <c r="C1432" s="30" t="str">
        <f>CONCATENATE(VOL_VOLUMEN_SUMINISTROS[[#This Row],[Proyecto]],VOL_VOLUMEN_SUMINISTROS[[#This Row],[J]],VOL_VOLUMEN_SUMINISTROS[[#This Row],[FIN DE SEMANA]])</f>
        <v>1052-2M1NO</v>
      </c>
      <c r="D1432" s="365" t="str">
        <f>CONCATENATE(VOL_VOLUMEN_SUMINISTROS[[#This Row],[Grupo]],VOL_VOLUMEN_SUMINISTROS[[#This Row],[Proyecto]],VOL_VOLUMEN_SUMINISTROS[[#This Row],[FIN DE SEMANA]])</f>
        <v>81052-2NO</v>
      </c>
      <c r="E1432" s="30" t="s">
        <v>183</v>
      </c>
      <c r="F1432" s="30" t="s">
        <v>148</v>
      </c>
      <c r="G1432" s="365">
        <v>8</v>
      </c>
      <c r="H1432" s="30">
        <v>2</v>
      </c>
      <c r="I1432" s="9" t="s">
        <v>1033</v>
      </c>
      <c r="J1432" s="9" t="s">
        <v>1034</v>
      </c>
      <c r="K1432" s="30">
        <v>2</v>
      </c>
      <c r="L1432" s="9" t="s">
        <v>1035</v>
      </c>
      <c r="M1432" s="30" t="s">
        <v>84</v>
      </c>
      <c r="N1432" s="30" t="s">
        <v>216</v>
      </c>
      <c r="O1432" s="24">
        <v>116</v>
      </c>
      <c r="P1432" s="24">
        <v>145</v>
      </c>
      <c r="Q1432" s="24">
        <v>29</v>
      </c>
      <c r="R1432" s="24">
        <v>0</v>
      </c>
      <c r="S1432" s="24">
        <v>0</v>
      </c>
      <c r="T1432" s="24">
        <v>290</v>
      </c>
    </row>
    <row r="1433" spans="1:20">
      <c r="A1433" s="9" t="s">
        <v>976</v>
      </c>
      <c r="B1433" s="30" t="s">
        <v>1043</v>
      </c>
      <c r="C1433" s="30" t="str">
        <f>CONCATENATE(VOL_VOLUMEN_SUMINISTROS[[#This Row],[Proyecto]],VOL_VOLUMEN_SUMINISTROS[[#This Row],[J]],VOL_VOLUMEN_SUMINISTROS[[#This Row],[FIN DE SEMANA]])</f>
        <v>1052-2M1NO</v>
      </c>
      <c r="D1433" s="365" t="str">
        <f>CONCATENATE(VOL_VOLUMEN_SUMINISTROS[[#This Row],[Grupo]],VOL_VOLUMEN_SUMINISTROS[[#This Row],[Proyecto]],VOL_VOLUMEN_SUMINISTROS[[#This Row],[FIN DE SEMANA]])</f>
        <v>81052-2NO</v>
      </c>
      <c r="E1433" s="30" t="s">
        <v>183</v>
      </c>
      <c r="F1433" s="30" t="s">
        <v>148</v>
      </c>
      <c r="G1433" s="365">
        <v>8</v>
      </c>
      <c r="H1433" s="30">
        <v>2</v>
      </c>
      <c r="I1433" s="9" t="s">
        <v>1033</v>
      </c>
      <c r="J1433" s="9" t="s">
        <v>1034</v>
      </c>
      <c r="K1433" s="30">
        <v>3</v>
      </c>
      <c r="L1433" s="9" t="s">
        <v>1036</v>
      </c>
      <c r="M1433" s="30" t="s">
        <v>84</v>
      </c>
      <c r="N1433" s="30" t="s">
        <v>216</v>
      </c>
      <c r="O1433" s="24">
        <v>64</v>
      </c>
      <c r="P1433" s="24">
        <v>71</v>
      </c>
      <c r="Q1433" s="24">
        <v>13</v>
      </c>
      <c r="R1433" s="24">
        <v>0</v>
      </c>
      <c r="S1433" s="24">
        <v>0</v>
      </c>
      <c r="T1433" s="24">
        <v>148</v>
      </c>
    </row>
    <row r="1434" spans="1:20">
      <c r="A1434" s="9" t="s">
        <v>976</v>
      </c>
      <c r="B1434" s="30" t="s">
        <v>1043</v>
      </c>
      <c r="C1434" s="30" t="str">
        <f>CONCATENATE(VOL_VOLUMEN_SUMINISTROS[[#This Row],[Proyecto]],VOL_VOLUMEN_SUMINISTROS[[#This Row],[J]],VOL_VOLUMEN_SUMINISTROS[[#This Row],[FIN DE SEMANA]])</f>
        <v>1052-2M1NO</v>
      </c>
      <c r="D1434" s="365" t="str">
        <f>CONCATENATE(VOL_VOLUMEN_SUMINISTROS[[#This Row],[Grupo]],VOL_VOLUMEN_SUMINISTROS[[#This Row],[Proyecto]],VOL_VOLUMEN_SUMINISTROS[[#This Row],[FIN DE SEMANA]])</f>
        <v>81052-2NO</v>
      </c>
      <c r="E1434" s="30" t="s">
        <v>183</v>
      </c>
      <c r="F1434" s="30" t="s">
        <v>148</v>
      </c>
      <c r="G1434" s="365">
        <v>8</v>
      </c>
      <c r="H1434" s="30">
        <v>2</v>
      </c>
      <c r="I1434" s="9" t="s">
        <v>1033</v>
      </c>
      <c r="J1434" s="9" t="s">
        <v>1037</v>
      </c>
      <c r="K1434" s="30">
        <v>1</v>
      </c>
      <c r="L1434" s="9" t="s">
        <v>1038</v>
      </c>
      <c r="M1434" s="30" t="s">
        <v>84</v>
      </c>
      <c r="N1434" s="30" t="s">
        <v>216</v>
      </c>
      <c r="O1434" s="24">
        <v>28</v>
      </c>
      <c r="P1434" s="24">
        <v>119</v>
      </c>
      <c r="Q1434" s="24">
        <v>55</v>
      </c>
      <c r="R1434" s="24">
        <v>0</v>
      </c>
      <c r="S1434" s="24">
        <v>0</v>
      </c>
      <c r="T1434" s="24">
        <v>202</v>
      </c>
    </row>
    <row r="1435" spans="1:20">
      <c r="A1435" s="9" t="s">
        <v>976</v>
      </c>
      <c r="B1435" s="30" t="s">
        <v>1043</v>
      </c>
      <c r="C1435" s="30" t="str">
        <f>CONCATENATE(VOL_VOLUMEN_SUMINISTROS[[#This Row],[Proyecto]],VOL_VOLUMEN_SUMINISTROS[[#This Row],[J]],VOL_VOLUMEN_SUMINISTROS[[#This Row],[FIN DE SEMANA]])</f>
        <v>1052-2M1NO</v>
      </c>
      <c r="D1435" s="365" t="str">
        <f>CONCATENATE(VOL_VOLUMEN_SUMINISTROS[[#This Row],[Grupo]],VOL_VOLUMEN_SUMINISTROS[[#This Row],[Proyecto]],VOL_VOLUMEN_SUMINISTROS[[#This Row],[FIN DE SEMANA]])</f>
        <v>81052-2NO</v>
      </c>
      <c r="E1435" s="30" t="s">
        <v>183</v>
      </c>
      <c r="F1435" s="30" t="s">
        <v>148</v>
      </c>
      <c r="G1435" s="365">
        <v>8</v>
      </c>
      <c r="H1435" s="30">
        <v>2</v>
      </c>
      <c r="I1435" s="9" t="s">
        <v>1033</v>
      </c>
      <c r="J1435" s="9" t="s">
        <v>1037</v>
      </c>
      <c r="K1435" s="30">
        <v>2</v>
      </c>
      <c r="L1435" s="9" t="s">
        <v>1039</v>
      </c>
      <c r="M1435" s="30" t="s">
        <v>84</v>
      </c>
      <c r="N1435" s="30" t="s">
        <v>216</v>
      </c>
      <c r="O1435" s="24">
        <v>58</v>
      </c>
      <c r="P1435" s="24">
        <v>65</v>
      </c>
      <c r="Q1435" s="24">
        <v>12</v>
      </c>
      <c r="R1435" s="24">
        <v>0</v>
      </c>
      <c r="S1435" s="24">
        <v>0</v>
      </c>
      <c r="T1435" s="24">
        <v>135</v>
      </c>
    </row>
    <row r="1436" spans="1:20">
      <c r="A1436" s="9" t="s">
        <v>976</v>
      </c>
      <c r="B1436" s="30" t="s">
        <v>1043</v>
      </c>
      <c r="C1436" s="30" t="str">
        <f>CONCATENATE(VOL_VOLUMEN_SUMINISTROS[[#This Row],[Proyecto]],VOL_VOLUMEN_SUMINISTROS[[#This Row],[J]],VOL_VOLUMEN_SUMINISTROS[[#This Row],[FIN DE SEMANA]])</f>
        <v>1052-2MNO</v>
      </c>
      <c r="D1436" s="365" t="str">
        <f>CONCATENATE(VOL_VOLUMEN_SUMINISTROS[[#This Row],[Grupo]],VOL_VOLUMEN_SUMINISTROS[[#This Row],[Proyecto]],VOL_VOLUMEN_SUMINISTROS[[#This Row],[FIN DE SEMANA]])</f>
        <v>81052-2NO</v>
      </c>
      <c r="E1436" s="30" t="s">
        <v>183</v>
      </c>
      <c r="F1436" s="30" t="s">
        <v>148</v>
      </c>
      <c r="G1436" s="365">
        <v>8</v>
      </c>
      <c r="H1436" s="30">
        <v>2</v>
      </c>
      <c r="I1436" s="9" t="s">
        <v>1033</v>
      </c>
      <c r="J1436" s="9" t="s">
        <v>1040</v>
      </c>
      <c r="K1436" s="30">
        <v>1</v>
      </c>
      <c r="L1436" s="9" t="s">
        <v>1041</v>
      </c>
      <c r="M1436" s="30" t="s">
        <v>84</v>
      </c>
      <c r="N1436" s="30" t="s">
        <v>152</v>
      </c>
      <c r="O1436" s="24">
        <v>0</v>
      </c>
      <c r="P1436" s="24">
        <v>90</v>
      </c>
      <c r="Q1436" s="24">
        <v>190</v>
      </c>
      <c r="R1436" s="24">
        <v>0</v>
      </c>
      <c r="S1436" s="24">
        <v>0</v>
      </c>
      <c r="T1436" s="24">
        <v>280</v>
      </c>
    </row>
    <row r="1437" spans="1:20">
      <c r="A1437" s="9" t="s">
        <v>976</v>
      </c>
      <c r="B1437" s="30" t="s">
        <v>1043</v>
      </c>
      <c r="C1437" s="30" t="str">
        <f>CONCATENATE(VOL_VOLUMEN_SUMINISTROS[[#This Row],[Proyecto]],VOL_VOLUMEN_SUMINISTROS[[#This Row],[J]],VOL_VOLUMEN_SUMINISTROS[[#This Row],[FIN DE SEMANA]])</f>
        <v>1052-2TNO</v>
      </c>
      <c r="D1437" s="365" t="str">
        <f>CONCATENATE(VOL_VOLUMEN_SUMINISTROS[[#This Row],[Grupo]],VOL_VOLUMEN_SUMINISTROS[[#This Row],[Proyecto]],VOL_VOLUMEN_SUMINISTROS[[#This Row],[FIN DE SEMANA]])</f>
        <v>81052-2NO</v>
      </c>
      <c r="E1437" s="30" t="s">
        <v>183</v>
      </c>
      <c r="F1437" s="30" t="s">
        <v>148</v>
      </c>
      <c r="G1437" s="365">
        <v>8</v>
      </c>
      <c r="H1437" s="30">
        <v>2</v>
      </c>
      <c r="I1437" s="9" t="s">
        <v>1033</v>
      </c>
      <c r="J1437" s="9" t="s">
        <v>1040</v>
      </c>
      <c r="K1437" s="30">
        <v>1</v>
      </c>
      <c r="L1437" s="9" t="s">
        <v>1041</v>
      </c>
      <c r="M1437" s="30" t="s">
        <v>84</v>
      </c>
      <c r="N1437" s="30" t="s">
        <v>155</v>
      </c>
      <c r="O1437" s="24">
        <v>0</v>
      </c>
      <c r="P1437" s="24">
        <v>96</v>
      </c>
      <c r="Q1437" s="24">
        <v>207</v>
      </c>
      <c r="R1437" s="24">
        <v>0</v>
      </c>
      <c r="S1437" s="24">
        <v>0</v>
      </c>
      <c r="T1437" s="24">
        <v>303</v>
      </c>
    </row>
    <row r="1438" spans="1:20">
      <c r="A1438" s="9" t="s">
        <v>976</v>
      </c>
      <c r="B1438" s="30" t="s">
        <v>1047</v>
      </c>
      <c r="C1438" s="30" t="str">
        <f>CONCATENATE(VOL_VOLUMEN_SUMINISTROS[[#This Row],[Proyecto]],VOL_VOLUMEN_SUMINISTROS[[#This Row],[J]],VOL_VOLUMEN_SUMINISTROS[[#This Row],[FIN DE SEMANA]])</f>
        <v>1052-2MNO</v>
      </c>
      <c r="D1438" s="365" t="str">
        <f>CONCATENATE(VOL_VOLUMEN_SUMINISTROS[[#This Row],[Grupo]],VOL_VOLUMEN_SUMINISTROS[[#This Row],[Proyecto]],VOL_VOLUMEN_SUMINISTROS[[#This Row],[FIN DE SEMANA]])</f>
        <v>81052-2NO</v>
      </c>
      <c r="E1438" s="30" t="s">
        <v>183</v>
      </c>
      <c r="F1438" s="30" t="s">
        <v>148</v>
      </c>
      <c r="G1438" s="365">
        <v>8</v>
      </c>
      <c r="H1438" s="30">
        <v>12</v>
      </c>
      <c r="I1438" s="9" t="s">
        <v>768</v>
      </c>
      <c r="J1438" s="9" t="s">
        <v>1011</v>
      </c>
      <c r="K1438" s="30">
        <v>1</v>
      </c>
      <c r="L1438" s="9" t="s">
        <v>1012</v>
      </c>
      <c r="M1438" s="30" t="s">
        <v>84</v>
      </c>
      <c r="N1438" s="30" t="s">
        <v>152</v>
      </c>
      <c r="O1438" s="24">
        <v>0</v>
      </c>
      <c r="P1438" s="24">
        <v>0</v>
      </c>
      <c r="Q1438" s="24">
        <v>138</v>
      </c>
      <c r="R1438" s="24">
        <v>0</v>
      </c>
      <c r="S1438" s="24">
        <v>0</v>
      </c>
      <c r="T1438" s="24">
        <v>138</v>
      </c>
    </row>
    <row r="1439" spans="1:20">
      <c r="A1439" s="9" t="s">
        <v>976</v>
      </c>
      <c r="B1439" s="30" t="s">
        <v>1047</v>
      </c>
      <c r="C1439" s="30" t="str">
        <f>CONCATENATE(VOL_VOLUMEN_SUMINISTROS[[#This Row],[Proyecto]],VOL_VOLUMEN_SUMINISTROS[[#This Row],[J]],VOL_VOLUMEN_SUMINISTROS[[#This Row],[FIN DE SEMANA]])</f>
        <v>1052-2TNO</v>
      </c>
      <c r="D1439" s="365" t="str">
        <f>CONCATENATE(VOL_VOLUMEN_SUMINISTROS[[#This Row],[Grupo]],VOL_VOLUMEN_SUMINISTROS[[#This Row],[Proyecto]],VOL_VOLUMEN_SUMINISTROS[[#This Row],[FIN DE SEMANA]])</f>
        <v>81052-2NO</v>
      </c>
      <c r="E1439" s="30" t="s">
        <v>183</v>
      </c>
      <c r="F1439" s="30" t="s">
        <v>148</v>
      </c>
      <c r="G1439" s="365">
        <v>8</v>
      </c>
      <c r="H1439" s="30">
        <v>12</v>
      </c>
      <c r="I1439" s="9" t="s">
        <v>768</v>
      </c>
      <c r="J1439" s="9" t="s">
        <v>1011</v>
      </c>
      <c r="K1439" s="30">
        <v>1</v>
      </c>
      <c r="L1439" s="9" t="s">
        <v>1012</v>
      </c>
      <c r="M1439" s="30" t="s">
        <v>84</v>
      </c>
      <c r="N1439" s="30" t="s">
        <v>155</v>
      </c>
      <c r="O1439" s="24">
        <v>0</v>
      </c>
      <c r="P1439" s="24">
        <v>0</v>
      </c>
      <c r="Q1439" s="24">
        <v>73</v>
      </c>
      <c r="R1439" s="24">
        <v>0</v>
      </c>
      <c r="S1439" s="24">
        <v>0</v>
      </c>
      <c r="T1439" s="24">
        <v>73</v>
      </c>
    </row>
    <row r="1440" spans="1:20">
      <c r="A1440" s="9" t="s">
        <v>976</v>
      </c>
      <c r="B1440" s="30" t="s">
        <v>1047</v>
      </c>
      <c r="C1440" s="30" t="str">
        <f>CONCATENATE(VOL_VOLUMEN_SUMINISTROS[[#This Row],[Proyecto]],VOL_VOLUMEN_SUMINISTROS[[#This Row],[J]],VOL_VOLUMEN_SUMINISTROS[[#This Row],[FIN DE SEMANA]])</f>
        <v>1052-2MNO</v>
      </c>
      <c r="D1440" s="365" t="str">
        <f>CONCATENATE(VOL_VOLUMEN_SUMINISTROS[[#This Row],[Grupo]],VOL_VOLUMEN_SUMINISTROS[[#This Row],[Proyecto]],VOL_VOLUMEN_SUMINISTROS[[#This Row],[FIN DE SEMANA]])</f>
        <v>81052-2NO</v>
      </c>
      <c r="E1440" s="30" t="s">
        <v>183</v>
      </c>
      <c r="F1440" s="30" t="s">
        <v>148</v>
      </c>
      <c r="G1440" s="365">
        <v>8</v>
      </c>
      <c r="H1440" s="30">
        <v>12</v>
      </c>
      <c r="I1440" s="9" t="s">
        <v>768</v>
      </c>
      <c r="J1440" s="9" t="s">
        <v>1016</v>
      </c>
      <c r="K1440" s="30">
        <v>1</v>
      </c>
      <c r="L1440" s="9" t="s">
        <v>153</v>
      </c>
      <c r="M1440" s="30" t="s">
        <v>84</v>
      </c>
      <c r="N1440" s="30" t="s">
        <v>152</v>
      </c>
      <c r="O1440" s="24">
        <v>0</v>
      </c>
      <c r="P1440" s="24">
        <v>0</v>
      </c>
      <c r="Q1440" s="24">
        <v>57</v>
      </c>
      <c r="R1440" s="24">
        <v>0</v>
      </c>
      <c r="S1440" s="24">
        <v>0</v>
      </c>
      <c r="T1440" s="24">
        <v>57</v>
      </c>
    </row>
    <row r="1441" spans="1:20">
      <c r="A1441" s="9" t="s">
        <v>976</v>
      </c>
      <c r="B1441" s="30" t="s">
        <v>1047</v>
      </c>
      <c r="C1441" s="30" t="str">
        <f>CONCATENATE(VOL_VOLUMEN_SUMINISTROS[[#This Row],[Proyecto]],VOL_VOLUMEN_SUMINISTROS[[#This Row],[J]],VOL_VOLUMEN_SUMINISTROS[[#This Row],[FIN DE SEMANA]])</f>
        <v>1052-2TNO</v>
      </c>
      <c r="D1441" s="365" t="str">
        <f>CONCATENATE(VOL_VOLUMEN_SUMINISTROS[[#This Row],[Grupo]],VOL_VOLUMEN_SUMINISTROS[[#This Row],[Proyecto]],VOL_VOLUMEN_SUMINISTROS[[#This Row],[FIN DE SEMANA]])</f>
        <v>81052-2NO</v>
      </c>
      <c r="E1441" s="30" t="s">
        <v>183</v>
      </c>
      <c r="F1441" s="30" t="s">
        <v>148</v>
      </c>
      <c r="G1441" s="365">
        <v>8</v>
      </c>
      <c r="H1441" s="30">
        <v>12</v>
      </c>
      <c r="I1441" s="9" t="s">
        <v>768</v>
      </c>
      <c r="J1441" s="9" t="s">
        <v>1016</v>
      </c>
      <c r="K1441" s="30">
        <v>1</v>
      </c>
      <c r="L1441" s="9" t="s">
        <v>153</v>
      </c>
      <c r="M1441" s="30" t="s">
        <v>84</v>
      </c>
      <c r="N1441" s="30" t="s">
        <v>155</v>
      </c>
      <c r="O1441" s="24">
        <v>0</v>
      </c>
      <c r="P1441" s="24">
        <v>0</v>
      </c>
      <c r="Q1441" s="24">
        <v>76</v>
      </c>
      <c r="R1441" s="24">
        <v>0</v>
      </c>
      <c r="S1441" s="24">
        <v>0</v>
      </c>
      <c r="T1441" s="24">
        <v>76</v>
      </c>
    </row>
    <row r="1442" spans="1:20">
      <c r="A1442" s="9" t="s">
        <v>976</v>
      </c>
      <c r="B1442" s="30" t="s">
        <v>1047</v>
      </c>
      <c r="C1442" s="30" t="str">
        <f>CONCATENATE(VOL_VOLUMEN_SUMINISTROS[[#This Row],[Proyecto]],VOL_VOLUMEN_SUMINISTROS[[#This Row],[J]],VOL_VOLUMEN_SUMINISTROS[[#This Row],[FIN DE SEMANA]])</f>
        <v>1052-2M1NO</v>
      </c>
      <c r="D1442" s="365" t="str">
        <f>CONCATENATE(VOL_VOLUMEN_SUMINISTROS[[#This Row],[Grupo]],VOL_VOLUMEN_SUMINISTROS[[#This Row],[Proyecto]],VOL_VOLUMEN_SUMINISTROS[[#This Row],[FIN DE SEMANA]])</f>
        <v>81052-2NO</v>
      </c>
      <c r="E1442" s="30" t="s">
        <v>183</v>
      </c>
      <c r="F1442" s="30" t="s">
        <v>148</v>
      </c>
      <c r="G1442" s="365">
        <v>8</v>
      </c>
      <c r="H1442" s="30">
        <v>12</v>
      </c>
      <c r="I1442" s="9" t="s">
        <v>768</v>
      </c>
      <c r="J1442" s="9" t="s">
        <v>1025</v>
      </c>
      <c r="K1442" s="30">
        <v>1</v>
      </c>
      <c r="L1442" s="9" t="s">
        <v>1026</v>
      </c>
      <c r="M1442" s="30" t="s">
        <v>84</v>
      </c>
      <c r="N1442" s="30" t="s">
        <v>216</v>
      </c>
      <c r="O1442" s="24">
        <v>0</v>
      </c>
      <c r="P1442" s="24">
        <v>0</v>
      </c>
      <c r="Q1442" s="24">
        <v>47</v>
      </c>
      <c r="R1442" s="24">
        <v>0</v>
      </c>
      <c r="S1442" s="24">
        <v>0</v>
      </c>
      <c r="T1442" s="24">
        <v>47</v>
      </c>
    </row>
    <row r="1443" spans="1:20">
      <c r="A1443" s="9" t="s">
        <v>976</v>
      </c>
      <c r="B1443" s="30" t="s">
        <v>1047</v>
      </c>
      <c r="C1443" s="30" t="str">
        <f>CONCATENATE(VOL_VOLUMEN_SUMINISTROS[[#This Row],[Proyecto]],VOL_VOLUMEN_SUMINISTROS[[#This Row],[J]],VOL_VOLUMEN_SUMINISTROS[[#This Row],[FIN DE SEMANA]])</f>
        <v>1052-2M1NO</v>
      </c>
      <c r="D1443" s="365" t="str">
        <f>CONCATENATE(VOL_VOLUMEN_SUMINISTROS[[#This Row],[Grupo]],VOL_VOLUMEN_SUMINISTROS[[#This Row],[Proyecto]],VOL_VOLUMEN_SUMINISTROS[[#This Row],[FIN DE SEMANA]])</f>
        <v>81052-2NO</v>
      </c>
      <c r="E1443" s="30" t="s">
        <v>183</v>
      </c>
      <c r="F1443" s="30" t="s">
        <v>148</v>
      </c>
      <c r="G1443" s="365">
        <v>8</v>
      </c>
      <c r="H1443" s="30">
        <v>12</v>
      </c>
      <c r="I1443" s="9" t="s">
        <v>768</v>
      </c>
      <c r="J1443" s="9" t="s">
        <v>1044</v>
      </c>
      <c r="K1443" s="30">
        <v>1</v>
      </c>
      <c r="L1443" s="9" t="s">
        <v>1045</v>
      </c>
      <c r="M1443" s="30" t="s">
        <v>84</v>
      </c>
      <c r="N1443" s="30" t="s">
        <v>216</v>
      </c>
      <c r="O1443" s="24">
        <v>0</v>
      </c>
      <c r="P1443" s="24">
        <v>0</v>
      </c>
      <c r="Q1443" s="24">
        <v>88</v>
      </c>
      <c r="R1443" s="24">
        <v>0</v>
      </c>
      <c r="S1443" s="24">
        <v>0</v>
      </c>
      <c r="T1443" s="24">
        <v>88</v>
      </c>
    </row>
    <row r="1444" spans="1:20">
      <c r="A1444" s="9" t="s">
        <v>976</v>
      </c>
      <c r="B1444" s="30" t="s">
        <v>1048</v>
      </c>
      <c r="C1444" s="30" t="str">
        <f>CONCATENATE(VOL_VOLUMEN_SUMINISTROS[[#This Row],[Proyecto]],VOL_VOLUMEN_SUMINISTROS[[#This Row],[J]],VOL_VOLUMEN_SUMINISTROS[[#This Row],[FIN DE SEMANA]])</f>
        <v>1052-2TNO</v>
      </c>
      <c r="D1444" s="365" t="str">
        <f>CONCATENATE(VOL_VOLUMEN_SUMINISTROS[[#This Row],[Grupo]],VOL_VOLUMEN_SUMINISTROS[[#This Row],[Proyecto]],VOL_VOLUMEN_SUMINISTROS[[#This Row],[FIN DE SEMANA]])</f>
        <v>81052-2NO</v>
      </c>
      <c r="E1444" s="30" t="s">
        <v>183</v>
      </c>
      <c r="F1444" s="30" t="s">
        <v>148</v>
      </c>
      <c r="G1444" s="365">
        <v>8</v>
      </c>
      <c r="H1444" s="30">
        <v>12</v>
      </c>
      <c r="I1444" s="9" t="s">
        <v>768</v>
      </c>
      <c r="J1444" s="9" t="s">
        <v>1044</v>
      </c>
      <c r="K1444" s="30">
        <v>2</v>
      </c>
      <c r="L1444" s="9" t="s">
        <v>1046</v>
      </c>
      <c r="M1444" s="30" t="s">
        <v>84</v>
      </c>
      <c r="N1444" s="30" t="s">
        <v>155</v>
      </c>
      <c r="O1444" s="24">
        <v>54</v>
      </c>
      <c r="P1444" s="24">
        <v>0</v>
      </c>
      <c r="Q1444" s="24">
        <v>0</v>
      </c>
      <c r="R1444" s="24">
        <v>0</v>
      </c>
      <c r="S1444" s="24">
        <v>0</v>
      </c>
      <c r="T1444" s="24">
        <v>54</v>
      </c>
    </row>
    <row r="1445" spans="1:20">
      <c r="A1445" s="9" t="s">
        <v>1049</v>
      </c>
      <c r="B1445" s="30" t="s">
        <v>1050</v>
      </c>
      <c r="C1445" s="30" t="str">
        <f>CONCATENATE(VOL_VOLUMEN_SUMINISTROS[[#This Row],[Proyecto]],VOL_VOLUMEN_SUMINISTROS[[#This Row],[J]],VOL_VOLUMEN_SUMINISTROS[[#This Row],[FIN DE SEMANA]])</f>
        <v>1052-1MNO</v>
      </c>
      <c r="D1445" s="365" t="str">
        <f>CONCATENATE(VOL_VOLUMEN_SUMINISTROS[[#This Row],[Grupo]],VOL_VOLUMEN_SUMINISTROS[[#This Row],[Proyecto]],VOL_VOLUMEN_SUMINISTROS[[#This Row],[FIN DE SEMANA]])</f>
        <v>101052-1NO</v>
      </c>
      <c r="E1445" s="30" t="s">
        <v>147</v>
      </c>
      <c r="F1445" s="30" t="s">
        <v>148</v>
      </c>
      <c r="G1445" s="365">
        <v>10</v>
      </c>
      <c r="H1445" s="30">
        <v>8</v>
      </c>
      <c r="I1445" s="9" t="s">
        <v>149</v>
      </c>
      <c r="J1445" s="9" t="s">
        <v>1051</v>
      </c>
      <c r="K1445" s="30">
        <v>1</v>
      </c>
      <c r="L1445" s="9" t="s">
        <v>1052</v>
      </c>
      <c r="M1445" s="30" t="s">
        <v>84</v>
      </c>
      <c r="N1445" s="30" t="s">
        <v>152</v>
      </c>
      <c r="O1445" s="24">
        <v>107</v>
      </c>
      <c r="P1445" s="24">
        <v>287</v>
      </c>
      <c r="Q1445" s="24">
        <v>465</v>
      </c>
      <c r="R1445" s="24">
        <v>0</v>
      </c>
      <c r="S1445" s="24">
        <v>0</v>
      </c>
      <c r="T1445" s="24">
        <v>859</v>
      </c>
    </row>
    <row r="1446" spans="1:20">
      <c r="A1446" s="9" t="s">
        <v>1049</v>
      </c>
      <c r="B1446" s="30" t="s">
        <v>1050</v>
      </c>
      <c r="C1446" s="30" t="str">
        <f>CONCATENATE(VOL_VOLUMEN_SUMINISTROS[[#This Row],[Proyecto]],VOL_VOLUMEN_SUMINISTROS[[#This Row],[J]],VOL_VOLUMEN_SUMINISTROS[[#This Row],[FIN DE SEMANA]])</f>
        <v>1052-1TNO</v>
      </c>
      <c r="D1446" s="365" t="str">
        <f>CONCATENATE(VOL_VOLUMEN_SUMINISTROS[[#This Row],[Grupo]],VOL_VOLUMEN_SUMINISTROS[[#This Row],[Proyecto]],VOL_VOLUMEN_SUMINISTROS[[#This Row],[FIN DE SEMANA]])</f>
        <v>101052-1NO</v>
      </c>
      <c r="E1446" s="30" t="s">
        <v>147</v>
      </c>
      <c r="F1446" s="30" t="s">
        <v>148</v>
      </c>
      <c r="G1446" s="365">
        <v>10</v>
      </c>
      <c r="H1446" s="30">
        <v>8</v>
      </c>
      <c r="I1446" s="9" t="s">
        <v>149</v>
      </c>
      <c r="J1446" s="9" t="s">
        <v>1051</v>
      </c>
      <c r="K1446" s="30">
        <v>1</v>
      </c>
      <c r="L1446" s="9" t="s">
        <v>1052</v>
      </c>
      <c r="M1446" s="30" t="s">
        <v>84</v>
      </c>
      <c r="N1446" s="30" t="s">
        <v>155</v>
      </c>
      <c r="O1446" s="24">
        <v>90</v>
      </c>
      <c r="P1446" s="24">
        <v>383</v>
      </c>
      <c r="Q1446" s="24">
        <v>361</v>
      </c>
      <c r="R1446" s="24">
        <v>0</v>
      </c>
      <c r="S1446" s="24">
        <v>0</v>
      </c>
      <c r="T1446" s="24">
        <v>834</v>
      </c>
    </row>
    <row r="1447" spans="1:20">
      <c r="A1447" s="9" t="s">
        <v>1049</v>
      </c>
      <c r="B1447" s="30" t="s">
        <v>1050</v>
      </c>
      <c r="C1447" s="30" t="str">
        <f>CONCATENATE(VOL_VOLUMEN_SUMINISTROS[[#This Row],[Proyecto]],VOL_VOLUMEN_SUMINISTROS[[#This Row],[J]],VOL_VOLUMEN_SUMINISTROS[[#This Row],[FIN DE SEMANA]])</f>
        <v>1052-1MNO</v>
      </c>
      <c r="D1447" s="365" t="str">
        <f>CONCATENATE(VOL_VOLUMEN_SUMINISTROS[[#This Row],[Grupo]],VOL_VOLUMEN_SUMINISTROS[[#This Row],[Proyecto]],VOL_VOLUMEN_SUMINISTROS[[#This Row],[FIN DE SEMANA]])</f>
        <v>101052-1NO</v>
      </c>
      <c r="E1447" s="30" t="s">
        <v>147</v>
      </c>
      <c r="F1447" s="30" t="s">
        <v>148</v>
      </c>
      <c r="G1447" s="365">
        <v>10</v>
      </c>
      <c r="H1447" s="30">
        <v>8</v>
      </c>
      <c r="I1447" s="9" t="s">
        <v>149</v>
      </c>
      <c r="J1447" s="9" t="s">
        <v>1051</v>
      </c>
      <c r="K1447" s="30">
        <v>2</v>
      </c>
      <c r="L1447" s="9" t="s">
        <v>1053</v>
      </c>
      <c r="M1447" s="30" t="s">
        <v>84</v>
      </c>
      <c r="N1447" s="30" t="s">
        <v>152</v>
      </c>
      <c r="O1447" s="24">
        <v>118</v>
      </c>
      <c r="P1447" s="24">
        <v>81</v>
      </c>
      <c r="Q1447" s="24">
        <v>13</v>
      </c>
      <c r="R1447" s="24">
        <v>0</v>
      </c>
      <c r="S1447" s="24">
        <v>0</v>
      </c>
      <c r="T1447" s="24">
        <v>212</v>
      </c>
    </row>
    <row r="1448" spans="1:20">
      <c r="A1448" s="9" t="s">
        <v>1049</v>
      </c>
      <c r="B1448" s="30" t="s">
        <v>1050</v>
      </c>
      <c r="C1448" s="30" t="str">
        <f>CONCATENATE(VOL_VOLUMEN_SUMINISTROS[[#This Row],[Proyecto]],VOL_VOLUMEN_SUMINISTROS[[#This Row],[J]],VOL_VOLUMEN_SUMINISTROS[[#This Row],[FIN DE SEMANA]])</f>
        <v>1052-1TNO</v>
      </c>
      <c r="D1448" s="365" t="str">
        <f>CONCATENATE(VOL_VOLUMEN_SUMINISTROS[[#This Row],[Grupo]],VOL_VOLUMEN_SUMINISTROS[[#This Row],[Proyecto]],VOL_VOLUMEN_SUMINISTROS[[#This Row],[FIN DE SEMANA]])</f>
        <v>101052-1NO</v>
      </c>
      <c r="E1448" s="30" t="s">
        <v>147</v>
      </c>
      <c r="F1448" s="30" t="s">
        <v>148</v>
      </c>
      <c r="G1448" s="365">
        <v>10</v>
      </c>
      <c r="H1448" s="30">
        <v>8</v>
      </c>
      <c r="I1448" s="9" t="s">
        <v>149</v>
      </c>
      <c r="J1448" s="9" t="s">
        <v>1051</v>
      </c>
      <c r="K1448" s="30">
        <v>2</v>
      </c>
      <c r="L1448" s="9" t="s">
        <v>1053</v>
      </c>
      <c r="M1448" s="30" t="s">
        <v>84</v>
      </c>
      <c r="N1448" s="30" t="s">
        <v>155</v>
      </c>
      <c r="O1448" s="24">
        <v>70</v>
      </c>
      <c r="P1448" s="24">
        <v>113</v>
      </c>
      <c r="Q1448" s="24">
        <v>29</v>
      </c>
      <c r="R1448" s="24">
        <v>0</v>
      </c>
      <c r="S1448" s="24">
        <v>0</v>
      </c>
      <c r="T1448" s="24">
        <v>212</v>
      </c>
    </row>
    <row r="1449" spans="1:20">
      <c r="A1449" s="9" t="s">
        <v>1049</v>
      </c>
      <c r="B1449" s="30" t="s">
        <v>1050</v>
      </c>
      <c r="C1449" s="30" t="str">
        <f>CONCATENATE(VOL_VOLUMEN_SUMINISTROS[[#This Row],[Proyecto]],VOL_VOLUMEN_SUMINISTROS[[#This Row],[J]],VOL_VOLUMEN_SUMINISTROS[[#This Row],[FIN DE SEMANA]])</f>
        <v>1052-1MNO</v>
      </c>
      <c r="D1449" s="365" t="str">
        <f>CONCATENATE(VOL_VOLUMEN_SUMINISTROS[[#This Row],[Grupo]],VOL_VOLUMEN_SUMINISTROS[[#This Row],[Proyecto]],VOL_VOLUMEN_SUMINISTROS[[#This Row],[FIN DE SEMANA]])</f>
        <v>101052-1NO</v>
      </c>
      <c r="E1449" s="30" t="s">
        <v>147</v>
      </c>
      <c r="F1449" s="30" t="s">
        <v>148</v>
      </c>
      <c r="G1449" s="365">
        <v>10</v>
      </c>
      <c r="H1449" s="30">
        <v>8</v>
      </c>
      <c r="I1449" s="9" t="s">
        <v>149</v>
      </c>
      <c r="J1449" s="9" t="s">
        <v>1054</v>
      </c>
      <c r="K1449" s="30">
        <v>1</v>
      </c>
      <c r="L1449" s="9" t="s">
        <v>1055</v>
      </c>
      <c r="M1449" s="30" t="s">
        <v>84</v>
      </c>
      <c r="N1449" s="30" t="s">
        <v>152</v>
      </c>
      <c r="O1449" s="24">
        <v>390</v>
      </c>
      <c r="P1449" s="24">
        <v>323</v>
      </c>
      <c r="Q1449" s="24">
        <v>427</v>
      </c>
      <c r="R1449" s="24">
        <v>0</v>
      </c>
      <c r="S1449" s="24">
        <v>0</v>
      </c>
      <c r="T1449" s="24">
        <v>1140</v>
      </c>
    </row>
    <row r="1450" spans="1:20">
      <c r="A1450" s="9" t="s">
        <v>1049</v>
      </c>
      <c r="B1450" s="30" t="s">
        <v>1050</v>
      </c>
      <c r="C1450" s="30" t="str">
        <f>CONCATENATE(VOL_VOLUMEN_SUMINISTROS[[#This Row],[Proyecto]],VOL_VOLUMEN_SUMINISTROS[[#This Row],[J]],VOL_VOLUMEN_SUMINISTROS[[#This Row],[FIN DE SEMANA]])</f>
        <v>1052-1TNO</v>
      </c>
      <c r="D1450" s="365" t="str">
        <f>CONCATENATE(VOL_VOLUMEN_SUMINISTROS[[#This Row],[Grupo]],VOL_VOLUMEN_SUMINISTROS[[#This Row],[Proyecto]],VOL_VOLUMEN_SUMINISTROS[[#This Row],[FIN DE SEMANA]])</f>
        <v>101052-1NO</v>
      </c>
      <c r="E1450" s="30" t="s">
        <v>147</v>
      </c>
      <c r="F1450" s="30" t="s">
        <v>148</v>
      </c>
      <c r="G1450" s="365">
        <v>10</v>
      </c>
      <c r="H1450" s="30">
        <v>8</v>
      </c>
      <c r="I1450" s="9" t="s">
        <v>149</v>
      </c>
      <c r="J1450" s="9" t="s">
        <v>1054</v>
      </c>
      <c r="K1450" s="30">
        <v>1</v>
      </c>
      <c r="L1450" s="9" t="s">
        <v>1055</v>
      </c>
      <c r="M1450" s="30" t="s">
        <v>84</v>
      </c>
      <c r="N1450" s="30" t="s">
        <v>155</v>
      </c>
      <c r="O1450" s="24">
        <v>130</v>
      </c>
      <c r="P1450" s="24">
        <v>314</v>
      </c>
      <c r="Q1450" s="24">
        <v>407</v>
      </c>
      <c r="R1450" s="24">
        <v>0</v>
      </c>
      <c r="S1450" s="24">
        <v>0</v>
      </c>
      <c r="T1450" s="24">
        <v>851</v>
      </c>
    </row>
    <row r="1451" spans="1:20">
      <c r="A1451" s="9" t="s">
        <v>1049</v>
      </c>
      <c r="B1451" s="30" t="s">
        <v>1050</v>
      </c>
      <c r="C1451" s="30" t="str">
        <f>CONCATENATE(VOL_VOLUMEN_SUMINISTROS[[#This Row],[Proyecto]],VOL_VOLUMEN_SUMINISTROS[[#This Row],[J]],VOL_VOLUMEN_SUMINISTROS[[#This Row],[FIN DE SEMANA]])</f>
        <v>1052-1MNO</v>
      </c>
      <c r="D1451" s="365" t="str">
        <f>CONCATENATE(VOL_VOLUMEN_SUMINISTROS[[#This Row],[Grupo]],VOL_VOLUMEN_SUMINISTROS[[#This Row],[Proyecto]],VOL_VOLUMEN_SUMINISTROS[[#This Row],[FIN DE SEMANA]])</f>
        <v>101052-1NO</v>
      </c>
      <c r="E1451" s="30" t="s">
        <v>147</v>
      </c>
      <c r="F1451" s="30" t="s">
        <v>148</v>
      </c>
      <c r="G1451" s="365">
        <v>10</v>
      </c>
      <c r="H1451" s="30">
        <v>8</v>
      </c>
      <c r="I1451" s="9" t="s">
        <v>149</v>
      </c>
      <c r="J1451" s="9" t="s">
        <v>1054</v>
      </c>
      <c r="K1451" s="30">
        <v>2</v>
      </c>
      <c r="L1451" s="9" t="s">
        <v>1056</v>
      </c>
      <c r="M1451" s="30" t="s">
        <v>84</v>
      </c>
      <c r="N1451" s="30" t="s">
        <v>152</v>
      </c>
      <c r="O1451" s="24">
        <v>153</v>
      </c>
      <c r="P1451" s="24">
        <v>125</v>
      </c>
      <c r="Q1451" s="24">
        <v>24</v>
      </c>
      <c r="R1451" s="24">
        <v>0</v>
      </c>
      <c r="S1451" s="24">
        <v>0</v>
      </c>
      <c r="T1451" s="24">
        <v>302</v>
      </c>
    </row>
    <row r="1452" spans="1:20">
      <c r="A1452" s="9" t="s">
        <v>1049</v>
      </c>
      <c r="B1452" s="30" t="s">
        <v>1050</v>
      </c>
      <c r="C1452" s="30" t="str">
        <f>CONCATENATE(VOL_VOLUMEN_SUMINISTROS[[#This Row],[Proyecto]],VOL_VOLUMEN_SUMINISTROS[[#This Row],[J]],VOL_VOLUMEN_SUMINISTROS[[#This Row],[FIN DE SEMANA]])</f>
        <v>1052-1TNO</v>
      </c>
      <c r="D1452" s="365" t="str">
        <f>CONCATENATE(VOL_VOLUMEN_SUMINISTROS[[#This Row],[Grupo]],VOL_VOLUMEN_SUMINISTROS[[#This Row],[Proyecto]],VOL_VOLUMEN_SUMINISTROS[[#This Row],[FIN DE SEMANA]])</f>
        <v>101052-1NO</v>
      </c>
      <c r="E1452" s="30" t="s">
        <v>147</v>
      </c>
      <c r="F1452" s="30" t="s">
        <v>148</v>
      </c>
      <c r="G1452" s="365">
        <v>10</v>
      </c>
      <c r="H1452" s="30">
        <v>8</v>
      </c>
      <c r="I1452" s="9" t="s">
        <v>149</v>
      </c>
      <c r="J1452" s="9" t="s">
        <v>1054</v>
      </c>
      <c r="K1452" s="30">
        <v>2</v>
      </c>
      <c r="L1452" s="9" t="s">
        <v>1056</v>
      </c>
      <c r="M1452" s="30" t="s">
        <v>84</v>
      </c>
      <c r="N1452" s="30" t="s">
        <v>155</v>
      </c>
      <c r="O1452" s="24">
        <v>150</v>
      </c>
      <c r="P1452" s="24">
        <v>122</v>
      </c>
      <c r="Q1452" s="24">
        <v>22</v>
      </c>
      <c r="R1452" s="24">
        <v>0</v>
      </c>
      <c r="S1452" s="24">
        <v>0</v>
      </c>
      <c r="T1452" s="24">
        <v>294</v>
      </c>
    </row>
    <row r="1453" spans="1:20">
      <c r="A1453" s="9" t="s">
        <v>1049</v>
      </c>
      <c r="B1453" s="30" t="s">
        <v>1050</v>
      </c>
      <c r="C1453" s="30" t="str">
        <f>CONCATENATE(VOL_VOLUMEN_SUMINISTROS[[#This Row],[Proyecto]],VOL_VOLUMEN_SUMINISTROS[[#This Row],[J]],VOL_VOLUMEN_SUMINISTROS[[#This Row],[FIN DE SEMANA]])</f>
        <v>1052-1MNO</v>
      </c>
      <c r="D1453" s="365" t="str">
        <f>CONCATENATE(VOL_VOLUMEN_SUMINISTROS[[#This Row],[Grupo]],VOL_VOLUMEN_SUMINISTROS[[#This Row],[Proyecto]],VOL_VOLUMEN_SUMINISTROS[[#This Row],[FIN DE SEMANA]])</f>
        <v>101052-1NO</v>
      </c>
      <c r="E1453" s="30" t="s">
        <v>147</v>
      </c>
      <c r="F1453" s="30" t="s">
        <v>148</v>
      </c>
      <c r="G1453" s="365">
        <v>10</v>
      </c>
      <c r="H1453" s="30">
        <v>8</v>
      </c>
      <c r="I1453" s="9" t="s">
        <v>149</v>
      </c>
      <c r="J1453" s="9" t="s">
        <v>1057</v>
      </c>
      <c r="K1453" s="30">
        <v>1</v>
      </c>
      <c r="L1453" s="9" t="s">
        <v>1058</v>
      </c>
      <c r="M1453" s="30" t="s">
        <v>84</v>
      </c>
      <c r="N1453" s="30" t="s">
        <v>152</v>
      </c>
      <c r="O1453" s="24">
        <v>100</v>
      </c>
      <c r="P1453" s="24">
        <v>252</v>
      </c>
      <c r="Q1453" s="24">
        <v>467</v>
      </c>
      <c r="R1453" s="24">
        <v>0</v>
      </c>
      <c r="S1453" s="24">
        <v>0</v>
      </c>
      <c r="T1453" s="24">
        <v>819</v>
      </c>
    </row>
    <row r="1454" spans="1:20">
      <c r="A1454" s="9" t="s">
        <v>1049</v>
      </c>
      <c r="B1454" s="30" t="s">
        <v>1050</v>
      </c>
      <c r="C1454" s="30" t="str">
        <f>CONCATENATE(VOL_VOLUMEN_SUMINISTROS[[#This Row],[Proyecto]],VOL_VOLUMEN_SUMINISTROS[[#This Row],[J]],VOL_VOLUMEN_SUMINISTROS[[#This Row],[FIN DE SEMANA]])</f>
        <v>1052-1TNO</v>
      </c>
      <c r="D1454" s="365" t="str">
        <f>CONCATENATE(VOL_VOLUMEN_SUMINISTROS[[#This Row],[Grupo]],VOL_VOLUMEN_SUMINISTROS[[#This Row],[Proyecto]],VOL_VOLUMEN_SUMINISTROS[[#This Row],[FIN DE SEMANA]])</f>
        <v>101052-1NO</v>
      </c>
      <c r="E1454" s="30" t="s">
        <v>147</v>
      </c>
      <c r="F1454" s="30" t="s">
        <v>148</v>
      </c>
      <c r="G1454" s="365">
        <v>10</v>
      </c>
      <c r="H1454" s="30">
        <v>8</v>
      </c>
      <c r="I1454" s="9" t="s">
        <v>149</v>
      </c>
      <c r="J1454" s="9" t="s">
        <v>1057</v>
      </c>
      <c r="K1454" s="30">
        <v>1</v>
      </c>
      <c r="L1454" s="9" t="s">
        <v>1058</v>
      </c>
      <c r="M1454" s="30" t="s">
        <v>84</v>
      </c>
      <c r="N1454" s="30" t="s">
        <v>155</v>
      </c>
      <c r="O1454" s="24">
        <v>75</v>
      </c>
      <c r="P1454" s="24">
        <v>246</v>
      </c>
      <c r="Q1454" s="24">
        <v>467</v>
      </c>
      <c r="R1454" s="24">
        <v>0</v>
      </c>
      <c r="S1454" s="24">
        <v>0</v>
      </c>
      <c r="T1454" s="24">
        <v>788</v>
      </c>
    </row>
    <row r="1455" spans="1:20">
      <c r="A1455" s="9" t="s">
        <v>1049</v>
      </c>
      <c r="B1455" s="30" t="s">
        <v>1050</v>
      </c>
      <c r="C1455" s="30" t="str">
        <f>CONCATENATE(VOL_VOLUMEN_SUMINISTROS[[#This Row],[Proyecto]],VOL_VOLUMEN_SUMINISTROS[[#This Row],[J]],VOL_VOLUMEN_SUMINISTROS[[#This Row],[FIN DE SEMANA]])</f>
        <v>1052-1MNO</v>
      </c>
      <c r="D1455" s="365" t="str">
        <f>CONCATENATE(VOL_VOLUMEN_SUMINISTROS[[#This Row],[Grupo]],VOL_VOLUMEN_SUMINISTROS[[#This Row],[Proyecto]],VOL_VOLUMEN_SUMINISTROS[[#This Row],[FIN DE SEMANA]])</f>
        <v>101052-1NO</v>
      </c>
      <c r="E1455" s="30" t="s">
        <v>147</v>
      </c>
      <c r="F1455" s="30" t="s">
        <v>148</v>
      </c>
      <c r="G1455" s="365">
        <v>10</v>
      </c>
      <c r="H1455" s="30">
        <v>8</v>
      </c>
      <c r="I1455" s="9" t="s">
        <v>149</v>
      </c>
      <c r="J1455" s="9" t="s">
        <v>1057</v>
      </c>
      <c r="K1455" s="30">
        <v>2</v>
      </c>
      <c r="L1455" s="9" t="s">
        <v>1059</v>
      </c>
      <c r="M1455" s="30" t="s">
        <v>84</v>
      </c>
      <c r="N1455" s="30" t="s">
        <v>152</v>
      </c>
      <c r="O1455" s="24">
        <v>211</v>
      </c>
      <c r="P1455" s="24">
        <v>188</v>
      </c>
      <c r="Q1455" s="24">
        <v>35</v>
      </c>
      <c r="R1455" s="24">
        <v>0</v>
      </c>
      <c r="S1455" s="24">
        <v>0</v>
      </c>
      <c r="T1455" s="24">
        <v>434</v>
      </c>
    </row>
    <row r="1456" spans="1:20">
      <c r="A1456" s="9" t="s">
        <v>1049</v>
      </c>
      <c r="B1456" s="30" t="s">
        <v>1050</v>
      </c>
      <c r="C1456" s="30" t="str">
        <f>CONCATENATE(VOL_VOLUMEN_SUMINISTROS[[#This Row],[Proyecto]],VOL_VOLUMEN_SUMINISTROS[[#This Row],[J]],VOL_VOLUMEN_SUMINISTROS[[#This Row],[FIN DE SEMANA]])</f>
        <v>1052-1TNO</v>
      </c>
      <c r="D1456" s="365" t="str">
        <f>CONCATENATE(VOL_VOLUMEN_SUMINISTROS[[#This Row],[Grupo]],VOL_VOLUMEN_SUMINISTROS[[#This Row],[Proyecto]],VOL_VOLUMEN_SUMINISTROS[[#This Row],[FIN DE SEMANA]])</f>
        <v>101052-1NO</v>
      </c>
      <c r="E1456" s="30" t="s">
        <v>147</v>
      </c>
      <c r="F1456" s="30" t="s">
        <v>148</v>
      </c>
      <c r="G1456" s="365">
        <v>10</v>
      </c>
      <c r="H1456" s="30">
        <v>8</v>
      </c>
      <c r="I1456" s="9" t="s">
        <v>149</v>
      </c>
      <c r="J1456" s="9" t="s">
        <v>1057</v>
      </c>
      <c r="K1456" s="30">
        <v>2</v>
      </c>
      <c r="L1456" s="9" t="s">
        <v>1059</v>
      </c>
      <c r="M1456" s="30" t="s">
        <v>84</v>
      </c>
      <c r="N1456" s="30" t="s">
        <v>155</v>
      </c>
      <c r="O1456" s="24">
        <v>207</v>
      </c>
      <c r="P1456" s="24">
        <v>187</v>
      </c>
      <c r="Q1456" s="24">
        <v>35</v>
      </c>
      <c r="R1456" s="24">
        <v>0</v>
      </c>
      <c r="S1456" s="24">
        <v>0</v>
      </c>
      <c r="T1456" s="24">
        <v>429</v>
      </c>
    </row>
    <row r="1457" spans="1:20">
      <c r="A1457" s="9" t="s">
        <v>1049</v>
      </c>
      <c r="B1457" s="30" t="s">
        <v>1050</v>
      </c>
      <c r="C1457" s="30" t="str">
        <f>CONCATENATE(VOL_VOLUMEN_SUMINISTROS[[#This Row],[Proyecto]],VOL_VOLUMEN_SUMINISTROS[[#This Row],[J]],VOL_VOLUMEN_SUMINISTROS[[#This Row],[FIN DE SEMANA]])</f>
        <v>1052-1MNO</v>
      </c>
      <c r="D1457" s="365" t="str">
        <f>CONCATENATE(VOL_VOLUMEN_SUMINISTROS[[#This Row],[Grupo]],VOL_VOLUMEN_SUMINISTROS[[#This Row],[Proyecto]],VOL_VOLUMEN_SUMINISTROS[[#This Row],[FIN DE SEMANA]])</f>
        <v>101052-1NO</v>
      </c>
      <c r="E1457" s="30" t="s">
        <v>147</v>
      </c>
      <c r="F1457" s="30" t="s">
        <v>148</v>
      </c>
      <c r="G1457" s="365">
        <v>10</v>
      </c>
      <c r="H1457" s="30">
        <v>8</v>
      </c>
      <c r="I1457" s="9" t="s">
        <v>149</v>
      </c>
      <c r="J1457" s="9" t="s">
        <v>1060</v>
      </c>
      <c r="K1457" s="30">
        <v>1</v>
      </c>
      <c r="L1457" s="9" t="s">
        <v>1061</v>
      </c>
      <c r="M1457" s="30" t="s">
        <v>84</v>
      </c>
      <c r="N1457" s="30" t="s">
        <v>152</v>
      </c>
      <c r="O1457" s="24">
        <v>357</v>
      </c>
      <c r="P1457" s="24">
        <v>982</v>
      </c>
      <c r="Q1457" s="24">
        <v>2012</v>
      </c>
      <c r="R1457" s="24">
        <v>0</v>
      </c>
      <c r="S1457" s="24">
        <v>0</v>
      </c>
      <c r="T1457" s="24">
        <v>3351</v>
      </c>
    </row>
    <row r="1458" spans="1:20">
      <c r="A1458" s="9" t="s">
        <v>1049</v>
      </c>
      <c r="B1458" s="30" t="s">
        <v>1050</v>
      </c>
      <c r="C1458" s="30" t="str">
        <f>CONCATENATE(VOL_VOLUMEN_SUMINISTROS[[#This Row],[Proyecto]],VOL_VOLUMEN_SUMINISTROS[[#This Row],[J]],VOL_VOLUMEN_SUMINISTROS[[#This Row],[FIN DE SEMANA]])</f>
        <v>1052-1TNO</v>
      </c>
      <c r="D1458" s="365" t="str">
        <f>CONCATENATE(VOL_VOLUMEN_SUMINISTROS[[#This Row],[Grupo]],VOL_VOLUMEN_SUMINISTROS[[#This Row],[Proyecto]],VOL_VOLUMEN_SUMINISTROS[[#This Row],[FIN DE SEMANA]])</f>
        <v>101052-1NO</v>
      </c>
      <c r="E1458" s="30" t="s">
        <v>147</v>
      </c>
      <c r="F1458" s="30" t="s">
        <v>148</v>
      </c>
      <c r="G1458" s="365">
        <v>10</v>
      </c>
      <c r="H1458" s="30">
        <v>8</v>
      </c>
      <c r="I1458" s="9" t="s">
        <v>149</v>
      </c>
      <c r="J1458" s="9" t="s">
        <v>1060</v>
      </c>
      <c r="K1458" s="30">
        <v>1</v>
      </c>
      <c r="L1458" s="9" t="s">
        <v>1061</v>
      </c>
      <c r="M1458" s="30" t="s">
        <v>84</v>
      </c>
      <c r="N1458" s="30" t="s">
        <v>155</v>
      </c>
      <c r="O1458" s="24">
        <v>357</v>
      </c>
      <c r="P1458" s="24">
        <v>834</v>
      </c>
      <c r="Q1458" s="24">
        <v>1359</v>
      </c>
      <c r="R1458" s="24">
        <v>0</v>
      </c>
      <c r="S1458" s="24">
        <v>0</v>
      </c>
      <c r="T1458" s="24">
        <v>2550</v>
      </c>
    </row>
    <row r="1459" spans="1:20">
      <c r="A1459" s="9" t="s">
        <v>1049</v>
      </c>
      <c r="B1459" s="30" t="s">
        <v>1050</v>
      </c>
      <c r="C1459" s="30" t="str">
        <f>CONCATENATE(VOL_VOLUMEN_SUMINISTROS[[#This Row],[Proyecto]],VOL_VOLUMEN_SUMINISTROS[[#This Row],[J]],VOL_VOLUMEN_SUMINISTROS[[#This Row],[FIN DE SEMANA]])</f>
        <v>1052-1MNO</v>
      </c>
      <c r="D1459" s="365" t="str">
        <f>CONCATENATE(VOL_VOLUMEN_SUMINISTROS[[#This Row],[Grupo]],VOL_VOLUMEN_SUMINISTROS[[#This Row],[Proyecto]],VOL_VOLUMEN_SUMINISTROS[[#This Row],[FIN DE SEMANA]])</f>
        <v>101052-1NO</v>
      </c>
      <c r="E1459" s="30" t="s">
        <v>147</v>
      </c>
      <c r="F1459" s="30" t="s">
        <v>148</v>
      </c>
      <c r="G1459" s="365">
        <v>10</v>
      </c>
      <c r="H1459" s="30">
        <v>8</v>
      </c>
      <c r="I1459" s="9" t="s">
        <v>149</v>
      </c>
      <c r="J1459" s="9" t="s">
        <v>1060</v>
      </c>
      <c r="K1459" s="30">
        <v>2</v>
      </c>
      <c r="L1459" s="9" t="s">
        <v>1062</v>
      </c>
      <c r="M1459" s="30" t="s">
        <v>84</v>
      </c>
      <c r="N1459" s="30" t="s">
        <v>152</v>
      </c>
      <c r="O1459" s="24">
        <v>483</v>
      </c>
      <c r="P1459" s="24">
        <v>162</v>
      </c>
      <c r="Q1459" s="24">
        <v>0</v>
      </c>
      <c r="R1459" s="24">
        <v>0</v>
      </c>
      <c r="S1459" s="24">
        <v>0</v>
      </c>
      <c r="T1459" s="24">
        <v>645</v>
      </c>
    </row>
    <row r="1460" spans="1:20">
      <c r="A1460" s="9" t="s">
        <v>1049</v>
      </c>
      <c r="B1460" s="30" t="s">
        <v>1050</v>
      </c>
      <c r="C1460" s="30" t="str">
        <f>CONCATENATE(VOL_VOLUMEN_SUMINISTROS[[#This Row],[Proyecto]],VOL_VOLUMEN_SUMINISTROS[[#This Row],[J]],VOL_VOLUMEN_SUMINISTROS[[#This Row],[FIN DE SEMANA]])</f>
        <v>1052-1TNO</v>
      </c>
      <c r="D1460" s="365" t="str">
        <f>CONCATENATE(VOL_VOLUMEN_SUMINISTROS[[#This Row],[Grupo]],VOL_VOLUMEN_SUMINISTROS[[#This Row],[Proyecto]],VOL_VOLUMEN_SUMINISTROS[[#This Row],[FIN DE SEMANA]])</f>
        <v>101052-1NO</v>
      </c>
      <c r="E1460" s="30" t="s">
        <v>147</v>
      </c>
      <c r="F1460" s="30" t="s">
        <v>148</v>
      </c>
      <c r="G1460" s="365">
        <v>10</v>
      </c>
      <c r="H1460" s="30">
        <v>8</v>
      </c>
      <c r="I1460" s="9" t="s">
        <v>149</v>
      </c>
      <c r="J1460" s="9" t="s">
        <v>1060</v>
      </c>
      <c r="K1460" s="30">
        <v>2</v>
      </c>
      <c r="L1460" s="9" t="s">
        <v>1062</v>
      </c>
      <c r="M1460" s="30" t="s">
        <v>84</v>
      </c>
      <c r="N1460" s="30" t="s">
        <v>155</v>
      </c>
      <c r="O1460" s="24">
        <v>483</v>
      </c>
      <c r="P1460" s="24">
        <v>162</v>
      </c>
      <c r="Q1460" s="24">
        <v>0</v>
      </c>
      <c r="R1460" s="24">
        <v>0</v>
      </c>
      <c r="S1460" s="24">
        <v>0</v>
      </c>
      <c r="T1460" s="24">
        <v>645</v>
      </c>
    </row>
    <row r="1461" spans="1:20">
      <c r="A1461" s="9" t="s">
        <v>1049</v>
      </c>
      <c r="B1461" s="30" t="s">
        <v>1050</v>
      </c>
      <c r="C1461" s="30" t="str">
        <f>CONCATENATE(VOL_VOLUMEN_SUMINISTROS[[#This Row],[Proyecto]],VOL_VOLUMEN_SUMINISTROS[[#This Row],[J]],VOL_VOLUMEN_SUMINISTROS[[#This Row],[FIN DE SEMANA]])</f>
        <v>1052-1MNO</v>
      </c>
      <c r="D1461" s="365" t="str">
        <f>CONCATENATE(VOL_VOLUMEN_SUMINISTROS[[#This Row],[Grupo]],VOL_VOLUMEN_SUMINISTROS[[#This Row],[Proyecto]],VOL_VOLUMEN_SUMINISTROS[[#This Row],[FIN DE SEMANA]])</f>
        <v>101052-1NO</v>
      </c>
      <c r="E1461" s="30" t="s">
        <v>147</v>
      </c>
      <c r="F1461" s="30" t="s">
        <v>148</v>
      </c>
      <c r="G1461" s="365">
        <v>10</v>
      </c>
      <c r="H1461" s="30">
        <v>8</v>
      </c>
      <c r="I1461" s="9" t="s">
        <v>149</v>
      </c>
      <c r="J1461" s="9" t="s">
        <v>1063</v>
      </c>
      <c r="K1461" s="30">
        <v>1</v>
      </c>
      <c r="L1461" s="9" t="s">
        <v>1064</v>
      </c>
      <c r="M1461" s="30" t="s">
        <v>84</v>
      </c>
      <c r="N1461" s="30" t="s">
        <v>152</v>
      </c>
      <c r="O1461" s="24">
        <v>311</v>
      </c>
      <c r="P1461" s="24">
        <v>181</v>
      </c>
      <c r="Q1461" s="24">
        <v>36</v>
      </c>
      <c r="R1461" s="24">
        <v>0</v>
      </c>
      <c r="S1461" s="24">
        <v>0</v>
      </c>
      <c r="T1461" s="24">
        <v>528</v>
      </c>
    </row>
    <row r="1462" spans="1:20">
      <c r="A1462" s="9" t="s">
        <v>1049</v>
      </c>
      <c r="B1462" s="30" t="s">
        <v>1050</v>
      </c>
      <c r="C1462" s="30" t="str">
        <f>CONCATENATE(VOL_VOLUMEN_SUMINISTROS[[#This Row],[Proyecto]],VOL_VOLUMEN_SUMINISTROS[[#This Row],[J]],VOL_VOLUMEN_SUMINISTROS[[#This Row],[FIN DE SEMANA]])</f>
        <v>1052-1TNO</v>
      </c>
      <c r="D1462" s="365" t="str">
        <f>CONCATENATE(VOL_VOLUMEN_SUMINISTROS[[#This Row],[Grupo]],VOL_VOLUMEN_SUMINISTROS[[#This Row],[Proyecto]],VOL_VOLUMEN_SUMINISTROS[[#This Row],[FIN DE SEMANA]])</f>
        <v>101052-1NO</v>
      </c>
      <c r="E1462" s="30" t="s">
        <v>147</v>
      </c>
      <c r="F1462" s="30" t="s">
        <v>148</v>
      </c>
      <c r="G1462" s="365">
        <v>10</v>
      </c>
      <c r="H1462" s="30">
        <v>8</v>
      </c>
      <c r="I1462" s="9" t="s">
        <v>149</v>
      </c>
      <c r="J1462" s="9" t="s">
        <v>1063</v>
      </c>
      <c r="K1462" s="30">
        <v>1</v>
      </c>
      <c r="L1462" s="9" t="s">
        <v>1064</v>
      </c>
      <c r="M1462" s="30" t="s">
        <v>84</v>
      </c>
      <c r="N1462" s="30" t="s">
        <v>155</v>
      </c>
      <c r="O1462" s="24">
        <v>291</v>
      </c>
      <c r="P1462" s="24">
        <v>173</v>
      </c>
      <c r="Q1462" s="24">
        <v>35</v>
      </c>
      <c r="R1462" s="24">
        <v>0</v>
      </c>
      <c r="S1462" s="24">
        <v>0</v>
      </c>
      <c r="T1462" s="24">
        <v>499</v>
      </c>
    </row>
    <row r="1463" spans="1:20">
      <c r="A1463" s="9" t="s">
        <v>1049</v>
      </c>
      <c r="B1463" s="30" t="s">
        <v>1050</v>
      </c>
      <c r="C1463" s="30" t="str">
        <f>CONCATENATE(VOL_VOLUMEN_SUMINISTROS[[#This Row],[Proyecto]],VOL_VOLUMEN_SUMINISTROS[[#This Row],[J]],VOL_VOLUMEN_SUMINISTROS[[#This Row],[FIN DE SEMANA]])</f>
        <v>1052-1MNO</v>
      </c>
      <c r="D1463" s="365" t="str">
        <f>CONCATENATE(VOL_VOLUMEN_SUMINISTROS[[#This Row],[Grupo]],VOL_VOLUMEN_SUMINISTROS[[#This Row],[Proyecto]],VOL_VOLUMEN_SUMINISTROS[[#This Row],[FIN DE SEMANA]])</f>
        <v>101052-1NO</v>
      </c>
      <c r="E1463" s="30" t="s">
        <v>147</v>
      </c>
      <c r="F1463" s="30" t="s">
        <v>148</v>
      </c>
      <c r="G1463" s="365">
        <v>10</v>
      </c>
      <c r="H1463" s="30">
        <v>8</v>
      </c>
      <c r="I1463" s="9" t="s">
        <v>149</v>
      </c>
      <c r="J1463" s="9" t="s">
        <v>1063</v>
      </c>
      <c r="K1463" s="30">
        <v>2</v>
      </c>
      <c r="L1463" s="9" t="s">
        <v>1064</v>
      </c>
      <c r="M1463" s="30" t="s">
        <v>84</v>
      </c>
      <c r="N1463" s="30" t="s">
        <v>152</v>
      </c>
      <c r="O1463" s="24">
        <v>0</v>
      </c>
      <c r="P1463" s="24">
        <v>186</v>
      </c>
      <c r="Q1463" s="24">
        <v>145</v>
      </c>
      <c r="R1463" s="24">
        <v>0</v>
      </c>
      <c r="S1463" s="24">
        <v>0</v>
      </c>
      <c r="T1463" s="24">
        <v>331</v>
      </c>
    </row>
    <row r="1464" spans="1:20">
      <c r="A1464" s="9" t="s">
        <v>1049</v>
      </c>
      <c r="B1464" s="30" t="s">
        <v>1050</v>
      </c>
      <c r="C1464" s="30" t="str">
        <f>CONCATENATE(VOL_VOLUMEN_SUMINISTROS[[#This Row],[Proyecto]],VOL_VOLUMEN_SUMINISTROS[[#This Row],[J]],VOL_VOLUMEN_SUMINISTROS[[#This Row],[FIN DE SEMANA]])</f>
        <v>1052-1MNO</v>
      </c>
      <c r="D1464" s="365" t="str">
        <f>CONCATENATE(VOL_VOLUMEN_SUMINISTROS[[#This Row],[Grupo]],VOL_VOLUMEN_SUMINISTROS[[#This Row],[Proyecto]],VOL_VOLUMEN_SUMINISTROS[[#This Row],[FIN DE SEMANA]])</f>
        <v>101052-1NO</v>
      </c>
      <c r="E1464" s="30" t="s">
        <v>147</v>
      </c>
      <c r="F1464" s="30" t="s">
        <v>148</v>
      </c>
      <c r="G1464" s="365">
        <v>10</v>
      </c>
      <c r="H1464" s="30">
        <v>8</v>
      </c>
      <c r="I1464" s="9" t="s">
        <v>149</v>
      </c>
      <c r="J1464" s="9" t="s">
        <v>1065</v>
      </c>
      <c r="K1464" s="30">
        <v>1</v>
      </c>
      <c r="L1464" s="9" t="s">
        <v>1066</v>
      </c>
      <c r="M1464" s="30" t="s">
        <v>84</v>
      </c>
      <c r="N1464" s="30" t="s">
        <v>152</v>
      </c>
      <c r="O1464" s="24">
        <v>0</v>
      </c>
      <c r="P1464" s="24">
        <v>117</v>
      </c>
      <c r="Q1464" s="24">
        <v>258</v>
      </c>
      <c r="R1464" s="24">
        <v>0</v>
      </c>
      <c r="S1464" s="24">
        <v>0</v>
      </c>
      <c r="T1464" s="24">
        <v>375</v>
      </c>
    </row>
    <row r="1465" spans="1:20">
      <c r="A1465" s="9" t="s">
        <v>1049</v>
      </c>
      <c r="B1465" s="30" t="s">
        <v>1050</v>
      </c>
      <c r="C1465" s="30" t="str">
        <f>CONCATENATE(VOL_VOLUMEN_SUMINISTROS[[#This Row],[Proyecto]],VOL_VOLUMEN_SUMINISTROS[[#This Row],[J]],VOL_VOLUMEN_SUMINISTROS[[#This Row],[FIN DE SEMANA]])</f>
        <v>1052-1TNO</v>
      </c>
      <c r="D1465" s="365" t="str">
        <f>CONCATENATE(VOL_VOLUMEN_SUMINISTROS[[#This Row],[Grupo]],VOL_VOLUMEN_SUMINISTROS[[#This Row],[Proyecto]],VOL_VOLUMEN_SUMINISTROS[[#This Row],[FIN DE SEMANA]])</f>
        <v>101052-1NO</v>
      </c>
      <c r="E1465" s="30" t="s">
        <v>147</v>
      </c>
      <c r="F1465" s="30" t="s">
        <v>148</v>
      </c>
      <c r="G1465" s="365">
        <v>10</v>
      </c>
      <c r="H1465" s="30">
        <v>8</v>
      </c>
      <c r="I1465" s="9" t="s">
        <v>149</v>
      </c>
      <c r="J1465" s="9" t="s">
        <v>1065</v>
      </c>
      <c r="K1465" s="30">
        <v>1</v>
      </c>
      <c r="L1465" s="9" t="s">
        <v>1066</v>
      </c>
      <c r="M1465" s="30" t="s">
        <v>84</v>
      </c>
      <c r="N1465" s="30" t="s">
        <v>155</v>
      </c>
      <c r="O1465" s="24">
        <v>0</v>
      </c>
      <c r="P1465" s="24">
        <v>138</v>
      </c>
      <c r="Q1465" s="24">
        <v>235</v>
      </c>
      <c r="R1465" s="24">
        <v>0</v>
      </c>
      <c r="S1465" s="24">
        <v>0</v>
      </c>
      <c r="T1465" s="24">
        <v>373</v>
      </c>
    </row>
    <row r="1466" spans="1:20">
      <c r="A1466" s="9" t="s">
        <v>1049</v>
      </c>
      <c r="B1466" s="30" t="s">
        <v>1050</v>
      </c>
      <c r="C1466" s="30" t="str">
        <f>CONCATENATE(VOL_VOLUMEN_SUMINISTROS[[#This Row],[Proyecto]],VOL_VOLUMEN_SUMINISTROS[[#This Row],[J]],VOL_VOLUMEN_SUMINISTROS[[#This Row],[FIN DE SEMANA]])</f>
        <v>1052-1MNO</v>
      </c>
      <c r="D1466" s="365" t="str">
        <f>CONCATENATE(VOL_VOLUMEN_SUMINISTROS[[#This Row],[Grupo]],VOL_VOLUMEN_SUMINISTROS[[#This Row],[Proyecto]],VOL_VOLUMEN_SUMINISTROS[[#This Row],[FIN DE SEMANA]])</f>
        <v>101052-1NO</v>
      </c>
      <c r="E1466" s="30" t="s">
        <v>147</v>
      </c>
      <c r="F1466" s="30" t="s">
        <v>148</v>
      </c>
      <c r="G1466" s="365">
        <v>10</v>
      </c>
      <c r="H1466" s="30">
        <v>8</v>
      </c>
      <c r="I1466" s="9" t="s">
        <v>149</v>
      </c>
      <c r="J1466" s="9" t="s">
        <v>1065</v>
      </c>
      <c r="K1466" s="30">
        <v>2</v>
      </c>
      <c r="L1466" s="9" t="s">
        <v>1067</v>
      </c>
      <c r="M1466" s="30" t="s">
        <v>84</v>
      </c>
      <c r="N1466" s="30" t="s">
        <v>152</v>
      </c>
      <c r="O1466" s="24">
        <v>187</v>
      </c>
      <c r="P1466" s="24">
        <v>170</v>
      </c>
      <c r="Q1466" s="24">
        <v>34</v>
      </c>
      <c r="R1466" s="24">
        <v>0</v>
      </c>
      <c r="S1466" s="24">
        <v>0</v>
      </c>
      <c r="T1466" s="24">
        <v>391</v>
      </c>
    </row>
    <row r="1467" spans="1:20">
      <c r="A1467" s="9" t="s">
        <v>1049</v>
      </c>
      <c r="B1467" s="30" t="s">
        <v>1050</v>
      </c>
      <c r="C1467" s="30" t="str">
        <f>CONCATENATE(VOL_VOLUMEN_SUMINISTROS[[#This Row],[Proyecto]],VOL_VOLUMEN_SUMINISTROS[[#This Row],[J]],VOL_VOLUMEN_SUMINISTROS[[#This Row],[FIN DE SEMANA]])</f>
        <v>1052-1TNO</v>
      </c>
      <c r="D1467" s="365" t="str">
        <f>CONCATENATE(VOL_VOLUMEN_SUMINISTROS[[#This Row],[Grupo]],VOL_VOLUMEN_SUMINISTROS[[#This Row],[Proyecto]],VOL_VOLUMEN_SUMINISTROS[[#This Row],[FIN DE SEMANA]])</f>
        <v>101052-1NO</v>
      </c>
      <c r="E1467" s="30" t="s">
        <v>147</v>
      </c>
      <c r="F1467" s="30" t="s">
        <v>148</v>
      </c>
      <c r="G1467" s="365">
        <v>10</v>
      </c>
      <c r="H1467" s="30">
        <v>8</v>
      </c>
      <c r="I1467" s="9" t="s">
        <v>149</v>
      </c>
      <c r="J1467" s="9" t="s">
        <v>1065</v>
      </c>
      <c r="K1467" s="30">
        <v>2</v>
      </c>
      <c r="L1467" s="9" t="s">
        <v>1067</v>
      </c>
      <c r="M1467" s="30" t="s">
        <v>84</v>
      </c>
      <c r="N1467" s="30" t="s">
        <v>155</v>
      </c>
      <c r="O1467" s="24">
        <v>180</v>
      </c>
      <c r="P1467" s="24">
        <v>167</v>
      </c>
      <c r="Q1467" s="24">
        <v>34</v>
      </c>
      <c r="R1467" s="24">
        <v>0</v>
      </c>
      <c r="S1467" s="24">
        <v>0</v>
      </c>
      <c r="T1467" s="24">
        <v>381</v>
      </c>
    </row>
    <row r="1468" spans="1:20">
      <c r="A1468" s="9" t="s">
        <v>1049</v>
      </c>
      <c r="B1468" s="30" t="s">
        <v>1050</v>
      </c>
      <c r="C1468" s="30" t="str">
        <f>CONCATENATE(VOL_VOLUMEN_SUMINISTROS[[#This Row],[Proyecto]],VOL_VOLUMEN_SUMINISTROS[[#This Row],[J]],VOL_VOLUMEN_SUMINISTROS[[#This Row],[FIN DE SEMANA]])</f>
        <v>1052-1MNO</v>
      </c>
      <c r="D1468" s="365" t="str">
        <f>CONCATENATE(VOL_VOLUMEN_SUMINISTROS[[#This Row],[Grupo]],VOL_VOLUMEN_SUMINISTROS[[#This Row],[Proyecto]],VOL_VOLUMEN_SUMINISTROS[[#This Row],[FIN DE SEMANA]])</f>
        <v>101052-1NO</v>
      </c>
      <c r="E1468" s="30" t="s">
        <v>147</v>
      </c>
      <c r="F1468" s="30" t="s">
        <v>148</v>
      </c>
      <c r="G1468" s="365">
        <v>10</v>
      </c>
      <c r="H1468" s="30">
        <v>8</v>
      </c>
      <c r="I1468" s="9" t="s">
        <v>149</v>
      </c>
      <c r="J1468" s="9" t="s">
        <v>1068</v>
      </c>
      <c r="K1468" s="30">
        <v>2</v>
      </c>
      <c r="L1468" s="9" t="s">
        <v>1069</v>
      </c>
      <c r="M1468" s="30" t="s">
        <v>84</v>
      </c>
      <c r="N1468" s="30" t="s">
        <v>152</v>
      </c>
      <c r="O1468" s="24">
        <v>374</v>
      </c>
      <c r="P1468" s="24">
        <v>127</v>
      </c>
      <c r="Q1468" s="24">
        <v>0</v>
      </c>
      <c r="R1468" s="24">
        <v>0</v>
      </c>
      <c r="S1468" s="24">
        <v>0</v>
      </c>
      <c r="T1468" s="24">
        <v>501</v>
      </c>
    </row>
    <row r="1469" spans="1:20">
      <c r="A1469" s="9" t="s">
        <v>1049</v>
      </c>
      <c r="B1469" s="30" t="s">
        <v>1050</v>
      </c>
      <c r="C1469" s="30" t="str">
        <f>CONCATENATE(VOL_VOLUMEN_SUMINISTROS[[#This Row],[Proyecto]],VOL_VOLUMEN_SUMINISTROS[[#This Row],[J]],VOL_VOLUMEN_SUMINISTROS[[#This Row],[FIN DE SEMANA]])</f>
        <v>1052-1TNO</v>
      </c>
      <c r="D1469" s="365" t="str">
        <f>CONCATENATE(VOL_VOLUMEN_SUMINISTROS[[#This Row],[Grupo]],VOL_VOLUMEN_SUMINISTROS[[#This Row],[Proyecto]],VOL_VOLUMEN_SUMINISTROS[[#This Row],[FIN DE SEMANA]])</f>
        <v>101052-1NO</v>
      </c>
      <c r="E1469" s="30" t="s">
        <v>147</v>
      </c>
      <c r="F1469" s="30" t="s">
        <v>148</v>
      </c>
      <c r="G1469" s="365">
        <v>10</v>
      </c>
      <c r="H1469" s="30">
        <v>8</v>
      </c>
      <c r="I1469" s="9" t="s">
        <v>149</v>
      </c>
      <c r="J1469" s="9" t="s">
        <v>1068</v>
      </c>
      <c r="K1469" s="30">
        <v>2</v>
      </c>
      <c r="L1469" s="9" t="s">
        <v>1069</v>
      </c>
      <c r="M1469" s="30" t="s">
        <v>84</v>
      </c>
      <c r="N1469" s="30" t="s">
        <v>155</v>
      </c>
      <c r="O1469" s="24">
        <v>366</v>
      </c>
      <c r="P1469" s="24">
        <v>123</v>
      </c>
      <c r="Q1469" s="24">
        <v>0</v>
      </c>
      <c r="R1469" s="24">
        <v>0</v>
      </c>
      <c r="S1469" s="24">
        <v>0</v>
      </c>
      <c r="T1469" s="24">
        <v>489</v>
      </c>
    </row>
    <row r="1470" spans="1:20">
      <c r="A1470" s="9" t="s">
        <v>1049</v>
      </c>
      <c r="B1470" s="30" t="s">
        <v>1050</v>
      </c>
      <c r="C1470" s="30" t="str">
        <f>CONCATENATE(VOL_VOLUMEN_SUMINISTROS[[#This Row],[Proyecto]],VOL_VOLUMEN_SUMINISTROS[[#This Row],[J]],VOL_VOLUMEN_SUMINISTROS[[#This Row],[FIN DE SEMANA]])</f>
        <v>1052-1MNO</v>
      </c>
      <c r="D1470" s="365" t="str">
        <f>CONCATENATE(VOL_VOLUMEN_SUMINISTROS[[#This Row],[Grupo]],VOL_VOLUMEN_SUMINISTROS[[#This Row],[Proyecto]],VOL_VOLUMEN_SUMINISTROS[[#This Row],[FIN DE SEMANA]])</f>
        <v>101052-1NO</v>
      </c>
      <c r="E1470" s="30" t="s">
        <v>147</v>
      </c>
      <c r="F1470" s="30" t="s">
        <v>148</v>
      </c>
      <c r="G1470" s="365">
        <v>10</v>
      </c>
      <c r="H1470" s="30">
        <v>8</v>
      </c>
      <c r="I1470" s="9" t="s">
        <v>149</v>
      </c>
      <c r="J1470" s="9" t="s">
        <v>1068</v>
      </c>
      <c r="K1470" s="30">
        <v>3</v>
      </c>
      <c r="L1470" s="9" t="s">
        <v>1070</v>
      </c>
      <c r="M1470" s="30" t="s">
        <v>84</v>
      </c>
      <c r="N1470" s="30" t="s">
        <v>152</v>
      </c>
      <c r="O1470" s="24">
        <v>0</v>
      </c>
      <c r="P1470" s="24">
        <v>183</v>
      </c>
      <c r="Q1470" s="24">
        <v>61</v>
      </c>
      <c r="R1470" s="24">
        <v>0</v>
      </c>
      <c r="S1470" s="24">
        <v>0</v>
      </c>
      <c r="T1470" s="24">
        <v>244</v>
      </c>
    </row>
    <row r="1471" spans="1:20">
      <c r="A1471" s="9" t="s">
        <v>1049</v>
      </c>
      <c r="B1471" s="30" t="s">
        <v>1050</v>
      </c>
      <c r="C1471" s="30" t="str">
        <f>CONCATENATE(VOL_VOLUMEN_SUMINISTROS[[#This Row],[Proyecto]],VOL_VOLUMEN_SUMINISTROS[[#This Row],[J]],VOL_VOLUMEN_SUMINISTROS[[#This Row],[FIN DE SEMANA]])</f>
        <v>1052-1NNO</v>
      </c>
      <c r="D1471" s="365" t="str">
        <f>CONCATENATE(VOL_VOLUMEN_SUMINISTROS[[#This Row],[Grupo]],VOL_VOLUMEN_SUMINISTROS[[#This Row],[Proyecto]],VOL_VOLUMEN_SUMINISTROS[[#This Row],[FIN DE SEMANA]])</f>
        <v>121052-1NO</v>
      </c>
      <c r="E1471" s="30" t="s">
        <v>147</v>
      </c>
      <c r="F1471" s="30" t="s">
        <v>148</v>
      </c>
      <c r="G1471" s="365">
        <v>12</v>
      </c>
      <c r="H1471" s="30">
        <v>8</v>
      </c>
      <c r="I1471" s="9" t="s">
        <v>149</v>
      </c>
      <c r="J1471" s="9" t="s">
        <v>1068</v>
      </c>
      <c r="K1471" s="30">
        <v>3</v>
      </c>
      <c r="L1471" s="9" t="s">
        <v>1070</v>
      </c>
      <c r="M1471" s="30" t="s">
        <v>84</v>
      </c>
      <c r="N1471" s="30" t="s">
        <v>154</v>
      </c>
      <c r="O1471" s="24">
        <v>0</v>
      </c>
      <c r="P1471" s="24">
        <v>0</v>
      </c>
      <c r="Q1471" s="24">
        <v>0</v>
      </c>
      <c r="R1471" s="24">
        <v>61</v>
      </c>
      <c r="S1471" s="24">
        <v>39</v>
      </c>
      <c r="T1471" s="24">
        <v>100</v>
      </c>
    </row>
    <row r="1472" spans="1:20">
      <c r="A1472" s="9" t="s">
        <v>1049</v>
      </c>
      <c r="B1472" s="30" t="s">
        <v>1050</v>
      </c>
      <c r="C1472" s="30" t="str">
        <f>CONCATENATE(VOL_VOLUMEN_SUMINISTROS[[#This Row],[Proyecto]],VOL_VOLUMEN_SUMINISTROS[[#This Row],[J]],VOL_VOLUMEN_SUMINISTROS[[#This Row],[FIN DE SEMANA]])</f>
        <v>1052-1TNO</v>
      </c>
      <c r="D1472" s="365" t="str">
        <f>CONCATENATE(VOL_VOLUMEN_SUMINISTROS[[#This Row],[Grupo]],VOL_VOLUMEN_SUMINISTROS[[#This Row],[Proyecto]],VOL_VOLUMEN_SUMINISTROS[[#This Row],[FIN DE SEMANA]])</f>
        <v>101052-1NO</v>
      </c>
      <c r="E1472" s="30" t="s">
        <v>147</v>
      </c>
      <c r="F1472" s="30" t="s">
        <v>148</v>
      </c>
      <c r="G1472" s="365">
        <v>10</v>
      </c>
      <c r="H1472" s="30">
        <v>8</v>
      </c>
      <c r="I1472" s="9" t="s">
        <v>149</v>
      </c>
      <c r="J1472" s="9" t="s">
        <v>1068</v>
      </c>
      <c r="K1472" s="30">
        <v>3</v>
      </c>
      <c r="L1472" s="9" t="s">
        <v>1070</v>
      </c>
      <c r="M1472" s="30" t="s">
        <v>84</v>
      </c>
      <c r="N1472" s="30" t="s">
        <v>155</v>
      </c>
      <c r="O1472" s="24">
        <v>0</v>
      </c>
      <c r="P1472" s="24">
        <v>180</v>
      </c>
      <c r="Q1472" s="24">
        <v>60</v>
      </c>
      <c r="R1472" s="24">
        <v>0</v>
      </c>
      <c r="S1472" s="24">
        <v>0</v>
      </c>
      <c r="T1472" s="24">
        <v>240</v>
      </c>
    </row>
    <row r="1473" spans="1:20">
      <c r="A1473" s="9" t="s">
        <v>1049</v>
      </c>
      <c r="B1473" s="30" t="s">
        <v>1050</v>
      </c>
      <c r="C1473" s="30" t="str">
        <f>CONCATENATE(VOL_VOLUMEN_SUMINISTROS[[#This Row],[Proyecto]],VOL_VOLUMEN_SUMINISTROS[[#This Row],[J]],VOL_VOLUMEN_SUMINISTROS[[#This Row],[FIN DE SEMANA]])</f>
        <v>1052-1MNO</v>
      </c>
      <c r="D1473" s="365" t="str">
        <f>CONCATENATE(VOL_VOLUMEN_SUMINISTROS[[#This Row],[Grupo]],VOL_VOLUMEN_SUMINISTROS[[#This Row],[Proyecto]],VOL_VOLUMEN_SUMINISTROS[[#This Row],[FIN DE SEMANA]])</f>
        <v>101052-1NO</v>
      </c>
      <c r="E1473" s="30" t="s">
        <v>147</v>
      </c>
      <c r="F1473" s="30" t="s">
        <v>148</v>
      </c>
      <c r="G1473" s="365">
        <v>10</v>
      </c>
      <c r="H1473" s="30">
        <v>8</v>
      </c>
      <c r="I1473" s="9" t="s">
        <v>149</v>
      </c>
      <c r="J1473" s="9" t="s">
        <v>1071</v>
      </c>
      <c r="K1473" s="30">
        <v>1</v>
      </c>
      <c r="L1473" s="9" t="s">
        <v>1072</v>
      </c>
      <c r="M1473" s="30" t="s">
        <v>84</v>
      </c>
      <c r="N1473" s="30" t="s">
        <v>152</v>
      </c>
      <c r="O1473" s="24">
        <v>264</v>
      </c>
      <c r="P1473" s="24">
        <v>244</v>
      </c>
      <c r="Q1473" s="24">
        <v>695</v>
      </c>
      <c r="R1473" s="24">
        <v>0</v>
      </c>
      <c r="S1473" s="24">
        <v>0</v>
      </c>
      <c r="T1473" s="24">
        <v>1203</v>
      </c>
    </row>
    <row r="1474" spans="1:20">
      <c r="A1474" s="9" t="s">
        <v>1049</v>
      </c>
      <c r="B1474" s="30" t="s">
        <v>1050</v>
      </c>
      <c r="C1474" s="30" t="str">
        <f>CONCATENATE(VOL_VOLUMEN_SUMINISTROS[[#This Row],[Proyecto]],VOL_VOLUMEN_SUMINISTROS[[#This Row],[J]],VOL_VOLUMEN_SUMINISTROS[[#This Row],[FIN DE SEMANA]])</f>
        <v>1052-1TNO</v>
      </c>
      <c r="D1474" s="365" t="str">
        <f>CONCATENATE(VOL_VOLUMEN_SUMINISTROS[[#This Row],[Grupo]],VOL_VOLUMEN_SUMINISTROS[[#This Row],[Proyecto]],VOL_VOLUMEN_SUMINISTROS[[#This Row],[FIN DE SEMANA]])</f>
        <v>101052-1NO</v>
      </c>
      <c r="E1474" s="30" t="s">
        <v>147</v>
      </c>
      <c r="F1474" s="30" t="s">
        <v>148</v>
      </c>
      <c r="G1474" s="365">
        <v>10</v>
      </c>
      <c r="H1474" s="30">
        <v>8</v>
      </c>
      <c r="I1474" s="9" t="s">
        <v>149</v>
      </c>
      <c r="J1474" s="9" t="s">
        <v>1071</v>
      </c>
      <c r="K1474" s="30">
        <v>1</v>
      </c>
      <c r="L1474" s="9" t="s">
        <v>1072</v>
      </c>
      <c r="M1474" s="30" t="s">
        <v>84</v>
      </c>
      <c r="N1474" s="30" t="s">
        <v>155</v>
      </c>
      <c r="O1474" s="24">
        <v>316</v>
      </c>
      <c r="P1474" s="24">
        <v>684</v>
      </c>
      <c r="Q1474" s="24">
        <v>192</v>
      </c>
      <c r="R1474" s="24">
        <v>0</v>
      </c>
      <c r="S1474" s="24">
        <v>0</v>
      </c>
      <c r="T1474" s="24">
        <v>1192</v>
      </c>
    </row>
    <row r="1475" spans="1:20">
      <c r="A1475" s="9" t="s">
        <v>1049</v>
      </c>
      <c r="B1475" s="30" t="s">
        <v>1073</v>
      </c>
      <c r="C1475" s="30" t="str">
        <f>CONCATENATE(VOL_VOLUMEN_SUMINISTROS[[#This Row],[Proyecto]],VOL_VOLUMEN_SUMINISTROS[[#This Row],[J]],VOL_VOLUMEN_SUMINISTROS[[#This Row],[FIN DE SEMANA]])</f>
        <v>1052-2M1NO</v>
      </c>
      <c r="D1475" s="365" t="str">
        <f>CONCATENATE(VOL_VOLUMEN_SUMINISTROS[[#This Row],[Grupo]],VOL_VOLUMEN_SUMINISTROS[[#This Row],[Proyecto]],VOL_VOLUMEN_SUMINISTROS[[#This Row],[FIN DE SEMANA]])</f>
        <v>101052-2NO</v>
      </c>
      <c r="E1475" s="30" t="s">
        <v>183</v>
      </c>
      <c r="F1475" s="30" t="s">
        <v>148</v>
      </c>
      <c r="G1475" s="365">
        <v>10</v>
      </c>
      <c r="H1475" s="30">
        <v>8</v>
      </c>
      <c r="I1475" s="9" t="s">
        <v>149</v>
      </c>
      <c r="J1475" s="9" t="s">
        <v>1071</v>
      </c>
      <c r="K1475" s="30">
        <v>1</v>
      </c>
      <c r="L1475" s="9" t="s">
        <v>1072</v>
      </c>
      <c r="M1475" s="30" t="s">
        <v>84</v>
      </c>
      <c r="N1475" s="30" t="s">
        <v>216</v>
      </c>
      <c r="O1475" s="24">
        <v>54</v>
      </c>
      <c r="P1475" s="24">
        <v>336</v>
      </c>
      <c r="Q1475" s="24">
        <v>103</v>
      </c>
      <c r="R1475" s="24">
        <v>0</v>
      </c>
      <c r="S1475" s="24">
        <v>0</v>
      </c>
      <c r="T1475" s="24">
        <v>493</v>
      </c>
    </row>
    <row r="1476" spans="1:20">
      <c r="A1476" s="9" t="s">
        <v>1049</v>
      </c>
      <c r="B1476" s="30" t="s">
        <v>1073</v>
      </c>
      <c r="C1476" s="30" t="str">
        <f>CONCATENATE(VOL_VOLUMEN_SUMINISTROS[[#This Row],[Proyecto]],VOL_VOLUMEN_SUMINISTROS[[#This Row],[J]],VOL_VOLUMEN_SUMINISTROS[[#This Row],[FIN DE SEMANA]])</f>
        <v>1052-2TNO</v>
      </c>
      <c r="D1476" s="365" t="str">
        <f>CONCATENATE(VOL_VOLUMEN_SUMINISTROS[[#This Row],[Grupo]],VOL_VOLUMEN_SUMINISTROS[[#This Row],[Proyecto]],VOL_VOLUMEN_SUMINISTROS[[#This Row],[FIN DE SEMANA]])</f>
        <v>101052-2NO</v>
      </c>
      <c r="E1476" s="30" t="s">
        <v>183</v>
      </c>
      <c r="F1476" s="30" t="s">
        <v>148</v>
      </c>
      <c r="G1476" s="365">
        <v>10</v>
      </c>
      <c r="H1476" s="30">
        <v>8</v>
      </c>
      <c r="I1476" s="9" t="s">
        <v>149</v>
      </c>
      <c r="J1476" s="9" t="s">
        <v>1071</v>
      </c>
      <c r="K1476" s="30">
        <v>1</v>
      </c>
      <c r="L1476" s="9" t="s">
        <v>1072</v>
      </c>
      <c r="M1476" s="30" t="s">
        <v>84</v>
      </c>
      <c r="N1476" s="30" t="s">
        <v>155</v>
      </c>
      <c r="O1476" s="24">
        <v>60</v>
      </c>
      <c r="P1476" s="24">
        <v>105</v>
      </c>
      <c r="Q1476" s="24">
        <v>282</v>
      </c>
      <c r="R1476" s="24">
        <v>0</v>
      </c>
      <c r="S1476" s="24">
        <v>0</v>
      </c>
      <c r="T1476" s="24">
        <v>447</v>
      </c>
    </row>
    <row r="1477" spans="1:20">
      <c r="A1477" s="9" t="s">
        <v>1049</v>
      </c>
      <c r="B1477" s="30" t="s">
        <v>1074</v>
      </c>
      <c r="C1477" s="30" t="str">
        <f>CONCATENATE(VOL_VOLUMEN_SUMINISTROS[[#This Row],[Proyecto]],VOL_VOLUMEN_SUMINISTROS[[#This Row],[J]],VOL_VOLUMEN_SUMINISTROS[[#This Row],[FIN DE SEMANA]])</f>
        <v>1052-2MNO</v>
      </c>
      <c r="D1477" s="365" t="str">
        <f>CONCATENATE(VOL_VOLUMEN_SUMINISTROS[[#This Row],[Grupo]],VOL_VOLUMEN_SUMINISTROS[[#This Row],[Proyecto]],VOL_VOLUMEN_SUMINISTROS[[#This Row],[FIN DE SEMANA]])</f>
        <v>101052-2NO</v>
      </c>
      <c r="E1477" s="30" t="s">
        <v>183</v>
      </c>
      <c r="F1477" s="30" t="s">
        <v>148</v>
      </c>
      <c r="G1477" s="365">
        <v>10</v>
      </c>
      <c r="H1477" s="30">
        <v>8</v>
      </c>
      <c r="I1477" s="9" t="s">
        <v>149</v>
      </c>
      <c r="J1477" s="9" t="s">
        <v>1060</v>
      </c>
      <c r="K1477" s="30">
        <v>1</v>
      </c>
      <c r="L1477" s="9" t="s">
        <v>1061</v>
      </c>
      <c r="M1477" s="30" t="s">
        <v>84</v>
      </c>
      <c r="N1477" s="30" t="s">
        <v>152</v>
      </c>
      <c r="O1477" s="24">
        <v>192</v>
      </c>
      <c r="P1477" s="24">
        <v>0</v>
      </c>
      <c r="Q1477" s="24">
        <v>0</v>
      </c>
      <c r="R1477" s="24">
        <v>0</v>
      </c>
      <c r="S1477" s="24">
        <v>0</v>
      </c>
      <c r="T1477" s="24">
        <v>192</v>
      </c>
    </row>
    <row r="1478" spans="1:20">
      <c r="A1478" s="9" t="s">
        <v>1049</v>
      </c>
      <c r="B1478" s="30" t="s">
        <v>1074</v>
      </c>
      <c r="C1478" s="30" t="str">
        <f>CONCATENATE(VOL_VOLUMEN_SUMINISTROS[[#This Row],[Proyecto]],VOL_VOLUMEN_SUMINISTROS[[#This Row],[J]],VOL_VOLUMEN_SUMINISTROS[[#This Row],[FIN DE SEMANA]])</f>
        <v>1052-2TNO</v>
      </c>
      <c r="D1478" s="365" t="str">
        <f>CONCATENATE(VOL_VOLUMEN_SUMINISTROS[[#This Row],[Grupo]],VOL_VOLUMEN_SUMINISTROS[[#This Row],[Proyecto]],VOL_VOLUMEN_SUMINISTROS[[#This Row],[FIN DE SEMANA]])</f>
        <v>101052-2NO</v>
      </c>
      <c r="E1478" s="30" t="s">
        <v>183</v>
      </c>
      <c r="F1478" s="30" t="s">
        <v>148</v>
      </c>
      <c r="G1478" s="365">
        <v>10</v>
      </c>
      <c r="H1478" s="30">
        <v>8</v>
      </c>
      <c r="I1478" s="9" t="s">
        <v>149</v>
      </c>
      <c r="J1478" s="9" t="s">
        <v>1060</v>
      </c>
      <c r="K1478" s="30">
        <v>1</v>
      </c>
      <c r="L1478" s="9" t="s">
        <v>1061</v>
      </c>
      <c r="M1478" s="30" t="s">
        <v>84</v>
      </c>
      <c r="N1478" s="30" t="s">
        <v>155</v>
      </c>
      <c r="O1478" s="24">
        <v>195</v>
      </c>
      <c r="P1478" s="24">
        <v>0</v>
      </c>
      <c r="Q1478" s="24">
        <v>0</v>
      </c>
      <c r="R1478" s="24">
        <v>0</v>
      </c>
      <c r="S1478" s="24">
        <v>0</v>
      </c>
      <c r="T1478" s="24">
        <v>195</v>
      </c>
    </row>
    <row r="1479" spans="1:20">
      <c r="A1479" s="9" t="s">
        <v>1049</v>
      </c>
      <c r="B1479" s="30" t="s">
        <v>1074</v>
      </c>
      <c r="C1479" s="30" t="str">
        <f>CONCATENATE(VOL_VOLUMEN_SUMINISTROS[[#This Row],[Proyecto]],VOL_VOLUMEN_SUMINISTROS[[#This Row],[J]],VOL_VOLUMEN_SUMINISTROS[[#This Row],[FIN DE SEMANA]])</f>
        <v>1052-2MNO</v>
      </c>
      <c r="D1479" s="365" t="str">
        <f>CONCATENATE(VOL_VOLUMEN_SUMINISTROS[[#This Row],[Grupo]],VOL_VOLUMEN_SUMINISTROS[[#This Row],[Proyecto]],VOL_VOLUMEN_SUMINISTROS[[#This Row],[FIN DE SEMANA]])</f>
        <v>101052-2NO</v>
      </c>
      <c r="E1479" s="30" t="s">
        <v>183</v>
      </c>
      <c r="F1479" s="30" t="s">
        <v>148</v>
      </c>
      <c r="G1479" s="365">
        <v>10</v>
      </c>
      <c r="H1479" s="30">
        <v>8</v>
      </c>
      <c r="I1479" s="9" t="s">
        <v>149</v>
      </c>
      <c r="J1479" s="9" t="s">
        <v>1071</v>
      </c>
      <c r="K1479" s="30">
        <v>1</v>
      </c>
      <c r="L1479" s="9" t="s">
        <v>1072</v>
      </c>
      <c r="M1479" s="30" t="s">
        <v>84</v>
      </c>
      <c r="N1479" s="30" t="s">
        <v>152</v>
      </c>
      <c r="O1479" s="24">
        <v>77</v>
      </c>
      <c r="P1479" s="24">
        <v>0</v>
      </c>
      <c r="Q1479" s="24">
        <v>0</v>
      </c>
      <c r="R1479" s="24">
        <v>0</v>
      </c>
      <c r="S1479" s="24">
        <v>0</v>
      </c>
      <c r="T1479" s="24">
        <v>77</v>
      </c>
    </row>
    <row r="1480" spans="1:20">
      <c r="A1480" s="9" t="s">
        <v>1049</v>
      </c>
      <c r="B1480" s="30" t="s">
        <v>1074</v>
      </c>
      <c r="C1480" s="30" t="str">
        <f>CONCATENATE(VOL_VOLUMEN_SUMINISTROS[[#This Row],[Proyecto]],VOL_VOLUMEN_SUMINISTROS[[#This Row],[J]],VOL_VOLUMEN_SUMINISTROS[[#This Row],[FIN DE SEMANA]])</f>
        <v>1052-2TNO</v>
      </c>
      <c r="D1480" s="365" t="str">
        <f>CONCATENATE(VOL_VOLUMEN_SUMINISTROS[[#This Row],[Grupo]],VOL_VOLUMEN_SUMINISTROS[[#This Row],[Proyecto]],VOL_VOLUMEN_SUMINISTROS[[#This Row],[FIN DE SEMANA]])</f>
        <v>101052-2NO</v>
      </c>
      <c r="E1480" s="30" t="s">
        <v>183</v>
      </c>
      <c r="F1480" s="30" t="s">
        <v>148</v>
      </c>
      <c r="G1480" s="365">
        <v>10</v>
      </c>
      <c r="H1480" s="30">
        <v>8</v>
      </c>
      <c r="I1480" s="9" t="s">
        <v>149</v>
      </c>
      <c r="J1480" s="9" t="s">
        <v>1071</v>
      </c>
      <c r="K1480" s="30">
        <v>1</v>
      </c>
      <c r="L1480" s="9" t="s">
        <v>1072</v>
      </c>
      <c r="M1480" s="30" t="s">
        <v>84</v>
      </c>
      <c r="N1480" s="30" t="s">
        <v>155</v>
      </c>
      <c r="O1480" s="24">
        <v>103</v>
      </c>
      <c r="P1480" s="24">
        <v>0</v>
      </c>
      <c r="Q1480" s="24">
        <v>0</v>
      </c>
      <c r="R1480" s="24">
        <v>0</v>
      </c>
      <c r="S1480" s="24">
        <v>0</v>
      </c>
      <c r="T1480" s="24">
        <v>103</v>
      </c>
    </row>
    <row r="1481" spans="1:20">
      <c r="A1481" s="9" t="s">
        <v>1049</v>
      </c>
      <c r="B1481" s="30" t="s">
        <v>1075</v>
      </c>
      <c r="C1481" s="30" t="str">
        <f>CONCATENATE(VOL_VOLUMEN_SUMINISTROS[[#This Row],[Proyecto]],VOL_VOLUMEN_SUMINISTROS[[#This Row],[J]],VOL_VOLUMEN_SUMINISTROS[[#This Row],[FIN DE SEMANA]])</f>
        <v>1052-1MNO</v>
      </c>
      <c r="D1481" s="365" t="str">
        <f>CONCATENATE(VOL_VOLUMEN_SUMINISTROS[[#This Row],[Grupo]],VOL_VOLUMEN_SUMINISTROS[[#This Row],[Proyecto]],VOL_VOLUMEN_SUMINISTROS[[#This Row],[FIN DE SEMANA]])</f>
        <v>261052-1NO</v>
      </c>
      <c r="E1481" s="30" t="s">
        <v>147</v>
      </c>
      <c r="F1481" s="30" t="s">
        <v>148</v>
      </c>
      <c r="G1481" s="365">
        <v>26</v>
      </c>
      <c r="H1481" s="30">
        <v>18</v>
      </c>
      <c r="I1481" s="9" t="s">
        <v>308</v>
      </c>
      <c r="J1481" s="9" t="s">
        <v>1076</v>
      </c>
      <c r="K1481" s="30">
        <v>1</v>
      </c>
      <c r="L1481" s="9" t="s">
        <v>153</v>
      </c>
      <c r="M1481" s="30" t="s">
        <v>84</v>
      </c>
      <c r="N1481" s="30" t="s">
        <v>152</v>
      </c>
      <c r="O1481" s="24">
        <v>20</v>
      </c>
      <c r="P1481" s="24">
        <v>196</v>
      </c>
      <c r="Q1481" s="24">
        <v>328</v>
      </c>
      <c r="R1481" s="24">
        <v>0</v>
      </c>
      <c r="S1481" s="24">
        <v>0</v>
      </c>
      <c r="T1481" s="24">
        <v>544</v>
      </c>
    </row>
    <row r="1482" spans="1:20">
      <c r="A1482" s="9" t="s">
        <v>1049</v>
      </c>
      <c r="B1482" s="30" t="s">
        <v>1075</v>
      </c>
      <c r="C1482" s="30" t="str">
        <f>CONCATENATE(VOL_VOLUMEN_SUMINISTROS[[#This Row],[Proyecto]],VOL_VOLUMEN_SUMINISTROS[[#This Row],[J]],VOL_VOLUMEN_SUMINISTROS[[#This Row],[FIN DE SEMANA]])</f>
        <v>1052-1MNO</v>
      </c>
      <c r="D1482" s="365" t="str">
        <f>CONCATENATE(VOL_VOLUMEN_SUMINISTROS[[#This Row],[Grupo]],VOL_VOLUMEN_SUMINISTROS[[#This Row],[Proyecto]],VOL_VOLUMEN_SUMINISTROS[[#This Row],[FIN DE SEMANA]])</f>
        <v>261052-1NO</v>
      </c>
      <c r="E1482" s="30" t="s">
        <v>147</v>
      </c>
      <c r="F1482" s="30" t="s">
        <v>148</v>
      </c>
      <c r="G1482" s="365">
        <v>26</v>
      </c>
      <c r="H1482" s="30">
        <v>18</v>
      </c>
      <c r="I1482" s="9" t="s">
        <v>308</v>
      </c>
      <c r="J1482" s="9" t="s">
        <v>1076</v>
      </c>
      <c r="K1482" s="30">
        <v>2</v>
      </c>
      <c r="L1482" s="9" t="s">
        <v>1077</v>
      </c>
      <c r="M1482" s="30" t="s">
        <v>84</v>
      </c>
      <c r="N1482" s="30" t="s">
        <v>152</v>
      </c>
      <c r="O1482" s="24">
        <v>215</v>
      </c>
      <c r="P1482" s="24">
        <v>45</v>
      </c>
      <c r="Q1482" s="24">
        <v>0</v>
      </c>
      <c r="R1482" s="24">
        <v>0</v>
      </c>
      <c r="S1482" s="24">
        <v>0</v>
      </c>
      <c r="T1482" s="24">
        <v>260</v>
      </c>
    </row>
    <row r="1483" spans="1:20">
      <c r="A1483" s="9" t="s">
        <v>1049</v>
      </c>
      <c r="B1483" s="30" t="s">
        <v>1075</v>
      </c>
      <c r="C1483" s="30" t="str">
        <f>CONCATENATE(VOL_VOLUMEN_SUMINISTROS[[#This Row],[Proyecto]],VOL_VOLUMEN_SUMINISTROS[[#This Row],[J]],VOL_VOLUMEN_SUMINISTROS[[#This Row],[FIN DE SEMANA]])</f>
        <v>1052-1MNO</v>
      </c>
      <c r="D1483" s="365" t="str">
        <f>CONCATENATE(VOL_VOLUMEN_SUMINISTROS[[#This Row],[Grupo]],VOL_VOLUMEN_SUMINISTROS[[#This Row],[Proyecto]],VOL_VOLUMEN_SUMINISTROS[[#This Row],[FIN DE SEMANA]])</f>
        <v>261052-1NO</v>
      </c>
      <c r="E1483" s="30" t="s">
        <v>147</v>
      </c>
      <c r="F1483" s="30" t="s">
        <v>148</v>
      </c>
      <c r="G1483" s="365">
        <v>26</v>
      </c>
      <c r="H1483" s="30">
        <v>18</v>
      </c>
      <c r="I1483" s="9" t="s">
        <v>308</v>
      </c>
      <c r="J1483" s="9" t="s">
        <v>1076</v>
      </c>
      <c r="K1483" s="30">
        <v>3</v>
      </c>
      <c r="L1483" s="9" t="s">
        <v>458</v>
      </c>
      <c r="M1483" s="30" t="s">
        <v>84</v>
      </c>
      <c r="N1483" s="30" t="s">
        <v>152</v>
      </c>
      <c r="O1483" s="24">
        <v>86</v>
      </c>
      <c r="P1483" s="24">
        <v>118</v>
      </c>
      <c r="Q1483" s="24">
        <v>25</v>
      </c>
      <c r="R1483" s="24">
        <v>0</v>
      </c>
      <c r="S1483" s="24">
        <v>0</v>
      </c>
      <c r="T1483" s="24">
        <v>229</v>
      </c>
    </row>
    <row r="1484" spans="1:20">
      <c r="A1484" s="9" t="s">
        <v>1049</v>
      </c>
      <c r="B1484" s="30" t="s">
        <v>1075</v>
      </c>
      <c r="C1484" s="30" t="str">
        <f>CONCATENATE(VOL_VOLUMEN_SUMINISTROS[[#This Row],[Proyecto]],VOL_VOLUMEN_SUMINISTROS[[#This Row],[J]],VOL_VOLUMEN_SUMINISTROS[[#This Row],[FIN DE SEMANA]])</f>
        <v>1052-1MNO</v>
      </c>
      <c r="D1484" s="365" t="str">
        <f>CONCATENATE(VOL_VOLUMEN_SUMINISTROS[[#This Row],[Grupo]],VOL_VOLUMEN_SUMINISTROS[[#This Row],[Proyecto]],VOL_VOLUMEN_SUMINISTROS[[#This Row],[FIN DE SEMANA]])</f>
        <v>261052-1NO</v>
      </c>
      <c r="E1484" s="30" t="s">
        <v>147</v>
      </c>
      <c r="F1484" s="30" t="s">
        <v>148</v>
      </c>
      <c r="G1484" s="365">
        <v>26</v>
      </c>
      <c r="H1484" s="30">
        <v>18</v>
      </c>
      <c r="I1484" s="9" t="s">
        <v>308</v>
      </c>
      <c r="J1484" s="9" t="s">
        <v>1078</v>
      </c>
      <c r="K1484" s="30">
        <v>1</v>
      </c>
      <c r="L1484" s="9" t="s">
        <v>153</v>
      </c>
      <c r="M1484" s="30" t="s">
        <v>84</v>
      </c>
      <c r="N1484" s="30" t="s">
        <v>152</v>
      </c>
      <c r="O1484" s="24">
        <v>0</v>
      </c>
      <c r="P1484" s="24">
        <v>168</v>
      </c>
      <c r="Q1484" s="24">
        <v>484</v>
      </c>
      <c r="R1484" s="24">
        <v>0</v>
      </c>
      <c r="S1484" s="24">
        <v>0</v>
      </c>
      <c r="T1484" s="24">
        <v>652</v>
      </c>
    </row>
    <row r="1485" spans="1:20">
      <c r="A1485" s="9" t="s">
        <v>1049</v>
      </c>
      <c r="B1485" s="30" t="s">
        <v>1075</v>
      </c>
      <c r="C1485" s="30" t="str">
        <f>CONCATENATE(VOL_VOLUMEN_SUMINISTROS[[#This Row],[Proyecto]],VOL_VOLUMEN_SUMINISTROS[[#This Row],[J]],VOL_VOLUMEN_SUMINISTROS[[#This Row],[FIN DE SEMANA]])</f>
        <v>1052-1TNO</v>
      </c>
      <c r="D1485" s="365" t="str">
        <f>CONCATENATE(VOL_VOLUMEN_SUMINISTROS[[#This Row],[Grupo]],VOL_VOLUMEN_SUMINISTROS[[#This Row],[Proyecto]],VOL_VOLUMEN_SUMINISTROS[[#This Row],[FIN DE SEMANA]])</f>
        <v>261052-1NO</v>
      </c>
      <c r="E1485" s="30" t="s">
        <v>147</v>
      </c>
      <c r="F1485" s="30" t="s">
        <v>148</v>
      </c>
      <c r="G1485" s="365">
        <v>26</v>
      </c>
      <c r="H1485" s="30">
        <v>18</v>
      </c>
      <c r="I1485" s="9" t="s">
        <v>308</v>
      </c>
      <c r="J1485" s="9" t="s">
        <v>1078</v>
      </c>
      <c r="K1485" s="30">
        <v>1</v>
      </c>
      <c r="L1485" s="9" t="s">
        <v>1079</v>
      </c>
      <c r="M1485" s="30" t="s">
        <v>84</v>
      </c>
      <c r="N1485" s="30" t="s">
        <v>155</v>
      </c>
      <c r="O1485" s="24">
        <v>0</v>
      </c>
      <c r="P1485" s="24">
        <v>120</v>
      </c>
      <c r="Q1485" s="24">
        <v>288</v>
      </c>
      <c r="R1485" s="24">
        <v>0</v>
      </c>
      <c r="S1485" s="24">
        <v>0</v>
      </c>
      <c r="T1485" s="24">
        <v>408</v>
      </c>
    </row>
    <row r="1486" spans="1:20">
      <c r="A1486" s="9" t="s">
        <v>1049</v>
      </c>
      <c r="B1486" s="30" t="s">
        <v>1075</v>
      </c>
      <c r="C1486" s="30" t="str">
        <f>CONCATENATE(VOL_VOLUMEN_SUMINISTROS[[#This Row],[Proyecto]],VOL_VOLUMEN_SUMINISTROS[[#This Row],[J]],VOL_VOLUMEN_SUMINISTROS[[#This Row],[FIN DE SEMANA]])</f>
        <v>1052-1MNO</v>
      </c>
      <c r="D1486" s="365" t="str">
        <f>CONCATENATE(VOL_VOLUMEN_SUMINISTROS[[#This Row],[Grupo]],VOL_VOLUMEN_SUMINISTROS[[#This Row],[Proyecto]],VOL_VOLUMEN_SUMINISTROS[[#This Row],[FIN DE SEMANA]])</f>
        <v>261052-1NO</v>
      </c>
      <c r="E1486" s="30" t="s">
        <v>147</v>
      </c>
      <c r="F1486" s="30" t="s">
        <v>148</v>
      </c>
      <c r="G1486" s="365">
        <v>26</v>
      </c>
      <c r="H1486" s="30">
        <v>18</v>
      </c>
      <c r="I1486" s="9" t="s">
        <v>308</v>
      </c>
      <c r="J1486" s="9" t="s">
        <v>1078</v>
      </c>
      <c r="K1486" s="30">
        <v>2</v>
      </c>
      <c r="L1486" s="9" t="s">
        <v>1080</v>
      </c>
      <c r="M1486" s="30" t="s">
        <v>84</v>
      </c>
      <c r="N1486" s="30" t="s">
        <v>152</v>
      </c>
      <c r="O1486" s="24">
        <v>208</v>
      </c>
      <c r="P1486" s="24">
        <v>170</v>
      </c>
      <c r="Q1486" s="24">
        <v>36</v>
      </c>
      <c r="R1486" s="24">
        <v>0</v>
      </c>
      <c r="S1486" s="24">
        <v>0</v>
      </c>
      <c r="T1486" s="24">
        <v>414</v>
      </c>
    </row>
    <row r="1487" spans="1:20">
      <c r="A1487" s="9" t="s">
        <v>1049</v>
      </c>
      <c r="B1487" s="30" t="s">
        <v>1075</v>
      </c>
      <c r="C1487" s="30" t="str">
        <f>CONCATENATE(VOL_VOLUMEN_SUMINISTROS[[#This Row],[Proyecto]],VOL_VOLUMEN_SUMINISTROS[[#This Row],[J]],VOL_VOLUMEN_SUMINISTROS[[#This Row],[FIN DE SEMANA]])</f>
        <v>1052-1TNO</v>
      </c>
      <c r="D1487" s="365" t="str">
        <f>CONCATENATE(VOL_VOLUMEN_SUMINISTROS[[#This Row],[Grupo]],VOL_VOLUMEN_SUMINISTROS[[#This Row],[Proyecto]],VOL_VOLUMEN_SUMINISTROS[[#This Row],[FIN DE SEMANA]])</f>
        <v>261052-1NO</v>
      </c>
      <c r="E1487" s="30" t="s">
        <v>147</v>
      </c>
      <c r="F1487" s="30" t="s">
        <v>148</v>
      </c>
      <c r="G1487" s="365">
        <v>26</v>
      </c>
      <c r="H1487" s="30">
        <v>18</v>
      </c>
      <c r="I1487" s="9" t="s">
        <v>308</v>
      </c>
      <c r="J1487" s="9" t="s">
        <v>1078</v>
      </c>
      <c r="K1487" s="30">
        <v>2</v>
      </c>
      <c r="L1487" s="9" t="s">
        <v>1080</v>
      </c>
      <c r="M1487" s="30" t="s">
        <v>84</v>
      </c>
      <c r="N1487" s="30" t="s">
        <v>155</v>
      </c>
      <c r="O1487" s="24">
        <v>218</v>
      </c>
      <c r="P1487" s="24">
        <v>167</v>
      </c>
      <c r="Q1487" s="24">
        <v>34</v>
      </c>
      <c r="R1487" s="24">
        <v>0</v>
      </c>
      <c r="S1487" s="24">
        <v>0</v>
      </c>
      <c r="T1487" s="24">
        <v>419</v>
      </c>
    </row>
    <row r="1488" spans="1:20">
      <c r="A1488" s="9" t="s">
        <v>1049</v>
      </c>
      <c r="B1488" s="30" t="s">
        <v>1075</v>
      </c>
      <c r="C1488" s="30" t="str">
        <f>CONCATENATE(VOL_VOLUMEN_SUMINISTROS[[#This Row],[Proyecto]],VOL_VOLUMEN_SUMINISTROS[[#This Row],[J]],VOL_VOLUMEN_SUMINISTROS[[#This Row],[FIN DE SEMANA]])</f>
        <v>1052-1MNO</v>
      </c>
      <c r="D1488" s="365" t="str">
        <f>CONCATENATE(VOL_VOLUMEN_SUMINISTROS[[#This Row],[Grupo]],VOL_VOLUMEN_SUMINISTROS[[#This Row],[Proyecto]],VOL_VOLUMEN_SUMINISTROS[[#This Row],[FIN DE SEMANA]])</f>
        <v>261052-1NO</v>
      </c>
      <c r="E1488" s="30" t="s">
        <v>147</v>
      </c>
      <c r="F1488" s="30" t="s">
        <v>148</v>
      </c>
      <c r="G1488" s="365">
        <v>26</v>
      </c>
      <c r="H1488" s="30">
        <v>18</v>
      </c>
      <c r="I1488" s="9" t="s">
        <v>308</v>
      </c>
      <c r="J1488" s="9" t="s">
        <v>1078</v>
      </c>
      <c r="K1488" s="30">
        <v>3</v>
      </c>
      <c r="L1488" s="9" t="s">
        <v>1081</v>
      </c>
      <c r="M1488" s="30" t="s">
        <v>84</v>
      </c>
      <c r="N1488" s="30" t="s">
        <v>152</v>
      </c>
      <c r="O1488" s="24">
        <v>109</v>
      </c>
      <c r="P1488" s="24">
        <v>81</v>
      </c>
      <c r="Q1488" s="24">
        <v>18</v>
      </c>
      <c r="R1488" s="24">
        <v>0</v>
      </c>
      <c r="S1488" s="24">
        <v>0</v>
      </c>
      <c r="T1488" s="24">
        <v>208</v>
      </c>
    </row>
    <row r="1489" spans="1:20">
      <c r="A1489" s="9" t="s">
        <v>1049</v>
      </c>
      <c r="B1489" s="30" t="s">
        <v>1075</v>
      </c>
      <c r="C1489" s="30" t="str">
        <f>CONCATENATE(VOL_VOLUMEN_SUMINISTROS[[#This Row],[Proyecto]],VOL_VOLUMEN_SUMINISTROS[[#This Row],[J]],VOL_VOLUMEN_SUMINISTROS[[#This Row],[FIN DE SEMANA]])</f>
        <v>1052-1TNO</v>
      </c>
      <c r="D1489" s="365" t="str">
        <f>CONCATENATE(VOL_VOLUMEN_SUMINISTROS[[#This Row],[Grupo]],VOL_VOLUMEN_SUMINISTROS[[#This Row],[Proyecto]],VOL_VOLUMEN_SUMINISTROS[[#This Row],[FIN DE SEMANA]])</f>
        <v>261052-1NO</v>
      </c>
      <c r="E1489" s="30" t="s">
        <v>147</v>
      </c>
      <c r="F1489" s="30" t="s">
        <v>148</v>
      </c>
      <c r="G1489" s="365">
        <v>26</v>
      </c>
      <c r="H1489" s="30">
        <v>18</v>
      </c>
      <c r="I1489" s="9" t="s">
        <v>308</v>
      </c>
      <c r="J1489" s="9" t="s">
        <v>1078</v>
      </c>
      <c r="K1489" s="30">
        <v>3</v>
      </c>
      <c r="L1489" s="9" t="s">
        <v>1081</v>
      </c>
      <c r="M1489" s="30" t="s">
        <v>84</v>
      </c>
      <c r="N1489" s="30" t="s">
        <v>155</v>
      </c>
      <c r="O1489" s="24">
        <v>101</v>
      </c>
      <c r="P1489" s="24">
        <v>71</v>
      </c>
      <c r="Q1489" s="24">
        <v>15</v>
      </c>
      <c r="R1489" s="24">
        <v>0</v>
      </c>
      <c r="S1489" s="24">
        <v>0</v>
      </c>
      <c r="T1489" s="24">
        <v>187</v>
      </c>
    </row>
    <row r="1490" spans="1:20">
      <c r="A1490" s="9" t="s">
        <v>1049</v>
      </c>
      <c r="B1490" s="30" t="s">
        <v>1075</v>
      </c>
      <c r="C1490" s="30" t="str">
        <f>CONCATENATE(VOL_VOLUMEN_SUMINISTROS[[#This Row],[Proyecto]],VOL_VOLUMEN_SUMINISTROS[[#This Row],[J]],VOL_VOLUMEN_SUMINISTROS[[#This Row],[FIN DE SEMANA]])</f>
        <v>1052-1MNO</v>
      </c>
      <c r="D1490" s="365" t="str">
        <f>CONCATENATE(VOL_VOLUMEN_SUMINISTROS[[#This Row],[Grupo]],VOL_VOLUMEN_SUMINISTROS[[#This Row],[Proyecto]],VOL_VOLUMEN_SUMINISTROS[[#This Row],[FIN DE SEMANA]])</f>
        <v>261052-1NO</v>
      </c>
      <c r="E1490" s="30" t="s">
        <v>147</v>
      </c>
      <c r="F1490" s="30" t="s">
        <v>148</v>
      </c>
      <c r="G1490" s="365">
        <v>26</v>
      </c>
      <c r="H1490" s="30">
        <v>18</v>
      </c>
      <c r="I1490" s="9" t="s">
        <v>308</v>
      </c>
      <c r="J1490" s="9" t="s">
        <v>1082</v>
      </c>
      <c r="K1490" s="30">
        <v>1</v>
      </c>
      <c r="L1490" s="9" t="s">
        <v>1083</v>
      </c>
      <c r="M1490" s="30" t="s">
        <v>84</v>
      </c>
      <c r="N1490" s="30" t="s">
        <v>152</v>
      </c>
      <c r="O1490" s="24">
        <v>142</v>
      </c>
      <c r="P1490" s="24">
        <v>270</v>
      </c>
      <c r="Q1490" s="24">
        <v>290</v>
      </c>
      <c r="R1490" s="24">
        <v>0</v>
      </c>
      <c r="S1490" s="24">
        <v>0</v>
      </c>
      <c r="T1490" s="24">
        <v>702</v>
      </c>
    </row>
    <row r="1491" spans="1:20">
      <c r="A1491" s="9" t="s">
        <v>1049</v>
      </c>
      <c r="B1491" s="30" t="s">
        <v>1075</v>
      </c>
      <c r="C1491" s="30" t="str">
        <f>CONCATENATE(VOL_VOLUMEN_SUMINISTROS[[#This Row],[Proyecto]],VOL_VOLUMEN_SUMINISTROS[[#This Row],[J]],VOL_VOLUMEN_SUMINISTROS[[#This Row],[FIN DE SEMANA]])</f>
        <v>1052-1TNO</v>
      </c>
      <c r="D1491" s="365" t="str">
        <f>CONCATENATE(VOL_VOLUMEN_SUMINISTROS[[#This Row],[Grupo]],VOL_VOLUMEN_SUMINISTROS[[#This Row],[Proyecto]],VOL_VOLUMEN_SUMINISTROS[[#This Row],[FIN DE SEMANA]])</f>
        <v>261052-1NO</v>
      </c>
      <c r="E1491" s="30" t="s">
        <v>147</v>
      </c>
      <c r="F1491" s="30" t="s">
        <v>148</v>
      </c>
      <c r="G1491" s="365">
        <v>26</v>
      </c>
      <c r="H1491" s="30">
        <v>18</v>
      </c>
      <c r="I1491" s="9" t="s">
        <v>308</v>
      </c>
      <c r="J1491" s="9" t="s">
        <v>1082</v>
      </c>
      <c r="K1491" s="30">
        <v>1</v>
      </c>
      <c r="L1491" s="9" t="s">
        <v>1084</v>
      </c>
      <c r="M1491" s="30" t="s">
        <v>84</v>
      </c>
      <c r="N1491" s="30" t="s">
        <v>155</v>
      </c>
      <c r="O1491" s="24">
        <v>186</v>
      </c>
      <c r="P1491" s="24">
        <v>192</v>
      </c>
      <c r="Q1491" s="24">
        <v>234</v>
      </c>
      <c r="R1491" s="24">
        <v>0</v>
      </c>
      <c r="S1491" s="24">
        <v>0</v>
      </c>
      <c r="T1491" s="24">
        <v>612</v>
      </c>
    </row>
    <row r="1492" spans="1:20">
      <c r="A1492" s="9" t="s">
        <v>1049</v>
      </c>
      <c r="B1492" s="30" t="s">
        <v>1075</v>
      </c>
      <c r="C1492" s="30" t="str">
        <f>CONCATENATE(VOL_VOLUMEN_SUMINISTROS[[#This Row],[Proyecto]],VOL_VOLUMEN_SUMINISTROS[[#This Row],[J]],VOL_VOLUMEN_SUMINISTROS[[#This Row],[FIN DE SEMANA]])</f>
        <v>1052-1MNO</v>
      </c>
      <c r="D1492" s="365" t="str">
        <f>CONCATENATE(VOL_VOLUMEN_SUMINISTROS[[#This Row],[Grupo]],VOL_VOLUMEN_SUMINISTROS[[#This Row],[Proyecto]],VOL_VOLUMEN_SUMINISTROS[[#This Row],[FIN DE SEMANA]])</f>
        <v>261052-1NO</v>
      </c>
      <c r="E1492" s="30" t="s">
        <v>147</v>
      </c>
      <c r="F1492" s="30" t="s">
        <v>148</v>
      </c>
      <c r="G1492" s="365">
        <v>26</v>
      </c>
      <c r="H1492" s="30">
        <v>18</v>
      </c>
      <c r="I1492" s="9" t="s">
        <v>308</v>
      </c>
      <c r="J1492" s="9" t="s">
        <v>1085</v>
      </c>
      <c r="K1492" s="30">
        <v>1</v>
      </c>
      <c r="L1492" s="9" t="s">
        <v>1086</v>
      </c>
      <c r="M1492" s="30" t="s">
        <v>84</v>
      </c>
      <c r="N1492" s="30" t="s">
        <v>152</v>
      </c>
      <c r="O1492" s="24">
        <v>0</v>
      </c>
      <c r="P1492" s="24">
        <v>240</v>
      </c>
      <c r="Q1492" s="24">
        <v>592</v>
      </c>
      <c r="R1492" s="24">
        <v>0</v>
      </c>
      <c r="S1492" s="24">
        <v>0</v>
      </c>
      <c r="T1492" s="24">
        <v>832</v>
      </c>
    </row>
    <row r="1493" spans="1:20">
      <c r="A1493" s="9" t="s">
        <v>1049</v>
      </c>
      <c r="B1493" s="30" t="s">
        <v>1075</v>
      </c>
      <c r="C1493" s="30" t="str">
        <f>CONCATENATE(VOL_VOLUMEN_SUMINISTROS[[#This Row],[Proyecto]],VOL_VOLUMEN_SUMINISTROS[[#This Row],[J]],VOL_VOLUMEN_SUMINISTROS[[#This Row],[FIN DE SEMANA]])</f>
        <v>1052-1MNO</v>
      </c>
      <c r="D1493" s="365" t="str">
        <f>CONCATENATE(VOL_VOLUMEN_SUMINISTROS[[#This Row],[Grupo]],VOL_VOLUMEN_SUMINISTROS[[#This Row],[Proyecto]],VOL_VOLUMEN_SUMINISTROS[[#This Row],[FIN DE SEMANA]])</f>
        <v>261052-1NO</v>
      </c>
      <c r="E1493" s="30" t="s">
        <v>147</v>
      </c>
      <c r="F1493" s="30" t="s">
        <v>148</v>
      </c>
      <c r="G1493" s="365">
        <v>26</v>
      </c>
      <c r="H1493" s="30">
        <v>18</v>
      </c>
      <c r="I1493" s="9" t="s">
        <v>308</v>
      </c>
      <c r="J1493" s="9" t="s">
        <v>1085</v>
      </c>
      <c r="K1493" s="30">
        <v>2</v>
      </c>
      <c r="L1493" s="9" t="s">
        <v>1087</v>
      </c>
      <c r="M1493" s="30" t="s">
        <v>84</v>
      </c>
      <c r="N1493" s="30" t="s">
        <v>152</v>
      </c>
      <c r="O1493" s="24">
        <v>255</v>
      </c>
      <c r="P1493" s="24">
        <v>176</v>
      </c>
      <c r="Q1493" s="24">
        <v>35</v>
      </c>
      <c r="R1493" s="24">
        <v>0</v>
      </c>
      <c r="S1493" s="24">
        <v>0</v>
      </c>
      <c r="T1493" s="24">
        <v>466</v>
      </c>
    </row>
    <row r="1494" spans="1:20">
      <c r="A1494" s="9" t="s">
        <v>1049</v>
      </c>
      <c r="B1494" s="30" t="s">
        <v>1075</v>
      </c>
      <c r="C1494" s="30" t="str">
        <f>CONCATENATE(VOL_VOLUMEN_SUMINISTROS[[#This Row],[Proyecto]],VOL_VOLUMEN_SUMINISTROS[[#This Row],[J]],VOL_VOLUMEN_SUMINISTROS[[#This Row],[FIN DE SEMANA]])</f>
        <v>1052-1TNO</v>
      </c>
      <c r="D1494" s="365" t="str">
        <f>CONCATENATE(VOL_VOLUMEN_SUMINISTROS[[#This Row],[Grupo]],VOL_VOLUMEN_SUMINISTROS[[#This Row],[Proyecto]],VOL_VOLUMEN_SUMINISTROS[[#This Row],[FIN DE SEMANA]])</f>
        <v>261052-1NO</v>
      </c>
      <c r="E1494" s="30" t="s">
        <v>147</v>
      </c>
      <c r="F1494" s="30" t="s">
        <v>148</v>
      </c>
      <c r="G1494" s="365">
        <v>26</v>
      </c>
      <c r="H1494" s="30">
        <v>18</v>
      </c>
      <c r="I1494" s="9" t="s">
        <v>308</v>
      </c>
      <c r="J1494" s="9" t="s">
        <v>1085</v>
      </c>
      <c r="K1494" s="30">
        <v>2</v>
      </c>
      <c r="L1494" s="9" t="s">
        <v>1087</v>
      </c>
      <c r="M1494" s="30" t="s">
        <v>84</v>
      </c>
      <c r="N1494" s="30" t="s">
        <v>155</v>
      </c>
      <c r="O1494" s="24">
        <v>150</v>
      </c>
      <c r="P1494" s="24">
        <v>130</v>
      </c>
      <c r="Q1494" s="24">
        <v>27</v>
      </c>
      <c r="R1494" s="24">
        <v>0</v>
      </c>
      <c r="S1494" s="24">
        <v>0</v>
      </c>
      <c r="T1494" s="24">
        <v>307</v>
      </c>
    </row>
    <row r="1495" spans="1:20">
      <c r="A1495" s="9" t="s">
        <v>1049</v>
      </c>
      <c r="B1495" s="30" t="s">
        <v>1075</v>
      </c>
      <c r="C1495" s="30" t="str">
        <f>CONCATENATE(VOL_VOLUMEN_SUMINISTROS[[#This Row],[Proyecto]],VOL_VOLUMEN_SUMINISTROS[[#This Row],[J]],VOL_VOLUMEN_SUMINISTROS[[#This Row],[FIN DE SEMANA]])</f>
        <v>1052-1MNO</v>
      </c>
      <c r="D1495" s="365" t="str">
        <f>CONCATENATE(VOL_VOLUMEN_SUMINISTROS[[#This Row],[Grupo]],VOL_VOLUMEN_SUMINISTROS[[#This Row],[Proyecto]],VOL_VOLUMEN_SUMINISTROS[[#This Row],[FIN DE SEMANA]])</f>
        <v>261052-1NO</v>
      </c>
      <c r="E1495" s="30" t="s">
        <v>147</v>
      </c>
      <c r="F1495" s="30" t="s">
        <v>148</v>
      </c>
      <c r="G1495" s="365">
        <v>26</v>
      </c>
      <c r="H1495" s="30">
        <v>18</v>
      </c>
      <c r="I1495" s="9" t="s">
        <v>308</v>
      </c>
      <c r="J1495" s="9" t="s">
        <v>1085</v>
      </c>
      <c r="K1495" s="30">
        <v>3</v>
      </c>
      <c r="L1495" s="9" t="s">
        <v>1088</v>
      </c>
      <c r="M1495" s="30" t="s">
        <v>84</v>
      </c>
      <c r="N1495" s="30" t="s">
        <v>152</v>
      </c>
      <c r="O1495" s="24">
        <v>0</v>
      </c>
      <c r="P1495" s="24">
        <v>84</v>
      </c>
      <c r="Q1495" s="24">
        <v>28</v>
      </c>
      <c r="R1495" s="24">
        <v>0</v>
      </c>
      <c r="S1495" s="24">
        <v>0</v>
      </c>
      <c r="T1495" s="24">
        <v>112</v>
      </c>
    </row>
    <row r="1496" spans="1:20">
      <c r="A1496" s="9" t="s">
        <v>1049</v>
      </c>
      <c r="B1496" s="30" t="s">
        <v>1075</v>
      </c>
      <c r="C1496" s="30" t="str">
        <f>CONCATENATE(VOL_VOLUMEN_SUMINISTROS[[#This Row],[Proyecto]],VOL_VOLUMEN_SUMINISTROS[[#This Row],[J]],VOL_VOLUMEN_SUMINISTROS[[#This Row],[FIN DE SEMANA]])</f>
        <v>1052-1TNO</v>
      </c>
      <c r="D1496" s="365" t="str">
        <f>CONCATENATE(VOL_VOLUMEN_SUMINISTROS[[#This Row],[Grupo]],VOL_VOLUMEN_SUMINISTROS[[#This Row],[Proyecto]],VOL_VOLUMEN_SUMINISTROS[[#This Row],[FIN DE SEMANA]])</f>
        <v>261052-1NO</v>
      </c>
      <c r="E1496" s="30" t="s">
        <v>147</v>
      </c>
      <c r="F1496" s="30" t="s">
        <v>148</v>
      </c>
      <c r="G1496" s="365">
        <v>26</v>
      </c>
      <c r="H1496" s="30">
        <v>18</v>
      </c>
      <c r="I1496" s="9" t="s">
        <v>308</v>
      </c>
      <c r="J1496" s="9" t="s">
        <v>1085</v>
      </c>
      <c r="K1496" s="30">
        <v>3</v>
      </c>
      <c r="L1496" s="9" t="s">
        <v>1088</v>
      </c>
      <c r="M1496" s="30" t="s">
        <v>84</v>
      </c>
      <c r="N1496" s="30" t="s">
        <v>155</v>
      </c>
      <c r="O1496" s="24">
        <v>0</v>
      </c>
      <c r="P1496" s="24">
        <v>114</v>
      </c>
      <c r="Q1496" s="24">
        <v>38</v>
      </c>
      <c r="R1496" s="24">
        <v>0</v>
      </c>
      <c r="S1496" s="24">
        <v>0</v>
      </c>
      <c r="T1496" s="24">
        <v>152</v>
      </c>
    </row>
    <row r="1497" spans="1:20">
      <c r="A1497" s="9" t="s">
        <v>1049</v>
      </c>
      <c r="B1497" s="30" t="s">
        <v>1075</v>
      </c>
      <c r="C1497" s="30" t="str">
        <f>CONCATENATE(VOL_VOLUMEN_SUMINISTROS[[#This Row],[Proyecto]],VOL_VOLUMEN_SUMINISTROS[[#This Row],[J]],VOL_VOLUMEN_SUMINISTROS[[#This Row],[FIN DE SEMANA]])</f>
        <v>1052-1MNO</v>
      </c>
      <c r="D1497" s="365" t="str">
        <f>CONCATENATE(VOL_VOLUMEN_SUMINISTROS[[#This Row],[Grupo]],VOL_VOLUMEN_SUMINISTROS[[#This Row],[Proyecto]],VOL_VOLUMEN_SUMINISTROS[[#This Row],[FIN DE SEMANA]])</f>
        <v>261052-1NO</v>
      </c>
      <c r="E1497" s="30" t="s">
        <v>147</v>
      </c>
      <c r="F1497" s="30" t="s">
        <v>148</v>
      </c>
      <c r="G1497" s="365">
        <v>26</v>
      </c>
      <c r="H1497" s="30">
        <v>18</v>
      </c>
      <c r="I1497" s="9" t="s">
        <v>308</v>
      </c>
      <c r="J1497" s="9" t="s">
        <v>1085</v>
      </c>
      <c r="K1497" s="30">
        <v>4</v>
      </c>
      <c r="L1497" s="9" t="s">
        <v>1089</v>
      </c>
      <c r="M1497" s="30" t="s">
        <v>84</v>
      </c>
      <c r="N1497" s="30" t="s">
        <v>152</v>
      </c>
      <c r="O1497" s="24">
        <v>0</v>
      </c>
      <c r="P1497" s="24">
        <v>0</v>
      </c>
      <c r="Q1497" s="24">
        <v>211</v>
      </c>
      <c r="R1497" s="24">
        <v>0</v>
      </c>
      <c r="S1497" s="24">
        <v>0</v>
      </c>
      <c r="T1497" s="24">
        <v>211</v>
      </c>
    </row>
    <row r="1498" spans="1:20">
      <c r="A1498" s="9" t="s">
        <v>1049</v>
      </c>
      <c r="B1498" s="30" t="s">
        <v>1075</v>
      </c>
      <c r="C1498" s="30" t="str">
        <f>CONCATENATE(VOL_VOLUMEN_SUMINISTROS[[#This Row],[Proyecto]],VOL_VOLUMEN_SUMINISTROS[[#This Row],[J]],VOL_VOLUMEN_SUMINISTROS[[#This Row],[FIN DE SEMANA]])</f>
        <v>1052-1TNO</v>
      </c>
      <c r="D1498" s="365" t="str">
        <f>CONCATENATE(VOL_VOLUMEN_SUMINISTROS[[#This Row],[Grupo]],VOL_VOLUMEN_SUMINISTROS[[#This Row],[Proyecto]],VOL_VOLUMEN_SUMINISTROS[[#This Row],[FIN DE SEMANA]])</f>
        <v>261052-1NO</v>
      </c>
      <c r="E1498" s="30" t="s">
        <v>147</v>
      </c>
      <c r="F1498" s="30" t="s">
        <v>148</v>
      </c>
      <c r="G1498" s="365">
        <v>26</v>
      </c>
      <c r="H1498" s="30">
        <v>18</v>
      </c>
      <c r="I1498" s="9" t="s">
        <v>308</v>
      </c>
      <c r="J1498" s="9" t="s">
        <v>1085</v>
      </c>
      <c r="K1498" s="30">
        <v>4</v>
      </c>
      <c r="L1498" s="9" t="s">
        <v>1089</v>
      </c>
      <c r="M1498" s="30" t="s">
        <v>84</v>
      </c>
      <c r="N1498" s="30" t="s">
        <v>155</v>
      </c>
      <c r="O1498" s="24">
        <v>0</v>
      </c>
      <c r="P1498" s="24">
        <v>0</v>
      </c>
      <c r="Q1498" s="24">
        <v>196</v>
      </c>
      <c r="R1498" s="24">
        <v>0</v>
      </c>
      <c r="S1498" s="24">
        <v>0</v>
      </c>
      <c r="T1498" s="24">
        <v>196</v>
      </c>
    </row>
    <row r="1499" spans="1:20">
      <c r="A1499" s="9" t="s">
        <v>1049</v>
      </c>
      <c r="B1499" s="30" t="s">
        <v>1075</v>
      </c>
      <c r="C1499" s="30" t="str">
        <f>CONCATENATE(VOL_VOLUMEN_SUMINISTROS[[#This Row],[Proyecto]],VOL_VOLUMEN_SUMINISTROS[[#This Row],[J]],VOL_VOLUMEN_SUMINISTROS[[#This Row],[FIN DE SEMANA]])</f>
        <v>1052-1MNO</v>
      </c>
      <c r="D1499" s="365" t="str">
        <f>CONCATENATE(VOL_VOLUMEN_SUMINISTROS[[#This Row],[Grupo]],VOL_VOLUMEN_SUMINISTROS[[#This Row],[Proyecto]],VOL_VOLUMEN_SUMINISTROS[[#This Row],[FIN DE SEMANA]])</f>
        <v>261052-1NO</v>
      </c>
      <c r="E1499" s="30" t="s">
        <v>147</v>
      </c>
      <c r="F1499" s="30" t="s">
        <v>148</v>
      </c>
      <c r="G1499" s="365">
        <v>26</v>
      </c>
      <c r="H1499" s="30">
        <v>18</v>
      </c>
      <c r="I1499" s="9" t="s">
        <v>308</v>
      </c>
      <c r="J1499" s="9" t="s">
        <v>1090</v>
      </c>
      <c r="K1499" s="30">
        <v>1</v>
      </c>
      <c r="L1499" s="9" t="s">
        <v>318</v>
      </c>
      <c r="M1499" s="30" t="s">
        <v>84</v>
      </c>
      <c r="N1499" s="30" t="s">
        <v>152</v>
      </c>
      <c r="O1499" s="24">
        <v>248</v>
      </c>
      <c r="P1499" s="24">
        <v>267</v>
      </c>
      <c r="Q1499" s="24">
        <v>211</v>
      </c>
      <c r="R1499" s="24">
        <v>0</v>
      </c>
      <c r="S1499" s="24">
        <v>0</v>
      </c>
      <c r="T1499" s="24">
        <v>726</v>
      </c>
    </row>
    <row r="1500" spans="1:20">
      <c r="A1500" s="9" t="s">
        <v>1049</v>
      </c>
      <c r="B1500" s="30" t="s">
        <v>1075</v>
      </c>
      <c r="C1500" s="30" t="str">
        <f>CONCATENATE(VOL_VOLUMEN_SUMINISTROS[[#This Row],[Proyecto]],VOL_VOLUMEN_SUMINISTROS[[#This Row],[J]],VOL_VOLUMEN_SUMINISTROS[[#This Row],[FIN DE SEMANA]])</f>
        <v>1052-1MNO</v>
      </c>
      <c r="D1500" s="365" t="str">
        <f>CONCATENATE(VOL_VOLUMEN_SUMINISTROS[[#This Row],[Grupo]],VOL_VOLUMEN_SUMINISTROS[[#This Row],[Proyecto]],VOL_VOLUMEN_SUMINISTROS[[#This Row],[FIN DE SEMANA]])</f>
        <v>261052-1NO</v>
      </c>
      <c r="E1500" s="30" t="s">
        <v>147</v>
      </c>
      <c r="F1500" s="30" t="s">
        <v>148</v>
      </c>
      <c r="G1500" s="365">
        <v>26</v>
      </c>
      <c r="H1500" s="30">
        <v>18</v>
      </c>
      <c r="I1500" s="9" t="s">
        <v>308</v>
      </c>
      <c r="J1500" s="9" t="s">
        <v>1091</v>
      </c>
      <c r="K1500" s="30">
        <v>1</v>
      </c>
      <c r="L1500" s="9" t="s">
        <v>153</v>
      </c>
      <c r="M1500" s="30" t="s">
        <v>84</v>
      </c>
      <c r="N1500" s="30" t="s">
        <v>152</v>
      </c>
      <c r="O1500" s="24">
        <v>147</v>
      </c>
      <c r="P1500" s="24">
        <v>272</v>
      </c>
      <c r="Q1500" s="24">
        <v>442</v>
      </c>
      <c r="R1500" s="24">
        <v>0</v>
      </c>
      <c r="S1500" s="24">
        <v>0</v>
      </c>
      <c r="T1500" s="24">
        <v>861</v>
      </c>
    </row>
    <row r="1501" spans="1:20">
      <c r="A1501" s="9" t="s">
        <v>1049</v>
      </c>
      <c r="B1501" s="30" t="s">
        <v>1075</v>
      </c>
      <c r="C1501" s="30" t="str">
        <f>CONCATENATE(VOL_VOLUMEN_SUMINISTROS[[#This Row],[Proyecto]],VOL_VOLUMEN_SUMINISTROS[[#This Row],[J]],VOL_VOLUMEN_SUMINISTROS[[#This Row],[FIN DE SEMANA]])</f>
        <v>1052-1NNO</v>
      </c>
      <c r="D1501" s="365" t="str">
        <f>CONCATENATE(VOL_VOLUMEN_SUMINISTROS[[#This Row],[Grupo]],VOL_VOLUMEN_SUMINISTROS[[#This Row],[Proyecto]],VOL_VOLUMEN_SUMINISTROS[[#This Row],[FIN DE SEMANA]])</f>
        <v>261052-1NO</v>
      </c>
      <c r="E1501" s="30" t="s">
        <v>147</v>
      </c>
      <c r="F1501" s="30" t="s">
        <v>148</v>
      </c>
      <c r="G1501" s="365">
        <v>26</v>
      </c>
      <c r="H1501" s="30">
        <v>18</v>
      </c>
      <c r="I1501" s="9" t="s">
        <v>308</v>
      </c>
      <c r="J1501" s="9" t="s">
        <v>1091</v>
      </c>
      <c r="K1501" s="30">
        <v>1</v>
      </c>
      <c r="L1501" s="9" t="s">
        <v>153</v>
      </c>
      <c r="M1501" s="30" t="s">
        <v>84</v>
      </c>
      <c r="N1501" s="30" t="s">
        <v>154</v>
      </c>
      <c r="O1501" s="24">
        <v>0</v>
      </c>
      <c r="P1501" s="24">
        <v>0</v>
      </c>
      <c r="Q1501" s="24">
        <v>0</v>
      </c>
      <c r="R1501" s="24">
        <v>110</v>
      </c>
      <c r="S1501" s="24">
        <v>140</v>
      </c>
      <c r="T1501" s="24">
        <v>250</v>
      </c>
    </row>
    <row r="1502" spans="1:20">
      <c r="A1502" s="9" t="s">
        <v>1049</v>
      </c>
      <c r="B1502" s="30" t="s">
        <v>1075</v>
      </c>
      <c r="C1502" s="30" t="str">
        <f>CONCATENATE(VOL_VOLUMEN_SUMINISTROS[[#This Row],[Proyecto]],VOL_VOLUMEN_SUMINISTROS[[#This Row],[J]],VOL_VOLUMEN_SUMINISTROS[[#This Row],[FIN DE SEMANA]])</f>
        <v>1052-1TNO</v>
      </c>
      <c r="D1502" s="365" t="str">
        <f>CONCATENATE(VOL_VOLUMEN_SUMINISTROS[[#This Row],[Grupo]],VOL_VOLUMEN_SUMINISTROS[[#This Row],[Proyecto]],VOL_VOLUMEN_SUMINISTROS[[#This Row],[FIN DE SEMANA]])</f>
        <v>261052-1NO</v>
      </c>
      <c r="E1502" s="30" t="s">
        <v>147</v>
      </c>
      <c r="F1502" s="30" t="s">
        <v>148</v>
      </c>
      <c r="G1502" s="365">
        <v>26</v>
      </c>
      <c r="H1502" s="30">
        <v>18</v>
      </c>
      <c r="I1502" s="9" t="s">
        <v>308</v>
      </c>
      <c r="J1502" s="9" t="s">
        <v>1091</v>
      </c>
      <c r="K1502" s="30">
        <v>1</v>
      </c>
      <c r="L1502" s="9" t="s">
        <v>153</v>
      </c>
      <c r="M1502" s="30" t="s">
        <v>84</v>
      </c>
      <c r="N1502" s="30" t="s">
        <v>155</v>
      </c>
      <c r="O1502" s="24">
        <v>118</v>
      </c>
      <c r="P1502" s="24">
        <v>203</v>
      </c>
      <c r="Q1502" s="24">
        <v>230</v>
      </c>
      <c r="R1502" s="24">
        <v>0</v>
      </c>
      <c r="S1502" s="24">
        <v>0</v>
      </c>
      <c r="T1502" s="24">
        <v>551</v>
      </c>
    </row>
    <row r="1503" spans="1:20">
      <c r="A1503" s="9" t="s">
        <v>1049</v>
      </c>
      <c r="B1503" s="30" t="s">
        <v>1075</v>
      </c>
      <c r="C1503" s="30" t="str">
        <f>CONCATENATE(VOL_VOLUMEN_SUMINISTROS[[#This Row],[Proyecto]],VOL_VOLUMEN_SUMINISTROS[[#This Row],[J]],VOL_VOLUMEN_SUMINISTROS[[#This Row],[FIN DE SEMANA]])</f>
        <v>1052-1MNO</v>
      </c>
      <c r="D1503" s="365" t="str">
        <f>CONCATENATE(VOL_VOLUMEN_SUMINISTROS[[#This Row],[Grupo]],VOL_VOLUMEN_SUMINISTROS[[#This Row],[Proyecto]],VOL_VOLUMEN_SUMINISTROS[[#This Row],[FIN DE SEMANA]])</f>
        <v>261052-1NO</v>
      </c>
      <c r="E1503" s="30" t="s">
        <v>147</v>
      </c>
      <c r="F1503" s="30" t="s">
        <v>148</v>
      </c>
      <c r="G1503" s="365">
        <v>26</v>
      </c>
      <c r="H1503" s="30">
        <v>18</v>
      </c>
      <c r="I1503" s="9" t="s">
        <v>308</v>
      </c>
      <c r="J1503" s="9" t="s">
        <v>1092</v>
      </c>
      <c r="K1503" s="30">
        <v>1</v>
      </c>
      <c r="L1503" s="9" t="s">
        <v>1093</v>
      </c>
      <c r="M1503" s="30" t="s">
        <v>84</v>
      </c>
      <c r="N1503" s="30" t="s">
        <v>152</v>
      </c>
      <c r="O1503" s="24">
        <v>239</v>
      </c>
      <c r="P1503" s="24">
        <v>284</v>
      </c>
      <c r="Q1503" s="24">
        <v>71</v>
      </c>
      <c r="R1503" s="24">
        <v>0</v>
      </c>
      <c r="S1503" s="24">
        <v>0</v>
      </c>
      <c r="T1503" s="24">
        <v>594</v>
      </c>
    </row>
    <row r="1504" spans="1:20">
      <c r="A1504" s="9" t="s">
        <v>1049</v>
      </c>
      <c r="B1504" s="30" t="s">
        <v>1075</v>
      </c>
      <c r="C1504" s="30" t="str">
        <f>CONCATENATE(VOL_VOLUMEN_SUMINISTROS[[#This Row],[Proyecto]],VOL_VOLUMEN_SUMINISTROS[[#This Row],[J]],VOL_VOLUMEN_SUMINISTROS[[#This Row],[FIN DE SEMANA]])</f>
        <v>1052-1TNO</v>
      </c>
      <c r="D1504" s="365" t="str">
        <f>CONCATENATE(VOL_VOLUMEN_SUMINISTROS[[#This Row],[Grupo]],VOL_VOLUMEN_SUMINISTROS[[#This Row],[Proyecto]],VOL_VOLUMEN_SUMINISTROS[[#This Row],[FIN DE SEMANA]])</f>
        <v>261052-1NO</v>
      </c>
      <c r="E1504" s="30" t="s">
        <v>147</v>
      </c>
      <c r="F1504" s="30" t="s">
        <v>148</v>
      </c>
      <c r="G1504" s="365">
        <v>26</v>
      </c>
      <c r="H1504" s="30">
        <v>18</v>
      </c>
      <c r="I1504" s="9" t="s">
        <v>308</v>
      </c>
      <c r="J1504" s="9" t="s">
        <v>1092</v>
      </c>
      <c r="K1504" s="30">
        <v>1</v>
      </c>
      <c r="L1504" s="9" t="s">
        <v>1093</v>
      </c>
      <c r="M1504" s="30" t="s">
        <v>84</v>
      </c>
      <c r="N1504" s="30" t="s">
        <v>155</v>
      </c>
      <c r="O1504" s="24">
        <v>150</v>
      </c>
      <c r="P1504" s="24">
        <v>181</v>
      </c>
      <c r="Q1504" s="24">
        <v>252</v>
      </c>
      <c r="R1504" s="24">
        <v>0</v>
      </c>
      <c r="S1504" s="24">
        <v>0</v>
      </c>
      <c r="T1504" s="24">
        <v>583</v>
      </c>
    </row>
    <row r="1505" spans="1:20">
      <c r="A1505" s="9" t="s">
        <v>1049</v>
      </c>
      <c r="B1505" s="30" t="s">
        <v>1075</v>
      </c>
      <c r="C1505" s="30" t="str">
        <f>CONCATENATE(VOL_VOLUMEN_SUMINISTROS[[#This Row],[Proyecto]],VOL_VOLUMEN_SUMINISTROS[[#This Row],[J]],VOL_VOLUMEN_SUMINISTROS[[#This Row],[FIN DE SEMANA]])</f>
        <v>1052-1MNO</v>
      </c>
      <c r="D1505" s="365" t="str">
        <f>CONCATENATE(VOL_VOLUMEN_SUMINISTROS[[#This Row],[Grupo]],VOL_VOLUMEN_SUMINISTROS[[#This Row],[Proyecto]],VOL_VOLUMEN_SUMINISTROS[[#This Row],[FIN DE SEMANA]])</f>
        <v>261052-1NO</v>
      </c>
      <c r="E1505" s="30" t="s">
        <v>147</v>
      </c>
      <c r="F1505" s="30" t="s">
        <v>148</v>
      </c>
      <c r="G1505" s="365">
        <v>26</v>
      </c>
      <c r="H1505" s="30">
        <v>18</v>
      </c>
      <c r="I1505" s="9" t="s">
        <v>308</v>
      </c>
      <c r="J1505" s="9" t="s">
        <v>1092</v>
      </c>
      <c r="K1505" s="30">
        <v>2</v>
      </c>
      <c r="L1505" s="9" t="s">
        <v>1094</v>
      </c>
      <c r="M1505" s="30" t="s">
        <v>84</v>
      </c>
      <c r="N1505" s="30" t="s">
        <v>152</v>
      </c>
      <c r="O1505" s="24">
        <v>122</v>
      </c>
      <c r="P1505" s="24">
        <v>117</v>
      </c>
      <c r="Q1505" s="24">
        <v>27</v>
      </c>
      <c r="R1505" s="24">
        <v>0</v>
      </c>
      <c r="S1505" s="24">
        <v>0</v>
      </c>
      <c r="T1505" s="24">
        <v>266</v>
      </c>
    </row>
    <row r="1506" spans="1:20">
      <c r="A1506" s="9" t="s">
        <v>1049</v>
      </c>
      <c r="B1506" s="30" t="s">
        <v>1075</v>
      </c>
      <c r="C1506" s="30" t="str">
        <f>CONCATENATE(VOL_VOLUMEN_SUMINISTROS[[#This Row],[Proyecto]],VOL_VOLUMEN_SUMINISTROS[[#This Row],[J]],VOL_VOLUMEN_SUMINISTROS[[#This Row],[FIN DE SEMANA]])</f>
        <v>1052-1TNO</v>
      </c>
      <c r="D1506" s="365" t="str">
        <f>CONCATENATE(VOL_VOLUMEN_SUMINISTROS[[#This Row],[Grupo]],VOL_VOLUMEN_SUMINISTROS[[#This Row],[Proyecto]],VOL_VOLUMEN_SUMINISTROS[[#This Row],[FIN DE SEMANA]])</f>
        <v>261052-1NO</v>
      </c>
      <c r="E1506" s="30" t="s">
        <v>147</v>
      </c>
      <c r="F1506" s="30" t="s">
        <v>148</v>
      </c>
      <c r="G1506" s="365">
        <v>26</v>
      </c>
      <c r="H1506" s="30">
        <v>18</v>
      </c>
      <c r="I1506" s="9" t="s">
        <v>308</v>
      </c>
      <c r="J1506" s="9" t="s">
        <v>1092</v>
      </c>
      <c r="K1506" s="30">
        <v>2</v>
      </c>
      <c r="L1506" s="9" t="s">
        <v>1094</v>
      </c>
      <c r="M1506" s="30" t="s">
        <v>84</v>
      </c>
      <c r="N1506" s="30" t="s">
        <v>155</v>
      </c>
      <c r="O1506" s="24">
        <v>93</v>
      </c>
      <c r="P1506" s="24">
        <v>130</v>
      </c>
      <c r="Q1506" s="24">
        <v>32</v>
      </c>
      <c r="R1506" s="24">
        <v>0</v>
      </c>
      <c r="S1506" s="24">
        <v>0</v>
      </c>
      <c r="T1506" s="24">
        <v>255</v>
      </c>
    </row>
    <row r="1507" spans="1:20">
      <c r="A1507" s="9" t="s">
        <v>1049</v>
      </c>
      <c r="B1507" s="30" t="s">
        <v>1075</v>
      </c>
      <c r="C1507" s="30" t="str">
        <f>CONCATENATE(VOL_VOLUMEN_SUMINISTROS[[#This Row],[Proyecto]],VOL_VOLUMEN_SUMINISTROS[[#This Row],[J]],VOL_VOLUMEN_SUMINISTROS[[#This Row],[FIN DE SEMANA]])</f>
        <v>1052-1MNO</v>
      </c>
      <c r="D1507" s="365" t="str">
        <f>CONCATENATE(VOL_VOLUMEN_SUMINISTROS[[#This Row],[Grupo]],VOL_VOLUMEN_SUMINISTROS[[#This Row],[Proyecto]],VOL_VOLUMEN_SUMINISTROS[[#This Row],[FIN DE SEMANA]])</f>
        <v>261052-1NO</v>
      </c>
      <c r="E1507" s="30" t="s">
        <v>147</v>
      </c>
      <c r="F1507" s="30" t="s">
        <v>148</v>
      </c>
      <c r="G1507" s="365">
        <v>26</v>
      </c>
      <c r="H1507" s="30">
        <v>18</v>
      </c>
      <c r="I1507" s="9" t="s">
        <v>308</v>
      </c>
      <c r="J1507" s="9" t="s">
        <v>1092</v>
      </c>
      <c r="K1507" s="30">
        <v>3</v>
      </c>
      <c r="L1507" s="9" t="s">
        <v>1095</v>
      </c>
      <c r="M1507" s="30" t="s">
        <v>84</v>
      </c>
      <c r="N1507" s="30" t="s">
        <v>152</v>
      </c>
      <c r="O1507" s="24">
        <v>102</v>
      </c>
      <c r="P1507" s="24">
        <v>90</v>
      </c>
      <c r="Q1507" s="24">
        <v>19</v>
      </c>
      <c r="R1507" s="24">
        <v>0</v>
      </c>
      <c r="S1507" s="24">
        <v>0</v>
      </c>
      <c r="T1507" s="24">
        <v>211</v>
      </c>
    </row>
    <row r="1508" spans="1:20">
      <c r="A1508" s="9" t="s">
        <v>1049</v>
      </c>
      <c r="B1508" s="30" t="s">
        <v>1075</v>
      </c>
      <c r="C1508" s="30" t="str">
        <f>CONCATENATE(VOL_VOLUMEN_SUMINISTROS[[#This Row],[Proyecto]],VOL_VOLUMEN_SUMINISTROS[[#This Row],[J]],VOL_VOLUMEN_SUMINISTROS[[#This Row],[FIN DE SEMANA]])</f>
        <v>1052-1TNO</v>
      </c>
      <c r="D1508" s="365" t="str">
        <f>CONCATENATE(VOL_VOLUMEN_SUMINISTROS[[#This Row],[Grupo]],VOL_VOLUMEN_SUMINISTROS[[#This Row],[Proyecto]],VOL_VOLUMEN_SUMINISTROS[[#This Row],[FIN DE SEMANA]])</f>
        <v>261052-1NO</v>
      </c>
      <c r="E1508" s="30" t="s">
        <v>147</v>
      </c>
      <c r="F1508" s="30" t="s">
        <v>148</v>
      </c>
      <c r="G1508" s="365">
        <v>26</v>
      </c>
      <c r="H1508" s="30">
        <v>18</v>
      </c>
      <c r="I1508" s="9" t="s">
        <v>308</v>
      </c>
      <c r="J1508" s="9" t="s">
        <v>1092</v>
      </c>
      <c r="K1508" s="30">
        <v>3</v>
      </c>
      <c r="L1508" s="9" t="s">
        <v>1095</v>
      </c>
      <c r="M1508" s="30" t="s">
        <v>84</v>
      </c>
      <c r="N1508" s="30" t="s">
        <v>155</v>
      </c>
      <c r="O1508" s="24">
        <v>61</v>
      </c>
      <c r="P1508" s="24">
        <v>69</v>
      </c>
      <c r="Q1508" s="24">
        <v>15</v>
      </c>
      <c r="R1508" s="24">
        <v>0</v>
      </c>
      <c r="S1508" s="24">
        <v>0</v>
      </c>
      <c r="T1508" s="24">
        <v>145</v>
      </c>
    </row>
    <row r="1509" spans="1:20">
      <c r="A1509" s="9" t="s">
        <v>1049</v>
      </c>
      <c r="B1509" s="30" t="s">
        <v>1075</v>
      </c>
      <c r="C1509" s="30" t="str">
        <f>CONCATENATE(VOL_VOLUMEN_SUMINISTROS[[#This Row],[Proyecto]],VOL_VOLUMEN_SUMINISTROS[[#This Row],[J]],VOL_VOLUMEN_SUMINISTROS[[#This Row],[FIN DE SEMANA]])</f>
        <v>1052-1MNO</v>
      </c>
      <c r="D1509" s="365" t="str">
        <f>CONCATENATE(VOL_VOLUMEN_SUMINISTROS[[#This Row],[Grupo]],VOL_VOLUMEN_SUMINISTROS[[#This Row],[Proyecto]],VOL_VOLUMEN_SUMINISTROS[[#This Row],[FIN DE SEMANA]])</f>
        <v>261052-1NO</v>
      </c>
      <c r="E1509" s="30" t="s">
        <v>147</v>
      </c>
      <c r="F1509" s="30" t="s">
        <v>148</v>
      </c>
      <c r="G1509" s="365">
        <v>26</v>
      </c>
      <c r="H1509" s="30">
        <v>18</v>
      </c>
      <c r="I1509" s="9" t="s">
        <v>308</v>
      </c>
      <c r="J1509" s="9" t="s">
        <v>1096</v>
      </c>
      <c r="K1509" s="30">
        <v>1</v>
      </c>
      <c r="L1509" s="9" t="s">
        <v>1097</v>
      </c>
      <c r="M1509" s="30" t="s">
        <v>84</v>
      </c>
      <c r="N1509" s="30" t="s">
        <v>152</v>
      </c>
      <c r="O1509" s="24">
        <v>148</v>
      </c>
      <c r="P1509" s="24">
        <v>289</v>
      </c>
      <c r="Q1509" s="24">
        <v>405</v>
      </c>
      <c r="R1509" s="24">
        <v>0</v>
      </c>
      <c r="S1509" s="24">
        <v>0</v>
      </c>
      <c r="T1509" s="24">
        <v>842</v>
      </c>
    </row>
    <row r="1510" spans="1:20">
      <c r="A1510" s="9" t="s">
        <v>1049</v>
      </c>
      <c r="B1510" s="30" t="s">
        <v>1075</v>
      </c>
      <c r="C1510" s="30" t="str">
        <f>CONCATENATE(VOL_VOLUMEN_SUMINISTROS[[#This Row],[Proyecto]],VOL_VOLUMEN_SUMINISTROS[[#This Row],[J]],VOL_VOLUMEN_SUMINISTROS[[#This Row],[FIN DE SEMANA]])</f>
        <v>1052-1TNO</v>
      </c>
      <c r="D1510" s="365" t="str">
        <f>CONCATENATE(VOL_VOLUMEN_SUMINISTROS[[#This Row],[Grupo]],VOL_VOLUMEN_SUMINISTROS[[#This Row],[Proyecto]],VOL_VOLUMEN_SUMINISTROS[[#This Row],[FIN DE SEMANA]])</f>
        <v>261052-1NO</v>
      </c>
      <c r="E1510" s="30" t="s">
        <v>147</v>
      </c>
      <c r="F1510" s="30" t="s">
        <v>148</v>
      </c>
      <c r="G1510" s="365">
        <v>26</v>
      </c>
      <c r="H1510" s="30">
        <v>18</v>
      </c>
      <c r="I1510" s="9" t="s">
        <v>308</v>
      </c>
      <c r="J1510" s="9" t="s">
        <v>1096</v>
      </c>
      <c r="K1510" s="30">
        <v>1</v>
      </c>
      <c r="L1510" s="9" t="s">
        <v>1097</v>
      </c>
      <c r="M1510" s="30" t="s">
        <v>84</v>
      </c>
      <c r="N1510" s="30" t="s">
        <v>155</v>
      </c>
      <c r="O1510" s="24">
        <v>144</v>
      </c>
      <c r="P1510" s="24">
        <v>250</v>
      </c>
      <c r="Q1510" s="24">
        <v>401</v>
      </c>
      <c r="R1510" s="24">
        <v>0</v>
      </c>
      <c r="S1510" s="24">
        <v>0</v>
      </c>
      <c r="T1510" s="24">
        <v>795</v>
      </c>
    </row>
    <row r="1511" spans="1:20">
      <c r="A1511" s="9" t="s">
        <v>1049</v>
      </c>
      <c r="B1511" s="30" t="s">
        <v>1075</v>
      </c>
      <c r="C1511" s="30" t="str">
        <f>CONCATENATE(VOL_VOLUMEN_SUMINISTROS[[#This Row],[Proyecto]],VOL_VOLUMEN_SUMINISTROS[[#This Row],[J]],VOL_VOLUMEN_SUMINISTROS[[#This Row],[FIN DE SEMANA]])</f>
        <v>1052-1MNO</v>
      </c>
      <c r="D1511" s="365" t="str">
        <f>CONCATENATE(VOL_VOLUMEN_SUMINISTROS[[#This Row],[Grupo]],VOL_VOLUMEN_SUMINISTROS[[#This Row],[Proyecto]],VOL_VOLUMEN_SUMINISTROS[[#This Row],[FIN DE SEMANA]])</f>
        <v>261052-1NO</v>
      </c>
      <c r="E1511" s="30" t="s">
        <v>147</v>
      </c>
      <c r="F1511" s="30" t="s">
        <v>148</v>
      </c>
      <c r="G1511" s="365">
        <v>26</v>
      </c>
      <c r="H1511" s="30">
        <v>18</v>
      </c>
      <c r="I1511" s="9" t="s">
        <v>308</v>
      </c>
      <c r="J1511" s="9" t="s">
        <v>1098</v>
      </c>
      <c r="K1511" s="30">
        <v>1</v>
      </c>
      <c r="L1511" s="9" t="s">
        <v>1099</v>
      </c>
      <c r="M1511" s="30" t="s">
        <v>84</v>
      </c>
      <c r="N1511" s="30" t="s">
        <v>152</v>
      </c>
      <c r="O1511" s="24">
        <v>204</v>
      </c>
      <c r="P1511" s="24">
        <v>199</v>
      </c>
      <c r="Q1511" s="24">
        <v>40</v>
      </c>
      <c r="R1511" s="24">
        <v>0</v>
      </c>
      <c r="S1511" s="24">
        <v>0</v>
      </c>
      <c r="T1511" s="24">
        <v>443</v>
      </c>
    </row>
    <row r="1512" spans="1:20">
      <c r="A1512" s="9" t="s">
        <v>1049</v>
      </c>
      <c r="B1512" s="30" t="s">
        <v>1075</v>
      </c>
      <c r="C1512" s="30" t="str">
        <f>CONCATENATE(VOL_VOLUMEN_SUMINISTROS[[#This Row],[Proyecto]],VOL_VOLUMEN_SUMINISTROS[[#This Row],[J]],VOL_VOLUMEN_SUMINISTROS[[#This Row],[FIN DE SEMANA]])</f>
        <v>1052-1TNO</v>
      </c>
      <c r="D1512" s="365" t="str">
        <f>CONCATENATE(VOL_VOLUMEN_SUMINISTROS[[#This Row],[Grupo]],VOL_VOLUMEN_SUMINISTROS[[#This Row],[Proyecto]],VOL_VOLUMEN_SUMINISTROS[[#This Row],[FIN DE SEMANA]])</f>
        <v>261052-1NO</v>
      </c>
      <c r="E1512" s="30" t="s">
        <v>147</v>
      </c>
      <c r="F1512" s="30" t="s">
        <v>148</v>
      </c>
      <c r="G1512" s="365">
        <v>26</v>
      </c>
      <c r="H1512" s="30">
        <v>18</v>
      </c>
      <c r="I1512" s="9" t="s">
        <v>308</v>
      </c>
      <c r="J1512" s="9" t="s">
        <v>1098</v>
      </c>
      <c r="K1512" s="30">
        <v>1</v>
      </c>
      <c r="L1512" s="9" t="s">
        <v>1099</v>
      </c>
      <c r="M1512" s="30" t="s">
        <v>84</v>
      </c>
      <c r="N1512" s="30" t="s">
        <v>155</v>
      </c>
      <c r="O1512" s="24">
        <v>255</v>
      </c>
      <c r="P1512" s="24">
        <v>156</v>
      </c>
      <c r="Q1512" s="24">
        <v>28</v>
      </c>
      <c r="R1512" s="24">
        <v>0</v>
      </c>
      <c r="S1512" s="24">
        <v>0</v>
      </c>
      <c r="T1512" s="24">
        <v>439</v>
      </c>
    </row>
    <row r="1513" spans="1:20">
      <c r="A1513" s="9" t="s">
        <v>1049</v>
      </c>
      <c r="B1513" s="30" t="s">
        <v>1075</v>
      </c>
      <c r="C1513" s="30" t="str">
        <f>CONCATENATE(VOL_VOLUMEN_SUMINISTROS[[#This Row],[Proyecto]],VOL_VOLUMEN_SUMINISTROS[[#This Row],[J]],VOL_VOLUMEN_SUMINISTROS[[#This Row],[FIN DE SEMANA]])</f>
        <v>1052-1MNO</v>
      </c>
      <c r="D1513" s="365" t="str">
        <f>CONCATENATE(VOL_VOLUMEN_SUMINISTROS[[#This Row],[Grupo]],VOL_VOLUMEN_SUMINISTROS[[#This Row],[Proyecto]],VOL_VOLUMEN_SUMINISTROS[[#This Row],[FIN DE SEMANA]])</f>
        <v>261052-1NO</v>
      </c>
      <c r="E1513" s="30" t="s">
        <v>147</v>
      </c>
      <c r="F1513" s="30" t="s">
        <v>148</v>
      </c>
      <c r="G1513" s="365">
        <v>26</v>
      </c>
      <c r="H1513" s="30">
        <v>18</v>
      </c>
      <c r="I1513" s="9" t="s">
        <v>308</v>
      </c>
      <c r="J1513" s="9" t="s">
        <v>1098</v>
      </c>
      <c r="K1513" s="30">
        <v>2</v>
      </c>
      <c r="L1513" s="9" t="s">
        <v>1100</v>
      </c>
      <c r="M1513" s="30" t="s">
        <v>84</v>
      </c>
      <c r="N1513" s="30" t="s">
        <v>152</v>
      </c>
      <c r="O1513" s="24">
        <v>0</v>
      </c>
      <c r="P1513" s="24">
        <v>144</v>
      </c>
      <c r="Q1513" s="24">
        <v>325</v>
      </c>
      <c r="R1513" s="24">
        <v>0</v>
      </c>
      <c r="S1513" s="24">
        <v>0</v>
      </c>
      <c r="T1513" s="24">
        <v>469</v>
      </c>
    </row>
    <row r="1514" spans="1:20">
      <c r="A1514" s="9" t="s">
        <v>1049</v>
      </c>
      <c r="B1514" s="30" t="s">
        <v>1075</v>
      </c>
      <c r="C1514" s="30" t="str">
        <f>CONCATENATE(VOL_VOLUMEN_SUMINISTROS[[#This Row],[Proyecto]],VOL_VOLUMEN_SUMINISTROS[[#This Row],[J]],VOL_VOLUMEN_SUMINISTROS[[#This Row],[FIN DE SEMANA]])</f>
        <v>1052-1TNO</v>
      </c>
      <c r="D1514" s="365" t="str">
        <f>CONCATENATE(VOL_VOLUMEN_SUMINISTROS[[#This Row],[Grupo]],VOL_VOLUMEN_SUMINISTROS[[#This Row],[Proyecto]],VOL_VOLUMEN_SUMINISTROS[[#This Row],[FIN DE SEMANA]])</f>
        <v>261052-1NO</v>
      </c>
      <c r="E1514" s="30" t="s">
        <v>147</v>
      </c>
      <c r="F1514" s="30" t="s">
        <v>148</v>
      </c>
      <c r="G1514" s="365">
        <v>26</v>
      </c>
      <c r="H1514" s="30">
        <v>18</v>
      </c>
      <c r="I1514" s="9" t="s">
        <v>308</v>
      </c>
      <c r="J1514" s="9" t="s">
        <v>1098</v>
      </c>
      <c r="K1514" s="30">
        <v>2</v>
      </c>
      <c r="L1514" s="9" t="s">
        <v>1100</v>
      </c>
      <c r="M1514" s="30" t="s">
        <v>84</v>
      </c>
      <c r="N1514" s="30" t="s">
        <v>155</v>
      </c>
      <c r="O1514" s="24">
        <v>0</v>
      </c>
      <c r="P1514" s="24">
        <v>99</v>
      </c>
      <c r="Q1514" s="24">
        <v>312</v>
      </c>
      <c r="R1514" s="24">
        <v>0</v>
      </c>
      <c r="S1514" s="24">
        <v>0</v>
      </c>
      <c r="T1514" s="24">
        <v>411</v>
      </c>
    </row>
    <row r="1515" spans="1:20">
      <c r="A1515" s="9" t="s">
        <v>1049</v>
      </c>
      <c r="B1515" s="30" t="s">
        <v>1101</v>
      </c>
      <c r="C1515" s="30" t="str">
        <f>CONCATENATE(VOL_VOLUMEN_SUMINISTROS[[#This Row],[Proyecto]],VOL_VOLUMEN_SUMINISTROS[[#This Row],[J]],VOL_VOLUMEN_SUMINISTROS[[#This Row],[FIN DE SEMANA]])</f>
        <v>1052-2MNO</v>
      </c>
      <c r="D1515" s="365" t="str">
        <f>CONCATENATE(VOL_VOLUMEN_SUMINISTROS[[#This Row],[Grupo]],VOL_VOLUMEN_SUMINISTROS[[#This Row],[Proyecto]],VOL_VOLUMEN_SUMINISTROS[[#This Row],[FIN DE SEMANA]])</f>
        <v>261052-2NO</v>
      </c>
      <c r="E1515" s="30" t="s">
        <v>183</v>
      </c>
      <c r="F1515" s="30" t="s">
        <v>148</v>
      </c>
      <c r="G1515" s="365">
        <v>26</v>
      </c>
      <c r="H1515" s="30">
        <v>18</v>
      </c>
      <c r="I1515" s="9" t="s">
        <v>308</v>
      </c>
      <c r="J1515" s="9" t="s">
        <v>1078</v>
      </c>
      <c r="K1515" s="30">
        <v>1</v>
      </c>
      <c r="L1515" s="9" t="s">
        <v>153</v>
      </c>
      <c r="M1515" s="30" t="s">
        <v>84</v>
      </c>
      <c r="N1515" s="30" t="s">
        <v>152</v>
      </c>
      <c r="O1515" s="24">
        <v>0</v>
      </c>
      <c r="P1515" s="24">
        <v>0</v>
      </c>
      <c r="Q1515" s="24">
        <v>170</v>
      </c>
      <c r="R1515" s="24">
        <v>0</v>
      </c>
      <c r="S1515" s="24">
        <v>0</v>
      </c>
      <c r="T1515" s="24">
        <v>170</v>
      </c>
    </row>
    <row r="1516" spans="1:20">
      <c r="A1516" s="9" t="s">
        <v>1049</v>
      </c>
      <c r="B1516" s="30" t="s">
        <v>1101</v>
      </c>
      <c r="C1516" s="30" t="str">
        <f>CONCATENATE(VOL_VOLUMEN_SUMINISTROS[[#This Row],[Proyecto]],VOL_VOLUMEN_SUMINISTROS[[#This Row],[J]],VOL_VOLUMEN_SUMINISTROS[[#This Row],[FIN DE SEMANA]])</f>
        <v>1052-2TNO</v>
      </c>
      <c r="D1516" s="365" t="str">
        <f>CONCATENATE(VOL_VOLUMEN_SUMINISTROS[[#This Row],[Grupo]],VOL_VOLUMEN_SUMINISTROS[[#This Row],[Proyecto]],VOL_VOLUMEN_SUMINISTROS[[#This Row],[FIN DE SEMANA]])</f>
        <v>261052-2NO</v>
      </c>
      <c r="E1516" s="30" t="s">
        <v>183</v>
      </c>
      <c r="F1516" s="30" t="s">
        <v>148</v>
      </c>
      <c r="G1516" s="365">
        <v>26</v>
      </c>
      <c r="H1516" s="30">
        <v>18</v>
      </c>
      <c r="I1516" s="9" t="s">
        <v>308</v>
      </c>
      <c r="J1516" s="9" t="s">
        <v>1078</v>
      </c>
      <c r="K1516" s="30">
        <v>1</v>
      </c>
      <c r="L1516" s="9" t="s">
        <v>1079</v>
      </c>
      <c r="M1516" s="30" t="s">
        <v>84</v>
      </c>
      <c r="N1516" s="30" t="s">
        <v>155</v>
      </c>
      <c r="O1516" s="24">
        <v>0</v>
      </c>
      <c r="P1516" s="24">
        <v>0</v>
      </c>
      <c r="Q1516" s="24">
        <v>257</v>
      </c>
      <c r="R1516" s="24">
        <v>0</v>
      </c>
      <c r="S1516" s="24">
        <v>0</v>
      </c>
      <c r="T1516" s="24">
        <v>257</v>
      </c>
    </row>
    <row r="1517" spans="1:20">
      <c r="A1517" s="9" t="s">
        <v>1049</v>
      </c>
      <c r="B1517" s="30" t="s">
        <v>1101</v>
      </c>
      <c r="C1517" s="30" t="str">
        <f>CONCATENATE(VOL_VOLUMEN_SUMINISTROS[[#This Row],[Proyecto]],VOL_VOLUMEN_SUMINISTROS[[#This Row],[J]],VOL_VOLUMEN_SUMINISTROS[[#This Row],[FIN DE SEMANA]])</f>
        <v>1052-2MNO</v>
      </c>
      <c r="D1517" s="365" t="str">
        <f>CONCATENATE(VOL_VOLUMEN_SUMINISTROS[[#This Row],[Grupo]],VOL_VOLUMEN_SUMINISTROS[[#This Row],[Proyecto]],VOL_VOLUMEN_SUMINISTROS[[#This Row],[FIN DE SEMANA]])</f>
        <v>261052-2NO</v>
      </c>
      <c r="E1517" s="30" t="s">
        <v>183</v>
      </c>
      <c r="F1517" s="30" t="s">
        <v>148</v>
      </c>
      <c r="G1517" s="365">
        <v>26</v>
      </c>
      <c r="H1517" s="30">
        <v>18</v>
      </c>
      <c r="I1517" s="9" t="s">
        <v>308</v>
      </c>
      <c r="J1517" s="9" t="s">
        <v>1082</v>
      </c>
      <c r="K1517" s="30">
        <v>1</v>
      </c>
      <c r="L1517" s="9" t="s">
        <v>1083</v>
      </c>
      <c r="M1517" s="30" t="s">
        <v>84</v>
      </c>
      <c r="N1517" s="30" t="s">
        <v>152</v>
      </c>
      <c r="O1517" s="24">
        <v>0</v>
      </c>
      <c r="P1517" s="24">
        <v>120</v>
      </c>
      <c r="Q1517" s="24">
        <v>174</v>
      </c>
      <c r="R1517" s="24">
        <v>0</v>
      </c>
      <c r="S1517" s="24">
        <v>0</v>
      </c>
      <c r="T1517" s="24">
        <v>294</v>
      </c>
    </row>
    <row r="1518" spans="1:20">
      <c r="A1518" s="9" t="s">
        <v>1049</v>
      </c>
      <c r="B1518" s="30" t="s">
        <v>1101</v>
      </c>
      <c r="C1518" s="30" t="str">
        <f>CONCATENATE(VOL_VOLUMEN_SUMINISTROS[[#This Row],[Proyecto]],VOL_VOLUMEN_SUMINISTROS[[#This Row],[J]],VOL_VOLUMEN_SUMINISTROS[[#This Row],[FIN DE SEMANA]])</f>
        <v>1052-2TNO</v>
      </c>
      <c r="D1518" s="365" t="str">
        <f>CONCATENATE(VOL_VOLUMEN_SUMINISTROS[[#This Row],[Grupo]],VOL_VOLUMEN_SUMINISTROS[[#This Row],[Proyecto]],VOL_VOLUMEN_SUMINISTROS[[#This Row],[FIN DE SEMANA]])</f>
        <v>261052-2NO</v>
      </c>
      <c r="E1518" s="30" t="s">
        <v>183</v>
      </c>
      <c r="F1518" s="30" t="s">
        <v>148</v>
      </c>
      <c r="G1518" s="365">
        <v>26</v>
      </c>
      <c r="H1518" s="30">
        <v>18</v>
      </c>
      <c r="I1518" s="9" t="s">
        <v>308</v>
      </c>
      <c r="J1518" s="9" t="s">
        <v>1082</v>
      </c>
      <c r="K1518" s="30">
        <v>1</v>
      </c>
      <c r="L1518" s="9" t="s">
        <v>1084</v>
      </c>
      <c r="M1518" s="30" t="s">
        <v>84</v>
      </c>
      <c r="N1518" s="30" t="s">
        <v>155</v>
      </c>
      <c r="O1518" s="24">
        <v>0</v>
      </c>
      <c r="P1518" s="24">
        <v>150</v>
      </c>
      <c r="Q1518" s="24">
        <v>224</v>
      </c>
      <c r="R1518" s="24">
        <v>0</v>
      </c>
      <c r="S1518" s="24">
        <v>0</v>
      </c>
      <c r="T1518" s="24">
        <v>374</v>
      </c>
    </row>
    <row r="1519" spans="1:20">
      <c r="A1519" s="9" t="s">
        <v>1049</v>
      </c>
      <c r="B1519" s="30" t="s">
        <v>1101</v>
      </c>
      <c r="C1519" s="30" t="str">
        <f>CONCATENATE(VOL_VOLUMEN_SUMINISTROS[[#This Row],[Proyecto]],VOL_VOLUMEN_SUMINISTROS[[#This Row],[J]],VOL_VOLUMEN_SUMINISTROS[[#This Row],[FIN DE SEMANA]])</f>
        <v>1052-2MNO</v>
      </c>
      <c r="D1519" s="365" t="str">
        <f>CONCATENATE(VOL_VOLUMEN_SUMINISTROS[[#This Row],[Grupo]],VOL_VOLUMEN_SUMINISTROS[[#This Row],[Proyecto]],VOL_VOLUMEN_SUMINISTROS[[#This Row],[FIN DE SEMANA]])</f>
        <v>261052-2NO</v>
      </c>
      <c r="E1519" s="30" t="s">
        <v>183</v>
      </c>
      <c r="F1519" s="30" t="s">
        <v>148</v>
      </c>
      <c r="G1519" s="365">
        <v>26</v>
      </c>
      <c r="H1519" s="30">
        <v>18</v>
      </c>
      <c r="I1519" s="9" t="s">
        <v>308</v>
      </c>
      <c r="J1519" s="9" t="s">
        <v>1085</v>
      </c>
      <c r="K1519" s="30">
        <v>2</v>
      </c>
      <c r="L1519" s="9" t="s">
        <v>1087</v>
      </c>
      <c r="M1519" s="30" t="s">
        <v>84</v>
      </c>
      <c r="N1519" s="30" t="s">
        <v>152</v>
      </c>
      <c r="O1519" s="24">
        <v>68</v>
      </c>
      <c r="P1519" s="24">
        <v>109</v>
      </c>
      <c r="Q1519" s="24">
        <v>25</v>
      </c>
      <c r="R1519" s="24">
        <v>0</v>
      </c>
      <c r="S1519" s="24">
        <v>0</v>
      </c>
      <c r="T1519" s="24">
        <v>202</v>
      </c>
    </row>
    <row r="1520" spans="1:20">
      <c r="A1520" s="9" t="s">
        <v>1049</v>
      </c>
      <c r="B1520" s="30" t="s">
        <v>1101</v>
      </c>
      <c r="C1520" s="30" t="str">
        <f>CONCATENATE(VOL_VOLUMEN_SUMINISTROS[[#This Row],[Proyecto]],VOL_VOLUMEN_SUMINISTROS[[#This Row],[J]],VOL_VOLUMEN_SUMINISTROS[[#This Row],[FIN DE SEMANA]])</f>
        <v>1052-2M1NO</v>
      </c>
      <c r="D1520" s="365" t="str">
        <f>CONCATENATE(VOL_VOLUMEN_SUMINISTROS[[#This Row],[Grupo]],VOL_VOLUMEN_SUMINISTROS[[#This Row],[Proyecto]],VOL_VOLUMEN_SUMINISTROS[[#This Row],[FIN DE SEMANA]])</f>
        <v>261052-2NO</v>
      </c>
      <c r="E1520" s="30" t="s">
        <v>183</v>
      </c>
      <c r="F1520" s="30" t="s">
        <v>148</v>
      </c>
      <c r="G1520" s="365">
        <v>26</v>
      </c>
      <c r="H1520" s="30">
        <v>18</v>
      </c>
      <c r="I1520" s="9" t="s">
        <v>308</v>
      </c>
      <c r="J1520" s="9" t="s">
        <v>1091</v>
      </c>
      <c r="K1520" s="30">
        <v>1</v>
      </c>
      <c r="L1520" s="9" t="s">
        <v>153</v>
      </c>
      <c r="M1520" s="30" t="s">
        <v>84</v>
      </c>
      <c r="N1520" s="30" t="s">
        <v>216</v>
      </c>
      <c r="O1520" s="24">
        <v>60</v>
      </c>
      <c r="P1520" s="24">
        <v>120</v>
      </c>
      <c r="Q1520" s="24">
        <v>100</v>
      </c>
      <c r="R1520" s="24">
        <v>0</v>
      </c>
      <c r="S1520" s="24">
        <v>0</v>
      </c>
      <c r="T1520" s="24">
        <v>280</v>
      </c>
    </row>
    <row r="1521" spans="1:20">
      <c r="A1521" s="9" t="s">
        <v>1049</v>
      </c>
      <c r="B1521" s="30" t="s">
        <v>1101</v>
      </c>
      <c r="C1521" s="30" t="str">
        <f>CONCATENATE(VOL_VOLUMEN_SUMINISTROS[[#This Row],[Proyecto]],VOL_VOLUMEN_SUMINISTROS[[#This Row],[J]],VOL_VOLUMEN_SUMINISTROS[[#This Row],[FIN DE SEMANA]])</f>
        <v>1052-2TNO</v>
      </c>
      <c r="D1521" s="365" t="str">
        <f>CONCATENATE(VOL_VOLUMEN_SUMINISTROS[[#This Row],[Grupo]],VOL_VOLUMEN_SUMINISTROS[[#This Row],[Proyecto]],VOL_VOLUMEN_SUMINISTROS[[#This Row],[FIN DE SEMANA]])</f>
        <v>261052-2NO</v>
      </c>
      <c r="E1521" s="30" t="s">
        <v>183</v>
      </c>
      <c r="F1521" s="30" t="s">
        <v>148</v>
      </c>
      <c r="G1521" s="365">
        <v>26</v>
      </c>
      <c r="H1521" s="30">
        <v>18</v>
      </c>
      <c r="I1521" s="9" t="s">
        <v>308</v>
      </c>
      <c r="J1521" s="9" t="s">
        <v>1091</v>
      </c>
      <c r="K1521" s="30">
        <v>1</v>
      </c>
      <c r="L1521" s="9" t="s">
        <v>153</v>
      </c>
      <c r="M1521" s="30" t="s">
        <v>84</v>
      </c>
      <c r="N1521" s="30" t="s">
        <v>155</v>
      </c>
      <c r="O1521" s="24">
        <v>0</v>
      </c>
      <c r="P1521" s="24">
        <v>0</v>
      </c>
      <c r="Q1521" s="24">
        <v>80</v>
      </c>
      <c r="R1521" s="24">
        <v>0</v>
      </c>
      <c r="S1521" s="24">
        <v>0</v>
      </c>
      <c r="T1521" s="24">
        <v>80</v>
      </c>
    </row>
    <row r="1522" spans="1:20">
      <c r="A1522" s="9" t="s">
        <v>1049</v>
      </c>
      <c r="B1522" s="30" t="s">
        <v>1101</v>
      </c>
      <c r="C1522" s="30" t="str">
        <f>CONCATENATE(VOL_VOLUMEN_SUMINISTROS[[#This Row],[Proyecto]],VOL_VOLUMEN_SUMINISTROS[[#This Row],[J]],VOL_VOLUMEN_SUMINISTROS[[#This Row],[FIN DE SEMANA]])</f>
        <v>1052-2MSI</v>
      </c>
      <c r="D1522" s="365" t="str">
        <f>CONCATENATE(VOL_VOLUMEN_SUMINISTROS[[#This Row],[Grupo]],VOL_VOLUMEN_SUMINISTROS[[#This Row],[Proyecto]],VOL_VOLUMEN_SUMINISTROS[[#This Row],[FIN DE SEMANA]])</f>
        <v>261052-2SI</v>
      </c>
      <c r="E1522" s="30" t="s">
        <v>183</v>
      </c>
      <c r="F1522" s="30" t="s">
        <v>148</v>
      </c>
      <c r="G1522" s="365">
        <v>26</v>
      </c>
      <c r="H1522" s="30">
        <v>18</v>
      </c>
      <c r="I1522" s="9" t="s">
        <v>308</v>
      </c>
      <c r="J1522" s="9" t="s">
        <v>1092</v>
      </c>
      <c r="K1522" s="30">
        <v>1</v>
      </c>
      <c r="L1522" s="9" t="s">
        <v>1093</v>
      </c>
      <c r="M1522" s="30" t="s">
        <v>106</v>
      </c>
      <c r="N1522" s="30" t="s">
        <v>152</v>
      </c>
      <c r="O1522" s="24">
        <v>74</v>
      </c>
      <c r="P1522" s="24">
        <v>223</v>
      </c>
      <c r="Q1522" s="24">
        <v>182</v>
      </c>
      <c r="R1522" s="24">
        <v>0</v>
      </c>
      <c r="S1522" s="24">
        <v>0</v>
      </c>
      <c r="T1522" s="24">
        <v>479</v>
      </c>
    </row>
    <row r="1523" spans="1:20">
      <c r="A1523" s="9" t="s">
        <v>1049</v>
      </c>
      <c r="B1523" s="30" t="s">
        <v>1101</v>
      </c>
      <c r="C1523" s="30" t="str">
        <f>CONCATENATE(VOL_VOLUMEN_SUMINISTROS[[#This Row],[Proyecto]],VOL_VOLUMEN_SUMINISTROS[[#This Row],[J]],VOL_VOLUMEN_SUMINISTROS[[#This Row],[FIN DE SEMANA]])</f>
        <v>1052-2TNO</v>
      </c>
      <c r="D1523" s="365" t="str">
        <f>CONCATENATE(VOL_VOLUMEN_SUMINISTROS[[#This Row],[Grupo]],VOL_VOLUMEN_SUMINISTROS[[#This Row],[Proyecto]],VOL_VOLUMEN_SUMINISTROS[[#This Row],[FIN DE SEMANA]])</f>
        <v>261052-2NO</v>
      </c>
      <c r="E1523" s="30" t="s">
        <v>183</v>
      </c>
      <c r="F1523" s="30" t="s">
        <v>148</v>
      </c>
      <c r="G1523" s="365">
        <v>26</v>
      </c>
      <c r="H1523" s="30">
        <v>18</v>
      </c>
      <c r="I1523" s="9" t="s">
        <v>308</v>
      </c>
      <c r="J1523" s="9" t="s">
        <v>1092</v>
      </c>
      <c r="K1523" s="30">
        <v>1</v>
      </c>
      <c r="L1523" s="9" t="s">
        <v>1093</v>
      </c>
      <c r="M1523" s="30" t="s">
        <v>84</v>
      </c>
      <c r="N1523" s="30" t="s">
        <v>155</v>
      </c>
      <c r="O1523" s="24">
        <v>44</v>
      </c>
      <c r="P1523" s="24">
        <v>22</v>
      </c>
      <c r="Q1523" s="24">
        <v>0</v>
      </c>
      <c r="R1523" s="24">
        <v>0</v>
      </c>
      <c r="S1523" s="24">
        <v>0</v>
      </c>
      <c r="T1523" s="24">
        <v>66</v>
      </c>
    </row>
    <row r="1524" spans="1:20">
      <c r="A1524" s="9" t="s">
        <v>1049</v>
      </c>
      <c r="B1524" s="30" t="s">
        <v>1101</v>
      </c>
      <c r="C1524" s="30" t="str">
        <f>CONCATENATE(VOL_VOLUMEN_SUMINISTROS[[#This Row],[Proyecto]],VOL_VOLUMEN_SUMINISTROS[[#This Row],[J]],VOL_VOLUMEN_SUMINISTROS[[#This Row],[FIN DE SEMANA]])</f>
        <v>1052-2MNO</v>
      </c>
      <c r="D1524" s="365" t="str">
        <f>CONCATENATE(VOL_VOLUMEN_SUMINISTROS[[#This Row],[Grupo]],VOL_VOLUMEN_SUMINISTROS[[#This Row],[Proyecto]],VOL_VOLUMEN_SUMINISTROS[[#This Row],[FIN DE SEMANA]])</f>
        <v>261052-2NO</v>
      </c>
      <c r="E1524" s="30" t="s">
        <v>183</v>
      </c>
      <c r="F1524" s="30" t="s">
        <v>148</v>
      </c>
      <c r="G1524" s="365">
        <v>26</v>
      </c>
      <c r="H1524" s="30">
        <v>18</v>
      </c>
      <c r="I1524" s="9" t="s">
        <v>308</v>
      </c>
      <c r="J1524" s="9" t="s">
        <v>1092</v>
      </c>
      <c r="K1524" s="30">
        <v>2</v>
      </c>
      <c r="L1524" s="9" t="s">
        <v>1094</v>
      </c>
      <c r="M1524" s="30" t="s">
        <v>84</v>
      </c>
      <c r="N1524" s="30" t="s">
        <v>152</v>
      </c>
      <c r="O1524" s="24">
        <v>72</v>
      </c>
      <c r="P1524" s="24">
        <v>117</v>
      </c>
      <c r="Q1524" s="24">
        <v>27</v>
      </c>
      <c r="R1524" s="24">
        <v>0</v>
      </c>
      <c r="S1524" s="24">
        <v>0</v>
      </c>
      <c r="T1524" s="24">
        <v>216</v>
      </c>
    </row>
    <row r="1525" spans="1:20">
      <c r="A1525" s="9" t="s">
        <v>1049</v>
      </c>
      <c r="B1525" s="30" t="s">
        <v>1101</v>
      </c>
      <c r="C1525" s="30" t="str">
        <f>CONCATENATE(VOL_VOLUMEN_SUMINISTROS[[#This Row],[Proyecto]],VOL_VOLUMEN_SUMINISTROS[[#This Row],[J]],VOL_VOLUMEN_SUMINISTROS[[#This Row],[FIN DE SEMANA]])</f>
        <v>1052-2TNO</v>
      </c>
      <c r="D1525" s="365" t="str">
        <f>CONCATENATE(VOL_VOLUMEN_SUMINISTROS[[#This Row],[Grupo]],VOL_VOLUMEN_SUMINISTROS[[#This Row],[Proyecto]],VOL_VOLUMEN_SUMINISTROS[[#This Row],[FIN DE SEMANA]])</f>
        <v>261052-2NO</v>
      </c>
      <c r="E1525" s="30" t="s">
        <v>183</v>
      </c>
      <c r="F1525" s="30" t="s">
        <v>148</v>
      </c>
      <c r="G1525" s="365">
        <v>26</v>
      </c>
      <c r="H1525" s="30">
        <v>18</v>
      </c>
      <c r="I1525" s="9" t="s">
        <v>308</v>
      </c>
      <c r="J1525" s="9" t="s">
        <v>1092</v>
      </c>
      <c r="K1525" s="30">
        <v>2</v>
      </c>
      <c r="L1525" s="9" t="s">
        <v>1094</v>
      </c>
      <c r="M1525" s="30" t="s">
        <v>84</v>
      </c>
      <c r="N1525" s="30" t="s">
        <v>155</v>
      </c>
      <c r="O1525" s="24">
        <v>68</v>
      </c>
      <c r="P1525" s="24">
        <v>130</v>
      </c>
      <c r="Q1525" s="24">
        <v>32</v>
      </c>
      <c r="R1525" s="24">
        <v>0</v>
      </c>
      <c r="S1525" s="24">
        <v>0</v>
      </c>
      <c r="T1525" s="24">
        <v>230</v>
      </c>
    </row>
    <row r="1526" spans="1:20">
      <c r="A1526" s="9" t="s">
        <v>1049</v>
      </c>
      <c r="B1526" s="30" t="s">
        <v>1101</v>
      </c>
      <c r="C1526" s="30" t="str">
        <f>CONCATENATE(VOL_VOLUMEN_SUMINISTROS[[#This Row],[Proyecto]],VOL_VOLUMEN_SUMINISTROS[[#This Row],[J]],VOL_VOLUMEN_SUMINISTROS[[#This Row],[FIN DE SEMANA]])</f>
        <v>1052-2MNO</v>
      </c>
      <c r="D1526" s="365" t="str">
        <f>CONCATENATE(VOL_VOLUMEN_SUMINISTROS[[#This Row],[Grupo]],VOL_VOLUMEN_SUMINISTROS[[#This Row],[Proyecto]],VOL_VOLUMEN_SUMINISTROS[[#This Row],[FIN DE SEMANA]])</f>
        <v>261052-2NO</v>
      </c>
      <c r="E1526" s="30" t="s">
        <v>183</v>
      </c>
      <c r="F1526" s="30" t="s">
        <v>148</v>
      </c>
      <c r="G1526" s="365">
        <v>26</v>
      </c>
      <c r="H1526" s="30">
        <v>18</v>
      </c>
      <c r="I1526" s="9" t="s">
        <v>308</v>
      </c>
      <c r="J1526" s="9" t="s">
        <v>1092</v>
      </c>
      <c r="K1526" s="30">
        <v>3</v>
      </c>
      <c r="L1526" s="9" t="s">
        <v>1095</v>
      </c>
      <c r="M1526" s="30" t="s">
        <v>84</v>
      </c>
      <c r="N1526" s="30" t="s">
        <v>152</v>
      </c>
      <c r="O1526" s="24">
        <v>66</v>
      </c>
      <c r="P1526" s="24">
        <v>90</v>
      </c>
      <c r="Q1526" s="24">
        <v>19</v>
      </c>
      <c r="R1526" s="24">
        <v>0</v>
      </c>
      <c r="S1526" s="24">
        <v>0</v>
      </c>
      <c r="T1526" s="24">
        <v>175</v>
      </c>
    </row>
    <row r="1527" spans="1:20">
      <c r="A1527" s="9" t="s">
        <v>1049</v>
      </c>
      <c r="B1527" s="30" t="s">
        <v>1101</v>
      </c>
      <c r="C1527" s="30" t="str">
        <f>CONCATENATE(VOL_VOLUMEN_SUMINISTROS[[#This Row],[Proyecto]],VOL_VOLUMEN_SUMINISTROS[[#This Row],[J]],VOL_VOLUMEN_SUMINISTROS[[#This Row],[FIN DE SEMANA]])</f>
        <v>1052-2TNO</v>
      </c>
      <c r="D1527" s="365" t="str">
        <f>CONCATENATE(VOL_VOLUMEN_SUMINISTROS[[#This Row],[Grupo]],VOL_VOLUMEN_SUMINISTROS[[#This Row],[Proyecto]],VOL_VOLUMEN_SUMINISTROS[[#This Row],[FIN DE SEMANA]])</f>
        <v>261052-2NO</v>
      </c>
      <c r="E1527" s="30" t="s">
        <v>183</v>
      </c>
      <c r="F1527" s="30" t="s">
        <v>148</v>
      </c>
      <c r="G1527" s="365">
        <v>26</v>
      </c>
      <c r="H1527" s="30">
        <v>18</v>
      </c>
      <c r="I1527" s="9" t="s">
        <v>308</v>
      </c>
      <c r="J1527" s="9" t="s">
        <v>1092</v>
      </c>
      <c r="K1527" s="30">
        <v>3</v>
      </c>
      <c r="L1527" s="9" t="s">
        <v>1095</v>
      </c>
      <c r="M1527" s="30" t="s">
        <v>84</v>
      </c>
      <c r="N1527" s="30" t="s">
        <v>155</v>
      </c>
      <c r="O1527" s="24">
        <v>50</v>
      </c>
      <c r="P1527" s="24">
        <v>70</v>
      </c>
      <c r="Q1527" s="24">
        <v>15</v>
      </c>
      <c r="R1527" s="24">
        <v>0</v>
      </c>
      <c r="S1527" s="24">
        <v>0</v>
      </c>
      <c r="T1527" s="24">
        <v>135</v>
      </c>
    </row>
    <row r="1528" spans="1:20">
      <c r="A1528" s="9" t="s">
        <v>1049</v>
      </c>
      <c r="B1528" s="30" t="s">
        <v>1101</v>
      </c>
      <c r="C1528" s="30" t="str">
        <f>CONCATENATE(VOL_VOLUMEN_SUMINISTROS[[#This Row],[Proyecto]],VOL_VOLUMEN_SUMINISTROS[[#This Row],[J]],VOL_VOLUMEN_SUMINISTROS[[#This Row],[FIN DE SEMANA]])</f>
        <v>1052-2MNO</v>
      </c>
      <c r="D1528" s="365" t="str">
        <f>CONCATENATE(VOL_VOLUMEN_SUMINISTROS[[#This Row],[Grupo]],VOL_VOLUMEN_SUMINISTROS[[#This Row],[Proyecto]],VOL_VOLUMEN_SUMINISTROS[[#This Row],[FIN DE SEMANA]])</f>
        <v>261052-2NO</v>
      </c>
      <c r="E1528" s="30" t="s">
        <v>183</v>
      </c>
      <c r="F1528" s="30" t="s">
        <v>148</v>
      </c>
      <c r="G1528" s="365">
        <v>26</v>
      </c>
      <c r="H1528" s="30">
        <v>18</v>
      </c>
      <c r="I1528" s="9" t="s">
        <v>308</v>
      </c>
      <c r="J1528" s="9" t="s">
        <v>1096</v>
      </c>
      <c r="K1528" s="30">
        <v>1</v>
      </c>
      <c r="L1528" s="9" t="s">
        <v>1097</v>
      </c>
      <c r="M1528" s="30" t="s">
        <v>84</v>
      </c>
      <c r="N1528" s="30" t="s">
        <v>152</v>
      </c>
      <c r="O1528" s="24">
        <v>92</v>
      </c>
      <c r="P1528" s="24">
        <v>415</v>
      </c>
      <c r="Q1528" s="24">
        <v>441</v>
      </c>
      <c r="R1528" s="24">
        <v>0</v>
      </c>
      <c r="S1528" s="24">
        <v>0</v>
      </c>
      <c r="T1528" s="24">
        <v>948</v>
      </c>
    </row>
    <row r="1529" spans="1:20">
      <c r="A1529" s="9" t="s">
        <v>1049</v>
      </c>
      <c r="B1529" s="30" t="s">
        <v>1101</v>
      </c>
      <c r="C1529" s="30" t="str">
        <f>CONCATENATE(VOL_VOLUMEN_SUMINISTROS[[#This Row],[Proyecto]],VOL_VOLUMEN_SUMINISTROS[[#This Row],[J]],VOL_VOLUMEN_SUMINISTROS[[#This Row],[FIN DE SEMANA]])</f>
        <v>1052-2TNO</v>
      </c>
      <c r="D1529" s="365" t="str">
        <f>CONCATENATE(VOL_VOLUMEN_SUMINISTROS[[#This Row],[Grupo]],VOL_VOLUMEN_SUMINISTROS[[#This Row],[Proyecto]],VOL_VOLUMEN_SUMINISTROS[[#This Row],[FIN DE SEMANA]])</f>
        <v>261052-2NO</v>
      </c>
      <c r="E1529" s="30" t="s">
        <v>183</v>
      </c>
      <c r="F1529" s="30" t="s">
        <v>148</v>
      </c>
      <c r="G1529" s="365">
        <v>26</v>
      </c>
      <c r="H1529" s="30">
        <v>18</v>
      </c>
      <c r="I1529" s="9" t="s">
        <v>308</v>
      </c>
      <c r="J1529" s="9" t="s">
        <v>1096</v>
      </c>
      <c r="K1529" s="30">
        <v>1</v>
      </c>
      <c r="L1529" s="9" t="s">
        <v>1097</v>
      </c>
      <c r="M1529" s="30" t="s">
        <v>84</v>
      </c>
      <c r="N1529" s="30" t="s">
        <v>155</v>
      </c>
      <c r="O1529" s="24">
        <v>106</v>
      </c>
      <c r="P1529" s="24">
        <v>131</v>
      </c>
      <c r="Q1529" s="24">
        <v>26</v>
      </c>
      <c r="R1529" s="24">
        <v>0</v>
      </c>
      <c r="S1529" s="24">
        <v>0</v>
      </c>
      <c r="T1529" s="24">
        <v>263</v>
      </c>
    </row>
    <row r="1530" spans="1:20">
      <c r="A1530" s="9" t="s">
        <v>1049</v>
      </c>
      <c r="B1530" s="30" t="s">
        <v>1101</v>
      </c>
      <c r="C1530" s="30" t="str">
        <f>CONCATENATE(VOL_VOLUMEN_SUMINISTROS[[#This Row],[Proyecto]],VOL_VOLUMEN_SUMINISTROS[[#This Row],[J]],VOL_VOLUMEN_SUMINISTROS[[#This Row],[FIN DE SEMANA]])</f>
        <v>1052-2M1NO</v>
      </c>
      <c r="D1530" s="365" t="str">
        <f>CONCATENATE(VOL_VOLUMEN_SUMINISTROS[[#This Row],[Grupo]],VOL_VOLUMEN_SUMINISTROS[[#This Row],[Proyecto]],VOL_VOLUMEN_SUMINISTROS[[#This Row],[FIN DE SEMANA]])</f>
        <v>101052-2NO</v>
      </c>
      <c r="E1530" s="30" t="s">
        <v>183</v>
      </c>
      <c r="F1530" s="30" t="s">
        <v>148</v>
      </c>
      <c r="G1530" s="365">
        <v>10</v>
      </c>
      <c r="H1530" s="30">
        <v>8</v>
      </c>
      <c r="I1530" s="9" t="s">
        <v>149</v>
      </c>
      <c r="J1530" s="9" t="s">
        <v>1051</v>
      </c>
      <c r="K1530" s="30">
        <v>2</v>
      </c>
      <c r="L1530" s="9" t="s">
        <v>1053</v>
      </c>
      <c r="M1530" s="30" t="s">
        <v>84</v>
      </c>
      <c r="N1530" s="30" t="s">
        <v>216</v>
      </c>
      <c r="O1530" s="24">
        <v>0</v>
      </c>
      <c r="P1530" s="24">
        <v>27</v>
      </c>
      <c r="Q1530" s="24">
        <v>9</v>
      </c>
      <c r="R1530" s="24">
        <v>0</v>
      </c>
      <c r="S1530" s="24">
        <v>0</v>
      </c>
      <c r="T1530" s="24">
        <v>36</v>
      </c>
    </row>
    <row r="1531" spans="1:20">
      <c r="A1531" s="9" t="s">
        <v>1049</v>
      </c>
      <c r="B1531" s="30" t="s">
        <v>1101</v>
      </c>
      <c r="C1531" s="30" t="str">
        <f>CONCATENATE(VOL_VOLUMEN_SUMINISTROS[[#This Row],[Proyecto]],VOL_VOLUMEN_SUMINISTROS[[#This Row],[J]],VOL_VOLUMEN_SUMINISTROS[[#This Row],[FIN DE SEMANA]])</f>
        <v>1052-2M1NO</v>
      </c>
      <c r="D1531" s="365" t="str">
        <f>CONCATENATE(VOL_VOLUMEN_SUMINISTROS[[#This Row],[Grupo]],VOL_VOLUMEN_SUMINISTROS[[#This Row],[Proyecto]],VOL_VOLUMEN_SUMINISTROS[[#This Row],[FIN DE SEMANA]])</f>
        <v>101052-2NO</v>
      </c>
      <c r="E1531" s="30" t="s">
        <v>183</v>
      </c>
      <c r="F1531" s="30" t="s">
        <v>148</v>
      </c>
      <c r="G1531" s="365">
        <v>10</v>
      </c>
      <c r="H1531" s="30">
        <v>8</v>
      </c>
      <c r="I1531" s="9" t="s">
        <v>149</v>
      </c>
      <c r="J1531" s="9" t="s">
        <v>1051</v>
      </c>
      <c r="K1531" s="30">
        <v>3</v>
      </c>
      <c r="L1531" s="9" t="s">
        <v>1102</v>
      </c>
      <c r="M1531" s="30" t="s">
        <v>84</v>
      </c>
      <c r="N1531" s="30" t="s">
        <v>216</v>
      </c>
      <c r="O1531" s="24">
        <v>0</v>
      </c>
      <c r="P1531" s="24">
        <v>174</v>
      </c>
      <c r="Q1531" s="24">
        <v>158</v>
      </c>
      <c r="R1531" s="24">
        <v>0</v>
      </c>
      <c r="S1531" s="24">
        <v>0</v>
      </c>
      <c r="T1531" s="24">
        <v>332</v>
      </c>
    </row>
    <row r="1532" spans="1:20">
      <c r="A1532" s="9" t="s">
        <v>1049</v>
      </c>
      <c r="B1532" s="30" t="s">
        <v>1101</v>
      </c>
      <c r="C1532" s="30" t="str">
        <f>CONCATENATE(VOL_VOLUMEN_SUMINISTROS[[#This Row],[Proyecto]],VOL_VOLUMEN_SUMINISTROS[[#This Row],[J]],VOL_VOLUMEN_SUMINISTROS[[#This Row],[FIN DE SEMANA]])</f>
        <v>1052-2TNO</v>
      </c>
      <c r="D1532" s="365" t="str">
        <f>CONCATENATE(VOL_VOLUMEN_SUMINISTROS[[#This Row],[Grupo]],VOL_VOLUMEN_SUMINISTROS[[#This Row],[Proyecto]],VOL_VOLUMEN_SUMINISTROS[[#This Row],[FIN DE SEMANA]])</f>
        <v>101052-2NO</v>
      </c>
      <c r="E1532" s="30" t="s">
        <v>183</v>
      </c>
      <c r="F1532" s="30" t="s">
        <v>148</v>
      </c>
      <c r="G1532" s="365">
        <v>10</v>
      </c>
      <c r="H1532" s="30">
        <v>8</v>
      </c>
      <c r="I1532" s="9" t="s">
        <v>149</v>
      </c>
      <c r="J1532" s="9" t="s">
        <v>1051</v>
      </c>
      <c r="K1532" s="30">
        <v>3</v>
      </c>
      <c r="L1532" s="9" t="s">
        <v>1102</v>
      </c>
      <c r="M1532" s="30" t="s">
        <v>84</v>
      </c>
      <c r="N1532" s="30" t="s">
        <v>155</v>
      </c>
      <c r="O1532" s="24">
        <v>0</v>
      </c>
      <c r="P1532" s="24">
        <v>159</v>
      </c>
      <c r="Q1532" s="24">
        <v>173</v>
      </c>
      <c r="R1532" s="24">
        <v>0</v>
      </c>
      <c r="S1532" s="24">
        <v>0</v>
      </c>
      <c r="T1532" s="24">
        <v>332</v>
      </c>
    </row>
    <row r="1533" spans="1:20">
      <c r="A1533" s="9" t="s">
        <v>1049</v>
      </c>
      <c r="B1533" s="30" t="s">
        <v>1103</v>
      </c>
      <c r="C1533" s="30" t="str">
        <f>CONCATENATE(VOL_VOLUMEN_SUMINISTROS[[#This Row],[Proyecto]],VOL_VOLUMEN_SUMINISTROS[[#This Row],[J]],VOL_VOLUMEN_SUMINISTROS[[#This Row],[FIN DE SEMANA]])</f>
        <v>1052-2M1NO</v>
      </c>
      <c r="D1533" s="365" t="str">
        <f>CONCATENATE(VOL_VOLUMEN_SUMINISTROS[[#This Row],[Grupo]],VOL_VOLUMEN_SUMINISTROS[[#This Row],[Proyecto]],VOL_VOLUMEN_SUMINISTROS[[#This Row],[FIN DE SEMANA]])</f>
        <v>261052-2NO</v>
      </c>
      <c r="E1533" s="30" t="s">
        <v>183</v>
      </c>
      <c r="F1533" s="30" t="s">
        <v>148</v>
      </c>
      <c r="G1533" s="365">
        <v>26</v>
      </c>
      <c r="H1533" s="30">
        <v>18</v>
      </c>
      <c r="I1533" s="9" t="s">
        <v>308</v>
      </c>
      <c r="J1533" s="9" t="s">
        <v>1076</v>
      </c>
      <c r="K1533" s="30">
        <v>1</v>
      </c>
      <c r="L1533" s="9" t="s">
        <v>153</v>
      </c>
      <c r="M1533" s="30" t="s">
        <v>84</v>
      </c>
      <c r="N1533" s="30" t="s">
        <v>216</v>
      </c>
      <c r="O1533" s="24">
        <v>20</v>
      </c>
      <c r="P1533" s="24">
        <v>199</v>
      </c>
      <c r="Q1533" s="24">
        <v>219</v>
      </c>
      <c r="R1533" s="24">
        <v>0</v>
      </c>
      <c r="S1533" s="24">
        <v>0</v>
      </c>
      <c r="T1533" s="24">
        <v>438</v>
      </c>
    </row>
    <row r="1534" spans="1:20">
      <c r="A1534" s="9" t="s">
        <v>1049</v>
      </c>
      <c r="B1534" s="30" t="s">
        <v>1103</v>
      </c>
      <c r="C1534" s="30" t="str">
        <f>CONCATENATE(VOL_VOLUMEN_SUMINISTROS[[#This Row],[Proyecto]],VOL_VOLUMEN_SUMINISTROS[[#This Row],[J]],VOL_VOLUMEN_SUMINISTROS[[#This Row],[FIN DE SEMANA]])</f>
        <v>1052-2TNO</v>
      </c>
      <c r="D1534" s="365" t="str">
        <f>CONCATENATE(VOL_VOLUMEN_SUMINISTROS[[#This Row],[Grupo]],VOL_VOLUMEN_SUMINISTROS[[#This Row],[Proyecto]],VOL_VOLUMEN_SUMINISTROS[[#This Row],[FIN DE SEMANA]])</f>
        <v>261052-2NO</v>
      </c>
      <c r="E1534" s="30" t="s">
        <v>183</v>
      </c>
      <c r="F1534" s="30" t="s">
        <v>148</v>
      </c>
      <c r="G1534" s="365">
        <v>26</v>
      </c>
      <c r="H1534" s="30">
        <v>18</v>
      </c>
      <c r="I1534" s="9" t="s">
        <v>308</v>
      </c>
      <c r="J1534" s="9" t="s">
        <v>1076</v>
      </c>
      <c r="K1534" s="30">
        <v>1</v>
      </c>
      <c r="L1534" s="9" t="s">
        <v>153</v>
      </c>
      <c r="M1534" s="30" t="s">
        <v>84</v>
      </c>
      <c r="N1534" s="30" t="s">
        <v>155</v>
      </c>
      <c r="O1534" s="24">
        <v>0</v>
      </c>
      <c r="P1534" s="24">
        <v>0</v>
      </c>
      <c r="Q1534" s="24">
        <v>30</v>
      </c>
      <c r="R1534" s="24">
        <v>0</v>
      </c>
      <c r="S1534" s="24">
        <v>0</v>
      </c>
      <c r="T1534" s="24">
        <v>30</v>
      </c>
    </row>
    <row r="1535" spans="1:20">
      <c r="A1535" s="9" t="s">
        <v>1049</v>
      </c>
      <c r="B1535" s="30" t="s">
        <v>1103</v>
      </c>
      <c r="C1535" s="30" t="str">
        <f>CONCATENATE(VOL_VOLUMEN_SUMINISTROS[[#This Row],[Proyecto]],VOL_VOLUMEN_SUMINISTROS[[#This Row],[J]],VOL_VOLUMEN_SUMINISTROS[[#This Row],[FIN DE SEMANA]])</f>
        <v>1052-2M1NO</v>
      </c>
      <c r="D1535" s="365" t="str">
        <f>CONCATENATE(VOL_VOLUMEN_SUMINISTROS[[#This Row],[Grupo]],VOL_VOLUMEN_SUMINISTROS[[#This Row],[Proyecto]],VOL_VOLUMEN_SUMINISTROS[[#This Row],[FIN DE SEMANA]])</f>
        <v>261052-2NO</v>
      </c>
      <c r="E1535" s="30" t="s">
        <v>183</v>
      </c>
      <c r="F1535" s="30" t="s">
        <v>148</v>
      </c>
      <c r="G1535" s="365">
        <v>26</v>
      </c>
      <c r="H1535" s="30">
        <v>18</v>
      </c>
      <c r="I1535" s="9" t="s">
        <v>308</v>
      </c>
      <c r="J1535" s="9" t="s">
        <v>1076</v>
      </c>
      <c r="K1535" s="30">
        <v>2</v>
      </c>
      <c r="L1535" s="9" t="s">
        <v>1077</v>
      </c>
      <c r="M1535" s="30" t="s">
        <v>84</v>
      </c>
      <c r="N1535" s="30" t="s">
        <v>216</v>
      </c>
      <c r="O1535" s="24">
        <v>90</v>
      </c>
      <c r="P1535" s="24">
        <v>45</v>
      </c>
      <c r="Q1535" s="24">
        <v>0</v>
      </c>
      <c r="R1535" s="24">
        <v>0</v>
      </c>
      <c r="S1535" s="24">
        <v>0</v>
      </c>
      <c r="T1535" s="24">
        <v>135</v>
      </c>
    </row>
    <row r="1536" spans="1:20">
      <c r="A1536" s="9" t="s">
        <v>1049</v>
      </c>
      <c r="B1536" s="30" t="s">
        <v>1103</v>
      </c>
      <c r="C1536" s="30" t="str">
        <f>CONCATENATE(VOL_VOLUMEN_SUMINISTROS[[#This Row],[Proyecto]],VOL_VOLUMEN_SUMINISTROS[[#This Row],[J]],VOL_VOLUMEN_SUMINISTROS[[#This Row],[FIN DE SEMANA]])</f>
        <v>1052-2M1NO</v>
      </c>
      <c r="D1536" s="365" t="str">
        <f>CONCATENATE(VOL_VOLUMEN_SUMINISTROS[[#This Row],[Grupo]],VOL_VOLUMEN_SUMINISTROS[[#This Row],[Proyecto]],VOL_VOLUMEN_SUMINISTROS[[#This Row],[FIN DE SEMANA]])</f>
        <v>261052-2NO</v>
      </c>
      <c r="E1536" s="30" t="s">
        <v>183</v>
      </c>
      <c r="F1536" s="30" t="s">
        <v>148</v>
      </c>
      <c r="G1536" s="365">
        <v>26</v>
      </c>
      <c r="H1536" s="30">
        <v>18</v>
      </c>
      <c r="I1536" s="9" t="s">
        <v>308</v>
      </c>
      <c r="J1536" s="9" t="s">
        <v>1076</v>
      </c>
      <c r="K1536" s="30">
        <v>3</v>
      </c>
      <c r="L1536" s="9" t="s">
        <v>458</v>
      </c>
      <c r="M1536" s="30" t="s">
        <v>84</v>
      </c>
      <c r="N1536" s="30" t="s">
        <v>216</v>
      </c>
      <c r="O1536" s="24">
        <v>86</v>
      </c>
      <c r="P1536" s="24">
        <v>118</v>
      </c>
      <c r="Q1536" s="24">
        <v>25</v>
      </c>
      <c r="R1536" s="24">
        <v>0</v>
      </c>
      <c r="S1536" s="24">
        <v>0</v>
      </c>
      <c r="T1536" s="24">
        <v>229</v>
      </c>
    </row>
    <row r="1537" spans="1:20">
      <c r="A1537" s="9" t="s">
        <v>1049</v>
      </c>
      <c r="B1537" s="30" t="s">
        <v>1103</v>
      </c>
      <c r="C1537" s="30" t="str">
        <f>CONCATENATE(VOL_VOLUMEN_SUMINISTROS[[#This Row],[Proyecto]],VOL_VOLUMEN_SUMINISTROS[[#This Row],[J]],VOL_VOLUMEN_SUMINISTROS[[#This Row],[FIN DE SEMANA]])</f>
        <v>1052-2MNO</v>
      </c>
      <c r="D1537" s="365" t="str">
        <f>CONCATENATE(VOL_VOLUMEN_SUMINISTROS[[#This Row],[Grupo]],VOL_VOLUMEN_SUMINISTROS[[#This Row],[Proyecto]],VOL_VOLUMEN_SUMINISTROS[[#This Row],[FIN DE SEMANA]])</f>
        <v>261052-2NO</v>
      </c>
      <c r="E1537" s="30" t="s">
        <v>183</v>
      </c>
      <c r="F1537" s="30" t="s">
        <v>148</v>
      </c>
      <c r="G1537" s="365">
        <v>26</v>
      </c>
      <c r="H1537" s="30">
        <v>18</v>
      </c>
      <c r="I1537" s="9" t="s">
        <v>308</v>
      </c>
      <c r="J1537" s="9" t="s">
        <v>1085</v>
      </c>
      <c r="K1537" s="30">
        <v>1</v>
      </c>
      <c r="L1537" s="9" t="s">
        <v>1086</v>
      </c>
      <c r="M1537" s="30" t="s">
        <v>84</v>
      </c>
      <c r="N1537" s="30" t="s">
        <v>152</v>
      </c>
      <c r="O1537" s="24">
        <v>0</v>
      </c>
      <c r="P1537" s="24">
        <v>0</v>
      </c>
      <c r="Q1537" s="24">
        <v>274</v>
      </c>
      <c r="R1537" s="24">
        <v>0</v>
      </c>
      <c r="S1537" s="24">
        <v>0</v>
      </c>
      <c r="T1537" s="24">
        <v>274</v>
      </c>
    </row>
    <row r="1538" spans="1:20">
      <c r="A1538" s="9" t="s">
        <v>1049</v>
      </c>
      <c r="B1538" s="30" t="s">
        <v>1103</v>
      </c>
      <c r="C1538" s="30" t="str">
        <f>CONCATENATE(VOL_VOLUMEN_SUMINISTROS[[#This Row],[Proyecto]],VOL_VOLUMEN_SUMINISTROS[[#This Row],[J]],VOL_VOLUMEN_SUMINISTROS[[#This Row],[FIN DE SEMANA]])</f>
        <v>1052-2M1NO</v>
      </c>
      <c r="D1538" s="365" t="str">
        <f>CONCATENATE(VOL_VOLUMEN_SUMINISTROS[[#This Row],[Grupo]],VOL_VOLUMEN_SUMINISTROS[[#This Row],[Proyecto]],VOL_VOLUMEN_SUMINISTROS[[#This Row],[FIN DE SEMANA]])</f>
        <v>261052-2NO</v>
      </c>
      <c r="E1538" s="30" t="s">
        <v>183</v>
      </c>
      <c r="F1538" s="30" t="s">
        <v>148</v>
      </c>
      <c r="G1538" s="365">
        <v>26</v>
      </c>
      <c r="H1538" s="30">
        <v>18</v>
      </c>
      <c r="I1538" s="9" t="s">
        <v>308</v>
      </c>
      <c r="J1538" s="9" t="s">
        <v>1085</v>
      </c>
      <c r="K1538" s="30">
        <v>1</v>
      </c>
      <c r="L1538" s="9" t="s">
        <v>1086</v>
      </c>
      <c r="M1538" s="30" t="s">
        <v>84</v>
      </c>
      <c r="N1538" s="30" t="s">
        <v>216</v>
      </c>
      <c r="O1538" s="24">
        <v>0</v>
      </c>
      <c r="P1538" s="24">
        <v>270</v>
      </c>
      <c r="Q1538" s="24">
        <v>355</v>
      </c>
      <c r="R1538" s="24">
        <v>0</v>
      </c>
      <c r="S1538" s="24">
        <v>0</v>
      </c>
      <c r="T1538" s="24">
        <v>625</v>
      </c>
    </row>
    <row r="1539" spans="1:20">
      <c r="A1539" s="9" t="s">
        <v>1049</v>
      </c>
      <c r="B1539" s="30" t="s">
        <v>1103</v>
      </c>
      <c r="C1539" s="30" t="str">
        <f>CONCATENATE(VOL_VOLUMEN_SUMINISTROS[[#This Row],[Proyecto]],VOL_VOLUMEN_SUMINISTROS[[#This Row],[J]],VOL_VOLUMEN_SUMINISTROS[[#This Row],[FIN DE SEMANA]])</f>
        <v>1052-2M1NO</v>
      </c>
      <c r="D1539" s="365" t="str">
        <f>CONCATENATE(VOL_VOLUMEN_SUMINISTROS[[#This Row],[Grupo]],VOL_VOLUMEN_SUMINISTROS[[#This Row],[Proyecto]],VOL_VOLUMEN_SUMINISTROS[[#This Row],[FIN DE SEMANA]])</f>
        <v>261052-2NO</v>
      </c>
      <c r="E1539" s="30" t="s">
        <v>183</v>
      </c>
      <c r="F1539" s="30" t="s">
        <v>148</v>
      </c>
      <c r="G1539" s="365">
        <v>26</v>
      </c>
      <c r="H1539" s="30">
        <v>18</v>
      </c>
      <c r="I1539" s="9" t="s">
        <v>308</v>
      </c>
      <c r="J1539" s="9" t="s">
        <v>1090</v>
      </c>
      <c r="K1539" s="30">
        <v>1</v>
      </c>
      <c r="L1539" s="9" t="s">
        <v>318</v>
      </c>
      <c r="M1539" s="30" t="s">
        <v>84</v>
      </c>
      <c r="N1539" s="30" t="s">
        <v>216</v>
      </c>
      <c r="O1539" s="24">
        <v>138</v>
      </c>
      <c r="P1539" s="24">
        <v>267</v>
      </c>
      <c r="Q1539" s="24">
        <v>221</v>
      </c>
      <c r="R1539" s="24">
        <v>0</v>
      </c>
      <c r="S1539" s="24">
        <v>0</v>
      </c>
      <c r="T1539" s="24">
        <v>626</v>
      </c>
    </row>
    <row r="1540" spans="1:20">
      <c r="A1540" s="9" t="s">
        <v>1049</v>
      </c>
      <c r="B1540" s="30" t="s">
        <v>1104</v>
      </c>
      <c r="C1540" s="30" t="str">
        <f>CONCATENATE(VOL_VOLUMEN_SUMINISTROS[[#This Row],[Proyecto]],VOL_VOLUMEN_SUMINISTROS[[#This Row],[J]],VOL_VOLUMEN_SUMINISTROS[[#This Row],[FIN DE SEMANA]])</f>
        <v>1052-2MNO</v>
      </c>
      <c r="D1540" s="365" t="str">
        <f>CONCATENATE(VOL_VOLUMEN_SUMINISTROS[[#This Row],[Grupo]],VOL_VOLUMEN_SUMINISTROS[[#This Row],[Proyecto]],VOL_VOLUMEN_SUMINISTROS[[#This Row],[FIN DE SEMANA]])</f>
        <v>261052-2NO</v>
      </c>
      <c r="E1540" s="30" t="s">
        <v>183</v>
      </c>
      <c r="F1540" s="30" t="s">
        <v>148</v>
      </c>
      <c r="G1540" s="365">
        <v>26</v>
      </c>
      <c r="H1540" s="30">
        <v>18</v>
      </c>
      <c r="I1540" s="9" t="s">
        <v>308</v>
      </c>
      <c r="J1540" s="9" t="s">
        <v>1082</v>
      </c>
      <c r="K1540" s="30">
        <v>1</v>
      </c>
      <c r="L1540" s="9" t="s">
        <v>1083</v>
      </c>
      <c r="M1540" s="30" t="s">
        <v>84</v>
      </c>
      <c r="N1540" s="30" t="s">
        <v>152</v>
      </c>
      <c r="O1540" s="24">
        <v>27</v>
      </c>
      <c r="P1540" s="24">
        <v>0</v>
      </c>
      <c r="Q1540" s="24">
        <v>0</v>
      </c>
      <c r="R1540" s="24">
        <v>0</v>
      </c>
      <c r="S1540" s="24">
        <v>0</v>
      </c>
      <c r="T1540" s="24">
        <v>27</v>
      </c>
    </row>
    <row r="1541" spans="1:20">
      <c r="A1541" s="9" t="s">
        <v>1049</v>
      </c>
      <c r="B1541" s="30" t="s">
        <v>1104</v>
      </c>
      <c r="C1541" s="30" t="str">
        <f>CONCATENATE(VOL_VOLUMEN_SUMINISTROS[[#This Row],[Proyecto]],VOL_VOLUMEN_SUMINISTROS[[#This Row],[J]],VOL_VOLUMEN_SUMINISTROS[[#This Row],[FIN DE SEMANA]])</f>
        <v>1052-2TNO</v>
      </c>
      <c r="D1541" s="365" t="str">
        <f>CONCATENATE(VOL_VOLUMEN_SUMINISTROS[[#This Row],[Grupo]],VOL_VOLUMEN_SUMINISTROS[[#This Row],[Proyecto]],VOL_VOLUMEN_SUMINISTROS[[#This Row],[FIN DE SEMANA]])</f>
        <v>261052-2NO</v>
      </c>
      <c r="E1541" s="30" t="s">
        <v>183</v>
      </c>
      <c r="F1541" s="30" t="s">
        <v>148</v>
      </c>
      <c r="G1541" s="365">
        <v>26</v>
      </c>
      <c r="H1541" s="30">
        <v>18</v>
      </c>
      <c r="I1541" s="9" t="s">
        <v>308</v>
      </c>
      <c r="J1541" s="9" t="s">
        <v>1082</v>
      </c>
      <c r="K1541" s="30">
        <v>1</v>
      </c>
      <c r="L1541" s="9" t="s">
        <v>1084</v>
      </c>
      <c r="M1541" s="30" t="s">
        <v>84</v>
      </c>
      <c r="N1541" s="30" t="s">
        <v>155</v>
      </c>
      <c r="O1541" s="24">
        <v>100</v>
      </c>
      <c r="P1541" s="24">
        <v>0</v>
      </c>
      <c r="Q1541" s="24">
        <v>0</v>
      </c>
      <c r="R1541" s="24">
        <v>0</v>
      </c>
      <c r="S1541" s="24">
        <v>0</v>
      </c>
      <c r="T1541" s="24">
        <v>100</v>
      </c>
    </row>
    <row r="1542" spans="1:20">
      <c r="A1542" s="9" t="s">
        <v>1049</v>
      </c>
      <c r="B1542" s="30" t="s">
        <v>1104</v>
      </c>
      <c r="C1542" s="30" t="str">
        <f>CONCATENATE(VOL_VOLUMEN_SUMINISTROS[[#This Row],[Proyecto]],VOL_VOLUMEN_SUMINISTROS[[#This Row],[J]],VOL_VOLUMEN_SUMINISTROS[[#This Row],[FIN DE SEMANA]])</f>
        <v>1052-2TNO</v>
      </c>
      <c r="D1542" s="365" t="str">
        <f>CONCATENATE(VOL_VOLUMEN_SUMINISTROS[[#This Row],[Grupo]],VOL_VOLUMEN_SUMINISTROS[[#This Row],[Proyecto]],VOL_VOLUMEN_SUMINISTROS[[#This Row],[FIN DE SEMANA]])</f>
        <v>261052-2NO</v>
      </c>
      <c r="E1542" s="30" t="s">
        <v>183</v>
      </c>
      <c r="F1542" s="30" t="s">
        <v>148</v>
      </c>
      <c r="G1542" s="365">
        <v>26</v>
      </c>
      <c r="H1542" s="30">
        <v>18</v>
      </c>
      <c r="I1542" s="9" t="s">
        <v>308</v>
      </c>
      <c r="J1542" s="9" t="s">
        <v>1085</v>
      </c>
      <c r="K1542" s="30">
        <v>2</v>
      </c>
      <c r="L1542" s="9" t="s">
        <v>1087</v>
      </c>
      <c r="M1542" s="30" t="s">
        <v>84</v>
      </c>
      <c r="N1542" s="30" t="s">
        <v>155</v>
      </c>
      <c r="O1542" s="24">
        <v>68</v>
      </c>
      <c r="P1542" s="24">
        <v>0</v>
      </c>
      <c r="Q1542" s="24">
        <v>0</v>
      </c>
      <c r="R1542" s="24">
        <v>0</v>
      </c>
      <c r="S1542" s="24">
        <v>0</v>
      </c>
      <c r="T1542" s="24">
        <v>68</v>
      </c>
    </row>
    <row r="1543" spans="1:20">
      <c r="A1543" s="9" t="s">
        <v>1049</v>
      </c>
      <c r="B1543" s="30" t="s">
        <v>1104</v>
      </c>
      <c r="C1543" s="30" t="str">
        <f>CONCATENATE(VOL_VOLUMEN_SUMINISTROS[[#This Row],[Proyecto]],VOL_VOLUMEN_SUMINISTROS[[#This Row],[J]],VOL_VOLUMEN_SUMINISTROS[[#This Row],[FIN DE SEMANA]])</f>
        <v>1052-2MNO</v>
      </c>
      <c r="D1543" s="365" t="str">
        <f>CONCATENATE(VOL_VOLUMEN_SUMINISTROS[[#This Row],[Grupo]],VOL_VOLUMEN_SUMINISTROS[[#This Row],[Proyecto]],VOL_VOLUMEN_SUMINISTROS[[#This Row],[FIN DE SEMANA]])</f>
        <v>261052-2NO</v>
      </c>
      <c r="E1543" s="30" t="s">
        <v>183</v>
      </c>
      <c r="F1543" s="30" t="s">
        <v>148</v>
      </c>
      <c r="G1543" s="365">
        <v>26</v>
      </c>
      <c r="H1543" s="30">
        <v>18</v>
      </c>
      <c r="I1543" s="9" t="s">
        <v>308</v>
      </c>
      <c r="J1543" s="9" t="s">
        <v>1092</v>
      </c>
      <c r="K1543" s="30">
        <v>1</v>
      </c>
      <c r="L1543" s="9" t="s">
        <v>1093</v>
      </c>
      <c r="M1543" s="30" t="s">
        <v>84</v>
      </c>
      <c r="N1543" s="30" t="s">
        <v>152</v>
      </c>
      <c r="O1543" s="24">
        <v>95</v>
      </c>
      <c r="P1543" s="24">
        <v>0</v>
      </c>
      <c r="Q1543" s="24">
        <v>0</v>
      </c>
      <c r="R1543" s="24">
        <v>0</v>
      </c>
      <c r="S1543" s="24">
        <v>0</v>
      </c>
      <c r="T1543" s="24">
        <v>95</v>
      </c>
    </row>
    <row r="1544" spans="1:20">
      <c r="A1544" s="9" t="s">
        <v>1049</v>
      </c>
      <c r="B1544" s="30" t="s">
        <v>1104</v>
      </c>
      <c r="C1544" s="30" t="str">
        <f>CONCATENATE(VOL_VOLUMEN_SUMINISTROS[[#This Row],[Proyecto]],VOL_VOLUMEN_SUMINISTROS[[#This Row],[J]],VOL_VOLUMEN_SUMINISTROS[[#This Row],[FIN DE SEMANA]])</f>
        <v>1052-2TNO</v>
      </c>
      <c r="D1544" s="365" t="str">
        <f>CONCATENATE(VOL_VOLUMEN_SUMINISTROS[[#This Row],[Grupo]],VOL_VOLUMEN_SUMINISTROS[[#This Row],[Proyecto]],VOL_VOLUMEN_SUMINISTROS[[#This Row],[FIN DE SEMANA]])</f>
        <v>261052-2NO</v>
      </c>
      <c r="E1544" s="30" t="s">
        <v>183</v>
      </c>
      <c r="F1544" s="30" t="s">
        <v>148</v>
      </c>
      <c r="G1544" s="365">
        <v>26</v>
      </c>
      <c r="H1544" s="30">
        <v>18</v>
      </c>
      <c r="I1544" s="9" t="s">
        <v>308</v>
      </c>
      <c r="J1544" s="9" t="s">
        <v>1092</v>
      </c>
      <c r="K1544" s="30">
        <v>1</v>
      </c>
      <c r="L1544" s="9" t="s">
        <v>1093</v>
      </c>
      <c r="M1544" s="30" t="s">
        <v>84</v>
      </c>
      <c r="N1544" s="30" t="s">
        <v>155</v>
      </c>
      <c r="O1544" s="24">
        <v>95</v>
      </c>
      <c r="P1544" s="24">
        <v>0</v>
      </c>
      <c r="Q1544" s="24">
        <v>0</v>
      </c>
      <c r="R1544" s="24">
        <v>0</v>
      </c>
      <c r="S1544" s="24">
        <v>0</v>
      </c>
      <c r="T1544" s="24">
        <v>95</v>
      </c>
    </row>
    <row r="1545" spans="1:20">
      <c r="A1545" s="9" t="s">
        <v>1049</v>
      </c>
      <c r="B1545" s="30" t="s">
        <v>1104</v>
      </c>
      <c r="C1545" s="30" t="str">
        <f>CONCATENATE(VOL_VOLUMEN_SUMINISTROS[[#This Row],[Proyecto]],VOL_VOLUMEN_SUMINISTROS[[#This Row],[J]],VOL_VOLUMEN_SUMINISTROS[[#This Row],[FIN DE SEMANA]])</f>
        <v>1052-2MNO</v>
      </c>
      <c r="D1545" s="365" t="str">
        <f>CONCATENATE(VOL_VOLUMEN_SUMINISTROS[[#This Row],[Grupo]],VOL_VOLUMEN_SUMINISTROS[[#This Row],[Proyecto]],VOL_VOLUMEN_SUMINISTROS[[#This Row],[FIN DE SEMANA]])</f>
        <v>261052-2NO</v>
      </c>
      <c r="E1545" s="30" t="s">
        <v>183</v>
      </c>
      <c r="F1545" s="30" t="s">
        <v>148</v>
      </c>
      <c r="G1545" s="365">
        <v>26</v>
      </c>
      <c r="H1545" s="30">
        <v>18</v>
      </c>
      <c r="I1545" s="9" t="s">
        <v>308</v>
      </c>
      <c r="J1545" s="9" t="s">
        <v>1092</v>
      </c>
      <c r="K1545" s="30">
        <v>2</v>
      </c>
      <c r="L1545" s="9" t="s">
        <v>1094</v>
      </c>
      <c r="M1545" s="30" t="s">
        <v>84</v>
      </c>
      <c r="N1545" s="30" t="s">
        <v>152</v>
      </c>
      <c r="O1545" s="24">
        <v>50</v>
      </c>
      <c r="P1545" s="24">
        <v>0</v>
      </c>
      <c r="Q1545" s="24">
        <v>0</v>
      </c>
      <c r="R1545" s="24">
        <v>0</v>
      </c>
      <c r="S1545" s="24">
        <v>0</v>
      </c>
      <c r="T1545" s="24">
        <v>50</v>
      </c>
    </row>
    <row r="1546" spans="1:20">
      <c r="A1546" s="9" t="s">
        <v>1049</v>
      </c>
      <c r="B1546" s="30" t="s">
        <v>1104</v>
      </c>
      <c r="C1546" s="30" t="str">
        <f>CONCATENATE(VOL_VOLUMEN_SUMINISTROS[[#This Row],[Proyecto]],VOL_VOLUMEN_SUMINISTROS[[#This Row],[J]],VOL_VOLUMEN_SUMINISTROS[[#This Row],[FIN DE SEMANA]])</f>
        <v>1052-2TNO</v>
      </c>
      <c r="D1546" s="365" t="str">
        <f>CONCATENATE(VOL_VOLUMEN_SUMINISTROS[[#This Row],[Grupo]],VOL_VOLUMEN_SUMINISTROS[[#This Row],[Proyecto]],VOL_VOLUMEN_SUMINISTROS[[#This Row],[FIN DE SEMANA]])</f>
        <v>261052-2NO</v>
      </c>
      <c r="E1546" s="30" t="s">
        <v>183</v>
      </c>
      <c r="F1546" s="30" t="s">
        <v>148</v>
      </c>
      <c r="G1546" s="365">
        <v>26</v>
      </c>
      <c r="H1546" s="30">
        <v>18</v>
      </c>
      <c r="I1546" s="9" t="s">
        <v>308</v>
      </c>
      <c r="J1546" s="9" t="s">
        <v>1092</v>
      </c>
      <c r="K1546" s="30">
        <v>2</v>
      </c>
      <c r="L1546" s="9" t="s">
        <v>1094</v>
      </c>
      <c r="M1546" s="30" t="s">
        <v>84</v>
      </c>
      <c r="N1546" s="30" t="s">
        <v>155</v>
      </c>
      <c r="O1546" s="24">
        <v>25</v>
      </c>
      <c r="P1546" s="24">
        <v>0</v>
      </c>
      <c r="Q1546" s="24">
        <v>0</v>
      </c>
      <c r="R1546" s="24">
        <v>0</v>
      </c>
      <c r="S1546" s="24">
        <v>0</v>
      </c>
      <c r="T1546" s="24">
        <v>25</v>
      </c>
    </row>
    <row r="1547" spans="1:20">
      <c r="A1547" s="9" t="s">
        <v>1049</v>
      </c>
      <c r="B1547" s="30" t="s">
        <v>1104</v>
      </c>
      <c r="C1547" s="30" t="str">
        <f>CONCATENATE(VOL_VOLUMEN_SUMINISTROS[[#This Row],[Proyecto]],VOL_VOLUMEN_SUMINISTROS[[#This Row],[J]],VOL_VOLUMEN_SUMINISTROS[[#This Row],[FIN DE SEMANA]])</f>
        <v>1052-2MNO</v>
      </c>
      <c r="D1547" s="365" t="str">
        <f>CONCATENATE(VOL_VOLUMEN_SUMINISTROS[[#This Row],[Grupo]],VOL_VOLUMEN_SUMINISTROS[[#This Row],[Proyecto]],VOL_VOLUMEN_SUMINISTROS[[#This Row],[FIN DE SEMANA]])</f>
        <v>261052-2NO</v>
      </c>
      <c r="E1547" s="30" t="s">
        <v>183</v>
      </c>
      <c r="F1547" s="30" t="s">
        <v>148</v>
      </c>
      <c r="G1547" s="365">
        <v>26</v>
      </c>
      <c r="H1547" s="30">
        <v>18</v>
      </c>
      <c r="I1547" s="9" t="s">
        <v>308</v>
      </c>
      <c r="J1547" s="9" t="s">
        <v>1092</v>
      </c>
      <c r="K1547" s="30">
        <v>3</v>
      </c>
      <c r="L1547" s="9" t="s">
        <v>1095</v>
      </c>
      <c r="M1547" s="30" t="s">
        <v>84</v>
      </c>
      <c r="N1547" s="30" t="s">
        <v>152</v>
      </c>
      <c r="O1547" s="24">
        <v>33</v>
      </c>
      <c r="P1547" s="24">
        <v>0</v>
      </c>
      <c r="Q1547" s="24">
        <v>0</v>
      </c>
      <c r="R1547" s="24">
        <v>0</v>
      </c>
      <c r="S1547" s="24">
        <v>0</v>
      </c>
      <c r="T1547" s="24">
        <v>33</v>
      </c>
    </row>
    <row r="1548" spans="1:20">
      <c r="A1548" s="9" t="s">
        <v>1049</v>
      </c>
      <c r="B1548" s="30" t="s">
        <v>1104</v>
      </c>
      <c r="C1548" s="30" t="str">
        <f>CONCATENATE(VOL_VOLUMEN_SUMINISTROS[[#This Row],[Proyecto]],VOL_VOLUMEN_SUMINISTROS[[#This Row],[J]],VOL_VOLUMEN_SUMINISTROS[[#This Row],[FIN DE SEMANA]])</f>
        <v>1052-2TNO</v>
      </c>
      <c r="D1548" s="365" t="str">
        <f>CONCATENATE(VOL_VOLUMEN_SUMINISTROS[[#This Row],[Grupo]],VOL_VOLUMEN_SUMINISTROS[[#This Row],[Proyecto]],VOL_VOLUMEN_SUMINISTROS[[#This Row],[FIN DE SEMANA]])</f>
        <v>261052-2NO</v>
      </c>
      <c r="E1548" s="30" t="s">
        <v>183</v>
      </c>
      <c r="F1548" s="30" t="s">
        <v>148</v>
      </c>
      <c r="G1548" s="365">
        <v>26</v>
      </c>
      <c r="H1548" s="30">
        <v>18</v>
      </c>
      <c r="I1548" s="9" t="s">
        <v>308</v>
      </c>
      <c r="J1548" s="9" t="s">
        <v>1092</v>
      </c>
      <c r="K1548" s="30">
        <v>3</v>
      </c>
      <c r="L1548" s="9" t="s">
        <v>1095</v>
      </c>
      <c r="M1548" s="30" t="s">
        <v>84</v>
      </c>
      <c r="N1548" s="30" t="s">
        <v>155</v>
      </c>
      <c r="O1548" s="24">
        <v>18</v>
      </c>
      <c r="P1548" s="24">
        <v>0</v>
      </c>
      <c r="Q1548" s="24">
        <v>0</v>
      </c>
      <c r="R1548" s="24">
        <v>0</v>
      </c>
      <c r="S1548" s="24">
        <v>0</v>
      </c>
      <c r="T1548" s="24">
        <v>18</v>
      </c>
    </row>
    <row r="1549" spans="1:20">
      <c r="A1549" s="9" t="s">
        <v>1105</v>
      </c>
      <c r="B1549" s="30" t="s">
        <v>1106</v>
      </c>
      <c r="C1549" s="30" t="str">
        <f>CONCATENATE(VOL_VOLUMEN_SUMINISTROS[[#This Row],[Proyecto]],VOL_VOLUMEN_SUMINISTROS[[#This Row],[J]],VOL_VOLUMEN_SUMINISTROS[[#This Row],[FIN DE SEMANA]])</f>
        <v>1052-1MNO</v>
      </c>
      <c r="D1549" s="365" t="str">
        <f>CONCATENATE(VOL_VOLUMEN_SUMINISTROS[[#This Row],[Grupo]],VOL_VOLUMEN_SUMINISTROS[[#This Row],[Proyecto]],VOL_VOLUMEN_SUMINISTROS[[#This Row],[FIN DE SEMANA]])</f>
        <v>151052-1NO</v>
      </c>
      <c r="E1549" s="30" t="s">
        <v>147</v>
      </c>
      <c r="F1549" s="30" t="s">
        <v>148</v>
      </c>
      <c r="G1549" s="365">
        <v>15</v>
      </c>
      <c r="H1549" s="30">
        <v>5</v>
      </c>
      <c r="I1549" s="9" t="s">
        <v>764</v>
      </c>
      <c r="J1549" s="9" t="s">
        <v>1107</v>
      </c>
      <c r="K1549" s="30">
        <v>1</v>
      </c>
      <c r="L1549" s="9" t="s">
        <v>1108</v>
      </c>
      <c r="M1549" s="30" t="s">
        <v>84</v>
      </c>
      <c r="N1549" s="30" t="s">
        <v>152</v>
      </c>
      <c r="O1549" s="24">
        <v>200</v>
      </c>
      <c r="P1549" s="24">
        <v>232</v>
      </c>
      <c r="Q1549" s="24">
        <v>207</v>
      </c>
      <c r="R1549" s="24">
        <v>0</v>
      </c>
      <c r="S1549" s="24">
        <v>0</v>
      </c>
      <c r="T1549" s="24">
        <v>639</v>
      </c>
    </row>
    <row r="1550" spans="1:20">
      <c r="A1550" s="9" t="s">
        <v>1105</v>
      </c>
      <c r="B1550" s="30" t="s">
        <v>1106</v>
      </c>
      <c r="C1550" s="30" t="str">
        <f>CONCATENATE(VOL_VOLUMEN_SUMINISTROS[[#This Row],[Proyecto]],VOL_VOLUMEN_SUMINISTROS[[#This Row],[J]],VOL_VOLUMEN_SUMINISTROS[[#This Row],[FIN DE SEMANA]])</f>
        <v>1052-1TNO</v>
      </c>
      <c r="D1550" s="365" t="str">
        <f>CONCATENATE(VOL_VOLUMEN_SUMINISTROS[[#This Row],[Grupo]],VOL_VOLUMEN_SUMINISTROS[[#This Row],[Proyecto]],VOL_VOLUMEN_SUMINISTROS[[#This Row],[FIN DE SEMANA]])</f>
        <v>151052-1NO</v>
      </c>
      <c r="E1550" s="30" t="s">
        <v>147</v>
      </c>
      <c r="F1550" s="30" t="s">
        <v>148</v>
      </c>
      <c r="G1550" s="365">
        <v>15</v>
      </c>
      <c r="H1550" s="30">
        <v>5</v>
      </c>
      <c r="I1550" s="9" t="s">
        <v>764</v>
      </c>
      <c r="J1550" s="9" t="s">
        <v>1107</v>
      </c>
      <c r="K1550" s="30">
        <v>1</v>
      </c>
      <c r="L1550" s="9" t="s">
        <v>1108</v>
      </c>
      <c r="M1550" s="30" t="s">
        <v>84</v>
      </c>
      <c r="N1550" s="30" t="s">
        <v>155</v>
      </c>
      <c r="O1550" s="24">
        <v>167</v>
      </c>
      <c r="P1550" s="24">
        <v>212</v>
      </c>
      <c r="Q1550" s="24">
        <v>199</v>
      </c>
      <c r="R1550" s="24">
        <v>0</v>
      </c>
      <c r="S1550" s="24">
        <v>0</v>
      </c>
      <c r="T1550" s="24">
        <v>578</v>
      </c>
    </row>
    <row r="1551" spans="1:20">
      <c r="A1551" s="9" t="s">
        <v>1105</v>
      </c>
      <c r="B1551" s="30" t="s">
        <v>1106</v>
      </c>
      <c r="C1551" s="30" t="str">
        <f>CONCATENATE(VOL_VOLUMEN_SUMINISTROS[[#This Row],[Proyecto]],VOL_VOLUMEN_SUMINISTROS[[#This Row],[J]],VOL_VOLUMEN_SUMINISTROS[[#This Row],[FIN DE SEMANA]])</f>
        <v>1052-1MNO</v>
      </c>
      <c r="D1551" s="365" t="str">
        <f>CONCATENATE(VOL_VOLUMEN_SUMINISTROS[[#This Row],[Grupo]],VOL_VOLUMEN_SUMINISTROS[[#This Row],[Proyecto]],VOL_VOLUMEN_SUMINISTROS[[#This Row],[FIN DE SEMANA]])</f>
        <v>151052-1NO</v>
      </c>
      <c r="E1551" s="30" t="s">
        <v>147</v>
      </c>
      <c r="F1551" s="30" t="s">
        <v>148</v>
      </c>
      <c r="G1551" s="365">
        <v>15</v>
      </c>
      <c r="H1551" s="30">
        <v>5</v>
      </c>
      <c r="I1551" s="9" t="s">
        <v>764</v>
      </c>
      <c r="J1551" s="9" t="s">
        <v>1109</v>
      </c>
      <c r="K1551" s="30">
        <v>1</v>
      </c>
      <c r="L1551" s="9" t="s">
        <v>1110</v>
      </c>
      <c r="M1551" s="30" t="s">
        <v>84</v>
      </c>
      <c r="N1551" s="30" t="s">
        <v>152</v>
      </c>
      <c r="O1551" s="24">
        <v>0</v>
      </c>
      <c r="P1551" s="24">
        <v>282</v>
      </c>
      <c r="Q1551" s="24">
        <v>331</v>
      </c>
      <c r="R1551" s="24">
        <v>0</v>
      </c>
      <c r="S1551" s="24">
        <v>0</v>
      </c>
      <c r="T1551" s="24">
        <v>613</v>
      </c>
    </row>
    <row r="1552" spans="1:20">
      <c r="A1552" s="9" t="s">
        <v>1105</v>
      </c>
      <c r="B1552" s="30" t="s">
        <v>1106</v>
      </c>
      <c r="C1552" s="30" t="str">
        <f>CONCATENATE(VOL_VOLUMEN_SUMINISTROS[[#This Row],[Proyecto]],VOL_VOLUMEN_SUMINISTROS[[#This Row],[J]],VOL_VOLUMEN_SUMINISTROS[[#This Row],[FIN DE SEMANA]])</f>
        <v>1052-1TNO</v>
      </c>
      <c r="D1552" s="365" t="str">
        <f>CONCATENATE(VOL_VOLUMEN_SUMINISTROS[[#This Row],[Grupo]],VOL_VOLUMEN_SUMINISTROS[[#This Row],[Proyecto]],VOL_VOLUMEN_SUMINISTROS[[#This Row],[FIN DE SEMANA]])</f>
        <v>151052-1NO</v>
      </c>
      <c r="E1552" s="30" t="s">
        <v>147</v>
      </c>
      <c r="F1552" s="30" t="s">
        <v>148</v>
      </c>
      <c r="G1552" s="365">
        <v>15</v>
      </c>
      <c r="H1552" s="30">
        <v>5</v>
      </c>
      <c r="I1552" s="9" t="s">
        <v>764</v>
      </c>
      <c r="J1552" s="9" t="s">
        <v>1109</v>
      </c>
      <c r="K1552" s="30">
        <v>1</v>
      </c>
      <c r="L1552" s="9" t="s">
        <v>1110</v>
      </c>
      <c r="M1552" s="30" t="s">
        <v>84</v>
      </c>
      <c r="N1552" s="30" t="s">
        <v>155</v>
      </c>
      <c r="O1552" s="24">
        <v>328</v>
      </c>
      <c r="P1552" s="24">
        <v>145</v>
      </c>
      <c r="Q1552" s="24">
        <v>10</v>
      </c>
      <c r="R1552" s="24">
        <v>0</v>
      </c>
      <c r="S1552" s="24">
        <v>0</v>
      </c>
      <c r="T1552" s="24">
        <v>483</v>
      </c>
    </row>
    <row r="1553" spans="1:20">
      <c r="A1553" s="9" t="s">
        <v>1105</v>
      </c>
      <c r="B1553" s="30" t="s">
        <v>1106</v>
      </c>
      <c r="C1553" s="30" t="str">
        <f>CONCATENATE(VOL_VOLUMEN_SUMINISTROS[[#This Row],[Proyecto]],VOL_VOLUMEN_SUMINISTROS[[#This Row],[J]],VOL_VOLUMEN_SUMINISTROS[[#This Row],[FIN DE SEMANA]])</f>
        <v>1052-1MNO</v>
      </c>
      <c r="D1553" s="365" t="str">
        <f>CONCATENATE(VOL_VOLUMEN_SUMINISTROS[[#This Row],[Grupo]],VOL_VOLUMEN_SUMINISTROS[[#This Row],[Proyecto]],VOL_VOLUMEN_SUMINISTROS[[#This Row],[FIN DE SEMANA]])</f>
        <v>151052-1NO</v>
      </c>
      <c r="E1553" s="30" t="s">
        <v>147</v>
      </c>
      <c r="F1553" s="30" t="s">
        <v>148</v>
      </c>
      <c r="G1553" s="365">
        <v>15</v>
      </c>
      <c r="H1553" s="30">
        <v>5</v>
      </c>
      <c r="I1553" s="9" t="s">
        <v>764</v>
      </c>
      <c r="J1553" s="9" t="s">
        <v>1111</v>
      </c>
      <c r="K1553" s="30">
        <v>1</v>
      </c>
      <c r="L1553" s="9" t="s">
        <v>1112</v>
      </c>
      <c r="M1553" s="30" t="s">
        <v>84</v>
      </c>
      <c r="N1553" s="30" t="s">
        <v>152</v>
      </c>
      <c r="O1553" s="24">
        <v>0</v>
      </c>
      <c r="P1553" s="24">
        <v>168</v>
      </c>
      <c r="Q1553" s="24">
        <v>380</v>
      </c>
      <c r="R1553" s="24">
        <v>0</v>
      </c>
      <c r="S1553" s="24">
        <v>0</v>
      </c>
      <c r="T1553" s="24">
        <v>548</v>
      </c>
    </row>
    <row r="1554" spans="1:20">
      <c r="A1554" s="9" t="s">
        <v>1105</v>
      </c>
      <c r="B1554" s="30" t="s">
        <v>1106</v>
      </c>
      <c r="C1554" s="30" t="str">
        <f>CONCATENATE(VOL_VOLUMEN_SUMINISTROS[[#This Row],[Proyecto]],VOL_VOLUMEN_SUMINISTROS[[#This Row],[J]],VOL_VOLUMEN_SUMINISTROS[[#This Row],[FIN DE SEMANA]])</f>
        <v>1052-1TNO</v>
      </c>
      <c r="D1554" s="365" t="str">
        <f>CONCATENATE(VOL_VOLUMEN_SUMINISTROS[[#This Row],[Grupo]],VOL_VOLUMEN_SUMINISTROS[[#This Row],[Proyecto]],VOL_VOLUMEN_SUMINISTROS[[#This Row],[FIN DE SEMANA]])</f>
        <v>151052-1NO</v>
      </c>
      <c r="E1554" s="30" t="s">
        <v>147</v>
      </c>
      <c r="F1554" s="30" t="s">
        <v>148</v>
      </c>
      <c r="G1554" s="365">
        <v>15</v>
      </c>
      <c r="H1554" s="30">
        <v>5</v>
      </c>
      <c r="I1554" s="9" t="s">
        <v>764</v>
      </c>
      <c r="J1554" s="9" t="s">
        <v>1111</v>
      </c>
      <c r="K1554" s="30">
        <v>1</v>
      </c>
      <c r="L1554" s="9" t="s">
        <v>1112</v>
      </c>
      <c r="M1554" s="30" t="s">
        <v>84</v>
      </c>
      <c r="N1554" s="30" t="s">
        <v>155</v>
      </c>
      <c r="O1554" s="24">
        <v>0</v>
      </c>
      <c r="P1554" s="24">
        <v>201</v>
      </c>
      <c r="Q1554" s="24">
        <v>274</v>
      </c>
      <c r="R1554" s="24">
        <v>0</v>
      </c>
      <c r="S1554" s="24">
        <v>0</v>
      </c>
      <c r="T1554" s="24">
        <v>475</v>
      </c>
    </row>
    <row r="1555" spans="1:20">
      <c r="A1555" s="9" t="s">
        <v>1105</v>
      </c>
      <c r="B1555" s="30" t="s">
        <v>1106</v>
      </c>
      <c r="C1555" s="30" t="str">
        <f>CONCATENATE(VOL_VOLUMEN_SUMINISTROS[[#This Row],[Proyecto]],VOL_VOLUMEN_SUMINISTROS[[#This Row],[J]],VOL_VOLUMEN_SUMINISTROS[[#This Row],[FIN DE SEMANA]])</f>
        <v>1052-1MNO</v>
      </c>
      <c r="D1555" s="365" t="str">
        <f>CONCATENATE(VOL_VOLUMEN_SUMINISTROS[[#This Row],[Grupo]],VOL_VOLUMEN_SUMINISTROS[[#This Row],[Proyecto]],VOL_VOLUMEN_SUMINISTROS[[#This Row],[FIN DE SEMANA]])</f>
        <v>151052-1NO</v>
      </c>
      <c r="E1555" s="30" t="s">
        <v>147</v>
      </c>
      <c r="F1555" s="30" t="s">
        <v>148</v>
      </c>
      <c r="G1555" s="365">
        <v>15</v>
      </c>
      <c r="H1555" s="30">
        <v>5</v>
      </c>
      <c r="I1555" s="9" t="s">
        <v>764</v>
      </c>
      <c r="J1555" s="9" t="s">
        <v>1111</v>
      </c>
      <c r="K1555" s="30">
        <v>2</v>
      </c>
      <c r="L1555" s="9" t="s">
        <v>1113</v>
      </c>
      <c r="M1555" s="30" t="s">
        <v>84</v>
      </c>
      <c r="N1555" s="30" t="s">
        <v>152</v>
      </c>
      <c r="O1555" s="24">
        <v>261</v>
      </c>
      <c r="P1555" s="24">
        <v>240</v>
      </c>
      <c r="Q1555" s="24">
        <v>50</v>
      </c>
      <c r="R1555" s="24">
        <v>0</v>
      </c>
      <c r="S1555" s="24">
        <v>0</v>
      </c>
      <c r="T1555" s="24">
        <v>551</v>
      </c>
    </row>
    <row r="1556" spans="1:20">
      <c r="A1556" s="9" t="s">
        <v>1105</v>
      </c>
      <c r="B1556" s="30" t="s">
        <v>1106</v>
      </c>
      <c r="C1556" s="30" t="str">
        <f>CONCATENATE(VOL_VOLUMEN_SUMINISTROS[[#This Row],[Proyecto]],VOL_VOLUMEN_SUMINISTROS[[#This Row],[J]],VOL_VOLUMEN_SUMINISTROS[[#This Row],[FIN DE SEMANA]])</f>
        <v>1052-1TNO</v>
      </c>
      <c r="D1556" s="365" t="str">
        <f>CONCATENATE(VOL_VOLUMEN_SUMINISTROS[[#This Row],[Grupo]],VOL_VOLUMEN_SUMINISTROS[[#This Row],[Proyecto]],VOL_VOLUMEN_SUMINISTROS[[#This Row],[FIN DE SEMANA]])</f>
        <v>151052-1NO</v>
      </c>
      <c r="E1556" s="30" t="s">
        <v>147</v>
      </c>
      <c r="F1556" s="30" t="s">
        <v>148</v>
      </c>
      <c r="G1556" s="365">
        <v>15</v>
      </c>
      <c r="H1556" s="30">
        <v>5</v>
      </c>
      <c r="I1556" s="9" t="s">
        <v>764</v>
      </c>
      <c r="J1556" s="9" t="s">
        <v>1111</v>
      </c>
      <c r="K1556" s="30">
        <v>2</v>
      </c>
      <c r="L1556" s="9" t="s">
        <v>1113</v>
      </c>
      <c r="M1556" s="30" t="s">
        <v>84</v>
      </c>
      <c r="N1556" s="30" t="s">
        <v>155</v>
      </c>
      <c r="O1556" s="24">
        <v>279</v>
      </c>
      <c r="P1556" s="24">
        <v>203</v>
      </c>
      <c r="Q1556" s="24">
        <v>38</v>
      </c>
      <c r="R1556" s="24">
        <v>0</v>
      </c>
      <c r="S1556" s="24">
        <v>0</v>
      </c>
      <c r="T1556" s="24">
        <v>520</v>
      </c>
    </row>
    <row r="1557" spans="1:20">
      <c r="A1557" s="9" t="s">
        <v>1105</v>
      </c>
      <c r="B1557" s="30" t="s">
        <v>1106</v>
      </c>
      <c r="C1557" s="30" t="str">
        <f>CONCATENATE(VOL_VOLUMEN_SUMINISTROS[[#This Row],[Proyecto]],VOL_VOLUMEN_SUMINISTROS[[#This Row],[J]],VOL_VOLUMEN_SUMINISTROS[[#This Row],[FIN DE SEMANA]])</f>
        <v>1052-1MNO</v>
      </c>
      <c r="D1557" s="365" t="str">
        <f>CONCATENATE(VOL_VOLUMEN_SUMINISTROS[[#This Row],[Grupo]],VOL_VOLUMEN_SUMINISTROS[[#This Row],[Proyecto]],VOL_VOLUMEN_SUMINISTROS[[#This Row],[FIN DE SEMANA]])</f>
        <v>151052-1NO</v>
      </c>
      <c r="E1557" s="30" t="s">
        <v>147</v>
      </c>
      <c r="F1557" s="30" t="s">
        <v>148</v>
      </c>
      <c r="G1557" s="365">
        <v>15</v>
      </c>
      <c r="H1557" s="30">
        <v>5</v>
      </c>
      <c r="I1557" s="9" t="s">
        <v>764</v>
      </c>
      <c r="J1557" s="9" t="s">
        <v>1114</v>
      </c>
      <c r="K1557" s="30">
        <v>1</v>
      </c>
      <c r="L1557" s="9" t="s">
        <v>1115</v>
      </c>
      <c r="M1557" s="30" t="s">
        <v>84</v>
      </c>
      <c r="N1557" s="30" t="s">
        <v>152</v>
      </c>
      <c r="O1557" s="24">
        <v>172</v>
      </c>
      <c r="P1557" s="24">
        <v>223</v>
      </c>
      <c r="Q1557" s="24">
        <v>165</v>
      </c>
      <c r="R1557" s="24">
        <v>0</v>
      </c>
      <c r="S1557" s="24">
        <v>0</v>
      </c>
      <c r="T1557" s="24">
        <v>560</v>
      </c>
    </row>
    <row r="1558" spans="1:20">
      <c r="A1558" s="9" t="s">
        <v>1105</v>
      </c>
      <c r="B1558" s="30" t="s">
        <v>1106</v>
      </c>
      <c r="C1558" s="30" t="str">
        <f>CONCATENATE(VOL_VOLUMEN_SUMINISTROS[[#This Row],[Proyecto]],VOL_VOLUMEN_SUMINISTROS[[#This Row],[J]],VOL_VOLUMEN_SUMINISTROS[[#This Row],[FIN DE SEMANA]])</f>
        <v>1052-1TNO</v>
      </c>
      <c r="D1558" s="365" t="str">
        <f>CONCATENATE(VOL_VOLUMEN_SUMINISTROS[[#This Row],[Grupo]],VOL_VOLUMEN_SUMINISTROS[[#This Row],[Proyecto]],VOL_VOLUMEN_SUMINISTROS[[#This Row],[FIN DE SEMANA]])</f>
        <v>151052-1NO</v>
      </c>
      <c r="E1558" s="30" t="s">
        <v>147</v>
      </c>
      <c r="F1558" s="30" t="s">
        <v>148</v>
      </c>
      <c r="G1558" s="365">
        <v>15</v>
      </c>
      <c r="H1558" s="30">
        <v>5</v>
      </c>
      <c r="I1558" s="9" t="s">
        <v>764</v>
      </c>
      <c r="J1558" s="9" t="s">
        <v>1114</v>
      </c>
      <c r="K1558" s="30">
        <v>1</v>
      </c>
      <c r="L1558" s="9" t="s">
        <v>1115</v>
      </c>
      <c r="M1558" s="30" t="s">
        <v>84</v>
      </c>
      <c r="N1558" s="30" t="s">
        <v>155</v>
      </c>
      <c r="O1558" s="24">
        <v>100</v>
      </c>
      <c r="P1558" s="24">
        <v>205</v>
      </c>
      <c r="Q1558" s="24">
        <v>230</v>
      </c>
      <c r="R1558" s="24">
        <v>0</v>
      </c>
      <c r="S1558" s="24">
        <v>0</v>
      </c>
      <c r="T1558" s="24">
        <v>535</v>
      </c>
    </row>
    <row r="1559" spans="1:20">
      <c r="A1559" s="9" t="s">
        <v>1105</v>
      </c>
      <c r="B1559" s="30" t="s">
        <v>1106</v>
      </c>
      <c r="C1559" s="30" t="str">
        <f>CONCATENATE(VOL_VOLUMEN_SUMINISTROS[[#This Row],[Proyecto]],VOL_VOLUMEN_SUMINISTROS[[#This Row],[J]],VOL_VOLUMEN_SUMINISTROS[[#This Row],[FIN DE SEMANA]])</f>
        <v>1052-1MNO</v>
      </c>
      <c r="D1559" s="365" t="str">
        <f>CONCATENATE(VOL_VOLUMEN_SUMINISTROS[[#This Row],[Grupo]],VOL_VOLUMEN_SUMINISTROS[[#This Row],[Proyecto]],VOL_VOLUMEN_SUMINISTROS[[#This Row],[FIN DE SEMANA]])</f>
        <v>151052-1NO</v>
      </c>
      <c r="E1559" s="30" t="s">
        <v>147</v>
      </c>
      <c r="F1559" s="30" t="s">
        <v>148</v>
      </c>
      <c r="G1559" s="365">
        <v>15</v>
      </c>
      <c r="H1559" s="30">
        <v>5</v>
      </c>
      <c r="I1559" s="9" t="s">
        <v>764</v>
      </c>
      <c r="J1559" s="9" t="s">
        <v>1116</v>
      </c>
      <c r="K1559" s="30">
        <v>1</v>
      </c>
      <c r="L1559" s="9" t="s">
        <v>1117</v>
      </c>
      <c r="M1559" s="30" t="s">
        <v>84</v>
      </c>
      <c r="N1559" s="30" t="s">
        <v>152</v>
      </c>
      <c r="O1559" s="24">
        <v>279</v>
      </c>
      <c r="P1559" s="24">
        <v>236</v>
      </c>
      <c r="Q1559" s="24">
        <v>48</v>
      </c>
      <c r="R1559" s="24">
        <v>0</v>
      </c>
      <c r="S1559" s="24">
        <v>0</v>
      </c>
      <c r="T1559" s="24">
        <v>563</v>
      </c>
    </row>
    <row r="1560" spans="1:20">
      <c r="A1560" s="9" t="s">
        <v>1105</v>
      </c>
      <c r="B1560" s="30" t="s">
        <v>1106</v>
      </c>
      <c r="C1560" s="30" t="str">
        <f>CONCATENATE(VOL_VOLUMEN_SUMINISTROS[[#This Row],[Proyecto]],VOL_VOLUMEN_SUMINISTROS[[#This Row],[J]],VOL_VOLUMEN_SUMINISTROS[[#This Row],[FIN DE SEMANA]])</f>
        <v>1052-1TNO</v>
      </c>
      <c r="D1560" s="365" t="str">
        <f>CONCATENATE(VOL_VOLUMEN_SUMINISTROS[[#This Row],[Grupo]],VOL_VOLUMEN_SUMINISTROS[[#This Row],[Proyecto]],VOL_VOLUMEN_SUMINISTROS[[#This Row],[FIN DE SEMANA]])</f>
        <v>151052-1NO</v>
      </c>
      <c r="E1560" s="30" t="s">
        <v>147</v>
      </c>
      <c r="F1560" s="30" t="s">
        <v>148</v>
      </c>
      <c r="G1560" s="365">
        <v>15</v>
      </c>
      <c r="H1560" s="30">
        <v>5</v>
      </c>
      <c r="I1560" s="9" t="s">
        <v>764</v>
      </c>
      <c r="J1560" s="9" t="s">
        <v>1116</v>
      </c>
      <c r="K1560" s="30">
        <v>1</v>
      </c>
      <c r="L1560" s="9" t="s">
        <v>1117</v>
      </c>
      <c r="M1560" s="30" t="s">
        <v>84</v>
      </c>
      <c r="N1560" s="30" t="s">
        <v>155</v>
      </c>
      <c r="O1560" s="24">
        <v>249</v>
      </c>
      <c r="P1560" s="24">
        <v>231</v>
      </c>
      <c r="Q1560" s="24">
        <v>49</v>
      </c>
      <c r="R1560" s="24">
        <v>0</v>
      </c>
      <c r="S1560" s="24">
        <v>0</v>
      </c>
      <c r="T1560" s="24">
        <v>529</v>
      </c>
    </row>
    <row r="1561" spans="1:20">
      <c r="A1561" s="9" t="s">
        <v>1105</v>
      </c>
      <c r="B1561" s="30" t="s">
        <v>1106</v>
      </c>
      <c r="C1561" s="30" t="str">
        <f>CONCATENATE(VOL_VOLUMEN_SUMINISTROS[[#This Row],[Proyecto]],VOL_VOLUMEN_SUMINISTROS[[#This Row],[J]],VOL_VOLUMEN_SUMINISTROS[[#This Row],[FIN DE SEMANA]])</f>
        <v>1052-1MNO</v>
      </c>
      <c r="D1561" s="365" t="str">
        <f>CONCATENATE(VOL_VOLUMEN_SUMINISTROS[[#This Row],[Grupo]],VOL_VOLUMEN_SUMINISTROS[[#This Row],[Proyecto]],VOL_VOLUMEN_SUMINISTROS[[#This Row],[FIN DE SEMANA]])</f>
        <v>151052-1NO</v>
      </c>
      <c r="E1561" s="30" t="s">
        <v>147</v>
      </c>
      <c r="F1561" s="30" t="s">
        <v>148</v>
      </c>
      <c r="G1561" s="365">
        <v>15</v>
      </c>
      <c r="H1561" s="30">
        <v>5</v>
      </c>
      <c r="I1561" s="9" t="s">
        <v>764</v>
      </c>
      <c r="J1561" s="9" t="s">
        <v>1116</v>
      </c>
      <c r="K1561" s="30">
        <v>2</v>
      </c>
      <c r="L1561" s="9" t="s">
        <v>1118</v>
      </c>
      <c r="M1561" s="30" t="s">
        <v>84</v>
      </c>
      <c r="N1561" s="30" t="s">
        <v>152</v>
      </c>
      <c r="O1561" s="24">
        <v>0</v>
      </c>
      <c r="P1561" s="24">
        <v>162</v>
      </c>
      <c r="Q1561" s="24">
        <v>452</v>
      </c>
      <c r="R1561" s="24">
        <v>0</v>
      </c>
      <c r="S1561" s="24">
        <v>0</v>
      </c>
      <c r="T1561" s="24">
        <v>614</v>
      </c>
    </row>
    <row r="1562" spans="1:20">
      <c r="A1562" s="9" t="s">
        <v>1105</v>
      </c>
      <c r="B1562" s="30" t="s">
        <v>1106</v>
      </c>
      <c r="C1562" s="30" t="str">
        <f>CONCATENATE(VOL_VOLUMEN_SUMINISTROS[[#This Row],[Proyecto]],VOL_VOLUMEN_SUMINISTROS[[#This Row],[J]],VOL_VOLUMEN_SUMINISTROS[[#This Row],[FIN DE SEMANA]])</f>
        <v>1052-1TNO</v>
      </c>
      <c r="D1562" s="365" t="str">
        <f>CONCATENATE(VOL_VOLUMEN_SUMINISTROS[[#This Row],[Grupo]],VOL_VOLUMEN_SUMINISTROS[[#This Row],[Proyecto]],VOL_VOLUMEN_SUMINISTROS[[#This Row],[FIN DE SEMANA]])</f>
        <v>151052-1NO</v>
      </c>
      <c r="E1562" s="30" t="s">
        <v>147</v>
      </c>
      <c r="F1562" s="30" t="s">
        <v>148</v>
      </c>
      <c r="G1562" s="365">
        <v>15</v>
      </c>
      <c r="H1562" s="30">
        <v>5</v>
      </c>
      <c r="I1562" s="9" t="s">
        <v>764</v>
      </c>
      <c r="J1562" s="9" t="s">
        <v>1116</v>
      </c>
      <c r="K1562" s="30">
        <v>2</v>
      </c>
      <c r="L1562" s="9" t="s">
        <v>1118</v>
      </c>
      <c r="M1562" s="30" t="s">
        <v>84</v>
      </c>
      <c r="N1562" s="30" t="s">
        <v>155</v>
      </c>
      <c r="O1562" s="24">
        <v>0</v>
      </c>
      <c r="P1562" s="24">
        <v>213</v>
      </c>
      <c r="Q1562" s="24">
        <v>238</v>
      </c>
      <c r="R1562" s="24">
        <v>0</v>
      </c>
      <c r="S1562" s="24">
        <v>0</v>
      </c>
      <c r="T1562" s="24">
        <v>451</v>
      </c>
    </row>
    <row r="1563" spans="1:20">
      <c r="A1563" s="9" t="s">
        <v>1105</v>
      </c>
      <c r="B1563" s="30" t="s">
        <v>1106</v>
      </c>
      <c r="C1563" s="30" t="str">
        <f>CONCATENATE(VOL_VOLUMEN_SUMINISTROS[[#This Row],[Proyecto]],VOL_VOLUMEN_SUMINISTROS[[#This Row],[J]],VOL_VOLUMEN_SUMINISTROS[[#This Row],[FIN DE SEMANA]])</f>
        <v>1052-1MNO</v>
      </c>
      <c r="D1563" s="365" t="str">
        <f>CONCATENATE(VOL_VOLUMEN_SUMINISTROS[[#This Row],[Grupo]],VOL_VOLUMEN_SUMINISTROS[[#This Row],[Proyecto]],VOL_VOLUMEN_SUMINISTROS[[#This Row],[FIN DE SEMANA]])</f>
        <v>151052-1NO</v>
      </c>
      <c r="E1563" s="30" t="s">
        <v>147</v>
      </c>
      <c r="F1563" s="30" t="s">
        <v>148</v>
      </c>
      <c r="G1563" s="365">
        <v>15</v>
      </c>
      <c r="H1563" s="30">
        <v>5</v>
      </c>
      <c r="I1563" s="9" t="s">
        <v>764</v>
      </c>
      <c r="J1563" s="9" t="s">
        <v>1119</v>
      </c>
      <c r="K1563" s="30">
        <v>1</v>
      </c>
      <c r="L1563" s="9" t="s">
        <v>1120</v>
      </c>
      <c r="M1563" s="30" t="s">
        <v>84</v>
      </c>
      <c r="N1563" s="30" t="s">
        <v>152</v>
      </c>
      <c r="O1563" s="24">
        <v>213</v>
      </c>
      <c r="P1563" s="24">
        <v>335</v>
      </c>
      <c r="Q1563" s="24">
        <v>356</v>
      </c>
      <c r="R1563" s="24">
        <v>0</v>
      </c>
      <c r="S1563" s="24">
        <v>0</v>
      </c>
      <c r="T1563" s="24">
        <v>904</v>
      </c>
    </row>
    <row r="1564" spans="1:20">
      <c r="A1564" s="9" t="s">
        <v>1105</v>
      </c>
      <c r="B1564" s="30" t="s">
        <v>1106</v>
      </c>
      <c r="C1564" s="30" t="str">
        <f>CONCATENATE(VOL_VOLUMEN_SUMINISTROS[[#This Row],[Proyecto]],VOL_VOLUMEN_SUMINISTROS[[#This Row],[J]],VOL_VOLUMEN_SUMINISTROS[[#This Row],[FIN DE SEMANA]])</f>
        <v>1052-1TNO</v>
      </c>
      <c r="D1564" s="365" t="str">
        <f>CONCATENATE(VOL_VOLUMEN_SUMINISTROS[[#This Row],[Grupo]],VOL_VOLUMEN_SUMINISTROS[[#This Row],[Proyecto]],VOL_VOLUMEN_SUMINISTROS[[#This Row],[FIN DE SEMANA]])</f>
        <v>151052-1NO</v>
      </c>
      <c r="E1564" s="30" t="s">
        <v>147</v>
      </c>
      <c r="F1564" s="30" t="s">
        <v>148</v>
      </c>
      <c r="G1564" s="365">
        <v>15</v>
      </c>
      <c r="H1564" s="30">
        <v>5</v>
      </c>
      <c r="I1564" s="9" t="s">
        <v>764</v>
      </c>
      <c r="J1564" s="9" t="s">
        <v>1119</v>
      </c>
      <c r="K1564" s="30">
        <v>1</v>
      </c>
      <c r="L1564" s="9" t="s">
        <v>1120</v>
      </c>
      <c r="M1564" s="30" t="s">
        <v>84</v>
      </c>
      <c r="N1564" s="30" t="s">
        <v>155</v>
      </c>
      <c r="O1564" s="24">
        <v>201</v>
      </c>
      <c r="P1564" s="24">
        <v>302</v>
      </c>
      <c r="Q1564" s="24">
        <v>347</v>
      </c>
      <c r="R1564" s="24">
        <v>0</v>
      </c>
      <c r="S1564" s="24">
        <v>0</v>
      </c>
      <c r="T1564" s="24">
        <v>850</v>
      </c>
    </row>
    <row r="1565" spans="1:20">
      <c r="A1565" s="9" t="s">
        <v>1105</v>
      </c>
      <c r="B1565" s="30" t="s">
        <v>1106</v>
      </c>
      <c r="C1565" s="30" t="str">
        <f>CONCATENATE(VOL_VOLUMEN_SUMINISTROS[[#This Row],[Proyecto]],VOL_VOLUMEN_SUMINISTROS[[#This Row],[J]],VOL_VOLUMEN_SUMINISTROS[[#This Row],[FIN DE SEMANA]])</f>
        <v>1052-1MNO</v>
      </c>
      <c r="D1565" s="365" t="str">
        <f>CONCATENATE(VOL_VOLUMEN_SUMINISTROS[[#This Row],[Grupo]],VOL_VOLUMEN_SUMINISTROS[[#This Row],[Proyecto]],VOL_VOLUMEN_SUMINISTROS[[#This Row],[FIN DE SEMANA]])</f>
        <v>151052-1NO</v>
      </c>
      <c r="E1565" s="30" t="s">
        <v>147</v>
      </c>
      <c r="F1565" s="30" t="s">
        <v>148</v>
      </c>
      <c r="G1565" s="365">
        <v>15</v>
      </c>
      <c r="H1565" s="30">
        <v>5</v>
      </c>
      <c r="I1565" s="9" t="s">
        <v>764</v>
      </c>
      <c r="J1565" s="9" t="s">
        <v>1121</v>
      </c>
      <c r="K1565" s="30">
        <v>1</v>
      </c>
      <c r="L1565" s="9" t="s">
        <v>1122</v>
      </c>
      <c r="M1565" s="30" t="s">
        <v>84</v>
      </c>
      <c r="N1565" s="30" t="s">
        <v>152</v>
      </c>
      <c r="O1565" s="24">
        <v>237</v>
      </c>
      <c r="P1565" s="24">
        <v>312</v>
      </c>
      <c r="Q1565" s="24">
        <v>406</v>
      </c>
      <c r="R1565" s="24">
        <v>0</v>
      </c>
      <c r="S1565" s="24">
        <v>0</v>
      </c>
      <c r="T1565" s="24">
        <v>955</v>
      </c>
    </row>
    <row r="1566" spans="1:20">
      <c r="A1566" s="9" t="s">
        <v>1105</v>
      </c>
      <c r="B1566" s="30" t="s">
        <v>1106</v>
      </c>
      <c r="C1566" s="30" t="str">
        <f>CONCATENATE(VOL_VOLUMEN_SUMINISTROS[[#This Row],[Proyecto]],VOL_VOLUMEN_SUMINISTROS[[#This Row],[J]],VOL_VOLUMEN_SUMINISTROS[[#This Row],[FIN DE SEMANA]])</f>
        <v>1052-1TNO</v>
      </c>
      <c r="D1566" s="365" t="str">
        <f>CONCATENATE(VOL_VOLUMEN_SUMINISTROS[[#This Row],[Grupo]],VOL_VOLUMEN_SUMINISTROS[[#This Row],[Proyecto]],VOL_VOLUMEN_SUMINISTROS[[#This Row],[FIN DE SEMANA]])</f>
        <v>151052-1NO</v>
      </c>
      <c r="E1566" s="30" t="s">
        <v>147</v>
      </c>
      <c r="F1566" s="30" t="s">
        <v>148</v>
      </c>
      <c r="G1566" s="365">
        <v>15</v>
      </c>
      <c r="H1566" s="30">
        <v>5</v>
      </c>
      <c r="I1566" s="9" t="s">
        <v>764</v>
      </c>
      <c r="J1566" s="9" t="s">
        <v>1121</v>
      </c>
      <c r="K1566" s="30">
        <v>1</v>
      </c>
      <c r="L1566" s="9" t="s">
        <v>1122</v>
      </c>
      <c r="M1566" s="30" t="s">
        <v>84</v>
      </c>
      <c r="N1566" s="30" t="s">
        <v>155</v>
      </c>
      <c r="O1566" s="24">
        <v>232</v>
      </c>
      <c r="P1566" s="24">
        <v>288</v>
      </c>
      <c r="Q1566" s="24">
        <v>327</v>
      </c>
      <c r="R1566" s="24">
        <v>0</v>
      </c>
      <c r="S1566" s="24">
        <v>0</v>
      </c>
      <c r="T1566" s="24">
        <v>847</v>
      </c>
    </row>
    <row r="1567" spans="1:20">
      <c r="A1567" s="9" t="s">
        <v>1105</v>
      </c>
      <c r="B1567" s="30" t="s">
        <v>1106</v>
      </c>
      <c r="C1567" s="30" t="str">
        <f>CONCATENATE(VOL_VOLUMEN_SUMINISTROS[[#This Row],[Proyecto]],VOL_VOLUMEN_SUMINISTROS[[#This Row],[J]],VOL_VOLUMEN_SUMINISTROS[[#This Row],[FIN DE SEMANA]])</f>
        <v>1052-1MNO</v>
      </c>
      <c r="D1567" s="365" t="str">
        <f>CONCATENATE(VOL_VOLUMEN_SUMINISTROS[[#This Row],[Grupo]],VOL_VOLUMEN_SUMINISTROS[[#This Row],[Proyecto]],VOL_VOLUMEN_SUMINISTROS[[#This Row],[FIN DE SEMANA]])</f>
        <v>151052-1NO</v>
      </c>
      <c r="E1567" s="30" t="s">
        <v>147</v>
      </c>
      <c r="F1567" s="30" t="s">
        <v>148</v>
      </c>
      <c r="G1567" s="365">
        <v>15</v>
      </c>
      <c r="H1567" s="30">
        <v>5</v>
      </c>
      <c r="I1567" s="9" t="s">
        <v>764</v>
      </c>
      <c r="J1567" s="9" t="s">
        <v>1123</v>
      </c>
      <c r="K1567" s="30">
        <v>1</v>
      </c>
      <c r="L1567" s="9" t="s">
        <v>1124</v>
      </c>
      <c r="M1567" s="30" t="s">
        <v>84</v>
      </c>
      <c r="N1567" s="30" t="s">
        <v>152</v>
      </c>
      <c r="O1567" s="24">
        <v>0</v>
      </c>
      <c r="P1567" s="24">
        <v>96</v>
      </c>
      <c r="Q1567" s="24">
        <v>138</v>
      </c>
      <c r="R1567" s="24">
        <v>0</v>
      </c>
      <c r="S1567" s="24">
        <v>0</v>
      </c>
      <c r="T1567" s="24">
        <v>234</v>
      </c>
    </row>
    <row r="1568" spans="1:20">
      <c r="A1568" s="9" t="s">
        <v>1105</v>
      </c>
      <c r="B1568" s="30" t="s">
        <v>1106</v>
      </c>
      <c r="C1568" s="30" t="str">
        <f>CONCATENATE(VOL_VOLUMEN_SUMINISTROS[[#This Row],[Proyecto]],VOL_VOLUMEN_SUMINISTROS[[#This Row],[J]],VOL_VOLUMEN_SUMINISTROS[[#This Row],[FIN DE SEMANA]])</f>
        <v>1052-1TNO</v>
      </c>
      <c r="D1568" s="365" t="str">
        <f>CONCATENATE(VOL_VOLUMEN_SUMINISTROS[[#This Row],[Grupo]],VOL_VOLUMEN_SUMINISTROS[[#This Row],[Proyecto]],VOL_VOLUMEN_SUMINISTROS[[#This Row],[FIN DE SEMANA]])</f>
        <v>151052-1NO</v>
      </c>
      <c r="E1568" s="30" t="s">
        <v>147</v>
      </c>
      <c r="F1568" s="30" t="s">
        <v>148</v>
      </c>
      <c r="G1568" s="365">
        <v>15</v>
      </c>
      <c r="H1568" s="30">
        <v>5</v>
      </c>
      <c r="I1568" s="9" t="s">
        <v>764</v>
      </c>
      <c r="J1568" s="9" t="s">
        <v>1123</v>
      </c>
      <c r="K1568" s="30">
        <v>1</v>
      </c>
      <c r="L1568" s="9" t="s">
        <v>1124</v>
      </c>
      <c r="M1568" s="30" t="s">
        <v>84</v>
      </c>
      <c r="N1568" s="30" t="s">
        <v>155</v>
      </c>
      <c r="O1568" s="24">
        <v>0</v>
      </c>
      <c r="P1568" s="24">
        <v>84</v>
      </c>
      <c r="Q1568" s="24">
        <v>75</v>
      </c>
      <c r="R1568" s="24">
        <v>0</v>
      </c>
      <c r="S1568" s="24">
        <v>0</v>
      </c>
      <c r="T1568" s="24">
        <v>159</v>
      </c>
    </row>
    <row r="1569" spans="1:20">
      <c r="A1569" s="9" t="s">
        <v>1105</v>
      </c>
      <c r="B1569" s="30" t="s">
        <v>1106</v>
      </c>
      <c r="C1569" s="30" t="str">
        <f>CONCATENATE(VOL_VOLUMEN_SUMINISTROS[[#This Row],[Proyecto]],VOL_VOLUMEN_SUMINISTROS[[#This Row],[J]],VOL_VOLUMEN_SUMINISTROS[[#This Row],[FIN DE SEMANA]])</f>
        <v>1052-1MNO</v>
      </c>
      <c r="D1569" s="365" t="str">
        <f>CONCATENATE(VOL_VOLUMEN_SUMINISTROS[[#This Row],[Grupo]],VOL_VOLUMEN_SUMINISTROS[[#This Row],[Proyecto]],VOL_VOLUMEN_SUMINISTROS[[#This Row],[FIN DE SEMANA]])</f>
        <v>151052-1NO</v>
      </c>
      <c r="E1569" s="30" t="s">
        <v>147</v>
      </c>
      <c r="F1569" s="30" t="s">
        <v>148</v>
      </c>
      <c r="G1569" s="365">
        <v>15</v>
      </c>
      <c r="H1569" s="30">
        <v>5</v>
      </c>
      <c r="I1569" s="9" t="s">
        <v>764</v>
      </c>
      <c r="J1569" s="9" t="s">
        <v>1123</v>
      </c>
      <c r="K1569" s="30">
        <v>2</v>
      </c>
      <c r="L1569" s="9" t="s">
        <v>1125</v>
      </c>
      <c r="M1569" s="30" t="s">
        <v>84</v>
      </c>
      <c r="N1569" s="30" t="s">
        <v>152</v>
      </c>
      <c r="O1569" s="24">
        <v>150</v>
      </c>
      <c r="P1569" s="24">
        <v>186</v>
      </c>
      <c r="Q1569" s="24">
        <v>37</v>
      </c>
      <c r="R1569" s="24">
        <v>0</v>
      </c>
      <c r="S1569" s="24">
        <v>0</v>
      </c>
      <c r="T1569" s="24">
        <v>373</v>
      </c>
    </row>
    <row r="1570" spans="1:20">
      <c r="A1570" s="9" t="s">
        <v>1105</v>
      </c>
      <c r="B1570" s="30" t="s">
        <v>1106</v>
      </c>
      <c r="C1570" s="30" t="str">
        <f>CONCATENATE(VOL_VOLUMEN_SUMINISTROS[[#This Row],[Proyecto]],VOL_VOLUMEN_SUMINISTROS[[#This Row],[J]],VOL_VOLUMEN_SUMINISTROS[[#This Row],[FIN DE SEMANA]])</f>
        <v>1052-1TNO</v>
      </c>
      <c r="D1570" s="365" t="str">
        <f>CONCATENATE(VOL_VOLUMEN_SUMINISTROS[[#This Row],[Grupo]],VOL_VOLUMEN_SUMINISTROS[[#This Row],[Proyecto]],VOL_VOLUMEN_SUMINISTROS[[#This Row],[FIN DE SEMANA]])</f>
        <v>151052-1NO</v>
      </c>
      <c r="E1570" s="30" t="s">
        <v>147</v>
      </c>
      <c r="F1570" s="30" t="s">
        <v>148</v>
      </c>
      <c r="G1570" s="365">
        <v>15</v>
      </c>
      <c r="H1570" s="30">
        <v>5</v>
      </c>
      <c r="I1570" s="9" t="s">
        <v>764</v>
      </c>
      <c r="J1570" s="9" t="s">
        <v>1123</v>
      </c>
      <c r="K1570" s="30">
        <v>2</v>
      </c>
      <c r="L1570" s="9" t="s">
        <v>1125</v>
      </c>
      <c r="M1570" s="30" t="s">
        <v>84</v>
      </c>
      <c r="N1570" s="30" t="s">
        <v>155</v>
      </c>
      <c r="O1570" s="24">
        <v>110</v>
      </c>
      <c r="P1570" s="24">
        <v>115</v>
      </c>
      <c r="Q1570" s="24">
        <v>20</v>
      </c>
      <c r="R1570" s="24">
        <v>0</v>
      </c>
      <c r="S1570" s="24">
        <v>0</v>
      </c>
      <c r="T1570" s="24">
        <v>245</v>
      </c>
    </row>
    <row r="1571" spans="1:20">
      <c r="A1571" s="9" t="s">
        <v>1105</v>
      </c>
      <c r="B1571" s="30" t="s">
        <v>1106</v>
      </c>
      <c r="C1571" s="30" t="str">
        <f>CONCATENATE(VOL_VOLUMEN_SUMINISTROS[[#This Row],[Proyecto]],VOL_VOLUMEN_SUMINISTROS[[#This Row],[J]],VOL_VOLUMEN_SUMINISTROS[[#This Row],[FIN DE SEMANA]])</f>
        <v>1052-1MNO</v>
      </c>
      <c r="D1571" s="365" t="str">
        <f>CONCATENATE(VOL_VOLUMEN_SUMINISTROS[[#This Row],[Grupo]],VOL_VOLUMEN_SUMINISTROS[[#This Row],[Proyecto]],VOL_VOLUMEN_SUMINISTROS[[#This Row],[FIN DE SEMANA]])</f>
        <v>151052-1NO</v>
      </c>
      <c r="E1571" s="30" t="s">
        <v>147</v>
      </c>
      <c r="F1571" s="30" t="s">
        <v>148</v>
      </c>
      <c r="G1571" s="365">
        <v>15</v>
      </c>
      <c r="H1571" s="30">
        <v>5</v>
      </c>
      <c r="I1571" s="9" t="s">
        <v>764</v>
      </c>
      <c r="J1571" s="9" t="s">
        <v>1123</v>
      </c>
      <c r="K1571" s="30">
        <v>3</v>
      </c>
      <c r="L1571" s="9" t="s">
        <v>533</v>
      </c>
      <c r="M1571" s="30" t="s">
        <v>84</v>
      </c>
      <c r="N1571" s="30" t="s">
        <v>152</v>
      </c>
      <c r="O1571" s="24">
        <v>203</v>
      </c>
      <c r="P1571" s="24">
        <v>0</v>
      </c>
      <c r="Q1571" s="24">
        <v>0</v>
      </c>
      <c r="R1571" s="24">
        <v>0</v>
      </c>
      <c r="S1571" s="24">
        <v>0</v>
      </c>
      <c r="T1571" s="24">
        <v>203</v>
      </c>
    </row>
    <row r="1572" spans="1:20">
      <c r="A1572" s="9" t="s">
        <v>1105</v>
      </c>
      <c r="B1572" s="30" t="s">
        <v>1106</v>
      </c>
      <c r="C1572" s="30" t="str">
        <f>CONCATENATE(VOL_VOLUMEN_SUMINISTROS[[#This Row],[Proyecto]],VOL_VOLUMEN_SUMINISTROS[[#This Row],[J]],VOL_VOLUMEN_SUMINISTROS[[#This Row],[FIN DE SEMANA]])</f>
        <v>1052-1MNO</v>
      </c>
      <c r="D1572" s="365" t="str">
        <f>CONCATENATE(VOL_VOLUMEN_SUMINISTROS[[#This Row],[Grupo]],VOL_VOLUMEN_SUMINISTROS[[#This Row],[Proyecto]],VOL_VOLUMEN_SUMINISTROS[[#This Row],[FIN DE SEMANA]])</f>
        <v>151052-1NO</v>
      </c>
      <c r="E1572" s="30" t="s">
        <v>147</v>
      </c>
      <c r="F1572" s="30" t="s">
        <v>148</v>
      </c>
      <c r="G1572" s="365">
        <v>15</v>
      </c>
      <c r="H1572" s="30">
        <v>5</v>
      </c>
      <c r="I1572" s="9" t="s">
        <v>764</v>
      </c>
      <c r="J1572" s="9" t="s">
        <v>1126</v>
      </c>
      <c r="K1572" s="30">
        <v>1</v>
      </c>
      <c r="L1572" s="9" t="s">
        <v>1127</v>
      </c>
      <c r="M1572" s="30" t="s">
        <v>84</v>
      </c>
      <c r="N1572" s="30" t="s">
        <v>152</v>
      </c>
      <c r="O1572" s="24">
        <v>202</v>
      </c>
      <c r="P1572" s="24">
        <v>303</v>
      </c>
      <c r="Q1572" s="24">
        <v>377</v>
      </c>
      <c r="R1572" s="24">
        <v>0</v>
      </c>
      <c r="S1572" s="24">
        <v>0</v>
      </c>
      <c r="T1572" s="24">
        <v>882</v>
      </c>
    </row>
    <row r="1573" spans="1:20">
      <c r="A1573" s="9" t="s">
        <v>1105</v>
      </c>
      <c r="B1573" s="30" t="s">
        <v>1106</v>
      </c>
      <c r="C1573" s="30" t="str">
        <f>CONCATENATE(VOL_VOLUMEN_SUMINISTROS[[#This Row],[Proyecto]],VOL_VOLUMEN_SUMINISTROS[[#This Row],[J]],VOL_VOLUMEN_SUMINISTROS[[#This Row],[FIN DE SEMANA]])</f>
        <v>1052-1TNO</v>
      </c>
      <c r="D1573" s="365" t="str">
        <f>CONCATENATE(VOL_VOLUMEN_SUMINISTROS[[#This Row],[Grupo]],VOL_VOLUMEN_SUMINISTROS[[#This Row],[Proyecto]],VOL_VOLUMEN_SUMINISTROS[[#This Row],[FIN DE SEMANA]])</f>
        <v>151052-1NO</v>
      </c>
      <c r="E1573" s="30" t="s">
        <v>147</v>
      </c>
      <c r="F1573" s="30" t="s">
        <v>148</v>
      </c>
      <c r="G1573" s="365">
        <v>15</v>
      </c>
      <c r="H1573" s="30">
        <v>5</v>
      </c>
      <c r="I1573" s="9" t="s">
        <v>764</v>
      </c>
      <c r="J1573" s="9" t="s">
        <v>1126</v>
      </c>
      <c r="K1573" s="30">
        <v>1</v>
      </c>
      <c r="L1573" s="9" t="s">
        <v>1127</v>
      </c>
      <c r="M1573" s="30" t="s">
        <v>84</v>
      </c>
      <c r="N1573" s="30" t="s">
        <v>155</v>
      </c>
      <c r="O1573" s="24">
        <v>198</v>
      </c>
      <c r="P1573" s="24">
        <v>292</v>
      </c>
      <c r="Q1573" s="24">
        <v>329</v>
      </c>
      <c r="R1573" s="24">
        <v>0</v>
      </c>
      <c r="S1573" s="24">
        <v>0</v>
      </c>
      <c r="T1573" s="24">
        <v>819</v>
      </c>
    </row>
    <row r="1574" spans="1:20">
      <c r="A1574" s="9" t="s">
        <v>1105</v>
      </c>
      <c r="B1574" s="30" t="s">
        <v>1106</v>
      </c>
      <c r="C1574" s="30" t="str">
        <f>CONCATENATE(VOL_VOLUMEN_SUMINISTROS[[#This Row],[Proyecto]],VOL_VOLUMEN_SUMINISTROS[[#This Row],[J]],VOL_VOLUMEN_SUMINISTROS[[#This Row],[FIN DE SEMANA]])</f>
        <v>1052-1MNO</v>
      </c>
      <c r="D1574" s="365" t="str">
        <f>CONCATENATE(VOL_VOLUMEN_SUMINISTROS[[#This Row],[Grupo]],VOL_VOLUMEN_SUMINISTROS[[#This Row],[Proyecto]],VOL_VOLUMEN_SUMINISTROS[[#This Row],[FIN DE SEMANA]])</f>
        <v>151052-1NO</v>
      </c>
      <c r="E1574" s="30" t="s">
        <v>147</v>
      </c>
      <c r="F1574" s="30" t="s">
        <v>148</v>
      </c>
      <c r="G1574" s="365">
        <v>15</v>
      </c>
      <c r="H1574" s="30">
        <v>5</v>
      </c>
      <c r="I1574" s="9" t="s">
        <v>764</v>
      </c>
      <c r="J1574" s="9" t="s">
        <v>1126</v>
      </c>
      <c r="K1574" s="30">
        <v>2</v>
      </c>
      <c r="L1574" s="9" t="s">
        <v>1128</v>
      </c>
      <c r="M1574" s="30" t="s">
        <v>84</v>
      </c>
      <c r="N1574" s="30" t="s">
        <v>152</v>
      </c>
      <c r="O1574" s="24">
        <v>0</v>
      </c>
      <c r="P1574" s="24">
        <v>201</v>
      </c>
      <c r="Q1574" s="24">
        <v>230</v>
      </c>
      <c r="R1574" s="24">
        <v>0</v>
      </c>
      <c r="S1574" s="24">
        <v>0</v>
      </c>
      <c r="T1574" s="24">
        <v>431</v>
      </c>
    </row>
    <row r="1575" spans="1:20">
      <c r="A1575" s="9" t="s">
        <v>1105</v>
      </c>
      <c r="B1575" s="30" t="s">
        <v>1106</v>
      </c>
      <c r="C1575" s="30" t="str">
        <f>CONCATENATE(VOL_VOLUMEN_SUMINISTROS[[#This Row],[Proyecto]],VOL_VOLUMEN_SUMINISTROS[[#This Row],[J]],VOL_VOLUMEN_SUMINISTROS[[#This Row],[FIN DE SEMANA]])</f>
        <v>1052-1TNO</v>
      </c>
      <c r="D1575" s="365" t="str">
        <f>CONCATENATE(VOL_VOLUMEN_SUMINISTROS[[#This Row],[Grupo]],VOL_VOLUMEN_SUMINISTROS[[#This Row],[Proyecto]],VOL_VOLUMEN_SUMINISTROS[[#This Row],[FIN DE SEMANA]])</f>
        <v>151052-1NO</v>
      </c>
      <c r="E1575" s="30" t="s">
        <v>147</v>
      </c>
      <c r="F1575" s="30" t="s">
        <v>148</v>
      </c>
      <c r="G1575" s="365">
        <v>15</v>
      </c>
      <c r="H1575" s="30">
        <v>5</v>
      </c>
      <c r="I1575" s="9" t="s">
        <v>764</v>
      </c>
      <c r="J1575" s="9" t="s">
        <v>1126</v>
      </c>
      <c r="K1575" s="30">
        <v>2</v>
      </c>
      <c r="L1575" s="9" t="s">
        <v>1128</v>
      </c>
      <c r="M1575" s="30" t="s">
        <v>84</v>
      </c>
      <c r="N1575" s="30" t="s">
        <v>155</v>
      </c>
      <c r="O1575" s="24">
        <v>16</v>
      </c>
      <c r="P1575" s="24">
        <v>200</v>
      </c>
      <c r="Q1575" s="24">
        <v>220</v>
      </c>
      <c r="R1575" s="24">
        <v>0</v>
      </c>
      <c r="S1575" s="24">
        <v>0</v>
      </c>
      <c r="T1575" s="24">
        <v>436</v>
      </c>
    </row>
    <row r="1576" spans="1:20">
      <c r="A1576" s="9" t="s">
        <v>1105</v>
      </c>
      <c r="B1576" s="30" t="s">
        <v>1106</v>
      </c>
      <c r="C1576" s="30" t="str">
        <f>CONCATENATE(VOL_VOLUMEN_SUMINISTROS[[#This Row],[Proyecto]],VOL_VOLUMEN_SUMINISTROS[[#This Row],[J]],VOL_VOLUMEN_SUMINISTROS[[#This Row],[FIN DE SEMANA]])</f>
        <v>1052-1MNO</v>
      </c>
      <c r="D1576" s="365" t="str">
        <f>CONCATENATE(VOL_VOLUMEN_SUMINISTROS[[#This Row],[Grupo]],VOL_VOLUMEN_SUMINISTROS[[#This Row],[Proyecto]],VOL_VOLUMEN_SUMINISTROS[[#This Row],[FIN DE SEMANA]])</f>
        <v>151052-1NO</v>
      </c>
      <c r="E1576" s="30" t="s">
        <v>147</v>
      </c>
      <c r="F1576" s="30" t="s">
        <v>148</v>
      </c>
      <c r="G1576" s="365">
        <v>15</v>
      </c>
      <c r="H1576" s="30">
        <v>5</v>
      </c>
      <c r="I1576" s="9" t="s">
        <v>764</v>
      </c>
      <c r="J1576" s="9" t="s">
        <v>1126</v>
      </c>
      <c r="K1576" s="30">
        <v>3</v>
      </c>
      <c r="L1576" s="9" t="s">
        <v>1129</v>
      </c>
      <c r="M1576" s="30" t="s">
        <v>84</v>
      </c>
      <c r="N1576" s="30" t="s">
        <v>152</v>
      </c>
      <c r="O1576" s="24">
        <v>184</v>
      </c>
      <c r="P1576" s="24">
        <v>56</v>
      </c>
      <c r="Q1576" s="24">
        <v>0</v>
      </c>
      <c r="R1576" s="24">
        <v>0</v>
      </c>
      <c r="S1576" s="24">
        <v>0</v>
      </c>
      <c r="T1576" s="24">
        <v>240</v>
      </c>
    </row>
    <row r="1577" spans="1:20">
      <c r="A1577" s="9" t="s">
        <v>1105</v>
      </c>
      <c r="B1577" s="30" t="s">
        <v>1106</v>
      </c>
      <c r="C1577" s="30" t="str">
        <f>CONCATENATE(VOL_VOLUMEN_SUMINISTROS[[#This Row],[Proyecto]],VOL_VOLUMEN_SUMINISTROS[[#This Row],[J]],VOL_VOLUMEN_SUMINISTROS[[#This Row],[FIN DE SEMANA]])</f>
        <v>1052-1TNO</v>
      </c>
      <c r="D1577" s="365" t="str">
        <f>CONCATENATE(VOL_VOLUMEN_SUMINISTROS[[#This Row],[Grupo]],VOL_VOLUMEN_SUMINISTROS[[#This Row],[Proyecto]],VOL_VOLUMEN_SUMINISTROS[[#This Row],[FIN DE SEMANA]])</f>
        <v>151052-1NO</v>
      </c>
      <c r="E1577" s="30" t="s">
        <v>147</v>
      </c>
      <c r="F1577" s="30" t="s">
        <v>148</v>
      </c>
      <c r="G1577" s="365">
        <v>15</v>
      </c>
      <c r="H1577" s="30">
        <v>5</v>
      </c>
      <c r="I1577" s="9" t="s">
        <v>764</v>
      </c>
      <c r="J1577" s="9" t="s">
        <v>1126</v>
      </c>
      <c r="K1577" s="30">
        <v>3</v>
      </c>
      <c r="L1577" s="9" t="s">
        <v>1129</v>
      </c>
      <c r="M1577" s="30" t="s">
        <v>84</v>
      </c>
      <c r="N1577" s="30" t="s">
        <v>155</v>
      </c>
      <c r="O1577" s="24">
        <v>198</v>
      </c>
      <c r="P1577" s="24">
        <v>50</v>
      </c>
      <c r="Q1577" s="24">
        <v>0</v>
      </c>
      <c r="R1577" s="24">
        <v>0</v>
      </c>
      <c r="S1577" s="24">
        <v>0</v>
      </c>
      <c r="T1577" s="24">
        <v>248</v>
      </c>
    </row>
    <row r="1578" spans="1:20">
      <c r="A1578" s="9" t="s">
        <v>1105</v>
      </c>
      <c r="B1578" s="30" t="s">
        <v>1106</v>
      </c>
      <c r="C1578" s="30" t="str">
        <f>CONCATENATE(VOL_VOLUMEN_SUMINISTROS[[#This Row],[Proyecto]],VOL_VOLUMEN_SUMINISTROS[[#This Row],[J]],VOL_VOLUMEN_SUMINISTROS[[#This Row],[FIN DE SEMANA]])</f>
        <v>1052-1MNO</v>
      </c>
      <c r="D1578" s="365" t="str">
        <f>CONCATENATE(VOL_VOLUMEN_SUMINISTROS[[#This Row],[Grupo]],VOL_VOLUMEN_SUMINISTROS[[#This Row],[Proyecto]],VOL_VOLUMEN_SUMINISTROS[[#This Row],[FIN DE SEMANA]])</f>
        <v>151052-1NO</v>
      </c>
      <c r="E1578" s="30" t="s">
        <v>147</v>
      </c>
      <c r="F1578" s="30" t="s">
        <v>148</v>
      </c>
      <c r="G1578" s="365">
        <v>15</v>
      </c>
      <c r="H1578" s="30">
        <v>5</v>
      </c>
      <c r="I1578" s="9" t="s">
        <v>764</v>
      </c>
      <c r="J1578" s="9" t="s">
        <v>1130</v>
      </c>
      <c r="K1578" s="30">
        <v>2</v>
      </c>
      <c r="L1578" s="9" t="s">
        <v>1131</v>
      </c>
      <c r="M1578" s="30" t="s">
        <v>84</v>
      </c>
      <c r="N1578" s="30" t="s">
        <v>152</v>
      </c>
      <c r="O1578" s="24">
        <v>223</v>
      </c>
      <c r="P1578" s="24">
        <v>50</v>
      </c>
      <c r="Q1578" s="24">
        <v>0</v>
      </c>
      <c r="R1578" s="24">
        <v>0</v>
      </c>
      <c r="S1578" s="24">
        <v>0</v>
      </c>
      <c r="T1578" s="24">
        <v>273</v>
      </c>
    </row>
    <row r="1579" spans="1:20">
      <c r="A1579" s="9" t="s">
        <v>1105</v>
      </c>
      <c r="B1579" s="30" t="s">
        <v>1106</v>
      </c>
      <c r="C1579" s="30" t="str">
        <f>CONCATENATE(VOL_VOLUMEN_SUMINISTROS[[#This Row],[Proyecto]],VOL_VOLUMEN_SUMINISTROS[[#This Row],[J]],VOL_VOLUMEN_SUMINISTROS[[#This Row],[FIN DE SEMANA]])</f>
        <v>1052-1TNO</v>
      </c>
      <c r="D1579" s="365" t="str">
        <f>CONCATENATE(VOL_VOLUMEN_SUMINISTROS[[#This Row],[Grupo]],VOL_VOLUMEN_SUMINISTROS[[#This Row],[Proyecto]],VOL_VOLUMEN_SUMINISTROS[[#This Row],[FIN DE SEMANA]])</f>
        <v>151052-1NO</v>
      </c>
      <c r="E1579" s="30" t="s">
        <v>147</v>
      </c>
      <c r="F1579" s="30" t="s">
        <v>148</v>
      </c>
      <c r="G1579" s="365">
        <v>15</v>
      </c>
      <c r="H1579" s="30">
        <v>5</v>
      </c>
      <c r="I1579" s="9" t="s">
        <v>764</v>
      </c>
      <c r="J1579" s="9" t="s">
        <v>1130</v>
      </c>
      <c r="K1579" s="30">
        <v>2</v>
      </c>
      <c r="L1579" s="9" t="s">
        <v>1131</v>
      </c>
      <c r="M1579" s="30" t="s">
        <v>84</v>
      </c>
      <c r="N1579" s="30" t="s">
        <v>155</v>
      </c>
      <c r="O1579" s="24">
        <v>221</v>
      </c>
      <c r="P1579" s="24">
        <v>39</v>
      </c>
      <c r="Q1579" s="24">
        <v>0</v>
      </c>
      <c r="R1579" s="24">
        <v>0</v>
      </c>
      <c r="S1579" s="24">
        <v>0</v>
      </c>
      <c r="T1579" s="24">
        <v>260</v>
      </c>
    </row>
    <row r="1580" spans="1:20">
      <c r="A1580" s="9" t="s">
        <v>1105</v>
      </c>
      <c r="B1580" s="30" t="s">
        <v>1106</v>
      </c>
      <c r="C1580" s="30" t="str">
        <f>CONCATENATE(VOL_VOLUMEN_SUMINISTROS[[#This Row],[Proyecto]],VOL_VOLUMEN_SUMINISTROS[[#This Row],[J]],VOL_VOLUMEN_SUMINISTROS[[#This Row],[FIN DE SEMANA]])</f>
        <v>1052-1MNO</v>
      </c>
      <c r="D1580" s="365" t="str">
        <f>CONCATENATE(VOL_VOLUMEN_SUMINISTROS[[#This Row],[Grupo]],VOL_VOLUMEN_SUMINISTROS[[#This Row],[Proyecto]],VOL_VOLUMEN_SUMINISTROS[[#This Row],[FIN DE SEMANA]])</f>
        <v>151052-1NO</v>
      </c>
      <c r="E1580" s="30" t="s">
        <v>147</v>
      </c>
      <c r="F1580" s="30" t="s">
        <v>148</v>
      </c>
      <c r="G1580" s="365">
        <v>15</v>
      </c>
      <c r="H1580" s="30">
        <v>5</v>
      </c>
      <c r="I1580" s="9" t="s">
        <v>764</v>
      </c>
      <c r="J1580" s="9" t="s">
        <v>1132</v>
      </c>
      <c r="K1580" s="30">
        <v>1</v>
      </c>
      <c r="L1580" s="9" t="s">
        <v>1133</v>
      </c>
      <c r="M1580" s="30" t="s">
        <v>84</v>
      </c>
      <c r="N1580" s="30" t="s">
        <v>152</v>
      </c>
      <c r="O1580" s="24">
        <v>157</v>
      </c>
      <c r="P1580" s="24">
        <v>279</v>
      </c>
      <c r="Q1580" s="24">
        <v>288</v>
      </c>
      <c r="R1580" s="24">
        <v>0</v>
      </c>
      <c r="S1580" s="24">
        <v>0</v>
      </c>
      <c r="T1580" s="24">
        <v>724</v>
      </c>
    </row>
    <row r="1581" spans="1:20">
      <c r="A1581" s="9" t="s">
        <v>1105</v>
      </c>
      <c r="B1581" s="30" t="s">
        <v>1106</v>
      </c>
      <c r="C1581" s="30" t="str">
        <f>CONCATENATE(VOL_VOLUMEN_SUMINISTROS[[#This Row],[Proyecto]],VOL_VOLUMEN_SUMINISTROS[[#This Row],[J]],VOL_VOLUMEN_SUMINISTROS[[#This Row],[FIN DE SEMANA]])</f>
        <v>1052-1TNO</v>
      </c>
      <c r="D1581" s="365" t="str">
        <f>CONCATENATE(VOL_VOLUMEN_SUMINISTROS[[#This Row],[Grupo]],VOL_VOLUMEN_SUMINISTROS[[#This Row],[Proyecto]],VOL_VOLUMEN_SUMINISTROS[[#This Row],[FIN DE SEMANA]])</f>
        <v>151052-1NO</v>
      </c>
      <c r="E1581" s="30" t="s">
        <v>147</v>
      </c>
      <c r="F1581" s="30" t="s">
        <v>148</v>
      </c>
      <c r="G1581" s="365">
        <v>15</v>
      </c>
      <c r="H1581" s="30">
        <v>5</v>
      </c>
      <c r="I1581" s="9" t="s">
        <v>764</v>
      </c>
      <c r="J1581" s="9" t="s">
        <v>1132</v>
      </c>
      <c r="K1581" s="30">
        <v>1</v>
      </c>
      <c r="L1581" s="9" t="s">
        <v>1133</v>
      </c>
      <c r="M1581" s="30" t="s">
        <v>84</v>
      </c>
      <c r="N1581" s="30" t="s">
        <v>155</v>
      </c>
      <c r="O1581" s="24">
        <v>230</v>
      </c>
      <c r="P1581" s="24">
        <v>203</v>
      </c>
      <c r="Q1581" s="24">
        <v>251</v>
      </c>
      <c r="R1581" s="24">
        <v>0</v>
      </c>
      <c r="S1581" s="24">
        <v>0</v>
      </c>
      <c r="T1581" s="24">
        <v>684</v>
      </c>
    </row>
    <row r="1582" spans="1:20">
      <c r="A1582" s="9" t="s">
        <v>1105</v>
      </c>
      <c r="B1582" s="30" t="s">
        <v>1106</v>
      </c>
      <c r="C1582" s="30" t="str">
        <f>CONCATENATE(VOL_VOLUMEN_SUMINISTROS[[#This Row],[Proyecto]],VOL_VOLUMEN_SUMINISTROS[[#This Row],[J]],VOL_VOLUMEN_SUMINISTROS[[#This Row],[FIN DE SEMANA]])</f>
        <v>1052-1MNO</v>
      </c>
      <c r="D1582" s="365" t="str">
        <f>CONCATENATE(VOL_VOLUMEN_SUMINISTROS[[#This Row],[Grupo]],VOL_VOLUMEN_SUMINISTROS[[#This Row],[Proyecto]],VOL_VOLUMEN_SUMINISTROS[[#This Row],[FIN DE SEMANA]])</f>
        <v>151052-1NO</v>
      </c>
      <c r="E1582" s="30" t="s">
        <v>147</v>
      </c>
      <c r="F1582" s="30" t="s">
        <v>148</v>
      </c>
      <c r="G1582" s="365">
        <v>15</v>
      </c>
      <c r="H1582" s="30">
        <v>5</v>
      </c>
      <c r="I1582" s="9" t="s">
        <v>764</v>
      </c>
      <c r="J1582" s="9" t="s">
        <v>1134</v>
      </c>
      <c r="K1582" s="30">
        <v>1</v>
      </c>
      <c r="L1582" s="9" t="s">
        <v>1135</v>
      </c>
      <c r="M1582" s="30" t="s">
        <v>84</v>
      </c>
      <c r="N1582" s="30" t="s">
        <v>152</v>
      </c>
      <c r="O1582" s="24">
        <v>198</v>
      </c>
      <c r="P1582" s="24">
        <v>294</v>
      </c>
      <c r="Q1582" s="24">
        <v>235</v>
      </c>
      <c r="R1582" s="24">
        <v>0</v>
      </c>
      <c r="S1582" s="24">
        <v>0</v>
      </c>
      <c r="T1582" s="24">
        <v>727</v>
      </c>
    </row>
    <row r="1583" spans="1:20">
      <c r="A1583" s="9" t="s">
        <v>1105</v>
      </c>
      <c r="B1583" s="30" t="s">
        <v>1106</v>
      </c>
      <c r="C1583" s="30" t="str">
        <f>CONCATENATE(VOL_VOLUMEN_SUMINISTROS[[#This Row],[Proyecto]],VOL_VOLUMEN_SUMINISTROS[[#This Row],[J]],VOL_VOLUMEN_SUMINISTROS[[#This Row],[FIN DE SEMANA]])</f>
        <v>1052-1TNO</v>
      </c>
      <c r="D1583" s="365" t="str">
        <f>CONCATENATE(VOL_VOLUMEN_SUMINISTROS[[#This Row],[Grupo]],VOL_VOLUMEN_SUMINISTROS[[#This Row],[Proyecto]],VOL_VOLUMEN_SUMINISTROS[[#This Row],[FIN DE SEMANA]])</f>
        <v>151052-1NO</v>
      </c>
      <c r="E1583" s="30" t="s">
        <v>147</v>
      </c>
      <c r="F1583" s="30" t="s">
        <v>148</v>
      </c>
      <c r="G1583" s="365">
        <v>15</v>
      </c>
      <c r="H1583" s="30">
        <v>5</v>
      </c>
      <c r="I1583" s="9" t="s">
        <v>764</v>
      </c>
      <c r="J1583" s="9" t="s">
        <v>1134</v>
      </c>
      <c r="K1583" s="30">
        <v>1</v>
      </c>
      <c r="L1583" s="9" t="s">
        <v>1135</v>
      </c>
      <c r="M1583" s="30" t="s">
        <v>84</v>
      </c>
      <c r="N1583" s="30" t="s">
        <v>155</v>
      </c>
      <c r="O1583" s="24">
        <v>131</v>
      </c>
      <c r="P1583" s="24">
        <v>230</v>
      </c>
      <c r="Q1583" s="24">
        <v>353</v>
      </c>
      <c r="R1583" s="24">
        <v>0</v>
      </c>
      <c r="S1583" s="24">
        <v>0</v>
      </c>
      <c r="T1583" s="24">
        <v>714</v>
      </c>
    </row>
    <row r="1584" spans="1:20">
      <c r="A1584" s="9" t="s">
        <v>1105</v>
      </c>
      <c r="B1584" s="30" t="s">
        <v>1106</v>
      </c>
      <c r="C1584" s="30" t="str">
        <f>CONCATENATE(VOL_VOLUMEN_SUMINISTROS[[#This Row],[Proyecto]],VOL_VOLUMEN_SUMINISTROS[[#This Row],[J]],VOL_VOLUMEN_SUMINISTROS[[#This Row],[FIN DE SEMANA]])</f>
        <v>1052-1MNO</v>
      </c>
      <c r="D1584" s="365" t="str">
        <f>CONCATENATE(VOL_VOLUMEN_SUMINISTROS[[#This Row],[Grupo]],VOL_VOLUMEN_SUMINISTROS[[#This Row],[Proyecto]],VOL_VOLUMEN_SUMINISTROS[[#This Row],[FIN DE SEMANA]])</f>
        <v>151052-1NO</v>
      </c>
      <c r="E1584" s="30" t="s">
        <v>147</v>
      </c>
      <c r="F1584" s="30" t="s">
        <v>148</v>
      </c>
      <c r="G1584" s="365">
        <v>15</v>
      </c>
      <c r="H1584" s="30">
        <v>5</v>
      </c>
      <c r="I1584" s="9" t="s">
        <v>764</v>
      </c>
      <c r="J1584" s="9" t="s">
        <v>1136</v>
      </c>
      <c r="K1584" s="30">
        <v>1</v>
      </c>
      <c r="L1584" s="9" t="s">
        <v>1137</v>
      </c>
      <c r="M1584" s="30" t="s">
        <v>84</v>
      </c>
      <c r="N1584" s="30" t="s">
        <v>152</v>
      </c>
      <c r="O1584" s="24">
        <v>0</v>
      </c>
      <c r="P1584" s="24">
        <v>153</v>
      </c>
      <c r="Q1584" s="24">
        <v>359</v>
      </c>
      <c r="R1584" s="24">
        <v>0</v>
      </c>
      <c r="S1584" s="24">
        <v>0</v>
      </c>
      <c r="T1584" s="24">
        <v>512</v>
      </c>
    </row>
    <row r="1585" spans="1:20">
      <c r="A1585" s="9" t="s">
        <v>1105</v>
      </c>
      <c r="B1585" s="30" t="s">
        <v>1106</v>
      </c>
      <c r="C1585" s="30" t="str">
        <f>CONCATENATE(VOL_VOLUMEN_SUMINISTROS[[#This Row],[Proyecto]],VOL_VOLUMEN_SUMINISTROS[[#This Row],[J]],VOL_VOLUMEN_SUMINISTROS[[#This Row],[FIN DE SEMANA]])</f>
        <v>1052-1TNO</v>
      </c>
      <c r="D1585" s="365" t="str">
        <f>CONCATENATE(VOL_VOLUMEN_SUMINISTROS[[#This Row],[Grupo]],VOL_VOLUMEN_SUMINISTROS[[#This Row],[Proyecto]],VOL_VOLUMEN_SUMINISTROS[[#This Row],[FIN DE SEMANA]])</f>
        <v>151052-1NO</v>
      </c>
      <c r="E1585" s="30" t="s">
        <v>147</v>
      </c>
      <c r="F1585" s="30" t="s">
        <v>148</v>
      </c>
      <c r="G1585" s="365">
        <v>15</v>
      </c>
      <c r="H1585" s="30">
        <v>5</v>
      </c>
      <c r="I1585" s="9" t="s">
        <v>764</v>
      </c>
      <c r="J1585" s="9" t="s">
        <v>1136</v>
      </c>
      <c r="K1585" s="30">
        <v>1</v>
      </c>
      <c r="L1585" s="9" t="s">
        <v>1137</v>
      </c>
      <c r="M1585" s="30" t="s">
        <v>84</v>
      </c>
      <c r="N1585" s="30" t="s">
        <v>155</v>
      </c>
      <c r="O1585" s="24">
        <v>0</v>
      </c>
      <c r="P1585" s="24">
        <v>144</v>
      </c>
      <c r="Q1585" s="24">
        <v>170</v>
      </c>
      <c r="R1585" s="24">
        <v>0</v>
      </c>
      <c r="S1585" s="24">
        <v>0</v>
      </c>
      <c r="T1585" s="24">
        <v>314</v>
      </c>
    </row>
    <row r="1586" spans="1:20">
      <c r="A1586" s="9" t="s">
        <v>1105</v>
      </c>
      <c r="B1586" s="30" t="s">
        <v>1106</v>
      </c>
      <c r="C1586" s="30" t="str">
        <f>CONCATENATE(VOL_VOLUMEN_SUMINISTROS[[#This Row],[Proyecto]],VOL_VOLUMEN_SUMINISTROS[[#This Row],[J]],VOL_VOLUMEN_SUMINISTROS[[#This Row],[FIN DE SEMANA]])</f>
        <v>1052-1MNO</v>
      </c>
      <c r="D1586" s="365" t="str">
        <f>CONCATENATE(VOL_VOLUMEN_SUMINISTROS[[#This Row],[Grupo]],VOL_VOLUMEN_SUMINISTROS[[#This Row],[Proyecto]],VOL_VOLUMEN_SUMINISTROS[[#This Row],[FIN DE SEMANA]])</f>
        <v>151052-1NO</v>
      </c>
      <c r="E1586" s="30" t="s">
        <v>147</v>
      </c>
      <c r="F1586" s="30" t="s">
        <v>148</v>
      </c>
      <c r="G1586" s="365">
        <v>15</v>
      </c>
      <c r="H1586" s="30">
        <v>5</v>
      </c>
      <c r="I1586" s="9" t="s">
        <v>764</v>
      </c>
      <c r="J1586" s="9" t="s">
        <v>1136</v>
      </c>
      <c r="K1586" s="30">
        <v>2</v>
      </c>
      <c r="L1586" s="9" t="s">
        <v>1138</v>
      </c>
      <c r="M1586" s="30" t="s">
        <v>84</v>
      </c>
      <c r="N1586" s="30" t="s">
        <v>152</v>
      </c>
      <c r="O1586" s="24">
        <v>183</v>
      </c>
      <c r="P1586" s="24">
        <v>125</v>
      </c>
      <c r="Q1586" s="24">
        <v>20</v>
      </c>
      <c r="R1586" s="24">
        <v>0</v>
      </c>
      <c r="S1586" s="24">
        <v>0</v>
      </c>
      <c r="T1586" s="24">
        <v>328</v>
      </c>
    </row>
    <row r="1587" spans="1:20">
      <c r="A1587" s="9" t="s">
        <v>1105</v>
      </c>
      <c r="B1587" s="30" t="s">
        <v>1106</v>
      </c>
      <c r="C1587" s="30" t="str">
        <f>CONCATENATE(VOL_VOLUMEN_SUMINISTROS[[#This Row],[Proyecto]],VOL_VOLUMEN_SUMINISTROS[[#This Row],[J]],VOL_VOLUMEN_SUMINISTROS[[#This Row],[FIN DE SEMANA]])</f>
        <v>1052-1TNO</v>
      </c>
      <c r="D1587" s="365" t="str">
        <f>CONCATENATE(VOL_VOLUMEN_SUMINISTROS[[#This Row],[Grupo]],VOL_VOLUMEN_SUMINISTROS[[#This Row],[Proyecto]],VOL_VOLUMEN_SUMINISTROS[[#This Row],[FIN DE SEMANA]])</f>
        <v>151052-1NO</v>
      </c>
      <c r="E1587" s="30" t="s">
        <v>147</v>
      </c>
      <c r="F1587" s="30" t="s">
        <v>148</v>
      </c>
      <c r="G1587" s="365">
        <v>15</v>
      </c>
      <c r="H1587" s="30">
        <v>5</v>
      </c>
      <c r="I1587" s="9" t="s">
        <v>764</v>
      </c>
      <c r="J1587" s="9" t="s">
        <v>1136</v>
      </c>
      <c r="K1587" s="30">
        <v>2</v>
      </c>
      <c r="L1587" s="9" t="s">
        <v>1138</v>
      </c>
      <c r="M1587" s="30" t="s">
        <v>84</v>
      </c>
      <c r="N1587" s="30" t="s">
        <v>155</v>
      </c>
      <c r="O1587" s="24">
        <v>157</v>
      </c>
      <c r="P1587" s="24">
        <v>128</v>
      </c>
      <c r="Q1587" s="24">
        <v>26</v>
      </c>
      <c r="R1587" s="24">
        <v>0</v>
      </c>
      <c r="S1587" s="24">
        <v>0</v>
      </c>
      <c r="T1587" s="24">
        <v>311</v>
      </c>
    </row>
    <row r="1588" spans="1:20">
      <c r="A1588" s="9" t="s">
        <v>1105</v>
      </c>
      <c r="B1588" s="30" t="s">
        <v>1106</v>
      </c>
      <c r="C1588" s="30" t="str">
        <f>CONCATENATE(VOL_VOLUMEN_SUMINISTROS[[#This Row],[Proyecto]],VOL_VOLUMEN_SUMINISTROS[[#This Row],[J]],VOL_VOLUMEN_SUMINISTROS[[#This Row],[FIN DE SEMANA]])</f>
        <v>1052-1MNO</v>
      </c>
      <c r="D1588" s="365" t="str">
        <f>CONCATENATE(VOL_VOLUMEN_SUMINISTROS[[#This Row],[Grupo]],VOL_VOLUMEN_SUMINISTROS[[#This Row],[Proyecto]],VOL_VOLUMEN_SUMINISTROS[[#This Row],[FIN DE SEMANA]])</f>
        <v>151052-1NO</v>
      </c>
      <c r="E1588" s="30" t="s">
        <v>147</v>
      </c>
      <c r="F1588" s="30" t="s">
        <v>148</v>
      </c>
      <c r="G1588" s="365">
        <v>15</v>
      </c>
      <c r="H1588" s="30">
        <v>5</v>
      </c>
      <c r="I1588" s="9" t="s">
        <v>764</v>
      </c>
      <c r="J1588" s="9" t="s">
        <v>1139</v>
      </c>
      <c r="K1588" s="30">
        <v>2</v>
      </c>
      <c r="L1588" s="9" t="s">
        <v>1140</v>
      </c>
      <c r="M1588" s="30" t="s">
        <v>84</v>
      </c>
      <c r="N1588" s="30" t="s">
        <v>152</v>
      </c>
      <c r="O1588" s="24">
        <v>267</v>
      </c>
      <c r="P1588" s="24">
        <v>201</v>
      </c>
      <c r="Q1588" s="24">
        <v>37</v>
      </c>
      <c r="R1588" s="24">
        <v>0</v>
      </c>
      <c r="S1588" s="24">
        <v>0</v>
      </c>
      <c r="T1588" s="24">
        <v>505</v>
      </c>
    </row>
    <row r="1589" spans="1:20">
      <c r="A1589" s="9" t="s">
        <v>1105</v>
      </c>
      <c r="B1589" s="30" t="s">
        <v>1106</v>
      </c>
      <c r="C1589" s="30" t="str">
        <f>CONCATENATE(VOL_VOLUMEN_SUMINISTROS[[#This Row],[Proyecto]],VOL_VOLUMEN_SUMINISTROS[[#This Row],[J]],VOL_VOLUMEN_SUMINISTROS[[#This Row],[FIN DE SEMANA]])</f>
        <v>1052-1TNO</v>
      </c>
      <c r="D1589" s="365" t="str">
        <f>CONCATENATE(VOL_VOLUMEN_SUMINISTROS[[#This Row],[Grupo]],VOL_VOLUMEN_SUMINISTROS[[#This Row],[Proyecto]],VOL_VOLUMEN_SUMINISTROS[[#This Row],[FIN DE SEMANA]])</f>
        <v>151052-1NO</v>
      </c>
      <c r="E1589" s="30" t="s">
        <v>147</v>
      </c>
      <c r="F1589" s="30" t="s">
        <v>148</v>
      </c>
      <c r="G1589" s="365">
        <v>15</v>
      </c>
      <c r="H1589" s="30">
        <v>5</v>
      </c>
      <c r="I1589" s="9" t="s">
        <v>764</v>
      </c>
      <c r="J1589" s="9" t="s">
        <v>1139</v>
      </c>
      <c r="K1589" s="30">
        <v>2</v>
      </c>
      <c r="L1589" s="9" t="s">
        <v>1140</v>
      </c>
      <c r="M1589" s="30" t="s">
        <v>84</v>
      </c>
      <c r="N1589" s="30" t="s">
        <v>155</v>
      </c>
      <c r="O1589" s="24">
        <v>272</v>
      </c>
      <c r="P1589" s="24">
        <v>209</v>
      </c>
      <c r="Q1589" s="24">
        <v>39</v>
      </c>
      <c r="R1589" s="24">
        <v>0</v>
      </c>
      <c r="S1589" s="24">
        <v>0</v>
      </c>
      <c r="T1589" s="24">
        <v>520</v>
      </c>
    </row>
    <row r="1590" spans="1:20">
      <c r="A1590" s="9" t="s">
        <v>1105</v>
      </c>
      <c r="B1590" s="30" t="s">
        <v>1106</v>
      </c>
      <c r="C1590" s="30" t="str">
        <f>CONCATENATE(VOL_VOLUMEN_SUMINISTROS[[#This Row],[Proyecto]],VOL_VOLUMEN_SUMINISTROS[[#This Row],[J]],VOL_VOLUMEN_SUMINISTROS[[#This Row],[FIN DE SEMANA]])</f>
        <v>1052-1MNO</v>
      </c>
      <c r="D1590" s="365" t="str">
        <f>CONCATENATE(VOL_VOLUMEN_SUMINISTROS[[#This Row],[Grupo]],VOL_VOLUMEN_SUMINISTROS[[#This Row],[Proyecto]],VOL_VOLUMEN_SUMINISTROS[[#This Row],[FIN DE SEMANA]])</f>
        <v>151052-1NO</v>
      </c>
      <c r="E1590" s="30" t="s">
        <v>147</v>
      </c>
      <c r="F1590" s="30" t="s">
        <v>148</v>
      </c>
      <c r="G1590" s="365">
        <v>15</v>
      </c>
      <c r="H1590" s="30">
        <v>5</v>
      </c>
      <c r="I1590" s="9" t="s">
        <v>764</v>
      </c>
      <c r="J1590" s="9" t="s">
        <v>1139</v>
      </c>
      <c r="K1590" s="30">
        <v>3</v>
      </c>
      <c r="L1590" s="9" t="s">
        <v>1141</v>
      </c>
      <c r="M1590" s="30" t="s">
        <v>84</v>
      </c>
      <c r="N1590" s="30" t="s">
        <v>152</v>
      </c>
      <c r="O1590" s="24">
        <v>98</v>
      </c>
      <c r="P1590" s="24">
        <v>82</v>
      </c>
      <c r="Q1590" s="24">
        <v>16</v>
      </c>
      <c r="R1590" s="24">
        <v>0</v>
      </c>
      <c r="S1590" s="24">
        <v>0</v>
      </c>
      <c r="T1590" s="24">
        <v>196</v>
      </c>
    </row>
    <row r="1591" spans="1:20">
      <c r="A1591" s="9" t="s">
        <v>1105</v>
      </c>
      <c r="B1591" s="30" t="s">
        <v>1106</v>
      </c>
      <c r="C1591" s="30" t="str">
        <f>CONCATENATE(VOL_VOLUMEN_SUMINISTROS[[#This Row],[Proyecto]],VOL_VOLUMEN_SUMINISTROS[[#This Row],[J]],VOL_VOLUMEN_SUMINISTROS[[#This Row],[FIN DE SEMANA]])</f>
        <v>1052-1TNO</v>
      </c>
      <c r="D1591" s="365" t="str">
        <f>CONCATENATE(VOL_VOLUMEN_SUMINISTROS[[#This Row],[Grupo]],VOL_VOLUMEN_SUMINISTROS[[#This Row],[Proyecto]],VOL_VOLUMEN_SUMINISTROS[[#This Row],[FIN DE SEMANA]])</f>
        <v>151052-1NO</v>
      </c>
      <c r="E1591" s="30" t="s">
        <v>147</v>
      </c>
      <c r="F1591" s="30" t="s">
        <v>148</v>
      </c>
      <c r="G1591" s="365">
        <v>15</v>
      </c>
      <c r="H1591" s="30">
        <v>5</v>
      </c>
      <c r="I1591" s="9" t="s">
        <v>764</v>
      </c>
      <c r="J1591" s="9" t="s">
        <v>1139</v>
      </c>
      <c r="K1591" s="30">
        <v>3</v>
      </c>
      <c r="L1591" s="9" t="s">
        <v>1141</v>
      </c>
      <c r="M1591" s="30" t="s">
        <v>84</v>
      </c>
      <c r="N1591" s="30" t="s">
        <v>155</v>
      </c>
      <c r="O1591" s="24">
        <v>98</v>
      </c>
      <c r="P1591" s="24">
        <v>85</v>
      </c>
      <c r="Q1591" s="24">
        <v>17</v>
      </c>
      <c r="R1591" s="24">
        <v>0</v>
      </c>
      <c r="S1591" s="24">
        <v>0</v>
      </c>
      <c r="T1591" s="24">
        <v>200</v>
      </c>
    </row>
    <row r="1592" spans="1:20">
      <c r="A1592" s="9" t="s">
        <v>1105</v>
      </c>
      <c r="B1592" s="30" t="s">
        <v>1106</v>
      </c>
      <c r="C1592" s="30" t="str">
        <f>CONCATENATE(VOL_VOLUMEN_SUMINISTROS[[#This Row],[Proyecto]],VOL_VOLUMEN_SUMINISTROS[[#This Row],[J]],VOL_VOLUMEN_SUMINISTROS[[#This Row],[FIN DE SEMANA]])</f>
        <v>1052-1MNO</v>
      </c>
      <c r="D1592" s="365" t="str">
        <f>CONCATENATE(VOL_VOLUMEN_SUMINISTROS[[#This Row],[Grupo]],VOL_VOLUMEN_SUMINISTROS[[#This Row],[Proyecto]],VOL_VOLUMEN_SUMINISTROS[[#This Row],[FIN DE SEMANA]])</f>
        <v>151052-1NO</v>
      </c>
      <c r="E1592" s="30" t="s">
        <v>147</v>
      </c>
      <c r="F1592" s="30" t="s">
        <v>148</v>
      </c>
      <c r="G1592" s="365">
        <v>15</v>
      </c>
      <c r="H1592" s="30">
        <v>5</v>
      </c>
      <c r="I1592" s="9" t="s">
        <v>764</v>
      </c>
      <c r="J1592" s="9" t="s">
        <v>1142</v>
      </c>
      <c r="K1592" s="30">
        <v>1</v>
      </c>
      <c r="L1592" s="9" t="s">
        <v>1143</v>
      </c>
      <c r="M1592" s="30" t="s">
        <v>84</v>
      </c>
      <c r="N1592" s="30" t="s">
        <v>152</v>
      </c>
      <c r="O1592" s="24">
        <v>9</v>
      </c>
      <c r="P1592" s="24">
        <v>10</v>
      </c>
      <c r="Q1592" s="24">
        <v>2</v>
      </c>
      <c r="R1592" s="24">
        <v>0</v>
      </c>
      <c r="S1592" s="24">
        <v>0</v>
      </c>
      <c r="T1592" s="24">
        <v>21</v>
      </c>
    </row>
    <row r="1593" spans="1:20">
      <c r="A1593" s="9" t="s">
        <v>1105</v>
      </c>
      <c r="B1593" s="30" t="s">
        <v>1106</v>
      </c>
      <c r="C1593" s="30" t="str">
        <f>CONCATENATE(VOL_VOLUMEN_SUMINISTROS[[#This Row],[Proyecto]],VOL_VOLUMEN_SUMINISTROS[[#This Row],[J]],VOL_VOLUMEN_SUMINISTROS[[#This Row],[FIN DE SEMANA]])</f>
        <v>1052-1MNO</v>
      </c>
      <c r="D1593" s="365" t="str">
        <f>CONCATENATE(VOL_VOLUMEN_SUMINISTROS[[#This Row],[Grupo]],VOL_VOLUMEN_SUMINISTROS[[#This Row],[Proyecto]],VOL_VOLUMEN_SUMINISTROS[[#This Row],[FIN DE SEMANA]])</f>
        <v>151052-1NO</v>
      </c>
      <c r="E1593" s="30" t="s">
        <v>147</v>
      </c>
      <c r="F1593" s="30" t="s">
        <v>148</v>
      </c>
      <c r="G1593" s="365">
        <v>15</v>
      </c>
      <c r="H1593" s="30">
        <v>5</v>
      </c>
      <c r="I1593" s="9" t="s">
        <v>764</v>
      </c>
      <c r="J1593" s="9" t="s">
        <v>1144</v>
      </c>
      <c r="K1593" s="30">
        <v>1</v>
      </c>
      <c r="L1593" s="9" t="s">
        <v>1145</v>
      </c>
      <c r="M1593" s="30" t="s">
        <v>84</v>
      </c>
      <c r="N1593" s="30" t="s">
        <v>152</v>
      </c>
      <c r="O1593" s="24">
        <v>53</v>
      </c>
      <c r="P1593" s="24">
        <v>83</v>
      </c>
      <c r="Q1593" s="24">
        <v>22</v>
      </c>
      <c r="R1593" s="24">
        <v>0</v>
      </c>
      <c r="S1593" s="24">
        <v>0</v>
      </c>
      <c r="T1593" s="24">
        <v>158</v>
      </c>
    </row>
    <row r="1594" spans="1:20">
      <c r="A1594" s="9" t="s">
        <v>1105</v>
      </c>
      <c r="B1594" s="30" t="s">
        <v>1106</v>
      </c>
      <c r="C1594" s="30" t="str">
        <f>CONCATENATE(VOL_VOLUMEN_SUMINISTROS[[#This Row],[Proyecto]],VOL_VOLUMEN_SUMINISTROS[[#This Row],[J]],VOL_VOLUMEN_SUMINISTROS[[#This Row],[FIN DE SEMANA]])</f>
        <v>1052-1MNO</v>
      </c>
      <c r="D1594" s="365" t="str">
        <f>CONCATENATE(VOL_VOLUMEN_SUMINISTROS[[#This Row],[Grupo]],VOL_VOLUMEN_SUMINISTROS[[#This Row],[Proyecto]],VOL_VOLUMEN_SUMINISTROS[[#This Row],[FIN DE SEMANA]])</f>
        <v>151052-1NO</v>
      </c>
      <c r="E1594" s="30" t="s">
        <v>147</v>
      </c>
      <c r="F1594" s="30" t="s">
        <v>148</v>
      </c>
      <c r="G1594" s="365">
        <v>15</v>
      </c>
      <c r="H1594" s="30">
        <v>5</v>
      </c>
      <c r="I1594" s="9" t="s">
        <v>764</v>
      </c>
      <c r="J1594" s="9" t="s">
        <v>1146</v>
      </c>
      <c r="K1594" s="30">
        <v>1</v>
      </c>
      <c r="L1594" s="9" t="s">
        <v>1147</v>
      </c>
      <c r="M1594" s="30" t="s">
        <v>84</v>
      </c>
      <c r="N1594" s="30" t="s">
        <v>152</v>
      </c>
      <c r="O1594" s="24">
        <v>8</v>
      </c>
      <c r="P1594" s="24">
        <v>8</v>
      </c>
      <c r="Q1594" s="24">
        <v>2</v>
      </c>
      <c r="R1594" s="24">
        <v>0</v>
      </c>
      <c r="S1594" s="24">
        <v>0</v>
      </c>
      <c r="T1594" s="24">
        <v>18</v>
      </c>
    </row>
    <row r="1595" spans="1:20">
      <c r="A1595" s="9" t="s">
        <v>1105</v>
      </c>
      <c r="B1595" s="30" t="s">
        <v>1106</v>
      </c>
      <c r="C1595" s="30" t="str">
        <f>CONCATENATE(VOL_VOLUMEN_SUMINISTROS[[#This Row],[Proyecto]],VOL_VOLUMEN_SUMINISTROS[[#This Row],[J]],VOL_VOLUMEN_SUMINISTROS[[#This Row],[FIN DE SEMANA]])</f>
        <v>1052-1MNO</v>
      </c>
      <c r="D1595" s="365" t="str">
        <f>CONCATENATE(VOL_VOLUMEN_SUMINISTROS[[#This Row],[Grupo]],VOL_VOLUMEN_SUMINISTROS[[#This Row],[Proyecto]],VOL_VOLUMEN_SUMINISTROS[[#This Row],[FIN DE SEMANA]])</f>
        <v>151052-1NO</v>
      </c>
      <c r="E1595" s="30" t="s">
        <v>147</v>
      </c>
      <c r="F1595" s="30" t="s">
        <v>148</v>
      </c>
      <c r="G1595" s="365">
        <v>15</v>
      </c>
      <c r="H1595" s="30">
        <v>5</v>
      </c>
      <c r="I1595" s="9" t="s">
        <v>764</v>
      </c>
      <c r="J1595" s="9" t="s">
        <v>1148</v>
      </c>
      <c r="K1595" s="30">
        <v>1</v>
      </c>
      <c r="L1595" s="9" t="s">
        <v>1149</v>
      </c>
      <c r="M1595" s="30" t="s">
        <v>84</v>
      </c>
      <c r="N1595" s="30" t="s">
        <v>152</v>
      </c>
      <c r="O1595" s="24">
        <v>19</v>
      </c>
      <c r="P1595" s="24">
        <v>6</v>
      </c>
      <c r="Q1595" s="24">
        <v>1</v>
      </c>
      <c r="R1595" s="24">
        <v>0</v>
      </c>
      <c r="S1595" s="24">
        <v>0</v>
      </c>
      <c r="T1595" s="24">
        <v>26</v>
      </c>
    </row>
    <row r="1596" spans="1:20">
      <c r="A1596" s="9" t="s">
        <v>1105</v>
      </c>
      <c r="B1596" s="30" t="s">
        <v>1106</v>
      </c>
      <c r="C1596" s="30" t="str">
        <f>CONCATENATE(VOL_VOLUMEN_SUMINISTROS[[#This Row],[Proyecto]],VOL_VOLUMEN_SUMINISTROS[[#This Row],[J]],VOL_VOLUMEN_SUMINISTROS[[#This Row],[FIN DE SEMANA]])</f>
        <v>1052-1MNO</v>
      </c>
      <c r="D1596" s="365" t="str">
        <f>CONCATENATE(VOL_VOLUMEN_SUMINISTROS[[#This Row],[Grupo]],VOL_VOLUMEN_SUMINISTROS[[#This Row],[Proyecto]],VOL_VOLUMEN_SUMINISTROS[[#This Row],[FIN DE SEMANA]])</f>
        <v>151052-1NO</v>
      </c>
      <c r="E1596" s="30" t="s">
        <v>147</v>
      </c>
      <c r="F1596" s="30" t="s">
        <v>148</v>
      </c>
      <c r="G1596" s="365">
        <v>15</v>
      </c>
      <c r="H1596" s="30">
        <v>5</v>
      </c>
      <c r="I1596" s="9" t="s">
        <v>764</v>
      </c>
      <c r="J1596" s="9" t="s">
        <v>1150</v>
      </c>
      <c r="K1596" s="30">
        <v>1</v>
      </c>
      <c r="L1596" s="9" t="s">
        <v>1151</v>
      </c>
      <c r="M1596" s="30" t="s">
        <v>84</v>
      </c>
      <c r="N1596" s="30" t="s">
        <v>152</v>
      </c>
      <c r="O1596" s="24">
        <v>32</v>
      </c>
      <c r="P1596" s="24">
        <v>20</v>
      </c>
      <c r="Q1596" s="24">
        <v>4</v>
      </c>
      <c r="R1596" s="24">
        <v>0</v>
      </c>
      <c r="S1596" s="24">
        <v>0</v>
      </c>
      <c r="T1596" s="24">
        <v>56</v>
      </c>
    </row>
    <row r="1597" spans="1:20">
      <c r="A1597" s="9" t="s">
        <v>1105</v>
      </c>
      <c r="B1597" s="30" t="s">
        <v>1106</v>
      </c>
      <c r="C1597" s="30" t="str">
        <f>CONCATENATE(VOL_VOLUMEN_SUMINISTROS[[#This Row],[Proyecto]],VOL_VOLUMEN_SUMINISTROS[[#This Row],[J]],VOL_VOLUMEN_SUMINISTROS[[#This Row],[FIN DE SEMANA]])</f>
        <v>1052-1MNO</v>
      </c>
      <c r="D1597" s="365" t="str">
        <f>CONCATENATE(VOL_VOLUMEN_SUMINISTROS[[#This Row],[Grupo]],VOL_VOLUMEN_SUMINISTROS[[#This Row],[Proyecto]],VOL_VOLUMEN_SUMINISTROS[[#This Row],[FIN DE SEMANA]])</f>
        <v>151052-1NO</v>
      </c>
      <c r="E1597" s="30" t="s">
        <v>147</v>
      </c>
      <c r="F1597" s="30" t="s">
        <v>148</v>
      </c>
      <c r="G1597" s="365">
        <v>15</v>
      </c>
      <c r="H1597" s="30">
        <v>5</v>
      </c>
      <c r="I1597" s="9" t="s">
        <v>764</v>
      </c>
      <c r="J1597" s="9" t="s">
        <v>1152</v>
      </c>
      <c r="K1597" s="30">
        <v>1</v>
      </c>
      <c r="L1597" s="9" t="s">
        <v>1153</v>
      </c>
      <c r="M1597" s="30" t="s">
        <v>84</v>
      </c>
      <c r="N1597" s="30" t="s">
        <v>152</v>
      </c>
      <c r="O1597" s="24">
        <v>6</v>
      </c>
      <c r="P1597" s="24">
        <v>5</v>
      </c>
      <c r="Q1597" s="24">
        <v>1</v>
      </c>
      <c r="R1597" s="24">
        <v>0</v>
      </c>
      <c r="S1597" s="24">
        <v>0</v>
      </c>
      <c r="T1597" s="24">
        <v>12</v>
      </c>
    </row>
    <row r="1598" spans="1:20">
      <c r="A1598" s="9" t="s">
        <v>1105</v>
      </c>
      <c r="B1598" s="30" t="s">
        <v>1106</v>
      </c>
      <c r="C1598" s="30" t="str">
        <f>CONCATENATE(VOL_VOLUMEN_SUMINISTROS[[#This Row],[Proyecto]],VOL_VOLUMEN_SUMINISTROS[[#This Row],[J]],VOL_VOLUMEN_SUMINISTROS[[#This Row],[FIN DE SEMANA]])</f>
        <v>1052-1MNO</v>
      </c>
      <c r="D1598" s="365" t="str">
        <f>CONCATENATE(VOL_VOLUMEN_SUMINISTROS[[#This Row],[Grupo]],VOL_VOLUMEN_SUMINISTROS[[#This Row],[Proyecto]],VOL_VOLUMEN_SUMINISTROS[[#This Row],[FIN DE SEMANA]])</f>
        <v>151052-1NO</v>
      </c>
      <c r="E1598" s="30" t="s">
        <v>147</v>
      </c>
      <c r="F1598" s="30" t="s">
        <v>148</v>
      </c>
      <c r="G1598" s="365">
        <v>15</v>
      </c>
      <c r="H1598" s="30">
        <v>5</v>
      </c>
      <c r="I1598" s="9" t="s">
        <v>764</v>
      </c>
      <c r="J1598" s="9" t="s">
        <v>1154</v>
      </c>
      <c r="K1598" s="30">
        <v>1</v>
      </c>
      <c r="L1598" s="9" t="s">
        <v>1155</v>
      </c>
      <c r="M1598" s="30" t="s">
        <v>84</v>
      </c>
      <c r="N1598" s="30" t="s">
        <v>152</v>
      </c>
      <c r="O1598" s="24">
        <v>6</v>
      </c>
      <c r="P1598" s="24">
        <v>9</v>
      </c>
      <c r="Q1598" s="24">
        <v>2</v>
      </c>
      <c r="R1598" s="24">
        <v>0</v>
      </c>
      <c r="S1598" s="24">
        <v>0</v>
      </c>
      <c r="T1598" s="24">
        <v>17</v>
      </c>
    </row>
    <row r="1599" spans="1:20">
      <c r="A1599" s="9" t="s">
        <v>1105</v>
      </c>
      <c r="B1599" s="30" t="s">
        <v>1106</v>
      </c>
      <c r="C1599" s="30" t="str">
        <f>CONCATENATE(VOL_VOLUMEN_SUMINISTROS[[#This Row],[Proyecto]],VOL_VOLUMEN_SUMINISTROS[[#This Row],[J]],VOL_VOLUMEN_SUMINISTROS[[#This Row],[FIN DE SEMANA]])</f>
        <v>1052-1MNO</v>
      </c>
      <c r="D1599" s="365" t="str">
        <f>CONCATENATE(VOL_VOLUMEN_SUMINISTROS[[#This Row],[Grupo]],VOL_VOLUMEN_SUMINISTROS[[#This Row],[Proyecto]],VOL_VOLUMEN_SUMINISTROS[[#This Row],[FIN DE SEMANA]])</f>
        <v>151052-1NO</v>
      </c>
      <c r="E1599" s="30" t="s">
        <v>147</v>
      </c>
      <c r="F1599" s="30" t="s">
        <v>148</v>
      </c>
      <c r="G1599" s="365">
        <v>15</v>
      </c>
      <c r="H1599" s="30">
        <v>5</v>
      </c>
      <c r="I1599" s="9" t="s">
        <v>764</v>
      </c>
      <c r="J1599" s="9" t="s">
        <v>1156</v>
      </c>
      <c r="K1599" s="30">
        <v>1</v>
      </c>
      <c r="L1599" s="9" t="s">
        <v>1157</v>
      </c>
      <c r="M1599" s="30" t="s">
        <v>84</v>
      </c>
      <c r="N1599" s="30" t="s">
        <v>152</v>
      </c>
      <c r="O1599" s="24">
        <v>22</v>
      </c>
      <c r="P1599" s="24">
        <v>13</v>
      </c>
      <c r="Q1599" s="24">
        <v>3</v>
      </c>
      <c r="R1599" s="24">
        <v>0</v>
      </c>
      <c r="S1599" s="24">
        <v>0</v>
      </c>
      <c r="T1599" s="24">
        <v>38</v>
      </c>
    </row>
    <row r="1600" spans="1:20">
      <c r="A1600" s="9" t="s">
        <v>1105</v>
      </c>
      <c r="B1600" s="30" t="s">
        <v>1106</v>
      </c>
      <c r="C1600" s="30" t="str">
        <f>CONCATENATE(VOL_VOLUMEN_SUMINISTROS[[#This Row],[Proyecto]],VOL_VOLUMEN_SUMINISTROS[[#This Row],[J]],VOL_VOLUMEN_SUMINISTROS[[#This Row],[FIN DE SEMANA]])</f>
        <v>1052-1MNO</v>
      </c>
      <c r="D1600" s="365" t="str">
        <f>CONCATENATE(VOL_VOLUMEN_SUMINISTROS[[#This Row],[Grupo]],VOL_VOLUMEN_SUMINISTROS[[#This Row],[Proyecto]],VOL_VOLUMEN_SUMINISTROS[[#This Row],[FIN DE SEMANA]])</f>
        <v>151052-1NO</v>
      </c>
      <c r="E1600" s="30" t="s">
        <v>147</v>
      </c>
      <c r="F1600" s="30" t="s">
        <v>148</v>
      </c>
      <c r="G1600" s="365">
        <v>15</v>
      </c>
      <c r="H1600" s="30">
        <v>5</v>
      </c>
      <c r="I1600" s="9" t="s">
        <v>764</v>
      </c>
      <c r="J1600" s="9" t="s">
        <v>1158</v>
      </c>
      <c r="K1600" s="30">
        <v>1</v>
      </c>
      <c r="L1600" s="9" t="s">
        <v>1159</v>
      </c>
      <c r="M1600" s="30" t="s">
        <v>84</v>
      </c>
      <c r="N1600" s="30" t="s">
        <v>152</v>
      </c>
      <c r="O1600" s="24">
        <v>18</v>
      </c>
      <c r="P1600" s="24">
        <v>16</v>
      </c>
      <c r="Q1600" s="24">
        <v>4</v>
      </c>
      <c r="R1600" s="24">
        <v>0</v>
      </c>
      <c r="S1600" s="24">
        <v>0</v>
      </c>
      <c r="T1600" s="24">
        <v>38</v>
      </c>
    </row>
    <row r="1601" spans="1:20">
      <c r="A1601" s="9" t="s">
        <v>1105</v>
      </c>
      <c r="B1601" s="30" t="s">
        <v>1106</v>
      </c>
      <c r="C1601" s="30" t="str">
        <f>CONCATENATE(VOL_VOLUMEN_SUMINISTROS[[#This Row],[Proyecto]],VOL_VOLUMEN_SUMINISTROS[[#This Row],[J]],VOL_VOLUMEN_SUMINISTROS[[#This Row],[FIN DE SEMANA]])</f>
        <v>1052-1MNO</v>
      </c>
      <c r="D1601" s="365" t="str">
        <f>CONCATENATE(VOL_VOLUMEN_SUMINISTROS[[#This Row],[Grupo]],VOL_VOLUMEN_SUMINISTROS[[#This Row],[Proyecto]],VOL_VOLUMEN_SUMINISTROS[[#This Row],[FIN DE SEMANA]])</f>
        <v>151052-1NO</v>
      </c>
      <c r="E1601" s="30" t="s">
        <v>147</v>
      </c>
      <c r="F1601" s="30" t="s">
        <v>148</v>
      </c>
      <c r="G1601" s="365">
        <v>15</v>
      </c>
      <c r="H1601" s="30">
        <v>5</v>
      </c>
      <c r="I1601" s="9" t="s">
        <v>764</v>
      </c>
      <c r="J1601" s="9" t="s">
        <v>1160</v>
      </c>
      <c r="K1601" s="30">
        <v>1</v>
      </c>
      <c r="L1601" s="9" t="s">
        <v>1161</v>
      </c>
      <c r="M1601" s="30" t="s">
        <v>84</v>
      </c>
      <c r="N1601" s="30" t="s">
        <v>152</v>
      </c>
      <c r="O1601" s="24">
        <v>12</v>
      </c>
      <c r="P1601" s="24">
        <v>12</v>
      </c>
      <c r="Q1601" s="24">
        <v>3</v>
      </c>
      <c r="R1601" s="24">
        <v>0</v>
      </c>
      <c r="S1601" s="24">
        <v>0</v>
      </c>
      <c r="T1601" s="24">
        <v>27</v>
      </c>
    </row>
    <row r="1602" spans="1:20">
      <c r="A1602" s="9" t="s">
        <v>1105</v>
      </c>
      <c r="B1602" s="30" t="s">
        <v>1162</v>
      </c>
      <c r="C1602" s="30" t="str">
        <f>CONCATENATE(VOL_VOLUMEN_SUMINISTROS[[#This Row],[Proyecto]],VOL_VOLUMEN_SUMINISTROS[[#This Row],[J]],VOL_VOLUMEN_SUMINISTROS[[#This Row],[FIN DE SEMANA]])</f>
        <v>1052-2M1NO</v>
      </c>
      <c r="D1602" s="365" t="str">
        <f>CONCATENATE(VOL_VOLUMEN_SUMINISTROS[[#This Row],[Grupo]],VOL_VOLUMEN_SUMINISTROS[[#This Row],[Proyecto]],VOL_VOLUMEN_SUMINISTROS[[#This Row],[FIN DE SEMANA]])</f>
        <v>151052-2NO</v>
      </c>
      <c r="E1602" s="30" t="s">
        <v>183</v>
      </c>
      <c r="F1602" s="30" t="s">
        <v>148</v>
      </c>
      <c r="G1602" s="365">
        <v>15</v>
      </c>
      <c r="H1602" s="30">
        <v>5</v>
      </c>
      <c r="I1602" s="9" t="s">
        <v>764</v>
      </c>
      <c r="J1602" s="9" t="s">
        <v>1121</v>
      </c>
      <c r="K1602" s="30">
        <v>1</v>
      </c>
      <c r="L1602" s="9" t="s">
        <v>1122</v>
      </c>
      <c r="M1602" s="30" t="s">
        <v>84</v>
      </c>
      <c r="N1602" s="30" t="s">
        <v>216</v>
      </c>
      <c r="O1602" s="24">
        <v>102</v>
      </c>
      <c r="P1602" s="24">
        <v>51</v>
      </c>
      <c r="Q1602" s="24">
        <v>0</v>
      </c>
      <c r="R1602" s="24">
        <v>0</v>
      </c>
      <c r="S1602" s="24">
        <v>0</v>
      </c>
      <c r="T1602" s="24">
        <v>153</v>
      </c>
    </row>
    <row r="1603" spans="1:20">
      <c r="A1603" s="9" t="s">
        <v>1105</v>
      </c>
      <c r="B1603" s="30" t="s">
        <v>1162</v>
      </c>
      <c r="C1603" s="30" t="str">
        <f>CONCATENATE(VOL_VOLUMEN_SUMINISTROS[[#This Row],[Proyecto]],VOL_VOLUMEN_SUMINISTROS[[#This Row],[J]],VOL_VOLUMEN_SUMINISTROS[[#This Row],[FIN DE SEMANA]])</f>
        <v>1052-2TNO</v>
      </c>
      <c r="D1603" s="365" t="str">
        <f>CONCATENATE(VOL_VOLUMEN_SUMINISTROS[[#This Row],[Grupo]],VOL_VOLUMEN_SUMINISTROS[[#This Row],[Proyecto]],VOL_VOLUMEN_SUMINISTROS[[#This Row],[FIN DE SEMANA]])</f>
        <v>151052-2NO</v>
      </c>
      <c r="E1603" s="30" t="s">
        <v>183</v>
      </c>
      <c r="F1603" s="30" t="s">
        <v>148</v>
      </c>
      <c r="G1603" s="365">
        <v>15</v>
      </c>
      <c r="H1603" s="30">
        <v>5</v>
      </c>
      <c r="I1603" s="9" t="s">
        <v>764</v>
      </c>
      <c r="J1603" s="9" t="s">
        <v>1121</v>
      </c>
      <c r="K1603" s="30">
        <v>1</v>
      </c>
      <c r="L1603" s="9" t="s">
        <v>1122</v>
      </c>
      <c r="M1603" s="30" t="s">
        <v>84</v>
      </c>
      <c r="N1603" s="30" t="s">
        <v>155</v>
      </c>
      <c r="O1603" s="24">
        <v>104</v>
      </c>
      <c r="P1603" s="24">
        <v>52</v>
      </c>
      <c r="Q1603" s="24">
        <v>0</v>
      </c>
      <c r="R1603" s="24">
        <v>0</v>
      </c>
      <c r="S1603" s="24">
        <v>0</v>
      </c>
      <c r="T1603" s="24">
        <v>156</v>
      </c>
    </row>
    <row r="1604" spans="1:20">
      <c r="A1604" s="9" t="s">
        <v>1105</v>
      </c>
      <c r="B1604" s="30" t="s">
        <v>1163</v>
      </c>
      <c r="C1604" s="30" t="str">
        <f>CONCATENATE(VOL_VOLUMEN_SUMINISTROS[[#This Row],[Proyecto]],VOL_VOLUMEN_SUMINISTROS[[#This Row],[J]],VOL_VOLUMEN_SUMINISTROS[[#This Row],[FIN DE SEMANA]])</f>
        <v>1052-2MNO</v>
      </c>
      <c r="D1604" s="365" t="str">
        <f>CONCATENATE(VOL_VOLUMEN_SUMINISTROS[[#This Row],[Grupo]],VOL_VOLUMEN_SUMINISTROS[[#This Row],[Proyecto]],VOL_VOLUMEN_SUMINISTROS[[#This Row],[FIN DE SEMANA]])</f>
        <v>151052-2NO</v>
      </c>
      <c r="E1604" s="30" t="s">
        <v>183</v>
      </c>
      <c r="F1604" s="30" t="s">
        <v>148</v>
      </c>
      <c r="G1604" s="365">
        <v>15</v>
      </c>
      <c r="H1604" s="30">
        <v>5</v>
      </c>
      <c r="I1604" s="9" t="s">
        <v>764</v>
      </c>
      <c r="J1604" s="9" t="s">
        <v>1114</v>
      </c>
      <c r="K1604" s="30">
        <v>1</v>
      </c>
      <c r="L1604" s="9" t="s">
        <v>1115</v>
      </c>
      <c r="M1604" s="30" t="s">
        <v>84</v>
      </c>
      <c r="N1604" s="30" t="s">
        <v>152</v>
      </c>
      <c r="O1604" s="24">
        <v>0</v>
      </c>
      <c r="P1604" s="24">
        <v>0</v>
      </c>
      <c r="Q1604" s="24">
        <v>67</v>
      </c>
      <c r="R1604" s="24">
        <v>0</v>
      </c>
      <c r="S1604" s="24">
        <v>0</v>
      </c>
      <c r="T1604" s="24">
        <v>67</v>
      </c>
    </row>
    <row r="1605" spans="1:20">
      <c r="A1605" s="9" t="s">
        <v>1105</v>
      </c>
      <c r="B1605" s="30" t="s">
        <v>1163</v>
      </c>
      <c r="C1605" s="30" t="str">
        <f>CONCATENATE(VOL_VOLUMEN_SUMINISTROS[[#This Row],[Proyecto]],VOL_VOLUMEN_SUMINISTROS[[#This Row],[J]],VOL_VOLUMEN_SUMINISTROS[[#This Row],[FIN DE SEMANA]])</f>
        <v>1052-2TNO</v>
      </c>
      <c r="D1605" s="365" t="str">
        <f>CONCATENATE(VOL_VOLUMEN_SUMINISTROS[[#This Row],[Grupo]],VOL_VOLUMEN_SUMINISTROS[[#This Row],[Proyecto]],VOL_VOLUMEN_SUMINISTROS[[#This Row],[FIN DE SEMANA]])</f>
        <v>151052-2NO</v>
      </c>
      <c r="E1605" s="30" t="s">
        <v>183</v>
      </c>
      <c r="F1605" s="30" t="s">
        <v>148</v>
      </c>
      <c r="G1605" s="365">
        <v>15</v>
      </c>
      <c r="H1605" s="30">
        <v>5</v>
      </c>
      <c r="I1605" s="9" t="s">
        <v>764</v>
      </c>
      <c r="J1605" s="9" t="s">
        <v>1114</v>
      </c>
      <c r="K1605" s="30">
        <v>1</v>
      </c>
      <c r="L1605" s="9" t="s">
        <v>1115</v>
      </c>
      <c r="M1605" s="30" t="s">
        <v>84</v>
      </c>
      <c r="N1605" s="30" t="s">
        <v>155</v>
      </c>
      <c r="O1605" s="24">
        <v>0</v>
      </c>
      <c r="P1605" s="24">
        <v>0</v>
      </c>
      <c r="Q1605" s="24">
        <v>67</v>
      </c>
      <c r="R1605" s="24">
        <v>0</v>
      </c>
      <c r="S1605" s="24">
        <v>0</v>
      </c>
      <c r="T1605" s="24">
        <v>67</v>
      </c>
    </row>
    <row r="1606" spans="1:20">
      <c r="A1606" s="9" t="s">
        <v>1105</v>
      </c>
      <c r="B1606" s="30" t="s">
        <v>1163</v>
      </c>
      <c r="C1606" s="30" t="str">
        <f>CONCATENATE(VOL_VOLUMEN_SUMINISTROS[[#This Row],[Proyecto]],VOL_VOLUMEN_SUMINISTROS[[#This Row],[J]],VOL_VOLUMEN_SUMINISTROS[[#This Row],[FIN DE SEMANA]])</f>
        <v>1052-2MNO</v>
      </c>
      <c r="D1606" s="365" t="str">
        <f>CONCATENATE(VOL_VOLUMEN_SUMINISTROS[[#This Row],[Grupo]],VOL_VOLUMEN_SUMINISTROS[[#This Row],[Proyecto]],VOL_VOLUMEN_SUMINISTROS[[#This Row],[FIN DE SEMANA]])</f>
        <v>151052-2NO</v>
      </c>
      <c r="E1606" s="30" t="s">
        <v>183</v>
      </c>
      <c r="F1606" s="30" t="s">
        <v>148</v>
      </c>
      <c r="G1606" s="365">
        <v>15</v>
      </c>
      <c r="H1606" s="30">
        <v>5</v>
      </c>
      <c r="I1606" s="9" t="s">
        <v>764</v>
      </c>
      <c r="J1606" s="9" t="s">
        <v>1126</v>
      </c>
      <c r="K1606" s="30">
        <v>1</v>
      </c>
      <c r="L1606" s="9" t="s">
        <v>1127</v>
      </c>
      <c r="M1606" s="30" t="s">
        <v>84</v>
      </c>
      <c r="N1606" s="30" t="s">
        <v>152</v>
      </c>
      <c r="O1606" s="24">
        <v>0</v>
      </c>
      <c r="P1606" s="24">
        <v>0</v>
      </c>
      <c r="Q1606" s="24">
        <v>150</v>
      </c>
      <c r="R1606" s="24">
        <v>0</v>
      </c>
      <c r="S1606" s="24">
        <v>0</v>
      </c>
      <c r="T1606" s="24">
        <v>150</v>
      </c>
    </row>
    <row r="1607" spans="1:20">
      <c r="A1607" s="9" t="s">
        <v>1105</v>
      </c>
      <c r="B1607" s="30" t="s">
        <v>1163</v>
      </c>
      <c r="C1607" s="30" t="str">
        <f>CONCATENATE(VOL_VOLUMEN_SUMINISTROS[[#This Row],[Proyecto]],VOL_VOLUMEN_SUMINISTROS[[#This Row],[J]],VOL_VOLUMEN_SUMINISTROS[[#This Row],[FIN DE SEMANA]])</f>
        <v>1052-2TNO</v>
      </c>
      <c r="D1607" s="365" t="str">
        <f>CONCATENATE(VOL_VOLUMEN_SUMINISTROS[[#This Row],[Grupo]],VOL_VOLUMEN_SUMINISTROS[[#This Row],[Proyecto]],VOL_VOLUMEN_SUMINISTROS[[#This Row],[FIN DE SEMANA]])</f>
        <v>151052-2NO</v>
      </c>
      <c r="E1607" s="30" t="s">
        <v>183</v>
      </c>
      <c r="F1607" s="30" t="s">
        <v>148</v>
      </c>
      <c r="G1607" s="365">
        <v>15</v>
      </c>
      <c r="H1607" s="30">
        <v>5</v>
      </c>
      <c r="I1607" s="9" t="s">
        <v>764</v>
      </c>
      <c r="J1607" s="9" t="s">
        <v>1126</v>
      </c>
      <c r="K1607" s="30">
        <v>1</v>
      </c>
      <c r="L1607" s="9" t="s">
        <v>1127</v>
      </c>
      <c r="M1607" s="30" t="s">
        <v>84</v>
      </c>
      <c r="N1607" s="30" t="s">
        <v>155</v>
      </c>
      <c r="O1607" s="24">
        <v>0</v>
      </c>
      <c r="P1607" s="24">
        <v>0</v>
      </c>
      <c r="Q1607" s="24">
        <v>138</v>
      </c>
      <c r="R1607" s="24">
        <v>0</v>
      </c>
      <c r="S1607" s="24">
        <v>0</v>
      </c>
      <c r="T1607" s="24">
        <v>138</v>
      </c>
    </row>
    <row r="1608" spans="1:20">
      <c r="A1608" s="9" t="s">
        <v>1105</v>
      </c>
      <c r="B1608" s="30" t="s">
        <v>1163</v>
      </c>
      <c r="C1608" s="30" t="str">
        <f>CONCATENATE(VOL_VOLUMEN_SUMINISTROS[[#This Row],[Proyecto]],VOL_VOLUMEN_SUMINISTROS[[#This Row],[J]],VOL_VOLUMEN_SUMINISTROS[[#This Row],[FIN DE SEMANA]])</f>
        <v>1052-2MNO</v>
      </c>
      <c r="D1608" s="365" t="str">
        <f>CONCATENATE(VOL_VOLUMEN_SUMINISTROS[[#This Row],[Grupo]],VOL_VOLUMEN_SUMINISTROS[[#This Row],[Proyecto]],VOL_VOLUMEN_SUMINISTROS[[#This Row],[FIN DE SEMANA]])</f>
        <v>151052-2NO</v>
      </c>
      <c r="E1608" s="30" t="s">
        <v>183</v>
      </c>
      <c r="F1608" s="30" t="s">
        <v>148</v>
      </c>
      <c r="G1608" s="365">
        <v>15</v>
      </c>
      <c r="H1608" s="30">
        <v>5</v>
      </c>
      <c r="I1608" s="9" t="s">
        <v>764</v>
      </c>
      <c r="J1608" s="9" t="s">
        <v>1132</v>
      </c>
      <c r="K1608" s="30">
        <v>1</v>
      </c>
      <c r="L1608" s="9" t="s">
        <v>1133</v>
      </c>
      <c r="M1608" s="30" t="s">
        <v>84</v>
      </c>
      <c r="N1608" s="30" t="s">
        <v>152</v>
      </c>
      <c r="O1608" s="24">
        <v>0</v>
      </c>
      <c r="P1608" s="24">
        <v>0</v>
      </c>
      <c r="Q1608" s="24">
        <v>63</v>
      </c>
      <c r="R1608" s="24">
        <v>0</v>
      </c>
      <c r="S1608" s="24">
        <v>0</v>
      </c>
      <c r="T1608" s="24">
        <v>63</v>
      </c>
    </row>
    <row r="1609" spans="1:20">
      <c r="A1609" s="9" t="s">
        <v>1105</v>
      </c>
      <c r="B1609" s="30" t="s">
        <v>1163</v>
      </c>
      <c r="C1609" s="30" t="str">
        <f>CONCATENATE(VOL_VOLUMEN_SUMINISTROS[[#This Row],[Proyecto]],VOL_VOLUMEN_SUMINISTROS[[#This Row],[J]],VOL_VOLUMEN_SUMINISTROS[[#This Row],[FIN DE SEMANA]])</f>
        <v>1052-2TNO</v>
      </c>
      <c r="D1609" s="365" t="str">
        <f>CONCATENATE(VOL_VOLUMEN_SUMINISTROS[[#This Row],[Grupo]],VOL_VOLUMEN_SUMINISTROS[[#This Row],[Proyecto]],VOL_VOLUMEN_SUMINISTROS[[#This Row],[FIN DE SEMANA]])</f>
        <v>151052-2NO</v>
      </c>
      <c r="E1609" s="30" t="s">
        <v>183</v>
      </c>
      <c r="F1609" s="30" t="s">
        <v>148</v>
      </c>
      <c r="G1609" s="365">
        <v>15</v>
      </c>
      <c r="H1609" s="30">
        <v>5</v>
      </c>
      <c r="I1609" s="9" t="s">
        <v>764</v>
      </c>
      <c r="J1609" s="9" t="s">
        <v>1132</v>
      </c>
      <c r="K1609" s="30">
        <v>1</v>
      </c>
      <c r="L1609" s="9" t="s">
        <v>1133</v>
      </c>
      <c r="M1609" s="30" t="s">
        <v>84</v>
      </c>
      <c r="N1609" s="30" t="s">
        <v>155</v>
      </c>
      <c r="O1609" s="24">
        <v>0</v>
      </c>
      <c r="P1609" s="24">
        <v>0</v>
      </c>
      <c r="Q1609" s="24">
        <v>75</v>
      </c>
      <c r="R1609" s="24">
        <v>0</v>
      </c>
      <c r="S1609" s="24">
        <v>0</v>
      </c>
      <c r="T1609" s="24">
        <v>75</v>
      </c>
    </row>
    <row r="1610" spans="1:20">
      <c r="A1610" s="9" t="s">
        <v>1105</v>
      </c>
      <c r="B1610" s="30" t="s">
        <v>1164</v>
      </c>
      <c r="C1610" s="30" t="str">
        <f>CONCATENATE(VOL_VOLUMEN_SUMINISTROS[[#This Row],[Proyecto]],VOL_VOLUMEN_SUMINISTROS[[#This Row],[J]],VOL_VOLUMEN_SUMINISTROS[[#This Row],[FIN DE SEMANA]])</f>
        <v>1052-2MNO</v>
      </c>
      <c r="D1610" s="365" t="str">
        <f>CONCATENATE(VOL_VOLUMEN_SUMINISTROS[[#This Row],[Grupo]],VOL_VOLUMEN_SUMINISTROS[[#This Row],[Proyecto]],VOL_VOLUMEN_SUMINISTROS[[#This Row],[FIN DE SEMANA]])</f>
        <v>151052-2NO</v>
      </c>
      <c r="E1610" s="30" t="s">
        <v>183</v>
      </c>
      <c r="F1610" s="30" t="s">
        <v>148</v>
      </c>
      <c r="G1610" s="365">
        <v>15</v>
      </c>
      <c r="H1610" s="30">
        <v>5</v>
      </c>
      <c r="I1610" s="9" t="s">
        <v>764</v>
      </c>
      <c r="J1610" s="9" t="s">
        <v>1119</v>
      </c>
      <c r="K1610" s="30">
        <v>1</v>
      </c>
      <c r="L1610" s="9" t="s">
        <v>1120</v>
      </c>
      <c r="M1610" s="30" t="s">
        <v>84</v>
      </c>
      <c r="N1610" s="30" t="s">
        <v>152</v>
      </c>
      <c r="O1610" s="24">
        <v>84</v>
      </c>
      <c r="P1610" s="24">
        <v>0</v>
      </c>
      <c r="Q1610" s="24">
        <v>0</v>
      </c>
      <c r="R1610" s="24">
        <v>0</v>
      </c>
      <c r="S1610" s="24">
        <v>0</v>
      </c>
      <c r="T1610" s="24">
        <v>84</v>
      </c>
    </row>
    <row r="1611" spans="1:20">
      <c r="A1611" s="9" t="s">
        <v>1105</v>
      </c>
      <c r="B1611" s="30" t="s">
        <v>1164</v>
      </c>
      <c r="C1611" s="30" t="str">
        <f>CONCATENATE(VOL_VOLUMEN_SUMINISTROS[[#This Row],[Proyecto]],VOL_VOLUMEN_SUMINISTROS[[#This Row],[J]],VOL_VOLUMEN_SUMINISTROS[[#This Row],[FIN DE SEMANA]])</f>
        <v>1052-2TNO</v>
      </c>
      <c r="D1611" s="365" t="str">
        <f>CONCATENATE(VOL_VOLUMEN_SUMINISTROS[[#This Row],[Grupo]],VOL_VOLUMEN_SUMINISTROS[[#This Row],[Proyecto]],VOL_VOLUMEN_SUMINISTROS[[#This Row],[FIN DE SEMANA]])</f>
        <v>151052-2NO</v>
      </c>
      <c r="E1611" s="30" t="s">
        <v>183</v>
      </c>
      <c r="F1611" s="30" t="s">
        <v>148</v>
      </c>
      <c r="G1611" s="365">
        <v>15</v>
      </c>
      <c r="H1611" s="30">
        <v>5</v>
      </c>
      <c r="I1611" s="9" t="s">
        <v>764</v>
      </c>
      <c r="J1611" s="9" t="s">
        <v>1119</v>
      </c>
      <c r="K1611" s="30">
        <v>1</v>
      </c>
      <c r="L1611" s="9" t="s">
        <v>1120</v>
      </c>
      <c r="M1611" s="30" t="s">
        <v>84</v>
      </c>
      <c r="N1611" s="30" t="s">
        <v>155</v>
      </c>
      <c r="O1611" s="24">
        <v>85</v>
      </c>
      <c r="P1611" s="24">
        <v>0</v>
      </c>
      <c r="Q1611" s="24">
        <v>0</v>
      </c>
      <c r="R1611" s="24">
        <v>0</v>
      </c>
      <c r="S1611" s="24">
        <v>0</v>
      </c>
      <c r="T1611" s="24">
        <v>85</v>
      </c>
    </row>
    <row r="1612" spans="1:20">
      <c r="A1612" s="9" t="s">
        <v>1105</v>
      </c>
      <c r="B1612" s="30" t="s">
        <v>1164</v>
      </c>
      <c r="C1612" s="30" t="str">
        <f>CONCATENATE(VOL_VOLUMEN_SUMINISTROS[[#This Row],[Proyecto]],VOL_VOLUMEN_SUMINISTROS[[#This Row],[J]],VOL_VOLUMEN_SUMINISTROS[[#This Row],[FIN DE SEMANA]])</f>
        <v>1052-2MNO</v>
      </c>
      <c r="D1612" s="365" t="str">
        <f>CONCATENATE(VOL_VOLUMEN_SUMINISTROS[[#This Row],[Grupo]],VOL_VOLUMEN_SUMINISTROS[[#This Row],[Proyecto]],VOL_VOLUMEN_SUMINISTROS[[#This Row],[FIN DE SEMANA]])</f>
        <v>151052-2NO</v>
      </c>
      <c r="E1612" s="30" t="s">
        <v>183</v>
      </c>
      <c r="F1612" s="30" t="s">
        <v>148</v>
      </c>
      <c r="G1612" s="365">
        <v>15</v>
      </c>
      <c r="H1612" s="30">
        <v>5</v>
      </c>
      <c r="I1612" s="9" t="s">
        <v>764</v>
      </c>
      <c r="J1612" s="9" t="s">
        <v>1121</v>
      </c>
      <c r="K1612" s="30">
        <v>1</v>
      </c>
      <c r="L1612" s="9" t="s">
        <v>1122</v>
      </c>
      <c r="M1612" s="30" t="s">
        <v>84</v>
      </c>
      <c r="N1612" s="30" t="s">
        <v>152</v>
      </c>
      <c r="O1612" s="24">
        <v>86</v>
      </c>
      <c r="P1612" s="24">
        <v>0</v>
      </c>
      <c r="Q1612" s="24">
        <v>0</v>
      </c>
      <c r="R1612" s="24">
        <v>0</v>
      </c>
      <c r="S1612" s="24">
        <v>0</v>
      </c>
      <c r="T1612" s="24">
        <v>86</v>
      </c>
    </row>
    <row r="1613" spans="1:20">
      <c r="A1613" s="9" t="s">
        <v>1105</v>
      </c>
      <c r="B1613" s="30" t="s">
        <v>1164</v>
      </c>
      <c r="C1613" s="30" t="str">
        <f>CONCATENATE(VOL_VOLUMEN_SUMINISTROS[[#This Row],[Proyecto]],VOL_VOLUMEN_SUMINISTROS[[#This Row],[J]],VOL_VOLUMEN_SUMINISTROS[[#This Row],[FIN DE SEMANA]])</f>
        <v>1052-2TNO</v>
      </c>
      <c r="D1613" s="365" t="str">
        <f>CONCATENATE(VOL_VOLUMEN_SUMINISTROS[[#This Row],[Grupo]],VOL_VOLUMEN_SUMINISTROS[[#This Row],[Proyecto]],VOL_VOLUMEN_SUMINISTROS[[#This Row],[FIN DE SEMANA]])</f>
        <v>151052-2NO</v>
      </c>
      <c r="E1613" s="30" t="s">
        <v>183</v>
      </c>
      <c r="F1613" s="30" t="s">
        <v>148</v>
      </c>
      <c r="G1613" s="365">
        <v>15</v>
      </c>
      <c r="H1613" s="30">
        <v>5</v>
      </c>
      <c r="I1613" s="9" t="s">
        <v>764</v>
      </c>
      <c r="J1613" s="9" t="s">
        <v>1121</v>
      </c>
      <c r="K1613" s="30">
        <v>1</v>
      </c>
      <c r="L1613" s="9" t="s">
        <v>1122</v>
      </c>
      <c r="M1613" s="30" t="s">
        <v>84</v>
      </c>
      <c r="N1613" s="30" t="s">
        <v>155</v>
      </c>
      <c r="O1613" s="24">
        <v>95</v>
      </c>
      <c r="P1613" s="24">
        <v>0</v>
      </c>
      <c r="Q1613" s="24">
        <v>0</v>
      </c>
      <c r="R1613" s="24">
        <v>0</v>
      </c>
      <c r="S1613" s="24">
        <v>0</v>
      </c>
      <c r="T1613" s="24">
        <v>95</v>
      </c>
    </row>
    <row r="1614" spans="1:20">
      <c r="A1614" s="9" t="s">
        <v>1105</v>
      </c>
      <c r="B1614" s="30" t="s">
        <v>1165</v>
      </c>
      <c r="C1614" s="30" t="str">
        <f>CONCATENATE(VOL_VOLUMEN_SUMINISTROS[[#This Row],[Proyecto]],VOL_VOLUMEN_SUMINISTROS[[#This Row],[J]],VOL_VOLUMEN_SUMINISTROS[[#This Row],[FIN DE SEMANA]])</f>
        <v>1052-1MNO</v>
      </c>
      <c r="D1614" s="365" t="str">
        <f>CONCATENATE(VOL_VOLUMEN_SUMINISTROS[[#This Row],[Grupo]],VOL_VOLUMEN_SUMINISTROS[[#This Row],[Proyecto]],VOL_VOLUMEN_SUMINISTROS[[#This Row],[FIN DE SEMANA]])</f>
        <v>161052-1NO</v>
      </c>
      <c r="E1614" s="30" t="s">
        <v>147</v>
      </c>
      <c r="F1614" s="30" t="s">
        <v>148</v>
      </c>
      <c r="G1614" s="365">
        <v>16</v>
      </c>
      <c r="H1614" s="30">
        <v>1</v>
      </c>
      <c r="I1614" s="9" t="s">
        <v>397</v>
      </c>
      <c r="J1614" s="9" t="s">
        <v>1166</v>
      </c>
      <c r="K1614" s="30">
        <v>2</v>
      </c>
      <c r="L1614" s="9" t="s">
        <v>1167</v>
      </c>
      <c r="M1614" s="30" t="s">
        <v>84</v>
      </c>
      <c r="N1614" s="30" t="s">
        <v>152</v>
      </c>
      <c r="O1614" s="24">
        <v>211</v>
      </c>
      <c r="P1614" s="24">
        <v>119</v>
      </c>
      <c r="Q1614" s="24">
        <v>17</v>
      </c>
      <c r="R1614" s="24">
        <v>0</v>
      </c>
      <c r="S1614" s="24">
        <v>0</v>
      </c>
      <c r="T1614" s="24">
        <v>347</v>
      </c>
    </row>
    <row r="1615" spans="1:20">
      <c r="A1615" s="9" t="s">
        <v>1105</v>
      </c>
      <c r="B1615" s="30" t="s">
        <v>1165</v>
      </c>
      <c r="C1615" s="30" t="str">
        <f>CONCATENATE(VOL_VOLUMEN_SUMINISTROS[[#This Row],[Proyecto]],VOL_VOLUMEN_SUMINISTROS[[#This Row],[J]],VOL_VOLUMEN_SUMINISTROS[[#This Row],[FIN DE SEMANA]])</f>
        <v>1052-1TNO</v>
      </c>
      <c r="D1615" s="365" t="str">
        <f>CONCATENATE(VOL_VOLUMEN_SUMINISTROS[[#This Row],[Grupo]],VOL_VOLUMEN_SUMINISTROS[[#This Row],[Proyecto]],VOL_VOLUMEN_SUMINISTROS[[#This Row],[FIN DE SEMANA]])</f>
        <v>161052-1NO</v>
      </c>
      <c r="E1615" s="30" t="s">
        <v>147</v>
      </c>
      <c r="F1615" s="30" t="s">
        <v>148</v>
      </c>
      <c r="G1615" s="365">
        <v>16</v>
      </c>
      <c r="H1615" s="30">
        <v>1</v>
      </c>
      <c r="I1615" s="9" t="s">
        <v>397</v>
      </c>
      <c r="J1615" s="9" t="s">
        <v>1166</v>
      </c>
      <c r="K1615" s="30">
        <v>2</v>
      </c>
      <c r="L1615" s="9" t="s">
        <v>1167</v>
      </c>
      <c r="M1615" s="30" t="s">
        <v>84</v>
      </c>
      <c r="N1615" s="30" t="s">
        <v>155</v>
      </c>
      <c r="O1615" s="24">
        <v>181</v>
      </c>
      <c r="P1615" s="24">
        <v>120</v>
      </c>
      <c r="Q1615" s="24">
        <v>18</v>
      </c>
      <c r="R1615" s="24">
        <v>0</v>
      </c>
      <c r="S1615" s="24">
        <v>0</v>
      </c>
      <c r="T1615" s="24">
        <v>319</v>
      </c>
    </row>
    <row r="1616" spans="1:20">
      <c r="A1616" s="9" t="s">
        <v>1105</v>
      </c>
      <c r="B1616" s="30" t="s">
        <v>1165</v>
      </c>
      <c r="C1616" s="30" t="str">
        <f>CONCATENATE(VOL_VOLUMEN_SUMINISTROS[[#This Row],[Proyecto]],VOL_VOLUMEN_SUMINISTROS[[#This Row],[J]],VOL_VOLUMEN_SUMINISTROS[[#This Row],[FIN DE SEMANA]])</f>
        <v>1052-1MNO</v>
      </c>
      <c r="D1616" s="365" t="str">
        <f>CONCATENATE(VOL_VOLUMEN_SUMINISTROS[[#This Row],[Grupo]],VOL_VOLUMEN_SUMINISTROS[[#This Row],[Proyecto]],VOL_VOLUMEN_SUMINISTROS[[#This Row],[FIN DE SEMANA]])</f>
        <v>161052-1NO</v>
      </c>
      <c r="E1616" s="30" t="s">
        <v>147</v>
      </c>
      <c r="F1616" s="30" t="s">
        <v>148</v>
      </c>
      <c r="G1616" s="365">
        <v>16</v>
      </c>
      <c r="H1616" s="30">
        <v>1</v>
      </c>
      <c r="I1616" s="9" t="s">
        <v>397</v>
      </c>
      <c r="J1616" s="9" t="s">
        <v>1168</v>
      </c>
      <c r="K1616" s="30">
        <v>1</v>
      </c>
      <c r="L1616" s="9" t="s">
        <v>1169</v>
      </c>
      <c r="M1616" s="30" t="s">
        <v>84</v>
      </c>
      <c r="N1616" s="30" t="s">
        <v>152</v>
      </c>
      <c r="O1616" s="24">
        <v>0</v>
      </c>
      <c r="P1616" s="24">
        <v>189</v>
      </c>
      <c r="Q1616" s="24">
        <v>358</v>
      </c>
      <c r="R1616" s="24">
        <v>0</v>
      </c>
      <c r="S1616" s="24">
        <v>0</v>
      </c>
      <c r="T1616" s="24">
        <v>547</v>
      </c>
    </row>
    <row r="1617" spans="1:20">
      <c r="A1617" s="9" t="s">
        <v>1105</v>
      </c>
      <c r="B1617" s="30" t="s">
        <v>1165</v>
      </c>
      <c r="C1617" s="30" t="str">
        <f>CONCATENATE(VOL_VOLUMEN_SUMINISTROS[[#This Row],[Proyecto]],VOL_VOLUMEN_SUMINISTROS[[#This Row],[J]],VOL_VOLUMEN_SUMINISTROS[[#This Row],[FIN DE SEMANA]])</f>
        <v>1052-1TNO</v>
      </c>
      <c r="D1617" s="365" t="str">
        <f>CONCATENATE(VOL_VOLUMEN_SUMINISTROS[[#This Row],[Grupo]],VOL_VOLUMEN_SUMINISTROS[[#This Row],[Proyecto]],VOL_VOLUMEN_SUMINISTROS[[#This Row],[FIN DE SEMANA]])</f>
        <v>161052-1NO</v>
      </c>
      <c r="E1617" s="30" t="s">
        <v>147</v>
      </c>
      <c r="F1617" s="30" t="s">
        <v>148</v>
      </c>
      <c r="G1617" s="365">
        <v>16</v>
      </c>
      <c r="H1617" s="30">
        <v>1</v>
      </c>
      <c r="I1617" s="9" t="s">
        <v>397</v>
      </c>
      <c r="J1617" s="9" t="s">
        <v>1168</v>
      </c>
      <c r="K1617" s="30">
        <v>1</v>
      </c>
      <c r="L1617" s="9" t="s">
        <v>1169</v>
      </c>
      <c r="M1617" s="30" t="s">
        <v>84</v>
      </c>
      <c r="N1617" s="30" t="s">
        <v>155</v>
      </c>
      <c r="O1617" s="24">
        <v>0</v>
      </c>
      <c r="P1617" s="24">
        <v>162</v>
      </c>
      <c r="Q1617" s="24">
        <v>354</v>
      </c>
      <c r="R1617" s="24">
        <v>0</v>
      </c>
      <c r="S1617" s="24">
        <v>0</v>
      </c>
      <c r="T1617" s="24">
        <v>516</v>
      </c>
    </row>
    <row r="1618" spans="1:20">
      <c r="A1618" s="9" t="s">
        <v>1105</v>
      </c>
      <c r="B1618" s="30" t="s">
        <v>1165</v>
      </c>
      <c r="C1618" s="30" t="str">
        <f>CONCATENATE(VOL_VOLUMEN_SUMINISTROS[[#This Row],[Proyecto]],VOL_VOLUMEN_SUMINISTROS[[#This Row],[J]],VOL_VOLUMEN_SUMINISTROS[[#This Row],[FIN DE SEMANA]])</f>
        <v>1052-1MNO</v>
      </c>
      <c r="D1618" s="365" t="str">
        <f>CONCATENATE(VOL_VOLUMEN_SUMINISTROS[[#This Row],[Grupo]],VOL_VOLUMEN_SUMINISTROS[[#This Row],[Proyecto]],VOL_VOLUMEN_SUMINISTROS[[#This Row],[FIN DE SEMANA]])</f>
        <v>161052-1NO</v>
      </c>
      <c r="E1618" s="30" t="s">
        <v>147</v>
      </c>
      <c r="F1618" s="30" t="s">
        <v>148</v>
      </c>
      <c r="G1618" s="365">
        <v>16</v>
      </c>
      <c r="H1618" s="30">
        <v>1</v>
      </c>
      <c r="I1618" s="9" t="s">
        <v>397</v>
      </c>
      <c r="J1618" s="9" t="s">
        <v>1168</v>
      </c>
      <c r="K1618" s="30">
        <v>2</v>
      </c>
      <c r="L1618" s="9" t="s">
        <v>1170</v>
      </c>
      <c r="M1618" s="30" t="s">
        <v>84</v>
      </c>
      <c r="N1618" s="30" t="s">
        <v>152</v>
      </c>
      <c r="O1618" s="24">
        <v>88</v>
      </c>
      <c r="P1618" s="24">
        <v>203</v>
      </c>
      <c r="Q1618" s="24">
        <v>53</v>
      </c>
      <c r="R1618" s="24">
        <v>0</v>
      </c>
      <c r="S1618" s="24">
        <v>0</v>
      </c>
      <c r="T1618" s="24">
        <v>344</v>
      </c>
    </row>
    <row r="1619" spans="1:20">
      <c r="A1619" s="9" t="s">
        <v>1105</v>
      </c>
      <c r="B1619" s="30" t="s">
        <v>1165</v>
      </c>
      <c r="C1619" s="30" t="str">
        <f>CONCATENATE(VOL_VOLUMEN_SUMINISTROS[[#This Row],[Proyecto]],VOL_VOLUMEN_SUMINISTROS[[#This Row],[J]],VOL_VOLUMEN_SUMINISTROS[[#This Row],[FIN DE SEMANA]])</f>
        <v>1052-1TNO</v>
      </c>
      <c r="D1619" s="365" t="str">
        <f>CONCATENATE(VOL_VOLUMEN_SUMINISTROS[[#This Row],[Grupo]],VOL_VOLUMEN_SUMINISTROS[[#This Row],[Proyecto]],VOL_VOLUMEN_SUMINISTROS[[#This Row],[FIN DE SEMANA]])</f>
        <v>161052-1NO</v>
      </c>
      <c r="E1619" s="30" t="s">
        <v>147</v>
      </c>
      <c r="F1619" s="30" t="s">
        <v>148</v>
      </c>
      <c r="G1619" s="365">
        <v>16</v>
      </c>
      <c r="H1619" s="30">
        <v>1</v>
      </c>
      <c r="I1619" s="9" t="s">
        <v>397</v>
      </c>
      <c r="J1619" s="9" t="s">
        <v>1168</v>
      </c>
      <c r="K1619" s="30">
        <v>2</v>
      </c>
      <c r="L1619" s="9" t="s">
        <v>1170</v>
      </c>
      <c r="M1619" s="30" t="s">
        <v>84</v>
      </c>
      <c r="N1619" s="30" t="s">
        <v>155</v>
      </c>
      <c r="O1619" s="24">
        <v>84</v>
      </c>
      <c r="P1619" s="24">
        <v>180</v>
      </c>
      <c r="Q1619" s="24">
        <v>46</v>
      </c>
      <c r="R1619" s="24">
        <v>0</v>
      </c>
      <c r="S1619" s="24">
        <v>0</v>
      </c>
      <c r="T1619" s="24">
        <v>310</v>
      </c>
    </row>
    <row r="1620" spans="1:20">
      <c r="A1620" s="9" t="s">
        <v>1105</v>
      </c>
      <c r="B1620" s="30" t="s">
        <v>1165</v>
      </c>
      <c r="C1620" s="30" t="str">
        <f>CONCATENATE(VOL_VOLUMEN_SUMINISTROS[[#This Row],[Proyecto]],VOL_VOLUMEN_SUMINISTROS[[#This Row],[J]],VOL_VOLUMEN_SUMINISTROS[[#This Row],[FIN DE SEMANA]])</f>
        <v>1052-1MNO</v>
      </c>
      <c r="D1620" s="365" t="str">
        <f>CONCATENATE(VOL_VOLUMEN_SUMINISTROS[[#This Row],[Grupo]],VOL_VOLUMEN_SUMINISTROS[[#This Row],[Proyecto]],VOL_VOLUMEN_SUMINISTROS[[#This Row],[FIN DE SEMANA]])</f>
        <v>161052-1NO</v>
      </c>
      <c r="E1620" s="30" t="s">
        <v>147</v>
      </c>
      <c r="F1620" s="30" t="s">
        <v>148</v>
      </c>
      <c r="G1620" s="365">
        <v>16</v>
      </c>
      <c r="H1620" s="30">
        <v>1</v>
      </c>
      <c r="I1620" s="9" t="s">
        <v>397</v>
      </c>
      <c r="J1620" s="9" t="s">
        <v>1168</v>
      </c>
      <c r="K1620" s="30">
        <v>3</v>
      </c>
      <c r="L1620" s="9" t="s">
        <v>1171</v>
      </c>
      <c r="M1620" s="30" t="s">
        <v>84</v>
      </c>
      <c r="N1620" s="30" t="s">
        <v>152</v>
      </c>
      <c r="O1620" s="24">
        <v>234</v>
      </c>
      <c r="P1620" s="24">
        <v>59</v>
      </c>
      <c r="Q1620" s="24">
        <v>0</v>
      </c>
      <c r="R1620" s="24">
        <v>0</v>
      </c>
      <c r="S1620" s="24">
        <v>0</v>
      </c>
      <c r="T1620" s="24">
        <v>293</v>
      </c>
    </row>
    <row r="1621" spans="1:20">
      <c r="A1621" s="9" t="s">
        <v>1105</v>
      </c>
      <c r="B1621" s="30" t="s">
        <v>1165</v>
      </c>
      <c r="C1621" s="30" t="str">
        <f>CONCATENATE(VOL_VOLUMEN_SUMINISTROS[[#This Row],[Proyecto]],VOL_VOLUMEN_SUMINISTROS[[#This Row],[J]],VOL_VOLUMEN_SUMINISTROS[[#This Row],[FIN DE SEMANA]])</f>
        <v>1052-1TNO</v>
      </c>
      <c r="D1621" s="365" t="str">
        <f>CONCATENATE(VOL_VOLUMEN_SUMINISTROS[[#This Row],[Grupo]],VOL_VOLUMEN_SUMINISTROS[[#This Row],[Proyecto]],VOL_VOLUMEN_SUMINISTROS[[#This Row],[FIN DE SEMANA]])</f>
        <v>161052-1NO</v>
      </c>
      <c r="E1621" s="30" t="s">
        <v>147</v>
      </c>
      <c r="F1621" s="30" t="s">
        <v>148</v>
      </c>
      <c r="G1621" s="365">
        <v>16</v>
      </c>
      <c r="H1621" s="30">
        <v>1</v>
      </c>
      <c r="I1621" s="9" t="s">
        <v>397</v>
      </c>
      <c r="J1621" s="9" t="s">
        <v>1168</v>
      </c>
      <c r="K1621" s="30">
        <v>3</v>
      </c>
      <c r="L1621" s="9" t="s">
        <v>1171</v>
      </c>
      <c r="M1621" s="30" t="s">
        <v>84</v>
      </c>
      <c r="N1621" s="30" t="s">
        <v>155</v>
      </c>
      <c r="O1621" s="24">
        <v>227</v>
      </c>
      <c r="P1621" s="24">
        <v>70</v>
      </c>
      <c r="Q1621" s="24">
        <v>0</v>
      </c>
      <c r="R1621" s="24">
        <v>0</v>
      </c>
      <c r="S1621" s="24">
        <v>0</v>
      </c>
      <c r="T1621" s="24">
        <v>297</v>
      </c>
    </row>
    <row r="1622" spans="1:20">
      <c r="A1622" s="9" t="s">
        <v>1105</v>
      </c>
      <c r="B1622" s="30" t="s">
        <v>1165</v>
      </c>
      <c r="C1622" s="30" t="str">
        <f>CONCATENATE(VOL_VOLUMEN_SUMINISTROS[[#This Row],[Proyecto]],VOL_VOLUMEN_SUMINISTROS[[#This Row],[J]],VOL_VOLUMEN_SUMINISTROS[[#This Row],[FIN DE SEMANA]])</f>
        <v>1052-1MNO</v>
      </c>
      <c r="D1622" s="365" t="str">
        <f>CONCATENATE(VOL_VOLUMEN_SUMINISTROS[[#This Row],[Grupo]],VOL_VOLUMEN_SUMINISTROS[[#This Row],[Proyecto]],VOL_VOLUMEN_SUMINISTROS[[#This Row],[FIN DE SEMANA]])</f>
        <v>161052-1NO</v>
      </c>
      <c r="E1622" s="30" t="s">
        <v>147</v>
      </c>
      <c r="F1622" s="30" t="s">
        <v>148</v>
      </c>
      <c r="G1622" s="365">
        <v>16</v>
      </c>
      <c r="H1622" s="30">
        <v>1</v>
      </c>
      <c r="I1622" s="9" t="s">
        <v>397</v>
      </c>
      <c r="J1622" s="9" t="s">
        <v>1168</v>
      </c>
      <c r="K1622" s="30">
        <v>4</v>
      </c>
      <c r="L1622" s="9" t="s">
        <v>1172</v>
      </c>
      <c r="M1622" s="30" t="s">
        <v>84</v>
      </c>
      <c r="N1622" s="30" t="s">
        <v>152</v>
      </c>
      <c r="O1622" s="24">
        <v>16</v>
      </c>
      <c r="P1622" s="24">
        <v>53</v>
      </c>
      <c r="Q1622" s="24">
        <v>215</v>
      </c>
      <c r="R1622" s="24">
        <v>0</v>
      </c>
      <c r="S1622" s="24">
        <v>0</v>
      </c>
      <c r="T1622" s="24">
        <v>284</v>
      </c>
    </row>
    <row r="1623" spans="1:20">
      <c r="A1623" s="9" t="s">
        <v>1105</v>
      </c>
      <c r="B1623" s="30" t="s">
        <v>1165</v>
      </c>
      <c r="C1623" s="30" t="str">
        <f>CONCATENATE(VOL_VOLUMEN_SUMINISTROS[[#This Row],[Proyecto]],VOL_VOLUMEN_SUMINISTROS[[#This Row],[J]],VOL_VOLUMEN_SUMINISTROS[[#This Row],[FIN DE SEMANA]])</f>
        <v>1052-1MNO</v>
      </c>
      <c r="D1623" s="365" t="str">
        <f>CONCATENATE(VOL_VOLUMEN_SUMINISTROS[[#This Row],[Grupo]],VOL_VOLUMEN_SUMINISTROS[[#This Row],[Proyecto]],VOL_VOLUMEN_SUMINISTROS[[#This Row],[FIN DE SEMANA]])</f>
        <v>181052-1NO</v>
      </c>
      <c r="E1623" s="30" t="s">
        <v>147</v>
      </c>
      <c r="F1623" s="30" t="s">
        <v>148</v>
      </c>
      <c r="G1623" s="365">
        <v>18</v>
      </c>
      <c r="H1623" s="30">
        <v>5</v>
      </c>
      <c r="I1623" s="9" t="s">
        <v>764</v>
      </c>
      <c r="J1623" s="9" t="s">
        <v>1173</v>
      </c>
      <c r="K1623" s="30">
        <v>1</v>
      </c>
      <c r="L1623" s="9" t="s">
        <v>1174</v>
      </c>
      <c r="M1623" s="30" t="s">
        <v>84</v>
      </c>
      <c r="N1623" s="30" t="s">
        <v>152</v>
      </c>
      <c r="O1623" s="24">
        <v>217</v>
      </c>
      <c r="P1623" s="24">
        <v>157</v>
      </c>
      <c r="Q1623" s="24">
        <v>32</v>
      </c>
      <c r="R1623" s="24">
        <v>0</v>
      </c>
      <c r="S1623" s="24">
        <v>0</v>
      </c>
      <c r="T1623" s="24">
        <v>406</v>
      </c>
    </row>
    <row r="1624" spans="1:20">
      <c r="A1624" s="9" t="s">
        <v>1105</v>
      </c>
      <c r="B1624" s="30" t="s">
        <v>1165</v>
      </c>
      <c r="C1624" s="30" t="str">
        <f>CONCATENATE(VOL_VOLUMEN_SUMINISTROS[[#This Row],[Proyecto]],VOL_VOLUMEN_SUMINISTROS[[#This Row],[J]],VOL_VOLUMEN_SUMINISTROS[[#This Row],[FIN DE SEMANA]])</f>
        <v>1052-1TNO</v>
      </c>
      <c r="D1624" s="365" t="str">
        <f>CONCATENATE(VOL_VOLUMEN_SUMINISTROS[[#This Row],[Grupo]],VOL_VOLUMEN_SUMINISTROS[[#This Row],[Proyecto]],VOL_VOLUMEN_SUMINISTROS[[#This Row],[FIN DE SEMANA]])</f>
        <v>181052-1NO</v>
      </c>
      <c r="E1624" s="30" t="s">
        <v>147</v>
      </c>
      <c r="F1624" s="30" t="s">
        <v>148</v>
      </c>
      <c r="G1624" s="365">
        <v>18</v>
      </c>
      <c r="H1624" s="30">
        <v>5</v>
      </c>
      <c r="I1624" s="9" t="s">
        <v>764</v>
      </c>
      <c r="J1624" s="9" t="s">
        <v>1173</v>
      </c>
      <c r="K1624" s="30">
        <v>1</v>
      </c>
      <c r="L1624" s="9" t="s">
        <v>1174</v>
      </c>
      <c r="M1624" s="30" t="s">
        <v>84</v>
      </c>
      <c r="N1624" s="30" t="s">
        <v>155</v>
      </c>
      <c r="O1624" s="24">
        <v>197</v>
      </c>
      <c r="P1624" s="24">
        <v>142</v>
      </c>
      <c r="Q1624" s="24">
        <v>29</v>
      </c>
      <c r="R1624" s="24">
        <v>0</v>
      </c>
      <c r="S1624" s="24">
        <v>0</v>
      </c>
      <c r="T1624" s="24">
        <v>368</v>
      </c>
    </row>
    <row r="1625" spans="1:20">
      <c r="A1625" s="9" t="s">
        <v>1105</v>
      </c>
      <c r="B1625" s="30" t="s">
        <v>1165</v>
      </c>
      <c r="C1625" s="30" t="str">
        <f>CONCATENATE(VOL_VOLUMEN_SUMINISTROS[[#This Row],[Proyecto]],VOL_VOLUMEN_SUMINISTROS[[#This Row],[J]],VOL_VOLUMEN_SUMINISTROS[[#This Row],[FIN DE SEMANA]])</f>
        <v>1052-1MNO</v>
      </c>
      <c r="D1625" s="365" t="str">
        <f>CONCATENATE(VOL_VOLUMEN_SUMINISTROS[[#This Row],[Grupo]],VOL_VOLUMEN_SUMINISTROS[[#This Row],[Proyecto]],VOL_VOLUMEN_SUMINISTROS[[#This Row],[FIN DE SEMANA]])</f>
        <v>181052-1NO</v>
      </c>
      <c r="E1625" s="30" t="s">
        <v>147</v>
      </c>
      <c r="F1625" s="30" t="s">
        <v>148</v>
      </c>
      <c r="G1625" s="365">
        <v>18</v>
      </c>
      <c r="H1625" s="30">
        <v>5</v>
      </c>
      <c r="I1625" s="9" t="s">
        <v>764</v>
      </c>
      <c r="J1625" s="9" t="s">
        <v>1173</v>
      </c>
      <c r="K1625" s="30">
        <v>2</v>
      </c>
      <c r="L1625" s="9" t="s">
        <v>1175</v>
      </c>
      <c r="M1625" s="30" t="s">
        <v>84</v>
      </c>
      <c r="N1625" s="30" t="s">
        <v>152</v>
      </c>
      <c r="O1625" s="24">
        <v>0</v>
      </c>
      <c r="P1625" s="24">
        <v>102</v>
      </c>
      <c r="Q1625" s="24">
        <v>246</v>
      </c>
      <c r="R1625" s="24">
        <v>0</v>
      </c>
      <c r="S1625" s="24">
        <v>0</v>
      </c>
      <c r="T1625" s="24">
        <v>348</v>
      </c>
    </row>
    <row r="1626" spans="1:20">
      <c r="A1626" s="9" t="s">
        <v>1105</v>
      </c>
      <c r="B1626" s="30" t="s">
        <v>1165</v>
      </c>
      <c r="C1626" s="30" t="str">
        <f>CONCATENATE(VOL_VOLUMEN_SUMINISTROS[[#This Row],[Proyecto]],VOL_VOLUMEN_SUMINISTROS[[#This Row],[J]],VOL_VOLUMEN_SUMINISTROS[[#This Row],[FIN DE SEMANA]])</f>
        <v>1052-1TNO</v>
      </c>
      <c r="D1626" s="365" t="str">
        <f>CONCATENATE(VOL_VOLUMEN_SUMINISTROS[[#This Row],[Grupo]],VOL_VOLUMEN_SUMINISTROS[[#This Row],[Proyecto]],VOL_VOLUMEN_SUMINISTROS[[#This Row],[FIN DE SEMANA]])</f>
        <v>181052-1NO</v>
      </c>
      <c r="E1626" s="30" t="s">
        <v>147</v>
      </c>
      <c r="F1626" s="30" t="s">
        <v>148</v>
      </c>
      <c r="G1626" s="365">
        <v>18</v>
      </c>
      <c r="H1626" s="30">
        <v>5</v>
      </c>
      <c r="I1626" s="9" t="s">
        <v>764</v>
      </c>
      <c r="J1626" s="9" t="s">
        <v>1173</v>
      </c>
      <c r="K1626" s="30">
        <v>2</v>
      </c>
      <c r="L1626" s="9" t="s">
        <v>1176</v>
      </c>
      <c r="M1626" s="30" t="s">
        <v>84</v>
      </c>
      <c r="N1626" s="30" t="s">
        <v>155</v>
      </c>
      <c r="O1626" s="24">
        <v>0</v>
      </c>
      <c r="P1626" s="24">
        <v>99</v>
      </c>
      <c r="Q1626" s="24">
        <v>133</v>
      </c>
      <c r="R1626" s="24">
        <v>0</v>
      </c>
      <c r="S1626" s="24">
        <v>0</v>
      </c>
      <c r="T1626" s="24">
        <v>232</v>
      </c>
    </row>
    <row r="1627" spans="1:20">
      <c r="A1627" s="9" t="s">
        <v>1105</v>
      </c>
      <c r="B1627" s="30" t="s">
        <v>1165</v>
      </c>
      <c r="C1627" s="30" t="str">
        <f>CONCATENATE(VOL_VOLUMEN_SUMINISTROS[[#This Row],[Proyecto]],VOL_VOLUMEN_SUMINISTROS[[#This Row],[J]],VOL_VOLUMEN_SUMINISTROS[[#This Row],[FIN DE SEMANA]])</f>
        <v>1052-1NNO</v>
      </c>
      <c r="D1627" s="365" t="str">
        <f>CONCATENATE(VOL_VOLUMEN_SUMINISTROS[[#This Row],[Grupo]],VOL_VOLUMEN_SUMINISTROS[[#This Row],[Proyecto]],VOL_VOLUMEN_SUMINISTROS[[#This Row],[FIN DE SEMANA]])</f>
        <v>181052-1NO</v>
      </c>
      <c r="E1627" s="30" t="s">
        <v>147</v>
      </c>
      <c r="F1627" s="30" t="s">
        <v>148</v>
      </c>
      <c r="G1627" s="365">
        <v>18</v>
      </c>
      <c r="H1627" s="30">
        <v>5</v>
      </c>
      <c r="I1627" s="9" t="s">
        <v>764</v>
      </c>
      <c r="J1627" s="9" t="s">
        <v>1177</v>
      </c>
      <c r="K1627" s="30">
        <v>1</v>
      </c>
      <c r="L1627" s="9" t="s">
        <v>1178</v>
      </c>
      <c r="M1627" s="30" t="s">
        <v>84</v>
      </c>
      <c r="N1627" s="30" t="s">
        <v>154</v>
      </c>
      <c r="O1627" s="24">
        <v>0</v>
      </c>
      <c r="P1627" s="24">
        <v>0</v>
      </c>
      <c r="Q1627" s="24">
        <v>0</v>
      </c>
      <c r="R1627" s="24">
        <v>130</v>
      </c>
      <c r="S1627" s="24">
        <v>162</v>
      </c>
      <c r="T1627" s="24">
        <v>292</v>
      </c>
    </row>
    <row r="1628" spans="1:20">
      <c r="A1628" s="9" t="s">
        <v>1105</v>
      </c>
      <c r="B1628" s="30" t="s">
        <v>1165</v>
      </c>
      <c r="C1628" s="30" t="str">
        <f>CONCATENATE(VOL_VOLUMEN_SUMINISTROS[[#This Row],[Proyecto]],VOL_VOLUMEN_SUMINISTROS[[#This Row],[J]],VOL_VOLUMEN_SUMINISTROS[[#This Row],[FIN DE SEMANA]])</f>
        <v>1052-1MNO</v>
      </c>
      <c r="D1628" s="365" t="str">
        <f>CONCATENATE(VOL_VOLUMEN_SUMINISTROS[[#This Row],[Grupo]],VOL_VOLUMEN_SUMINISTROS[[#This Row],[Proyecto]],VOL_VOLUMEN_SUMINISTROS[[#This Row],[FIN DE SEMANA]])</f>
        <v>181052-1NO</v>
      </c>
      <c r="E1628" s="30" t="s">
        <v>147</v>
      </c>
      <c r="F1628" s="30" t="s">
        <v>148</v>
      </c>
      <c r="G1628" s="365">
        <v>18</v>
      </c>
      <c r="H1628" s="30">
        <v>5</v>
      </c>
      <c r="I1628" s="9" t="s">
        <v>764</v>
      </c>
      <c r="J1628" s="9" t="s">
        <v>1177</v>
      </c>
      <c r="K1628" s="30">
        <v>2</v>
      </c>
      <c r="L1628" s="9" t="s">
        <v>1179</v>
      </c>
      <c r="M1628" s="30" t="s">
        <v>84</v>
      </c>
      <c r="N1628" s="30" t="s">
        <v>152</v>
      </c>
      <c r="O1628" s="24">
        <v>222</v>
      </c>
      <c r="P1628" s="24">
        <v>88</v>
      </c>
      <c r="Q1628" s="24">
        <v>0</v>
      </c>
      <c r="R1628" s="24">
        <v>0</v>
      </c>
      <c r="S1628" s="24">
        <v>0</v>
      </c>
      <c r="T1628" s="24">
        <v>310</v>
      </c>
    </row>
    <row r="1629" spans="1:20">
      <c r="A1629" s="9" t="s">
        <v>1105</v>
      </c>
      <c r="B1629" s="30" t="s">
        <v>1165</v>
      </c>
      <c r="C1629" s="30" t="str">
        <f>CONCATENATE(VOL_VOLUMEN_SUMINISTROS[[#This Row],[Proyecto]],VOL_VOLUMEN_SUMINISTROS[[#This Row],[J]],VOL_VOLUMEN_SUMINISTROS[[#This Row],[FIN DE SEMANA]])</f>
        <v>1052-1TNO</v>
      </c>
      <c r="D1629" s="365" t="str">
        <f>CONCATENATE(VOL_VOLUMEN_SUMINISTROS[[#This Row],[Grupo]],VOL_VOLUMEN_SUMINISTROS[[#This Row],[Proyecto]],VOL_VOLUMEN_SUMINISTROS[[#This Row],[FIN DE SEMANA]])</f>
        <v>181052-1NO</v>
      </c>
      <c r="E1629" s="30" t="s">
        <v>147</v>
      </c>
      <c r="F1629" s="30" t="s">
        <v>148</v>
      </c>
      <c r="G1629" s="365">
        <v>18</v>
      </c>
      <c r="H1629" s="30">
        <v>5</v>
      </c>
      <c r="I1629" s="9" t="s">
        <v>764</v>
      </c>
      <c r="J1629" s="9" t="s">
        <v>1177</v>
      </c>
      <c r="K1629" s="30">
        <v>2</v>
      </c>
      <c r="L1629" s="9" t="s">
        <v>1179</v>
      </c>
      <c r="M1629" s="30" t="s">
        <v>84</v>
      </c>
      <c r="N1629" s="30" t="s">
        <v>155</v>
      </c>
      <c r="O1629" s="24">
        <v>194</v>
      </c>
      <c r="P1629" s="24">
        <v>74</v>
      </c>
      <c r="Q1629" s="24">
        <v>0</v>
      </c>
      <c r="R1629" s="24">
        <v>0</v>
      </c>
      <c r="S1629" s="24">
        <v>0</v>
      </c>
      <c r="T1629" s="24">
        <v>268</v>
      </c>
    </row>
    <row r="1630" spans="1:20">
      <c r="A1630" s="9" t="s">
        <v>1105</v>
      </c>
      <c r="B1630" s="30" t="s">
        <v>1165</v>
      </c>
      <c r="C1630" s="30" t="str">
        <f>CONCATENATE(VOL_VOLUMEN_SUMINISTROS[[#This Row],[Proyecto]],VOL_VOLUMEN_SUMINISTROS[[#This Row],[J]],VOL_VOLUMEN_SUMINISTROS[[#This Row],[FIN DE SEMANA]])</f>
        <v>1052-1MNO</v>
      </c>
      <c r="D1630" s="365" t="str">
        <f>CONCATENATE(VOL_VOLUMEN_SUMINISTROS[[#This Row],[Grupo]],VOL_VOLUMEN_SUMINISTROS[[#This Row],[Proyecto]],VOL_VOLUMEN_SUMINISTROS[[#This Row],[FIN DE SEMANA]])</f>
        <v>181052-1NO</v>
      </c>
      <c r="E1630" s="30" t="s">
        <v>147</v>
      </c>
      <c r="F1630" s="30" t="s">
        <v>148</v>
      </c>
      <c r="G1630" s="365">
        <v>18</v>
      </c>
      <c r="H1630" s="30">
        <v>5</v>
      </c>
      <c r="I1630" s="9" t="s">
        <v>764</v>
      </c>
      <c r="J1630" s="9" t="s">
        <v>1180</v>
      </c>
      <c r="K1630" s="30">
        <v>1</v>
      </c>
      <c r="L1630" s="9" t="s">
        <v>1181</v>
      </c>
      <c r="M1630" s="30" t="s">
        <v>84</v>
      </c>
      <c r="N1630" s="30" t="s">
        <v>152</v>
      </c>
      <c r="O1630" s="24">
        <v>260</v>
      </c>
      <c r="P1630" s="24">
        <v>350</v>
      </c>
      <c r="Q1630" s="24">
        <v>484</v>
      </c>
      <c r="R1630" s="24">
        <v>0</v>
      </c>
      <c r="S1630" s="24">
        <v>0</v>
      </c>
      <c r="T1630" s="24">
        <v>1094</v>
      </c>
    </row>
    <row r="1631" spans="1:20">
      <c r="A1631" s="9" t="s">
        <v>1105</v>
      </c>
      <c r="B1631" s="30" t="s">
        <v>1165</v>
      </c>
      <c r="C1631" s="30" t="str">
        <f>CONCATENATE(VOL_VOLUMEN_SUMINISTROS[[#This Row],[Proyecto]],VOL_VOLUMEN_SUMINISTROS[[#This Row],[J]],VOL_VOLUMEN_SUMINISTROS[[#This Row],[FIN DE SEMANA]])</f>
        <v>1052-1TNO</v>
      </c>
      <c r="D1631" s="365" t="str">
        <f>CONCATENATE(VOL_VOLUMEN_SUMINISTROS[[#This Row],[Grupo]],VOL_VOLUMEN_SUMINISTROS[[#This Row],[Proyecto]],VOL_VOLUMEN_SUMINISTROS[[#This Row],[FIN DE SEMANA]])</f>
        <v>181052-1NO</v>
      </c>
      <c r="E1631" s="30" t="s">
        <v>147</v>
      </c>
      <c r="F1631" s="30" t="s">
        <v>148</v>
      </c>
      <c r="G1631" s="365">
        <v>18</v>
      </c>
      <c r="H1631" s="30">
        <v>5</v>
      </c>
      <c r="I1631" s="9" t="s">
        <v>764</v>
      </c>
      <c r="J1631" s="9" t="s">
        <v>1180</v>
      </c>
      <c r="K1631" s="30">
        <v>1</v>
      </c>
      <c r="L1631" s="9" t="s">
        <v>1181</v>
      </c>
      <c r="M1631" s="30" t="s">
        <v>84</v>
      </c>
      <c r="N1631" s="30" t="s">
        <v>155</v>
      </c>
      <c r="O1631" s="24">
        <v>256</v>
      </c>
      <c r="P1631" s="24">
        <v>373</v>
      </c>
      <c r="Q1631" s="24">
        <v>434</v>
      </c>
      <c r="R1631" s="24">
        <v>0</v>
      </c>
      <c r="S1631" s="24">
        <v>0</v>
      </c>
      <c r="T1631" s="24">
        <v>1063</v>
      </c>
    </row>
    <row r="1632" spans="1:20">
      <c r="A1632" s="9" t="s">
        <v>1105</v>
      </c>
      <c r="B1632" s="30" t="s">
        <v>1165</v>
      </c>
      <c r="C1632" s="30" t="str">
        <f>CONCATENATE(VOL_VOLUMEN_SUMINISTROS[[#This Row],[Proyecto]],VOL_VOLUMEN_SUMINISTROS[[#This Row],[J]],VOL_VOLUMEN_SUMINISTROS[[#This Row],[FIN DE SEMANA]])</f>
        <v>1052-1MNO</v>
      </c>
      <c r="D1632" s="365" t="str">
        <f>CONCATENATE(VOL_VOLUMEN_SUMINISTROS[[#This Row],[Grupo]],VOL_VOLUMEN_SUMINISTROS[[#This Row],[Proyecto]],VOL_VOLUMEN_SUMINISTROS[[#This Row],[FIN DE SEMANA]])</f>
        <v>181052-1NO</v>
      </c>
      <c r="E1632" s="30" t="s">
        <v>147</v>
      </c>
      <c r="F1632" s="30" t="s">
        <v>148</v>
      </c>
      <c r="G1632" s="365">
        <v>18</v>
      </c>
      <c r="H1632" s="30">
        <v>5</v>
      </c>
      <c r="I1632" s="9" t="s">
        <v>764</v>
      </c>
      <c r="J1632" s="9" t="s">
        <v>1182</v>
      </c>
      <c r="K1632" s="30">
        <v>1</v>
      </c>
      <c r="L1632" s="9" t="s">
        <v>153</v>
      </c>
      <c r="M1632" s="30" t="s">
        <v>84</v>
      </c>
      <c r="N1632" s="30" t="s">
        <v>152</v>
      </c>
      <c r="O1632" s="24">
        <v>44</v>
      </c>
      <c r="P1632" s="24">
        <v>111</v>
      </c>
      <c r="Q1632" s="24">
        <v>265</v>
      </c>
      <c r="R1632" s="24">
        <v>0</v>
      </c>
      <c r="S1632" s="24">
        <v>0</v>
      </c>
      <c r="T1632" s="24">
        <v>420</v>
      </c>
    </row>
    <row r="1633" spans="1:20">
      <c r="A1633" s="9" t="s">
        <v>1105</v>
      </c>
      <c r="B1633" s="30" t="s">
        <v>1165</v>
      </c>
      <c r="C1633" s="30" t="str">
        <f>CONCATENATE(VOL_VOLUMEN_SUMINISTROS[[#This Row],[Proyecto]],VOL_VOLUMEN_SUMINISTROS[[#This Row],[J]],VOL_VOLUMEN_SUMINISTROS[[#This Row],[FIN DE SEMANA]])</f>
        <v>1052-1TNO</v>
      </c>
      <c r="D1633" s="365" t="str">
        <f>CONCATENATE(VOL_VOLUMEN_SUMINISTROS[[#This Row],[Grupo]],VOL_VOLUMEN_SUMINISTROS[[#This Row],[Proyecto]],VOL_VOLUMEN_SUMINISTROS[[#This Row],[FIN DE SEMANA]])</f>
        <v>181052-1NO</v>
      </c>
      <c r="E1633" s="30" t="s">
        <v>147</v>
      </c>
      <c r="F1633" s="30" t="s">
        <v>148</v>
      </c>
      <c r="G1633" s="365">
        <v>18</v>
      </c>
      <c r="H1633" s="30">
        <v>5</v>
      </c>
      <c r="I1633" s="9" t="s">
        <v>764</v>
      </c>
      <c r="J1633" s="9" t="s">
        <v>1182</v>
      </c>
      <c r="K1633" s="30">
        <v>1</v>
      </c>
      <c r="L1633" s="9" t="s">
        <v>153</v>
      </c>
      <c r="M1633" s="30" t="s">
        <v>84</v>
      </c>
      <c r="N1633" s="30" t="s">
        <v>155</v>
      </c>
      <c r="O1633" s="24">
        <v>152</v>
      </c>
      <c r="P1633" s="24">
        <v>144</v>
      </c>
      <c r="Q1633" s="24">
        <v>30</v>
      </c>
      <c r="R1633" s="24">
        <v>0</v>
      </c>
      <c r="S1633" s="24">
        <v>0</v>
      </c>
      <c r="T1633" s="24">
        <v>326</v>
      </c>
    </row>
    <row r="1634" spans="1:20">
      <c r="A1634" s="9" t="s">
        <v>1105</v>
      </c>
      <c r="B1634" s="30" t="s">
        <v>1165</v>
      </c>
      <c r="C1634" s="30" t="str">
        <f>CONCATENATE(VOL_VOLUMEN_SUMINISTROS[[#This Row],[Proyecto]],VOL_VOLUMEN_SUMINISTROS[[#This Row],[J]],VOL_VOLUMEN_SUMINISTROS[[#This Row],[FIN DE SEMANA]])</f>
        <v>1052-1MNO</v>
      </c>
      <c r="D1634" s="365" t="str">
        <f>CONCATENATE(VOL_VOLUMEN_SUMINISTROS[[#This Row],[Grupo]],VOL_VOLUMEN_SUMINISTROS[[#This Row],[Proyecto]],VOL_VOLUMEN_SUMINISTROS[[#This Row],[FIN DE SEMANA]])</f>
        <v>181052-1NO</v>
      </c>
      <c r="E1634" s="30" t="s">
        <v>147</v>
      </c>
      <c r="F1634" s="30" t="s">
        <v>148</v>
      </c>
      <c r="G1634" s="365">
        <v>18</v>
      </c>
      <c r="H1634" s="30">
        <v>5</v>
      </c>
      <c r="I1634" s="9" t="s">
        <v>764</v>
      </c>
      <c r="J1634" s="9" t="s">
        <v>1183</v>
      </c>
      <c r="K1634" s="30">
        <v>2</v>
      </c>
      <c r="L1634" s="9" t="s">
        <v>1184</v>
      </c>
      <c r="M1634" s="30" t="s">
        <v>84</v>
      </c>
      <c r="N1634" s="30" t="s">
        <v>152</v>
      </c>
      <c r="O1634" s="24">
        <v>150</v>
      </c>
      <c r="P1634" s="24">
        <v>213</v>
      </c>
      <c r="Q1634" s="24">
        <v>46</v>
      </c>
      <c r="R1634" s="24">
        <v>0</v>
      </c>
      <c r="S1634" s="24">
        <v>0</v>
      </c>
      <c r="T1634" s="24">
        <v>409</v>
      </c>
    </row>
    <row r="1635" spans="1:20">
      <c r="A1635" s="9" t="s">
        <v>1105</v>
      </c>
      <c r="B1635" s="30" t="s">
        <v>1165</v>
      </c>
      <c r="C1635" s="30" t="str">
        <f>CONCATENATE(VOL_VOLUMEN_SUMINISTROS[[#This Row],[Proyecto]],VOL_VOLUMEN_SUMINISTROS[[#This Row],[J]],VOL_VOLUMEN_SUMINISTROS[[#This Row],[FIN DE SEMANA]])</f>
        <v>1052-1TNO</v>
      </c>
      <c r="D1635" s="365" t="str">
        <f>CONCATENATE(VOL_VOLUMEN_SUMINISTROS[[#This Row],[Grupo]],VOL_VOLUMEN_SUMINISTROS[[#This Row],[Proyecto]],VOL_VOLUMEN_SUMINISTROS[[#This Row],[FIN DE SEMANA]])</f>
        <v>181052-1NO</v>
      </c>
      <c r="E1635" s="30" t="s">
        <v>147</v>
      </c>
      <c r="F1635" s="30" t="s">
        <v>148</v>
      </c>
      <c r="G1635" s="365">
        <v>18</v>
      </c>
      <c r="H1635" s="30">
        <v>5</v>
      </c>
      <c r="I1635" s="9" t="s">
        <v>764</v>
      </c>
      <c r="J1635" s="9" t="s">
        <v>1183</v>
      </c>
      <c r="K1635" s="30">
        <v>2</v>
      </c>
      <c r="L1635" s="9" t="s">
        <v>1184</v>
      </c>
      <c r="M1635" s="30" t="s">
        <v>84</v>
      </c>
      <c r="N1635" s="30" t="s">
        <v>155</v>
      </c>
      <c r="O1635" s="24">
        <v>190</v>
      </c>
      <c r="P1635" s="24">
        <v>149</v>
      </c>
      <c r="Q1635" s="24">
        <v>18</v>
      </c>
      <c r="R1635" s="24">
        <v>0</v>
      </c>
      <c r="S1635" s="24">
        <v>0</v>
      </c>
      <c r="T1635" s="24">
        <v>357</v>
      </c>
    </row>
    <row r="1636" spans="1:20">
      <c r="A1636" s="9" t="s">
        <v>1105</v>
      </c>
      <c r="B1636" s="30" t="s">
        <v>1165</v>
      </c>
      <c r="C1636" s="30" t="str">
        <f>CONCATENATE(VOL_VOLUMEN_SUMINISTROS[[#This Row],[Proyecto]],VOL_VOLUMEN_SUMINISTROS[[#This Row],[J]],VOL_VOLUMEN_SUMINISTROS[[#This Row],[FIN DE SEMANA]])</f>
        <v>1052-1MNO</v>
      </c>
      <c r="D1636" s="365" t="str">
        <f>CONCATENATE(VOL_VOLUMEN_SUMINISTROS[[#This Row],[Grupo]],VOL_VOLUMEN_SUMINISTROS[[#This Row],[Proyecto]],VOL_VOLUMEN_SUMINISTROS[[#This Row],[FIN DE SEMANA]])</f>
        <v>181052-1NO</v>
      </c>
      <c r="E1636" s="30" t="s">
        <v>147</v>
      </c>
      <c r="F1636" s="30" t="s">
        <v>148</v>
      </c>
      <c r="G1636" s="365">
        <v>18</v>
      </c>
      <c r="H1636" s="30">
        <v>5</v>
      </c>
      <c r="I1636" s="9" t="s">
        <v>764</v>
      </c>
      <c r="J1636" s="9" t="s">
        <v>1183</v>
      </c>
      <c r="K1636" s="30">
        <v>4</v>
      </c>
      <c r="L1636" s="9" t="s">
        <v>226</v>
      </c>
      <c r="M1636" s="30" t="s">
        <v>84</v>
      </c>
      <c r="N1636" s="30" t="s">
        <v>152</v>
      </c>
      <c r="O1636" s="24">
        <v>213</v>
      </c>
      <c r="P1636" s="24">
        <v>0</v>
      </c>
      <c r="Q1636" s="24">
        <v>0</v>
      </c>
      <c r="R1636" s="24">
        <v>0</v>
      </c>
      <c r="S1636" s="24">
        <v>0</v>
      </c>
      <c r="T1636" s="24">
        <v>213</v>
      </c>
    </row>
    <row r="1637" spans="1:20">
      <c r="A1637" s="9" t="s">
        <v>1105</v>
      </c>
      <c r="B1637" s="30" t="s">
        <v>1165</v>
      </c>
      <c r="C1637" s="30" t="str">
        <f>CONCATENATE(VOL_VOLUMEN_SUMINISTROS[[#This Row],[Proyecto]],VOL_VOLUMEN_SUMINISTROS[[#This Row],[J]],VOL_VOLUMEN_SUMINISTROS[[#This Row],[FIN DE SEMANA]])</f>
        <v>1052-1TNO</v>
      </c>
      <c r="D1637" s="365" t="str">
        <f>CONCATENATE(VOL_VOLUMEN_SUMINISTROS[[#This Row],[Grupo]],VOL_VOLUMEN_SUMINISTROS[[#This Row],[Proyecto]],VOL_VOLUMEN_SUMINISTROS[[#This Row],[FIN DE SEMANA]])</f>
        <v>181052-1NO</v>
      </c>
      <c r="E1637" s="30" t="s">
        <v>147</v>
      </c>
      <c r="F1637" s="30" t="s">
        <v>148</v>
      </c>
      <c r="G1637" s="365">
        <v>18</v>
      </c>
      <c r="H1637" s="30">
        <v>5</v>
      </c>
      <c r="I1637" s="9" t="s">
        <v>764</v>
      </c>
      <c r="J1637" s="9" t="s">
        <v>1183</v>
      </c>
      <c r="K1637" s="30">
        <v>4</v>
      </c>
      <c r="L1637" s="9" t="s">
        <v>226</v>
      </c>
      <c r="M1637" s="30" t="s">
        <v>84</v>
      </c>
      <c r="N1637" s="30" t="s">
        <v>155</v>
      </c>
      <c r="O1637" s="24">
        <v>158</v>
      </c>
      <c r="P1637" s="24">
        <v>0</v>
      </c>
      <c r="Q1637" s="24">
        <v>0</v>
      </c>
      <c r="R1637" s="24">
        <v>0</v>
      </c>
      <c r="S1637" s="24">
        <v>0</v>
      </c>
      <c r="T1637" s="24">
        <v>158</v>
      </c>
    </row>
    <row r="1638" spans="1:20">
      <c r="A1638" s="9" t="s">
        <v>1105</v>
      </c>
      <c r="B1638" s="30" t="s">
        <v>1165</v>
      </c>
      <c r="C1638" s="30" t="str">
        <f>CONCATENATE(VOL_VOLUMEN_SUMINISTROS[[#This Row],[Proyecto]],VOL_VOLUMEN_SUMINISTROS[[#This Row],[J]],VOL_VOLUMEN_SUMINISTROS[[#This Row],[FIN DE SEMANA]])</f>
        <v>1052-2MSI</v>
      </c>
      <c r="D1638" s="365" t="str">
        <f>CONCATENATE(VOL_VOLUMEN_SUMINISTROS[[#This Row],[Grupo]],VOL_VOLUMEN_SUMINISTROS[[#This Row],[Proyecto]],VOL_VOLUMEN_SUMINISTROS[[#This Row],[FIN DE SEMANA]])</f>
        <v>181052-2SI</v>
      </c>
      <c r="E1638" s="30" t="s">
        <v>183</v>
      </c>
      <c r="F1638" s="30" t="s">
        <v>148</v>
      </c>
      <c r="G1638" s="365">
        <v>18</v>
      </c>
      <c r="H1638" s="30">
        <v>5</v>
      </c>
      <c r="I1638" s="9" t="s">
        <v>764</v>
      </c>
      <c r="J1638" s="9" t="s">
        <v>1185</v>
      </c>
      <c r="K1638" s="30">
        <v>1</v>
      </c>
      <c r="L1638" s="9" t="s">
        <v>1186</v>
      </c>
      <c r="M1638" s="30" t="s">
        <v>106</v>
      </c>
      <c r="N1638" s="30" t="s">
        <v>152</v>
      </c>
      <c r="O1638" s="24">
        <v>0</v>
      </c>
      <c r="P1638" s="24">
        <v>210</v>
      </c>
      <c r="Q1638" s="24">
        <v>465</v>
      </c>
      <c r="R1638" s="24">
        <v>0</v>
      </c>
      <c r="S1638" s="24">
        <v>0</v>
      </c>
      <c r="T1638" s="24">
        <v>675</v>
      </c>
    </row>
    <row r="1639" spans="1:20">
      <c r="A1639" s="9" t="s">
        <v>1105</v>
      </c>
      <c r="B1639" s="30" t="s">
        <v>1165</v>
      </c>
      <c r="C1639" s="30" t="str">
        <f>CONCATENATE(VOL_VOLUMEN_SUMINISTROS[[#This Row],[Proyecto]],VOL_VOLUMEN_SUMINISTROS[[#This Row],[J]],VOL_VOLUMEN_SUMINISTROS[[#This Row],[FIN DE SEMANA]])</f>
        <v>1052-1NNO</v>
      </c>
      <c r="D1639" s="365" t="str">
        <f>CONCATENATE(VOL_VOLUMEN_SUMINISTROS[[#This Row],[Grupo]],VOL_VOLUMEN_SUMINISTROS[[#This Row],[Proyecto]],VOL_VOLUMEN_SUMINISTROS[[#This Row],[FIN DE SEMANA]])</f>
        <v>181052-1NO</v>
      </c>
      <c r="E1639" s="30" t="s">
        <v>147</v>
      </c>
      <c r="F1639" s="30" t="s">
        <v>148</v>
      </c>
      <c r="G1639" s="365">
        <v>18</v>
      </c>
      <c r="H1639" s="30">
        <v>5</v>
      </c>
      <c r="I1639" s="9" t="s">
        <v>764</v>
      </c>
      <c r="J1639" s="9" t="s">
        <v>1185</v>
      </c>
      <c r="K1639" s="30">
        <v>1</v>
      </c>
      <c r="L1639" s="9" t="s">
        <v>1186</v>
      </c>
      <c r="M1639" s="30" t="s">
        <v>84</v>
      </c>
      <c r="N1639" s="30" t="s">
        <v>154</v>
      </c>
      <c r="O1639" s="24">
        <v>0</v>
      </c>
      <c r="P1639" s="24">
        <v>0</v>
      </c>
      <c r="Q1639" s="24">
        <v>0</v>
      </c>
      <c r="R1639" s="24">
        <v>208</v>
      </c>
      <c r="S1639" s="24">
        <v>192</v>
      </c>
      <c r="T1639" s="24">
        <v>400</v>
      </c>
    </row>
    <row r="1640" spans="1:20">
      <c r="A1640" s="9" t="s">
        <v>1105</v>
      </c>
      <c r="B1640" s="30" t="s">
        <v>1165</v>
      </c>
      <c r="C1640" s="30" t="str">
        <f>CONCATENATE(VOL_VOLUMEN_SUMINISTROS[[#This Row],[Proyecto]],VOL_VOLUMEN_SUMINISTROS[[#This Row],[J]],VOL_VOLUMEN_SUMINISTROS[[#This Row],[FIN DE SEMANA]])</f>
        <v>1052-1TNO</v>
      </c>
      <c r="D1640" s="365" t="str">
        <f>CONCATENATE(VOL_VOLUMEN_SUMINISTROS[[#This Row],[Grupo]],VOL_VOLUMEN_SUMINISTROS[[#This Row],[Proyecto]],VOL_VOLUMEN_SUMINISTROS[[#This Row],[FIN DE SEMANA]])</f>
        <v>181052-1NO</v>
      </c>
      <c r="E1640" s="30" t="s">
        <v>147</v>
      </c>
      <c r="F1640" s="30" t="s">
        <v>148</v>
      </c>
      <c r="G1640" s="365">
        <v>18</v>
      </c>
      <c r="H1640" s="30">
        <v>5</v>
      </c>
      <c r="I1640" s="9" t="s">
        <v>764</v>
      </c>
      <c r="J1640" s="9" t="s">
        <v>1185</v>
      </c>
      <c r="K1640" s="30">
        <v>1</v>
      </c>
      <c r="L1640" s="9" t="s">
        <v>1186</v>
      </c>
      <c r="M1640" s="30" t="s">
        <v>84</v>
      </c>
      <c r="N1640" s="30" t="s">
        <v>155</v>
      </c>
      <c r="O1640" s="24">
        <v>0</v>
      </c>
      <c r="P1640" s="24">
        <v>243</v>
      </c>
      <c r="Q1640" s="24">
        <v>348</v>
      </c>
      <c r="R1640" s="24">
        <v>0</v>
      </c>
      <c r="S1640" s="24">
        <v>0</v>
      </c>
      <c r="T1640" s="24">
        <v>591</v>
      </c>
    </row>
    <row r="1641" spans="1:20">
      <c r="A1641" s="9" t="s">
        <v>1105</v>
      </c>
      <c r="B1641" s="30" t="s">
        <v>1165</v>
      </c>
      <c r="C1641" s="30" t="str">
        <f>CONCATENATE(VOL_VOLUMEN_SUMINISTROS[[#This Row],[Proyecto]],VOL_VOLUMEN_SUMINISTROS[[#This Row],[J]],VOL_VOLUMEN_SUMINISTROS[[#This Row],[FIN DE SEMANA]])</f>
        <v>1052-1MNO</v>
      </c>
      <c r="D1641" s="365" t="str">
        <f>CONCATENATE(VOL_VOLUMEN_SUMINISTROS[[#This Row],[Grupo]],VOL_VOLUMEN_SUMINISTROS[[#This Row],[Proyecto]],VOL_VOLUMEN_SUMINISTROS[[#This Row],[FIN DE SEMANA]])</f>
        <v>181052-1NO</v>
      </c>
      <c r="E1641" s="30" t="s">
        <v>147</v>
      </c>
      <c r="F1641" s="30" t="s">
        <v>148</v>
      </c>
      <c r="G1641" s="365">
        <v>18</v>
      </c>
      <c r="H1641" s="30">
        <v>5</v>
      </c>
      <c r="I1641" s="9" t="s">
        <v>764</v>
      </c>
      <c r="J1641" s="9" t="s">
        <v>1185</v>
      </c>
      <c r="K1641" s="30">
        <v>2</v>
      </c>
      <c r="L1641" s="9" t="s">
        <v>1187</v>
      </c>
      <c r="M1641" s="30" t="s">
        <v>84</v>
      </c>
      <c r="N1641" s="30" t="s">
        <v>152</v>
      </c>
      <c r="O1641" s="24">
        <v>100</v>
      </c>
      <c r="P1641" s="24">
        <v>21</v>
      </c>
      <c r="Q1641" s="24">
        <v>0</v>
      </c>
      <c r="R1641" s="24">
        <v>0</v>
      </c>
      <c r="S1641" s="24">
        <v>0</v>
      </c>
      <c r="T1641" s="24">
        <v>121</v>
      </c>
    </row>
    <row r="1642" spans="1:20">
      <c r="A1642" s="9" t="s">
        <v>1105</v>
      </c>
      <c r="B1642" s="30" t="s">
        <v>1165</v>
      </c>
      <c r="C1642" s="30" t="str">
        <f>CONCATENATE(VOL_VOLUMEN_SUMINISTROS[[#This Row],[Proyecto]],VOL_VOLUMEN_SUMINISTROS[[#This Row],[J]],VOL_VOLUMEN_SUMINISTROS[[#This Row],[FIN DE SEMANA]])</f>
        <v>1052-1TNO</v>
      </c>
      <c r="D1642" s="365" t="str">
        <f>CONCATENATE(VOL_VOLUMEN_SUMINISTROS[[#This Row],[Grupo]],VOL_VOLUMEN_SUMINISTROS[[#This Row],[Proyecto]],VOL_VOLUMEN_SUMINISTROS[[#This Row],[FIN DE SEMANA]])</f>
        <v>181052-1NO</v>
      </c>
      <c r="E1642" s="30" t="s">
        <v>147</v>
      </c>
      <c r="F1642" s="30" t="s">
        <v>148</v>
      </c>
      <c r="G1642" s="365">
        <v>18</v>
      </c>
      <c r="H1642" s="30">
        <v>5</v>
      </c>
      <c r="I1642" s="9" t="s">
        <v>764</v>
      </c>
      <c r="J1642" s="9" t="s">
        <v>1185</v>
      </c>
      <c r="K1642" s="30">
        <v>2</v>
      </c>
      <c r="L1642" s="9" t="s">
        <v>1187</v>
      </c>
      <c r="M1642" s="30" t="s">
        <v>84</v>
      </c>
      <c r="N1642" s="30" t="s">
        <v>155</v>
      </c>
      <c r="O1642" s="24">
        <v>107</v>
      </c>
      <c r="P1642" s="24">
        <v>21</v>
      </c>
      <c r="Q1642" s="24">
        <v>0</v>
      </c>
      <c r="R1642" s="24">
        <v>0</v>
      </c>
      <c r="S1642" s="24">
        <v>0</v>
      </c>
      <c r="T1642" s="24">
        <v>128</v>
      </c>
    </row>
    <row r="1643" spans="1:20">
      <c r="A1643" s="9" t="s">
        <v>1105</v>
      </c>
      <c r="B1643" s="30" t="s">
        <v>1165</v>
      </c>
      <c r="C1643" s="30" t="str">
        <f>CONCATENATE(VOL_VOLUMEN_SUMINISTROS[[#This Row],[Proyecto]],VOL_VOLUMEN_SUMINISTROS[[#This Row],[J]],VOL_VOLUMEN_SUMINISTROS[[#This Row],[FIN DE SEMANA]])</f>
        <v>1052-1MNO</v>
      </c>
      <c r="D1643" s="365" t="str">
        <f>CONCATENATE(VOL_VOLUMEN_SUMINISTROS[[#This Row],[Grupo]],VOL_VOLUMEN_SUMINISTROS[[#This Row],[Proyecto]],VOL_VOLUMEN_SUMINISTROS[[#This Row],[FIN DE SEMANA]])</f>
        <v>181052-1NO</v>
      </c>
      <c r="E1643" s="30" t="s">
        <v>147</v>
      </c>
      <c r="F1643" s="30" t="s">
        <v>148</v>
      </c>
      <c r="G1643" s="365">
        <v>18</v>
      </c>
      <c r="H1643" s="30">
        <v>5</v>
      </c>
      <c r="I1643" s="9" t="s">
        <v>764</v>
      </c>
      <c r="J1643" s="9" t="s">
        <v>1185</v>
      </c>
      <c r="K1643" s="30">
        <v>3</v>
      </c>
      <c r="L1643" s="9" t="s">
        <v>1187</v>
      </c>
      <c r="M1643" s="30" t="s">
        <v>84</v>
      </c>
      <c r="N1643" s="30" t="s">
        <v>152</v>
      </c>
      <c r="O1643" s="24">
        <v>88</v>
      </c>
      <c r="P1643" s="24">
        <v>92</v>
      </c>
      <c r="Q1643" s="24">
        <v>16</v>
      </c>
      <c r="R1643" s="24">
        <v>0</v>
      </c>
      <c r="S1643" s="24">
        <v>0</v>
      </c>
      <c r="T1643" s="24">
        <v>196</v>
      </c>
    </row>
    <row r="1644" spans="1:20">
      <c r="A1644" s="9" t="s">
        <v>1105</v>
      </c>
      <c r="B1644" s="30" t="s">
        <v>1165</v>
      </c>
      <c r="C1644" s="30" t="str">
        <f>CONCATENATE(VOL_VOLUMEN_SUMINISTROS[[#This Row],[Proyecto]],VOL_VOLUMEN_SUMINISTROS[[#This Row],[J]],VOL_VOLUMEN_SUMINISTROS[[#This Row],[FIN DE SEMANA]])</f>
        <v>1052-1TNO</v>
      </c>
      <c r="D1644" s="365" t="str">
        <f>CONCATENATE(VOL_VOLUMEN_SUMINISTROS[[#This Row],[Grupo]],VOL_VOLUMEN_SUMINISTROS[[#This Row],[Proyecto]],VOL_VOLUMEN_SUMINISTROS[[#This Row],[FIN DE SEMANA]])</f>
        <v>181052-1NO</v>
      </c>
      <c r="E1644" s="30" t="s">
        <v>147</v>
      </c>
      <c r="F1644" s="30" t="s">
        <v>148</v>
      </c>
      <c r="G1644" s="365">
        <v>18</v>
      </c>
      <c r="H1644" s="30">
        <v>5</v>
      </c>
      <c r="I1644" s="9" t="s">
        <v>764</v>
      </c>
      <c r="J1644" s="9" t="s">
        <v>1185</v>
      </c>
      <c r="K1644" s="30">
        <v>3</v>
      </c>
      <c r="L1644" s="9" t="s">
        <v>1187</v>
      </c>
      <c r="M1644" s="30" t="s">
        <v>84</v>
      </c>
      <c r="N1644" s="30" t="s">
        <v>155</v>
      </c>
      <c r="O1644" s="24">
        <v>90</v>
      </c>
      <c r="P1644" s="24">
        <v>93</v>
      </c>
      <c r="Q1644" s="24">
        <v>16</v>
      </c>
      <c r="R1644" s="24">
        <v>0</v>
      </c>
      <c r="S1644" s="24">
        <v>0</v>
      </c>
      <c r="T1644" s="24">
        <v>199</v>
      </c>
    </row>
    <row r="1645" spans="1:20">
      <c r="A1645" s="9" t="s">
        <v>1105</v>
      </c>
      <c r="B1645" s="30" t="s">
        <v>1165</v>
      </c>
      <c r="C1645" s="30" t="str">
        <f>CONCATENATE(VOL_VOLUMEN_SUMINISTROS[[#This Row],[Proyecto]],VOL_VOLUMEN_SUMINISTROS[[#This Row],[J]],VOL_VOLUMEN_SUMINISTROS[[#This Row],[FIN DE SEMANA]])</f>
        <v>1052-1MNO</v>
      </c>
      <c r="D1645" s="365" t="str">
        <f>CONCATENATE(VOL_VOLUMEN_SUMINISTROS[[#This Row],[Grupo]],VOL_VOLUMEN_SUMINISTROS[[#This Row],[Proyecto]],VOL_VOLUMEN_SUMINISTROS[[#This Row],[FIN DE SEMANA]])</f>
        <v>181052-1NO</v>
      </c>
      <c r="E1645" s="30" t="s">
        <v>147</v>
      </c>
      <c r="F1645" s="30" t="s">
        <v>148</v>
      </c>
      <c r="G1645" s="365">
        <v>18</v>
      </c>
      <c r="H1645" s="30">
        <v>5</v>
      </c>
      <c r="I1645" s="9" t="s">
        <v>764</v>
      </c>
      <c r="J1645" s="9" t="s">
        <v>1188</v>
      </c>
      <c r="K1645" s="30">
        <v>1</v>
      </c>
      <c r="L1645" s="9" t="s">
        <v>1189</v>
      </c>
      <c r="M1645" s="30" t="s">
        <v>84</v>
      </c>
      <c r="N1645" s="30" t="s">
        <v>152</v>
      </c>
      <c r="O1645" s="24">
        <v>109</v>
      </c>
      <c r="P1645" s="24">
        <v>159</v>
      </c>
      <c r="Q1645" s="24">
        <v>183</v>
      </c>
      <c r="R1645" s="24">
        <v>0</v>
      </c>
      <c r="S1645" s="24">
        <v>0</v>
      </c>
      <c r="T1645" s="24">
        <v>451</v>
      </c>
    </row>
    <row r="1646" spans="1:20">
      <c r="A1646" s="9" t="s">
        <v>1105</v>
      </c>
      <c r="B1646" s="30" t="s">
        <v>1165</v>
      </c>
      <c r="C1646" s="30" t="str">
        <f>CONCATENATE(VOL_VOLUMEN_SUMINISTROS[[#This Row],[Proyecto]],VOL_VOLUMEN_SUMINISTROS[[#This Row],[J]],VOL_VOLUMEN_SUMINISTROS[[#This Row],[FIN DE SEMANA]])</f>
        <v>1052-1TNO</v>
      </c>
      <c r="D1646" s="365" t="str">
        <f>CONCATENATE(VOL_VOLUMEN_SUMINISTROS[[#This Row],[Grupo]],VOL_VOLUMEN_SUMINISTROS[[#This Row],[Proyecto]],VOL_VOLUMEN_SUMINISTROS[[#This Row],[FIN DE SEMANA]])</f>
        <v>181052-1NO</v>
      </c>
      <c r="E1646" s="30" t="s">
        <v>147</v>
      </c>
      <c r="F1646" s="30" t="s">
        <v>148</v>
      </c>
      <c r="G1646" s="365">
        <v>18</v>
      </c>
      <c r="H1646" s="30">
        <v>5</v>
      </c>
      <c r="I1646" s="9" t="s">
        <v>764</v>
      </c>
      <c r="J1646" s="9" t="s">
        <v>1188</v>
      </c>
      <c r="K1646" s="30">
        <v>1</v>
      </c>
      <c r="L1646" s="9" t="s">
        <v>1189</v>
      </c>
      <c r="M1646" s="30" t="s">
        <v>84</v>
      </c>
      <c r="N1646" s="30" t="s">
        <v>155</v>
      </c>
      <c r="O1646" s="24">
        <v>87</v>
      </c>
      <c r="P1646" s="24">
        <v>176</v>
      </c>
      <c r="Q1646" s="24">
        <v>161</v>
      </c>
      <c r="R1646" s="24">
        <v>0</v>
      </c>
      <c r="S1646" s="24">
        <v>0</v>
      </c>
      <c r="T1646" s="24">
        <v>424</v>
      </c>
    </row>
    <row r="1647" spans="1:20">
      <c r="A1647" s="9" t="s">
        <v>1105</v>
      </c>
      <c r="B1647" s="30" t="s">
        <v>1165</v>
      </c>
      <c r="C1647" s="30" t="str">
        <f>CONCATENATE(VOL_VOLUMEN_SUMINISTROS[[#This Row],[Proyecto]],VOL_VOLUMEN_SUMINISTROS[[#This Row],[J]],VOL_VOLUMEN_SUMINISTROS[[#This Row],[FIN DE SEMANA]])</f>
        <v>1052-1MNO</v>
      </c>
      <c r="D1647" s="365" t="str">
        <f>CONCATENATE(VOL_VOLUMEN_SUMINISTROS[[#This Row],[Grupo]],VOL_VOLUMEN_SUMINISTROS[[#This Row],[Proyecto]],VOL_VOLUMEN_SUMINISTROS[[#This Row],[FIN DE SEMANA]])</f>
        <v>181052-1NO</v>
      </c>
      <c r="E1647" s="30" t="s">
        <v>147</v>
      </c>
      <c r="F1647" s="30" t="s">
        <v>148</v>
      </c>
      <c r="G1647" s="365">
        <v>18</v>
      </c>
      <c r="H1647" s="30">
        <v>5</v>
      </c>
      <c r="I1647" s="9" t="s">
        <v>764</v>
      </c>
      <c r="J1647" s="9" t="s">
        <v>1188</v>
      </c>
      <c r="K1647" s="30">
        <v>2</v>
      </c>
      <c r="L1647" s="9" t="s">
        <v>1190</v>
      </c>
      <c r="M1647" s="30" t="s">
        <v>84</v>
      </c>
      <c r="N1647" s="30" t="s">
        <v>152</v>
      </c>
      <c r="O1647" s="24">
        <v>44</v>
      </c>
      <c r="P1647" s="24">
        <v>37</v>
      </c>
      <c r="Q1647" s="24">
        <v>5</v>
      </c>
      <c r="R1647" s="24">
        <v>0</v>
      </c>
      <c r="S1647" s="24">
        <v>0</v>
      </c>
      <c r="T1647" s="24">
        <v>86</v>
      </c>
    </row>
    <row r="1648" spans="1:20">
      <c r="A1648" s="9" t="s">
        <v>1105</v>
      </c>
      <c r="B1648" s="30" t="s">
        <v>1165</v>
      </c>
      <c r="C1648" s="30" t="str">
        <f>CONCATENATE(VOL_VOLUMEN_SUMINISTROS[[#This Row],[Proyecto]],VOL_VOLUMEN_SUMINISTROS[[#This Row],[J]],VOL_VOLUMEN_SUMINISTROS[[#This Row],[FIN DE SEMANA]])</f>
        <v>1052-1MNO</v>
      </c>
      <c r="D1648" s="365" t="str">
        <f>CONCATENATE(VOL_VOLUMEN_SUMINISTROS[[#This Row],[Grupo]],VOL_VOLUMEN_SUMINISTROS[[#This Row],[Proyecto]],VOL_VOLUMEN_SUMINISTROS[[#This Row],[FIN DE SEMANA]])</f>
        <v>181052-1NO</v>
      </c>
      <c r="E1648" s="30" t="s">
        <v>147</v>
      </c>
      <c r="F1648" s="30" t="s">
        <v>148</v>
      </c>
      <c r="G1648" s="365">
        <v>18</v>
      </c>
      <c r="H1648" s="30">
        <v>5</v>
      </c>
      <c r="I1648" s="9" t="s">
        <v>764</v>
      </c>
      <c r="J1648" s="9" t="s">
        <v>1191</v>
      </c>
      <c r="K1648" s="30">
        <v>1</v>
      </c>
      <c r="L1648" s="9" t="s">
        <v>1192</v>
      </c>
      <c r="M1648" s="30" t="s">
        <v>84</v>
      </c>
      <c r="N1648" s="30" t="s">
        <v>152</v>
      </c>
      <c r="O1648" s="24">
        <v>66</v>
      </c>
      <c r="P1648" s="24">
        <v>249</v>
      </c>
      <c r="Q1648" s="24">
        <v>457</v>
      </c>
      <c r="R1648" s="24">
        <v>0</v>
      </c>
      <c r="S1648" s="24">
        <v>0</v>
      </c>
      <c r="T1648" s="24">
        <v>772</v>
      </c>
    </row>
    <row r="1649" spans="1:20">
      <c r="A1649" s="9" t="s">
        <v>1105</v>
      </c>
      <c r="B1649" s="30" t="s">
        <v>1165</v>
      </c>
      <c r="C1649" s="30" t="str">
        <f>CONCATENATE(VOL_VOLUMEN_SUMINISTROS[[#This Row],[Proyecto]],VOL_VOLUMEN_SUMINISTROS[[#This Row],[J]],VOL_VOLUMEN_SUMINISTROS[[#This Row],[FIN DE SEMANA]])</f>
        <v>1052-1TNO</v>
      </c>
      <c r="D1649" s="365" t="str">
        <f>CONCATENATE(VOL_VOLUMEN_SUMINISTROS[[#This Row],[Grupo]],VOL_VOLUMEN_SUMINISTROS[[#This Row],[Proyecto]],VOL_VOLUMEN_SUMINISTROS[[#This Row],[FIN DE SEMANA]])</f>
        <v>181052-1NO</v>
      </c>
      <c r="E1649" s="30" t="s">
        <v>147</v>
      </c>
      <c r="F1649" s="30" t="s">
        <v>148</v>
      </c>
      <c r="G1649" s="365">
        <v>18</v>
      </c>
      <c r="H1649" s="30">
        <v>5</v>
      </c>
      <c r="I1649" s="9" t="s">
        <v>764</v>
      </c>
      <c r="J1649" s="9" t="s">
        <v>1191</v>
      </c>
      <c r="K1649" s="30">
        <v>1</v>
      </c>
      <c r="L1649" s="9" t="s">
        <v>1192</v>
      </c>
      <c r="M1649" s="30" t="s">
        <v>84</v>
      </c>
      <c r="N1649" s="30" t="s">
        <v>155</v>
      </c>
      <c r="O1649" s="24">
        <v>0</v>
      </c>
      <c r="P1649" s="24">
        <v>249</v>
      </c>
      <c r="Q1649" s="24">
        <v>296</v>
      </c>
      <c r="R1649" s="24">
        <v>0</v>
      </c>
      <c r="S1649" s="24">
        <v>0</v>
      </c>
      <c r="T1649" s="24">
        <v>545</v>
      </c>
    </row>
    <row r="1650" spans="1:20">
      <c r="A1650" s="9" t="s">
        <v>1105</v>
      </c>
      <c r="B1650" s="30" t="s">
        <v>1165</v>
      </c>
      <c r="C1650" s="30" t="str">
        <f>CONCATENATE(VOL_VOLUMEN_SUMINISTROS[[#This Row],[Proyecto]],VOL_VOLUMEN_SUMINISTROS[[#This Row],[J]],VOL_VOLUMEN_SUMINISTROS[[#This Row],[FIN DE SEMANA]])</f>
        <v>1052-1MNO</v>
      </c>
      <c r="D1650" s="365" t="str">
        <f>CONCATENATE(VOL_VOLUMEN_SUMINISTROS[[#This Row],[Grupo]],VOL_VOLUMEN_SUMINISTROS[[#This Row],[Proyecto]],VOL_VOLUMEN_SUMINISTROS[[#This Row],[FIN DE SEMANA]])</f>
        <v>181052-1NO</v>
      </c>
      <c r="E1650" s="30" t="s">
        <v>147</v>
      </c>
      <c r="F1650" s="30" t="s">
        <v>148</v>
      </c>
      <c r="G1650" s="365">
        <v>18</v>
      </c>
      <c r="H1650" s="30">
        <v>5</v>
      </c>
      <c r="I1650" s="9" t="s">
        <v>764</v>
      </c>
      <c r="J1650" s="9" t="s">
        <v>1191</v>
      </c>
      <c r="K1650" s="30">
        <v>2</v>
      </c>
      <c r="L1650" s="9" t="s">
        <v>1193</v>
      </c>
      <c r="M1650" s="30" t="s">
        <v>84</v>
      </c>
      <c r="N1650" s="30" t="s">
        <v>152</v>
      </c>
      <c r="O1650" s="24">
        <v>238</v>
      </c>
      <c r="P1650" s="24">
        <v>209</v>
      </c>
      <c r="Q1650" s="24">
        <v>30</v>
      </c>
      <c r="R1650" s="24">
        <v>0</v>
      </c>
      <c r="S1650" s="24">
        <v>0</v>
      </c>
      <c r="T1650" s="24">
        <v>477</v>
      </c>
    </row>
    <row r="1651" spans="1:20">
      <c r="A1651" s="9" t="s">
        <v>1105</v>
      </c>
      <c r="B1651" s="30" t="s">
        <v>1165</v>
      </c>
      <c r="C1651" s="30" t="str">
        <f>CONCATENATE(VOL_VOLUMEN_SUMINISTROS[[#This Row],[Proyecto]],VOL_VOLUMEN_SUMINISTROS[[#This Row],[J]],VOL_VOLUMEN_SUMINISTROS[[#This Row],[FIN DE SEMANA]])</f>
        <v>1052-1TNO</v>
      </c>
      <c r="D1651" s="365" t="str">
        <f>CONCATENATE(VOL_VOLUMEN_SUMINISTROS[[#This Row],[Grupo]],VOL_VOLUMEN_SUMINISTROS[[#This Row],[Proyecto]],VOL_VOLUMEN_SUMINISTROS[[#This Row],[FIN DE SEMANA]])</f>
        <v>181052-1NO</v>
      </c>
      <c r="E1651" s="30" t="s">
        <v>147</v>
      </c>
      <c r="F1651" s="30" t="s">
        <v>148</v>
      </c>
      <c r="G1651" s="365">
        <v>18</v>
      </c>
      <c r="H1651" s="30">
        <v>5</v>
      </c>
      <c r="I1651" s="9" t="s">
        <v>764</v>
      </c>
      <c r="J1651" s="9" t="s">
        <v>1191</v>
      </c>
      <c r="K1651" s="30">
        <v>2</v>
      </c>
      <c r="L1651" s="9" t="s">
        <v>1193</v>
      </c>
      <c r="M1651" s="30" t="s">
        <v>84</v>
      </c>
      <c r="N1651" s="30" t="s">
        <v>155</v>
      </c>
      <c r="O1651" s="24">
        <v>234</v>
      </c>
      <c r="P1651" s="24">
        <v>201</v>
      </c>
      <c r="Q1651" s="24">
        <v>28</v>
      </c>
      <c r="R1651" s="24">
        <v>0</v>
      </c>
      <c r="S1651" s="24">
        <v>0</v>
      </c>
      <c r="T1651" s="24">
        <v>463</v>
      </c>
    </row>
    <row r="1652" spans="1:20">
      <c r="A1652" s="9" t="s">
        <v>1105</v>
      </c>
      <c r="B1652" s="30" t="s">
        <v>1165</v>
      </c>
      <c r="C1652" s="30" t="str">
        <f>CONCATENATE(VOL_VOLUMEN_SUMINISTROS[[#This Row],[Proyecto]],VOL_VOLUMEN_SUMINISTROS[[#This Row],[J]],VOL_VOLUMEN_SUMINISTROS[[#This Row],[FIN DE SEMANA]])</f>
        <v>1052-1MNO</v>
      </c>
      <c r="D1652" s="365" t="str">
        <f>CONCATENATE(VOL_VOLUMEN_SUMINISTROS[[#This Row],[Grupo]],VOL_VOLUMEN_SUMINISTROS[[#This Row],[Proyecto]],VOL_VOLUMEN_SUMINISTROS[[#This Row],[FIN DE SEMANA]])</f>
        <v>181052-1NO</v>
      </c>
      <c r="E1652" s="30" t="s">
        <v>147</v>
      </c>
      <c r="F1652" s="30" t="s">
        <v>148</v>
      </c>
      <c r="G1652" s="365">
        <v>18</v>
      </c>
      <c r="H1652" s="30">
        <v>5</v>
      </c>
      <c r="I1652" s="9" t="s">
        <v>764</v>
      </c>
      <c r="J1652" s="9" t="s">
        <v>1191</v>
      </c>
      <c r="K1652" s="30">
        <v>3</v>
      </c>
      <c r="L1652" s="9" t="s">
        <v>1194</v>
      </c>
      <c r="M1652" s="30" t="s">
        <v>84</v>
      </c>
      <c r="N1652" s="30" t="s">
        <v>152</v>
      </c>
      <c r="O1652" s="24">
        <v>120</v>
      </c>
      <c r="P1652" s="24">
        <v>0</v>
      </c>
      <c r="Q1652" s="24">
        <v>0</v>
      </c>
      <c r="R1652" s="24">
        <v>0</v>
      </c>
      <c r="S1652" s="24">
        <v>0</v>
      </c>
      <c r="T1652" s="24">
        <v>120</v>
      </c>
    </row>
    <row r="1653" spans="1:20">
      <c r="A1653" s="9" t="s">
        <v>1105</v>
      </c>
      <c r="B1653" s="30" t="s">
        <v>1165</v>
      </c>
      <c r="C1653" s="30" t="str">
        <f>CONCATENATE(VOL_VOLUMEN_SUMINISTROS[[#This Row],[Proyecto]],VOL_VOLUMEN_SUMINISTROS[[#This Row],[J]],VOL_VOLUMEN_SUMINISTROS[[#This Row],[FIN DE SEMANA]])</f>
        <v>1052-1TNO</v>
      </c>
      <c r="D1653" s="365" t="str">
        <f>CONCATENATE(VOL_VOLUMEN_SUMINISTROS[[#This Row],[Grupo]],VOL_VOLUMEN_SUMINISTROS[[#This Row],[Proyecto]],VOL_VOLUMEN_SUMINISTROS[[#This Row],[FIN DE SEMANA]])</f>
        <v>181052-1NO</v>
      </c>
      <c r="E1653" s="30" t="s">
        <v>147</v>
      </c>
      <c r="F1653" s="30" t="s">
        <v>148</v>
      </c>
      <c r="G1653" s="365">
        <v>18</v>
      </c>
      <c r="H1653" s="30">
        <v>5</v>
      </c>
      <c r="I1653" s="9" t="s">
        <v>764</v>
      </c>
      <c r="J1653" s="9" t="s">
        <v>1191</v>
      </c>
      <c r="K1653" s="30">
        <v>3</v>
      </c>
      <c r="L1653" s="9" t="s">
        <v>1195</v>
      </c>
      <c r="M1653" s="30" t="s">
        <v>84</v>
      </c>
      <c r="N1653" s="30" t="s">
        <v>155</v>
      </c>
      <c r="O1653" s="24">
        <v>115</v>
      </c>
      <c r="P1653" s="24">
        <v>0</v>
      </c>
      <c r="Q1653" s="24">
        <v>0</v>
      </c>
      <c r="R1653" s="24">
        <v>0</v>
      </c>
      <c r="S1653" s="24">
        <v>0</v>
      </c>
      <c r="T1653" s="24">
        <v>115</v>
      </c>
    </row>
    <row r="1654" spans="1:20">
      <c r="A1654" s="9" t="s">
        <v>1105</v>
      </c>
      <c r="B1654" s="30" t="s">
        <v>1165</v>
      </c>
      <c r="C1654" s="30" t="str">
        <f>CONCATENATE(VOL_VOLUMEN_SUMINISTROS[[#This Row],[Proyecto]],VOL_VOLUMEN_SUMINISTROS[[#This Row],[J]],VOL_VOLUMEN_SUMINISTROS[[#This Row],[FIN DE SEMANA]])</f>
        <v>1052-1MNO</v>
      </c>
      <c r="D1654" s="365" t="str">
        <f>CONCATENATE(VOL_VOLUMEN_SUMINISTROS[[#This Row],[Grupo]],VOL_VOLUMEN_SUMINISTROS[[#This Row],[Proyecto]],VOL_VOLUMEN_SUMINISTROS[[#This Row],[FIN DE SEMANA]])</f>
        <v>181052-1NO</v>
      </c>
      <c r="E1654" s="30" t="s">
        <v>147</v>
      </c>
      <c r="F1654" s="30" t="s">
        <v>148</v>
      </c>
      <c r="G1654" s="365">
        <v>18</v>
      </c>
      <c r="H1654" s="30">
        <v>5</v>
      </c>
      <c r="I1654" s="9" t="s">
        <v>764</v>
      </c>
      <c r="J1654" s="9" t="s">
        <v>1196</v>
      </c>
      <c r="K1654" s="30">
        <v>1</v>
      </c>
      <c r="L1654" s="9" t="s">
        <v>1197</v>
      </c>
      <c r="M1654" s="30" t="s">
        <v>84</v>
      </c>
      <c r="N1654" s="30" t="s">
        <v>152</v>
      </c>
      <c r="O1654" s="24">
        <v>156</v>
      </c>
      <c r="P1654" s="24">
        <v>268</v>
      </c>
      <c r="Q1654" s="24">
        <v>281</v>
      </c>
      <c r="R1654" s="24">
        <v>0</v>
      </c>
      <c r="S1654" s="24">
        <v>0</v>
      </c>
      <c r="T1654" s="24">
        <v>705</v>
      </c>
    </row>
    <row r="1655" spans="1:20">
      <c r="A1655" s="9" t="s">
        <v>1105</v>
      </c>
      <c r="B1655" s="30" t="s">
        <v>1165</v>
      </c>
      <c r="C1655" s="30" t="str">
        <f>CONCATENATE(VOL_VOLUMEN_SUMINISTROS[[#This Row],[Proyecto]],VOL_VOLUMEN_SUMINISTROS[[#This Row],[J]],VOL_VOLUMEN_SUMINISTROS[[#This Row],[FIN DE SEMANA]])</f>
        <v>1052-1TNO</v>
      </c>
      <c r="D1655" s="365" t="str">
        <f>CONCATENATE(VOL_VOLUMEN_SUMINISTROS[[#This Row],[Grupo]],VOL_VOLUMEN_SUMINISTROS[[#This Row],[Proyecto]],VOL_VOLUMEN_SUMINISTROS[[#This Row],[FIN DE SEMANA]])</f>
        <v>181052-1NO</v>
      </c>
      <c r="E1655" s="30" t="s">
        <v>147</v>
      </c>
      <c r="F1655" s="30" t="s">
        <v>148</v>
      </c>
      <c r="G1655" s="365">
        <v>18</v>
      </c>
      <c r="H1655" s="30">
        <v>5</v>
      </c>
      <c r="I1655" s="9" t="s">
        <v>764</v>
      </c>
      <c r="J1655" s="9" t="s">
        <v>1196</v>
      </c>
      <c r="K1655" s="30">
        <v>1</v>
      </c>
      <c r="L1655" s="9" t="s">
        <v>1197</v>
      </c>
      <c r="M1655" s="30" t="s">
        <v>84</v>
      </c>
      <c r="N1655" s="30" t="s">
        <v>155</v>
      </c>
      <c r="O1655" s="24">
        <v>154</v>
      </c>
      <c r="P1655" s="24">
        <v>189</v>
      </c>
      <c r="Q1655" s="24">
        <v>198</v>
      </c>
      <c r="R1655" s="24">
        <v>0</v>
      </c>
      <c r="S1655" s="24">
        <v>0</v>
      </c>
      <c r="T1655" s="24">
        <v>541</v>
      </c>
    </row>
    <row r="1656" spans="1:20">
      <c r="A1656" s="9" t="s">
        <v>1105</v>
      </c>
      <c r="B1656" s="30" t="s">
        <v>1165</v>
      </c>
      <c r="C1656" s="30" t="str">
        <f>CONCATENATE(VOL_VOLUMEN_SUMINISTROS[[#This Row],[Proyecto]],VOL_VOLUMEN_SUMINISTROS[[#This Row],[J]],VOL_VOLUMEN_SUMINISTROS[[#This Row],[FIN DE SEMANA]])</f>
        <v>1052-1MNO</v>
      </c>
      <c r="D1656" s="365" t="str">
        <f>CONCATENATE(VOL_VOLUMEN_SUMINISTROS[[#This Row],[Grupo]],VOL_VOLUMEN_SUMINISTROS[[#This Row],[Proyecto]],VOL_VOLUMEN_SUMINISTROS[[#This Row],[FIN DE SEMANA]])</f>
        <v>181052-1NO</v>
      </c>
      <c r="E1656" s="30" t="s">
        <v>147</v>
      </c>
      <c r="F1656" s="30" t="s">
        <v>148</v>
      </c>
      <c r="G1656" s="365">
        <v>18</v>
      </c>
      <c r="H1656" s="30">
        <v>5</v>
      </c>
      <c r="I1656" s="9" t="s">
        <v>764</v>
      </c>
      <c r="J1656" s="9" t="s">
        <v>1196</v>
      </c>
      <c r="K1656" s="30">
        <v>2</v>
      </c>
      <c r="L1656" s="9" t="s">
        <v>1198</v>
      </c>
      <c r="M1656" s="30" t="s">
        <v>84</v>
      </c>
      <c r="N1656" s="30" t="s">
        <v>152</v>
      </c>
      <c r="O1656" s="24">
        <v>61</v>
      </c>
      <c r="P1656" s="24">
        <v>33</v>
      </c>
      <c r="Q1656" s="24">
        <v>5</v>
      </c>
      <c r="R1656" s="24">
        <v>0</v>
      </c>
      <c r="S1656" s="24">
        <v>0</v>
      </c>
      <c r="T1656" s="24">
        <v>99</v>
      </c>
    </row>
    <row r="1657" spans="1:20">
      <c r="A1657" s="9" t="s">
        <v>1105</v>
      </c>
      <c r="B1657" s="30" t="s">
        <v>1165</v>
      </c>
      <c r="C1657" s="30" t="str">
        <f>CONCATENATE(VOL_VOLUMEN_SUMINISTROS[[#This Row],[Proyecto]],VOL_VOLUMEN_SUMINISTROS[[#This Row],[J]],VOL_VOLUMEN_SUMINISTROS[[#This Row],[FIN DE SEMANA]])</f>
        <v>1052-1TNO</v>
      </c>
      <c r="D1657" s="365" t="str">
        <f>CONCATENATE(VOL_VOLUMEN_SUMINISTROS[[#This Row],[Grupo]],VOL_VOLUMEN_SUMINISTROS[[#This Row],[Proyecto]],VOL_VOLUMEN_SUMINISTROS[[#This Row],[FIN DE SEMANA]])</f>
        <v>181052-1NO</v>
      </c>
      <c r="E1657" s="30" t="s">
        <v>147</v>
      </c>
      <c r="F1657" s="30" t="s">
        <v>148</v>
      </c>
      <c r="G1657" s="365">
        <v>18</v>
      </c>
      <c r="H1657" s="30">
        <v>5</v>
      </c>
      <c r="I1657" s="9" t="s">
        <v>764</v>
      </c>
      <c r="J1657" s="9" t="s">
        <v>1196</v>
      </c>
      <c r="K1657" s="30">
        <v>2</v>
      </c>
      <c r="L1657" s="9" t="s">
        <v>1198</v>
      </c>
      <c r="M1657" s="30" t="s">
        <v>84</v>
      </c>
      <c r="N1657" s="30" t="s">
        <v>155</v>
      </c>
      <c r="O1657" s="24">
        <v>55</v>
      </c>
      <c r="P1657" s="24">
        <v>27</v>
      </c>
      <c r="Q1657" s="24">
        <v>9</v>
      </c>
      <c r="R1657" s="24">
        <v>0</v>
      </c>
      <c r="S1657" s="24">
        <v>0</v>
      </c>
      <c r="T1657" s="24">
        <v>91</v>
      </c>
    </row>
    <row r="1658" spans="1:20">
      <c r="A1658" s="9" t="s">
        <v>1105</v>
      </c>
      <c r="B1658" s="30" t="s">
        <v>1165</v>
      </c>
      <c r="C1658" s="30" t="str">
        <f>CONCATENATE(VOL_VOLUMEN_SUMINISTROS[[#This Row],[Proyecto]],VOL_VOLUMEN_SUMINISTROS[[#This Row],[J]],VOL_VOLUMEN_SUMINISTROS[[#This Row],[FIN DE SEMANA]])</f>
        <v>1052-1MNO</v>
      </c>
      <c r="D1658" s="365" t="str">
        <f>CONCATENATE(VOL_VOLUMEN_SUMINISTROS[[#This Row],[Grupo]],VOL_VOLUMEN_SUMINISTROS[[#This Row],[Proyecto]],VOL_VOLUMEN_SUMINISTROS[[#This Row],[FIN DE SEMANA]])</f>
        <v>181052-1NO</v>
      </c>
      <c r="E1658" s="30" t="s">
        <v>147</v>
      </c>
      <c r="F1658" s="30" t="s">
        <v>148</v>
      </c>
      <c r="G1658" s="365">
        <v>18</v>
      </c>
      <c r="H1658" s="30">
        <v>5</v>
      </c>
      <c r="I1658" s="9" t="s">
        <v>764</v>
      </c>
      <c r="J1658" s="9" t="s">
        <v>1199</v>
      </c>
      <c r="K1658" s="30">
        <v>1</v>
      </c>
      <c r="L1658" s="9" t="s">
        <v>1200</v>
      </c>
      <c r="M1658" s="30" t="s">
        <v>84</v>
      </c>
      <c r="N1658" s="30" t="s">
        <v>152</v>
      </c>
      <c r="O1658" s="24">
        <v>153</v>
      </c>
      <c r="P1658" s="24">
        <v>173</v>
      </c>
      <c r="Q1658" s="24">
        <v>122</v>
      </c>
      <c r="R1658" s="24">
        <v>0</v>
      </c>
      <c r="S1658" s="24">
        <v>0</v>
      </c>
      <c r="T1658" s="24">
        <v>448</v>
      </c>
    </row>
    <row r="1659" spans="1:20">
      <c r="A1659" s="9" t="s">
        <v>1105</v>
      </c>
      <c r="B1659" s="30" t="s">
        <v>1165</v>
      </c>
      <c r="C1659" s="30" t="str">
        <f>CONCATENATE(VOL_VOLUMEN_SUMINISTROS[[#This Row],[Proyecto]],VOL_VOLUMEN_SUMINISTROS[[#This Row],[J]],VOL_VOLUMEN_SUMINISTROS[[#This Row],[FIN DE SEMANA]])</f>
        <v>1052-1TNO</v>
      </c>
      <c r="D1659" s="365" t="str">
        <f>CONCATENATE(VOL_VOLUMEN_SUMINISTROS[[#This Row],[Grupo]],VOL_VOLUMEN_SUMINISTROS[[#This Row],[Proyecto]],VOL_VOLUMEN_SUMINISTROS[[#This Row],[FIN DE SEMANA]])</f>
        <v>181052-1NO</v>
      </c>
      <c r="E1659" s="30" t="s">
        <v>147</v>
      </c>
      <c r="F1659" s="30" t="s">
        <v>148</v>
      </c>
      <c r="G1659" s="365">
        <v>18</v>
      </c>
      <c r="H1659" s="30">
        <v>5</v>
      </c>
      <c r="I1659" s="9" t="s">
        <v>764</v>
      </c>
      <c r="J1659" s="9" t="s">
        <v>1199</v>
      </c>
      <c r="K1659" s="30">
        <v>1</v>
      </c>
      <c r="L1659" s="9" t="s">
        <v>1200</v>
      </c>
      <c r="M1659" s="30" t="s">
        <v>84</v>
      </c>
      <c r="N1659" s="30" t="s">
        <v>155</v>
      </c>
      <c r="O1659" s="24">
        <v>127</v>
      </c>
      <c r="P1659" s="24">
        <v>172</v>
      </c>
      <c r="Q1659" s="24">
        <v>106</v>
      </c>
      <c r="R1659" s="24">
        <v>0</v>
      </c>
      <c r="S1659" s="24">
        <v>0</v>
      </c>
      <c r="T1659" s="24">
        <v>405</v>
      </c>
    </row>
    <row r="1660" spans="1:20">
      <c r="A1660" s="9" t="s">
        <v>1105</v>
      </c>
      <c r="B1660" s="30" t="s">
        <v>1165</v>
      </c>
      <c r="C1660" s="30" t="str">
        <f>CONCATENATE(VOL_VOLUMEN_SUMINISTROS[[#This Row],[Proyecto]],VOL_VOLUMEN_SUMINISTROS[[#This Row],[J]],VOL_VOLUMEN_SUMINISTROS[[#This Row],[FIN DE SEMANA]])</f>
        <v>1052-1MNO</v>
      </c>
      <c r="D1660" s="365" t="str">
        <f>CONCATENATE(VOL_VOLUMEN_SUMINISTROS[[#This Row],[Grupo]],VOL_VOLUMEN_SUMINISTROS[[#This Row],[Proyecto]],VOL_VOLUMEN_SUMINISTROS[[#This Row],[FIN DE SEMANA]])</f>
        <v>181052-1NO</v>
      </c>
      <c r="E1660" s="30" t="s">
        <v>147</v>
      </c>
      <c r="F1660" s="30" t="s">
        <v>148</v>
      </c>
      <c r="G1660" s="365">
        <v>18</v>
      </c>
      <c r="H1660" s="30">
        <v>5</v>
      </c>
      <c r="I1660" s="9" t="s">
        <v>764</v>
      </c>
      <c r="J1660" s="9" t="s">
        <v>1201</v>
      </c>
      <c r="K1660" s="30">
        <v>1</v>
      </c>
      <c r="L1660" s="9" t="s">
        <v>1202</v>
      </c>
      <c r="M1660" s="30" t="s">
        <v>84</v>
      </c>
      <c r="N1660" s="30" t="s">
        <v>152</v>
      </c>
      <c r="O1660" s="24">
        <v>103</v>
      </c>
      <c r="P1660" s="24">
        <v>156</v>
      </c>
      <c r="Q1660" s="24">
        <v>168</v>
      </c>
      <c r="R1660" s="24">
        <v>0</v>
      </c>
      <c r="S1660" s="24">
        <v>0</v>
      </c>
      <c r="T1660" s="24">
        <v>427</v>
      </c>
    </row>
    <row r="1661" spans="1:20">
      <c r="A1661" s="9" t="s">
        <v>1105</v>
      </c>
      <c r="B1661" s="30" t="s">
        <v>1165</v>
      </c>
      <c r="C1661" s="30" t="str">
        <f>CONCATENATE(VOL_VOLUMEN_SUMINISTROS[[#This Row],[Proyecto]],VOL_VOLUMEN_SUMINISTROS[[#This Row],[J]],VOL_VOLUMEN_SUMINISTROS[[#This Row],[FIN DE SEMANA]])</f>
        <v>1052-1TNO</v>
      </c>
      <c r="D1661" s="365" t="str">
        <f>CONCATENATE(VOL_VOLUMEN_SUMINISTROS[[#This Row],[Grupo]],VOL_VOLUMEN_SUMINISTROS[[#This Row],[Proyecto]],VOL_VOLUMEN_SUMINISTROS[[#This Row],[FIN DE SEMANA]])</f>
        <v>181052-1NO</v>
      </c>
      <c r="E1661" s="30" t="s">
        <v>147</v>
      </c>
      <c r="F1661" s="30" t="s">
        <v>148</v>
      </c>
      <c r="G1661" s="365">
        <v>18</v>
      </c>
      <c r="H1661" s="30">
        <v>5</v>
      </c>
      <c r="I1661" s="9" t="s">
        <v>764</v>
      </c>
      <c r="J1661" s="9" t="s">
        <v>1201</v>
      </c>
      <c r="K1661" s="30">
        <v>1</v>
      </c>
      <c r="L1661" s="9" t="s">
        <v>1202</v>
      </c>
      <c r="M1661" s="30" t="s">
        <v>84</v>
      </c>
      <c r="N1661" s="30" t="s">
        <v>155</v>
      </c>
      <c r="O1661" s="24">
        <v>91</v>
      </c>
      <c r="P1661" s="24">
        <v>162</v>
      </c>
      <c r="Q1661" s="24">
        <v>139</v>
      </c>
      <c r="R1661" s="24">
        <v>0</v>
      </c>
      <c r="S1661" s="24">
        <v>0</v>
      </c>
      <c r="T1661" s="24">
        <v>392</v>
      </c>
    </row>
    <row r="1662" spans="1:20">
      <c r="A1662" s="9" t="s">
        <v>1105</v>
      </c>
      <c r="B1662" s="30" t="s">
        <v>1165</v>
      </c>
      <c r="C1662" s="30" t="str">
        <f>CONCATENATE(VOL_VOLUMEN_SUMINISTROS[[#This Row],[Proyecto]],VOL_VOLUMEN_SUMINISTROS[[#This Row],[J]],VOL_VOLUMEN_SUMINISTROS[[#This Row],[FIN DE SEMANA]])</f>
        <v>1052-1MNO</v>
      </c>
      <c r="D1662" s="365" t="str">
        <f>CONCATENATE(VOL_VOLUMEN_SUMINISTROS[[#This Row],[Grupo]],VOL_VOLUMEN_SUMINISTROS[[#This Row],[Proyecto]],VOL_VOLUMEN_SUMINISTROS[[#This Row],[FIN DE SEMANA]])</f>
        <v>181052-1NO</v>
      </c>
      <c r="E1662" s="30" t="s">
        <v>147</v>
      </c>
      <c r="F1662" s="30" t="s">
        <v>148</v>
      </c>
      <c r="G1662" s="365">
        <v>18</v>
      </c>
      <c r="H1662" s="30">
        <v>5</v>
      </c>
      <c r="I1662" s="9" t="s">
        <v>764</v>
      </c>
      <c r="J1662" s="9" t="s">
        <v>1203</v>
      </c>
      <c r="K1662" s="30">
        <v>1</v>
      </c>
      <c r="L1662" s="9" t="s">
        <v>1204</v>
      </c>
      <c r="M1662" s="30" t="s">
        <v>84</v>
      </c>
      <c r="N1662" s="30" t="s">
        <v>152</v>
      </c>
      <c r="O1662" s="24">
        <v>210</v>
      </c>
      <c r="P1662" s="24">
        <v>344</v>
      </c>
      <c r="Q1662" s="24">
        <v>432</v>
      </c>
      <c r="R1662" s="24">
        <v>0</v>
      </c>
      <c r="S1662" s="24">
        <v>0</v>
      </c>
      <c r="T1662" s="24">
        <v>986</v>
      </c>
    </row>
    <row r="1663" spans="1:20">
      <c r="A1663" s="9" t="s">
        <v>1105</v>
      </c>
      <c r="B1663" s="30" t="s">
        <v>1165</v>
      </c>
      <c r="C1663" s="30" t="str">
        <f>CONCATENATE(VOL_VOLUMEN_SUMINISTROS[[#This Row],[Proyecto]],VOL_VOLUMEN_SUMINISTROS[[#This Row],[J]],VOL_VOLUMEN_SUMINISTROS[[#This Row],[FIN DE SEMANA]])</f>
        <v>1052-1TNO</v>
      </c>
      <c r="D1663" s="365" t="str">
        <f>CONCATENATE(VOL_VOLUMEN_SUMINISTROS[[#This Row],[Grupo]],VOL_VOLUMEN_SUMINISTROS[[#This Row],[Proyecto]],VOL_VOLUMEN_SUMINISTROS[[#This Row],[FIN DE SEMANA]])</f>
        <v>181052-1NO</v>
      </c>
      <c r="E1663" s="30" t="s">
        <v>147</v>
      </c>
      <c r="F1663" s="30" t="s">
        <v>148</v>
      </c>
      <c r="G1663" s="365">
        <v>18</v>
      </c>
      <c r="H1663" s="30">
        <v>5</v>
      </c>
      <c r="I1663" s="9" t="s">
        <v>764</v>
      </c>
      <c r="J1663" s="9" t="s">
        <v>1203</v>
      </c>
      <c r="K1663" s="30">
        <v>1</v>
      </c>
      <c r="L1663" s="9" t="s">
        <v>1204</v>
      </c>
      <c r="M1663" s="30" t="s">
        <v>84</v>
      </c>
      <c r="N1663" s="30" t="s">
        <v>155</v>
      </c>
      <c r="O1663" s="24">
        <v>216</v>
      </c>
      <c r="P1663" s="24">
        <v>346</v>
      </c>
      <c r="Q1663" s="24">
        <v>290</v>
      </c>
      <c r="R1663" s="24">
        <v>0</v>
      </c>
      <c r="S1663" s="24">
        <v>0</v>
      </c>
      <c r="T1663" s="24">
        <v>852</v>
      </c>
    </row>
    <row r="1664" spans="1:20">
      <c r="A1664" s="9" t="s">
        <v>1105</v>
      </c>
      <c r="B1664" s="30" t="s">
        <v>1165</v>
      </c>
      <c r="C1664" s="30" t="str">
        <f>CONCATENATE(VOL_VOLUMEN_SUMINISTROS[[#This Row],[Proyecto]],VOL_VOLUMEN_SUMINISTROS[[#This Row],[J]],VOL_VOLUMEN_SUMINISTROS[[#This Row],[FIN DE SEMANA]])</f>
        <v>1052-1MNO</v>
      </c>
      <c r="D1664" s="365" t="str">
        <f>CONCATENATE(VOL_VOLUMEN_SUMINISTROS[[#This Row],[Grupo]],VOL_VOLUMEN_SUMINISTROS[[#This Row],[Proyecto]],VOL_VOLUMEN_SUMINISTROS[[#This Row],[FIN DE SEMANA]])</f>
        <v>181052-1NO</v>
      </c>
      <c r="E1664" s="30" t="s">
        <v>147</v>
      </c>
      <c r="F1664" s="30" t="s">
        <v>148</v>
      </c>
      <c r="G1664" s="365">
        <v>18</v>
      </c>
      <c r="H1664" s="30">
        <v>5</v>
      </c>
      <c r="I1664" s="9" t="s">
        <v>764</v>
      </c>
      <c r="J1664" s="9" t="s">
        <v>1203</v>
      </c>
      <c r="K1664" s="30">
        <v>2</v>
      </c>
      <c r="L1664" s="9" t="s">
        <v>1205</v>
      </c>
      <c r="M1664" s="30" t="s">
        <v>84</v>
      </c>
      <c r="N1664" s="30" t="s">
        <v>152</v>
      </c>
      <c r="O1664" s="24">
        <v>146</v>
      </c>
      <c r="P1664" s="24">
        <v>129</v>
      </c>
      <c r="Q1664" s="24">
        <v>27</v>
      </c>
      <c r="R1664" s="24">
        <v>0</v>
      </c>
      <c r="S1664" s="24">
        <v>0</v>
      </c>
      <c r="T1664" s="24">
        <v>302</v>
      </c>
    </row>
    <row r="1665" spans="1:20">
      <c r="A1665" s="9" t="s">
        <v>1105</v>
      </c>
      <c r="B1665" s="30" t="s">
        <v>1165</v>
      </c>
      <c r="C1665" s="30" t="str">
        <f>CONCATENATE(VOL_VOLUMEN_SUMINISTROS[[#This Row],[Proyecto]],VOL_VOLUMEN_SUMINISTROS[[#This Row],[J]],VOL_VOLUMEN_SUMINISTROS[[#This Row],[FIN DE SEMANA]])</f>
        <v>1052-1TNO</v>
      </c>
      <c r="D1665" s="365" t="str">
        <f>CONCATENATE(VOL_VOLUMEN_SUMINISTROS[[#This Row],[Grupo]],VOL_VOLUMEN_SUMINISTROS[[#This Row],[Proyecto]],VOL_VOLUMEN_SUMINISTROS[[#This Row],[FIN DE SEMANA]])</f>
        <v>181052-1NO</v>
      </c>
      <c r="E1665" s="30" t="s">
        <v>147</v>
      </c>
      <c r="F1665" s="30" t="s">
        <v>148</v>
      </c>
      <c r="G1665" s="365">
        <v>18</v>
      </c>
      <c r="H1665" s="30">
        <v>5</v>
      </c>
      <c r="I1665" s="9" t="s">
        <v>764</v>
      </c>
      <c r="J1665" s="9" t="s">
        <v>1203</v>
      </c>
      <c r="K1665" s="30">
        <v>2</v>
      </c>
      <c r="L1665" s="9" t="s">
        <v>1205</v>
      </c>
      <c r="M1665" s="30" t="s">
        <v>84</v>
      </c>
      <c r="N1665" s="30" t="s">
        <v>155</v>
      </c>
      <c r="O1665" s="24">
        <v>147</v>
      </c>
      <c r="P1665" s="24">
        <v>123</v>
      </c>
      <c r="Q1665" s="24">
        <v>25</v>
      </c>
      <c r="R1665" s="24">
        <v>0</v>
      </c>
      <c r="S1665" s="24">
        <v>0</v>
      </c>
      <c r="T1665" s="24">
        <v>295</v>
      </c>
    </row>
    <row r="1666" spans="1:20">
      <c r="A1666" s="9" t="s">
        <v>1105</v>
      </c>
      <c r="B1666" s="30" t="s">
        <v>1165</v>
      </c>
      <c r="C1666" s="30" t="str">
        <f>CONCATENATE(VOL_VOLUMEN_SUMINISTROS[[#This Row],[Proyecto]],VOL_VOLUMEN_SUMINISTROS[[#This Row],[J]],VOL_VOLUMEN_SUMINISTROS[[#This Row],[FIN DE SEMANA]])</f>
        <v>1052-1MNO</v>
      </c>
      <c r="D1666" s="365" t="str">
        <f>CONCATENATE(VOL_VOLUMEN_SUMINISTROS[[#This Row],[Grupo]],VOL_VOLUMEN_SUMINISTROS[[#This Row],[Proyecto]],VOL_VOLUMEN_SUMINISTROS[[#This Row],[FIN DE SEMANA]])</f>
        <v>181052-1NO</v>
      </c>
      <c r="E1666" s="30" t="s">
        <v>147</v>
      </c>
      <c r="F1666" s="30" t="s">
        <v>148</v>
      </c>
      <c r="G1666" s="365">
        <v>18</v>
      </c>
      <c r="H1666" s="30">
        <v>5</v>
      </c>
      <c r="I1666" s="9" t="s">
        <v>764</v>
      </c>
      <c r="J1666" s="9" t="s">
        <v>1203</v>
      </c>
      <c r="K1666" s="30">
        <v>3</v>
      </c>
      <c r="L1666" s="9" t="s">
        <v>1206</v>
      </c>
      <c r="M1666" s="30" t="s">
        <v>84</v>
      </c>
      <c r="N1666" s="30" t="s">
        <v>152</v>
      </c>
      <c r="O1666" s="24">
        <v>120</v>
      </c>
      <c r="P1666" s="24">
        <v>73</v>
      </c>
      <c r="Q1666" s="24">
        <v>12</v>
      </c>
      <c r="R1666" s="24">
        <v>0</v>
      </c>
      <c r="S1666" s="24">
        <v>0</v>
      </c>
      <c r="T1666" s="24">
        <v>205</v>
      </c>
    </row>
    <row r="1667" spans="1:20">
      <c r="A1667" s="9" t="s">
        <v>1105</v>
      </c>
      <c r="B1667" s="30" t="s">
        <v>1165</v>
      </c>
      <c r="C1667" s="30" t="str">
        <f>CONCATENATE(VOL_VOLUMEN_SUMINISTROS[[#This Row],[Proyecto]],VOL_VOLUMEN_SUMINISTROS[[#This Row],[J]],VOL_VOLUMEN_SUMINISTROS[[#This Row],[FIN DE SEMANA]])</f>
        <v>1052-1TNO</v>
      </c>
      <c r="D1667" s="365" t="str">
        <f>CONCATENATE(VOL_VOLUMEN_SUMINISTROS[[#This Row],[Grupo]],VOL_VOLUMEN_SUMINISTROS[[#This Row],[Proyecto]],VOL_VOLUMEN_SUMINISTROS[[#This Row],[FIN DE SEMANA]])</f>
        <v>181052-1NO</v>
      </c>
      <c r="E1667" s="30" t="s">
        <v>147</v>
      </c>
      <c r="F1667" s="30" t="s">
        <v>148</v>
      </c>
      <c r="G1667" s="365">
        <v>18</v>
      </c>
      <c r="H1667" s="30">
        <v>5</v>
      </c>
      <c r="I1667" s="9" t="s">
        <v>764</v>
      </c>
      <c r="J1667" s="9" t="s">
        <v>1203</v>
      </c>
      <c r="K1667" s="30">
        <v>3</v>
      </c>
      <c r="L1667" s="9" t="s">
        <v>1206</v>
      </c>
      <c r="M1667" s="30" t="s">
        <v>84</v>
      </c>
      <c r="N1667" s="30" t="s">
        <v>155</v>
      </c>
      <c r="O1667" s="24">
        <v>119</v>
      </c>
      <c r="P1667" s="24">
        <v>66</v>
      </c>
      <c r="Q1667" s="24">
        <v>10</v>
      </c>
      <c r="R1667" s="24">
        <v>0</v>
      </c>
      <c r="S1667" s="24">
        <v>0</v>
      </c>
      <c r="T1667" s="24">
        <v>195</v>
      </c>
    </row>
    <row r="1668" spans="1:20">
      <c r="A1668" s="9" t="s">
        <v>1105</v>
      </c>
      <c r="B1668" s="30" t="s">
        <v>1207</v>
      </c>
      <c r="C1668" s="30" t="str">
        <f>CONCATENATE(VOL_VOLUMEN_SUMINISTROS[[#This Row],[Proyecto]],VOL_VOLUMEN_SUMINISTROS[[#This Row],[J]],VOL_VOLUMEN_SUMINISTROS[[#This Row],[FIN DE SEMANA]])</f>
        <v>1052-2M1NO</v>
      </c>
      <c r="D1668" s="365" t="str">
        <f>CONCATENATE(VOL_VOLUMEN_SUMINISTROS[[#This Row],[Grupo]],VOL_VOLUMEN_SUMINISTROS[[#This Row],[Proyecto]],VOL_VOLUMEN_SUMINISTROS[[#This Row],[FIN DE SEMANA]])</f>
        <v>61052-2NO</v>
      </c>
      <c r="E1668" s="30" t="s">
        <v>183</v>
      </c>
      <c r="F1668" s="30" t="s">
        <v>148</v>
      </c>
      <c r="G1668" s="365">
        <v>6</v>
      </c>
      <c r="H1668" s="30">
        <v>5</v>
      </c>
      <c r="I1668" s="9" t="s">
        <v>764</v>
      </c>
      <c r="J1668" s="9" t="s">
        <v>1173</v>
      </c>
      <c r="K1668" s="30">
        <v>1</v>
      </c>
      <c r="L1668" s="9" t="s">
        <v>1174</v>
      </c>
      <c r="M1668" s="30" t="s">
        <v>84</v>
      </c>
      <c r="N1668" s="30" t="s">
        <v>216</v>
      </c>
      <c r="O1668" s="24">
        <v>54</v>
      </c>
      <c r="P1668" s="24">
        <v>27</v>
      </c>
      <c r="Q1668" s="24">
        <v>0</v>
      </c>
      <c r="R1668" s="24">
        <v>0</v>
      </c>
      <c r="S1668" s="24">
        <v>0</v>
      </c>
      <c r="T1668" s="24">
        <v>81</v>
      </c>
    </row>
    <row r="1669" spans="1:20">
      <c r="A1669" s="9" t="s">
        <v>1105</v>
      </c>
      <c r="B1669" s="30" t="s">
        <v>1207</v>
      </c>
      <c r="C1669" s="30" t="str">
        <f>CONCATENATE(VOL_VOLUMEN_SUMINISTROS[[#This Row],[Proyecto]],VOL_VOLUMEN_SUMINISTROS[[#This Row],[J]],VOL_VOLUMEN_SUMINISTROS[[#This Row],[FIN DE SEMANA]])</f>
        <v>1052-2TNO</v>
      </c>
      <c r="D1669" s="365" t="str">
        <f>CONCATENATE(VOL_VOLUMEN_SUMINISTROS[[#This Row],[Grupo]],VOL_VOLUMEN_SUMINISTROS[[#This Row],[Proyecto]],VOL_VOLUMEN_SUMINISTROS[[#This Row],[FIN DE SEMANA]])</f>
        <v>181052-2NO</v>
      </c>
      <c r="E1669" s="30" t="s">
        <v>183</v>
      </c>
      <c r="F1669" s="30" t="s">
        <v>148</v>
      </c>
      <c r="G1669" s="365">
        <v>18</v>
      </c>
      <c r="H1669" s="30">
        <v>5</v>
      </c>
      <c r="I1669" s="9" t="s">
        <v>764</v>
      </c>
      <c r="J1669" s="9" t="s">
        <v>1173</v>
      </c>
      <c r="K1669" s="30">
        <v>1</v>
      </c>
      <c r="L1669" s="9" t="s">
        <v>1174</v>
      </c>
      <c r="M1669" s="30" t="s">
        <v>84</v>
      </c>
      <c r="N1669" s="30" t="s">
        <v>155</v>
      </c>
      <c r="O1669" s="24">
        <v>54</v>
      </c>
      <c r="P1669" s="24">
        <v>27</v>
      </c>
      <c r="Q1669" s="24">
        <v>0</v>
      </c>
      <c r="R1669" s="24">
        <v>0</v>
      </c>
      <c r="S1669" s="24">
        <v>0</v>
      </c>
      <c r="T1669" s="24">
        <v>81</v>
      </c>
    </row>
    <row r="1670" spans="1:20">
      <c r="A1670" s="9" t="s">
        <v>1105</v>
      </c>
      <c r="B1670" s="30" t="s">
        <v>1207</v>
      </c>
      <c r="C1670" s="30" t="str">
        <f>CONCATENATE(VOL_VOLUMEN_SUMINISTROS[[#This Row],[Proyecto]],VOL_VOLUMEN_SUMINISTROS[[#This Row],[J]],VOL_VOLUMEN_SUMINISTROS[[#This Row],[FIN DE SEMANA]])</f>
        <v>1052-2MNO</v>
      </c>
      <c r="D1670" s="365" t="str">
        <f>CONCATENATE(VOL_VOLUMEN_SUMINISTROS[[#This Row],[Grupo]],VOL_VOLUMEN_SUMINISTROS[[#This Row],[Proyecto]],VOL_VOLUMEN_SUMINISTROS[[#This Row],[FIN DE SEMANA]])</f>
        <v>181052-2NO</v>
      </c>
      <c r="E1670" s="30" t="s">
        <v>183</v>
      </c>
      <c r="F1670" s="30" t="s">
        <v>148</v>
      </c>
      <c r="G1670" s="365">
        <v>18</v>
      </c>
      <c r="H1670" s="30">
        <v>5</v>
      </c>
      <c r="I1670" s="9" t="s">
        <v>764</v>
      </c>
      <c r="J1670" s="9" t="s">
        <v>1173</v>
      </c>
      <c r="K1670" s="30">
        <v>2</v>
      </c>
      <c r="L1670" s="9" t="s">
        <v>1175</v>
      </c>
      <c r="M1670" s="30" t="s">
        <v>84</v>
      </c>
      <c r="N1670" s="30" t="s">
        <v>152</v>
      </c>
      <c r="O1670" s="24">
        <v>0</v>
      </c>
      <c r="P1670" s="24">
        <v>114</v>
      </c>
      <c r="Q1670" s="24">
        <v>103</v>
      </c>
      <c r="R1670" s="24">
        <v>0</v>
      </c>
      <c r="S1670" s="24">
        <v>0</v>
      </c>
      <c r="T1670" s="24">
        <v>217</v>
      </c>
    </row>
    <row r="1671" spans="1:20">
      <c r="A1671" s="9" t="s">
        <v>1105</v>
      </c>
      <c r="B1671" s="30" t="s">
        <v>1207</v>
      </c>
      <c r="C1671" s="30" t="str">
        <f>CONCATENATE(VOL_VOLUMEN_SUMINISTROS[[#This Row],[Proyecto]],VOL_VOLUMEN_SUMINISTROS[[#This Row],[J]],VOL_VOLUMEN_SUMINISTROS[[#This Row],[FIN DE SEMANA]])</f>
        <v>1052-2TNO</v>
      </c>
      <c r="D1671" s="365" t="str">
        <f>CONCATENATE(VOL_VOLUMEN_SUMINISTROS[[#This Row],[Grupo]],VOL_VOLUMEN_SUMINISTROS[[#This Row],[Proyecto]],VOL_VOLUMEN_SUMINISTROS[[#This Row],[FIN DE SEMANA]])</f>
        <v>181052-2NO</v>
      </c>
      <c r="E1671" s="30" t="s">
        <v>183</v>
      </c>
      <c r="F1671" s="30" t="s">
        <v>148</v>
      </c>
      <c r="G1671" s="365">
        <v>18</v>
      </c>
      <c r="H1671" s="30">
        <v>5</v>
      </c>
      <c r="I1671" s="9" t="s">
        <v>764</v>
      </c>
      <c r="J1671" s="9" t="s">
        <v>1173</v>
      </c>
      <c r="K1671" s="30">
        <v>2</v>
      </c>
      <c r="L1671" s="9" t="s">
        <v>1176</v>
      </c>
      <c r="M1671" s="30" t="s">
        <v>84</v>
      </c>
      <c r="N1671" s="30" t="s">
        <v>155</v>
      </c>
      <c r="O1671" s="24">
        <v>0</v>
      </c>
      <c r="P1671" s="24">
        <v>114</v>
      </c>
      <c r="Q1671" s="24">
        <v>118</v>
      </c>
      <c r="R1671" s="24">
        <v>0</v>
      </c>
      <c r="S1671" s="24">
        <v>0</v>
      </c>
      <c r="T1671" s="24">
        <v>232</v>
      </c>
    </row>
    <row r="1672" spans="1:20">
      <c r="A1672" s="9" t="s">
        <v>1105</v>
      </c>
      <c r="B1672" s="30" t="s">
        <v>1207</v>
      </c>
      <c r="C1672" s="30" t="str">
        <f>CONCATENATE(VOL_VOLUMEN_SUMINISTROS[[#This Row],[Proyecto]],VOL_VOLUMEN_SUMINISTROS[[#This Row],[J]],VOL_VOLUMEN_SUMINISTROS[[#This Row],[FIN DE SEMANA]])</f>
        <v>1052-2M1NO</v>
      </c>
      <c r="D1672" s="365" t="str">
        <f>CONCATENATE(VOL_VOLUMEN_SUMINISTROS[[#This Row],[Grupo]],VOL_VOLUMEN_SUMINISTROS[[#This Row],[Proyecto]],VOL_VOLUMEN_SUMINISTROS[[#This Row],[FIN DE SEMANA]])</f>
        <v>181052-2NO</v>
      </c>
      <c r="E1672" s="30" t="s">
        <v>183</v>
      </c>
      <c r="F1672" s="30" t="s">
        <v>148</v>
      </c>
      <c r="G1672" s="365">
        <v>18</v>
      </c>
      <c r="H1672" s="30">
        <v>5</v>
      </c>
      <c r="I1672" s="9" t="s">
        <v>764</v>
      </c>
      <c r="J1672" s="9" t="s">
        <v>765</v>
      </c>
      <c r="K1672" s="30">
        <v>1</v>
      </c>
      <c r="L1672" s="9" t="s">
        <v>766</v>
      </c>
      <c r="M1672" s="30" t="s">
        <v>84</v>
      </c>
      <c r="N1672" s="30" t="s">
        <v>216</v>
      </c>
      <c r="O1672" s="24">
        <v>0</v>
      </c>
      <c r="P1672" s="24">
        <v>135</v>
      </c>
      <c r="Q1672" s="24">
        <v>45</v>
      </c>
      <c r="R1672" s="24">
        <v>0</v>
      </c>
      <c r="S1672" s="24">
        <v>0</v>
      </c>
      <c r="T1672" s="24">
        <v>180</v>
      </c>
    </row>
    <row r="1673" spans="1:20">
      <c r="A1673" s="9" t="s">
        <v>1105</v>
      </c>
      <c r="B1673" s="30" t="s">
        <v>1207</v>
      </c>
      <c r="C1673" s="30" t="str">
        <f>CONCATENATE(VOL_VOLUMEN_SUMINISTROS[[#This Row],[Proyecto]],VOL_VOLUMEN_SUMINISTROS[[#This Row],[J]],VOL_VOLUMEN_SUMINISTROS[[#This Row],[FIN DE SEMANA]])</f>
        <v>1052-2TNO</v>
      </c>
      <c r="D1673" s="365" t="str">
        <f>CONCATENATE(VOL_VOLUMEN_SUMINISTROS[[#This Row],[Grupo]],VOL_VOLUMEN_SUMINISTROS[[#This Row],[Proyecto]],VOL_VOLUMEN_SUMINISTROS[[#This Row],[FIN DE SEMANA]])</f>
        <v>181052-2NO</v>
      </c>
      <c r="E1673" s="30" t="s">
        <v>183</v>
      </c>
      <c r="F1673" s="30" t="s">
        <v>148</v>
      </c>
      <c r="G1673" s="365">
        <v>18</v>
      </c>
      <c r="H1673" s="30">
        <v>5</v>
      </c>
      <c r="I1673" s="9" t="s">
        <v>764</v>
      </c>
      <c r="J1673" s="9" t="s">
        <v>765</v>
      </c>
      <c r="K1673" s="30">
        <v>1</v>
      </c>
      <c r="L1673" s="9" t="s">
        <v>766</v>
      </c>
      <c r="M1673" s="30" t="s">
        <v>84</v>
      </c>
      <c r="N1673" s="30" t="s">
        <v>155</v>
      </c>
      <c r="O1673" s="24">
        <v>0</v>
      </c>
      <c r="P1673" s="24">
        <v>132</v>
      </c>
      <c r="Q1673" s="24">
        <v>44</v>
      </c>
      <c r="R1673" s="24">
        <v>0</v>
      </c>
      <c r="S1673" s="24">
        <v>0</v>
      </c>
      <c r="T1673" s="24">
        <v>176</v>
      </c>
    </row>
    <row r="1674" spans="1:20">
      <c r="A1674" s="9" t="s">
        <v>1105</v>
      </c>
      <c r="B1674" s="30" t="s">
        <v>1208</v>
      </c>
      <c r="C1674" s="30" t="str">
        <f>CONCATENATE(VOL_VOLUMEN_SUMINISTROS[[#This Row],[Proyecto]],VOL_VOLUMEN_SUMINISTROS[[#This Row],[J]],VOL_VOLUMEN_SUMINISTROS[[#This Row],[FIN DE SEMANA]])</f>
        <v>1052-2MNO</v>
      </c>
      <c r="D1674" s="365" t="str">
        <f>CONCATENATE(VOL_VOLUMEN_SUMINISTROS[[#This Row],[Grupo]],VOL_VOLUMEN_SUMINISTROS[[#This Row],[Proyecto]],VOL_VOLUMEN_SUMINISTROS[[#This Row],[FIN DE SEMANA]])</f>
        <v>181052-2NO</v>
      </c>
      <c r="E1674" s="30" t="s">
        <v>183</v>
      </c>
      <c r="F1674" s="30" t="s">
        <v>148</v>
      </c>
      <c r="G1674" s="365">
        <v>18</v>
      </c>
      <c r="H1674" s="30">
        <v>5</v>
      </c>
      <c r="I1674" s="9" t="s">
        <v>764</v>
      </c>
      <c r="J1674" s="9" t="s">
        <v>1173</v>
      </c>
      <c r="K1674" s="30">
        <v>2</v>
      </c>
      <c r="L1674" s="9" t="s">
        <v>1175</v>
      </c>
      <c r="M1674" s="30" t="s">
        <v>84</v>
      </c>
      <c r="N1674" s="30" t="s">
        <v>152</v>
      </c>
      <c r="O1674" s="24">
        <v>0</v>
      </c>
      <c r="P1674" s="24">
        <v>0</v>
      </c>
      <c r="Q1674" s="24">
        <v>39</v>
      </c>
      <c r="R1674" s="24">
        <v>0</v>
      </c>
      <c r="S1674" s="24">
        <v>0</v>
      </c>
      <c r="T1674" s="24">
        <v>39</v>
      </c>
    </row>
    <row r="1675" spans="1:20">
      <c r="A1675" s="9" t="s">
        <v>1105</v>
      </c>
      <c r="B1675" s="30" t="s">
        <v>1208</v>
      </c>
      <c r="C1675" s="30" t="str">
        <f>CONCATENATE(VOL_VOLUMEN_SUMINISTROS[[#This Row],[Proyecto]],VOL_VOLUMEN_SUMINISTROS[[#This Row],[J]],VOL_VOLUMEN_SUMINISTROS[[#This Row],[FIN DE SEMANA]])</f>
        <v>1052-2TNO</v>
      </c>
      <c r="D1675" s="365" t="str">
        <f>CONCATENATE(VOL_VOLUMEN_SUMINISTROS[[#This Row],[Grupo]],VOL_VOLUMEN_SUMINISTROS[[#This Row],[Proyecto]],VOL_VOLUMEN_SUMINISTROS[[#This Row],[FIN DE SEMANA]])</f>
        <v>181052-2NO</v>
      </c>
      <c r="E1675" s="30" t="s">
        <v>183</v>
      </c>
      <c r="F1675" s="30" t="s">
        <v>148</v>
      </c>
      <c r="G1675" s="365">
        <v>18</v>
      </c>
      <c r="H1675" s="30">
        <v>5</v>
      </c>
      <c r="I1675" s="9" t="s">
        <v>764</v>
      </c>
      <c r="J1675" s="9" t="s">
        <v>1173</v>
      </c>
      <c r="K1675" s="30">
        <v>2</v>
      </c>
      <c r="L1675" s="9" t="s">
        <v>1176</v>
      </c>
      <c r="M1675" s="30" t="s">
        <v>84</v>
      </c>
      <c r="N1675" s="30" t="s">
        <v>155</v>
      </c>
      <c r="O1675" s="24">
        <v>0</v>
      </c>
      <c r="P1675" s="24">
        <v>0</v>
      </c>
      <c r="Q1675" s="24">
        <v>84</v>
      </c>
      <c r="R1675" s="24">
        <v>0</v>
      </c>
      <c r="S1675" s="24">
        <v>0</v>
      </c>
      <c r="T1675" s="24">
        <v>84</v>
      </c>
    </row>
    <row r="1676" spans="1:20">
      <c r="A1676" s="9" t="s">
        <v>1105</v>
      </c>
      <c r="B1676" s="30" t="s">
        <v>1208</v>
      </c>
      <c r="C1676" s="30" t="str">
        <f>CONCATENATE(VOL_VOLUMEN_SUMINISTROS[[#This Row],[Proyecto]],VOL_VOLUMEN_SUMINISTROS[[#This Row],[J]],VOL_VOLUMEN_SUMINISTROS[[#This Row],[FIN DE SEMANA]])</f>
        <v>1052-2MNO</v>
      </c>
      <c r="D1676" s="365" t="str">
        <f>CONCATENATE(VOL_VOLUMEN_SUMINISTROS[[#This Row],[Grupo]],VOL_VOLUMEN_SUMINISTROS[[#This Row],[Proyecto]],VOL_VOLUMEN_SUMINISTROS[[#This Row],[FIN DE SEMANA]])</f>
        <v>181052-2NO</v>
      </c>
      <c r="E1676" s="30" t="s">
        <v>183</v>
      </c>
      <c r="F1676" s="30" t="s">
        <v>148</v>
      </c>
      <c r="G1676" s="365">
        <v>18</v>
      </c>
      <c r="H1676" s="30">
        <v>5</v>
      </c>
      <c r="I1676" s="9" t="s">
        <v>764</v>
      </c>
      <c r="J1676" s="9" t="s">
        <v>1201</v>
      </c>
      <c r="K1676" s="30">
        <v>1</v>
      </c>
      <c r="L1676" s="9" t="s">
        <v>1202</v>
      </c>
      <c r="M1676" s="30" t="s">
        <v>84</v>
      </c>
      <c r="N1676" s="30" t="s">
        <v>152</v>
      </c>
      <c r="O1676" s="24">
        <v>0</v>
      </c>
      <c r="P1676" s="24">
        <v>0</v>
      </c>
      <c r="Q1676" s="24">
        <v>29</v>
      </c>
      <c r="R1676" s="24">
        <v>0</v>
      </c>
      <c r="S1676" s="24">
        <v>0</v>
      </c>
      <c r="T1676" s="24">
        <v>29</v>
      </c>
    </row>
    <row r="1677" spans="1:20">
      <c r="A1677" s="9" t="s">
        <v>1105</v>
      </c>
      <c r="B1677" s="30" t="s">
        <v>1208</v>
      </c>
      <c r="C1677" s="30" t="str">
        <f>CONCATENATE(VOL_VOLUMEN_SUMINISTROS[[#This Row],[Proyecto]],VOL_VOLUMEN_SUMINISTROS[[#This Row],[J]],VOL_VOLUMEN_SUMINISTROS[[#This Row],[FIN DE SEMANA]])</f>
        <v>1052-2TNO</v>
      </c>
      <c r="D1677" s="365" t="str">
        <f>CONCATENATE(VOL_VOLUMEN_SUMINISTROS[[#This Row],[Grupo]],VOL_VOLUMEN_SUMINISTROS[[#This Row],[Proyecto]],VOL_VOLUMEN_SUMINISTROS[[#This Row],[FIN DE SEMANA]])</f>
        <v>181052-2NO</v>
      </c>
      <c r="E1677" s="30" t="s">
        <v>183</v>
      </c>
      <c r="F1677" s="30" t="s">
        <v>148</v>
      </c>
      <c r="G1677" s="365">
        <v>18</v>
      </c>
      <c r="H1677" s="30">
        <v>5</v>
      </c>
      <c r="I1677" s="9" t="s">
        <v>764</v>
      </c>
      <c r="J1677" s="9" t="s">
        <v>1201</v>
      </c>
      <c r="K1677" s="30">
        <v>1</v>
      </c>
      <c r="L1677" s="9" t="s">
        <v>1202</v>
      </c>
      <c r="M1677" s="30" t="s">
        <v>84</v>
      </c>
      <c r="N1677" s="30" t="s">
        <v>155</v>
      </c>
      <c r="O1677" s="24">
        <v>0</v>
      </c>
      <c r="P1677" s="24">
        <v>0</v>
      </c>
      <c r="Q1677" s="24">
        <v>35</v>
      </c>
      <c r="R1677" s="24">
        <v>0</v>
      </c>
      <c r="S1677" s="24">
        <v>0</v>
      </c>
      <c r="T1677" s="24">
        <v>35</v>
      </c>
    </row>
    <row r="1678" spans="1:20">
      <c r="A1678" s="9" t="s">
        <v>1105</v>
      </c>
      <c r="B1678" s="30" t="s">
        <v>1209</v>
      </c>
      <c r="C1678" s="30" t="str">
        <f>CONCATENATE(VOL_VOLUMEN_SUMINISTROS[[#This Row],[Proyecto]],VOL_VOLUMEN_SUMINISTROS[[#This Row],[J]],VOL_VOLUMEN_SUMINISTROS[[#This Row],[FIN DE SEMANA]])</f>
        <v>1052-2MNO</v>
      </c>
      <c r="D1678" s="365" t="str">
        <f>CONCATENATE(VOL_VOLUMEN_SUMINISTROS[[#This Row],[Grupo]],VOL_VOLUMEN_SUMINISTROS[[#This Row],[Proyecto]],VOL_VOLUMEN_SUMINISTROS[[#This Row],[FIN DE SEMANA]])</f>
        <v>181052-2NO</v>
      </c>
      <c r="E1678" s="30" t="s">
        <v>183</v>
      </c>
      <c r="F1678" s="30" t="s">
        <v>148</v>
      </c>
      <c r="G1678" s="365">
        <v>18</v>
      </c>
      <c r="H1678" s="30">
        <v>5</v>
      </c>
      <c r="I1678" s="9" t="s">
        <v>764</v>
      </c>
      <c r="J1678" s="9" t="s">
        <v>1173</v>
      </c>
      <c r="K1678" s="30">
        <v>1</v>
      </c>
      <c r="L1678" s="9" t="s">
        <v>1174</v>
      </c>
      <c r="M1678" s="30" t="s">
        <v>84</v>
      </c>
      <c r="N1678" s="30" t="s">
        <v>152</v>
      </c>
      <c r="O1678" s="24">
        <v>93</v>
      </c>
      <c r="P1678" s="24">
        <v>0</v>
      </c>
      <c r="Q1678" s="24">
        <v>0</v>
      </c>
      <c r="R1678" s="24">
        <v>0</v>
      </c>
      <c r="S1678" s="24">
        <v>0</v>
      </c>
      <c r="T1678" s="24">
        <v>93</v>
      </c>
    </row>
    <row r="1679" spans="1:20">
      <c r="A1679" s="9" t="s">
        <v>1105</v>
      </c>
      <c r="B1679" s="30" t="s">
        <v>1209</v>
      </c>
      <c r="C1679" s="30" t="str">
        <f>CONCATENATE(VOL_VOLUMEN_SUMINISTROS[[#This Row],[Proyecto]],VOL_VOLUMEN_SUMINISTROS[[#This Row],[J]],VOL_VOLUMEN_SUMINISTROS[[#This Row],[FIN DE SEMANA]])</f>
        <v>1052-2TNO</v>
      </c>
      <c r="D1679" s="365" t="str">
        <f>CONCATENATE(VOL_VOLUMEN_SUMINISTROS[[#This Row],[Grupo]],VOL_VOLUMEN_SUMINISTROS[[#This Row],[Proyecto]],VOL_VOLUMEN_SUMINISTROS[[#This Row],[FIN DE SEMANA]])</f>
        <v>181052-2NO</v>
      </c>
      <c r="E1679" s="30" t="s">
        <v>183</v>
      </c>
      <c r="F1679" s="30" t="s">
        <v>148</v>
      </c>
      <c r="G1679" s="365">
        <v>18</v>
      </c>
      <c r="H1679" s="30">
        <v>5</v>
      </c>
      <c r="I1679" s="9" t="s">
        <v>764</v>
      </c>
      <c r="J1679" s="9" t="s">
        <v>1173</v>
      </c>
      <c r="K1679" s="30">
        <v>1</v>
      </c>
      <c r="L1679" s="9" t="s">
        <v>1174</v>
      </c>
      <c r="M1679" s="30" t="s">
        <v>84</v>
      </c>
      <c r="N1679" s="30" t="s">
        <v>155</v>
      </c>
      <c r="O1679" s="24">
        <v>92</v>
      </c>
      <c r="P1679" s="24">
        <v>0</v>
      </c>
      <c r="Q1679" s="24">
        <v>0</v>
      </c>
      <c r="R1679" s="24">
        <v>0</v>
      </c>
      <c r="S1679" s="24">
        <v>0</v>
      </c>
      <c r="T1679" s="24">
        <v>92</v>
      </c>
    </row>
    <row r="1680" spans="1:20">
      <c r="A1680" s="9" t="s">
        <v>1105</v>
      </c>
      <c r="B1680" s="30" t="s">
        <v>1209</v>
      </c>
      <c r="C1680" s="30" t="str">
        <f>CONCATENATE(VOL_VOLUMEN_SUMINISTROS[[#This Row],[Proyecto]],VOL_VOLUMEN_SUMINISTROS[[#This Row],[J]],VOL_VOLUMEN_SUMINISTROS[[#This Row],[FIN DE SEMANA]])</f>
        <v>1052-2MNO</v>
      </c>
      <c r="D1680" s="365" t="str">
        <f>CONCATENATE(VOL_VOLUMEN_SUMINISTROS[[#This Row],[Grupo]],VOL_VOLUMEN_SUMINISTROS[[#This Row],[Proyecto]],VOL_VOLUMEN_SUMINISTROS[[#This Row],[FIN DE SEMANA]])</f>
        <v>181052-2NO</v>
      </c>
      <c r="E1680" s="30" t="s">
        <v>183</v>
      </c>
      <c r="F1680" s="30" t="s">
        <v>148</v>
      </c>
      <c r="G1680" s="365">
        <v>18</v>
      </c>
      <c r="H1680" s="30">
        <v>5</v>
      </c>
      <c r="I1680" s="9" t="s">
        <v>764</v>
      </c>
      <c r="J1680" s="9" t="s">
        <v>1182</v>
      </c>
      <c r="K1680" s="30">
        <v>1</v>
      </c>
      <c r="L1680" s="9" t="s">
        <v>153</v>
      </c>
      <c r="M1680" s="30" t="s">
        <v>84</v>
      </c>
      <c r="N1680" s="30" t="s">
        <v>152</v>
      </c>
      <c r="O1680" s="24">
        <v>40</v>
      </c>
      <c r="P1680" s="24">
        <v>0</v>
      </c>
      <c r="Q1680" s="24">
        <v>0</v>
      </c>
      <c r="R1680" s="24">
        <v>0</v>
      </c>
      <c r="S1680" s="24">
        <v>0</v>
      </c>
      <c r="T1680" s="24">
        <v>40</v>
      </c>
    </row>
    <row r="1681" spans="1:20">
      <c r="A1681" s="9" t="s">
        <v>1105</v>
      </c>
      <c r="B1681" s="30" t="s">
        <v>1209</v>
      </c>
      <c r="C1681" s="30" t="str">
        <f>CONCATENATE(VOL_VOLUMEN_SUMINISTROS[[#This Row],[Proyecto]],VOL_VOLUMEN_SUMINISTROS[[#This Row],[J]],VOL_VOLUMEN_SUMINISTROS[[#This Row],[FIN DE SEMANA]])</f>
        <v>1052-2TNO</v>
      </c>
      <c r="D1681" s="365" t="str">
        <f>CONCATENATE(VOL_VOLUMEN_SUMINISTROS[[#This Row],[Grupo]],VOL_VOLUMEN_SUMINISTROS[[#This Row],[Proyecto]],VOL_VOLUMEN_SUMINISTROS[[#This Row],[FIN DE SEMANA]])</f>
        <v>181052-2NO</v>
      </c>
      <c r="E1681" s="30" t="s">
        <v>183</v>
      </c>
      <c r="F1681" s="30" t="s">
        <v>148</v>
      </c>
      <c r="G1681" s="365">
        <v>18</v>
      </c>
      <c r="H1681" s="30">
        <v>5</v>
      </c>
      <c r="I1681" s="9" t="s">
        <v>764</v>
      </c>
      <c r="J1681" s="9" t="s">
        <v>1182</v>
      </c>
      <c r="K1681" s="30">
        <v>1</v>
      </c>
      <c r="L1681" s="9" t="s">
        <v>153</v>
      </c>
      <c r="M1681" s="30" t="s">
        <v>84</v>
      </c>
      <c r="N1681" s="30" t="s">
        <v>155</v>
      </c>
      <c r="O1681" s="24">
        <v>50</v>
      </c>
      <c r="P1681" s="24">
        <v>0</v>
      </c>
      <c r="Q1681" s="24">
        <v>0</v>
      </c>
      <c r="R1681" s="24">
        <v>0</v>
      </c>
      <c r="S1681" s="24">
        <v>0</v>
      </c>
      <c r="T1681" s="24">
        <v>50</v>
      </c>
    </row>
    <row r="1682" spans="1:20">
      <c r="A1682" s="9" t="s">
        <v>1105</v>
      </c>
      <c r="B1682" s="30" t="s">
        <v>1209</v>
      </c>
      <c r="C1682" s="30" t="str">
        <f>CONCATENATE(VOL_VOLUMEN_SUMINISTROS[[#This Row],[Proyecto]],VOL_VOLUMEN_SUMINISTROS[[#This Row],[J]],VOL_VOLUMEN_SUMINISTROS[[#This Row],[FIN DE SEMANA]])</f>
        <v>1052-2MNO</v>
      </c>
      <c r="D1682" s="365" t="str">
        <f>CONCATENATE(VOL_VOLUMEN_SUMINISTROS[[#This Row],[Grupo]],VOL_VOLUMEN_SUMINISTROS[[#This Row],[Proyecto]],VOL_VOLUMEN_SUMINISTROS[[#This Row],[FIN DE SEMANA]])</f>
        <v>181052-2NO</v>
      </c>
      <c r="E1682" s="30" t="s">
        <v>183</v>
      </c>
      <c r="F1682" s="30" t="s">
        <v>148</v>
      </c>
      <c r="G1682" s="365">
        <v>18</v>
      </c>
      <c r="H1682" s="30">
        <v>5</v>
      </c>
      <c r="I1682" s="9" t="s">
        <v>764</v>
      </c>
      <c r="J1682" s="9" t="s">
        <v>1185</v>
      </c>
      <c r="K1682" s="30">
        <v>2</v>
      </c>
      <c r="L1682" s="9" t="s">
        <v>1187</v>
      </c>
      <c r="M1682" s="30" t="s">
        <v>84</v>
      </c>
      <c r="N1682" s="30" t="s">
        <v>152</v>
      </c>
      <c r="O1682" s="24">
        <v>64</v>
      </c>
      <c r="P1682" s="24">
        <v>0</v>
      </c>
      <c r="Q1682" s="24">
        <v>0</v>
      </c>
      <c r="R1682" s="24">
        <v>0</v>
      </c>
      <c r="S1682" s="24">
        <v>0</v>
      </c>
      <c r="T1682" s="24">
        <v>64</v>
      </c>
    </row>
    <row r="1683" spans="1:20">
      <c r="A1683" s="9" t="s">
        <v>1105</v>
      </c>
      <c r="B1683" s="30" t="s">
        <v>1209</v>
      </c>
      <c r="C1683" s="30" t="str">
        <f>CONCATENATE(VOL_VOLUMEN_SUMINISTROS[[#This Row],[Proyecto]],VOL_VOLUMEN_SUMINISTROS[[#This Row],[J]],VOL_VOLUMEN_SUMINISTROS[[#This Row],[FIN DE SEMANA]])</f>
        <v>1052-2TNO</v>
      </c>
      <c r="D1683" s="365" t="str">
        <f>CONCATENATE(VOL_VOLUMEN_SUMINISTROS[[#This Row],[Grupo]],VOL_VOLUMEN_SUMINISTROS[[#This Row],[Proyecto]],VOL_VOLUMEN_SUMINISTROS[[#This Row],[FIN DE SEMANA]])</f>
        <v>181052-2NO</v>
      </c>
      <c r="E1683" s="30" t="s">
        <v>183</v>
      </c>
      <c r="F1683" s="30" t="s">
        <v>148</v>
      </c>
      <c r="G1683" s="365">
        <v>18</v>
      </c>
      <c r="H1683" s="30">
        <v>5</v>
      </c>
      <c r="I1683" s="9" t="s">
        <v>764</v>
      </c>
      <c r="J1683" s="9" t="s">
        <v>1185</v>
      </c>
      <c r="K1683" s="30">
        <v>2</v>
      </c>
      <c r="L1683" s="9" t="s">
        <v>1187</v>
      </c>
      <c r="M1683" s="30" t="s">
        <v>84</v>
      </c>
      <c r="N1683" s="30" t="s">
        <v>155</v>
      </c>
      <c r="O1683" s="24">
        <v>65</v>
      </c>
      <c r="P1683" s="24">
        <v>0</v>
      </c>
      <c r="Q1683" s="24">
        <v>0</v>
      </c>
      <c r="R1683" s="24">
        <v>0</v>
      </c>
      <c r="S1683" s="24">
        <v>0</v>
      </c>
      <c r="T1683" s="24">
        <v>65</v>
      </c>
    </row>
    <row r="1684" spans="1:20">
      <c r="A1684" s="9" t="s">
        <v>1105</v>
      </c>
      <c r="B1684" s="30" t="s">
        <v>1209</v>
      </c>
      <c r="C1684" s="30" t="str">
        <f>CONCATENATE(VOL_VOLUMEN_SUMINISTROS[[#This Row],[Proyecto]],VOL_VOLUMEN_SUMINISTROS[[#This Row],[J]],VOL_VOLUMEN_SUMINISTROS[[#This Row],[FIN DE SEMANA]])</f>
        <v>1052-2MNO</v>
      </c>
      <c r="D1684" s="365" t="str">
        <f>CONCATENATE(VOL_VOLUMEN_SUMINISTROS[[#This Row],[Grupo]],VOL_VOLUMEN_SUMINISTROS[[#This Row],[Proyecto]],VOL_VOLUMEN_SUMINISTROS[[#This Row],[FIN DE SEMANA]])</f>
        <v>181052-2NO</v>
      </c>
      <c r="E1684" s="30" t="s">
        <v>183</v>
      </c>
      <c r="F1684" s="30" t="s">
        <v>148</v>
      </c>
      <c r="G1684" s="365">
        <v>18</v>
      </c>
      <c r="H1684" s="30">
        <v>5</v>
      </c>
      <c r="I1684" s="9" t="s">
        <v>764</v>
      </c>
      <c r="J1684" s="9" t="s">
        <v>1191</v>
      </c>
      <c r="K1684" s="30">
        <v>3</v>
      </c>
      <c r="L1684" s="9" t="s">
        <v>1194</v>
      </c>
      <c r="M1684" s="30" t="s">
        <v>84</v>
      </c>
      <c r="N1684" s="30" t="s">
        <v>152</v>
      </c>
      <c r="O1684" s="24">
        <v>120</v>
      </c>
      <c r="P1684" s="24">
        <v>0</v>
      </c>
      <c r="Q1684" s="24">
        <v>0</v>
      </c>
      <c r="R1684" s="24">
        <v>0</v>
      </c>
      <c r="S1684" s="24">
        <v>0</v>
      </c>
      <c r="T1684" s="24">
        <v>120</v>
      </c>
    </row>
    <row r="1685" spans="1:20">
      <c r="A1685" s="9" t="s">
        <v>1105</v>
      </c>
      <c r="B1685" s="30" t="s">
        <v>1209</v>
      </c>
      <c r="C1685" s="30" t="str">
        <f>CONCATENATE(VOL_VOLUMEN_SUMINISTROS[[#This Row],[Proyecto]],VOL_VOLUMEN_SUMINISTROS[[#This Row],[J]],VOL_VOLUMEN_SUMINISTROS[[#This Row],[FIN DE SEMANA]])</f>
        <v>1052-2TNO</v>
      </c>
      <c r="D1685" s="365" t="str">
        <f>CONCATENATE(VOL_VOLUMEN_SUMINISTROS[[#This Row],[Grupo]],VOL_VOLUMEN_SUMINISTROS[[#This Row],[Proyecto]],VOL_VOLUMEN_SUMINISTROS[[#This Row],[FIN DE SEMANA]])</f>
        <v>181052-2NO</v>
      </c>
      <c r="E1685" s="30" t="s">
        <v>183</v>
      </c>
      <c r="F1685" s="30" t="s">
        <v>148</v>
      </c>
      <c r="G1685" s="365">
        <v>18</v>
      </c>
      <c r="H1685" s="30">
        <v>5</v>
      </c>
      <c r="I1685" s="9" t="s">
        <v>764</v>
      </c>
      <c r="J1685" s="9" t="s">
        <v>1191</v>
      </c>
      <c r="K1685" s="30">
        <v>3</v>
      </c>
      <c r="L1685" s="9" t="s">
        <v>1195</v>
      </c>
      <c r="M1685" s="30" t="s">
        <v>84</v>
      </c>
      <c r="N1685" s="30" t="s">
        <v>155</v>
      </c>
      <c r="O1685" s="24">
        <v>120</v>
      </c>
      <c r="P1685" s="24">
        <v>0</v>
      </c>
      <c r="Q1685" s="24">
        <v>0</v>
      </c>
      <c r="R1685" s="24">
        <v>0</v>
      </c>
      <c r="S1685" s="24">
        <v>0</v>
      </c>
      <c r="T1685" s="24">
        <v>120</v>
      </c>
    </row>
    <row r="1686" spans="1:20">
      <c r="A1686" s="9" t="s">
        <v>1105</v>
      </c>
      <c r="B1686" s="30" t="s">
        <v>1210</v>
      </c>
      <c r="C1686" s="30" t="str">
        <f>CONCATENATE(VOL_VOLUMEN_SUMINISTROS[[#This Row],[Proyecto]],VOL_VOLUMEN_SUMINISTROS[[#This Row],[J]],VOL_VOLUMEN_SUMINISTROS[[#This Row],[FIN DE SEMANA]])</f>
        <v>1052-1MNO</v>
      </c>
      <c r="D1686" s="365" t="str">
        <f>CONCATENATE(VOL_VOLUMEN_SUMINISTROS[[#This Row],[Grupo]],VOL_VOLUMEN_SUMINISTROS[[#This Row],[Proyecto]],VOL_VOLUMEN_SUMINISTROS[[#This Row],[FIN DE SEMANA]])</f>
        <v>161052-1NO</v>
      </c>
      <c r="E1686" s="30" t="s">
        <v>147</v>
      </c>
      <c r="F1686" s="30" t="s">
        <v>148</v>
      </c>
      <c r="G1686" s="365">
        <v>16</v>
      </c>
      <c r="H1686" s="30">
        <v>1</v>
      </c>
      <c r="I1686" s="9" t="s">
        <v>397</v>
      </c>
      <c r="J1686" s="9" t="s">
        <v>1211</v>
      </c>
      <c r="K1686" s="30">
        <v>1</v>
      </c>
      <c r="L1686" s="9" t="s">
        <v>153</v>
      </c>
      <c r="M1686" s="30" t="s">
        <v>84</v>
      </c>
      <c r="N1686" s="30" t="s">
        <v>152</v>
      </c>
      <c r="O1686" s="24">
        <v>186</v>
      </c>
      <c r="P1686" s="24">
        <v>299</v>
      </c>
      <c r="Q1686" s="24">
        <v>440</v>
      </c>
      <c r="R1686" s="24">
        <v>0</v>
      </c>
      <c r="S1686" s="24">
        <v>0</v>
      </c>
      <c r="T1686" s="24">
        <v>925</v>
      </c>
    </row>
    <row r="1687" spans="1:20">
      <c r="A1687" s="9" t="s">
        <v>1105</v>
      </c>
      <c r="B1687" s="30" t="s">
        <v>1210</v>
      </c>
      <c r="C1687" s="30" t="str">
        <f>CONCATENATE(VOL_VOLUMEN_SUMINISTROS[[#This Row],[Proyecto]],VOL_VOLUMEN_SUMINISTROS[[#This Row],[J]],VOL_VOLUMEN_SUMINISTROS[[#This Row],[FIN DE SEMANA]])</f>
        <v>1052-1TNO</v>
      </c>
      <c r="D1687" s="365" t="str">
        <f>CONCATENATE(VOL_VOLUMEN_SUMINISTROS[[#This Row],[Grupo]],VOL_VOLUMEN_SUMINISTROS[[#This Row],[Proyecto]],VOL_VOLUMEN_SUMINISTROS[[#This Row],[FIN DE SEMANA]])</f>
        <v>161052-1NO</v>
      </c>
      <c r="E1687" s="30" t="s">
        <v>147</v>
      </c>
      <c r="F1687" s="30" t="s">
        <v>148</v>
      </c>
      <c r="G1687" s="365">
        <v>16</v>
      </c>
      <c r="H1687" s="30">
        <v>1</v>
      </c>
      <c r="I1687" s="9" t="s">
        <v>397</v>
      </c>
      <c r="J1687" s="9" t="s">
        <v>1211</v>
      </c>
      <c r="K1687" s="30">
        <v>1</v>
      </c>
      <c r="L1687" s="9" t="s">
        <v>153</v>
      </c>
      <c r="M1687" s="30" t="s">
        <v>84</v>
      </c>
      <c r="N1687" s="30" t="s">
        <v>155</v>
      </c>
      <c r="O1687" s="24">
        <v>190</v>
      </c>
      <c r="P1687" s="24">
        <v>269</v>
      </c>
      <c r="Q1687" s="24">
        <v>372</v>
      </c>
      <c r="R1687" s="24">
        <v>0</v>
      </c>
      <c r="S1687" s="24">
        <v>0</v>
      </c>
      <c r="T1687" s="24">
        <v>831</v>
      </c>
    </row>
    <row r="1688" spans="1:20">
      <c r="A1688" s="9" t="s">
        <v>1105</v>
      </c>
      <c r="B1688" s="30" t="s">
        <v>1210</v>
      </c>
      <c r="C1688" s="30" t="str">
        <f>CONCATENATE(VOL_VOLUMEN_SUMINISTROS[[#This Row],[Proyecto]],VOL_VOLUMEN_SUMINISTROS[[#This Row],[J]],VOL_VOLUMEN_SUMINISTROS[[#This Row],[FIN DE SEMANA]])</f>
        <v>1052-1MNO</v>
      </c>
      <c r="D1688" s="365" t="str">
        <f>CONCATENATE(VOL_VOLUMEN_SUMINISTROS[[#This Row],[Grupo]],VOL_VOLUMEN_SUMINISTROS[[#This Row],[Proyecto]],VOL_VOLUMEN_SUMINISTROS[[#This Row],[FIN DE SEMANA]])</f>
        <v>161052-1NO</v>
      </c>
      <c r="E1688" s="30" t="s">
        <v>147</v>
      </c>
      <c r="F1688" s="30" t="s">
        <v>148</v>
      </c>
      <c r="G1688" s="365">
        <v>16</v>
      </c>
      <c r="H1688" s="30">
        <v>1</v>
      </c>
      <c r="I1688" s="9" t="s">
        <v>397</v>
      </c>
      <c r="J1688" s="9" t="s">
        <v>1211</v>
      </c>
      <c r="K1688" s="30">
        <v>2</v>
      </c>
      <c r="L1688" s="9" t="s">
        <v>165</v>
      </c>
      <c r="M1688" s="30" t="s">
        <v>84</v>
      </c>
      <c r="N1688" s="30" t="s">
        <v>152</v>
      </c>
      <c r="O1688" s="24">
        <v>126</v>
      </c>
      <c r="P1688" s="24">
        <v>54</v>
      </c>
      <c r="Q1688" s="24">
        <v>8</v>
      </c>
      <c r="R1688" s="24">
        <v>0</v>
      </c>
      <c r="S1688" s="24">
        <v>0</v>
      </c>
      <c r="T1688" s="24">
        <v>188</v>
      </c>
    </row>
    <row r="1689" spans="1:20">
      <c r="A1689" s="9" t="s">
        <v>1105</v>
      </c>
      <c r="B1689" s="30" t="s">
        <v>1210</v>
      </c>
      <c r="C1689" s="30" t="str">
        <f>CONCATENATE(VOL_VOLUMEN_SUMINISTROS[[#This Row],[Proyecto]],VOL_VOLUMEN_SUMINISTROS[[#This Row],[J]],VOL_VOLUMEN_SUMINISTROS[[#This Row],[FIN DE SEMANA]])</f>
        <v>1052-1TNO</v>
      </c>
      <c r="D1689" s="365" t="str">
        <f>CONCATENATE(VOL_VOLUMEN_SUMINISTROS[[#This Row],[Grupo]],VOL_VOLUMEN_SUMINISTROS[[#This Row],[Proyecto]],VOL_VOLUMEN_SUMINISTROS[[#This Row],[FIN DE SEMANA]])</f>
        <v>161052-1NO</v>
      </c>
      <c r="E1689" s="30" t="s">
        <v>147</v>
      </c>
      <c r="F1689" s="30" t="s">
        <v>148</v>
      </c>
      <c r="G1689" s="365">
        <v>16</v>
      </c>
      <c r="H1689" s="30">
        <v>1</v>
      </c>
      <c r="I1689" s="9" t="s">
        <v>397</v>
      </c>
      <c r="J1689" s="9" t="s">
        <v>1211</v>
      </c>
      <c r="K1689" s="30">
        <v>2</v>
      </c>
      <c r="L1689" s="9" t="s">
        <v>1212</v>
      </c>
      <c r="M1689" s="30" t="s">
        <v>84</v>
      </c>
      <c r="N1689" s="30" t="s">
        <v>155</v>
      </c>
      <c r="O1689" s="24">
        <v>32</v>
      </c>
      <c r="P1689" s="24">
        <v>64</v>
      </c>
      <c r="Q1689" s="24">
        <v>16</v>
      </c>
      <c r="R1689" s="24">
        <v>0</v>
      </c>
      <c r="S1689" s="24">
        <v>0</v>
      </c>
      <c r="T1689" s="24">
        <v>112</v>
      </c>
    </row>
    <row r="1690" spans="1:20">
      <c r="A1690" s="9" t="s">
        <v>1105</v>
      </c>
      <c r="B1690" s="30" t="s">
        <v>1210</v>
      </c>
      <c r="C1690" s="30" t="str">
        <f>CONCATENATE(VOL_VOLUMEN_SUMINISTROS[[#This Row],[Proyecto]],VOL_VOLUMEN_SUMINISTROS[[#This Row],[J]],VOL_VOLUMEN_SUMINISTROS[[#This Row],[FIN DE SEMANA]])</f>
        <v>1052-1MNO</v>
      </c>
      <c r="D1690" s="365" t="str">
        <f>CONCATENATE(VOL_VOLUMEN_SUMINISTROS[[#This Row],[Grupo]],VOL_VOLUMEN_SUMINISTROS[[#This Row],[Proyecto]],VOL_VOLUMEN_SUMINISTROS[[#This Row],[FIN DE SEMANA]])</f>
        <v>161052-1NO</v>
      </c>
      <c r="E1690" s="30" t="s">
        <v>147</v>
      </c>
      <c r="F1690" s="30" t="s">
        <v>148</v>
      </c>
      <c r="G1690" s="365">
        <v>16</v>
      </c>
      <c r="H1690" s="30">
        <v>1</v>
      </c>
      <c r="I1690" s="9" t="s">
        <v>397</v>
      </c>
      <c r="J1690" s="9" t="s">
        <v>1213</v>
      </c>
      <c r="K1690" s="30">
        <v>1</v>
      </c>
      <c r="L1690" s="9" t="s">
        <v>1214</v>
      </c>
      <c r="M1690" s="30" t="s">
        <v>84</v>
      </c>
      <c r="N1690" s="30" t="s">
        <v>152</v>
      </c>
      <c r="O1690" s="24">
        <v>166</v>
      </c>
      <c r="P1690" s="24">
        <v>284</v>
      </c>
      <c r="Q1690" s="24">
        <v>67</v>
      </c>
      <c r="R1690" s="24">
        <v>0</v>
      </c>
      <c r="S1690" s="24">
        <v>0</v>
      </c>
      <c r="T1690" s="24">
        <v>517</v>
      </c>
    </row>
    <row r="1691" spans="1:20">
      <c r="A1691" s="9" t="s">
        <v>1105</v>
      </c>
      <c r="B1691" s="30" t="s">
        <v>1210</v>
      </c>
      <c r="C1691" s="30" t="str">
        <f>CONCATENATE(VOL_VOLUMEN_SUMINISTROS[[#This Row],[Proyecto]],VOL_VOLUMEN_SUMINISTROS[[#This Row],[J]],VOL_VOLUMEN_SUMINISTROS[[#This Row],[FIN DE SEMANA]])</f>
        <v>1052-1TNO</v>
      </c>
      <c r="D1691" s="365" t="str">
        <f>CONCATENATE(VOL_VOLUMEN_SUMINISTROS[[#This Row],[Grupo]],VOL_VOLUMEN_SUMINISTROS[[#This Row],[Proyecto]],VOL_VOLUMEN_SUMINISTROS[[#This Row],[FIN DE SEMANA]])</f>
        <v>161052-1NO</v>
      </c>
      <c r="E1691" s="30" t="s">
        <v>147</v>
      </c>
      <c r="F1691" s="30" t="s">
        <v>148</v>
      </c>
      <c r="G1691" s="365">
        <v>16</v>
      </c>
      <c r="H1691" s="30">
        <v>1</v>
      </c>
      <c r="I1691" s="9" t="s">
        <v>397</v>
      </c>
      <c r="J1691" s="9" t="s">
        <v>1213</v>
      </c>
      <c r="K1691" s="30">
        <v>1</v>
      </c>
      <c r="L1691" s="9" t="s">
        <v>1214</v>
      </c>
      <c r="M1691" s="30" t="s">
        <v>84</v>
      </c>
      <c r="N1691" s="30" t="s">
        <v>155</v>
      </c>
      <c r="O1691" s="24">
        <v>0</v>
      </c>
      <c r="P1691" s="24">
        <v>0</v>
      </c>
      <c r="Q1691" s="24">
        <v>443</v>
      </c>
      <c r="R1691" s="24">
        <v>0</v>
      </c>
      <c r="S1691" s="24">
        <v>0</v>
      </c>
      <c r="T1691" s="24">
        <v>443</v>
      </c>
    </row>
    <row r="1692" spans="1:20">
      <c r="A1692" s="9" t="s">
        <v>1105</v>
      </c>
      <c r="B1692" s="30" t="s">
        <v>1210</v>
      </c>
      <c r="C1692" s="30" t="str">
        <f>CONCATENATE(VOL_VOLUMEN_SUMINISTROS[[#This Row],[Proyecto]],VOL_VOLUMEN_SUMINISTROS[[#This Row],[J]],VOL_VOLUMEN_SUMINISTROS[[#This Row],[FIN DE SEMANA]])</f>
        <v>1052-1MNO</v>
      </c>
      <c r="D1692" s="365" t="str">
        <f>CONCATENATE(VOL_VOLUMEN_SUMINISTROS[[#This Row],[Grupo]],VOL_VOLUMEN_SUMINISTROS[[#This Row],[Proyecto]],VOL_VOLUMEN_SUMINISTROS[[#This Row],[FIN DE SEMANA]])</f>
        <v>161052-1NO</v>
      </c>
      <c r="E1692" s="30" t="s">
        <v>147</v>
      </c>
      <c r="F1692" s="30" t="s">
        <v>148</v>
      </c>
      <c r="G1692" s="365">
        <v>16</v>
      </c>
      <c r="H1692" s="30">
        <v>1</v>
      </c>
      <c r="I1692" s="9" t="s">
        <v>397</v>
      </c>
      <c r="J1692" s="9" t="s">
        <v>1213</v>
      </c>
      <c r="K1692" s="30">
        <v>2</v>
      </c>
      <c r="L1692" s="9" t="s">
        <v>1215</v>
      </c>
      <c r="M1692" s="30" t="s">
        <v>84</v>
      </c>
      <c r="N1692" s="30" t="s">
        <v>152</v>
      </c>
      <c r="O1692" s="24">
        <v>0</v>
      </c>
      <c r="P1692" s="24">
        <v>315</v>
      </c>
      <c r="Q1692" s="24">
        <v>171</v>
      </c>
      <c r="R1692" s="24">
        <v>0</v>
      </c>
      <c r="S1692" s="24">
        <v>0</v>
      </c>
      <c r="T1692" s="24">
        <v>486</v>
      </c>
    </row>
    <row r="1693" spans="1:20">
      <c r="A1693" s="9" t="s">
        <v>1105</v>
      </c>
      <c r="B1693" s="30" t="s">
        <v>1210</v>
      </c>
      <c r="C1693" s="30" t="str">
        <f>CONCATENATE(VOL_VOLUMEN_SUMINISTROS[[#This Row],[Proyecto]],VOL_VOLUMEN_SUMINISTROS[[#This Row],[J]],VOL_VOLUMEN_SUMINISTROS[[#This Row],[FIN DE SEMANA]])</f>
        <v>1052-1TNO</v>
      </c>
      <c r="D1693" s="365" t="str">
        <f>CONCATENATE(VOL_VOLUMEN_SUMINISTROS[[#This Row],[Grupo]],VOL_VOLUMEN_SUMINISTROS[[#This Row],[Proyecto]],VOL_VOLUMEN_SUMINISTROS[[#This Row],[FIN DE SEMANA]])</f>
        <v>161052-1NO</v>
      </c>
      <c r="E1693" s="30" t="s">
        <v>147</v>
      </c>
      <c r="F1693" s="30" t="s">
        <v>148</v>
      </c>
      <c r="G1693" s="365">
        <v>16</v>
      </c>
      <c r="H1693" s="30">
        <v>1</v>
      </c>
      <c r="I1693" s="9" t="s">
        <v>397</v>
      </c>
      <c r="J1693" s="9" t="s">
        <v>1213</v>
      </c>
      <c r="K1693" s="30">
        <v>2</v>
      </c>
      <c r="L1693" s="9" t="s">
        <v>1215</v>
      </c>
      <c r="M1693" s="30" t="s">
        <v>84</v>
      </c>
      <c r="N1693" s="30" t="s">
        <v>155</v>
      </c>
      <c r="O1693" s="24">
        <v>42</v>
      </c>
      <c r="P1693" s="24">
        <v>198</v>
      </c>
      <c r="Q1693" s="24">
        <v>184</v>
      </c>
      <c r="R1693" s="24">
        <v>0</v>
      </c>
      <c r="S1693" s="24">
        <v>0</v>
      </c>
      <c r="T1693" s="24">
        <v>424</v>
      </c>
    </row>
    <row r="1694" spans="1:20">
      <c r="A1694" s="9" t="s">
        <v>1105</v>
      </c>
      <c r="B1694" s="30" t="s">
        <v>1210</v>
      </c>
      <c r="C1694" s="30" t="str">
        <f>CONCATENATE(VOL_VOLUMEN_SUMINISTROS[[#This Row],[Proyecto]],VOL_VOLUMEN_SUMINISTROS[[#This Row],[J]],VOL_VOLUMEN_SUMINISTROS[[#This Row],[FIN DE SEMANA]])</f>
        <v>1052-1MNO</v>
      </c>
      <c r="D1694" s="365" t="str">
        <f>CONCATENATE(VOL_VOLUMEN_SUMINISTROS[[#This Row],[Grupo]],VOL_VOLUMEN_SUMINISTROS[[#This Row],[Proyecto]],VOL_VOLUMEN_SUMINISTROS[[#This Row],[FIN DE SEMANA]])</f>
        <v>271052-1NO</v>
      </c>
      <c r="E1694" s="30" t="s">
        <v>147</v>
      </c>
      <c r="F1694" s="30" t="s">
        <v>148</v>
      </c>
      <c r="G1694" s="365">
        <v>27</v>
      </c>
      <c r="H1694" s="30">
        <v>7</v>
      </c>
      <c r="I1694" s="9" t="s">
        <v>221</v>
      </c>
      <c r="J1694" s="9" t="s">
        <v>1216</v>
      </c>
      <c r="K1694" s="30">
        <v>1</v>
      </c>
      <c r="L1694" s="9" t="s">
        <v>1217</v>
      </c>
      <c r="M1694" s="30" t="s">
        <v>84</v>
      </c>
      <c r="N1694" s="30" t="s">
        <v>152</v>
      </c>
      <c r="O1694" s="24">
        <v>321</v>
      </c>
      <c r="P1694" s="24">
        <v>712</v>
      </c>
      <c r="Q1694" s="24">
        <v>993</v>
      </c>
      <c r="R1694" s="24">
        <v>0</v>
      </c>
      <c r="S1694" s="24">
        <v>0</v>
      </c>
      <c r="T1694" s="24">
        <v>2026</v>
      </c>
    </row>
    <row r="1695" spans="1:20">
      <c r="A1695" s="9" t="s">
        <v>1105</v>
      </c>
      <c r="B1695" s="30" t="s">
        <v>1210</v>
      </c>
      <c r="C1695" s="30" t="str">
        <f>CONCATENATE(VOL_VOLUMEN_SUMINISTROS[[#This Row],[Proyecto]],VOL_VOLUMEN_SUMINISTROS[[#This Row],[J]],VOL_VOLUMEN_SUMINISTROS[[#This Row],[FIN DE SEMANA]])</f>
        <v>1052-1TNO</v>
      </c>
      <c r="D1695" s="365" t="str">
        <f>CONCATENATE(VOL_VOLUMEN_SUMINISTROS[[#This Row],[Grupo]],VOL_VOLUMEN_SUMINISTROS[[#This Row],[Proyecto]],VOL_VOLUMEN_SUMINISTROS[[#This Row],[FIN DE SEMANA]])</f>
        <v>271052-1NO</v>
      </c>
      <c r="E1695" s="30" t="s">
        <v>147</v>
      </c>
      <c r="F1695" s="30" t="s">
        <v>148</v>
      </c>
      <c r="G1695" s="365">
        <v>27</v>
      </c>
      <c r="H1695" s="30">
        <v>7</v>
      </c>
      <c r="I1695" s="9" t="s">
        <v>221</v>
      </c>
      <c r="J1695" s="9" t="s">
        <v>1216</v>
      </c>
      <c r="K1695" s="30">
        <v>1</v>
      </c>
      <c r="L1695" s="9" t="s">
        <v>1217</v>
      </c>
      <c r="M1695" s="30" t="s">
        <v>84</v>
      </c>
      <c r="N1695" s="30" t="s">
        <v>155</v>
      </c>
      <c r="O1695" s="24">
        <v>433</v>
      </c>
      <c r="P1695" s="24">
        <v>768</v>
      </c>
      <c r="Q1695" s="24">
        <v>778</v>
      </c>
      <c r="R1695" s="24">
        <v>0</v>
      </c>
      <c r="S1695" s="24">
        <v>0</v>
      </c>
      <c r="T1695" s="24">
        <v>1979</v>
      </c>
    </row>
    <row r="1696" spans="1:20">
      <c r="A1696" s="9" t="s">
        <v>1105</v>
      </c>
      <c r="B1696" s="30" t="s">
        <v>1210</v>
      </c>
      <c r="C1696" s="30" t="str">
        <f>CONCATENATE(VOL_VOLUMEN_SUMINISTROS[[#This Row],[Proyecto]],VOL_VOLUMEN_SUMINISTROS[[#This Row],[J]],VOL_VOLUMEN_SUMINISTROS[[#This Row],[FIN DE SEMANA]])</f>
        <v>1052-1MNO</v>
      </c>
      <c r="D1696" s="365" t="str">
        <f>CONCATENATE(VOL_VOLUMEN_SUMINISTROS[[#This Row],[Grupo]],VOL_VOLUMEN_SUMINISTROS[[#This Row],[Proyecto]],VOL_VOLUMEN_SUMINISTROS[[#This Row],[FIN DE SEMANA]])</f>
        <v>271052-1NO</v>
      </c>
      <c r="E1696" s="30" t="s">
        <v>147</v>
      </c>
      <c r="F1696" s="30" t="s">
        <v>148</v>
      </c>
      <c r="G1696" s="365">
        <v>27</v>
      </c>
      <c r="H1696" s="30">
        <v>7</v>
      </c>
      <c r="I1696" s="9" t="s">
        <v>221</v>
      </c>
      <c r="J1696" s="9" t="s">
        <v>1216</v>
      </c>
      <c r="K1696" s="30">
        <v>2</v>
      </c>
      <c r="L1696" s="9" t="s">
        <v>1218</v>
      </c>
      <c r="M1696" s="30" t="s">
        <v>84</v>
      </c>
      <c r="N1696" s="30" t="s">
        <v>152</v>
      </c>
      <c r="O1696" s="24">
        <v>140</v>
      </c>
      <c r="P1696" s="24">
        <v>103</v>
      </c>
      <c r="Q1696" s="24">
        <v>21</v>
      </c>
      <c r="R1696" s="24">
        <v>0</v>
      </c>
      <c r="S1696" s="24">
        <v>0</v>
      </c>
      <c r="T1696" s="24">
        <v>264</v>
      </c>
    </row>
    <row r="1697" spans="1:20">
      <c r="A1697" s="9" t="s">
        <v>1105</v>
      </c>
      <c r="B1697" s="30" t="s">
        <v>1210</v>
      </c>
      <c r="C1697" s="30" t="str">
        <f>CONCATENATE(VOL_VOLUMEN_SUMINISTROS[[#This Row],[Proyecto]],VOL_VOLUMEN_SUMINISTROS[[#This Row],[J]],VOL_VOLUMEN_SUMINISTROS[[#This Row],[FIN DE SEMANA]])</f>
        <v>1052-1TNO</v>
      </c>
      <c r="D1697" s="365" t="str">
        <f>CONCATENATE(VOL_VOLUMEN_SUMINISTROS[[#This Row],[Grupo]],VOL_VOLUMEN_SUMINISTROS[[#This Row],[Proyecto]],VOL_VOLUMEN_SUMINISTROS[[#This Row],[FIN DE SEMANA]])</f>
        <v>271052-1NO</v>
      </c>
      <c r="E1697" s="30" t="s">
        <v>147</v>
      </c>
      <c r="F1697" s="30" t="s">
        <v>148</v>
      </c>
      <c r="G1697" s="365">
        <v>27</v>
      </c>
      <c r="H1697" s="30">
        <v>7</v>
      </c>
      <c r="I1697" s="9" t="s">
        <v>221</v>
      </c>
      <c r="J1697" s="9" t="s">
        <v>1216</v>
      </c>
      <c r="K1697" s="30">
        <v>2</v>
      </c>
      <c r="L1697" s="9" t="s">
        <v>1218</v>
      </c>
      <c r="M1697" s="30" t="s">
        <v>84</v>
      </c>
      <c r="N1697" s="30" t="s">
        <v>155</v>
      </c>
      <c r="O1697" s="24">
        <v>140</v>
      </c>
      <c r="P1697" s="24">
        <v>103</v>
      </c>
      <c r="Q1697" s="24">
        <v>21</v>
      </c>
      <c r="R1697" s="24">
        <v>0</v>
      </c>
      <c r="S1697" s="24">
        <v>0</v>
      </c>
      <c r="T1697" s="24">
        <v>264</v>
      </c>
    </row>
    <row r="1698" spans="1:20">
      <c r="A1698" s="9" t="s">
        <v>1105</v>
      </c>
      <c r="B1698" s="30" t="s">
        <v>1210</v>
      </c>
      <c r="C1698" s="30" t="str">
        <f>CONCATENATE(VOL_VOLUMEN_SUMINISTROS[[#This Row],[Proyecto]],VOL_VOLUMEN_SUMINISTROS[[#This Row],[J]],VOL_VOLUMEN_SUMINISTROS[[#This Row],[FIN DE SEMANA]])</f>
        <v>1052-1MNO</v>
      </c>
      <c r="D1698" s="365" t="str">
        <f>CONCATENATE(VOL_VOLUMEN_SUMINISTROS[[#This Row],[Grupo]],VOL_VOLUMEN_SUMINISTROS[[#This Row],[Proyecto]],VOL_VOLUMEN_SUMINISTROS[[#This Row],[FIN DE SEMANA]])</f>
        <v>271052-1NO</v>
      </c>
      <c r="E1698" s="30" t="s">
        <v>147</v>
      </c>
      <c r="F1698" s="30" t="s">
        <v>148</v>
      </c>
      <c r="G1698" s="365">
        <v>27</v>
      </c>
      <c r="H1698" s="30">
        <v>7</v>
      </c>
      <c r="I1698" s="9" t="s">
        <v>221</v>
      </c>
      <c r="J1698" s="9" t="s">
        <v>1216</v>
      </c>
      <c r="K1698" s="30">
        <v>3</v>
      </c>
      <c r="L1698" s="9" t="s">
        <v>196</v>
      </c>
      <c r="M1698" s="30" t="s">
        <v>84</v>
      </c>
      <c r="N1698" s="30" t="s">
        <v>152</v>
      </c>
      <c r="O1698" s="24">
        <v>212</v>
      </c>
      <c r="P1698" s="24">
        <v>202</v>
      </c>
      <c r="Q1698" s="24">
        <v>42</v>
      </c>
      <c r="R1698" s="24">
        <v>0</v>
      </c>
      <c r="S1698" s="24">
        <v>0</v>
      </c>
      <c r="T1698" s="24">
        <v>456</v>
      </c>
    </row>
    <row r="1699" spans="1:20">
      <c r="A1699" s="9" t="s">
        <v>1105</v>
      </c>
      <c r="B1699" s="30" t="s">
        <v>1210</v>
      </c>
      <c r="C1699" s="30" t="str">
        <f>CONCATENATE(VOL_VOLUMEN_SUMINISTROS[[#This Row],[Proyecto]],VOL_VOLUMEN_SUMINISTROS[[#This Row],[J]],VOL_VOLUMEN_SUMINISTROS[[#This Row],[FIN DE SEMANA]])</f>
        <v>1052-1TNO</v>
      </c>
      <c r="D1699" s="365" t="str">
        <f>CONCATENATE(VOL_VOLUMEN_SUMINISTROS[[#This Row],[Grupo]],VOL_VOLUMEN_SUMINISTROS[[#This Row],[Proyecto]],VOL_VOLUMEN_SUMINISTROS[[#This Row],[FIN DE SEMANA]])</f>
        <v>271052-1NO</v>
      </c>
      <c r="E1699" s="30" t="s">
        <v>147</v>
      </c>
      <c r="F1699" s="30" t="s">
        <v>148</v>
      </c>
      <c r="G1699" s="365">
        <v>27</v>
      </c>
      <c r="H1699" s="30">
        <v>7</v>
      </c>
      <c r="I1699" s="9" t="s">
        <v>221</v>
      </c>
      <c r="J1699" s="9" t="s">
        <v>1216</v>
      </c>
      <c r="K1699" s="30">
        <v>3</v>
      </c>
      <c r="L1699" s="9" t="s">
        <v>196</v>
      </c>
      <c r="M1699" s="30" t="s">
        <v>84</v>
      </c>
      <c r="N1699" s="30" t="s">
        <v>155</v>
      </c>
      <c r="O1699" s="24">
        <v>214</v>
      </c>
      <c r="P1699" s="24">
        <v>200</v>
      </c>
      <c r="Q1699" s="24">
        <v>41</v>
      </c>
      <c r="R1699" s="24">
        <v>0</v>
      </c>
      <c r="S1699" s="24">
        <v>0</v>
      </c>
      <c r="T1699" s="24">
        <v>455</v>
      </c>
    </row>
    <row r="1700" spans="1:20">
      <c r="A1700" s="9" t="s">
        <v>1105</v>
      </c>
      <c r="B1700" s="30" t="s">
        <v>1210</v>
      </c>
      <c r="C1700" s="30" t="str">
        <f>CONCATENATE(VOL_VOLUMEN_SUMINISTROS[[#This Row],[Proyecto]],VOL_VOLUMEN_SUMINISTROS[[#This Row],[J]],VOL_VOLUMEN_SUMINISTROS[[#This Row],[FIN DE SEMANA]])</f>
        <v>1052-1MNO</v>
      </c>
      <c r="D1700" s="365" t="str">
        <f>CONCATENATE(VOL_VOLUMEN_SUMINISTROS[[#This Row],[Grupo]],VOL_VOLUMEN_SUMINISTROS[[#This Row],[Proyecto]],VOL_VOLUMEN_SUMINISTROS[[#This Row],[FIN DE SEMANA]])</f>
        <v>271052-1NO</v>
      </c>
      <c r="E1700" s="30" t="s">
        <v>147</v>
      </c>
      <c r="F1700" s="30" t="s">
        <v>148</v>
      </c>
      <c r="G1700" s="365">
        <v>27</v>
      </c>
      <c r="H1700" s="30">
        <v>7</v>
      </c>
      <c r="I1700" s="9" t="s">
        <v>221</v>
      </c>
      <c r="J1700" s="9" t="s">
        <v>1219</v>
      </c>
      <c r="K1700" s="30">
        <v>1</v>
      </c>
      <c r="L1700" s="9" t="s">
        <v>1220</v>
      </c>
      <c r="M1700" s="30" t="s">
        <v>84</v>
      </c>
      <c r="N1700" s="30" t="s">
        <v>152</v>
      </c>
      <c r="O1700" s="24">
        <v>0</v>
      </c>
      <c r="P1700" s="24">
        <v>282</v>
      </c>
      <c r="Q1700" s="24">
        <v>737</v>
      </c>
      <c r="R1700" s="24">
        <v>0</v>
      </c>
      <c r="S1700" s="24">
        <v>0</v>
      </c>
      <c r="T1700" s="24">
        <v>1019</v>
      </c>
    </row>
    <row r="1701" spans="1:20">
      <c r="A1701" s="9" t="s">
        <v>1105</v>
      </c>
      <c r="B1701" s="30" t="s">
        <v>1210</v>
      </c>
      <c r="C1701" s="30" t="str">
        <f>CONCATENATE(VOL_VOLUMEN_SUMINISTROS[[#This Row],[Proyecto]],VOL_VOLUMEN_SUMINISTROS[[#This Row],[J]],VOL_VOLUMEN_SUMINISTROS[[#This Row],[FIN DE SEMANA]])</f>
        <v>1052-1NNO</v>
      </c>
      <c r="D1701" s="365" t="str">
        <f>CONCATENATE(VOL_VOLUMEN_SUMINISTROS[[#This Row],[Grupo]],VOL_VOLUMEN_SUMINISTROS[[#This Row],[Proyecto]],VOL_VOLUMEN_SUMINISTROS[[#This Row],[FIN DE SEMANA]])</f>
        <v>271052-1NO</v>
      </c>
      <c r="E1701" s="30" t="s">
        <v>147</v>
      </c>
      <c r="F1701" s="30" t="s">
        <v>148</v>
      </c>
      <c r="G1701" s="365">
        <v>27</v>
      </c>
      <c r="H1701" s="30">
        <v>7</v>
      </c>
      <c r="I1701" s="9" t="s">
        <v>221</v>
      </c>
      <c r="J1701" s="9" t="s">
        <v>1219</v>
      </c>
      <c r="K1701" s="30">
        <v>1</v>
      </c>
      <c r="L1701" s="9" t="s">
        <v>1220</v>
      </c>
      <c r="M1701" s="30" t="s">
        <v>84</v>
      </c>
      <c r="N1701" s="30" t="s">
        <v>154</v>
      </c>
      <c r="O1701" s="24">
        <v>0</v>
      </c>
      <c r="P1701" s="24">
        <v>0</v>
      </c>
      <c r="Q1701" s="24">
        <v>0</v>
      </c>
      <c r="R1701" s="24">
        <v>192</v>
      </c>
      <c r="S1701" s="24">
        <v>214</v>
      </c>
      <c r="T1701" s="24">
        <v>406</v>
      </c>
    </row>
    <row r="1702" spans="1:20">
      <c r="A1702" s="9" t="s">
        <v>1105</v>
      </c>
      <c r="B1702" s="30" t="s">
        <v>1210</v>
      </c>
      <c r="C1702" s="30" t="str">
        <f>CONCATENATE(VOL_VOLUMEN_SUMINISTROS[[#This Row],[Proyecto]],VOL_VOLUMEN_SUMINISTROS[[#This Row],[J]],VOL_VOLUMEN_SUMINISTROS[[#This Row],[FIN DE SEMANA]])</f>
        <v>1052-1TNO</v>
      </c>
      <c r="D1702" s="365" t="str">
        <f>CONCATENATE(VOL_VOLUMEN_SUMINISTROS[[#This Row],[Grupo]],VOL_VOLUMEN_SUMINISTROS[[#This Row],[Proyecto]],VOL_VOLUMEN_SUMINISTROS[[#This Row],[FIN DE SEMANA]])</f>
        <v>271052-1NO</v>
      </c>
      <c r="E1702" s="30" t="s">
        <v>147</v>
      </c>
      <c r="F1702" s="30" t="s">
        <v>148</v>
      </c>
      <c r="G1702" s="365">
        <v>27</v>
      </c>
      <c r="H1702" s="30">
        <v>7</v>
      </c>
      <c r="I1702" s="9" t="s">
        <v>221</v>
      </c>
      <c r="J1702" s="9" t="s">
        <v>1219</v>
      </c>
      <c r="K1702" s="30">
        <v>1</v>
      </c>
      <c r="L1702" s="9" t="s">
        <v>1220</v>
      </c>
      <c r="M1702" s="30" t="s">
        <v>84</v>
      </c>
      <c r="N1702" s="30" t="s">
        <v>155</v>
      </c>
      <c r="O1702" s="24">
        <v>0</v>
      </c>
      <c r="P1702" s="24">
        <v>309</v>
      </c>
      <c r="Q1702" s="24">
        <v>692</v>
      </c>
      <c r="R1702" s="24">
        <v>0</v>
      </c>
      <c r="S1702" s="24">
        <v>0</v>
      </c>
      <c r="T1702" s="24">
        <v>1001</v>
      </c>
    </row>
    <row r="1703" spans="1:20">
      <c r="A1703" s="9" t="s">
        <v>1105</v>
      </c>
      <c r="B1703" s="30" t="s">
        <v>1210</v>
      </c>
      <c r="C1703" s="30" t="str">
        <f>CONCATENATE(VOL_VOLUMEN_SUMINISTROS[[#This Row],[Proyecto]],VOL_VOLUMEN_SUMINISTROS[[#This Row],[J]],VOL_VOLUMEN_SUMINISTROS[[#This Row],[FIN DE SEMANA]])</f>
        <v>1052-1MNO</v>
      </c>
      <c r="D1703" s="365" t="str">
        <f>CONCATENATE(VOL_VOLUMEN_SUMINISTROS[[#This Row],[Grupo]],VOL_VOLUMEN_SUMINISTROS[[#This Row],[Proyecto]],VOL_VOLUMEN_SUMINISTROS[[#This Row],[FIN DE SEMANA]])</f>
        <v>271052-1NO</v>
      </c>
      <c r="E1703" s="30" t="s">
        <v>147</v>
      </c>
      <c r="F1703" s="30" t="s">
        <v>148</v>
      </c>
      <c r="G1703" s="365">
        <v>27</v>
      </c>
      <c r="H1703" s="30">
        <v>7</v>
      </c>
      <c r="I1703" s="9" t="s">
        <v>221</v>
      </c>
      <c r="J1703" s="9" t="s">
        <v>1219</v>
      </c>
      <c r="K1703" s="30">
        <v>2</v>
      </c>
      <c r="L1703" s="9" t="s">
        <v>1221</v>
      </c>
      <c r="M1703" s="30" t="s">
        <v>84</v>
      </c>
      <c r="N1703" s="30" t="s">
        <v>152</v>
      </c>
      <c r="O1703" s="24">
        <v>338</v>
      </c>
      <c r="P1703" s="24">
        <v>430</v>
      </c>
      <c r="Q1703" s="24">
        <v>87</v>
      </c>
      <c r="R1703" s="24">
        <v>0</v>
      </c>
      <c r="S1703" s="24">
        <v>0</v>
      </c>
      <c r="T1703" s="24">
        <v>855</v>
      </c>
    </row>
    <row r="1704" spans="1:20">
      <c r="A1704" s="9" t="s">
        <v>1105</v>
      </c>
      <c r="B1704" s="30" t="s">
        <v>1210</v>
      </c>
      <c r="C1704" s="30" t="str">
        <f>CONCATENATE(VOL_VOLUMEN_SUMINISTROS[[#This Row],[Proyecto]],VOL_VOLUMEN_SUMINISTROS[[#This Row],[J]],VOL_VOLUMEN_SUMINISTROS[[#This Row],[FIN DE SEMANA]])</f>
        <v>1052-1TNO</v>
      </c>
      <c r="D1704" s="365" t="str">
        <f>CONCATENATE(VOL_VOLUMEN_SUMINISTROS[[#This Row],[Grupo]],VOL_VOLUMEN_SUMINISTROS[[#This Row],[Proyecto]],VOL_VOLUMEN_SUMINISTROS[[#This Row],[FIN DE SEMANA]])</f>
        <v>271052-1NO</v>
      </c>
      <c r="E1704" s="30" t="s">
        <v>147</v>
      </c>
      <c r="F1704" s="30" t="s">
        <v>148</v>
      </c>
      <c r="G1704" s="365">
        <v>27</v>
      </c>
      <c r="H1704" s="30">
        <v>7</v>
      </c>
      <c r="I1704" s="9" t="s">
        <v>221</v>
      </c>
      <c r="J1704" s="9" t="s">
        <v>1219</v>
      </c>
      <c r="K1704" s="30">
        <v>2</v>
      </c>
      <c r="L1704" s="9" t="s">
        <v>1221</v>
      </c>
      <c r="M1704" s="30" t="s">
        <v>84</v>
      </c>
      <c r="N1704" s="30" t="s">
        <v>155</v>
      </c>
      <c r="O1704" s="24">
        <v>342</v>
      </c>
      <c r="P1704" s="24">
        <v>429</v>
      </c>
      <c r="Q1704" s="24">
        <v>86</v>
      </c>
      <c r="R1704" s="24">
        <v>0</v>
      </c>
      <c r="S1704" s="24">
        <v>0</v>
      </c>
      <c r="T1704" s="24">
        <v>857</v>
      </c>
    </row>
    <row r="1705" spans="1:20">
      <c r="A1705" s="9" t="s">
        <v>1105</v>
      </c>
      <c r="B1705" s="30" t="s">
        <v>1210</v>
      </c>
      <c r="C1705" s="30" t="str">
        <f>CONCATENATE(VOL_VOLUMEN_SUMINISTROS[[#This Row],[Proyecto]],VOL_VOLUMEN_SUMINISTROS[[#This Row],[J]],VOL_VOLUMEN_SUMINISTROS[[#This Row],[FIN DE SEMANA]])</f>
        <v>1052-1MNO</v>
      </c>
      <c r="D1705" s="365" t="str">
        <f>CONCATENATE(VOL_VOLUMEN_SUMINISTROS[[#This Row],[Grupo]],VOL_VOLUMEN_SUMINISTROS[[#This Row],[Proyecto]],VOL_VOLUMEN_SUMINISTROS[[#This Row],[FIN DE SEMANA]])</f>
        <v>271052-1NO</v>
      </c>
      <c r="E1705" s="30" t="s">
        <v>147</v>
      </c>
      <c r="F1705" s="30" t="s">
        <v>148</v>
      </c>
      <c r="G1705" s="365">
        <v>27</v>
      </c>
      <c r="H1705" s="30">
        <v>7</v>
      </c>
      <c r="I1705" s="9" t="s">
        <v>221</v>
      </c>
      <c r="J1705" s="9" t="s">
        <v>1219</v>
      </c>
      <c r="K1705" s="30">
        <v>3</v>
      </c>
      <c r="L1705" s="9" t="s">
        <v>1222</v>
      </c>
      <c r="M1705" s="30" t="s">
        <v>84</v>
      </c>
      <c r="N1705" s="30" t="s">
        <v>152</v>
      </c>
      <c r="O1705" s="24">
        <v>159</v>
      </c>
      <c r="P1705" s="24">
        <v>0</v>
      </c>
      <c r="Q1705" s="24">
        <v>0</v>
      </c>
      <c r="R1705" s="24">
        <v>0</v>
      </c>
      <c r="S1705" s="24">
        <v>0</v>
      </c>
      <c r="T1705" s="24">
        <v>159</v>
      </c>
    </row>
    <row r="1706" spans="1:20">
      <c r="A1706" s="9" t="s">
        <v>1105</v>
      </c>
      <c r="B1706" s="30" t="s">
        <v>1210</v>
      </c>
      <c r="C1706" s="30" t="str">
        <f>CONCATENATE(VOL_VOLUMEN_SUMINISTROS[[#This Row],[Proyecto]],VOL_VOLUMEN_SUMINISTROS[[#This Row],[J]],VOL_VOLUMEN_SUMINISTROS[[#This Row],[FIN DE SEMANA]])</f>
        <v>1052-1TNO</v>
      </c>
      <c r="D1706" s="365" t="str">
        <f>CONCATENATE(VOL_VOLUMEN_SUMINISTROS[[#This Row],[Grupo]],VOL_VOLUMEN_SUMINISTROS[[#This Row],[Proyecto]],VOL_VOLUMEN_SUMINISTROS[[#This Row],[FIN DE SEMANA]])</f>
        <v>271052-1NO</v>
      </c>
      <c r="E1706" s="30" t="s">
        <v>147</v>
      </c>
      <c r="F1706" s="30" t="s">
        <v>148</v>
      </c>
      <c r="G1706" s="365">
        <v>27</v>
      </c>
      <c r="H1706" s="30">
        <v>7</v>
      </c>
      <c r="I1706" s="9" t="s">
        <v>221</v>
      </c>
      <c r="J1706" s="9" t="s">
        <v>1219</v>
      </c>
      <c r="K1706" s="30">
        <v>3</v>
      </c>
      <c r="L1706" s="9" t="s">
        <v>1222</v>
      </c>
      <c r="M1706" s="30" t="s">
        <v>84</v>
      </c>
      <c r="N1706" s="30" t="s">
        <v>155</v>
      </c>
      <c r="O1706" s="24">
        <v>180</v>
      </c>
      <c r="P1706" s="24">
        <v>0</v>
      </c>
      <c r="Q1706" s="24">
        <v>0</v>
      </c>
      <c r="R1706" s="24">
        <v>0</v>
      </c>
      <c r="S1706" s="24">
        <v>0</v>
      </c>
      <c r="T1706" s="24">
        <v>180</v>
      </c>
    </row>
    <row r="1707" spans="1:20">
      <c r="A1707" s="9" t="s">
        <v>1105</v>
      </c>
      <c r="B1707" s="30" t="s">
        <v>1210</v>
      </c>
      <c r="C1707" s="30" t="str">
        <f>CONCATENATE(VOL_VOLUMEN_SUMINISTROS[[#This Row],[Proyecto]],VOL_VOLUMEN_SUMINISTROS[[#This Row],[J]],VOL_VOLUMEN_SUMINISTROS[[#This Row],[FIN DE SEMANA]])</f>
        <v>1052-1NNO</v>
      </c>
      <c r="D1707" s="365" t="str">
        <f>CONCATENATE(VOL_VOLUMEN_SUMINISTROS[[#This Row],[Grupo]],VOL_VOLUMEN_SUMINISTROS[[#This Row],[Proyecto]],VOL_VOLUMEN_SUMINISTROS[[#This Row],[FIN DE SEMANA]])</f>
        <v>271052-1NO</v>
      </c>
      <c r="E1707" s="30" t="s">
        <v>147</v>
      </c>
      <c r="F1707" s="30" t="s">
        <v>148</v>
      </c>
      <c r="G1707" s="365">
        <v>27</v>
      </c>
      <c r="H1707" s="30">
        <v>7</v>
      </c>
      <c r="I1707" s="9" t="s">
        <v>221</v>
      </c>
      <c r="J1707" s="9" t="s">
        <v>1219</v>
      </c>
      <c r="K1707" s="30">
        <v>4</v>
      </c>
      <c r="L1707" s="9" t="s">
        <v>1223</v>
      </c>
      <c r="M1707" s="30" t="s">
        <v>84</v>
      </c>
      <c r="N1707" s="30" t="s">
        <v>154</v>
      </c>
      <c r="O1707" s="24">
        <v>0</v>
      </c>
      <c r="P1707" s="24">
        <v>0</v>
      </c>
      <c r="Q1707" s="24">
        <v>0</v>
      </c>
      <c r="R1707" s="24">
        <v>37</v>
      </c>
      <c r="S1707" s="24">
        <v>38</v>
      </c>
      <c r="T1707" s="24">
        <v>75</v>
      </c>
    </row>
    <row r="1708" spans="1:20">
      <c r="A1708" s="9" t="s">
        <v>1105</v>
      </c>
      <c r="B1708" s="30" t="s">
        <v>1210</v>
      </c>
      <c r="C1708" s="30" t="str">
        <f>CONCATENATE(VOL_VOLUMEN_SUMINISTROS[[#This Row],[Proyecto]],VOL_VOLUMEN_SUMINISTROS[[#This Row],[J]],VOL_VOLUMEN_SUMINISTROS[[#This Row],[FIN DE SEMANA]])</f>
        <v>1052-1MNO</v>
      </c>
      <c r="D1708" s="365" t="str">
        <f>CONCATENATE(VOL_VOLUMEN_SUMINISTROS[[#This Row],[Grupo]],VOL_VOLUMEN_SUMINISTROS[[#This Row],[Proyecto]],VOL_VOLUMEN_SUMINISTROS[[#This Row],[FIN DE SEMANA]])</f>
        <v>271052-1NO</v>
      </c>
      <c r="E1708" s="30" t="s">
        <v>147</v>
      </c>
      <c r="F1708" s="30" t="s">
        <v>148</v>
      </c>
      <c r="G1708" s="365">
        <v>27</v>
      </c>
      <c r="H1708" s="30">
        <v>7</v>
      </c>
      <c r="I1708" s="9" t="s">
        <v>221</v>
      </c>
      <c r="J1708" s="9" t="s">
        <v>1224</v>
      </c>
      <c r="K1708" s="30">
        <v>1</v>
      </c>
      <c r="L1708" s="9" t="s">
        <v>1225</v>
      </c>
      <c r="M1708" s="30" t="s">
        <v>84</v>
      </c>
      <c r="N1708" s="30" t="s">
        <v>152</v>
      </c>
      <c r="O1708" s="24">
        <v>50</v>
      </c>
      <c r="P1708" s="24">
        <v>108</v>
      </c>
      <c r="Q1708" s="24">
        <v>36</v>
      </c>
      <c r="R1708" s="24">
        <v>0</v>
      </c>
      <c r="S1708" s="24">
        <v>0</v>
      </c>
      <c r="T1708" s="24">
        <v>194</v>
      </c>
    </row>
    <row r="1709" spans="1:20">
      <c r="A1709" s="9" t="s">
        <v>1105</v>
      </c>
      <c r="B1709" s="30" t="s">
        <v>1210</v>
      </c>
      <c r="C1709" s="30" t="str">
        <f>CONCATENATE(VOL_VOLUMEN_SUMINISTROS[[#This Row],[Proyecto]],VOL_VOLUMEN_SUMINISTROS[[#This Row],[J]],VOL_VOLUMEN_SUMINISTROS[[#This Row],[FIN DE SEMANA]])</f>
        <v>1052-1TNO</v>
      </c>
      <c r="D1709" s="365" t="str">
        <f>CONCATENATE(VOL_VOLUMEN_SUMINISTROS[[#This Row],[Grupo]],VOL_VOLUMEN_SUMINISTROS[[#This Row],[Proyecto]],VOL_VOLUMEN_SUMINISTROS[[#This Row],[FIN DE SEMANA]])</f>
        <v>271052-1NO</v>
      </c>
      <c r="E1709" s="30" t="s">
        <v>147</v>
      </c>
      <c r="F1709" s="30" t="s">
        <v>148</v>
      </c>
      <c r="G1709" s="365">
        <v>27</v>
      </c>
      <c r="H1709" s="30">
        <v>7</v>
      </c>
      <c r="I1709" s="9" t="s">
        <v>221</v>
      </c>
      <c r="J1709" s="9" t="s">
        <v>1224</v>
      </c>
      <c r="K1709" s="30">
        <v>1</v>
      </c>
      <c r="L1709" s="9" t="s">
        <v>1225</v>
      </c>
      <c r="M1709" s="30" t="s">
        <v>84</v>
      </c>
      <c r="N1709" s="30" t="s">
        <v>155</v>
      </c>
      <c r="O1709" s="24">
        <v>50</v>
      </c>
      <c r="P1709" s="24">
        <v>108</v>
      </c>
      <c r="Q1709" s="24">
        <v>36</v>
      </c>
      <c r="R1709" s="24">
        <v>0</v>
      </c>
      <c r="S1709" s="24">
        <v>0</v>
      </c>
      <c r="T1709" s="24">
        <v>194</v>
      </c>
    </row>
    <row r="1710" spans="1:20">
      <c r="A1710" s="9" t="s">
        <v>1105</v>
      </c>
      <c r="B1710" s="30" t="s">
        <v>1210</v>
      </c>
      <c r="C1710" s="30" t="str">
        <f>CONCATENATE(VOL_VOLUMEN_SUMINISTROS[[#This Row],[Proyecto]],VOL_VOLUMEN_SUMINISTROS[[#This Row],[J]],VOL_VOLUMEN_SUMINISTROS[[#This Row],[FIN DE SEMANA]])</f>
        <v>1052-1MNO</v>
      </c>
      <c r="D1710" s="365" t="str">
        <f>CONCATENATE(VOL_VOLUMEN_SUMINISTROS[[#This Row],[Grupo]],VOL_VOLUMEN_SUMINISTROS[[#This Row],[Proyecto]],VOL_VOLUMEN_SUMINISTROS[[#This Row],[FIN DE SEMANA]])</f>
        <v>271052-1NO</v>
      </c>
      <c r="E1710" s="30" t="s">
        <v>147</v>
      </c>
      <c r="F1710" s="30" t="s">
        <v>148</v>
      </c>
      <c r="G1710" s="365">
        <v>27</v>
      </c>
      <c r="H1710" s="30">
        <v>7</v>
      </c>
      <c r="I1710" s="9" t="s">
        <v>221</v>
      </c>
      <c r="J1710" s="9" t="s">
        <v>1224</v>
      </c>
      <c r="K1710" s="30">
        <v>2</v>
      </c>
      <c r="L1710" s="9" t="s">
        <v>1226</v>
      </c>
      <c r="M1710" s="30" t="s">
        <v>84</v>
      </c>
      <c r="N1710" s="30" t="s">
        <v>152</v>
      </c>
      <c r="O1710" s="24">
        <v>196</v>
      </c>
      <c r="P1710" s="24">
        <v>125</v>
      </c>
      <c r="Q1710" s="24">
        <v>9</v>
      </c>
      <c r="R1710" s="24">
        <v>0</v>
      </c>
      <c r="S1710" s="24">
        <v>0</v>
      </c>
      <c r="T1710" s="24">
        <v>330</v>
      </c>
    </row>
    <row r="1711" spans="1:20">
      <c r="A1711" s="9" t="s">
        <v>1105</v>
      </c>
      <c r="B1711" s="30" t="s">
        <v>1210</v>
      </c>
      <c r="C1711" s="30" t="str">
        <f>CONCATENATE(VOL_VOLUMEN_SUMINISTROS[[#This Row],[Proyecto]],VOL_VOLUMEN_SUMINISTROS[[#This Row],[J]],VOL_VOLUMEN_SUMINISTROS[[#This Row],[FIN DE SEMANA]])</f>
        <v>1052-1TNO</v>
      </c>
      <c r="D1711" s="365" t="str">
        <f>CONCATENATE(VOL_VOLUMEN_SUMINISTROS[[#This Row],[Grupo]],VOL_VOLUMEN_SUMINISTROS[[#This Row],[Proyecto]],VOL_VOLUMEN_SUMINISTROS[[#This Row],[FIN DE SEMANA]])</f>
        <v>271052-1NO</v>
      </c>
      <c r="E1711" s="30" t="s">
        <v>147</v>
      </c>
      <c r="F1711" s="30" t="s">
        <v>148</v>
      </c>
      <c r="G1711" s="365">
        <v>27</v>
      </c>
      <c r="H1711" s="30">
        <v>7</v>
      </c>
      <c r="I1711" s="9" t="s">
        <v>221</v>
      </c>
      <c r="J1711" s="9" t="s">
        <v>1224</v>
      </c>
      <c r="K1711" s="30">
        <v>2</v>
      </c>
      <c r="L1711" s="9" t="s">
        <v>1226</v>
      </c>
      <c r="M1711" s="30" t="s">
        <v>84</v>
      </c>
      <c r="N1711" s="30" t="s">
        <v>155</v>
      </c>
      <c r="O1711" s="24">
        <v>196</v>
      </c>
      <c r="P1711" s="24">
        <v>125</v>
      </c>
      <c r="Q1711" s="24">
        <v>9</v>
      </c>
      <c r="R1711" s="24">
        <v>0</v>
      </c>
      <c r="S1711" s="24">
        <v>0</v>
      </c>
      <c r="T1711" s="24">
        <v>330</v>
      </c>
    </row>
    <row r="1712" spans="1:20">
      <c r="A1712" s="9" t="s">
        <v>1105</v>
      </c>
      <c r="B1712" s="30" t="s">
        <v>1210</v>
      </c>
      <c r="C1712" s="30" t="str">
        <f>CONCATENATE(VOL_VOLUMEN_SUMINISTROS[[#This Row],[Proyecto]],VOL_VOLUMEN_SUMINISTROS[[#This Row],[J]],VOL_VOLUMEN_SUMINISTROS[[#This Row],[FIN DE SEMANA]])</f>
        <v>1052-1TNO</v>
      </c>
      <c r="D1712" s="365" t="str">
        <f>CONCATENATE(VOL_VOLUMEN_SUMINISTROS[[#This Row],[Grupo]],VOL_VOLUMEN_SUMINISTROS[[#This Row],[Proyecto]],VOL_VOLUMEN_SUMINISTROS[[#This Row],[FIN DE SEMANA]])</f>
        <v>271052-1NO</v>
      </c>
      <c r="E1712" s="30" t="s">
        <v>147</v>
      </c>
      <c r="F1712" s="30" t="s">
        <v>148</v>
      </c>
      <c r="G1712" s="365">
        <v>27</v>
      </c>
      <c r="H1712" s="30">
        <v>7</v>
      </c>
      <c r="I1712" s="9" t="s">
        <v>221</v>
      </c>
      <c r="J1712" s="9" t="s">
        <v>1224</v>
      </c>
      <c r="K1712" s="30">
        <v>3</v>
      </c>
      <c r="L1712" s="9" t="s">
        <v>1225</v>
      </c>
      <c r="M1712" s="30" t="s">
        <v>84</v>
      </c>
      <c r="N1712" s="30" t="s">
        <v>155</v>
      </c>
      <c r="O1712" s="24">
        <v>0</v>
      </c>
      <c r="P1712" s="24">
        <v>252</v>
      </c>
      <c r="Q1712" s="24">
        <v>212</v>
      </c>
      <c r="R1712" s="24">
        <v>0</v>
      </c>
      <c r="S1712" s="24">
        <v>0</v>
      </c>
      <c r="T1712" s="24">
        <v>464</v>
      </c>
    </row>
    <row r="1713" spans="1:20">
      <c r="A1713" s="9" t="s">
        <v>1105</v>
      </c>
      <c r="B1713" s="30" t="s">
        <v>1210</v>
      </c>
      <c r="C1713" s="30" t="str">
        <f>CONCATENATE(VOL_VOLUMEN_SUMINISTROS[[#This Row],[Proyecto]],VOL_VOLUMEN_SUMINISTROS[[#This Row],[J]],VOL_VOLUMEN_SUMINISTROS[[#This Row],[FIN DE SEMANA]])</f>
        <v>1052-1MNO</v>
      </c>
      <c r="D1713" s="365" t="str">
        <f>CONCATENATE(VOL_VOLUMEN_SUMINISTROS[[#This Row],[Grupo]],VOL_VOLUMEN_SUMINISTROS[[#This Row],[Proyecto]],VOL_VOLUMEN_SUMINISTROS[[#This Row],[FIN DE SEMANA]])</f>
        <v>271052-1NO</v>
      </c>
      <c r="E1713" s="30" t="s">
        <v>147</v>
      </c>
      <c r="F1713" s="30" t="s">
        <v>148</v>
      </c>
      <c r="G1713" s="365">
        <v>27</v>
      </c>
      <c r="H1713" s="30">
        <v>7</v>
      </c>
      <c r="I1713" s="9" t="s">
        <v>221</v>
      </c>
      <c r="J1713" s="9" t="s">
        <v>1227</v>
      </c>
      <c r="K1713" s="30">
        <v>2</v>
      </c>
      <c r="L1713" s="9" t="s">
        <v>1228</v>
      </c>
      <c r="M1713" s="30" t="s">
        <v>84</v>
      </c>
      <c r="N1713" s="30" t="s">
        <v>152</v>
      </c>
      <c r="O1713" s="24">
        <v>288</v>
      </c>
      <c r="P1713" s="24">
        <v>144</v>
      </c>
      <c r="Q1713" s="24">
        <v>0</v>
      </c>
      <c r="R1713" s="24">
        <v>0</v>
      </c>
      <c r="S1713" s="24">
        <v>0</v>
      </c>
      <c r="T1713" s="24">
        <v>432</v>
      </c>
    </row>
    <row r="1714" spans="1:20">
      <c r="A1714" s="9" t="s">
        <v>1105</v>
      </c>
      <c r="B1714" s="30" t="s">
        <v>1210</v>
      </c>
      <c r="C1714" s="30" t="str">
        <f>CONCATENATE(VOL_VOLUMEN_SUMINISTROS[[#This Row],[Proyecto]],VOL_VOLUMEN_SUMINISTROS[[#This Row],[J]],VOL_VOLUMEN_SUMINISTROS[[#This Row],[FIN DE SEMANA]])</f>
        <v>1052-1TNO</v>
      </c>
      <c r="D1714" s="365" t="str">
        <f>CONCATENATE(VOL_VOLUMEN_SUMINISTROS[[#This Row],[Grupo]],VOL_VOLUMEN_SUMINISTROS[[#This Row],[Proyecto]],VOL_VOLUMEN_SUMINISTROS[[#This Row],[FIN DE SEMANA]])</f>
        <v>271052-1NO</v>
      </c>
      <c r="E1714" s="30" t="s">
        <v>147</v>
      </c>
      <c r="F1714" s="30" t="s">
        <v>148</v>
      </c>
      <c r="G1714" s="365">
        <v>27</v>
      </c>
      <c r="H1714" s="30">
        <v>7</v>
      </c>
      <c r="I1714" s="9" t="s">
        <v>221</v>
      </c>
      <c r="J1714" s="9" t="s">
        <v>1227</v>
      </c>
      <c r="K1714" s="30">
        <v>2</v>
      </c>
      <c r="L1714" s="9" t="s">
        <v>1228</v>
      </c>
      <c r="M1714" s="30" t="s">
        <v>84</v>
      </c>
      <c r="N1714" s="30" t="s">
        <v>155</v>
      </c>
      <c r="O1714" s="24">
        <v>292</v>
      </c>
      <c r="P1714" s="24">
        <v>146</v>
      </c>
      <c r="Q1714" s="24">
        <v>0</v>
      </c>
      <c r="R1714" s="24">
        <v>0</v>
      </c>
      <c r="S1714" s="24">
        <v>0</v>
      </c>
      <c r="T1714" s="24">
        <v>438</v>
      </c>
    </row>
    <row r="1715" spans="1:20">
      <c r="A1715" s="9" t="s">
        <v>1105</v>
      </c>
      <c r="B1715" s="30" t="s">
        <v>1229</v>
      </c>
      <c r="C1715" s="30" t="str">
        <f>CONCATENATE(VOL_VOLUMEN_SUMINISTROS[[#This Row],[Proyecto]],VOL_VOLUMEN_SUMINISTROS[[#This Row],[J]],VOL_VOLUMEN_SUMINISTROS[[#This Row],[FIN DE SEMANA]])</f>
        <v>1052-2M1NO</v>
      </c>
      <c r="D1715" s="365" t="str">
        <f>CONCATENATE(VOL_VOLUMEN_SUMINISTROS[[#This Row],[Grupo]],VOL_VOLUMEN_SUMINISTROS[[#This Row],[Proyecto]],VOL_VOLUMEN_SUMINISTROS[[#This Row],[FIN DE SEMANA]])</f>
        <v>181052-2NO</v>
      </c>
      <c r="E1715" s="30" t="s">
        <v>183</v>
      </c>
      <c r="F1715" s="30" t="s">
        <v>148</v>
      </c>
      <c r="G1715" s="365">
        <v>18</v>
      </c>
      <c r="H1715" s="30">
        <v>5</v>
      </c>
      <c r="I1715" s="9" t="s">
        <v>764</v>
      </c>
      <c r="J1715" s="9" t="s">
        <v>1191</v>
      </c>
      <c r="K1715" s="30">
        <v>1</v>
      </c>
      <c r="L1715" s="9" t="s">
        <v>1192</v>
      </c>
      <c r="M1715" s="30" t="s">
        <v>84</v>
      </c>
      <c r="N1715" s="30" t="s">
        <v>216</v>
      </c>
      <c r="O1715" s="24">
        <v>34</v>
      </c>
      <c r="P1715" s="24">
        <v>131</v>
      </c>
      <c r="Q1715" s="24">
        <v>138</v>
      </c>
      <c r="R1715" s="24">
        <v>0</v>
      </c>
      <c r="S1715" s="24">
        <v>0</v>
      </c>
      <c r="T1715" s="24">
        <v>303</v>
      </c>
    </row>
    <row r="1716" spans="1:20">
      <c r="A1716" s="9" t="s">
        <v>1105</v>
      </c>
      <c r="B1716" s="30" t="s">
        <v>1229</v>
      </c>
      <c r="C1716" s="30" t="str">
        <f>CONCATENATE(VOL_VOLUMEN_SUMINISTROS[[#This Row],[Proyecto]],VOL_VOLUMEN_SUMINISTROS[[#This Row],[J]],VOL_VOLUMEN_SUMINISTROS[[#This Row],[FIN DE SEMANA]])</f>
        <v>1052-2TNO</v>
      </c>
      <c r="D1716" s="365" t="str">
        <f>CONCATENATE(VOL_VOLUMEN_SUMINISTROS[[#This Row],[Grupo]],VOL_VOLUMEN_SUMINISTROS[[#This Row],[Proyecto]],VOL_VOLUMEN_SUMINISTROS[[#This Row],[FIN DE SEMANA]])</f>
        <v>181052-2NO</v>
      </c>
      <c r="E1716" s="30" t="s">
        <v>183</v>
      </c>
      <c r="F1716" s="30" t="s">
        <v>148</v>
      </c>
      <c r="G1716" s="365">
        <v>18</v>
      </c>
      <c r="H1716" s="30">
        <v>5</v>
      </c>
      <c r="I1716" s="9" t="s">
        <v>764</v>
      </c>
      <c r="J1716" s="9" t="s">
        <v>1191</v>
      </c>
      <c r="K1716" s="30">
        <v>1</v>
      </c>
      <c r="L1716" s="9" t="s">
        <v>1192</v>
      </c>
      <c r="M1716" s="30" t="s">
        <v>84</v>
      </c>
      <c r="N1716" s="30" t="s">
        <v>155</v>
      </c>
      <c r="O1716" s="24">
        <v>54</v>
      </c>
      <c r="P1716" s="24">
        <v>237</v>
      </c>
      <c r="Q1716" s="24">
        <v>230</v>
      </c>
      <c r="R1716" s="24">
        <v>0</v>
      </c>
      <c r="S1716" s="24">
        <v>0</v>
      </c>
      <c r="T1716" s="24">
        <v>521</v>
      </c>
    </row>
    <row r="1717" spans="1:20">
      <c r="A1717" s="9" t="s">
        <v>1105</v>
      </c>
      <c r="B1717" s="30" t="s">
        <v>1229</v>
      </c>
      <c r="C1717" s="30" t="str">
        <f>CONCATENATE(VOL_VOLUMEN_SUMINISTROS[[#This Row],[Proyecto]],VOL_VOLUMEN_SUMINISTROS[[#This Row],[J]],VOL_VOLUMEN_SUMINISTROS[[#This Row],[FIN DE SEMANA]])</f>
        <v>1052-2M1NO</v>
      </c>
      <c r="D1717" s="365" t="str">
        <f>CONCATENATE(VOL_VOLUMEN_SUMINISTROS[[#This Row],[Grupo]],VOL_VOLUMEN_SUMINISTROS[[#This Row],[Proyecto]],VOL_VOLUMEN_SUMINISTROS[[#This Row],[FIN DE SEMANA]])</f>
        <v>181052-2NO</v>
      </c>
      <c r="E1717" s="30" t="s">
        <v>183</v>
      </c>
      <c r="F1717" s="30" t="s">
        <v>148</v>
      </c>
      <c r="G1717" s="365">
        <v>18</v>
      </c>
      <c r="H1717" s="30">
        <v>5</v>
      </c>
      <c r="I1717" s="9" t="s">
        <v>764</v>
      </c>
      <c r="J1717" s="9" t="s">
        <v>1191</v>
      </c>
      <c r="K1717" s="30">
        <v>2</v>
      </c>
      <c r="L1717" s="9" t="s">
        <v>1193</v>
      </c>
      <c r="M1717" s="30" t="s">
        <v>84</v>
      </c>
      <c r="N1717" s="30" t="s">
        <v>216</v>
      </c>
      <c r="O1717" s="24">
        <v>34</v>
      </c>
      <c r="P1717" s="24">
        <v>56</v>
      </c>
      <c r="Q1717" s="24">
        <v>13</v>
      </c>
      <c r="R1717" s="24">
        <v>0</v>
      </c>
      <c r="S1717" s="24">
        <v>0</v>
      </c>
      <c r="T1717" s="24">
        <v>103</v>
      </c>
    </row>
    <row r="1718" spans="1:20">
      <c r="A1718" s="9" t="s">
        <v>1105</v>
      </c>
      <c r="B1718" s="30" t="s">
        <v>1229</v>
      </c>
      <c r="C1718" s="30" t="str">
        <f>CONCATENATE(VOL_VOLUMEN_SUMINISTROS[[#This Row],[Proyecto]],VOL_VOLUMEN_SUMINISTROS[[#This Row],[J]],VOL_VOLUMEN_SUMINISTROS[[#This Row],[FIN DE SEMANA]])</f>
        <v>1052-2TNO</v>
      </c>
      <c r="D1718" s="365" t="str">
        <f>CONCATENATE(VOL_VOLUMEN_SUMINISTROS[[#This Row],[Grupo]],VOL_VOLUMEN_SUMINISTROS[[#This Row],[Proyecto]],VOL_VOLUMEN_SUMINISTROS[[#This Row],[FIN DE SEMANA]])</f>
        <v>181052-2NO</v>
      </c>
      <c r="E1718" s="30" t="s">
        <v>183</v>
      </c>
      <c r="F1718" s="30" t="s">
        <v>148</v>
      </c>
      <c r="G1718" s="365">
        <v>18</v>
      </c>
      <c r="H1718" s="30">
        <v>5</v>
      </c>
      <c r="I1718" s="9" t="s">
        <v>764</v>
      </c>
      <c r="J1718" s="9" t="s">
        <v>1191</v>
      </c>
      <c r="K1718" s="30">
        <v>2</v>
      </c>
      <c r="L1718" s="9" t="s">
        <v>1193</v>
      </c>
      <c r="M1718" s="30" t="s">
        <v>84</v>
      </c>
      <c r="N1718" s="30" t="s">
        <v>155</v>
      </c>
      <c r="O1718" s="24">
        <v>80</v>
      </c>
      <c r="P1718" s="24">
        <v>130</v>
      </c>
      <c r="Q1718" s="24">
        <v>30</v>
      </c>
      <c r="R1718" s="24">
        <v>0</v>
      </c>
      <c r="S1718" s="24">
        <v>0</v>
      </c>
      <c r="T1718" s="24">
        <v>240</v>
      </c>
    </row>
    <row r="1719" spans="1:20">
      <c r="A1719" s="9" t="s">
        <v>1105</v>
      </c>
      <c r="B1719" s="30" t="s">
        <v>1229</v>
      </c>
      <c r="C1719" s="30" t="str">
        <f>CONCATENATE(VOL_VOLUMEN_SUMINISTROS[[#This Row],[Proyecto]],VOL_VOLUMEN_SUMINISTROS[[#This Row],[J]],VOL_VOLUMEN_SUMINISTROS[[#This Row],[FIN DE SEMANA]])</f>
        <v>1052-2M1NO</v>
      </c>
      <c r="D1719" s="365" t="str">
        <f>CONCATENATE(VOL_VOLUMEN_SUMINISTROS[[#This Row],[Grupo]],VOL_VOLUMEN_SUMINISTROS[[#This Row],[Proyecto]],VOL_VOLUMEN_SUMINISTROS[[#This Row],[FIN DE SEMANA]])</f>
        <v>271052-2NO</v>
      </c>
      <c r="E1719" s="30" t="s">
        <v>183</v>
      </c>
      <c r="F1719" s="30" t="s">
        <v>148</v>
      </c>
      <c r="G1719" s="365">
        <v>27</v>
      </c>
      <c r="H1719" s="30">
        <v>7</v>
      </c>
      <c r="I1719" s="9" t="s">
        <v>221</v>
      </c>
      <c r="J1719" s="9" t="s">
        <v>1216</v>
      </c>
      <c r="K1719" s="30">
        <v>1</v>
      </c>
      <c r="L1719" s="9" t="s">
        <v>1217</v>
      </c>
      <c r="M1719" s="30" t="s">
        <v>84</v>
      </c>
      <c r="N1719" s="30" t="s">
        <v>216</v>
      </c>
      <c r="O1719" s="24">
        <v>320</v>
      </c>
      <c r="P1719" s="24">
        <v>520</v>
      </c>
      <c r="Q1719" s="24">
        <v>120</v>
      </c>
      <c r="R1719" s="24">
        <v>0</v>
      </c>
      <c r="S1719" s="24">
        <v>0</v>
      </c>
      <c r="T1719" s="24">
        <v>960</v>
      </c>
    </row>
    <row r="1720" spans="1:20">
      <c r="A1720" s="9" t="s">
        <v>1105</v>
      </c>
      <c r="B1720" s="30" t="s">
        <v>1229</v>
      </c>
      <c r="C1720" s="30" t="str">
        <f>CONCATENATE(VOL_VOLUMEN_SUMINISTROS[[#This Row],[Proyecto]],VOL_VOLUMEN_SUMINISTROS[[#This Row],[J]],VOL_VOLUMEN_SUMINISTROS[[#This Row],[FIN DE SEMANA]])</f>
        <v>1052-2TNO</v>
      </c>
      <c r="D1720" s="365" t="str">
        <f>CONCATENATE(VOL_VOLUMEN_SUMINISTROS[[#This Row],[Grupo]],VOL_VOLUMEN_SUMINISTROS[[#This Row],[Proyecto]],VOL_VOLUMEN_SUMINISTROS[[#This Row],[FIN DE SEMANA]])</f>
        <v>271052-2NO</v>
      </c>
      <c r="E1720" s="30" t="s">
        <v>183</v>
      </c>
      <c r="F1720" s="30" t="s">
        <v>148</v>
      </c>
      <c r="G1720" s="365">
        <v>27</v>
      </c>
      <c r="H1720" s="30">
        <v>7</v>
      </c>
      <c r="I1720" s="9" t="s">
        <v>221</v>
      </c>
      <c r="J1720" s="9" t="s">
        <v>1216</v>
      </c>
      <c r="K1720" s="30">
        <v>1</v>
      </c>
      <c r="L1720" s="9" t="s">
        <v>1217</v>
      </c>
      <c r="M1720" s="30" t="s">
        <v>84</v>
      </c>
      <c r="N1720" s="30" t="s">
        <v>155</v>
      </c>
      <c r="O1720" s="24">
        <v>208</v>
      </c>
      <c r="P1720" s="24">
        <v>269</v>
      </c>
      <c r="Q1720" s="24">
        <v>55</v>
      </c>
      <c r="R1720" s="24">
        <v>0</v>
      </c>
      <c r="S1720" s="24">
        <v>0</v>
      </c>
      <c r="T1720" s="24">
        <v>532</v>
      </c>
    </row>
    <row r="1721" spans="1:20">
      <c r="A1721" s="9" t="s">
        <v>1105</v>
      </c>
      <c r="B1721" s="30" t="s">
        <v>1229</v>
      </c>
      <c r="C1721" s="30" t="str">
        <f>CONCATENATE(VOL_VOLUMEN_SUMINISTROS[[#This Row],[Proyecto]],VOL_VOLUMEN_SUMINISTROS[[#This Row],[J]],VOL_VOLUMEN_SUMINISTROS[[#This Row],[FIN DE SEMANA]])</f>
        <v>1052-2M1NO</v>
      </c>
      <c r="D1721" s="365" t="str">
        <f>CONCATENATE(VOL_VOLUMEN_SUMINISTROS[[#This Row],[Grupo]],VOL_VOLUMEN_SUMINISTROS[[#This Row],[Proyecto]],VOL_VOLUMEN_SUMINISTROS[[#This Row],[FIN DE SEMANA]])</f>
        <v>271052-2NO</v>
      </c>
      <c r="E1721" s="30" t="s">
        <v>183</v>
      </c>
      <c r="F1721" s="30" t="s">
        <v>148</v>
      </c>
      <c r="G1721" s="365">
        <v>27</v>
      </c>
      <c r="H1721" s="30">
        <v>7</v>
      </c>
      <c r="I1721" s="9" t="s">
        <v>221</v>
      </c>
      <c r="J1721" s="9" t="s">
        <v>1216</v>
      </c>
      <c r="K1721" s="30">
        <v>2</v>
      </c>
      <c r="L1721" s="9" t="s">
        <v>1218</v>
      </c>
      <c r="M1721" s="30" t="s">
        <v>84</v>
      </c>
      <c r="N1721" s="30" t="s">
        <v>216</v>
      </c>
      <c r="O1721" s="24">
        <v>80</v>
      </c>
      <c r="P1721" s="24">
        <v>103</v>
      </c>
      <c r="Q1721" s="24">
        <v>21</v>
      </c>
      <c r="R1721" s="24">
        <v>0</v>
      </c>
      <c r="S1721" s="24">
        <v>0</v>
      </c>
      <c r="T1721" s="24">
        <v>204</v>
      </c>
    </row>
    <row r="1722" spans="1:20">
      <c r="A1722" s="9" t="s">
        <v>1105</v>
      </c>
      <c r="B1722" s="30" t="s">
        <v>1229</v>
      </c>
      <c r="C1722" s="30" t="str">
        <f>CONCATENATE(VOL_VOLUMEN_SUMINISTROS[[#This Row],[Proyecto]],VOL_VOLUMEN_SUMINISTROS[[#This Row],[J]],VOL_VOLUMEN_SUMINISTROS[[#This Row],[FIN DE SEMANA]])</f>
        <v>1052-2TNO</v>
      </c>
      <c r="D1722" s="365" t="str">
        <f>CONCATENATE(VOL_VOLUMEN_SUMINISTROS[[#This Row],[Grupo]],VOL_VOLUMEN_SUMINISTROS[[#This Row],[Proyecto]],VOL_VOLUMEN_SUMINISTROS[[#This Row],[FIN DE SEMANA]])</f>
        <v>271052-2NO</v>
      </c>
      <c r="E1722" s="30" t="s">
        <v>183</v>
      </c>
      <c r="F1722" s="30" t="s">
        <v>148</v>
      </c>
      <c r="G1722" s="365">
        <v>27</v>
      </c>
      <c r="H1722" s="30">
        <v>7</v>
      </c>
      <c r="I1722" s="9" t="s">
        <v>221</v>
      </c>
      <c r="J1722" s="9" t="s">
        <v>1216</v>
      </c>
      <c r="K1722" s="30">
        <v>2</v>
      </c>
      <c r="L1722" s="9" t="s">
        <v>1218</v>
      </c>
      <c r="M1722" s="30" t="s">
        <v>84</v>
      </c>
      <c r="N1722" s="30" t="s">
        <v>155</v>
      </c>
      <c r="O1722" s="24">
        <v>80</v>
      </c>
      <c r="P1722" s="24">
        <v>103</v>
      </c>
      <c r="Q1722" s="24">
        <v>21</v>
      </c>
      <c r="R1722" s="24">
        <v>0</v>
      </c>
      <c r="S1722" s="24">
        <v>0</v>
      </c>
      <c r="T1722" s="24">
        <v>204</v>
      </c>
    </row>
    <row r="1723" spans="1:20">
      <c r="A1723" s="9" t="s">
        <v>1105</v>
      </c>
      <c r="B1723" s="30" t="s">
        <v>1229</v>
      </c>
      <c r="C1723" s="30" t="str">
        <f>CONCATENATE(VOL_VOLUMEN_SUMINISTROS[[#This Row],[Proyecto]],VOL_VOLUMEN_SUMINISTROS[[#This Row],[J]],VOL_VOLUMEN_SUMINISTROS[[#This Row],[FIN DE SEMANA]])</f>
        <v>1052-2M1NO</v>
      </c>
      <c r="D1723" s="365" t="str">
        <f>CONCATENATE(VOL_VOLUMEN_SUMINISTROS[[#This Row],[Grupo]],VOL_VOLUMEN_SUMINISTROS[[#This Row],[Proyecto]],VOL_VOLUMEN_SUMINISTROS[[#This Row],[FIN DE SEMANA]])</f>
        <v>271052-2NO</v>
      </c>
      <c r="E1723" s="30" t="s">
        <v>183</v>
      </c>
      <c r="F1723" s="30" t="s">
        <v>148</v>
      </c>
      <c r="G1723" s="365">
        <v>27</v>
      </c>
      <c r="H1723" s="30">
        <v>7</v>
      </c>
      <c r="I1723" s="9" t="s">
        <v>221</v>
      </c>
      <c r="J1723" s="9" t="s">
        <v>1216</v>
      </c>
      <c r="K1723" s="30">
        <v>3</v>
      </c>
      <c r="L1723" s="9" t="s">
        <v>196</v>
      </c>
      <c r="M1723" s="30" t="s">
        <v>84</v>
      </c>
      <c r="N1723" s="30" t="s">
        <v>216</v>
      </c>
      <c r="O1723" s="24">
        <v>220</v>
      </c>
      <c r="P1723" s="24">
        <v>275</v>
      </c>
      <c r="Q1723" s="24">
        <v>55</v>
      </c>
      <c r="R1723" s="24">
        <v>0</v>
      </c>
      <c r="S1723" s="24">
        <v>0</v>
      </c>
      <c r="T1723" s="24">
        <v>550</v>
      </c>
    </row>
    <row r="1724" spans="1:20">
      <c r="A1724" s="9" t="s">
        <v>1105</v>
      </c>
      <c r="B1724" s="30" t="s">
        <v>1230</v>
      </c>
      <c r="C1724" s="30" t="str">
        <f>CONCATENATE(VOL_VOLUMEN_SUMINISTROS[[#This Row],[Proyecto]],VOL_VOLUMEN_SUMINISTROS[[#This Row],[J]],VOL_VOLUMEN_SUMINISTROS[[#This Row],[FIN DE SEMANA]])</f>
        <v>1052-2MNO</v>
      </c>
      <c r="D1724" s="365" t="str">
        <f>CONCATENATE(VOL_VOLUMEN_SUMINISTROS[[#This Row],[Grupo]],VOL_VOLUMEN_SUMINISTROS[[#This Row],[Proyecto]],VOL_VOLUMEN_SUMINISTROS[[#This Row],[FIN DE SEMANA]])</f>
        <v>151052-2NO</v>
      </c>
      <c r="E1724" s="30" t="s">
        <v>183</v>
      </c>
      <c r="F1724" s="30" t="s">
        <v>148</v>
      </c>
      <c r="G1724" s="365">
        <v>15</v>
      </c>
      <c r="H1724" s="30">
        <v>5</v>
      </c>
      <c r="I1724" s="9" t="s">
        <v>764</v>
      </c>
      <c r="J1724" s="9" t="s">
        <v>1116</v>
      </c>
      <c r="K1724" s="30">
        <v>2</v>
      </c>
      <c r="L1724" s="9" t="s">
        <v>1118</v>
      </c>
      <c r="M1724" s="30" t="s">
        <v>84</v>
      </c>
      <c r="N1724" s="30" t="s">
        <v>152</v>
      </c>
      <c r="O1724" s="24">
        <v>0</v>
      </c>
      <c r="P1724" s="24">
        <v>0</v>
      </c>
      <c r="Q1724" s="24">
        <v>106</v>
      </c>
      <c r="R1724" s="24">
        <v>0</v>
      </c>
      <c r="S1724" s="24">
        <v>0</v>
      </c>
      <c r="T1724" s="24">
        <v>106</v>
      </c>
    </row>
    <row r="1725" spans="1:20">
      <c r="A1725" s="9" t="s">
        <v>1105</v>
      </c>
      <c r="B1725" s="30" t="s">
        <v>1230</v>
      </c>
      <c r="C1725" s="30" t="str">
        <f>CONCATENATE(VOL_VOLUMEN_SUMINISTROS[[#This Row],[Proyecto]],VOL_VOLUMEN_SUMINISTROS[[#This Row],[J]],VOL_VOLUMEN_SUMINISTROS[[#This Row],[FIN DE SEMANA]])</f>
        <v>1052-2TNO</v>
      </c>
      <c r="D1725" s="365" t="str">
        <f>CONCATENATE(VOL_VOLUMEN_SUMINISTROS[[#This Row],[Grupo]],VOL_VOLUMEN_SUMINISTROS[[#This Row],[Proyecto]],VOL_VOLUMEN_SUMINISTROS[[#This Row],[FIN DE SEMANA]])</f>
        <v>151052-2NO</v>
      </c>
      <c r="E1725" s="30" t="s">
        <v>183</v>
      </c>
      <c r="F1725" s="30" t="s">
        <v>148</v>
      </c>
      <c r="G1725" s="365">
        <v>15</v>
      </c>
      <c r="H1725" s="30">
        <v>5</v>
      </c>
      <c r="I1725" s="9" t="s">
        <v>764</v>
      </c>
      <c r="J1725" s="9" t="s">
        <v>1116</v>
      </c>
      <c r="K1725" s="30">
        <v>2</v>
      </c>
      <c r="L1725" s="9" t="s">
        <v>1118</v>
      </c>
      <c r="M1725" s="30" t="s">
        <v>84</v>
      </c>
      <c r="N1725" s="30" t="s">
        <v>155</v>
      </c>
      <c r="O1725" s="24">
        <v>0</v>
      </c>
      <c r="P1725" s="24">
        <v>0</v>
      </c>
      <c r="Q1725" s="24">
        <v>230</v>
      </c>
      <c r="R1725" s="24">
        <v>0</v>
      </c>
      <c r="S1725" s="24">
        <v>0</v>
      </c>
      <c r="T1725" s="24">
        <v>230</v>
      </c>
    </row>
    <row r="1726" spans="1:20">
      <c r="A1726" s="9" t="s">
        <v>1105</v>
      </c>
      <c r="B1726" s="30" t="s">
        <v>1230</v>
      </c>
      <c r="C1726" s="30" t="str">
        <f>CONCATENATE(VOL_VOLUMEN_SUMINISTROS[[#This Row],[Proyecto]],VOL_VOLUMEN_SUMINISTROS[[#This Row],[J]],VOL_VOLUMEN_SUMINISTROS[[#This Row],[FIN DE SEMANA]])</f>
        <v>1052-2MNO</v>
      </c>
      <c r="D1726" s="365" t="str">
        <f>CONCATENATE(VOL_VOLUMEN_SUMINISTROS[[#This Row],[Grupo]],VOL_VOLUMEN_SUMINISTROS[[#This Row],[Proyecto]],VOL_VOLUMEN_SUMINISTROS[[#This Row],[FIN DE SEMANA]])</f>
        <v>151052-2NO</v>
      </c>
      <c r="E1726" s="30" t="s">
        <v>183</v>
      </c>
      <c r="F1726" s="30" t="s">
        <v>148</v>
      </c>
      <c r="G1726" s="365">
        <v>15</v>
      </c>
      <c r="H1726" s="30">
        <v>5</v>
      </c>
      <c r="I1726" s="9" t="s">
        <v>764</v>
      </c>
      <c r="J1726" s="9" t="s">
        <v>1119</v>
      </c>
      <c r="K1726" s="30">
        <v>1</v>
      </c>
      <c r="L1726" s="9" t="s">
        <v>1120</v>
      </c>
      <c r="M1726" s="30" t="s">
        <v>84</v>
      </c>
      <c r="N1726" s="30" t="s">
        <v>152</v>
      </c>
      <c r="O1726" s="24">
        <v>0</v>
      </c>
      <c r="P1726" s="24">
        <v>0</v>
      </c>
      <c r="Q1726" s="24">
        <v>198</v>
      </c>
      <c r="R1726" s="24">
        <v>0</v>
      </c>
      <c r="S1726" s="24">
        <v>0</v>
      </c>
      <c r="T1726" s="24">
        <v>198</v>
      </c>
    </row>
    <row r="1727" spans="1:20">
      <c r="A1727" s="9" t="s">
        <v>1105</v>
      </c>
      <c r="B1727" s="30" t="s">
        <v>1230</v>
      </c>
      <c r="C1727" s="30" t="str">
        <f>CONCATENATE(VOL_VOLUMEN_SUMINISTROS[[#This Row],[Proyecto]],VOL_VOLUMEN_SUMINISTROS[[#This Row],[J]],VOL_VOLUMEN_SUMINISTROS[[#This Row],[FIN DE SEMANA]])</f>
        <v>1052-2TNO</v>
      </c>
      <c r="D1727" s="365" t="str">
        <f>CONCATENATE(VOL_VOLUMEN_SUMINISTROS[[#This Row],[Grupo]],VOL_VOLUMEN_SUMINISTROS[[#This Row],[Proyecto]],VOL_VOLUMEN_SUMINISTROS[[#This Row],[FIN DE SEMANA]])</f>
        <v>151052-2NO</v>
      </c>
      <c r="E1727" s="30" t="s">
        <v>183</v>
      </c>
      <c r="F1727" s="30" t="s">
        <v>148</v>
      </c>
      <c r="G1727" s="365">
        <v>15</v>
      </c>
      <c r="H1727" s="30">
        <v>5</v>
      </c>
      <c r="I1727" s="9" t="s">
        <v>764</v>
      </c>
      <c r="J1727" s="9" t="s">
        <v>1119</v>
      </c>
      <c r="K1727" s="30">
        <v>1</v>
      </c>
      <c r="L1727" s="9" t="s">
        <v>1120</v>
      </c>
      <c r="M1727" s="30" t="s">
        <v>84</v>
      </c>
      <c r="N1727" s="30" t="s">
        <v>155</v>
      </c>
      <c r="O1727" s="24">
        <v>0</v>
      </c>
      <c r="P1727" s="24">
        <v>0</v>
      </c>
      <c r="Q1727" s="24">
        <v>120</v>
      </c>
      <c r="R1727" s="24">
        <v>0</v>
      </c>
      <c r="S1727" s="24">
        <v>0</v>
      </c>
      <c r="T1727" s="24">
        <v>120</v>
      </c>
    </row>
    <row r="1728" spans="1:20">
      <c r="A1728" s="9" t="s">
        <v>1105</v>
      </c>
      <c r="B1728" s="30" t="s">
        <v>1230</v>
      </c>
      <c r="C1728" s="30" t="str">
        <f>CONCATENATE(VOL_VOLUMEN_SUMINISTROS[[#This Row],[Proyecto]],VOL_VOLUMEN_SUMINISTROS[[#This Row],[J]],VOL_VOLUMEN_SUMINISTROS[[#This Row],[FIN DE SEMANA]])</f>
        <v>1052-2MNO</v>
      </c>
      <c r="D1728" s="365" t="str">
        <f>CONCATENATE(VOL_VOLUMEN_SUMINISTROS[[#This Row],[Grupo]],VOL_VOLUMEN_SUMINISTROS[[#This Row],[Proyecto]],VOL_VOLUMEN_SUMINISTROS[[#This Row],[FIN DE SEMANA]])</f>
        <v>271052-2NO</v>
      </c>
      <c r="E1728" s="30" t="s">
        <v>183</v>
      </c>
      <c r="F1728" s="30" t="s">
        <v>148</v>
      </c>
      <c r="G1728" s="365">
        <v>27</v>
      </c>
      <c r="H1728" s="30">
        <v>7</v>
      </c>
      <c r="I1728" s="9" t="s">
        <v>221</v>
      </c>
      <c r="J1728" s="9" t="s">
        <v>1216</v>
      </c>
      <c r="K1728" s="30">
        <v>1</v>
      </c>
      <c r="L1728" s="9" t="s">
        <v>1217</v>
      </c>
      <c r="M1728" s="30" t="s">
        <v>84</v>
      </c>
      <c r="N1728" s="30" t="s">
        <v>152</v>
      </c>
      <c r="O1728" s="24">
        <v>0</v>
      </c>
      <c r="P1728" s="24">
        <v>0</v>
      </c>
      <c r="Q1728" s="24">
        <v>160</v>
      </c>
      <c r="R1728" s="24">
        <v>0</v>
      </c>
      <c r="S1728" s="24">
        <v>0</v>
      </c>
      <c r="T1728" s="24">
        <v>160</v>
      </c>
    </row>
    <row r="1729" spans="1:20">
      <c r="A1729" s="9" t="s">
        <v>1105</v>
      </c>
      <c r="B1729" s="30" t="s">
        <v>1230</v>
      </c>
      <c r="C1729" s="30" t="str">
        <f>CONCATENATE(VOL_VOLUMEN_SUMINISTROS[[#This Row],[Proyecto]],VOL_VOLUMEN_SUMINISTROS[[#This Row],[J]],VOL_VOLUMEN_SUMINISTROS[[#This Row],[FIN DE SEMANA]])</f>
        <v>1052-2TNO</v>
      </c>
      <c r="D1729" s="365" t="str">
        <f>CONCATENATE(VOL_VOLUMEN_SUMINISTROS[[#This Row],[Grupo]],VOL_VOLUMEN_SUMINISTROS[[#This Row],[Proyecto]],VOL_VOLUMEN_SUMINISTROS[[#This Row],[FIN DE SEMANA]])</f>
        <v>271052-2NO</v>
      </c>
      <c r="E1729" s="30" t="s">
        <v>183</v>
      </c>
      <c r="F1729" s="30" t="s">
        <v>148</v>
      </c>
      <c r="G1729" s="365">
        <v>27</v>
      </c>
      <c r="H1729" s="30">
        <v>7</v>
      </c>
      <c r="I1729" s="9" t="s">
        <v>221</v>
      </c>
      <c r="J1729" s="9" t="s">
        <v>1216</v>
      </c>
      <c r="K1729" s="30">
        <v>1</v>
      </c>
      <c r="L1729" s="9" t="s">
        <v>1217</v>
      </c>
      <c r="M1729" s="30" t="s">
        <v>84</v>
      </c>
      <c r="N1729" s="30" t="s">
        <v>155</v>
      </c>
      <c r="O1729" s="24">
        <v>0</v>
      </c>
      <c r="P1729" s="24">
        <v>0</v>
      </c>
      <c r="Q1729" s="24">
        <v>200</v>
      </c>
      <c r="R1729" s="24">
        <v>0</v>
      </c>
      <c r="S1729" s="24">
        <v>0</v>
      </c>
      <c r="T1729" s="24">
        <v>200</v>
      </c>
    </row>
    <row r="1730" spans="1:20">
      <c r="A1730" s="9" t="s">
        <v>1105</v>
      </c>
      <c r="B1730" s="30" t="s">
        <v>1231</v>
      </c>
      <c r="C1730" s="30" t="str">
        <f>CONCATENATE(VOL_VOLUMEN_SUMINISTROS[[#This Row],[Proyecto]],VOL_VOLUMEN_SUMINISTROS[[#This Row],[J]],VOL_VOLUMEN_SUMINISTROS[[#This Row],[FIN DE SEMANA]])</f>
        <v>1052-2MNO</v>
      </c>
      <c r="D1730" s="365" t="str">
        <f>CONCATENATE(VOL_VOLUMEN_SUMINISTROS[[#This Row],[Grupo]],VOL_VOLUMEN_SUMINISTROS[[#This Row],[Proyecto]],VOL_VOLUMEN_SUMINISTROS[[#This Row],[FIN DE SEMANA]])</f>
        <v>271052-2NO</v>
      </c>
      <c r="E1730" s="30" t="s">
        <v>183</v>
      </c>
      <c r="F1730" s="30" t="s">
        <v>148</v>
      </c>
      <c r="G1730" s="365">
        <v>27</v>
      </c>
      <c r="H1730" s="30">
        <v>7</v>
      </c>
      <c r="I1730" s="9" t="s">
        <v>221</v>
      </c>
      <c r="J1730" s="9" t="s">
        <v>1216</v>
      </c>
      <c r="K1730" s="30">
        <v>1</v>
      </c>
      <c r="L1730" s="9" t="s">
        <v>1217</v>
      </c>
      <c r="M1730" s="30" t="s">
        <v>84</v>
      </c>
      <c r="N1730" s="30" t="s">
        <v>152</v>
      </c>
      <c r="O1730" s="24">
        <v>83</v>
      </c>
      <c r="P1730" s="24">
        <v>0</v>
      </c>
      <c r="Q1730" s="24">
        <v>0</v>
      </c>
      <c r="R1730" s="24">
        <v>0</v>
      </c>
      <c r="S1730" s="24">
        <v>0</v>
      </c>
      <c r="T1730" s="24">
        <v>83</v>
      </c>
    </row>
    <row r="1731" spans="1:20">
      <c r="A1731" s="9" t="s">
        <v>1105</v>
      </c>
      <c r="B1731" s="30" t="s">
        <v>1231</v>
      </c>
      <c r="C1731" s="30" t="str">
        <f>CONCATENATE(VOL_VOLUMEN_SUMINISTROS[[#This Row],[Proyecto]],VOL_VOLUMEN_SUMINISTROS[[#This Row],[J]],VOL_VOLUMEN_SUMINISTROS[[#This Row],[FIN DE SEMANA]])</f>
        <v>1052-2TNO</v>
      </c>
      <c r="D1731" s="365" t="str">
        <f>CONCATENATE(VOL_VOLUMEN_SUMINISTROS[[#This Row],[Grupo]],VOL_VOLUMEN_SUMINISTROS[[#This Row],[Proyecto]],VOL_VOLUMEN_SUMINISTROS[[#This Row],[FIN DE SEMANA]])</f>
        <v>271052-2NO</v>
      </c>
      <c r="E1731" s="30" t="s">
        <v>183</v>
      </c>
      <c r="F1731" s="30" t="s">
        <v>148</v>
      </c>
      <c r="G1731" s="365">
        <v>27</v>
      </c>
      <c r="H1731" s="30">
        <v>7</v>
      </c>
      <c r="I1731" s="9" t="s">
        <v>221</v>
      </c>
      <c r="J1731" s="9" t="s">
        <v>1216</v>
      </c>
      <c r="K1731" s="30">
        <v>1</v>
      </c>
      <c r="L1731" s="9" t="s">
        <v>1217</v>
      </c>
      <c r="M1731" s="30" t="s">
        <v>84</v>
      </c>
      <c r="N1731" s="30" t="s">
        <v>155</v>
      </c>
      <c r="O1731" s="24">
        <v>85</v>
      </c>
      <c r="P1731" s="24">
        <v>0</v>
      </c>
      <c r="Q1731" s="24">
        <v>0</v>
      </c>
      <c r="R1731" s="24">
        <v>0</v>
      </c>
      <c r="S1731" s="24">
        <v>0</v>
      </c>
      <c r="T1731" s="24">
        <v>85</v>
      </c>
    </row>
    <row r="1732" spans="1:20">
      <c r="A1732" s="9" t="s">
        <v>1105</v>
      </c>
      <c r="B1732" s="30" t="s">
        <v>1231</v>
      </c>
      <c r="C1732" s="30" t="str">
        <f>CONCATENATE(VOL_VOLUMEN_SUMINISTROS[[#This Row],[Proyecto]],VOL_VOLUMEN_SUMINISTROS[[#This Row],[J]],VOL_VOLUMEN_SUMINISTROS[[#This Row],[FIN DE SEMANA]])</f>
        <v>1052-2MNO</v>
      </c>
      <c r="D1732" s="365" t="str">
        <f>CONCATENATE(VOL_VOLUMEN_SUMINISTROS[[#This Row],[Grupo]],VOL_VOLUMEN_SUMINISTROS[[#This Row],[Proyecto]],VOL_VOLUMEN_SUMINISTROS[[#This Row],[FIN DE SEMANA]])</f>
        <v>271052-2NO</v>
      </c>
      <c r="E1732" s="30" t="s">
        <v>183</v>
      </c>
      <c r="F1732" s="30" t="s">
        <v>148</v>
      </c>
      <c r="G1732" s="365">
        <v>27</v>
      </c>
      <c r="H1732" s="30">
        <v>7</v>
      </c>
      <c r="I1732" s="9" t="s">
        <v>221</v>
      </c>
      <c r="J1732" s="9" t="s">
        <v>1216</v>
      </c>
      <c r="K1732" s="30">
        <v>2</v>
      </c>
      <c r="L1732" s="9" t="s">
        <v>1218</v>
      </c>
      <c r="M1732" s="30" t="s">
        <v>84</v>
      </c>
      <c r="N1732" s="30" t="s">
        <v>152</v>
      </c>
      <c r="O1732" s="24">
        <v>60</v>
      </c>
      <c r="P1732" s="24">
        <v>0</v>
      </c>
      <c r="Q1732" s="24">
        <v>0</v>
      </c>
      <c r="R1732" s="24">
        <v>0</v>
      </c>
      <c r="S1732" s="24">
        <v>0</v>
      </c>
      <c r="T1732" s="24">
        <v>60</v>
      </c>
    </row>
    <row r="1733" spans="1:20">
      <c r="A1733" s="9" t="s">
        <v>1105</v>
      </c>
      <c r="B1733" s="30" t="s">
        <v>1231</v>
      </c>
      <c r="C1733" s="30" t="str">
        <f>CONCATENATE(VOL_VOLUMEN_SUMINISTROS[[#This Row],[Proyecto]],VOL_VOLUMEN_SUMINISTROS[[#This Row],[J]],VOL_VOLUMEN_SUMINISTROS[[#This Row],[FIN DE SEMANA]])</f>
        <v>1052-2TNO</v>
      </c>
      <c r="D1733" s="365" t="str">
        <f>CONCATENATE(VOL_VOLUMEN_SUMINISTROS[[#This Row],[Grupo]],VOL_VOLUMEN_SUMINISTROS[[#This Row],[Proyecto]],VOL_VOLUMEN_SUMINISTROS[[#This Row],[FIN DE SEMANA]])</f>
        <v>271052-2NO</v>
      </c>
      <c r="E1733" s="30" t="s">
        <v>183</v>
      </c>
      <c r="F1733" s="30" t="s">
        <v>148</v>
      </c>
      <c r="G1733" s="365">
        <v>27</v>
      </c>
      <c r="H1733" s="30">
        <v>7</v>
      </c>
      <c r="I1733" s="9" t="s">
        <v>221</v>
      </c>
      <c r="J1733" s="9" t="s">
        <v>1216</v>
      </c>
      <c r="K1733" s="30">
        <v>2</v>
      </c>
      <c r="L1733" s="9" t="s">
        <v>1218</v>
      </c>
      <c r="M1733" s="30" t="s">
        <v>84</v>
      </c>
      <c r="N1733" s="30" t="s">
        <v>155</v>
      </c>
      <c r="O1733" s="24">
        <v>60</v>
      </c>
      <c r="P1733" s="24">
        <v>0</v>
      </c>
      <c r="Q1733" s="24">
        <v>0</v>
      </c>
      <c r="R1733" s="24">
        <v>0</v>
      </c>
      <c r="S1733" s="24">
        <v>0</v>
      </c>
      <c r="T1733" s="24">
        <v>60</v>
      </c>
    </row>
    <row r="1734" spans="1:20">
      <c r="A1734" s="9" t="s">
        <v>1105</v>
      </c>
      <c r="B1734" s="30" t="s">
        <v>1231</v>
      </c>
      <c r="C1734" s="30" t="str">
        <f>CONCATENATE(VOL_VOLUMEN_SUMINISTROS[[#This Row],[Proyecto]],VOL_VOLUMEN_SUMINISTROS[[#This Row],[J]],VOL_VOLUMEN_SUMINISTROS[[#This Row],[FIN DE SEMANA]])</f>
        <v>1052-2MNO</v>
      </c>
      <c r="D1734" s="365" t="str">
        <f>CONCATENATE(VOL_VOLUMEN_SUMINISTROS[[#This Row],[Grupo]],VOL_VOLUMEN_SUMINISTROS[[#This Row],[Proyecto]],VOL_VOLUMEN_SUMINISTROS[[#This Row],[FIN DE SEMANA]])</f>
        <v>271052-2NO</v>
      </c>
      <c r="E1734" s="30" t="s">
        <v>183</v>
      </c>
      <c r="F1734" s="30" t="s">
        <v>148</v>
      </c>
      <c r="G1734" s="365">
        <v>27</v>
      </c>
      <c r="H1734" s="30">
        <v>7</v>
      </c>
      <c r="I1734" s="9" t="s">
        <v>221</v>
      </c>
      <c r="J1734" s="9" t="s">
        <v>1216</v>
      </c>
      <c r="K1734" s="30">
        <v>3</v>
      </c>
      <c r="L1734" s="9" t="s">
        <v>196</v>
      </c>
      <c r="M1734" s="30" t="s">
        <v>84</v>
      </c>
      <c r="N1734" s="30" t="s">
        <v>152</v>
      </c>
      <c r="O1734" s="24">
        <v>59</v>
      </c>
      <c r="P1734" s="24">
        <v>0</v>
      </c>
      <c r="Q1734" s="24">
        <v>0</v>
      </c>
      <c r="R1734" s="24">
        <v>0</v>
      </c>
      <c r="S1734" s="24">
        <v>0</v>
      </c>
      <c r="T1734" s="24">
        <v>59</v>
      </c>
    </row>
    <row r="1735" spans="1:20">
      <c r="A1735" s="9" t="s">
        <v>1105</v>
      </c>
      <c r="B1735" s="30" t="s">
        <v>1231</v>
      </c>
      <c r="C1735" s="30" t="str">
        <f>CONCATENATE(VOL_VOLUMEN_SUMINISTROS[[#This Row],[Proyecto]],VOL_VOLUMEN_SUMINISTROS[[#This Row],[J]],VOL_VOLUMEN_SUMINISTROS[[#This Row],[FIN DE SEMANA]])</f>
        <v>1052-2TNO</v>
      </c>
      <c r="D1735" s="365" t="str">
        <f>CONCATENATE(VOL_VOLUMEN_SUMINISTROS[[#This Row],[Grupo]],VOL_VOLUMEN_SUMINISTROS[[#This Row],[Proyecto]],VOL_VOLUMEN_SUMINISTROS[[#This Row],[FIN DE SEMANA]])</f>
        <v>271052-2NO</v>
      </c>
      <c r="E1735" s="30" t="s">
        <v>183</v>
      </c>
      <c r="F1735" s="30" t="s">
        <v>148</v>
      </c>
      <c r="G1735" s="365">
        <v>27</v>
      </c>
      <c r="H1735" s="30">
        <v>7</v>
      </c>
      <c r="I1735" s="9" t="s">
        <v>221</v>
      </c>
      <c r="J1735" s="9" t="s">
        <v>1216</v>
      </c>
      <c r="K1735" s="30">
        <v>3</v>
      </c>
      <c r="L1735" s="9" t="s">
        <v>196</v>
      </c>
      <c r="M1735" s="30" t="s">
        <v>84</v>
      </c>
      <c r="N1735" s="30" t="s">
        <v>155</v>
      </c>
      <c r="O1735" s="24">
        <v>54</v>
      </c>
      <c r="P1735" s="24">
        <v>0</v>
      </c>
      <c r="Q1735" s="24">
        <v>0</v>
      </c>
      <c r="R1735" s="24">
        <v>0</v>
      </c>
      <c r="S1735" s="24">
        <v>0</v>
      </c>
      <c r="T1735" s="24">
        <v>54</v>
      </c>
    </row>
    <row r="1736" spans="1:20">
      <c r="A1736" s="9" t="s">
        <v>1105</v>
      </c>
      <c r="B1736" s="30" t="s">
        <v>1231</v>
      </c>
      <c r="C1736" s="30" t="str">
        <f>CONCATENATE(VOL_VOLUMEN_SUMINISTROS[[#This Row],[Proyecto]],VOL_VOLUMEN_SUMINISTROS[[#This Row],[J]],VOL_VOLUMEN_SUMINISTROS[[#This Row],[FIN DE SEMANA]])</f>
        <v>1052-2MNO</v>
      </c>
      <c r="D1736" s="365" t="str">
        <f>CONCATENATE(VOL_VOLUMEN_SUMINISTROS[[#This Row],[Grupo]],VOL_VOLUMEN_SUMINISTROS[[#This Row],[Proyecto]],VOL_VOLUMEN_SUMINISTROS[[#This Row],[FIN DE SEMANA]])</f>
        <v>271052-2NO</v>
      </c>
      <c r="E1736" s="30" t="s">
        <v>183</v>
      </c>
      <c r="F1736" s="30" t="s">
        <v>148</v>
      </c>
      <c r="G1736" s="365">
        <v>27</v>
      </c>
      <c r="H1736" s="30">
        <v>7</v>
      </c>
      <c r="I1736" s="9" t="s">
        <v>221</v>
      </c>
      <c r="J1736" s="9" t="s">
        <v>1219</v>
      </c>
      <c r="K1736" s="30">
        <v>3</v>
      </c>
      <c r="L1736" s="9" t="s">
        <v>1222</v>
      </c>
      <c r="M1736" s="30" t="s">
        <v>84</v>
      </c>
      <c r="N1736" s="30" t="s">
        <v>152</v>
      </c>
      <c r="O1736" s="24">
        <v>180</v>
      </c>
      <c r="P1736" s="24">
        <v>0</v>
      </c>
      <c r="Q1736" s="24">
        <v>0</v>
      </c>
      <c r="R1736" s="24">
        <v>0</v>
      </c>
      <c r="S1736" s="24">
        <v>0</v>
      </c>
      <c r="T1736" s="24">
        <v>180</v>
      </c>
    </row>
    <row r="1737" spans="1:20">
      <c r="A1737" s="9" t="s">
        <v>1105</v>
      </c>
      <c r="B1737" s="30" t="s">
        <v>1231</v>
      </c>
      <c r="C1737" s="30" t="str">
        <f>CONCATENATE(VOL_VOLUMEN_SUMINISTROS[[#This Row],[Proyecto]],VOL_VOLUMEN_SUMINISTROS[[#This Row],[J]],VOL_VOLUMEN_SUMINISTROS[[#This Row],[FIN DE SEMANA]])</f>
        <v>1052-2TNO</v>
      </c>
      <c r="D1737" s="365" t="str">
        <f>CONCATENATE(VOL_VOLUMEN_SUMINISTROS[[#This Row],[Grupo]],VOL_VOLUMEN_SUMINISTROS[[#This Row],[Proyecto]],VOL_VOLUMEN_SUMINISTROS[[#This Row],[FIN DE SEMANA]])</f>
        <v>271052-2NO</v>
      </c>
      <c r="E1737" s="30" t="s">
        <v>183</v>
      </c>
      <c r="F1737" s="30" t="s">
        <v>148</v>
      </c>
      <c r="G1737" s="365">
        <v>27</v>
      </c>
      <c r="H1737" s="30">
        <v>7</v>
      </c>
      <c r="I1737" s="9" t="s">
        <v>221</v>
      </c>
      <c r="J1737" s="9" t="s">
        <v>1219</v>
      </c>
      <c r="K1737" s="30">
        <v>3</v>
      </c>
      <c r="L1737" s="9" t="s">
        <v>1222</v>
      </c>
      <c r="M1737" s="30" t="s">
        <v>84</v>
      </c>
      <c r="N1737" s="30" t="s">
        <v>155</v>
      </c>
      <c r="O1737" s="24">
        <v>180</v>
      </c>
      <c r="P1737" s="24">
        <v>0</v>
      </c>
      <c r="Q1737" s="24">
        <v>0</v>
      </c>
      <c r="R1737" s="24">
        <v>0</v>
      </c>
      <c r="S1737" s="24">
        <v>0</v>
      </c>
      <c r="T1737" s="24">
        <v>180</v>
      </c>
    </row>
    <row r="1738" spans="1:20">
      <c r="A1738" s="9" t="s">
        <v>1105</v>
      </c>
      <c r="B1738" s="30" t="s">
        <v>1231</v>
      </c>
      <c r="C1738" s="30" t="str">
        <f>CONCATENATE(VOL_VOLUMEN_SUMINISTROS[[#This Row],[Proyecto]],VOL_VOLUMEN_SUMINISTROS[[#This Row],[J]],VOL_VOLUMEN_SUMINISTROS[[#This Row],[FIN DE SEMANA]])</f>
        <v>1052-2MNO</v>
      </c>
      <c r="D1738" s="365" t="str">
        <f>CONCATENATE(VOL_VOLUMEN_SUMINISTROS[[#This Row],[Grupo]],VOL_VOLUMEN_SUMINISTROS[[#This Row],[Proyecto]],VOL_VOLUMEN_SUMINISTROS[[#This Row],[FIN DE SEMANA]])</f>
        <v>271052-2NO</v>
      </c>
      <c r="E1738" s="30" t="s">
        <v>183</v>
      </c>
      <c r="F1738" s="30" t="s">
        <v>148</v>
      </c>
      <c r="G1738" s="365">
        <v>27</v>
      </c>
      <c r="H1738" s="30">
        <v>7</v>
      </c>
      <c r="I1738" s="9" t="s">
        <v>221</v>
      </c>
      <c r="J1738" s="9" t="s">
        <v>1232</v>
      </c>
      <c r="K1738" s="30">
        <v>1</v>
      </c>
      <c r="L1738" s="9" t="s">
        <v>1233</v>
      </c>
      <c r="M1738" s="30" t="s">
        <v>84</v>
      </c>
      <c r="N1738" s="30" t="s">
        <v>152</v>
      </c>
      <c r="O1738" s="24">
        <v>210</v>
      </c>
      <c r="P1738" s="24">
        <v>0</v>
      </c>
      <c r="Q1738" s="24">
        <v>0</v>
      </c>
      <c r="R1738" s="24">
        <v>0</v>
      </c>
      <c r="S1738" s="24">
        <v>0</v>
      </c>
      <c r="T1738" s="24">
        <v>210</v>
      </c>
    </row>
    <row r="1739" spans="1:20">
      <c r="A1739" s="9" t="s">
        <v>1105</v>
      </c>
      <c r="B1739" s="30" t="s">
        <v>1231</v>
      </c>
      <c r="C1739" s="30" t="str">
        <f>CONCATENATE(VOL_VOLUMEN_SUMINISTROS[[#This Row],[Proyecto]],VOL_VOLUMEN_SUMINISTROS[[#This Row],[J]],VOL_VOLUMEN_SUMINISTROS[[#This Row],[FIN DE SEMANA]])</f>
        <v>1052-2TNO</v>
      </c>
      <c r="D1739" s="365" t="str">
        <f>CONCATENATE(VOL_VOLUMEN_SUMINISTROS[[#This Row],[Grupo]],VOL_VOLUMEN_SUMINISTROS[[#This Row],[Proyecto]],VOL_VOLUMEN_SUMINISTROS[[#This Row],[FIN DE SEMANA]])</f>
        <v>271052-2NO</v>
      </c>
      <c r="E1739" s="30" t="s">
        <v>183</v>
      </c>
      <c r="F1739" s="30" t="s">
        <v>148</v>
      </c>
      <c r="G1739" s="365">
        <v>27</v>
      </c>
      <c r="H1739" s="30">
        <v>7</v>
      </c>
      <c r="I1739" s="9" t="s">
        <v>221</v>
      </c>
      <c r="J1739" s="9" t="s">
        <v>1232</v>
      </c>
      <c r="K1739" s="30">
        <v>1</v>
      </c>
      <c r="L1739" s="9" t="s">
        <v>1233</v>
      </c>
      <c r="M1739" s="30" t="s">
        <v>84</v>
      </c>
      <c r="N1739" s="30" t="s">
        <v>155</v>
      </c>
      <c r="O1739" s="24">
        <v>210</v>
      </c>
      <c r="P1739" s="24">
        <v>0</v>
      </c>
      <c r="Q1739" s="24">
        <v>0</v>
      </c>
      <c r="R1739" s="24">
        <v>0</v>
      </c>
      <c r="S1739" s="24">
        <v>0</v>
      </c>
      <c r="T1739" s="24">
        <v>210</v>
      </c>
    </row>
    <row r="1740" spans="1:20">
      <c r="A1740" s="9" t="s">
        <v>1234</v>
      </c>
      <c r="B1740" s="30" t="s">
        <v>1235</v>
      </c>
      <c r="C1740" s="30" t="str">
        <f>CONCATENATE(VOL_VOLUMEN_SUMINISTROS[[#This Row],[Proyecto]],VOL_VOLUMEN_SUMINISTROS[[#This Row],[J]],VOL_VOLUMEN_SUMINISTROS[[#This Row],[FIN DE SEMANA]])</f>
        <v>1052-1MNO</v>
      </c>
      <c r="D1740" s="365" t="str">
        <f>CONCATENATE(VOL_VOLUMEN_SUMINISTROS[[#This Row],[Grupo]],VOL_VOLUMEN_SUMINISTROS[[#This Row],[Proyecto]],VOL_VOLUMEN_SUMINISTROS[[#This Row],[FIN DE SEMANA]])</f>
        <v>221052-1NO</v>
      </c>
      <c r="E1740" s="30" t="s">
        <v>147</v>
      </c>
      <c r="F1740" s="30" t="s">
        <v>148</v>
      </c>
      <c r="G1740" s="365">
        <v>22</v>
      </c>
      <c r="H1740" s="30">
        <v>19</v>
      </c>
      <c r="I1740" s="9" t="s">
        <v>250</v>
      </c>
      <c r="J1740" s="9" t="s">
        <v>1236</v>
      </c>
      <c r="K1740" s="30">
        <v>1</v>
      </c>
      <c r="L1740" s="9" t="s">
        <v>1237</v>
      </c>
      <c r="M1740" s="30" t="s">
        <v>84</v>
      </c>
      <c r="N1740" s="30" t="s">
        <v>152</v>
      </c>
      <c r="O1740" s="24">
        <v>218</v>
      </c>
      <c r="P1740" s="24">
        <v>370</v>
      </c>
      <c r="Q1740" s="24">
        <v>526</v>
      </c>
      <c r="R1740" s="24">
        <v>0</v>
      </c>
      <c r="S1740" s="24">
        <v>0</v>
      </c>
      <c r="T1740" s="24">
        <v>1114</v>
      </c>
    </row>
    <row r="1741" spans="1:20">
      <c r="A1741" s="9" t="s">
        <v>1234</v>
      </c>
      <c r="B1741" s="30" t="s">
        <v>1235</v>
      </c>
      <c r="C1741" s="30" t="str">
        <f>CONCATENATE(VOL_VOLUMEN_SUMINISTROS[[#This Row],[Proyecto]],VOL_VOLUMEN_SUMINISTROS[[#This Row],[J]],VOL_VOLUMEN_SUMINISTROS[[#This Row],[FIN DE SEMANA]])</f>
        <v>1052-1TNO</v>
      </c>
      <c r="D1741" s="365" t="str">
        <f>CONCATENATE(VOL_VOLUMEN_SUMINISTROS[[#This Row],[Grupo]],VOL_VOLUMEN_SUMINISTROS[[#This Row],[Proyecto]],VOL_VOLUMEN_SUMINISTROS[[#This Row],[FIN DE SEMANA]])</f>
        <v>221052-1NO</v>
      </c>
      <c r="E1741" s="30" t="s">
        <v>147</v>
      </c>
      <c r="F1741" s="30" t="s">
        <v>148</v>
      </c>
      <c r="G1741" s="365">
        <v>22</v>
      </c>
      <c r="H1741" s="30">
        <v>19</v>
      </c>
      <c r="I1741" s="9" t="s">
        <v>250</v>
      </c>
      <c r="J1741" s="9" t="s">
        <v>1236</v>
      </c>
      <c r="K1741" s="30">
        <v>1</v>
      </c>
      <c r="L1741" s="9" t="s">
        <v>1237</v>
      </c>
      <c r="M1741" s="30" t="s">
        <v>84</v>
      </c>
      <c r="N1741" s="30" t="s">
        <v>155</v>
      </c>
      <c r="O1741" s="24">
        <v>268</v>
      </c>
      <c r="P1741" s="24">
        <v>359</v>
      </c>
      <c r="Q1741" s="24">
        <v>356</v>
      </c>
      <c r="R1741" s="24">
        <v>0</v>
      </c>
      <c r="S1741" s="24">
        <v>0</v>
      </c>
      <c r="T1741" s="24">
        <v>983</v>
      </c>
    </row>
    <row r="1742" spans="1:20">
      <c r="A1742" s="9" t="s">
        <v>1234</v>
      </c>
      <c r="B1742" s="30" t="s">
        <v>1235</v>
      </c>
      <c r="C1742" s="30" t="str">
        <f>CONCATENATE(VOL_VOLUMEN_SUMINISTROS[[#This Row],[Proyecto]],VOL_VOLUMEN_SUMINISTROS[[#This Row],[J]],VOL_VOLUMEN_SUMINISTROS[[#This Row],[FIN DE SEMANA]])</f>
        <v>1052-1MNO</v>
      </c>
      <c r="D1742" s="365" t="str">
        <f>CONCATENATE(VOL_VOLUMEN_SUMINISTROS[[#This Row],[Grupo]],VOL_VOLUMEN_SUMINISTROS[[#This Row],[Proyecto]],VOL_VOLUMEN_SUMINISTROS[[#This Row],[FIN DE SEMANA]])</f>
        <v>221052-1NO</v>
      </c>
      <c r="E1742" s="30" t="s">
        <v>147</v>
      </c>
      <c r="F1742" s="30" t="s">
        <v>148</v>
      </c>
      <c r="G1742" s="365">
        <v>22</v>
      </c>
      <c r="H1742" s="30">
        <v>19</v>
      </c>
      <c r="I1742" s="9" t="s">
        <v>250</v>
      </c>
      <c r="J1742" s="9" t="s">
        <v>1236</v>
      </c>
      <c r="K1742" s="30">
        <v>2</v>
      </c>
      <c r="L1742" s="9" t="s">
        <v>1237</v>
      </c>
      <c r="M1742" s="30" t="s">
        <v>84</v>
      </c>
      <c r="N1742" s="30" t="s">
        <v>152</v>
      </c>
      <c r="O1742" s="24">
        <v>0</v>
      </c>
      <c r="P1742" s="24">
        <v>147</v>
      </c>
      <c r="Q1742" s="24">
        <v>49</v>
      </c>
      <c r="R1742" s="24">
        <v>0</v>
      </c>
      <c r="S1742" s="24">
        <v>0</v>
      </c>
      <c r="T1742" s="24">
        <v>196</v>
      </c>
    </row>
    <row r="1743" spans="1:20">
      <c r="A1743" s="9" t="s">
        <v>1234</v>
      </c>
      <c r="B1743" s="30" t="s">
        <v>1235</v>
      </c>
      <c r="C1743" s="30" t="str">
        <f>CONCATENATE(VOL_VOLUMEN_SUMINISTROS[[#This Row],[Proyecto]],VOL_VOLUMEN_SUMINISTROS[[#This Row],[J]],VOL_VOLUMEN_SUMINISTROS[[#This Row],[FIN DE SEMANA]])</f>
        <v>1052-1TNO</v>
      </c>
      <c r="D1743" s="365" t="str">
        <f>CONCATENATE(VOL_VOLUMEN_SUMINISTROS[[#This Row],[Grupo]],VOL_VOLUMEN_SUMINISTROS[[#This Row],[Proyecto]],VOL_VOLUMEN_SUMINISTROS[[#This Row],[FIN DE SEMANA]])</f>
        <v>221052-1NO</v>
      </c>
      <c r="E1743" s="30" t="s">
        <v>147</v>
      </c>
      <c r="F1743" s="30" t="s">
        <v>148</v>
      </c>
      <c r="G1743" s="365">
        <v>22</v>
      </c>
      <c r="H1743" s="30">
        <v>19</v>
      </c>
      <c r="I1743" s="9" t="s">
        <v>250</v>
      </c>
      <c r="J1743" s="9" t="s">
        <v>1236</v>
      </c>
      <c r="K1743" s="30">
        <v>2</v>
      </c>
      <c r="L1743" s="9" t="s">
        <v>1237</v>
      </c>
      <c r="M1743" s="30" t="s">
        <v>84</v>
      </c>
      <c r="N1743" s="30" t="s">
        <v>155</v>
      </c>
      <c r="O1743" s="24">
        <v>0</v>
      </c>
      <c r="P1743" s="24">
        <v>132</v>
      </c>
      <c r="Q1743" s="24">
        <v>44</v>
      </c>
      <c r="R1743" s="24">
        <v>0</v>
      </c>
      <c r="S1743" s="24">
        <v>0</v>
      </c>
      <c r="T1743" s="24">
        <v>176</v>
      </c>
    </row>
    <row r="1744" spans="1:20">
      <c r="A1744" s="9" t="s">
        <v>1234</v>
      </c>
      <c r="B1744" s="30" t="s">
        <v>1235</v>
      </c>
      <c r="C1744" s="30" t="str">
        <f>CONCATENATE(VOL_VOLUMEN_SUMINISTROS[[#This Row],[Proyecto]],VOL_VOLUMEN_SUMINISTROS[[#This Row],[J]],VOL_VOLUMEN_SUMINISTROS[[#This Row],[FIN DE SEMANA]])</f>
        <v>1052-1MNO</v>
      </c>
      <c r="D1744" s="365" t="str">
        <f>CONCATENATE(VOL_VOLUMEN_SUMINISTROS[[#This Row],[Grupo]],VOL_VOLUMEN_SUMINISTROS[[#This Row],[Proyecto]],VOL_VOLUMEN_SUMINISTROS[[#This Row],[FIN DE SEMANA]])</f>
        <v>221052-1NO</v>
      </c>
      <c r="E1744" s="30" t="s">
        <v>147</v>
      </c>
      <c r="F1744" s="30" t="s">
        <v>148</v>
      </c>
      <c r="G1744" s="365">
        <v>22</v>
      </c>
      <c r="H1744" s="30">
        <v>19</v>
      </c>
      <c r="I1744" s="9" t="s">
        <v>250</v>
      </c>
      <c r="J1744" s="9" t="s">
        <v>1238</v>
      </c>
      <c r="K1744" s="30">
        <v>1</v>
      </c>
      <c r="L1744" s="9" t="s">
        <v>1239</v>
      </c>
      <c r="M1744" s="30" t="s">
        <v>84</v>
      </c>
      <c r="N1744" s="30" t="s">
        <v>152</v>
      </c>
      <c r="O1744" s="24">
        <v>202</v>
      </c>
      <c r="P1744" s="24">
        <v>302</v>
      </c>
      <c r="Q1744" s="24">
        <v>385</v>
      </c>
      <c r="R1744" s="24">
        <v>0</v>
      </c>
      <c r="S1744" s="24">
        <v>0</v>
      </c>
      <c r="T1744" s="24">
        <v>889</v>
      </c>
    </row>
    <row r="1745" spans="1:20">
      <c r="A1745" s="9" t="s">
        <v>1234</v>
      </c>
      <c r="B1745" s="30" t="s">
        <v>1235</v>
      </c>
      <c r="C1745" s="30" t="str">
        <f>CONCATENATE(VOL_VOLUMEN_SUMINISTROS[[#This Row],[Proyecto]],VOL_VOLUMEN_SUMINISTROS[[#This Row],[J]],VOL_VOLUMEN_SUMINISTROS[[#This Row],[FIN DE SEMANA]])</f>
        <v>1052-1TNO</v>
      </c>
      <c r="D1745" s="365" t="str">
        <f>CONCATENATE(VOL_VOLUMEN_SUMINISTROS[[#This Row],[Grupo]],VOL_VOLUMEN_SUMINISTROS[[#This Row],[Proyecto]],VOL_VOLUMEN_SUMINISTROS[[#This Row],[FIN DE SEMANA]])</f>
        <v>221052-1NO</v>
      </c>
      <c r="E1745" s="30" t="s">
        <v>147</v>
      </c>
      <c r="F1745" s="30" t="s">
        <v>148</v>
      </c>
      <c r="G1745" s="365">
        <v>22</v>
      </c>
      <c r="H1745" s="30">
        <v>19</v>
      </c>
      <c r="I1745" s="9" t="s">
        <v>250</v>
      </c>
      <c r="J1745" s="9" t="s">
        <v>1238</v>
      </c>
      <c r="K1745" s="30">
        <v>1</v>
      </c>
      <c r="L1745" s="9" t="s">
        <v>1239</v>
      </c>
      <c r="M1745" s="30" t="s">
        <v>84</v>
      </c>
      <c r="N1745" s="30" t="s">
        <v>155</v>
      </c>
      <c r="O1745" s="24">
        <v>200</v>
      </c>
      <c r="P1745" s="24">
        <v>301</v>
      </c>
      <c r="Q1745" s="24">
        <v>354</v>
      </c>
      <c r="R1745" s="24">
        <v>0</v>
      </c>
      <c r="S1745" s="24">
        <v>0</v>
      </c>
      <c r="T1745" s="24">
        <v>855</v>
      </c>
    </row>
    <row r="1746" spans="1:20">
      <c r="A1746" s="9" t="s">
        <v>1234</v>
      </c>
      <c r="B1746" s="30" t="s">
        <v>1235</v>
      </c>
      <c r="C1746" s="30" t="str">
        <f>CONCATENATE(VOL_VOLUMEN_SUMINISTROS[[#This Row],[Proyecto]],VOL_VOLUMEN_SUMINISTROS[[#This Row],[J]],VOL_VOLUMEN_SUMINISTROS[[#This Row],[FIN DE SEMANA]])</f>
        <v>1052-1MNO</v>
      </c>
      <c r="D1746" s="365" t="str">
        <f>CONCATENATE(VOL_VOLUMEN_SUMINISTROS[[#This Row],[Grupo]],VOL_VOLUMEN_SUMINISTROS[[#This Row],[Proyecto]],VOL_VOLUMEN_SUMINISTROS[[#This Row],[FIN DE SEMANA]])</f>
        <v>221052-1NO</v>
      </c>
      <c r="E1746" s="30" t="s">
        <v>147</v>
      </c>
      <c r="F1746" s="30" t="s">
        <v>148</v>
      </c>
      <c r="G1746" s="365">
        <v>22</v>
      </c>
      <c r="H1746" s="30">
        <v>19</v>
      </c>
      <c r="I1746" s="9" t="s">
        <v>250</v>
      </c>
      <c r="J1746" s="9" t="s">
        <v>1240</v>
      </c>
      <c r="K1746" s="30">
        <v>1</v>
      </c>
      <c r="L1746" s="9" t="s">
        <v>1241</v>
      </c>
      <c r="M1746" s="30" t="s">
        <v>84</v>
      </c>
      <c r="N1746" s="30" t="s">
        <v>152</v>
      </c>
      <c r="O1746" s="24">
        <v>353</v>
      </c>
      <c r="P1746" s="24">
        <v>307</v>
      </c>
      <c r="Q1746" s="24">
        <v>56</v>
      </c>
      <c r="R1746" s="24">
        <v>0</v>
      </c>
      <c r="S1746" s="24">
        <v>0</v>
      </c>
      <c r="T1746" s="24">
        <v>716</v>
      </c>
    </row>
    <row r="1747" spans="1:20">
      <c r="A1747" s="9" t="s">
        <v>1234</v>
      </c>
      <c r="B1747" s="30" t="s">
        <v>1235</v>
      </c>
      <c r="C1747" s="30" t="str">
        <f>CONCATENATE(VOL_VOLUMEN_SUMINISTROS[[#This Row],[Proyecto]],VOL_VOLUMEN_SUMINISTROS[[#This Row],[J]],VOL_VOLUMEN_SUMINISTROS[[#This Row],[FIN DE SEMANA]])</f>
        <v>1052-1NNO</v>
      </c>
      <c r="D1747" s="365" t="str">
        <f>CONCATENATE(VOL_VOLUMEN_SUMINISTROS[[#This Row],[Grupo]],VOL_VOLUMEN_SUMINISTROS[[#This Row],[Proyecto]],VOL_VOLUMEN_SUMINISTROS[[#This Row],[FIN DE SEMANA]])</f>
        <v>221052-1NO</v>
      </c>
      <c r="E1747" s="30" t="s">
        <v>147</v>
      </c>
      <c r="F1747" s="30" t="s">
        <v>148</v>
      </c>
      <c r="G1747" s="365">
        <v>22</v>
      </c>
      <c r="H1747" s="30">
        <v>19</v>
      </c>
      <c r="I1747" s="9" t="s">
        <v>250</v>
      </c>
      <c r="J1747" s="9" t="s">
        <v>1240</v>
      </c>
      <c r="K1747" s="30">
        <v>1</v>
      </c>
      <c r="L1747" s="9" t="s">
        <v>1241</v>
      </c>
      <c r="M1747" s="30" t="s">
        <v>84</v>
      </c>
      <c r="N1747" s="30" t="s">
        <v>154</v>
      </c>
      <c r="O1747" s="24">
        <v>0</v>
      </c>
      <c r="P1747" s="24">
        <v>0</v>
      </c>
      <c r="Q1747" s="24">
        <v>0</v>
      </c>
      <c r="R1747" s="24">
        <v>212</v>
      </c>
      <c r="S1747" s="24">
        <v>234</v>
      </c>
      <c r="T1747" s="24">
        <v>446</v>
      </c>
    </row>
    <row r="1748" spans="1:20">
      <c r="A1748" s="9" t="s">
        <v>1234</v>
      </c>
      <c r="B1748" s="30" t="s">
        <v>1235</v>
      </c>
      <c r="C1748" s="30" t="str">
        <f>CONCATENATE(VOL_VOLUMEN_SUMINISTROS[[#This Row],[Proyecto]],VOL_VOLUMEN_SUMINISTROS[[#This Row],[J]],VOL_VOLUMEN_SUMINISTROS[[#This Row],[FIN DE SEMANA]])</f>
        <v>1052-1TNO</v>
      </c>
      <c r="D1748" s="365" t="str">
        <f>CONCATENATE(VOL_VOLUMEN_SUMINISTROS[[#This Row],[Grupo]],VOL_VOLUMEN_SUMINISTROS[[#This Row],[Proyecto]],VOL_VOLUMEN_SUMINISTROS[[#This Row],[FIN DE SEMANA]])</f>
        <v>221052-1NO</v>
      </c>
      <c r="E1748" s="30" t="s">
        <v>147</v>
      </c>
      <c r="F1748" s="30" t="s">
        <v>148</v>
      </c>
      <c r="G1748" s="365">
        <v>22</v>
      </c>
      <c r="H1748" s="30">
        <v>19</v>
      </c>
      <c r="I1748" s="9" t="s">
        <v>250</v>
      </c>
      <c r="J1748" s="9" t="s">
        <v>1240</v>
      </c>
      <c r="K1748" s="30">
        <v>1</v>
      </c>
      <c r="L1748" s="9" t="s">
        <v>1241</v>
      </c>
      <c r="M1748" s="30" t="s">
        <v>84</v>
      </c>
      <c r="N1748" s="30" t="s">
        <v>155</v>
      </c>
      <c r="O1748" s="24">
        <v>70</v>
      </c>
      <c r="P1748" s="24">
        <v>207</v>
      </c>
      <c r="Q1748" s="24">
        <v>423</v>
      </c>
      <c r="R1748" s="24">
        <v>0</v>
      </c>
      <c r="S1748" s="24">
        <v>0</v>
      </c>
      <c r="T1748" s="24">
        <v>700</v>
      </c>
    </row>
    <row r="1749" spans="1:20">
      <c r="A1749" s="9" t="s">
        <v>1234</v>
      </c>
      <c r="B1749" s="30" t="s">
        <v>1235</v>
      </c>
      <c r="C1749" s="30" t="str">
        <f>CONCATENATE(VOL_VOLUMEN_SUMINISTROS[[#This Row],[Proyecto]],VOL_VOLUMEN_SUMINISTROS[[#This Row],[J]],VOL_VOLUMEN_SUMINISTROS[[#This Row],[FIN DE SEMANA]])</f>
        <v>1052-1MNO</v>
      </c>
      <c r="D1749" s="365" t="str">
        <f>CONCATENATE(VOL_VOLUMEN_SUMINISTROS[[#This Row],[Grupo]],VOL_VOLUMEN_SUMINISTROS[[#This Row],[Proyecto]],VOL_VOLUMEN_SUMINISTROS[[#This Row],[FIN DE SEMANA]])</f>
        <v>221052-1NO</v>
      </c>
      <c r="E1749" s="30" t="s">
        <v>147</v>
      </c>
      <c r="F1749" s="30" t="s">
        <v>148</v>
      </c>
      <c r="G1749" s="365">
        <v>22</v>
      </c>
      <c r="H1749" s="30">
        <v>19</v>
      </c>
      <c r="I1749" s="9" t="s">
        <v>250</v>
      </c>
      <c r="J1749" s="9" t="s">
        <v>1240</v>
      </c>
      <c r="K1749" s="30">
        <v>2</v>
      </c>
      <c r="L1749" s="9" t="s">
        <v>1241</v>
      </c>
      <c r="M1749" s="30" t="s">
        <v>84</v>
      </c>
      <c r="N1749" s="30" t="s">
        <v>152</v>
      </c>
      <c r="O1749" s="24">
        <v>133</v>
      </c>
      <c r="P1749" s="24">
        <v>0</v>
      </c>
      <c r="Q1749" s="24">
        <v>0</v>
      </c>
      <c r="R1749" s="24">
        <v>0</v>
      </c>
      <c r="S1749" s="24">
        <v>0</v>
      </c>
      <c r="T1749" s="24">
        <v>133</v>
      </c>
    </row>
    <row r="1750" spans="1:20">
      <c r="A1750" s="9" t="s">
        <v>1234</v>
      </c>
      <c r="B1750" s="30" t="s">
        <v>1235</v>
      </c>
      <c r="C1750" s="30" t="str">
        <f>CONCATENATE(VOL_VOLUMEN_SUMINISTROS[[#This Row],[Proyecto]],VOL_VOLUMEN_SUMINISTROS[[#This Row],[J]],VOL_VOLUMEN_SUMINISTROS[[#This Row],[FIN DE SEMANA]])</f>
        <v>1052-1TNO</v>
      </c>
      <c r="D1750" s="365" t="str">
        <f>CONCATENATE(VOL_VOLUMEN_SUMINISTROS[[#This Row],[Grupo]],VOL_VOLUMEN_SUMINISTROS[[#This Row],[Proyecto]],VOL_VOLUMEN_SUMINISTROS[[#This Row],[FIN DE SEMANA]])</f>
        <v>61052-1NO</v>
      </c>
      <c r="E1750" s="30" t="s">
        <v>147</v>
      </c>
      <c r="F1750" s="30" t="s">
        <v>148</v>
      </c>
      <c r="G1750" s="365">
        <v>6</v>
      </c>
      <c r="H1750" s="30">
        <v>19</v>
      </c>
      <c r="I1750" s="9" t="s">
        <v>250</v>
      </c>
      <c r="J1750" s="9" t="s">
        <v>1240</v>
      </c>
      <c r="K1750" s="30">
        <v>2</v>
      </c>
      <c r="L1750" s="9" t="s">
        <v>1241</v>
      </c>
      <c r="M1750" s="30" t="s">
        <v>84</v>
      </c>
      <c r="N1750" s="30" t="s">
        <v>155</v>
      </c>
      <c r="O1750" s="24">
        <v>60</v>
      </c>
      <c r="P1750" s="24">
        <v>0</v>
      </c>
      <c r="Q1750" s="24">
        <v>0</v>
      </c>
      <c r="R1750" s="24">
        <v>0</v>
      </c>
      <c r="S1750" s="24">
        <v>0</v>
      </c>
      <c r="T1750" s="24">
        <v>60</v>
      </c>
    </row>
    <row r="1751" spans="1:20">
      <c r="A1751" s="9" t="s">
        <v>1234</v>
      </c>
      <c r="B1751" s="30" t="s">
        <v>1235</v>
      </c>
      <c r="C1751" s="30" t="str">
        <f>CONCATENATE(VOL_VOLUMEN_SUMINISTROS[[#This Row],[Proyecto]],VOL_VOLUMEN_SUMINISTROS[[#This Row],[J]],VOL_VOLUMEN_SUMINISTROS[[#This Row],[FIN DE SEMANA]])</f>
        <v>1052-1NNO</v>
      </c>
      <c r="D1751" s="365" t="str">
        <f>CONCATENATE(VOL_VOLUMEN_SUMINISTROS[[#This Row],[Grupo]],VOL_VOLUMEN_SUMINISTROS[[#This Row],[Proyecto]],VOL_VOLUMEN_SUMINISTROS[[#This Row],[FIN DE SEMANA]])</f>
        <v>221052-1NO</v>
      </c>
      <c r="E1751" s="30" t="s">
        <v>147</v>
      </c>
      <c r="F1751" s="30" t="s">
        <v>148</v>
      </c>
      <c r="G1751" s="365">
        <v>22</v>
      </c>
      <c r="H1751" s="30">
        <v>19</v>
      </c>
      <c r="I1751" s="9" t="s">
        <v>250</v>
      </c>
      <c r="J1751" s="9" t="s">
        <v>1242</v>
      </c>
      <c r="K1751" s="30">
        <v>1</v>
      </c>
      <c r="L1751" s="9" t="s">
        <v>1243</v>
      </c>
      <c r="M1751" s="30" t="s">
        <v>84</v>
      </c>
      <c r="N1751" s="30" t="s">
        <v>154</v>
      </c>
      <c r="O1751" s="24">
        <v>0</v>
      </c>
      <c r="P1751" s="24">
        <v>0</v>
      </c>
      <c r="Q1751" s="24">
        <v>0</v>
      </c>
      <c r="R1751" s="24">
        <v>405</v>
      </c>
      <c r="S1751" s="24">
        <v>317</v>
      </c>
      <c r="T1751" s="24">
        <v>722</v>
      </c>
    </row>
    <row r="1752" spans="1:20">
      <c r="A1752" s="9" t="s">
        <v>1234</v>
      </c>
      <c r="B1752" s="30" t="s">
        <v>1235</v>
      </c>
      <c r="C1752" s="30" t="str">
        <f>CONCATENATE(VOL_VOLUMEN_SUMINISTROS[[#This Row],[Proyecto]],VOL_VOLUMEN_SUMINISTROS[[#This Row],[J]],VOL_VOLUMEN_SUMINISTROS[[#This Row],[FIN DE SEMANA]])</f>
        <v>1052-1TNO</v>
      </c>
      <c r="D1752" s="365" t="str">
        <f>CONCATENATE(VOL_VOLUMEN_SUMINISTROS[[#This Row],[Grupo]],VOL_VOLUMEN_SUMINISTROS[[#This Row],[Proyecto]],VOL_VOLUMEN_SUMINISTROS[[#This Row],[FIN DE SEMANA]])</f>
        <v>221052-1NO</v>
      </c>
      <c r="E1752" s="30" t="s">
        <v>147</v>
      </c>
      <c r="F1752" s="30" t="s">
        <v>148</v>
      </c>
      <c r="G1752" s="365">
        <v>22</v>
      </c>
      <c r="H1752" s="30">
        <v>19</v>
      </c>
      <c r="I1752" s="9" t="s">
        <v>250</v>
      </c>
      <c r="J1752" s="9" t="s">
        <v>1242</v>
      </c>
      <c r="K1752" s="30">
        <v>1</v>
      </c>
      <c r="L1752" s="9" t="s">
        <v>1243</v>
      </c>
      <c r="M1752" s="30" t="s">
        <v>84</v>
      </c>
      <c r="N1752" s="30" t="s">
        <v>155</v>
      </c>
      <c r="O1752" s="24">
        <v>0</v>
      </c>
      <c r="P1752" s="24">
        <v>174</v>
      </c>
      <c r="Q1752" s="24">
        <v>851</v>
      </c>
      <c r="R1752" s="24">
        <v>0</v>
      </c>
      <c r="S1752" s="24">
        <v>0</v>
      </c>
      <c r="T1752" s="24">
        <v>1025</v>
      </c>
    </row>
    <row r="1753" spans="1:20">
      <c r="A1753" s="9" t="s">
        <v>1234</v>
      </c>
      <c r="B1753" s="30" t="s">
        <v>1235</v>
      </c>
      <c r="C1753" s="30" t="str">
        <f>CONCATENATE(VOL_VOLUMEN_SUMINISTROS[[#This Row],[Proyecto]],VOL_VOLUMEN_SUMINISTROS[[#This Row],[J]],VOL_VOLUMEN_SUMINISTROS[[#This Row],[FIN DE SEMANA]])</f>
        <v>1052-1MNO</v>
      </c>
      <c r="D1753" s="365" t="str">
        <f>CONCATENATE(VOL_VOLUMEN_SUMINISTROS[[#This Row],[Grupo]],VOL_VOLUMEN_SUMINISTROS[[#This Row],[Proyecto]],VOL_VOLUMEN_SUMINISTROS[[#This Row],[FIN DE SEMANA]])</f>
        <v>221052-1NO</v>
      </c>
      <c r="E1753" s="30" t="s">
        <v>147</v>
      </c>
      <c r="F1753" s="30" t="s">
        <v>148</v>
      </c>
      <c r="G1753" s="365">
        <v>22</v>
      </c>
      <c r="H1753" s="30">
        <v>19</v>
      </c>
      <c r="I1753" s="9" t="s">
        <v>250</v>
      </c>
      <c r="J1753" s="9" t="s">
        <v>1242</v>
      </c>
      <c r="K1753" s="30">
        <v>2</v>
      </c>
      <c r="L1753" s="9" t="s">
        <v>1244</v>
      </c>
      <c r="M1753" s="30" t="s">
        <v>84</v>
      </c>
      <c r="N1753" s="30" t="s">
        <v>152</v>
      </c>
      <c r="O1753" s="24">
        <v>380</v>
      </c>
      <c r="P1753" s="24">
        <v>120</v>
      </c>
      <c r="Q1753" s="24">
        <v>0</v>
      </c>
      <c r="R1753" s="24">
        <v>0</v>
      </c>
      <c r="S1753" s="24">
        <v>0</v>
      </c>
      <c r="T1753" s="24">
        <v>500</v>
      </c>
    </row>
    <row r="1754" spans="1:20">
      <c r="A1754" s="9" t="s">
        <v>1234</v>
      </c>
      <c r="B1754" s="30" t="s">
        <v>1235</v>
      </c>
      <c r="C1754" s="30" t="str">
        <f>CONCATENATE(VOL_VOLUMEN_SUMINISTROS[[#This Row],[Proyecto]],VOL_VOLUMEN_SUMINISTROS[[#This Row],[J]],VOL_VOLUMEN_SUMINISTROS[[#This Row],[FIN DE SEMANA]])</f>
        <v>1052-1TNO</v>
      </c>
      <c r="D1754" s="365" t="str">
        <f>CONCATENATE(VOL_VOLUMEN_SUMINISTROS[[#This Row],[Grupo]],VOL_VOLUMEN_SUMINISTROS[[#This Row],[Proyecto]],VOL_VOLUMEN_SUMINISTROS[[#This Row],[FIN DE SEMANA]])</f>
        <v>221052-1NO</v>
      </c>
      <c r="E1754" s="30" t="s">
        <v>147</v>
      </c>
      <c r="F1754" s="30" t="s">
        <v>148</v>
      </c>
      <c r="G1754" s="365">
        <v>22</v>
      </c>
      <c r="H1754" s="30">
        <v>19</v>
      </c>
      <c r="I1754" s="9" t="s">
        <v>250</v>
      </c>
      <c r="J1754" s="9" t="s">
        <v>1242</v>
      </c>
      <c r="K1754" s="30">
        <v>2</v>
      </c>
      <c r="L1754" s="9" t="s">
        <v>1244</v>
      </c>
      <c r="M1754" s="30" t="s">
        <v>84</v>
      </c>
      <c r="N1754" s="30" t="s">
        <v>155</v>
      </c>
      <c r="O1754" s="24">
        <v>406</v>
      </c>
      <c r="P1754" s="24">
        <v>119</v>
      </c>
      <c r="Q1754" s="24">
        <v>0</v>
      </c>
      <c r="R1754" s="24">
        <v>0</v>
      </c>
      <c r="S1754" s="24">
        <v>0</v>
      </c>
      <c r="T1754" s="24">
        <v>525</v>
      </c>
    </row>
    <row r="1755" spans="1:20">
      <c r="A1755" s="9" t="s">
        <v>1234</v>
      </c>
      <c r="B1755" s="30" t="s">
        <v>1235</v>
      </c>
      <c r="C1755" s="30" t="str">
        <f>CONCATENATE(VOL_VOLUMEN_SUMINISTROS[[#This Row],[Proyecto]],VOL_VOLUMEN_SUMINISTROS[[#This Row],[J]],VOL_VOLUMEN_SUMINISTROS[[#This Row],[FIN DE SEMANA]])</f>
        <v>1052-1MNO</v>
      </c>
      <c r="D1755" s="365" t="str">
        <f>CONCATENATE(VOL_VOLUMEN_SUMINISTROS[[#This Row],[Grupo]],VOL_VOLUMEN_SUMINISTROS[[#This Row],[Proyecto]],VOL_VOLUMEN_SUMINISTROS[[#This Row],[FIN DE SEMANA]])</f>
        <v>221052-1NO</v>
      </c>
      <c r="E1755" s="30" t="s">
        <v>147</v>
      </c>
      <c r="F1755" s="30" t="s">
        <v>148</v>
      </c>
      <c r="G1755" s="365">
        <v>22</v>
      </c>
      <c r="H1755" s="30">
        <v>19</v>
      </c>
      <c r="I1755" s="9" t="s">
        <v>250</v>
      </c>
      <c r="J1755" s="9" t="s">
        <v>1242</v>
      </c>
      <c r="K1755" s="30">
        <v>4</v>
      </c>
      <c r="L1755" s="9" t="s">
        <v>1245</v>
      </c>
      <c r="M1755" s="30" t="s">
        <v>84</v>
      </c>
      <c r="N1755" s="30" t="s">
        <v>152</v>
      </c>
      <c r="O1755" s="24">
        <v>80</v>
      </c>
      <c r="P1755" s="24">
        <v>0</v>
      </c>
      <c r="Q1755" s="24">
        <v>0</v>
      </c>
      <c r="R1755" s="24">
        <v>0</v>
      </c>
      <c r="S1755" s="24">
        <v>0</v>
      </c>
      <c r="T1755" s="24">
        <v>80</v>
      </c>
    </row>
    <row r="1756" spans="1:20">
      <c r="A1756" s="9" t="s">
        <v>1234</v>
      </c>
      <c r="B1756" s="30" t="s">
        <v>1235</v>
      </c>
      <c r="C1756" s="30" t="str">
        <f>CONCATENATE(VOL_VOLUMEN_SUMINISTROS[[#This Row],[Proyecto]],VOL_VOLUMEN_SUMINISTROS[[#This Row],[J]],VOL_VOLUMEN_SUMINISTROS[[#This Row],[FIN DE SEMANA]])</f>
        <v>1052-1MNO</v>
      </c>
      <c r="D1756" s="365" t="str">
        <f>CONCATENATE(VOL_VOLUMEN_SUMINISTROS[[#This Row],[Grupo]],VOL_VOLUMEN_SUMINISTROS[[#This Row],[Proyecto]],VOL_VOLUMEN_SUMINISTROS[[#This Row],[FIN DE SEMANA]])</f>
        <v>221052-1NO</v>
      </c>
      <c r="E1756" s="30" t="s">
        <v>147</v>
      </c>
      <c r="F1756" s="30" t="s">
        <v>148</v>
      </c>
      <c r="G1756" s="365">
        <v>22</v>
      </c>
      <c r="H1756" s="30">
        <v>19</v>
      </c>
      <c r="I1756" s="9" t="s">
        <v>250</v>
      </c>
      <c r="J1756" s="9" t="s">
        <v>1246</v>
      </c>
      <c r="K1756" s="30">
        <v>1</v>
      </c>
      <c r="L1756" s="9" t="s">
        <v>1247</v>
      </c>
      <c r="M1756" s="30" t="s">
        <v>84</v>
      </c>
      <c r="N1756" s="30" t="s">
        <v>152</v>
      </c>
      <c r="O1756" s="24">
        <v>263</v>
      </c>
      <c r="P1756" s="24">
        <v>393</v>
      </c>
      <c r="Q1756" s="24">
        <v>611</v>
      </c>
      <c r="R1756" s="24">
        <v>0</v>
      </c>
      <c r="S1756" s="24">
        <v>0</v>
      </c>
      <c r="T1756" s="24">
        <v>1267</v>
      </c>
    </row>
    <row r="1757" spans="1:20">
      <c r="A1757" s="9" t="s">
        <v>1234</v>
      </c>
      <c r="B1757" s="30" t="s">
        <v>1235</v>
      </c>
      <c r="C1757" s="30" t="str">
        <f>CONCATENATE(VOL_VOLUMEN_SUMINISTROS[[#This Row],[Proyecto]],VOL_VOLUMEN_SUMINISTROS[[#This Row],[J]],VOL_VOLUMEN_SUMINISTROS[[#This Row],[FIN DE SEMANA]])</f>
        <v>1052-1NNO</v>
      </c>
      <c r="D1757" s="365" t="str">
        <f>CONCATENATE(VOL_VOLUMEN_SUMINISTROS[[#This Row],[Grupo]],VOL_VOLUMEN_SUMINISTROS[[#This Row],[Proyecto]],VOL_VOLUMEN_SUMINISTROS[[#This Row],[FIN DE SEMANA]])</f>
        <v>221052-1NO</v>
      </c>
      <c r="E1757" s="30" t="s">
        <v>147</v>
      </c>
      <c r="F1757" s="30" t="s">
        <v>148</v>
      </c>
      <c r="G1757" s="365">
        <v>22</v>
      </c>
      <c r="H1757" s="30">
        <v>19</v>
      </c>
      <c r="I1757" s="9" t="s">
        <v>250</v>
      </c>
      <c r="J1757" s="9" t="s">
        <v>1246</v>
      </c>
      <c r="K1757" s="30">
        <v>1</v>
      </c>
      <c r="L1757" s="9" t="s">
        <v>1247</v>
      </c>
      <c r="M1757" s="30" t="s">
        <v>84</v>
      </c>
      <c r="N1757" s="30" t="s">
        <v>154</v>
      </c>
      <c r="O1757" s="24">
        <v>0</v>
      </c>
      <c r="P1757" s="24">
        <v>0</v>
      </c>
      <c r="Q1757" s="24">
        <v>0</v>
      </c>
      <c r="R1757" s="24">
        <v>128</v>
      </c>
      <c r="S1757" s="24">
        <v>146</v>
      </c>
      <c r="T1757" s="24">
        <v>274</v>
      </c>
    </row>
    <row r="1758" spans="1:20">
      <c r="A1758" s="9" t="s">
        <v>1234</v>
      </c>
      <c r="B1758" s="30" t="s">
        <v>1235</v>
      </c>
      <c r="C1758" s="30" t="str">
        <f>CONCATENATE(VOL_VOLUMEN_SUMINISTROS[[#This Row],[Proyecto]],VOL_VOLUMEN_SUMINISTROS[[#This Row],[J]],VOL_VOLUMEN_SUMINISTROS[[#This Row],[FIN DE SEMANA]])</f>
        <v>1052-1TNO</v>
      </c>
      <c r="D1758" s="365" t="str">
        <f>CONCATENATE(VOL_VOLUMEN_SUMINISTROS[[#This Row],[Grupo]],VOL_VOLUMEN_SUMINISTROS[[#This Row],[Proyecto]],VOL_VOLUMEN_SUMINISTROS[[#This Row],[FIN DE SEMANA]])</f>
        <v>221052-1NO</v>
      </c>
      <c r="E1758" s="30" t="s">
        <v>147</v>
      </c>
      <c r="F1758" s="30" t="s">
        <v>148</v>
      </c>
      <c r="G1758" s="365">
        <v>22</v>
      </c>
      <c r="H1758" s="30">
        <v>19</v>
      </c>
      <c r="I1758" s="9" t="s">
        <v>250</v>
      </c>
      <c r="J1758" s="9" t="s">
        <v>1246</v>
      </c>
      <c r="K1758" s="30">
        <v>1</v>
      </c>
      <c r="L1758" s="9" t="s">
        <v>1247</v>
      </c>
      <c r="M1758" s="30" t="s">
        <v>84</v>
      </c>
      <c r="N1758" s="30" t="s">
        <v>155</v>
      </c>
      <c r="O1758" s="24">
        <v>296</v>
      </c>
      <c r="P1758" s="24">
        <v>398</v>
      </c>
      <c r="Q1758" s="24">
        <v>556</v>
      </c>
      <c r="R1758" s="24">
        <v>0</v>
      </c>
      <c r="S1758" s="24">
        <v>0</v>
      </c>
      <c r="T1758" s="24">
        <v>1250</v>
      </c>
    </row>
    <row r="1759" spans="1:20">
      <c r="A1759" s="9" t="s">
        <v>1234</v>
      </c>
      <c r="B1759" s="30" t="s">
        <v>1235</v>
      </c>
      <c r="C1759" s="30" t="str">
        <f>CONCATENATE(VOL_VOLUMEN_SUMINISTROS[[#This Row],[Proyecto]],VOL_VOLUMEN_SUMINISTROS[[#This Row],[J]],VOL_VOLUMEN_SUMINISTROS[[#This Row],[FIN DE SEMANA]])</f>
        <v>1052-1MNO</v>
      </c>
      <c r="D1759" s="365" t="str">
        <f>CONCATENATE(VOL_VOLUMEN_SUMINISTROS[[#This Row],[Grupo]],VOL_VOLUMEN_SUMINISTROS[[#This Row],[Proyecto]],VOL_VOLUMEN_SUMINISTROS[[#This Row],[FIN DE SEMANA]])</f>
        <v>221052-1NO</v>
      </c>
      <c r="E1759" s="30" t="s">
        <v>147</v>
      </c>
      <c r="F1759" s="30" t="s">
        <v>148</v>
      </c>
      <c r="G1759" s="365">
        <v>22</v>
      </c>
      <c r="H1759" s="30">
        <v>19</v>
      </c>
      <c r="I1759" s="9" t="s">
        <v>250</v>
      </c>
      <c r="J1759" s="9" t="s">
        <v>1248</v>
      </c>
      <c r="K1759" s="30">
        <v>2</v>
      </c>
      <c r="L1759" s="9" t="s">
        <v>1249</v>
      </c>
      <c r="M1759" s="30" t="s">
        <v>84</v>
      </c>
      <c r="N1759" s="30" t="s">
        <v>152</v>
      </c>
      <c r="O1759" s="24">
        <v>192</v>
      </c>
      <c r="P1759" s="24">
        <v>197</v>
      </c>
      <c r="Q1759" s="24">
        <v>42</v>
      </c>
      <c r="R1759" s="24">
        <v>0</v>
      </c>
      <c r="S1759" s="24">
        <v>0</v>
      </c>
      <c r="T1759" s="24">
        <v>431</v>
      </c>
    </row>
    <row r="1760" spans="1:20">
      <c r="A1760" s="9" t="s">
        <v>1234</v>
      </c>
      <c r="B1760" s="30" t="s">
        <v>1235</v>
      </c>
      <c r="C1760" s="30" t="str">
        <f>CONCATENATE(VOL_VOLUMEN_SUMINISTROS[[#This Row],[Proyecto]],VOL_VOLUMEN_SUMINISTROS[[#This Row],[J]],VOL_VOLUMEN_SUMINISTROS[[#This Row],[FIN DE SEMANA]])</f>
        <v>1052-1TNO</v>
      </c>
      <c r="D1760" s="365" t="str">
        <f>CONCATENATE(VOL_VOLUMEN_SUMINISTROS[[#This Row],[Grupo]],VOL_VOLUMEN_SUMINISTROS[[#This Row],[Proyecto]],VOL_VOLUMEN_SUMINISTROS[[#This Row],[FIN DE SEMANA]])</f>
        <v>221052-1NO</v>
      </c>
      <c r="E1760" s="30" t="s">
        <v>147</v>
      </c>
      <c r="F1760" s="30" t="s">
        <v>148</v>
      </c>
      <c r="G1760" s="365">
        <v>22</v>
      </c>
      <c r="H1760" s="30">
        <v>19</v>
      </c>
      <c r="I1760" s="9" t="s">
        <v>250</v>
      </c>
      <c r="J1760" s="9" t="s">
        <v>1248</v>
      </c>
      <c r="K1760" s="30">
        <v>2</v>
      </c>
      <c r="L1760" s="9" t="s">
        <v>1249</v>
      </c>
      <c r="M1760" s="30" t="s">
        <v>84</v>
      </c>
      <c r="N1760" s="30" t="s">
        <v>155</v>
      </c>
      <c r="O1760" s="24">
        <v>214</v>
      </c>
      <c r="P1760" s="24">
        <v>154</v>
      </c>
      <c r="Q1760" s="24">
        <v>24</v>
      </c>
      <c r="R1760" s="24">
        <v>0</v>
      </c>
      <c r="S1760" s="24">
        <v>0</v>
      </c>
      <c r="T1760" s="24">
        <v>392</v>
      </c>
    </row>
    <row r="1761" spans="1:20">
      <c r="A1761" s="9" t="s">
        <v>1234</v>
      </c>
      <c r="B1761" s="30" t="s">
        <v>1235</v>
      </c>
      <c r="C1761" s="30" t="str">
        <f>CONCATENATE(VOL_VOLUMEN_SUMINISTROS[[#This Row],[Proyecto]],VOL_VOLUMEN_SUMINISTROS[[#This Row],[J]],VOL_VOLUMEN_SUMINISTROS[[#This Row],[FIN DE SEMANA]])</f>
        <v>1052-1MNO</v>
      </c>
      <c r="D1761" s="365" t="str">
        <f>CONCATENATE(VOL_VOLUMEN_SUMINISTROS[[#This Row],[Grupo]],VOL_VOLUMEN_SUMINISTROS[[#This Row],[Proyecto]],VOL_VOLUMEN_SUMINISTROS[[#This Row],[FIN DE SEMANA]])</f>
        <v>221052-1NO</v>
      </c>
      <c r="E1761" s="30" t="s">
        <v>147</v>
      </c>
      <c r="F1761" s="30" t="s">
        <v>148</v>
      </c>
      <c r="G1761" s="365">
        <v>22</v>
      </c>
      <c r="H1761" s="30">
        <v>19</v>
      </c>
      <c r="I1761" s="9" t="s">
        <v>250</v>
      </c>
      <c r="J1761" s="9" t="s">
        <v>1248</v>
      </c>
      <c r="K1761" s="30">
        <v>3</v>
      </c>
      <c r="L1761" s="9" t="s">
        <v>1250</v>
      </c>
      <c r="M1761" s="30" t="s">
        <v>84</v>
      </c>
      <c r="N1761" s="30" t="s">
        <v>152</v>
      </c>
      <c r="O1761" s="24">
        <v>121</v>
      </c>
      <c r="P1761" s="24">
        <v>156</v>
      </c>
      <c r="Q1761" s="24">
        <v>36</v>
      </c>
      <c r="R1761" s="24">
        <v>0</v>
      </c>
      <c r="S1761" s="24">
        <v>0</v>
      </c>
      <c r="T1761" s="24">
        <v>313</v>
      </c>
    </row>
    <row r="1762" spans="1:20">
      <c r="A1762" s="9" t="s">
        <v>1234</v>
      </c>
      <c r="B1762" s="30" t="s">
        <v>1235</v>
      </c>
      <c r="C1762" s="30" t="str">
        <f>CONCATENATE(VOL_VOLUMEN_SUMINISTROS[[#This Row],[Proyecto]],VOL_VOLUMEN_SUMINISTROS[[#This Row],[J]],VOL_VOLUMEN_SUMINISTROS[[#This Row],[FIN DE SEMANA]])</f>
        <v>1052-1TNO</v>
      </c>
      <c r="D1762" s="365" t="str">
        <f>CONCATENATE(VOL_VOLUMEN_SUMINISTROS[[#This Row],[Grupo]],VOL_VOLUMEN_SUMINISTROS[[#This Row],[Proyecto]],VOL_VOLUMEN_SUMINISTROS[[#This Row],[FIN DE SEMANA]])</f>
        <v>221052-1NO</v>
      </c>
      <c r="E1762" s="30" t="s">
        <v>147</v>
      </c>
      <c r="F1762" s="30" t="s">
        <v>148</v>
      </c>
      <c r="G1762" s="365">
        <v>22</v>
      </c>
      <c r="H1762" s="30">
        <v>19</v>
      </c>
      <c r="I1762" s="9" t="s">
        <v>250</v>
      </c>
      <c r="J1762" s="9" t="s">
        <v>1248</v>
      </c>
      <c r="K1762" s="30">
        <v>3</v>
      </c>
      <c r="L1762" s="9" t="s">
        <v>1250</v>
      </c>
      <c r="M1762" s="30" t="s">
        <v>84</v>
      </c>
      <c r="N1762" s="30" t="s">
        <v>155</v>
      </c>
      <c r="O1762" s="24">
        <v>164</v>
      </c>
      <c r="P1762" s="24">
        <v>121</v>
      </c>
      <c r="Q1762" s="24">
        <v>17</v>
      </c>
      <c r="R1762" s="24">
        <v>0</v>
      </c>
      <c r="S1762" s="24">
        <v>0</v>
      </c>
      <c r="T1762" s="24">
        <v>302</v>
      </c>
    </row>
    <row r="1763" spans="1:20">
      <c r="A1763" s="9" t="s">
        <v>1234</v>
      </c>
      <c r="B1763" s="30" t="s">
        <v>1235</v>
      </c>
      <c r="C1763" s="30" t="str">
        <f>CONCATENATE(VOL_VOLUMEN_SUMINISTROS[[#This Row],[Proyecto]],VOL_VOLUMEN_SUMINISTROS[[#This Row],[J]],VOL_VOLUMEN_SUMINISTROS[[#This Row],[FIN DE SEMANA]])</f>
        <v>1052-1MNO</v>
      </c>
      <c r="D1763" s="365" t="str">
        <f>CONCATENATE(VOL_VOLUMEN_SUMINISTROS[[#This Row],[Grupo]],VOL_VOLUMEN_SUMINISTROS[[#This Row],[Proyecto]],VOL_VOLUMEN_SUMINISTROS[[#This Row],[FIN DE SEMANA]])</f>
        <v>221052-1NO</v>
      </c>
      <c r="E1763" s="30" t="s">
        <v>147</v>
      </c>
      <c r="F1763" s="30" t="s">
        <v>148</v>
      </c>
      <c r="G1763" s="365">
        <v>22</v>
      </c>
      <c r="H1763" s="30">
        <v>19</v>
      </c>
      <c r="I1763" s="9" t="s">
        <v>250</v>
      </c>
      <c r="J1763" s="9" t="s">
        <v>1248</v>
      </c>
      <c r="K1763" s="30">
        <v>4</v>
      </c>
      <c r="L1763" s="9" t="s">
        <v>1251</v>
      </c>
      <c r="M1763" s="30" t="s">
        <v>84</v>
      </c>
      <c r="N1763" s="30" t="s">
        <v>152</v>
      </c>
      <c r="O1763" s="24">
        <v>99</v>
      </c>
      <c r="P1763" s="24">
        <v>88</v>
      </c>
      <c r="Q1763" s="24">
        <v>17</v>
      </c>
      <c r="R1763" s="24">
        <v>0</v>
      </c>
      <c r="S1763" s="24">
        <v>0</v>
      </c>
      <c r="T1763" s="24">
        <v>204</v>
      </c>
    </row>
    <row r="1764" spans="1:20">
      <c r="A1764" s="9" t="s">
        <v>1234</v>
      </c>
      <c r="B1764" s="30" t="s">
        <v>1235</v>
      </c>
      <c r="C1764" s="30" t="str">
        <f>CONCATENATE(VOL_VOLUMEN_SUMINISTROS[[#This Row],[Proyecto]],VOL_VOLUMEN_SUMINISTROS[[#This Row],[J]],VOL_VOLUMEN_SUMINISTROS[[#This Row],[FIN DE SEMANA]])</f>
        <v>1052-1TNO</v>
      </c>
      <c r="D1764" s="365" t="str">
        <f>CONCATENATE(VOL_VOLUMEN_SUMINISTROS[[#This Row],[Grupo]],VOL_VOLUMEN_SUMINISTROS[[#This Row],[Proyecto]],VOL_VOLUMEN_SUMINISTROS[[#This Row],[FIN DE SEMANA]])</f>
        <v>221052-1NO</v>
      </c>
      <c r="E1764" s="30" t="s">
        <v>147</v>
      </c>
      <c r="F1764" s="30" t="s">
        <v>148</v>
      </c>
      <c r="G1764" s="365">
        <v>22</v>
      </c>
      <c r="H1764" s="30">
        <v>19</v>
      </c>
      <c r="I1764" s="9" t="s">
        <v>250</v>
      </c>
      <c r="J1764" s="9" t="s">
        <v>1248</v>
      </c>
      <c r="K1764" s="30">
        <v>4</v>
      </c>
      <c r="L1764" s="9" t="s">
        <v>1251</v>
      </c>
      <c r="M1764" s="30" t="s">
        <v>84</v>
      </c>
      <c r="N1764" s="30" t="s">
        <v>155</v>
      </c>
      <c r="O1764" s="24">
        <v>97</v>
      </c>
      <c r="P1764" s="24">
        <v>88</v>
      </c>
      <c r="Q1764" s="24">
        <v>17</v>
      </c>
      <c r="R1764" s="24">
        <v>0</v>
      </c>
      <c r="S1764" s="24">
        <v>0</v>
      </c>
      <c r="T1764" s="24">
        <v>202</v>
      </c>
    </row>
    <row r="1765" spans="1:20">
      <c r="A1765" s="9" t="s">
        <v>1234</v>
      </c>
      <c r="B1765" s="30" t="s">
        <v>1235</v>
      </c>
      <c r="C1765" s="30" t="str">
        <f>CONCATENATE(VOL_VOLUMEN_SUMINISTROS[[#This Row],[Proyecto]],VOL_VOLUMEN_SUMINISTROS[[#This Row],[J]],VOL_VOLUMEN_SUMINISTROS[[#This Row],[FIN DE SEMANA]])</f>
        <v>1052-1MNO</v>
      </c>
      <c r="D1765" s="365" t="str">
        <f>CONCATENATE(VOL_VOLUMEN_SUMINISTROS[[#This Row],[Grupo]],VOL_VOLUMEN_SUMINISTROS[[#This Row],[Proyecto]],VOL_VOLUMEN_SUMINISTROS[[#This Row],[FIN DE SEMANA]])</f>
        <v>221052-1NO</v>
      </c>
      <c r="E1765" s="30" t="s">
        <v>147</v>
      </c>
      <c r="F1765" s="30" t="s">
        <v>148</v>
      </c>
      <c r="G1765" s="365">
        <v>22</v>
      </c>
      <c r="H1765" s="30">
        <v>19</v>
      </c>
      <c r="I1765" s="9" t="s">
        <v>250</v>
      </c>
      <c r="J1765" s="9" t="s">
        <v>1252</v>
      </c>
      <c r="K1765" s="30">
        <v>1</v>
      </c>
      <c r="L1765" s="9" t="s">
        <v>1253</v>
      </c>
      <c r="M1765" s="30" t="s">
        <v>84</v>
      </c>
      <c r="N1765" s="30" t="s">
        <v>152</v>
      </c>
      <c r="O1765" s="24">
        <v>187</v>
      </c>
      <c r="P1765" s="24">
        <v>321</v>
      </c>
      <c r="Q1765" s="24">
        <v>364</v>
      </c>
      <c r="R1765" s="24">
        <v>0</v>
      </c>
      <c r="S1765" s="24">
        <v>0</v>
      </c>
      <c r="T1765" s="24">
        <v>872</v>
      </c>
    </row>
    <row r="1766" spans="1:20">
      <c r="A1766" s="9" t="s">
        <v>1234</v>
      </c>
      <c r="B1766" s="30" t="s">
        <v>1235</v>
      </c>
      <c r="C1766" s="30" t="str">
        <f>CONCATENATE(VOL_VOLUMEN_SUMINISTROS[[#This Row],[Proyecto]],VOL_VOLUMEN_SUMINISTROS[[#This Row],[J]],VOL_VOLUMEN_SUMINISTROS[[#This Row],[FIN DE SEMANA]])</f>
        <v>1052-1TNO</v>
      </c>
      <c r="D1766" s="365" t="str">
        <f>CONCATENATE(VOL_VOLUMEN_SUMINISTROS[[#This Row],[Grupo]],VOL_VOLUMEN_SUMINISTROS[[#This Row],[Proyecto]],VOL_VOLUMEN_SUMINISTROS[[#This Row],[FIN DE SEMANA]])</f>
        <v>221052-1NO</v>
      </c>
      <c r="E1766" s="30" t="s">
        <v>147</v>
      </c>
      <c r="F1766" s="30" t="s">
        <v>148</v>
      </c>
      <c r="G1766" s="365">
        <v>22</v>
      </c>
      <c r="H1766" s="30">
        <v>19</v>
      </c>
      <c r="I1766" s="9" t="s">
        <v>250</v>
      </c>
      <c r="J1766" s="9" t="s">
        <v>1252</v>
      </c>
      <c r="K1766" s="30">
        <v>1</v>
      </c>
      <c r="L1766" s="9" t="s">
        <v>1253</v>
      </c>
      <c r="M1766" s="30" t="s">
        <v>84</v>
      </c>
      <c r="N1766" s="30" t="s">
        <v>155</v>
      </c>
      <c r="O1766" s="24">
        <v>184</v>
      </c>
      <c r="P1766" s="24">
        <v>320</v>
      </c>
      <c r="Q1766" s="24">
        <v>340</v>
      </c>
      <c r="R1766" s="24">
        <v>0</v>
      </c>
      <c r="S1766" s="24">
        <v>0</v>
      </c>
      <c r="T1766" s="24">
        <v>844</v>
      </c>
    </row>
    <row r="1767" spans="1:20">
      <c r="A1767" s="9" t="s">
        <v>1234</v>
      </c>
      <c r="B1767" s="30" t="s">
        <v>1235</v>
      </c>
      <c r="C1767" s="30" t="str">
        <f>CONCATENATE(VOL_VOLUMEN_SUMINISTROS[[#This Row],[Proyecto]],VOL_VOLUMEN_SUMINISTROS[[#This Row],[J]],VOL_VOLUMEN_SUMINISTROS[[#This Row],[FIN DE SEMANA]])</f>
        <v>1052-1MNO</v>
      </c>
      <c r="D1767" s="365" t="str">
        <f>CONCATENATE(VOL_VOLUMEN_SUMINISTROS[[#This Row],[Grupo]],VOL_VOLUMEN_SUMINISTROS[[#This Row],[Proyecto]],VOL_VOLUMEN_SUMINISTROS[[#This Row],[FIN DE SEMANA]])</f>
        <v>221052-1NO</v>
      </c>
      <c r="E1767" s="30" t="s">
        <v>147</v>
      </c>
      <c r="F1767" s="30" t="s">
        <v>148</v>
      </c>
      <c r="G1767" s="365">
        <v>22</v>
      </c>
      <c r="H1767" s="30">
        <v>19</v>
      </c>
      <c r="I1767" s="9" t="s">
        <v>250</v>
      </c>
      <c r="J1767" s="9" t="s">
        <v>1252</v>
      </c>
      <c r="K1767" s="30">
        <v>2</v>
      </c>
      <c r="L1767" s="9" t="s">
        <v>1254</v>
      </c>
      <c r="M1767" s="30" t="s">
        <v>84</v>
      </c>
      <c r="N1767" s="30" t="s">
        <v>152</v>
      </c>
      <c r="O1767" s="24">
        <v>120</v>
      </c>
      <c r="P1767" s="24">
        <v>89</v>
      </c>
      <c r="Q1767" s="24">
        <v>18</v>
      </c>
      <c r="R1767" s="24">
        <v>0</v>
      </c>
      <c r="S1767" s="24">
        <v>0</v>
      </c>
      <c r="T1767" s="24">
        <v>227</v>
      </c>
    </row>
    <row r="1768" spans="1:20">
      <c r="A1768" s="9" t="s">
        <v>1234</v>
      </c>
      <c r="B1768" s="30" t="s">
        <v>1235</v>
      </c>
      <c r="C1768" s="30" t="str">
        <f>CONCATENATE(VOL_VOLUMEN_SUMINISTROS[[#This Row],[Proyecto]],VOL_VOLUMEN_SUMINISTROS[[#This Row],[J]],VOL_VOLUMEN_SUMINISTROS[[#This Row],[FIN DE SEMANA]])</f>
        <v>1052-1TNO</v>
      </c>
      <c r="D1768" s="365" t="str">
        <f>CONCATENATE(VOL_VOLUMEN_SUMINISTROS[[#This Row],[Grupo]],VOL_VOLUMEN_SUMINISTROS[[#This Row],[Proyecto]],VOL_VOLUMEN_SUMINISTROS[[#This Row],[FIN DE SEMANA]])</f>
        <v>221052-1NO</v>
      </c>
      <c r="E1768" s="30" t="s">
        <v>147</v>
      </c>
      <c r="F1768" s="30" t="s">
        <v>148</v>
      </c>
      <c r="G1768" s="365">
        <v>22</v>
      </c>
      <c r="H1768" s="30">
        <v>19</v>
      </c>
      <c r="I1768" s="9" t="s">
        <v>250</v>
      </c>
      <c r="J1768" s="9" t="s">
        <v>1252</v>
      </c>
      <c r="K1768" s="30">
        <v>2</v>
      </c>
      <c r="L1768" s="9" t="s">
        <v>1254</v>
      </c>
      <c r="M1768" s="30" t="s">
        <v>84</v>
      </c>
      <c r="N1768" s="30" t="s">
        <v>155</v>
      </c>
      <c r="O1768" s="24">
        <v>116</v>
      </c>
      <c r="P1768" s="24">
        <v>84</v>
      </c>
      <c r="Q1768" s="24">
        <v>17</v>
      </c>
      <c r="R1768" s="24">
        <v>0</v>
      </c>
      <c r="S1768" s="24">
        <v>0</v>
      </c>
      <c r="T1768" s="24">
        <v>217</v>
      </c>
    </row>
    <row r="1769" spans="1:20">
      <c r="A1769" s="9" t="s">
        <v>1234</v>
      </c>
      <c r="B1769" s="30" t="s">
        <v>1235</v>
      </c>
      <c r="C1769" s="30" t="str">
        <f>CONCATENATE(VOL_VOLUMEN_SUMINISTROS[[#This Row],[Proyecto]],VOL_VOLUMEN_SUMINISTROS[[#This Row],[J]],VOL_VOLUMEN_SUMINISTROS[[#This Row],[FIN DE SEMANA]])</f>
        <v>1052-1MNO</v>
      </c>
      <c r="D1769" s="365" t="str">
        <f>CONCATENATE(VOL_VOLUMEN_SUMINISTROS[[#This Row],[Grupo]],VOL_VOLUMEN_SUMINISTROS[[#This Row],[Proyecto]],VOL_VOLUMEN_SUMINISTROS[[#This Row],[FIN DE SEMANA]])</f>
        <v>221052-1NO</v>
      </c>
      <c r="E1769" s="30" t="s">
        <v>147</v>
      </c>
      <c r="F1769" s="30" t="s">
        <v>148</v>
      </c>
      <c r="G1769" s="365">
        <v>22</v>
      </c>
      <c r="H1769" s="30">
        <v>19</v>
      </c>
      <c r="I1769" s="9" t="s">
        <v>250</v>
      </c>
      <c r="J1769" s="9" t="s">
        <v>1255</v>
      </c>
      <c r="K1769" s="30">
        <v>1</v>
      </c>
      <c r="L1769" s="9" t="s">
        <v>1256</v>
      </c>
      <c r="M1769" s="30" t="s">
        <v>84</v>
      </c>
      <c r="N1769" s="30" t="s">
        <v>152</v>
      </c>
      <c r="O1769" s="24">
        <v>157</v>
      </c>
      <c r="P1769" s="24">
        <v>176</v>
      </c>
      <c r="Q1769" s="24">
        <v>174</v>
      </c>
      <c r="R1769" s="24">
        <v>0</v>
      </c>
      <c r="S1769" s="24">
        <v>0</v>
      </c>
      <c r="T1769" s="24">
        <v>507</v>
      </c>
    </row>
    <row r="1770" spans="1:20">
      <c r="A1770" s="9" t="s">
        <v>1234</v>
      </c>
      <c r="B1770" s="30" t="s">
        <v>1235</v>
      </c>
      <c r="C1770" s="30" t="str">
        <f>CONCATENATE(VOL_VOLUMEN_SUMINISTROS[[#This Row],[Proyecto]],VOL_VOLUMEN_SUMINISTROS[[#This Row],[J]],VOL_VOLUMEN_SUMINISTROS[[#This Row],[FIN DE SEMANA]])</f>
        <v>1052-1TNO</v>
      </c>
      <c r="D1770" s="365" t="str">
        <f>CONCATENATE(VOL_VOLUMEN_SUMINISTROS[[#This Row],[Grupo]],VOL_VOLUMEN_SUMINISTROS[[#This Row],[Proyecto]],VOL_VOLUMEN_SUMINISTROS[[#This Row],[FIN DE SEMANA]])</f>
        <v>221052-1NO</v>
      </c>
      <c r="E1770" s="30" t="s">
        <v>147</v>
      </c>
      <c r="F1770" s="30" t="s">
        <v>148</v>
      </c>
      <c r="G1770" s="365">
        <v>22</v>
      </c>
      <c r="H1770" s="30">
        <v>19</v>
      </c>
      <c r="I1770" s="9" t="s">
        <v>250</v>
      </c>
      <c r="J1770" s="9" t="s">
        <v>1255</v>
      </c>
      <c r="K1770" s="30">
        <v>1</v>
      </c>
      <c r="L1770" s="9" t="s">
        <v>1256</v>
      </c>
      <c r="M1770" s="30" t="s">
        <v>84</v>
      </c>
      <c r="N1770" s="30" t="s">
        <v>155</v>
      </c>
      <c r="O1770" s="24">
        <v>122</v>
      </c>
      <c r="P1770" s="24">
        <v>143</v>
      </c>
      <c r="Q1770" s="24">
        <v>113</v>
      </c>
      <c r="R1770" s="24">
        <v>0</v>
      </c>
      <c r="S1770" s="24">
        <v>0</v>
      </c>
      <c r="T1770" s="24">
        <v>378</v>
      </c>
    </row>
    <row r="1771" spans="1:20">
      <c r="A1771" s="9" t="s">
        <v>1234</v>
      </c>
      <c r="B1771" s="30" t="s">
        <v>1235</v>
      </c>
      <c r="C1771" s="30" t="str">
        <f>CONCATENATE(VOL_VOLUMEN_SUMINISTROS[[#This Row],[Proyecto]],VOL_VOLUMEN_SUMINISTROS[[#This Row],[J]],VOL_VOLUMEN_SUMINISTROS[[#This Row],[FIN DE SEMANA]])</f>
        <v>1052-1MNO</v>
      </c>
      <c r="D1771" s="365" t="str">
        <f>CONCATENATE(VOL_VOLUMEN_SUMINISTROS[[#This Row],[Grupo]],VOL_VOLUMEN_SUMINISTROS[[#This Row],[Proyecto]],VOL_VOLUMEN_SUMINISTROS[[#This Row],[FIN DE SEMANA]])</f>
        <v>221052-1NO</v>
      </c>
      <c r="E1771" s="30" t="s">
        <v>147</v>
      </c>
      <c r="F1771" s="30" t="s">
        <v>148</v>
      </c>
      <c r="G1771" s="365">
        <v>22</v>
      </c>
      <c r="H1771" s="30">
        <v>19</v>
      </c>
      <c r="I1771" s="9" t="s">
        <v>250</v>
      </c>
      <c r="J1771" s="9" t="s">
        <v>1255</v>
      </c>
      <c r="K1771" s="30">
        <v>2</v>
      </c>
      <c r="L1771" s="9" t="s">
        <v>1257</v>
      </c>
      <c r="M1771" s="30" t="s">
        <v>84</v>
      </c>
      <c r="N1771" s="30" t="s">
        <v>152</v>
      </c>
      <c r="O1771" s="24">
        <v>130</v>
      </c>
      <c r="P1771" s="24">
        <v>73</v>
      </c>
      <c r="Q1771" s="24">
        <v>14</v>
      </c>
      <c r="R1771" s="24">
        <v>0</v>
      </c>
      <c r="S1771" s="24">
        <v>0</v>
      </c>
      <c r="T1771" s="24">
        <v>217</v>
      </c>
    </row>
    <row r="1772" spans="1:20">
      <c r="A1772" s="9" t="s">
        <v>1234</v>
      </c>
      <c r="B1772" s="30" t="s">
        <v>1235</v>
      </c>
      <c r="C1772" s="30" t="str">
        <f>CONCATENATE(VOL_VOLUMEN_SUMINISTROS[[#This Row],[Proyecto]],VOL_VOLUMEN_SUMINISTROS[[#This Row],[J]],VOL_VOLUMEN_SUMINISTROS[[#This Row],[FIN DE SEMANA]])</f>
        <v>1052-1TNO</v>
      </c>
      <c r="D1772" s="365" t="str">
        <f>CONCATENATE(VOL_VOLUMEN_SUMINISTROS[[#This Row],[Grupo]],VOL_VOLUMEN_SUMINISTROS[[#This Row],[Proyecto]],VOL_VOLUMEN_SUMINISTROS[[#This Row],[FIN DE SEMANA]])</f>
        <v>221052-1NO</v>
      </c>
      <c r="E1772" s="30" t="s">
        <v>147</v>
      </c>
      <c r="F1772" s="30" t="s">
        <v>148</v>
      </c>
      <c r="G1772" s="365">
        <v>22</v>
      </c>
      <c r="H1772" s="30">
        <v>19</v>
      </c>
      <c r="I1772" s="9" t="s">
        <v>250</v>
      </c>
      <c r="J1772" s="9" t="s">
        <v>1255</v>
      </c>
      <c r="K1772" s="30">
        <v>2</v>
      </c>
      <c r="L1772" s="9" t="s">
        <v>1257</v>
      </c>
      <c r="M1772" s="30" t="s">
        <v>84</v>
      </c>
      <c r="N1772" s="30" t="s">
        <v>155</v>
      </c>
      <c r="O1772" s="24">
        <v>139</v>
      </c>
      <c r="P1772" s="24">
        <v>73</v>
      </c>
      <c r="Q1772" s="24">
        <v>11</v>
      </c>
      <c r="R1772" s="24">
        <v>0</v>
      </c>
      <c r="S1772" s="24">
        <v>0</v>
      </c>
      <c r="T1772" s="24">
        <v>223</v>
      </c>
    </row>
    <row r="1773" spans="1:20">
      <c r="A1773" s="9" t="s">
        <v>1234</v>
      </c>
      <c r="B1773" s="30" t="s">
        <v>1235</v>
      </c>
      <c r="C1773" s="30" t="str">
        <f>CONCATENATE(VOL_VOLUMEN_SUMINISTROS[[#This Row],[Proyecto]],VOL_VOLUMEN_SUMINISTROS[[#This Row],[J]],VOL_VOLUMEN_SUMINISTROS[[#This Row],[FIN DE SEMANA]])</f>
        <v>1052-1MNO</v>
      </c>
      <c r="D1773" s="365" t="str">
        <f>CONCATENATE(VOL_VOLUMEN_SUMINISTROS[[#This Row],[Grupo]],VOL_VOLUMEN_SUMINISTROS[[#This Row],[Proyecto]],VOL_VOLUMEN_SUMINISTROS[[#This Row],[FIN DE SEMANA]])</f>
        <v>221052-1NO</v>
      </c>
      <c r="E1773" s="30" t="s">
        <v>147</v>
      </c>
      <c r="F1773" s="30" t="s">
        <v>148</v>
      </c>
      <c r="G1773" s="365">
        <v>22</v>
      </c>
      <c r="H1773" s="30">
        <v>19</v>
      </c>
      <c r="I1773" s="9" t="s">
        <v>250</v>
      </c>
      <c r="J1773" s="9" t="s">
        <v>1258</v>
      </c>
      <c r="K1773" s="30">
        <v>1</v>
      </c>
      <c r="L1773" s="9" t="s">
        <v>1259</v>
      </c>
      <c r="M1773" s="30" t="s">
        <v>84</v>
      </c>
      <c r="N1773" s="30" t="s">
        <v>152</v>
      </c>
      <c r="O1773" s="24">
        <v>176</v>
      </c>
      <c r="P1773" s="24">
        <v>210</v>
      </c>
      <c r="Q1773" s="24">
        <v>45</v>
      </c>
      <c r="R1773" s="24">
        <v>0</v>
      </c>
      <c r="S1773" s="24">
        <v>0</v>
      </c>
      <c r="T1773" s="24">
        <v>431</v>
      </c>
    </row>
    <row r="1774" spans="1:20">
      <c r="A1774" s="9" t="s">
        <v>1234</v>
      </c>
      <c r="B1774" s="30" t="s">
        <v>1235</v>
      </c>
      <c r="C1774" s="30" t="str">
        <f>CONCATENATE(VOL_VOLUMEN_SUMINISTROS[[#This Row],[Proyecto]],VOL_VOLUMEN_SUMINISTROS[[#This Row],[J]],VOL_VOLUMEN_SUMINISTROS[[#This Row],[FIN DE SEMANA]])</f>
        <v>1052-1TNO</v>
      </c>
      <c r="D1774" s="365" t="str">
        <f>CONCATENATE(VOL_VOLUMEN_SUMINISTROS[[#This Row],[Grupo]],VOL_VOLUMEN_SUMINISTROS[[#This Row],[Proyecto]],VOL_VOLUMEN_SUMINISTROS[[#This Row],[FIN DE SEMANA]])</f>
        <v>221052-1NO</v>
      </c>
      <c r="E1774" s="30" t="s">
        <v>147</v>
      </c>
      <c r="F1774" s="30" t="s">
        <v>148</v>
      </c>
      <c r="G1774" s="365">
        <v>22</v>
      </c>
      <c r="H1774" s="30">
        <v>19</v>
      </c>
      <c r="I1774" s="9" t="s">
        <v>250</v>
      </c>
      <c r="J1774" s="9" t="s">
        <v>1258</v>
      </c>
      <c r="K1774" s="30">
        <v>1</v>
      </c>
      <c r="L1774" s="9" t="s">
        <v>1259</v>
      </c>
      <c r="M1774" s="30" t="s">
        <v>84</v>
      </c>
      <c r="N1774" s="30" t="s">
        <v>155</v>
      </c>
      <c r="O1774" s="24">
        <v>27</v>
      </c>
      <c r="P1774" s="24">
        <v>153</v>
      </c>
      <c r="Q1774" s="24">
        <v>228</v>
      </c>
      <c r="R1774" s="24">
        <v>0</v>
      </c>
      <c r="S1774" s="24">
        <v>0</v>
      </c>
      <c r="T1774" s="24">
        <v>408</v>
      </c>
    </row>
    <row r="1775" spans="1:20">
      <c r="A1775" s="9" t="s">
        <v>1234</v>
      </c>
      <c r="B1775" s="30" t="s">
        <v>1260</v>
      </c>
      <c r="C1775" s="30" t="str">
        <f>CONCATENATE(VOL_VOLUMEN_SUMINISTROS[[#This Row],[Proyecto]],VOL_VOLUMEN_SUMINISTROS[[#This Row],[J]],VOL_VOLUMEN_SUMINISTROS[[#This Row],[FIN DE SEMANA]])</f>
        <v>1052-2MNO</v>
      </c>
      <c r="D1775" s="365" t="str">
        <f>CONCATENATE(VOL_VOLUMEN_SUMINISTROS[[#This Row],[Grupo]],VOL_VOLUMEN_SUMINISTROS[[#This Row],[Proyecto]],VOL_VOLUMEN_SUMINISTROS[[#This Row],[FIN DE SEMANA]])</f>
        <v>221052-2NO</v>
      </c>
      <c r="E1775" s="30" t="s">
        <v>183</v>
      </c>
      <c r="F1775" s="30" t="s">
        <v>148</v>
      </c>
      <c r="G1775" s="365">
        <v>22</v>
      </c>
      <c r="H1775" s="30">
        <v>19</v>
      </c>
      <c r="I1775" s="9" t="s">
        <v>250</v>
      </c>
      <c r="J1775" s="9" t="s">
        <v>1238</v>
      </c>
      <c r="K1775" s="30">
        <v>1</v>
      </c>
      <c r="L1775" s="9" t="s">
        <v>1239</v>
      </c>
      <c r="M1775" s="30" t="s">
        <v>84</v>
      </c>
      <c r="N1775" s="30" t="s">
        <v>152</v>
      </c>
      <c r="O1775" s="24">
        <v>190</v>
      </c>
      <c r="P1775" s="24">
        <v>254</v>
      </c>
      <c r="Q1775" s="24">
        <v>104</v>
      </c>
      <c r="R1775" s="24">
        <v>0</v>
      </c>
      <c r="S1775" s="24">
        <v>0</v>
      </c>
      <c r="T1775" s="24">
        <v>548</v>
      </c>
    </row>
    <row r="1776" spans="1:20">
      <c r="A1776" s="9" t="s">
        <v>1234</v>
      </c>
      <c r="B1776" s="30" t="s">
        <v>1260</v>
      </c>
      <c r="C1776" s="30" t="str">
        <f>CONCATENATE(VOL_VOLUMEN_SUMINISTROS[[#This Row],[Proyecto]],VOL_VOLUMEN_SUMINISTROS[[#This Row],[J]],VOL_VOLUMEN_SUMINISTROS[[#This Row],[FIN DE SEMANA]])</f>
        <v>1052-2MNO</v>
      </c>
      <c r="D1776" s="365" t="str">
        <f>CONCATENATE(VOL_VOLUMEN_SUMINISTROS[[#This Row],[Grupo]],VOL_VOLUMEN_SUMINISTROS[[#This Row],[Proyecto]],VOL_VOLUMEN_SUMINISTROS[[#This Row],[FIN DE SEMANA]])</f>
        <v>221052-2NO</v>
      </c>
      <c r="E1776" s="30" t="s">
        <v>183</v>
      </c>
      <c r="F1776" s="30" t="s">
        <v>148</v>
      </c>
      <c r="G1776" s="365">
        <v>22</v>
      </c>
      <c r="H1776" s="30">
        <v>19</v>
      </c>
      <c r="I1776" s="9" t="s">
        <v>250</v>
      </c>
      <c r="J1776" s="9" t="s">
        <v>1255</v>
      </c>
      <c r="K1776" s="30">
        <v>1</v>
      </c>
      <c r="L1776" s="9" t="s">
        <v>1256</v>
      </c>
      <c r="M1776" s="30" t="s">
        <v>84</v>
      </c>
      <c r="N1776" s="30" t="s">
        <v>152</v>
      </c>
      <c r="O1776" s="24">
        <v>164</v>
      </c>
      <c r="P1776" s="24">
        <v>346</v>
      </c>
      <c r="Q1776" s="24">
        <v>254</v>
      </c>
      <c r="R1776" s="24">
        <v>0</v>
      </c>
      <c r="S1776" s="24">
        <v>0</v>
      </c>
      <c r="T1776" s="24">
        <v>764</v>
      </c>
    </row>
    <row r="1777" spans="1:20">
      <c r="A1777" s="9" t="s">
        <v>1234</v>
      </c>
      <c r="B1777" s="30" t="s">
        <v>1260</v>
      </c>
      <c r="C1777" s="30" t="str">
        <f>CONCATENATE(VOL_VOLUMEN_SUMINISTROS[[#This Row],[Proyecto]],VOL_VOLUMEN_SUMINISTROS[[#This Row],[J]],VOL_VOLUMEN_SUMINISTROS[[#This Row],[FIN DE SEMANA]])</f>
        <v>1052-2MNO</v>
      </c>
      <c r="D1777" s="365" t="str">
        <f>CONCATENATE(VOL_VOLUMEN_SUMINISTROS[[#This Row],[Grupo]],VOL_VOLUMEN_SUMINISTROS[[#This Row],[Proyecto]],VOL_VOLUMEN_SUMINISTROS[[#This Row],[FIN DE SEMANA]])</f>
        <v>221052-2NO</v>
      </c>
      <c r="E1777" s="30" t="s">
        <v>183</v>
      </c>
      <c r="F1777" s="30" t="s">
        <v>148</v>
      </c>
      <c r="G1777" s="365">
        <v>22</v>
      </c>
      <c r="H1777" s="30">
        <v>19</v>
      </c>
      <c r="I1777" s="9" t="s">
        <v>250</v>
      </c>
      <c r="J1777" s="9" t="s">
        <v>1255</v>
      </c>
      <c r="K1777" s="30">
        <v>2</v>
      </c>
      <c r="L1777" s="9" t="s">
        <v>1257</v>
      </c>
      <c r="M1777" s="30" t="s">
        <v>84</v>
      </c>
      <c r="N1777" s="30" t="s">
        <v>152</v>
      </c>
      <c r="O1777" s="24">
        <v>132</v>
      </c>
      <c r="P1777" s="24">
        <v>156</v>
      </c>
      <c r="Q1777" s="24">
        <v>30</v>
      </c>
      <c r="R1777" s="24">
        <v>0</v>
      </c>
      <c r="S1777" s="24">
        <v>0</v>
      </c>
      <c r="T1777" s="24">
        <v>318</v>
      </c>
    </row>
    <row r="1778" spans="1:20">
      <c r="A1778" s="9" t="s">
        <v>1234</v>
      </c>
      <c r="B1778" s="30" t="s">
        <v>1260</v>
      </c>
      <c r="C1778" s="30" t="str">
        <f>CONCATENATE(VOL_VOLUMEN_SUMINISTROS[[#This Row],[Proyecto]],VOL_VOLUMEN_SUMINISTROS[[#This Row],[J]],VOL_VOLUMEN_SUMINISTROS[[#This Row],[FIN DE SEMANA]])</f>
        <v>1052-2MNO</v>
      </c>
      <c r="D1778" s="365" t="str">
        <f>CONCATENATE(VOL_VOLUMEN_SUMINISTROS[[#This Row],[Grupo]],VOL_VOLUMEN_SUMINISTROS[[#This Row],[Proyecto]],VOL_VOLUMEN_SUMINISTROS[[#This Row],[FIN DE SEMANA]])</f>
        <v>221052-2NO</v>
      </c>
      <c r="E1778" s="30" t="s">
        <v>183</v>
      </c>
      <c r="F1778" s="30" t="s">
        <v>148</v>
      </c>
      <c r="G1778" s="365">
        <v>22</v>
      </c>
      <c r="H1778" s="30">
        <v>19</v>
      </c>
      <c r="I1778" s="9" t="s">
        <v>250</v>
      </c>
      <c r="J1778" s="9" t="s">
        <v>1261</v>
      </c>
      <c r="K1778" s="30">
        <v>1</v>
      </c>
      <c r="L1778" s="9" t="s">
        <v>1262</v>
      </c>
      <c r="M1778" s="30" t="s">
        <v>84</v>
      </c>
      <c r="N1778" s="30" t="s">
        <v>152</v>
      </c>
      <c r="O1778" s="24">
        <v>140</v>
      </c>
      <c r="P1778" s="24">
        <v>325</v>
      </c>
      <c r="Q1778" s="24">
        <v>85</v>
      </c>
      <c r="R1778" s="24">
        <v>0</v>
      </c>
      <c r="S1778" s="24">
        <v>0</v>
      </c>
      <c r="T1778" s="24">
        <v>550</v>
      </c>
    </row>
    <row r="1779" spans="1:20">
      <c r="A1779" s="9" t="s">
        <v>1234</v>
      </c>
      <c r="B1779" s="30" t="s">
        <v>1260</v>
      </c>
      <c r="C1779" s="30" t="str">
        <f>CONCATENATE(VOL_VOLUMEN_SUMINISTROS[[#This Row],[Proyecto]],VOL_VOLUMEN_SUMINISTROS[[#This Row],[J]],VOL_VOLUMEN_SUMINISTROS[[#This Row],[FIN DE SEMANA]])</f>
        <v>1052-2M1NO</v>
      </c>
      <c r="D1779" s="365" t="str">
        <f>CONCATENATE(VOL_VOLUMEN_SUMINISTROS[[#This Row],[Grupo]],VOL_VOLUMEN_SUMINISTROS[[#This Row],[Proyecto]],VOL_VOLUMEN_SUMINISTROS[[#This Row],[FIN DE SEMANA]])</f>
        <v>221052-2NO</v>
      </c>
      <c r="E1779" s="30" t="s">
        <v>183</v>
      </c>
      <c r="F1779" s="30" t="s">
        <v>148</v>
      </c>
      <c r="G1779" s="365">
        <v>22</v>
      </c>
      <c r="H1779" s="30">
        <v>19</v>
      </c>
      <c r="I1779" s="9" t="s">
        <v>250</v>
      </c>
      <c r="J1779" s="9" t="s">
        <v>1261</v>
      </c>
      <c r="K1779" s="30">
        <v>1</v>
      </c>
      <c r="L1779" s="9" t="s">
        <v>1262</v>
      </c>
      <c r="M1779" s="30" t="s">
        <v>84</v>
      </c>
      <c r="N1779" s="30" t="s">
        <v>216</v>
      </c>
      <c r="O1779" s="24">
        <v>140</v>
      </c>
      <c r="P1779" s="24">
        <v>124</v>
      </c>
      <c r="Q1779" s="24">
        <v>18</v>
      </c>
      <c r="R1779" s="24">
        <v>0</v>
      </c>
      <c r="S1779" s="24">
        <v>0</v>
      </c>
      <c r="T1779" s="24">
        <v>282</v>
      </c>
    </row>
    <row r="1780" spans="1:20">
      <c r="A1780" s="9" t="s">
        <v>1234</v>
      </c>
      <c r="B1780" s="30" t="s">
        <v>1263</v>
      </c>
      <c r="C1780" s="30" t="str">
        <f>CONCATENATE(VOL_VOLUMEN_SUMINISTROS[[#This Row],[Proyecto]],VOL_VOLUMEN_SUMINISTROS[[#This Row],[J]],VOL_VOLUMEN_SUMINISTROS[[#This Row],[FIN DE SEMANA]])</f>
        <v>1052-2MNO</v>
      </c>
      <c r="D1780" s="365" t="str">
        <f>CONCATENATE(VOL_VOLUMEN_SUMINISTROS[[#This Row],[Grupo]],VOL_VOLUMEN_SUMINISTROS[[#This Row],[Proyecto]],VOL_VOLUMEN_SUMINISTROS[[#This Row],[FIN DE SEMANA]])</f>
        <v>221052-2NO</v>
      </c>
      <c r="E1780" s="30" t="s">
        <v>183</v>
      </c>
      <c r="F1780" s="30" t="s">
        <v>148</v>
      </c>
      <c r="G1780" s="365">
        <v>22</v>
      </c>
      <c r="H1780" s="30">
        <v>19</v>
      </c>
      <c r="I1780" s="9" t="s">
        <v>250</v>
      </c>
      <c r="J1780" s="9" t="s">
        <v>1238</v>
      </c>
      <c r="K1780" s="30">
        <v>1</v>
      </c>
      <c r="L1780" s="9" t="s">
        <v>1239</v>
      </c>
      <c r="M1780" s="30" t="s">
        <v>84</v>
      </c>
      <c r="N1780" s="30" t="s">
        <v>152</v>
      </c>
      <c r="O1780" s="24">
        <v>0</v>
      </c>
      <c r="P1780" s="24">
        <v>0</v>
      </c>
      <c r="Q1780" s="24">
        <v>70</v>
      </c>
      <c r="R1780" s="24">
        <v>0</v>
      </c>
      <c r="S1780" s="24">
        <v>0</v>
      </c>
      <c r="T1780" s="24">
        <v>70</v>
      </c>
    </row>
    <row r="1781" spans="1:20">
      <c r="A1781" s="9" t="s">
        <v>1234</v>
      </c>
      <c r="B1781" s="30" t="s">
        <v>1263</v>
      </c>
      <c r="C1781" s="30" t="str">
        <f>CONCATENATE(VOL_VOLUMEN_SUMINISTROS[[#This Row],[Proyecto]],VOL_VOLUMEN_SUMINISTROS[[#This Row],[J]],VOL_VOLUMEN_SUMINISTROS[[#This Row],[FIN DE SEMANA]])</f>
        <v>1052-2TNO</v>
      </c>
      <c r="D1781" s="365" t="str">
        <f>CONCATENATE(VOL_VOLUMEN_SUMINISTROS[[#This Row],[Grupo]],VOL_VOLUMEN_SUMINISTROS[[#This Row],[Proyecto]],VOL_VOLUMEN_SUMINISTROS[[#This Row],[FIN DE SEMANA]])</f>
        <v>221052-2NO</v>
      </c>
      <c r="E1781" s="30" t="s">
        <v>183</v>
      </c>
      <c r="F1781" s="30" t="s">
        <v>148</v>
      </c>
      <c r="G1781" s="365">
        <v>22</v>
      </c>
      <c r="H1781" s="30">
        <v>19</v>
      </c>
      <c r="I1781" s="9" t="s">
        <v>250</v>
      </c>
      <c r="J1781" s="9" t="s">
        <v>1238</v>
      </c>
      <c r="K1781" s="30">
        <v>1</v>
      </c>
      <c r="L1781" s="9" t="s">
        <v>1239</v>
      </c>
      <c r="M1781" s="30" t="s">
        <v>84</v>
      </c>
      <c r="N1781" s="30" t="s">
        <v>155</v>
      </c>
      <c r="O1781" s="24">
        <v>0</v>
      </c>
      <c r="P1781" s="24">
        <v>0</v>
      </c>
      <c r="Q1781" s="24">
        <v>80</v>
      </c>
      <c r="R1781" s="24">
        <v>0</v>
      </c>
      <c r="S1781" s="24">
        <v>0</v>
      </c>
      <c r="T1781" s="24">
        <v>80</v>
      </c>
    </row>
    <row r="1782" spans="1:20">
      <c r="A1782" s="9" t="s">
        <v>1234</v>
      </c>
      <c r="B1782" s="30" t="s">
        <v>1263</v>
      </c>
      <c r="C1782" s="30" t="str">
        <f>CONCATENATE(VOL_VOLUMEN_SUMINISTROS[[#This Row],[Proyecto]],VOL_VOLUMEN_SUMINISTROS[[#This Row],[J]],VOL_VOLUMEN_SUMINISTROS[[#This Row],[FIN DE SEMANA]])</f>
        <v>1052-2MNO</v>
      </c>
      <c r="D1782" s="365" t="str">
        <f>CONCATENATE(VOL_VOLUMEN_SUMINISTROS[[#This Row],[Grupo]],VOL_VOLUMEN_SUMINISTROS[[#This Row],[Proyecto]],VOL_VOLUMEN_SUMINISTROS[[#This Row],[FIN DE SEMANA]])</f>
        <v>221052-2NO</v>
      </c>
      <c r="E1782" s="30" t="s">
        <v>183</v>
      </c>
      <c r="F1782" s="30" t="s">
        <v>148</v>
      </c>
      <c r="G1782" s="365">
        <v>22</v>
      </c>
      <c r="H1782" s="30">
        <v>19</v>
      </c>
      <c r="I1782" s="9" t="s">
        <v>250</v>
      </c>
      <c r="J1782" s="9" t="s">
        <v>1246</v>
      </c>
      <c r="K1782" s="30">
        <v>1</v>
      </c>
      <c r="L1782" s="9" t="s">
        <v>1247</v>
      </c>
      <c r="M1782" s="30" t="s">
        <v>84</v>
      </c>
      <c r="N1782" s="30" t="s">
        <v>152</v>
      </c>
      <c r="O1782" s="24">
        <v>0</v>
      </c>
      <c r="P1782" s="24">
        <v>0</v>
      </c>
      <c r="Q1782" s="24">
        <v>133</v>
      </c>
      <c r="R1782" s="24">
        <v>0</v>
      </c>
      <c r="S1782" s="24">
        <v>0</v>
      </c>
      <c r="T1782" s="24">
        <v>133</v>
      </c>
    </row>
    <row r="1783" spans="1:20">
      <c r="A1783" s="9" t="s">
        <v>1234</v>
      </c>
      <c r="B1783" s="30" t="s">
        <v>1263</v>
      </c>
      <c r="C1783" s="30" t="str">
        <f>CONCATENATE(VOL_VOLUMEN_SUMINISTROS[[#This Row],[Proyecto]],VOL_VOLUMEN_SUMINISTROS[[#This Row],[J]],VOL_VOLUMEN_SUMINISTROS[[#This Row],[FIN DE SEMANA]])</f>
        <v>1052-2TNO</v>
      </c>
      <c r="D1783" s="365" t="str">
        <f>CONCATENATE(VOL_VOLUMEN_SUMINISTROS[[#This Row],[Grupo]],VOL_VOLUMEN_SUMINISTROS[[#This Row],[Proyecto]],VOL_VOLUMEN_SUMINISTROS[[#This Row],[FIN DE SEMANA]])</f>
        <v>221052-2NO</v>
      </c>
      <c r="E1783" s="30" t="s">
        <v>183</v>
      </c>
      <c r="F1783" s="30" t="s">
        <v>148</v>
      </c>
      <c r="G1783" s="365">
        <v>22</v>
      </c>
      <c r="H1783" s="30">
        <v>19</v>
      </c>
      <c r="I1783" s="9" t="s">
        <v>250</v>
      </c>
      <c r="J1783" s="9" t="s">
        <v>1246</v>
      </c>
      <c r="K1783" s="30">
        <v>1</v>
      </c>
      <c r="L1783" s="9" t="s">
        <v>1247</v>
      </c>
      <c r="M1783" s="30" t="s">
        <v>84</v>
      </c>
      <c r="N1783" s="30" t="s">
        <v>155</v>
      </c>
      <c r="O1783" s="24">
        <v>0</v>
      </c>
      <c r="P1783" s="24">
        <v>0</v>
      </c>
      <c r="Q1783" s="24">
        <v>191</v>
      </c>
      <c r="R1783" s="24">
        <v>0</v>
      </c>
      <c r="S1783" s="24">
        <v>0</v>
      </c>
      <c r="T1783" s="24">
        <v>191</v>
      </c>
    </row>
    <row r="1784" spans="1:20">
      <c r="A1784" s="9" t="s">
        <v>1234</v>
      </c>
      <c r="B1784" s="30" t="s">
        <v>1263</v>
      </c>
      <c r="C1784" s="30" t="str">
        <f>CONCATENATE(VOL_VOLUMEN_SUMINISTROS[[#This Row],[Proyecto]],VOL_VOLUMEN_SUMINISTROS[[#This Row],[J]],VOL_VOLUMEN_SUMINISTROS[[#This Row],[FIN DE SEMANA]])</f>
        <v>1052-2TNO</v>
      </c>
      <c r="D1784" s="365" t="str">
        <f>CONCATENATE(VOL_VOLUMEN_SUMINISTROS[[#This Row],[Grupo]],VOL_VOLUMEN_SUMINISTROS[[#This Row],[Proyecto]],VOL_VOLUMEN_SUMINISTROS[[#This Row],[FIN DE SEMANA]])</f>
        <v>221052-2NO</v>
      </c>
      <c r="E1784" s="30" t="s">
        <v>183</v>
      </c>
      <c r="F1784" s="30" t="s">
        <v>148</v>
      </c>
      <c r="G1784" s="365">
        <v>22</v>
      </c>
      <c r="H1784" s="30">
        <v>19</v>
      </c>
      <c r="I1784" s="9" t="s">
        <v>250</v>
      </c>
      <c r="J1784" s="9" t="s">
        <v>1261</v>
      </c>
      <c r="K1784" s="30">
        <v>1</v>
      </c>
      <c r="L1784" s="9" t="s">
        <v>1262</v>
      </c>
      <c r="M1784" s="30" t="s">
        <v>84</v>
      </c>
      <c r="N1784" s="30" t="s">
        <v>155</v>
      </c>
      <c r="O1784" s="24">
        <v>0</v>
      </c>
      <c r="P1784" s="24">
        <v>0</v>
      </c>
      <c r="Q1784" s="24">
        <v>140</v>
      </c>
      <c r="R1784" s="24">
        <v>0</v>
      </c>
      <c r="S1784" s="24">
        <v>0</v>
      </c>
      <c r="T1784" s="24">
        <v>140</v>
      </c>
    </row>
    <row r="1785" spans="1:20">
      <c r="A1785" s="9" t="s">
        <v>1234</v>
      </c>
      <c r="B1785" s="30" t="s">
        <v>1264</v>
      </c>
      <c r="C1785" s="30" t="str">
        <f>CONCATENATE(VOL_VOLUMEN_SUMINISTROS[[#This Row],[Proyecto]],VOL_VOLUMEN_SUMINISTROS[[#This Row],[J]],VOL_VOLUMEN_SUMINISTROS[[#This Row],[FIN DE SEMANA]])</f>
        <v>1052-2MNO</v>
      </c>
      <c r="D1785" s="365" t="str">
        <f>CONCATENATE(VOL_VOLUMEN_SUMINISTROS[[#This Row],[Grupo]],VOL_VOLUMEN_SUMINISTROS[[#This Row],[Proyecto]],VOL_VOLUMEN_SUMINISTROS[[#This Row],[FIN DE SEMANA]])</f>
        <v>221052-2NO</v>
      </c>
      <c r="E1785" s="30" t="s">
        <v>183</v>
      </c>
      <c r="F1785" s="30" t="s">
        <v>148</v>
      </c>
      <c r="G1785" s="365">
        <v>22</v>
      </c>
      <c r="H1785" s="30">
        <v>19</v>
      </c>
      <c r="I1785" s="9" t="s">
        <v>250</v>
      </c>
      <c r="J1785" s="9" t="s">
        <v>1240</v>
      </c>
      <c r="K1785" s="30">
        <v>1</v>
      </c>
      <c r="L1785" s="9" t="s">
        <v>1241</v>
      </c>
      <c r="M1785" s="30" t="s">
        <v>84</v>
      </c>
      <c r="N1785" s="30" t="s">
        <v>152</v>
      </c>
      <c r="O1785" s="24">
        <v>150</v>
      </c>
      <c r="P1785" s="24">
        <v>0</v>
      </c>
      <c r="Q1785" s="24">
        <v>0</v>
      </c>
      <c r="R1785" s="24">
        <v>0</v>
      </c>
      <c r="S1785" s="24">
        <v>0</v>
      </c>
      <c r="T1785" s="24">
        <v>150</v>
      </c>
    </row>
    <row r="1786" spans="1:20">
      <c r="A1786" s="9" t="s">
        <v>1234</v>
      </c>
      <c r="B1786" s="30" t="s">
        <v>1264</v>
      </c>
      <c r="C1786" s="30" t="str">
        <f>CONCATENATE(VOL_VOLUMEN_SUMINISTROS[[#This Row],[Proyecto]],VOL_VOLUMEN_SUMINISTROS[[#This Row],[J]],VOL_VOLUMEN_SUMINISTROS[[#This Row],[FIN DE SEMANA]])</f>
        <v>1052-2MNO</v>
      </c>
      <c r="D1786" s="365" t="str">
        <f>CONCATENATE(VOL_VOLUMEN_SUMINISTROS[[#This Row],[Grupo]],VOL_VOLUMEN_SUMINISTROS[[#This Row],[Proyecto]],VOL_VOLUMEN_SUMINISTROS[[#This Row],[FIN DE SEMANA]])</f>
        <v>221052-2NO</v>
      </c>
      <c r="E1786" s="30" t="s">
        <v>183</v>
      </c>
      <c r="F1786" s="30" t="s">
        <v>148</v>
      </c>
      <c r="G1786" s="365">
        <v>22</v>
      </c>
      <c r="H1786" s="30">
        <v>19</v>
      </c>
      <c r="I1786" s="9" t="s">
        <v>250</v>
      </c>
      <c r="J1786" s="9" t="s">
        <v>1252</v>
      </c>
      <c r="K1786" s="30">
        <v>1</v>
      </c>
      <c r="L1786" s="9" t="s">
        <v>1253</v>
      </c>
      <c r="M1786" s="30" t="s">
        <v>84</v>
      </c>
      <c r="N1786" s="30" t="s">
        <v>152</v>
      </c>
      <c r="O1786" s="24">
        <v>51</v>
      </c>
      <c r="P1786" s="24">
        <v>0</v>
      </c>
      <c r="Q1786" s="24">
        <v>0</v>
      </c>
      <c r="R1786" s="24">
        <v>0</v>
      </c>
      <c r="S1786" s="24">
        <v>0</v>
      </c>
      <c r="T1786" s="24">
        <v>51</v>
      </c>
    </row>
    <row r="1787" spans="1:20">
      <c r="A1787" s="9" t="s">
        <v>1234</v>
      </c>
      <c r="B1787" s="30" t="s">
        <v>1264</v>
      </c>
      <c r="C1787" s="30" t="str">
        <f>CONCATENATE(VOL_VOLUMEN_SUMINISTROS[[#This Row],[Proyecto]],VOL_VOLUMEN_SUMINISTROS[[#This Row],[J]],VOL_VOLUMEN_SUMINISTROS[[#This Row],[FIN DE SEMANA]])</f>
        <v>1052-2TNO</v>
      </c>
      <c r="D1787" s="365" t="str">
        <f>CONCATENATE(VOL_VOLUMEN_SUMINISTROS[[#This Row],[Grupo]],VOL_VOLUMEN_SUMINISTROS[[#This Row],[Proyecto]],VOL_VOLUMEN_SUMINISTROS[[#This Row],[FIN DE SEMANA]])</f>
        <v>221052-2NO</v>
      </c>
      <c r="E1787" s="30" t="s">
        <v>183</v>
      </c>
      <c r="F1787" s="30" t="s">
        <v>148</v>
      </c>
      <c r="G1787" s="365">
        <v>22</v>
      </c>
      <c r="H1787" s="30">
        <v>19</v>
      </c>
      <c r="I1787" s="9" t="s">
        <v>250</v>
      </c>
      <c r="J1787" s="9" t="s">
        <v>1252</v>
      </c>
      <c r="K1787" s="30">
        <v>1</v>
      </c>
      <c r="L1787" s="9" t="s">
        <v>1253</v>
      </c>
      <c r="M1787" s="30" t="s">
        <v>84</v>
      </c>
      <c r="N1787" s="30" t="s">
        <v>155</v>
      </c>
      <c r="O1787" s="24">
        <v>47</v>
      </c>
      <c r="P1787" s="24">
        <v>0</v>
      </c>
      <c r="Q1787" s="24">
        <v>0</v>
      </c>
      <c r="R1787" s="24">
        <v>0</v>
      </c>
      <c r="S1787" s="24">
        <v>0</v>
      </c>
      <c r="T1787" s="24">
        <v>47</v>
      </c>
    </row>
    <row r="1788" spans="1:20">
      <c r="A1788" s="9" t="s">
        <v>1234</v>
      </c>
      <c r="B1788" s="30" t="s">
        <v>1264</v>
      </c>
      <c r="C1788" s="30" t="str">
        <f>CONCATENATE(VOL_VOLUMEN_SUMINISTROS[[#This Row],[Proyecto]],VOL_VOLUMEN_SUMINISTROS[[#This Row],[J]],VOL_VOLUMEN_SUMINISTROS[[#This Row],[FIN DE SEMANA]])</f>
        <v>1052-2MNO</v>
      </c>
      <c r="D1788" s="365" t="str">
        <f>CONCATENATE(VOL_VOLUMEN_SUMINISTROS[[#This Row],[Grupo]],VOL_VOLUMEN_SUMINISTROS[[#This Row],[Proyecto]],VOL_VOLUMEN_SUMINISTROS[[#This Row],[FIN DE SEMANA]])</f>
        <v>221052-2NO</v>
      </c>
      <c r="E1788" s="30" t="s">
        <v>183</v>
      </c>
      <c r="F1788" s="30" t="s">
        <v>148</v>
      </c>
      <c r="G1788" s="365">
        <v>22</v>
      </c>
      <c r="H1788" s="30">
        <v>19</v>
      </c>
      <c r="I1788" s="9" t="s">
        <v>250</v>
      </c>
      <c r="J1788" s="9" t="s">
        <v>1252</v>
      </c>
      <c r="K1788" s="30">
        <v>2</v>
      </c>
      <c r="L1788" s="9" t="s">
        <v>1254</v>
      </c>
      <c r="M1788" s="30" t="s">
        <v>84</v>
      </c>
      <c r="N1788" s="30" t="s">
        <v>152</v>
      </c>
      <c r="O1788" s="24">
        <v>50</v>
      </c>
      <c r="P1788" s="24">
        <v>0</v>
      </c>
      <c r="Q1788" s="24">
        <v>0</v>
      </c>
      <c r="R1788" s="24">
        <v>0</v>
      </c>
      <c r="S1788" s="24">
        <v>0</v>
      </c>
      <c r="T1788" s="24">
        <v>50</v>
      </c>
    </row>
    <row r="1789" spans="1:20">
      <c r="A1789" s="9" t="s">
        <v>1234</v>
      </c>
      <c r="B1789" s="30" t="s">
        <v>1264</v>
      </c>
      <c r="C1789" s="30" t="str">
        <f>CONCATENATE(VOL_VOLUMEN_SUMINISTROS[[#This Row],[Proyecto]],VOL_VOLUMEN_SUMINISTROS[[#This Row],[J]],VOL_VOLUMEN_SUMINISTROS[[#This Row],[FIN DE SEMANA]])</f>
        <v>1052-2TNO</v>
      </c>
      <c r="D1789" s="365" t="str">
        <f>CONCATENATE(VOL_VOLUMEN_SUMINISTROS[[#This Row],[Grupo]],VOL_VOLUMEN_SUMINISTROS[[#This Row],[Proyecto]],VOL_VOLUMEN_SUMINISTROS[[#This Row],[FIN DE SEMANA]])</f>
        <v>221052-2NO</v>
      </c>
      <c r="E1789" s="30" t="s">
        <v>183</v>
      </c>
      <c r="F1789" s="30" t="s">
        <v>148</v>
      </c>
      <c r="G1789" s="365">
        <v>22</v>
      </c>
      <c r="H1789" s="30">
        <v>19</v>
      </c>
      <c r="I1789" s="9" t="s">
        <v>250</v>
      </c>
      <c r="J1789" s="9" t="s">
        <v>1252</v>
      </c>
      <c r="K1789" s="30">
        <v>2</v>
      </c>
      <c r="L1789" s="9" t="s">
        <v>1254</v>
      </c>
      <c r="M1789" s="30" t="s">
        <v>84</v>
      </c>
      <c r="N1789" s="30" t="s">
        <v>155</v>
      </c>
      <c r="O1789" s="24">
        <v>48</v>
      </c>
      <c r="P1789" s="24">
        <v>0</v>
      </c>
      <c r="Q1789" s="24">
        <v>0</v>
      </c>
      <c r="R1789" s="24">
        <v>0</v>
      </c>
      <c r="S1789" s="24">
        <v>0</v>
      </c>
      <c r="T1789" s="24">
        <v>48</v>
      </c>
    </row>
    <row r="1790" spans="1:20">
      <c r="A1790" s="9" t="s">
        <v>1234</v>
      </c>
      <c r="B1790" s="30" t="s">
        <v>1265</v>
      </c>
      <c r="C1790" s="30" t="str">
        <f>CONCATENATE(VOL_VOLUMEN_SUMINISTROS[[#This Row],[Proyecto]],VOL_VOLUMEN_SUMINISTROS[[#This Row],[J]],VOL_VOLUMEN_SUMINISTROS[[#This Row],[FIN DE SEMANA]])</f>
        <v>1052-1MNO</v>
      </c>
      <c r="D1790" s="365" t="str">
        <f>CONCATENATE(VOL_VOLUMEN_SUMINISTROS[[#This Row],[Grupo]],VOL_VOLUMEN_SUMINISTROS[[#This Row],[Proyecto]],VOL_VOLUMEN_SUMINISTROS[[#This Row],[FIN DE SEMANA]])</f>
        <v>231052-1NO</v>
      </c>
      <c r="E1790" s="30" t="s">
        <v>147</v>
      </c>
      <c r="F1790" s="30" t="s">
        <v>148</v>
      </c>
      <c r="G1790" s="365">
        <v>23</v>
      </c>
      <c r="H1790" s="30">
        <v>19</v>
      </c>
      <c r="I1790" s="9" t="s">
        <v>250</v>
      </c>
      <c r="J1790" s="9" t="s">
        <v>1266</v>
      </c>
      <c r="K1790" s="30">
        <v>1</v>
      </c>
      <c r="L1790" s="9" t="s">
        <v>1267</v>
      </c>
      <c r="M1790" s="30" t="s">
        <v>84</v>
      </c>
      <c r="N1790" s="30" t="s">
        <v>152</v>
      </c>
      <c r="O1790" s="24">
        <v>281</v>
      </c>
      <c r="P1790" s="24">
        <v>171</v>
      </c>
      <c r="Q1790" s="24">
        <v>20</v>
      </c>
      <c r="R1790" s="24">
        <v>0</v>
      </c>
      <c r="S1790" s="24">
        <v>0</v>
      </c>
      <c r="T1790" s="24">
        <v>472</v>
      </c>
    </row>
    <row r="1791" spans="1:20">
      <c r="A1791" s="9" t="s">
        <v>1234</v>
      </c>
      <c r="B1791" s="30" t="s">
        <v>1265</v>
      </c>
      <c r="C1791" s="30" t="str">
        <f>CONCATENATE(VOL_VOLUMEN_SUMINISTROS[[#This Row],[Proyecto]],VOL_VOLUMEN_SUMINISTROS[[#This Row],[J]],VOL_VOLUMEN_SUMINISTROS[[#This Row],[FIN DE SEMANA]])</f>
        <v>1052-1TNO</v>
      </c>
      <c r="D1791" s="365" t="str">
        <f>CONCATENATE(VOL_VOLUMEN_SUMINISTROS[[#This Row],[Grupo]],VOL_VOLUMEN_SUMINISTROS[[#This Row],[Proyecto]],VOL_VOLUMEN_SUMINISTROS[[#This Row],[FIN DE SEMANA]])</f>
        <v>231052-1NO</v>
      </c>
      <c r="E1791" s="30" t="s">
        <v>147</v>
      </c>
      <c r="F1791" s="30" t="s">
        <v>148</v>
      </c>
      <c r="G1791" s="365">
        <v>23</v>
      </c>
      <c r="H1791" s="30">
        <v>19</v>
      </c>
      <c r="I1791" s="9" t="s">
        <v>250</v>
      </c>
      <c r="J1791" s="9" t="s">
        <v>1266</v>
      </c>
      <c r="K1791" s="30">
        <v>1</v>
      </c>
      <c r="L1791" s="9" t="s">
        <v>1267</v>
      </c>
      <c r="M1791" s="30" t="s">
        <v>84</v>
      </c>
      <c r="N1791" s="30" t="s">
        <v>155</v>
      </c>
      <c r="O1791" s="24">
        <v>35</v>
      </c>
      <c r="P1791" s="24">
        <v>216</v>
      </c>
      <c r="Q1791" s="24">
        <v>167</v>
      </c>
      <c r="R1791" s="24">
        <v>0</v>
      </c>
      <c r="S1791" s="24">
        <v>0</v>
      </c>
      <c r="T1791" s="24">
        <v>418</v>
      </c>
    </row>
    <row r="1792" spans="1:20">
      <c r="A1792" s="9" t="s">
        <v>1234</v>
      </c>
      <c r="B1792" s="30" t="s">
        <v>1265</v>
      </c>
      <c r="C1792" s="30" t="str">
        <f>CONCATENATE(VOL_VOLUMEN_SUMINISTROS[[#This Row],[Proyecto]],VOL_VOLUMEN_SUMINISTROS[[#This Row],[J]],VOL_VOLUMEN_SUMINISTROS[[#This Row],[FIN DE SEMANA]])</f>
        <v>1052-1MNO</v>
      </c>
      <c r="D1792" s="365" t="str">
        <f>CONCATENATE(VOL_VOLUMEN_SUMINISTROS[[#This Row],[Grupo]],VOL_VOLUMEN_SUMINISTROS[[#This Row],[Proyecto]],VOL_VOLUMEN_SUMINISTROS[[#This Row],[FIN DE SEMANA]])</f>
        <v>231052-1NO</v>
      </c>
      <c r="E1792" s="30" t="s">
        <v>147</v>
      </c>
      <c r="F1792" s="30" t="s">
        <v>148</v>
      </c>
      <c r="G1792" s="365">
        <v>23</v>
      </c>
      <c r="H1792" s="30">
        <v>19</v>
      </c>
      <c r="I1792" s="9" t="s">
        <v>250</v>
      </c>
      <c r="J1792" s="9" t="s">
        <v>1268</v>
      </c>
      <c r="K1792" s="30">
        <v>1</v>
      </c>
      <c r="L1792" s="9" t="s">
        <v>1269</v>
      </c>
      <c r="M1792" s="30" t="s">
        <v>84</v>
      </c>
      <c r="N1792" s="30" t="s">
        <v>152</v>
      </c>
      <c r="O1792" s="24">
        <v>0</v>
      </c>
      <c r="P1792" s="24">
        <v>114</v>
      </c>
      <c r="Q1792" s="24">
        <v>295</v>
      </c>
      <c r="R1792" s="24">
        <v>0</v>
      </c>
      <c r="S1792" s="24">
        <v>0</v>
      </c>
      <c r="T1792" s="24">
        <v>409</v>
      </c>
    </row>
    <row r="1793" spans="1:20">
      <c r="A1793" s="9" t="s">
        <v>1234</v>
      </c>
      <c r="B1793" s="30" t="s">
        <v>1265</v>
      </c>
      <c r="C1793" s="30" t="str">
        <f>CONCATENATE(VOL_VOLUMEN_SUMINISTROS[[#This Row],[Proyecto]],VOL_VOLUMEN_SUMINISTROS[[#This Row],[J]],VOL_VOLUMEN_SUMINISTROS[[#This Row],[FIN DE SEMANA]])</f>
        <v>1052-1TNO</v>
      </c>
      <c r="D1793" s="365" t="str">
        <f>CONCATENATE(VOL_VOLUMEN_SUMINISTROS[[#This Row],[Grupo]],VOL_VOLUMEN_SUMINISTROS[[#This Row],[Proyecto]],VOL_VOLUMEN_SUMINISTROS[[#This Row],[FIN DE SEMANA]])</f>
        <v>231052-1NO</v>
      </c>
      <c r="E1793" s="30" t="s">
        <v>147</v>
      </c>
      <c r="F1793" s="30" t="s">
        <v>148</v>
      </c>
      <c r="G1793" s="365">
        <v>23</v>
      </c>
      <c r="H1793" s="30">
        <v>19</v>
      </c>
      <c r="I1793" s="9" t="s">
        <v>250</v>
      </c>
      <c r="J1793" s="9" t="s">
        <v>1268</v>
      </c>
      <c r="K1793" s="30">
        <v>1</v>
      </c>
      <c r="L1793" s="9" t="s">
        <v>1269</v>
      </c>
      <c r="M1793" s="30" t="s">
        <v>84</v>
      </c>
      <c r="N1793" s="30" t="s">
        <v>155</v>
      </c>
      <c r="O1793" s="24">
        <v>0</v>
      </c>
      <c r="P1793" s="24">
        <v>114</v>
      </c>
      <c r="Q1793" s="24">
        <v>224</v>
      </c>
      <c r="R1793" s="24">
        <v>0</v>
      </c>
      <c r="S1793" s="24">
        <v>0</v>
      </c>
      <c r="T1793" s="24">
        <v>338</v>
      </c>
    </row>
    <row r="1794" spans="1:20">
      <c r="A1794" s="9" t="s">
        <v>1234</v>
      </c>
      <c r="B1794" s="30" t="s">
        <v>1265</v>
      </c>
      <c r="C1794" s="30" t="str">
        <f>CONCATENATE(VOL_VOLUMEN_SUMINISTROS[[#This Row],[Proyecto]],VOL_VOLUMEN_SUMINISTROS[[#This Row],[J]],VOL_VOLUMEN_SUMINISTROS[[#This Row],[FIN DE SEMANA]])</f>
        <v>1052-1MNO</v>
      </c>
      <c r="D1794" s="365" t="str">
        <f>CONCATENATE(VOL_VOLUMEN_SUMINISTROS[[#This Row],[Grupo]],VOL_VOLUMEN_SUMINISTROS[[#This Row],[Proyecto]],VOL_VOLUMEN_SUMINISTROS[[#This Row],[FIN DE SEMANA]])</f>
        <v>231052-1NO</v>
      </c>
      <c r="E1794" s="30" t="s">
        <v>147</v>
      </c>
      <c r="F1794" s="30" t="s">
        <v>148</v>
      </c>
      <c r="G1794" s="365">
        <v>23</v>
      </c>
      <c r="H1794" s="30">
        <v>19</v>
      </c>
      <c r="I1794" s="9" t="s">
        <v>250</v>
      </c>
      <c r="J1794" s="9" t="s">
        <v>1268</v>
      </c>
      <c r="K1794" s="30">
        <v>2</v>
      </c>
      <c r="L1794" s="9" t="s">
        <v>1270</v>
      </c>
      <c r="M1794" s="30" t="s">
        <v>84</v>
      </c>
      <c r="N1794" s="30" t="s">
        <v>152</v>
      </c>
      <c r="O1794" s="24">
        <v>140</v>
      </c>
      <c r="P1794" s="24">
        <v>104</v>
      </c>
      <c r="Q1794" s="24">
        <v>15</v>
      </c>
      <c r="R1794" s="24">
        <v>0</v>
      </c>
      <c r="S1794" s="24">
        <v>0</v>
      </c>
      <c r="T1794" s="24">
        <v>259</v>
      </c>
    </row>
    <row r="1795" spans="1:20">
      <c r="A1795" s="9" t="s">
        <v>1234</v>
      </c>
      <c r="B1795" s="30" t="s">
        <v>1265</v>
      </c>
      <c r="C1795" s="30" t="str">
        <f>CONCATENATE(VOL_VOLUMEN_SUMINISTROS[[#This Row],[Proyecto]],VOL_VOLUMEN_SUMINISTROS[[#This Row],[J]],VOL_VOLUMEN_SUMINISTROS[[#This Row],[FIN DE SEMANA]])</f>
        <v>1052-1TNO</v>
      </c>
      <c r="D1795" s="365" t="str">
        <f>CONCATENATE(VOL_VOLUMEN_SUMINISTROS[[#This Row],[Grupo]],VOL_VOLUMEN_SUMINISTROS[[#This Row],[Proyecto]],VOL_VOLUMEN_SUMINISTROS[[#This Row],[FIN DE SEMANA]])</f>
        <v>231052-1NO</v>
      </c>
      <c r="E1795" s="30" t="s">
        <v>147</v>
      </c>
      <c r="F1795" s="30" t="s">
        <v>148</v>
      </c>
      <c r="G1795" s="365">
        <v>23</v>
      </c>
      <c r="H1795" s="30">
        <v>19</v>
      </c>
      <c r="I1795" s="9" t="s">
        <v>250</v>
      </c>
      <c r="J1795" s="9" t="s">
        <v>1268</v>
      </c>
      <c r="K1795" s="30">
        <v>2</v>
      </c>
      <c r="L1795" s="9" t="s">
        <v>1270</v>
      </c>
      <c r="M1795" s="30" t="s">
        <v>84</v>
      </c>
      <c r="N1795" s="30" t="s">
        <v>155</v>
      </c>
      <c r="O1795" s="24">
        <v>106</v>
      </c>
      <c r="P1795" s="24">
        <v>104</v>
      </c>
      <c r="Q1795" s="24">
        <v>24</v>
      </c>
      <c r="R1795" s="24">
        <v>0</v>
      </c>
      <c r="S1795" s="24">
        <v>0</v>
      </c>
      <c r="T1795" s="24">
        <v>234</v>
      </c>
    </row>
    <row r="1796" spans="1:20">
      <c r="A1796" s="9" t="s">
        <v>1234</v>
      </c>
      <c r="B1796" s="30" t="s">
        <v>1265</v>
      </c>
      <c r="C1796" s="30" t="str">
        <f>CONCATENATE(VOL_VOLUMEN_SUMINISTROS[[#This Row],[Proyecto]],VOL_VOLUMEN_SUMINISTROS[[#This Row],[J]],VOL_VOLUMEN_SUMINISTROS[[#This Row],[FIN DE SEMANA]])</f>
        <v>1052-1MNO</v>
      </c>
      <c r="D1796" s="365" t="str">
        <f>CONCATENATE(VOL_VOLUMEN_SUMINISTROS[[#This Row],[Grupo]],VOL_VOLUMEN_SUMINISTROS[[#This Row],[Proyecto]],VOL_VOLUMEN_SUMINISTROS[[#This Row],[FIN DE SEMANA]])</f>
        <v>231052-1NO</v>
      </c>
      <c r="E1796" s="30" t="s">
        <v>147</v>
      </c>
      <c r="F1796" s="30" t="s">
        <v>148</v>
      </c>
      <c r="G1796" s="365">
        <v>23</v>
      </c>
      <c r="H1796" s="30">
        <v>19</v>
      </c>
      <c r="I1796" s="9" t="s">
        <v>250</v>
      </c>
      <c r="J1796" s="9" t="s">
        <v>1268</v>
      </c>
      <c r="K1796" s="30">
        <v>3</v>
      </c>
      <c r="L1796" s="9" t="s">
        <v>1271</v>
      </c>
      <c r="M1796" s="30" t="s">
        <v>84</v>
      </c>
      <c r="N1796" s="30" t="s">
        <v>152</v>
      </c>
      <c r="O1796" s="24">
        <v>124</v>
      </c>
      <c r="P1796" s="24">
        <v>101</v>
      </c>
      <c r="Q1796" s="24">
        <v>17</v>
      </c>
      <c r="R1796" s="24">
        <v>0</v>
      </c>
      <c r="S1796" s="24">
        <v>0</v>
      </c>
      <c r="T1796" s="24">
        <v>242</v>
      </c>
    </row>
    <row r="1797" spans="1:20">
      <c r="A1797" s="9" t="s">
        <v>1234</v>
      </c>
      <c r="B1797" s="30" t="s">
        <v>1265</v>
      </c>
      <c r="C1797" s="30" t="str">
        <f>CONCATENATE(VOL_VOLUMEN_SUMINISTROS[[#This Row],[Proyecto]],VOL_VOLUMEN_SUMINISTROS[[#This Row],[J]],VOL_VOLUMEN_SUMINISTROS[[#This Row],[FIN DE SEMANA]])</f>
        <v>1052-1TNO</v>
      </c>
      <c r="D1797" s="365" t="str">
        <f>CONCATENATE(VOL_VOLUMEN_SUMINISTROS[[#This Row],[Grupo]],VOL_VOLUMEN_SUMINISTROS[[#This Row],[Proyecto]],VOL_VOLUMEN_SUMINISTROS[[#This Row],[FIN DE SEMANA]])</f>
        <v>231052-1NO</v>
      </c>
      <c r="E1797" s="30" t="s">
        <v>147</v>
      </c>
      <c r="F1797" s="30" t="s">
        <v>148</v>
      </c>
      <c r="G1797" s="365">
        <v>23</v>
      </c>
      <c r="H1797" s="30">
        <v>19</v>
      </c>
      <c r="I1797" s="9" t="s">
        <v>250</v>
      </c>
      <c r="J1797" s="9" t="s">
        <v>1268</v>
      </c>
      <c r="K1797" s="30">
        <v>3</v>
      </c>
      <c r="L1797" s="9" t="s">
        <v>1271</v>
      </c>
      <c r="M1797" s="30" t="s">
        <v>84</v>
      </c>
      <c r="N1797" s="30" t="s">
        <v>155</v>
      </c>
      <c r="O1797" s="24">
        <v>117</v>
      </c>
      <c r="P1797" s="24">
        <v>95</v>
      </c>
      <c r="Q1797" s="24">
        <v>16</v>
      </c>
      <c r="R1797" s="24">
        <v>0</v>
      </c>
      <c r="S1797" s="24">
        <v>0</v>
      </c>
      <c r="T1797" s="24">
        <v>228</v>
      </c>
    </row>
    <row r="1798" spans="1:20">
      <c r="A1798" s="9" t="s">
        <v>1234</v>
      </c>
      <c r="B1798" s="30" t="s">
        <v>1265</v>
      </c>
      <c r="C1798" s="30" t="str">
        <f>CONCATENATE(VOL_VOLUMEN_SUMINISTROS[[#This Row],[Proyecto]],VOL_VOLUMEN_SUMINISTROS[[#This Row],[J]],VOL_VOLUMEN_SUMINISTROS[[#This Row],[FIN DE SEMANA]])</f>
        <v>1052-1MNO</v>
      </c>
      <c r="D1798" s="365" t="str">
        <f>CONCATENATE(VOL_VOLUMEN_SUMINISTROS[[#This Row],[Grupo]],VOL_VOLUMEN_SUMINISTROS[[#This Row],[Proyecto]],VOL_VOLUMEN_SUMINISTROS[[#This Row],[FIN DE SEMANA]])</f>
        <v>231052-1NO</v>
      </c>
      <c r="E1798" s="30" t="s">
        <v>147</v>
      </c>
      <c r="F1798" s="30" t="s">
        <v>148</v>
      </c>
      <c r="G1798" s="365">
        <v>23</v>
      </c>
      <c r="H1798" s="30">
        <v>19</v>
      </c>
      <c r="I1798" s="9" t="s">
        <v>250</v>
      </c>
      <c r="J1798" s="9" t="s">
        <v>1272</v>
      </c>
      <c r="K1798" s="30">
        <v>1</v>
      </c>
      <c r="L1798" s="9" t="s">
        <v>1273</v>
      </c>
      <c r="M1798" s="30" t="s">
        <v>84</v>
      </c>
      <c r="N1798" s="30" t="s">
        <v>152</v>
      </c>
      <c r="O1798" s="24">
        <v>188</v>
      </c>
      <c r="P1798" s="24">
        <v>354</v>
      </c>
      <c r="Q1798" s="24">
        <v>392</v>
      </c>
      <c r="R1798" s="24">
        <v>0</v>
      </c>
      <c r="S1798" s="24">
        <v>0</v>
      </c>
      <c r="T1798" s="24">
        <v>934</v>
      </c>
    </row>
    <row r="1799" spans="1:20">
      <c r="A1799" s="9" t="s">
        <v>1234</v>
      </c>
      <c r="B1799" s="30" t="s">
        <v>1265</v>
      </c>
      <c r="C1799" s="30" t="str">
        <f>CONCATENATE(VOL_VOLUMEN_SUMINISTROS[[#This Row],[Proyecto]],VOL_VOLUMEN_SUMINISTROS[[#This Row],[J]],VOL_VOLUMEN_SUMINISTROS[[#This Row],[FIN DE SEMANA]])</f>
        <v>1052-1TNO</v>
      </c>
      <c r="D1799" s="365" t="str">
        <f>CONCATENATE(VOL_VOLUMEN_SUMINISTROS[[#This Row],[Grupo]],VOL_VOLUMEN_SUMINISTROS[[#This Row],[Proyecto]],VOL_VOLUMEN_SUMINISTROS[[#This Row],[FIN DE SEMANA]])</f>
        <v>231052-1NO</v>
      </c>
      <c r="E1799" s="30" t="s">
        <v>147</v>
      </c>
      <c r="F1799" s="30" t="s">
        <v>148</v>
      </c>
      <c r="G1799" s="365">
        <v>23</v>
      </c>
      <c r="H1799" s="30">
        <v>19</v>
      </c>
      <c r="I1799" s="9" t="s">
        <v>250</v>
      </c>
      <c r="J1799" s="9" t="s">
        <v>1272</v>
      </c>
      <c r="K1799" s="30">
        <v>1</v>
      </c>
      <c r="L1799" s="9" t="s">
        <v>1273</v>
      </c>
      <c r="M1799" s="30" t="s">
        <v>84</v>
      </c>
      <c r="N1799" s="30" t="s">
        <v>155</v>
      </c>
      <c r="O1799" s="24">
        <v>180</v>
      </c>
      <c r="P1799" s="24">
        <v>341</v>
      </c>
      <c r="Q1799" s="24">
        <v>358</v>
      </c>
      <c r="R1799" s="24">
        <v>0</v>
      </c>
      <c r="S1799" s="24">
        <v>0</v>
      </c>
      <c r="T1799" s="24">
        <v>879</v>
      </c>
    </row>
    <row r="1800" spans="1:20">
      <c r="A1800" s="9" t="s">
        <v>1234</v>
      </c>
      <c r="B1800" s="30" t="s">
        <v>1265</v>
      </c>
      <c r="C1800" s="30" t="str">
        <f>CONCATENATE(VOL_VOLUMEN_SUMINISTROS[[#This Row],[Proyecto]],VOL_VOLUMEN_SUMINISTROS[[#This Row],[J]],VOL_VOLUMEN_SUMINISTROS[[#This Row],[FIN DE SEMANA]])</f>
        <v>1052-1MNO</v>
      </c>
      <c r="D1800" s="365" t="str">
        <f>CONCATENATE(VOL_VOLUMEN_SUMINISTROS[[#This Row],[Grupo]],VOL_VOLUMEN_SUMINISTROS[[#This Row],[Proyecto]],VOL_VOLUMEN_SUMINISTROS[[#This Row],[FIN DE SEMANA]])</f>
        <v>231052-1NO</v>
      </c>
      <c r="E1800" s="30" t="s">
        <v>147</v>
      </c>
      <c r="F1800" s="30" t="s">
        <v>148</v>
      </c>
      <c r="G1800" s="365">
        <v>23</v>
      </c>
      <c r="H1800" s="30">
        <v>19</v>
      </c>
      <c r="I1800" s="9" t="s">
        <v>250</v>
      </c>
      <c r="J1800" s="9" t="s">
        <v>1272</v>
      </c>
      <c r="K1800" s="30">
        <v>2</v>
      </c>
      <c r="L1800" s="9" t="s">
        <v>1099</v>
      </c>
      <c r="M1800" s="30" t="s">
        <v>84</v>
      </c>
      <c r="N1800" s="30" t="s">
        <v>152</v>
      </c>
      <c r="O1800" s="24">
        <v>100</v>
      </c>
      <c r="P1800" s="24">
        <v>52</v>
      </c>
      <c r="Q1800" s="24">
        <v>7</v>
      </c>
      <c r="R1800" s="24">
        <v>0</v>
      </c>
      <c r="S1800" s="24">
        <v>0</v>
      </c>
      <c r="T1800" s="24">
        <v>159</v>
      </c>
    </row>
    <row r="1801" spans="1:20">
      <c r="A1801" s="9" t="s">
        <v>1234</v>
      </c>
      <c r="B1801" s="30" t="s">
        <v>1265</v>
      </c>
      <c r="C1801" s="30" t="str">
        <f>CONCATENATE(VOL_VOLUMEN_SUMINISTROS[[#This Row],[Proyecto]],VOL_VOLUMEN_SUMINISTROS[[#This Row],[J]],VOL_VOLUMEN_SUMINISTROS[[#This Row],[FIN DE SEMANA]])</f>
        <v>1052-1TNO</v>
      </c>
      <c r="D1801" s="365" t="str">
        <f>CONCATENATE(VOL_VOLUMEN_SUMINISTROS[[#This Row],[Grupo]],VOL_VOLUMEN_SUMINISTROS[[#This Row],[Proyecto]],VOL_VOLUMEN_SUMINISTROS[[#This Row],[FIN DE SEMANA]])</f>
        <v>231052-1NO</v>
      </c>
      <c r="E1801" s="30" t="s">
        <v>147</v>
      </c>
      <c r="F1801" s="30" t="s">
        <v>148</v>
      </c>
      <c r="G1801" s="365">
        <v>23</v>
      </c>
      <c r="H1801" s="30">
        <v>19</v>
      </c>
      <c r="I1801" s="9" t="s">
        <v>250</v>
      </c>
      <c r="J1801" s="9" t="s">
        <v>1272</v>
      </c>
      <c r="K1801" s="30">
        <v>2</v>
      </c>
      <c r="L1801" s="9" t="s">
        <v>1099</v>
      </c>
      <c r="M1801" s="30" t="s">
        <v>84</v>
      </c>
      <c r="N1801" s="30" t="s">
        <v>155</v>
      </c>
      <c r="O1801" s="24">
        <v>105</v>
      </c>
      <c r="P1801" s="24">
        <v>51</v>
      </c>
      <c r="Q1801" s="24">
        <v>7</v>
      </c>
      <c r="R1801" s="24">
        <v>0</v>
      </c>
      <c r="S1801" s="24">
        <v>0</v>
      </c>
      <c r="T1801" s="24">
        <v>163</v>
      </c>
    </row>
    <row r="1802" spans="1:20">
      <c r="A1802" s="9" t="s">
        <v>1234</v>
      </c>
      <c r="B1802" s="30" t="s">
        <v>1265</v>
      </c>
      <c r="C1802" s="30" t="str">
        <f>CONCATENATE(VOL_VOLUMEN_SUMINISTROS[[#This Row],[Proyecto]],VOL_VOLUMEN_SUMINISTROS[[#This Row],[J]],VOL_VOLUMEN_SUMINISTROS[[#This Row],[FIN DE SEMANA]])</f>
        <v>1052-1MNO</v>
      </c>
      <c r="D1802" s="365" t="str">
        <f>CONCATENATE(VOL_VOLUMEN_SUMINISTROS[[#This Row],[Grupo]],VOL_VOLUMEN_SUMINISTROS[[#This Row],[Proyecto]],VOL_VOLUMEN_SUMINISTROS[[#This Row],[FIN DE SEMANA]])</f>
        <v>231052-1NO</v>
      </c>
      <c r="E1802" s="30" t="s">
        <v>147</v>
      </c>
      <c r="F1802" s="30" t="s">
        <v>148</v>
      </c>
      <c r="G1802" s="365">
        <v>23</v>
      </c>
      <c r="H1802" s="30">
        <v>19</v>
      </c>
      <c r="I1802" s="9" t="s">
        <v>250</v>
      </c>
      <c r="J1802" s="9" t="s">
        <v>1274</v>
      </c>
      <c r="K1802" s="30">
        <v>1</v>
      </c>
      <c r="L1802" s="9" t="s">
        <v>1275</v>
      </c>
      <c r="M1802" s="30" t="s">
        <v>84</v>
      </c>
      <c r="N1802" s="30" t="s">
        <v>152</v>
      </c>
      <c r="O1802" s="24">
        <v>305</v>
      </c>
      <c r="P1802" s="24">
        <v>396</v>
      </c>
      <c r="Q1802" s="24">
        <v>508</v>
      </c>
      <c r="R1802" s="24">
        <v>0</v>
      </c>
      <c r="S1802" s="24">
        <v>0</v>
      </c>
      <c r="T1802" s="24">
        <v>1209</v>
      </c>
    </row>
    <row r="1803" spans="1:20">
      <c r="A1803" s="9" t="s">
        <v>1234</v>
      </c>
      <c r="B1803" s="30" t="s">
        <v>1265</v>
      </c>
      <c r="C1803" s="30" t="str">
        <f>CONCATENATE(VOL_VOLUMEN_SUMINISTROS[[#This Row],[Proyecto]],VOL_VOLUMEN_SUMINISTROS[[#This Row],[J]],VOL_VOLUMEN_SUMINISTROS[[#This Row],[FIN DE SEMANA]])</f>
        <v>1052-1TNO</v>
      </c>
      <c r="D1803" s="365" t="str">
        <f>CONCATENATE(VOL_VOLUMEN_SUMINISTROS[[#This Row],[Grupo]],VOL_VOLUMEN_SUMINISTROS[[#This Row],[Proyecto]],VOL_VOLUMEN_SUMINISTROS[[#This Row],[FIN DE SEMANA]])</f>
        <v>231052-1NO</v>
      </c>
      <c r="E1803" s="30" t="s">
        <v>147</v>
      </c>
      <c r="F1803" s="30" t="s">
        <v>148</v>
      </c>
      <c r="G1803" s="365">
        <v>23</v>
      </c>
      <c r="H1803" s="30">
        <v>19</v>
      </c>
      <c r="I1803" s="9" t="s">
        <v>250</v>
      </c>
      <c r="J1803" s="9" t="s">
        <v>1274</v>
      </c>
      <c r="K1803" s="30">
        <v>1</v>
      </c>
      <c r="L1803" s="9" t="s">
        <v>1275</v>
      </c>
      <c r="M1803" s="30" t="s">
        <v>84</v>
      </c>
      <c r="N1803" s="30" t="s">
        <v>155</v>
      </c>
      <c r="O1803" s="24">
        <v>263</v>
      </c>
      <c r="P1803" s="24">
        <v>482</v>
      </c>
      <c r="Q1803" s="24">
        <v>482</v>
      </c>
      <c r="R1803" s="24">
        <v>0</v>
      </c>
      <c r="S1803" s="24">
        <v>0</v>
      </c>
      <c r="T1803" s="24">
        <v>1227</v>
      </c>
    </row>
    <row r="1804" spans="1:20">
      <c r="A1804" s="9" t="s">
        <v>1234</v>
      </c>
      <c r="B1804" s="30" t="s">
        <v>1265</v>
      </c>
      <c r="C1804" s="30" t="str">
        <f>CONCATENATE(VOL_VOLUMEN_SUMINISTROS[[#This Row],[Proyecto]],VOL_VOLUMEN_SUMINISTROS[[#This Row],[J]],VOL_VOLUMEN_SUMINISTROS[[#This Row],[FIN DE SEMANA]])</f>
        <v>1052-1MNO</v>
      </c>
      <c r="D1804" s="365" t="str">
        <f>CONCATENATE(VOL_VOLUMEN_SUMINISTROS[[#This Row],[Grupo]],VOL_VOLUMEN_SUMINISTROS[[#This Row],[Proyecto]],VOL_VOLUMEN_SUMINISTROS[[#This Row],[FIN DE SEMANA]])</f>
        <v>231052-1NO</v>
      </c>
      <c r="E1804" s="30" t="s">
        <v>147</v>
      </c>
      <c r="F1804" s="30" t="s">
        <v>148</v>
      </c>
      <c r="G1804" s="365">
        <v>23</v>
      </c>
      <c r="H1804" s="30">
        <v>19</v>
      </c>
      <c r="I1804" s="9" t="s">
        <v>250</v>
      </c>
      <c r="J1804" s="9" t="s">
        <v>1276</v>
      </c>
      <c r="K1804" s="30">
        <v>1</v>
      </c>
      <c r="L1804" s="9" t="s">
        <v>1277</v>
      </c>
      <c r="M1804" s="30" t="s">
        <v>84</v>
      </c>
      <c r="N1804" s="30" t="s">
        <v>152</v>
      </c>
      <c r="O1804" s="24">
        <v>196</v>
      </c>
      <c r="P1804" s="24">
        <v>347</v>
      </c>
      <c r="Q1804" s="24">
        <v>498</v>
      </c>
      <c r="R1804" s="24">
        <v>0</v>
      </c>
      <c r="S1804" s="24">
        <v>0</v>
      </c>
      <c r="T1804" s="24">
        <v>1041</v>
      </c>
    </row>
    <row r="1805" spans="1:20">
      <c r="A1805" s="9" t="s">
        <v>1234</v>
      </c>
      <c r="B1805" s="30" t="s">
        <v>1265</v>
      </c>
      <c r="C1805" s="30" t="str">
        <f>CONCATENATE(VOL_VOLUMEN_SUMINISTROS[[#This Row],[Proyecto]],VOL_VOLUMEN_SUMINISTROS[[#This Row],[J]],VOL_VOLUMEN_SUMINISTROS[[#This Row],[FIN DE SEMANA]])</f>
        <v>1052-1TNO</v>
      </c>
      <c r="D1805" s="365" t="str">
        <f>CONCATENATE(VOL_VOLUMEN_SUMINISTROS[[#This Row],[Grupo]],VOL_VOLUMEN_SUMINISTROS[[#This Row],[Proyecto]],VOL_VOLUMEN_SUMINISTROS[[#This Row],[FIN DE SEMANA]])</f>
        <v>231052-1NO</v>
      </c>
      <c r="E1805" s="30" t="s">
        <v>147</v>
      </c>
      <c r="F1805" s="30" t="s">
        <v>148</v>
      </c>
      <c r="G1805" s="365">
        <v>23</v>
      </c>
      <c r="H1805" s="30">
        <v>19</v>
      </c>
      <c r="I1805" s="9" t="s">
        <v>250</v>
      </c>
      <c r="J1805" s="9" t="s">
        <v>1276</v>
      </c>
      <c r="K1805" s="30">
        <v>1</v>
      </c>
      <c r="L1805" s="9" t="s">
        <v>1277</v>
      </c>
      <c r="M1805" s="30" t="s">
        <v>84</v>
      </c>
      <c r="N1805" s="30" t="s">
        <v>155</v>
      </c>
      <c r="O1805" s="24">
        <v>188</v>
      </c>
      <c r="P1805" s="24">
        <v>328</v>
      </c>
      <c r="Q1805" s="24">
        <v>475</v>
      </c>
      <c r="R1805" s="24">
        <v>0</v>
      </c>
      <c r="S1805" s="24">
        <v>0</v>
      </c>
      <c r="T1805" s="24">
        <v>991</v>
      </c>
    </row>
    <row r="1806" spans="1:20">
      <c r="A1806" s="9" t="s">
        <v>1234</v>
      </c>
      <c r="B1806" s="30" t="s">
        <v>1265</v>
      </c>
      <c r="C1806" s="30" t="str">
        <f>CONCATENATE(VOL_VOLUMEN_SUMINISTROS[[#This Row],[Proyecto]],VOL_VOLUMEN_SUMINISTROS[[#This Row],[J]],VOL_VOLUMEN_SUMINISTROS[[#This Row],[FIN DE SEMANA]])</f>
        <v>1052-1MNO</v>
      </c>
      <c r="D1806" s="365" t="str">
        <f>CONCATENATE(VOL_VOLUMEN_SUMINISTROS[[#This Row],[Grupo]],VOL_VOLUMEN_SUMINISTROS[[#This Row],[Proyecto]],VOL_VOLUMEN_SUMINISTROS[[#This Row],[FIN DE SEMANA]])</f>
        <v>231052-1NO</v>
      </c>
      <c r="E1806" s="30" t="s">
        <v>147</v>
      </c>
      <c r="F1806" s="30" t="s">
        <v>148</v>
      </c>
      <c r="G1806" s="365">
        <v>23</v>
      </c>
      <c r="H1806" s="30">
        <v>19</v>
      </c>
      <c r="I1806" s="9" t="s">
        <v>250</v>
      </c>
      <c r="J1806" s="9" t="s">
        <v>1276</v>
      </c>
      <c r="K1806" s="30">
        <v>2</v>
      </c>
      <c r="L1806" s="9" t="s">
        <v>1278</v>
      </c>
      <c r="M1806" s="30" t="s">
        <v>84</v>
      </c>
      <c r="N1806" s="30" t="s">
        <v>152</v>
      </c>
      <c r="O1806" s="24">
        <v>127</v>
      </c>
      <c r="P1806" s="24">
        <v>136</v>
      </c>
      <c r="Q1806" s="24">
        <v>28</v>
      </c>
      <c r="R1806" s="24">
        <v>0</v>
      </c>
      <c r="S1806" s="24">
        <v>0</v>
      </c>
      <c r="T1806" s="24">
        <v>291</v>
      </c>
    </row>
    <row r="1807" spans="1:20">
      <c r="A1807" s="9" t="s">
        <v>1234</v>
      </c>
      <c r="B1807" s="30" t="s">
        <v>1265</v>
      </c>
      <c r="C1807" s="30" t="str">
        <f>CONCATENATE(VOL_VOLUMEN_SUMINISTROS[[#This Row],[Proyecto]],VOL_VOLUMEN_SUMINISTROS[[#This Row],[J]],VOL_VOLUMEN_SUMINISTROS[[#This Row],[FIN DE SEMANA]])</f>
        <v>1052-1TNO</v>
      </c>
      <c r="D1807" s="365" t="str">
        <f>CONCATENATE(VOL_VOLUMEN_SUMINISTROS[[#This Row],[Grupo]],VOL_VOLUMEN_SUMINISTROS[[#This Row],[Proyecto]],VOL_VOLUMEN_SUMINISTROS[[#This Row],[FIN DE SEMANA]])</f>
        <v>231052-1NO</v>
      </c>
      <c r="E1807" s="30" t="s">
        <v>147</v>
      </c>
      <c r="F1807" s="30" t="s">
        <v>148</v>
      </c>
      <c r="G1807" s="365">
        <v>23</v>
      </c>
      <c r="H1807" s="30">
        <v>19</v>
      </c>
      <c r="I1807" s="9" t="s">
        <v>250</v>
      </c>
      <c r="J1807" s="9" t="s">
        <v>1276</v>
      </c>
      <c r="K1807" s="30">
        <v>2</v>
      </c>
      <c r="L1807" s="9" t="s">
        <v>1279</v>
      </c>
      <c r="M1807" s="30" t="s">
        <v>84</v>
      </c>
      <c r="N1807" s="30" t="s">
        <v>155</v>
      </c>
      <c r="O1807" s="24">
        <v>105</v>
      </c>
      <c r="P1807" s="24">
        <v>121</v>
      </c>
      <c r="Q1807" s="24">
        <v>26</v>
      </c>
      <c r="R1807" s="24">
        <v>0</v>
      </c>
      <c r="S1807" s="24">
        <v>0</v>
      </c>
      <c r="T1807" s="24">
        <v>252</v>
      </c>
    </row>
    <row r="1808" spans="1:20">
      <c r="A1808" s="9" t="s">
        <v>1234</v>
      </c>
      <c r="B1808" s="30" t="s">
        <v>1265</v>
      </c>
      <c r="C1808" s="30" t="str">
        <f>CONCATENATE(VOL_VOLUMEN_SUMINISTROS[[#This Row],[Proyecto]],VOL_VOLUMEN_SUMINISTROS[[#This Row],[J]],VOL_VOLUMEN_SUMINISTROS[[#This Row],[FIN DE SEMANA]])</f>
        <v>1052-1MNO</v>
      </c>
      <c r="D1808" s="365" t="str">
        <f>CONCATENATE(VOL_VOLUMEN_SUMINISTROS[[#This Row],[Grupo]],VOL_VOLUMEN_SUMINISTROS[[#This Row],[Proyecto]],VOL_VOLUMEN_SUMINISTROS[[#This Row],[FIN DE SEMANA]])</f>
        <v>231052-1NO</v>
      </c>
      <c r="E1808" s="30" t="s">
        <v>147</v>
      </c>
      <c r="F1808" s="30" t="s">
        <v>148</v>
      </c>
      <c r="G1808" s="365">
        <v>23</v>
      </c>
      <c r="H1808" s="30">
        <v>19</v>
      </c>
      <c r="I1808" s="9" t="s">
        <v>250</v>
      </c>
      <c r="J1808" s="9" t="s">
        <v>1280</v>
      </c>
      <c r="K1808" s="30">
        <v>1</v>
      </c>
      <c r="L1808" s="9" t="s">
        <v>1281</v>
      </c>
      <c r="M1808" s="30" t="s">
        <v>84</v>
      </c>
      <c r="N1808" s="30" t="s">
        <v>152</v>
      </c>
      <c r="O1808" s="24">
        <v>58</v>
      </c>
      <c r="P1808" s="24">
        <v>107</v>
      </c>
      <c r="Q1808" s="24">
        <v>26</v>
      </c>
      <c r="R1808" s="24">
        <v>0</v>
      </c>
      <c r="S1808" s="24">
        <v>0</v>
      </c>
      <c r="T1808" s="24">
        <v>191</v>
      </c>
    </row>
    <row r="1809" spans="1:20">
      <c r="A1809" s="9" t="s">
        <v>1234</v>
      </c>
      <c r="B1809" s="30" t="s">
        <v>1265</v>
      </c>
      <c r="C1809" s="30" t="str">
        <f>CONCATENATE(VOL_VOLUMEN_SUMINISTROS[[#This Row],[Proyecto]],VOL_VOLUMEN_SUMINISTROS[[#This Row],[J]],VOL_VOLUMEN_SUMINISTROS[[#This Row],[FIN DE SEMANA]])</f>
        <v>1052-1TNO</v>
      </c>
      <c r="D1809" s="365" t="str">
        <f>CONCATENATE(VOL_VOLUMEN_SUMINISTROS[[#This Row],[Grupo]],VOL_VOLUMEN_SUMINISTROS[[#This Row],[Proyecto]],VOL_VOLUMEN_SUMINISTROS[[#This Row],[FIN DE SEMANA]])</f>
        <v>231052-1NO</v>
      </c>
      <c r="E1809" s="30" t="s">
        <v>147</v>
      </c>
      <c r="F1809" s="30" t="s">
        <v>148</v>
      </c>
      <c r="G1809" s="365">
        <v>23</v>
      </c>
      <c r="H1809" s="30">
        <v>19</v>
      </c>
      <c r="I1809" s="9" t="s">
        <v>250</v>
      </c>
      <c r="J1809" s="9" t="s">
        <v>1280</v>
      </c>
      <c r="K1809" s="30">
        <v>1</v>
      </c>
      <c r="L1809" s="9" t="s">
        <v>1281</v>
      </c>
      <c r="M1809" s="30" t="s">
        <v>84</v>
      </c>
      <c r="N1809" s="30" t="s">
        <v>155</v>
      </c>
      <c r="O1809" s="24">
        <v>90</v>
      </c>
      <c r="P1809" s="24">
        <v>63</v>
      </c>
      <c r="Q1809" s="24">
        <v>6</v>
      </c>
      <c r="R1809" s="24">
        <v>0</v>
      </c>
      <c r="S1809" s="24">
        <v>0</v>
      </c>
      <c r="T1809" s="24">
        <v>159</v>
      </c>
    </row>
    <row r="1810" spans="1:20">
      <c r="A1810" s="9" t="s">
        <v>1234</v>
      </c>
      <c r="B1810" s="30" t="s">
        <v>1265</v>
      </c>
      <c r="C1810" s="30" t="str">
        <f>CONCATENATE(VOL_VOLUMEN_SUMINISTROS[[#This Row],[Proyecto]],VOL_VOLUMEN_SUMINISTROS[[#This Row],[J]],VOL_VOLUMEN_SUMINISTROS[[#This Row],[FIN DE SEMANA]])</f>
        <v>1052-1MNO</v>
      </c>
      <c r="D1810" s="365" t="str">
        <f>CONCATENATE(VOL_VOLUMEN_SUMINISTROS[[#This Row],[Grupo]],VOL_VOLUMEN_SUMINISTROS[[#This Row],[Proyecto]],VOL_VOLUMEN_SUMINISTROS[[#This Row],[FIN DE SEMANA]])</f>
        <v>231052-1NO</v>
      </c>
      <c r="E1810" s="30" t="s">
        <v>147</v>
      </c>
      <c r="F1810" s="30" t="s">
        <v>148</v>
      </c>
      <c r="G1810" s="365">
        <v>23</v>
      </c>
      <c r="H1810" s="30">
        <v>19</v>
      </c>
      <c r="I1810" s="9" t="s">
        <v>250</v>
      </c>
      <c r="J1810" s="9" t="s">
        <v>1280</v>
      </c>
      <c r="K1810" s="30">
        <v>2</v>
      </c>
      <c r="L1810" s="9" t="s">
        <v>1282</v>
      </c>
      <c r="M1810" s="30" t="s">
        <v>84</v>
      </c>
      <c r="N1810" s="30" t="s">
        <v>152</v>
      </c>
      <c r="O1810" s="24">
        <v>0</v>
      </c>
      <c r="P1810" s="24">
        <v>246</v>
      </c>
      <c r="Q1810" s="24">
        <v>82</v>
      </c>
      <c r="R1810" s="24">
        <v>0</v>
      </c>
      <c r="S1810" s="24">
        <v>0</v>
      </c>
      <c r="T1810" s="24">
        <v>328</v>
      </c>
    </row>
    <row r="1811" spans="1:20">
      <c r="A1811" s="9" t="s">
        <v>1234</v>
      </c>
      <c r="B1811" s="30" t="s">
        <v>1265</v>
      </c>
      <c r="C1811" s="30" t="str">
        <f>CONCATENATE(VOL_VOLUMEN_SUMINISTROS[[#This Row],[Proyecto]],VOL_VOLUMEN_SUMINISTROS[[#This Row],[J]],VOL_VOLUMEN_SUMINISTROS[[#This Row],[FIN DE SEMANA]])</f>
        <v>1052-1TNO</v>
      </c>
      <c r="D1811" s="365" t="str">
        <f>CONCATENATE(VOL_VOLUMEN_SUMINISTROS[[#This Row],[Grupo]],VOL_VOLUMEN_SUMINISTROS[[#This Row],[Proyecto]],VOL_VOLUMEN_SUMINISTROS[[#This Row],[FIN DE SEMANA]])</f>
        <v>231052-1NO</v>
      </c>
      <c r="E1811" s="30" t="s">
        <v>147</v>
      </c>
      <c r="F1811" s="30" t="s">
        <v>148</v>
      </c>
      <c r="G1811" s="365">
        <v>23</v>
      </c>
      <c r="H1811" s="30">
        <v>19</v>
      </c>
      <c r="I1811" s="9" t="s">
        <v>250</v>
      </c>
      <c r="J1811" s="9" t="s">
        <v>1280</v>
      </c>
      <c r="K1811" s="30">
        <v>2</v>
      </c>
      <c r="L1811" s="9" t="s">
        <v>1282</v>
      </c>
      <c r="M1811" s="30" t="s">
        <v>84</v>
      </c>
      <c r="N1811" s="30" t="s">
        <v>155</v>
      </c>
      <c r="O1811" s="24">
        <v>0</v>
      </c>
      <c r="P1811" s="24">
        <v>243</v>
      </c>
      <c r="Q1811" s="24">
        <v>81</v>
      </c>
      <c r="R1811" s="24">
        <v>0</v>
      </c>
      <c r="S1811" s="24">
        <v>0</v>
      </c>
      <c r="T1811" s="24">
        <v>324</v>
      </c>
    </row>
    <row r="1812" spans="1:20">
      <c r="A1812" s="9" t="s">
        <v>1234</v>
      </c>
      <c r="B1812" s="30" t="s">
        <v>1265</v>
      </c>
      <c r="C1812" s="30" t="str">
        <f>CONCATENATE(VOL_VOLUMEN_SUMINISTROS[[#This Row],[Proyecto]],VOL_VOLUMEN_SUMINISTROS[[#This Row],[J]],VOL_VOLUMEN_SUMINISTROS[[#This Row],[FIN DE SEMANA]])</f>
        <v>1052-1MNO</v>
      </c>
      <c r="D1812" s="365" t="str">
        <f>CONCATENATE(VOL_VOLUMEN_SUMINISTROS[[#This Row],[Grupo]],VOL_VOLUMEN_SUMINISTROS[[#This Row],[Proyecto]],VOL_VOLUMEN_SUMINISTROS[[#This Row],[FIN DE SEMANA]])</f>
        <v>231052-1NO</v>
      </c>
      <c r="E1812" s="30" t="s">
        <v>147</v>
      </c>
      <c r="F1812" s="30" t="s">
        <v>148</v>
      </c>
      <c r="G1812" s="365">
        <v>23</v>
      </c>
      <c r="H1812" s="30">
        <v>19</v>
      </c>
      <c r="I1812" s="9" t="s">
        <v>250</v>
      </c>
      <c r="J1812" s="9" t="s">
        <v>1280</v>
      </c>
      <c r="K1812" s="30">
        <v>3</v>
      </c>
      <c r="L1812" s="9" t="s">
        <v>1283</v>
      </c>
      <c r="M1812" s="30" t="s">
        <v>84</v>
      </c>
      <c r="N1812" s="30" t="s">
        <v>152</v>
      </c>
      <c r="O1812" s="24">
        <v>228</v>
      </c>
      <c r="P1812" s="24">
        <v>91</v>
      </c>
      <c r="Q1812" s="24">
        <v>8</v>
      </c>
      <c r="R1812" s="24">
        <v>0</v>
      </c>
      <c r="S1812" s="24">
        <v>0</v>
      </c>
      <c r="T1812" s="24">
        <v>327</v>
      </c>
    </row>
    <row r="1813" spans="1:20">
      <c r="A1813" s="9" t="s">
        <v>1234</v>
      </c>
      <c r="B1813" s="30" t="s">
        <v>1265</v>
      </c>
      <c r="C1813" s="30" t="str">
        <f>CONCATENATE(VOL_VOLUMEN_SUMINISTROS[[#This Row],[Proyecto]],VOL_VOLUMEN_SUMINISTROS[[#This Row],[J]],VOL_VOLUMEN_SUMINISTROS[[#This Row],[FIN DE SEMANA]])</f>
        <v>1052-1TNO</v>
      </c>
      <c r="D1813" s="365" t="str">
        <f>CONCATENATE(VOL_VOLUMEN_SUMINISTROS[[#This Row],[Grupo]],VOL_VOLUMEN_SUMINISTROS[[#This Row],[Proyecto]],VOL_VOLUMEN_SUMINISTROS[[#This Row],[FIN DE SEMANA]])</f>
        <v>231052-1NO</v>
      </c>
      <c r="E1813" s="30" t="s">
        <v>147</v>
      </c>
      <c r="F1813" s="30" t="s">
        <v>148</v>
      </c>
      <c r="G1813" s="365">
        <v>23</v>
      </c>
      <c r="H1813" s="30">
        <v>19</v>
      </c>
      <c r="I1813" s="9" t="s">
        <v>250</v>
      </c>
      <c r="J1813" s="9" t="s">
        <v>1280</v>
      </c>
      <c r="K1813" s="30">
        <v>3</v>
      </c>
      <c r="L1813" s="9" t="s">
        <v>1283</v>
      </c>
      <c r="M1813" s="30" t="s">
        <v>84</v>
      </c>
      <c r="N1813" s="30" t="s">
        <v>155</v>
      </c>
      <c r="O1813" s="24">
        <v>234</v>
      </c>
      <c r="P1813" s="24">
        <v>42</v>
      </c>
      <c r="Q1813" s="24">
        <v>0</v>
      </c>
      <c r="R1813" s="24">
        <v>0</v>
      </c>
      <c r="S1813" s="24">
        <v>0</v>
      </c>
      <c r="T1813" s="24">
        <v>276</v>
      </c>
    </row>
    <row r="1814" spans="1:20">
      <c r="A1814" s="9" t="s">
        <v>1234</v>
      </c>
      <c r="B1814" s="30" t="s">
        <v>1265</v>
      </c>
      <c r="C1814" s="30" t="str">
        <f>CONCATENATE(VOL_VOLUMEN_SUMINISTROS[[#This Row],[Proyecto]],VOL_VOLUMEN_SUMINISTROS[[#This Row],[J]],VOL_VOLUMEN_SUMINISTROS[[#This Row],[FIN DE SEMANA]])</f>
        <v>1052-1MNO</v>
      </c>
      <c r="D1814" s="365" t="str">
        <f>CONCATENATE(VOL_VOLUMEN_SUMINISTROS[[#This Row],[Grupo]],VOL_VOLUMEN_SUMINISTROS[[#This Row],[Proyecto]],VOL_VOLUMEN_SUMINISTROS[[#This Row],[FIN DE SEMANA]])</f>
        <v>231052-1NO</v>
      </c>
      <c r="E1814" s="30" t="s">
        <v>147</v>
      </c>
      <c r="F1814" s="30" t="s">
        <v>148</v>
      </c>
      <c r="G1814" s="365">
        <v>23</v>
      </c>
      <c r="H1814" s="30">
        <v>19</v>
      </c>
      <c r="I1814" s="9" t="s">
        <v>250</v>
      </c>
      <c r="J1814" s="9" t="s">
        <v>1280</v>
      </c>
      <c r="K1814" s="30">
        <v>4</v>
      </c>
      <c r="L1814" s="9" t="s">
        <v>1284</v>
      </c>
      <c r="M1814" s="30" t="s">
        <v>84</v>
      </c>
      <c r="N1814" s="30" t="s">
        <v>152</v>
      </c>
      <c r="O1814" s="24">
        <v>0</v>
      </c>
      <c r="P1814" s="24">
        <v>0</v>
      </c>
      <c r="Q1814" s="24">
        <v>313</v>
      </c>
      <c r="R1814" s="24">
        <v>0</v>
      </c>
      <c r="S1814" s="24">
        <v>0</v>
      </c>
      <c r="T1814" s="24">
        <v>313</v>
      </c>
    </row>
    <row r="1815" spans="1:20">
      <c r="A1815" s="9" t="s">
        <v>1234</v>
      </c>
      <c r="B1815" s="30" t="s">
        <v>1265</v>
      </c>
      <c r="C1815" s="30" t="str">
        <f>CONCATENATE(VOL_VOLUMEN_SUMINISTROS[[#This Row],[Proyecto]],VOL_VOLUMEN_SUMINISTROS[[#This Row],[J]],VOL_VOLUMEN_SUMINISTROS[[#This Row],[FIN DE SEMANA]])</f>
        <v>1052-1TNO</v>
      </c>
      <c r="D1815" s="365" t="str">
        <f>CONCATENATE(VOL_VOLUMEN_SUMINISTROS[[#This Row],[Grupo]],VOL_VOLUMEN_SUMINISTROS[[#This Row],[Proyecto]],VOL_VOLUMEN_SUMINISTROS[[#This Row],[FIN DE SEMANA]])</f>
        <v>231052-1NO</v>
      </c>
      <c r="E1815" s="30" t="s">
        <v>147</v>
      </c>
      <c r="F1815" s="30" t="s">
        <v>148</v>
      </c>
      <c r="G1815" s="365">
        <v>23</v>
      </c>
      <c r="H1815" s="30">
        <v>19</v>
      </c>
      <c r="I1815" s="9" t="s">
        <v>250</v>
      </c>
      <c r="J1815" s="9" t="s">
        <v>1280</v>
      </c>
      <c r="K1815" s="30">
        <v>4</v>
      </c>
      <c r="L1815" s="9" t="s">
        <v>1284</v>
      </c>
      <c r="M1815" s="30" t="s">
        <v>84</v>
      </c>
      <c r="N1815" s="30" t="s">
        <v>155</v>
      </c>
      <c r="O1815" s="24">
        <v>0</v>
      </c>
      <c r="P1815" s="24">
        <v>0</v>
      </c>
      <c r="Q1815" s="24">
        <v>279</v>
      </c>
      <c r="R1815" s="24">
        <v>0</v>
      </c>
      <c r="S1815" s="24">
        <v>0</v>
      </c>
      <c r="T1815" s="24">
        <v>279</v>
      </c>
    </row>
    <row r="1816" spans="1:20">
      <c r="A1816" s="9" t="s">
        <v>1234</v>
      </c>
      <c r="B1816" s="30" t="s">
        <v>1265</v>
      </c>
      <c r="C1816" s="30" t="str">
        <f>CONCATENATE(VOL_VOLUMEN_SUMINISTROS[[#This Row],[Proyecto]],VOL_VOLUMEN_SUMINISTROS[[#This Row],[J]],VOL_VOLUMEN_SUMINISTROS[[#This Row],[FIN DE SEMANA]])</f>
        <v>1052-1TNO</v>
      </c>
      <c r="D1816" s="365" t="str">
        <f>CONCATENATE(VOL_VOLUMEN_SUMINISTROS[[#This Row],[Grupo]],VOL_VOLUMEN_SUMINISTROS[[#This Row],[Proyecto]],VOL_VOLUMEN_SUMINISTROS[[#This Row],[FIN DE SEMANA]])</f>
        <v>231052-1NO</v>
      </c>
      <c r="E1816" s="30" t="s">
        <v>147</v>
      </c>
      <c r="F1816" s="30" t="s">
        <v>148</v>
      </c>
      <c r="G1816" s="365">
        <v>23</v>
      </c>
      <c r="H1816" s="30">
        <v>19</v>
      </c>
      <c r="I1816" s="9" t="s">
        <v>250</v>
      </c>
      <c r="J1816" s="9" t="s">
        <v>1280</v>
      </c>
      <c r="K1816" s="30">
        <v>6</v>
      </c>
      <c r="L1816" s="9" t="s">
        <v>1285</v>
      </c>
      <c r="M1816" s="30" t="s">
        <v>84</v>
      </c>
      <c r="N1816" s="30" t="s">
        <v>155</v>
      </c>
      <c r="O1816" s="24">
        <v>72</v>
      </c>
      <c r="P1816" s="24">
        <v>141</v>
      </c>
      <c r="Q1816" s="24">
        <v>35</v>
      </c>
      <c r="R1816" s="24">
        <v>0</v>
      </c>
      <c r="S1816" s="24">
        <v>0</v>
      </c>
      <c r="T1816" s="24">
        <v>248</v>
      </c>
    </row>
    <row r="1817" spans="1:20">
      <c r="A1817" s="9" t="s">
        <v>1234</v>
      </c>
      <c r="B1817" s="30" t="s">
        <v>1265</v>
      </c>
      <c r="C1817" s="30" t="str">
        <f>CONCATENATE(VOL_VOLUMEN_SUMINISTROS[[#This Row],[Proyecto]],VOL_VOLUMEN_SUMINISTROS[[#This Row],[J]],VOL_VOLUMEN_SUMINISTROS[[#This Row],[FIN DE SEMANA]])</f>
        <v>1052-1MNO</v>
      </c>
      <c r="D1817" s="365" t="str">
        <f>CONCATENATE(VOL_VOLUMEN_SUMINISTROS[[#This Row],[Grupo]],VOL_VOLUMEN_SUMINISTROS[[#This Row],[Proyecto]],VOL_VOLUMEN_SUMINISTROS[[#This Row],[FIN DE SEMANA]])</f>
        <v>231052-1NO</v>
      </c>
      <c r="E1817" s="30" t="s">
        <v>147</v>
      </c>
      <c r="F1817" s="30" t="s">
        <v>148</v>
      </c>
      <c r="G1817" s="365">
        <v>23</v>
      </c>
      <c r="H1817" s="30">
        <v>19</v>
      </c>
      <c r="I1817" s="9" t="s">
        <v>250</v>
      </c>
      <c r="J1817" s="9" t="s">
        <v>1286</v>
      </c>
      <c r="K1817" s="30">
        <v>3</v>
      </c>
      <c r="L1817" s="9" t="s">
        <v>1287</v>
      </c>
      <c r="M1817" s="30" t="s">
        <v>84</v>
      </c>
      <c r="N1817" s="30" t="s">
        <v>152</v>
      </c>
      <c r="O1817" s="24">
        <v>144</v>
      </c>
      <c r="P1817" s="24">
        <v>117</v>
      </c>
      <c r="Q1817" s="24">
        <v>20</v>
      </c>
      <c r="R1817" s="24">
        <v>0</v>
      </c>
      <c r="S1817" s="24">
        <v>0</v>
      </c>
      <c r="T1817" s="24">
        <v>281</v>
      </c>
    </row>
    <row r="1818" spans="1:20">
      <c r="A1818" s="9" t="s">
        <v>1234</v>
      </c>
      <c r="B1818" s="30" t="s">
        <v>1265</v>
      </c>
      <c r="C1818" s="30" t="str">
        <f>CONCATENATE(VOL_VOLUMEN_SUMINISTROS[[#This Row],[Proyecto]],VOL_VOLUMEN_SUMINISTROS[[#This Row],[J]],VOL_VOLUMEN_SUMINISTROS[[#This Row],[FIN DE SEMANA]])</f>
        <v>1052-1TNO</v>
      </c>
      <c r="D1818" s="365" t="str">
        <f>CONCATENATE(VOL_VOLUMEN_SUMINISTROS[[#This Row],[Grupo]],VOL_VOLUMEN_SUMINISTROS[[#This Row],[Proyecto]],VOL_VOLUMEN_SUMINISTROS[[#This Row],[FIN DE SEMANA]])</f>
        <v>231052-1NO</v>
      </c>
      <c r="E1818" s="30" t="s">
        <v>147</v>
      </c>
      <c r="F1818" s="30" t="s">
        <v>148</v>
      </c>
      <c r="G1818" s="365">
        <v>23</v>
      </c>
      <c r="H1818" s="30">
        <v>19</v>
      </c>
      <c r="I1818" s="9" t="s">
        <v>250</v>
      </c>
      <c r="J1818" s="9" t="s">
        <v>1286</v>
      </c>
      <c r="K1818" s="30">
        <v>3</v>
      </c>
      <c r="L1818" s="9" t="s">
        <v>1287</v>
      </c>
      <c r="M1818" s="30" t="s">
        <v>84</v>
      </c>
      <c r="N1818" s="30" t="s">
        <v>155</v>
      </c>
      <c r="O1818" s="24">
        <v>148</v>
      </c>
      <c r="P1818" s="24">
        <v>119</v>
      </c>
      <c r="Q1818" s="24">
        <v>20</v>
      </c>
      <c r="R1818" s="24">
        <v>0</v>
      </c>
      <c r="S1818" s="24">
        <v>0</v>
      </c>
      <c r="T1818" s="24">
        <v>287</v>
      </c>
    </row>
    <row r="1819" spans="1:20">
      <c r="A1819" s="9" t="s">
        <v>1234</v>
      </c>
      <c r="B1819" s="30" t="s">
        <v>1265</v>
      </c>
      <c r="C1819" s="30" t="str">
        <f>CONCATENATE(VOL_VOLUMEN_SUMINISTROS[[#This Row],[Proyecto]],VOL_VOLUMEN_SUMINISTROS[[#This Row],[J]],VOL_VOLUMEN_SUMINISTROS[[#This Row],[FIN DE SEMANA]])</f>
        <v>1052-1MNO</v>
      </c>
      <c r="D1819" s="365" t="str">
        <f>CONCATENATE(VOL_VOLUMEN_SUMINISTROS[[#This Row],[Grupo]],VOL_VOLUMEN_SUMINISTROS[[#This Row],[Proyecto]],VOL_VOLUMEN_SUMINISTROS[[#This Row],[FIN DE SEMANA]])</f>
        <v>231052-1NO</v>
      </c>
      <c r="E1819" s="30" t="s">
        <v>147</v>
      </c>
      <c r="F1819" s="30" t="s">
        <v>148</v>
      </c>
      <c r="G1819" s="365">
        <v>23</v>
      </c>
      <c r="H1819" s="30">
        <v>19</v>
      </c>
      <c r="I1819" s="9" t="s">
        <v>250</v>
      </c>
      <c r="J1819" s="9" t="s">
        <v>1286</v>
      </c>
      <c r="K1819" s="30">
        <v>4</v>
      </c>
      <c r="L1819" s="9" t="s">
        <v>1288</v>
      </c>
      <c r="M1819" s="30" t="s">
        <v>84</v>
      </c>
      <c r="N1819" s="30" t="s">
        <v>152</v>
      </c>
      <c r="O1819" s="24">
        <v>57</v>
      </c>
      <c r="P1819" s="24">
        <v>191</v>
      </c>
      <c r="Q1819" s="24">
        <v>57</v>
      </c>
      <c r="R1819" s="24">
        <v>0</v>
      </c>
      <c r="S1819" s="24">
        <v>0</v>
      </c>
      <c r="T1819" s="24">
        <v>305</v>
      </c>
    </row>
    <row r="1820" spans="1:20">
      <c r="A1820" s="9" t="s">
        <v>1234</v>
      </c>
      <c r="B1820" s="30" t="s">
        <v>1265</v>
      </c>
      <c r="C1820" s="30" t="str">
        <f>CONCATENATE(VOL_VOLUMEN_SUMINISTROS[[#This Row],[Proyecto]],VOL_VOLUMEN_SUMINISTROS[[#This Row],[J]],VOL_VOLUMEN_SUMINISTROS[[#This Row],[FIN DE SEMANA]])</f>
        <v>1052-1TNO</v>
      </c>
      <c r="D1820" s="365" t="str">
        <f>CONCATENATE(VOL_VOLUMEN_SUMINISTROS[[#This Row],[Grupo]],VOL_VOLUMEN_SUMINISTROS[[#This Row],[Proyecto]],VOL_VOLUMEN_SUMINISTROS[[#This Row],[FIN DE SEMANA]])</f>
        <v>231052-1NO</v>
      </c>
      <c r="E1820" s="30" t="s">
        <v>147</v>
      </c>
      <c r="F1820" s="30" t="s">
        <v>148</v>
      </c>
      <c r="G1820" s="365">
        <v>23</v>
      </c>
      <c r="H1820" s="30">
        <v>19</v>
      </c>
      <c r="I1820" s="9" t="s">
        <v>250</v>
      </c>
      <c r="J1820" s="9" t="s">
        <v>1286</v>
      </c>
      <c r="K1820" s="30">
        <v>4</v>
      </c>
      <c r="L1820" s="9" t="s">
        <v>1288</v>
      </c>
      <c r="M1820" s="30" t="s">
        <v>84</v>
      </c>
      <c r="N1820" s="30" t="s">
        <v>155</v>
      </c>
      <c r="O1820" s="24">
        <v>60</v>
      </c>
      <c r="P1820" s="24">
        <v>185</v>
      </c>
      <c r="Q1820" s="24">
        <v>55</v>
      </c>
      <c r="R1820" s="24">
        <v>0</v>
      </c>
      <c r="S1820" s="24">
        <v>0</v>
      </c>
      <c r="T1820" s="24">
        <v>300</v>
      </c>
    </row>
    <row r="1821" spans="1:20">
      <c r="A1821" s="9" t="s">
        <v>1234</v>
      </c>
      <c r="B1821" s="30" t="s">
        <v>1265</v>
      </c>
      <c r="C1821" s="30" t="str">
        <f>CONCATENATE(VOL_VOLUMEN_SUMINISTROS[[#This Row],[Proyecto]],VOL_VOLUMEN_SUMINISTROS[[#This Row],[J]],VOL_VOLUMEN_SUMINISTROS[[#This Row],[FIN DE SEMANA]])</f>
        <v>1052-1MNO</v>
      </c>
      <c r="D1821" s="365" t="str">
        <f>CONCATENATE(VOL_VOLUMEN_SUMINISTROS[[#This Row],[Grupo]],VOL_VOLUMEN_SUMINISTROS[[#This Row],[Proyecto]],VOL_VOLUMEN_SUMINISTROS[[#This Row],[FIN DE SEMANA]])</f>
        <v>231052-1NO</v>
      </c>
      <c r="E1821" s="30" t="s">
        <v>147</v>
      </c>
      <c r="F1821" s="30" t="s">
        <v>148</v>
      </c>
      <c r="G1821" s="365">
        <v>23</v>
      </c>
      <c r="H1821" s="30">
        <v>19</v>
      </c>
      <c r="I1821" s="9" t="s">
        <v>250</v>
      </c>
      <c r="J1821" s="9" t="s">
        <v>1289</v>
      </c>
      <c r="K1821" s="30">
        <v>1</v>
      </c>
      <c r="L1821" s="9" t="s">
        <v>1290</v>
      </c>
      <c r="M1821" s="30" t="s">
        <v>84</v>
      </c>
      <c r="N1821" s="30" t="s">
        <v>152</v>
      </c>
      <c r="O1821" s="24">
        <v>100</v>
      </c>
      <c r="P1821" s="24">
        <v>95</v>
      </c>
      <c r="Q1821" s="24">
        <v>15</v>
      </c>
      <c r="R1821" s="24">
        <v>0</v>
      </c>
      <c r="S1821" s="24">
        <v>0</v>
      </c>
      <c r="T1821" s="24">
        <v>210</v>
      </c>
    </row>
    <row r="1822" spans="1:20">
      <c r="A1822" s="9" t="s">
        <v>1234</v>
      </c>
      <c r="B1822" s="30" t="s">
        <v>1265</v>
      </c>
      <c r="C1822" s="30" t="str">
        <f>CONCATENATE(VOL_VOLUMEN_SUMINISTROS[[#This Row],[Proyecto]],VOL_VOLUMEN_SUMINISTROS[[#This Row],[J]],VOL_VOLUMEN_SUMINISTROS[[#This Row],[FIN DE SEMANA]])</f>
        <v>1052-1TNO</v>
      </c>
      <c r="D1822" s="365" t="str">
        <f>CONCATENATE(VOL_VOLUMEN_SUMINISTROS[[#This Row],[Grupo]],VOL_VOLUMEN_SUMINISTROS[[#This Row],[Proyecto]],VOL_VOLUMEN_SUMINISTROS[[#This Row],[FIN DE SEMANA]])</f>
        <v>231052-1NO</v>
      </c>
      <c r="E1822" s="30" t="s">
        <v>147</v>
      </c>
      <c r="F1822" s="30" t="s">
        <v>148</v>
      </c>
      <c r="G1822" s="365">
        <v>23</v>
      </c>
      <c r="H1822" s="30">
        <v>19</v>
      </c>
      <c r="I1822" s="9" t="s">
        <v>250</v>
      </c>
      <c r="J1822" s="9" t="s">
        <v>1289</v>
      </c>
      <c r="K1822" s="30">
        <v>1</v>
      </c>
      <c r="L1822" s="9" t="s">
        <v>1290</v>
      </c>
      <c r="M1822" s="30" t="s">
        <v>84</v>
      </c>
      <c r="N1822" s="30" t="s">
        <v>155</v>
      </c>
      <c r="O1822" s="24">
        <v>0</v>
      </c>
      <c r="P1822" s="24">
        <v>123</v>
      </c>
      <c r="Q1822" s="24">
        <v>41</v>
      </c>
      <c r="R1822" s="24">
        <v>0</v>
      </c>
      <c r="S1822" s="24">
        <v>0</v>
      </c>
      <c r="T1822" s="24">
        <v>164</v>
      </c>
    </row>
    <row r="1823" spans="1:20">
      <c r="A1823" s="9" t="s">
        <v>1234</v>
      </c>
      <c r="B1823" s="30" t="s">
        <v>1265</v>
      </c>
      <c r="C1823" s="30" t="str">
        <f>CONCATENATE(VOL_VOLUMEN_SUMINISTROS[[#This Row],[Proyecto]],VOL_VOLUMEN_SUMINISTROS[[#This Row],[J]],VOL_VOLUMEN_SUMINISTROS[[#This Row],[FIN DE SEMANA]])</f>
        <v>1052-1MNO</v>
      </c>
      <c r="D1823" s="365" t="str">
        <f>CONCATENATE(VOL_VOLUMEN_SUMINISTROS[[#This Row],[Grupo]],VOL_VOLUMEN_SUMINISTROS[[#This Row],[Proyecto]],VOL_VOLUMEN_SUMINISTROS[[#This Row],[FIN DE SEMANA]])</f>
        <v>231052-1NO</v>
      </c>
      <c r="E1823" s="30" t="s">
        <v>147</v>
      </c>
      <c r="F1823" s="30" t="s">
        <v>148</v>
      </c>
      <c r="G1823" s="365">
        <v>23</v>
      </c>
      <c r="H1823" s="30">
        <v>19</v>
      </c>
      <c r="I1823" s="9" t="s">
        <v>250</v>
      </c>
      <c r="J1823" s="9" t="s">
        <v>1289</v>
      </c>
      <c r="K1823" s="30">
        <v>2</v>
      </c>
      <c r="L1823" s="9" t="s">
        <v>1291</v>
      </c>
      <c r="M1823" s="30" t="s">
        <v>84</v>
      </c>
      <c r="N1823" s="30" t="s">
        <v>152</v>
      </c>
      <c r="O1823" s="24">
        <v>100</v>
      </c>
      <c r="P1823" s="24">
        <v>0</v>
      </c>
      <c r="Q1823" s="24">
        <v>0</v>
      </c>
      <c r="R1823" s="24">
        <v>0</v>
      </c>
      <c r="S1823" s="24">
        <v>0</v>
      </c>
      <c r="T1823" s="24">
        <v>100</v>
      </c>
    </row>
    <row r="1824" spans="1:20">
      <c r="A1824" s="9" t="s">
        <v>1234</v>
      </c>
      <c r="B1824" s="30" t="s">
        <v>1265</v>
      </c>
      <c r="C1824" s="30" t="str">
        <f>CONCATENATE(VOL_VOLUMEN_SUMINISTROS[[#This Row],[Proyecto]],VOL_VOLUMEN_SUMINISTROS[[#This Row],[J]],VOL_VOLUMEN_SUMINISTROS[[#This Row],[FIN DE SEMANA]])</f>
        <v>1052-1TNO</v>
      </c>
      <c r="D1824" s="365" t="str">
        <f>CONCATENATE(VOL_VOLUMEN_SUMINISTROS[[#This Row],[Grupo]],VOL_VOLUMEN_SUMINISTROS[[#This Row],[Proyecto]],VOL_VOLUMEN_SUMINISTROS[[#This Row],[FIN DE SEMANA]])</f>
        <v>231052-1NO</v>
      </c>
      <c r="E1824" s="30" t="s">
        <v>147</v>
      </c>
      <c r="F1824" s="30" t="s">
        <v>148</v>
      </c>
      <c r="G1824" s="365">
        <v>23</v>
      </c>
      <c r="H1824" s="30">
        <v>19</v>
      </c>
      <c r="I1824" s="9" t="s">
        <v>250</v>
      </c>
      <c r="J1824" s="9" t="s">
        <v>1289</v>
      </c>
      <c r="K1824" s="30">
        <v>2</v>
      </c>
      <c r="L1824" s="9" t="s">
        <v>1291</v>
      </c>
      <c r="M1824" s="30" t="s">
        <v>84</v>
      </c>
      <c r="N1824" s="30" t="s">
        <v>155</v>
      </c>
      <c r="O1824" s="24">
        <v>36</v>
      </c>
      <c r="P1824" s="24">
        <v>0</v>
      </c>
      <c r="Q1824" s="24">
        <v>0</v>
      </c>
      <c r="R1824" s="24">
        <v>0</v>
      </c>
      <c r="S1824" s="24">
        <v>0</v>
      </c>
      <c r="T1824" s="24">
        <v>36</v>
      </c>
    </row>
    <row r="1825" spans="1:20">
      <c r="A1825" s="9" t="s">
        <v>1234</v>
      </c>
      <c r="B1825" s="30" t="s">
        <v>1265</v>
      </c>
      <c r="C1825" s="30" t="str">
        <f>CONCATENATE(VOL_VOLUMEN_SUMINISTROS[[#This Row],[Proyecto]],VOL_VOLUMEN_SUMINISTROS[[#This Row],[J]],VOL_VOLUMEN_SUMINISTROS[[#This Row],[FIN DE SEMANA]])</f>
        <v>1052-1MNO</v>
      </c>
      <c r="D1825" s="365" t="str">
        <f>CONCATENATE(VOL_VOLUMEN_SUMINISTROS[[#This Row],[Grupo]],VOL_VOLUMEN_SUMINISTROS[[#This Row],[Proyecto]],VOL_VOLUMEN_SUMINISTROS[[#This Row],[FIN DE SEMANA]])</f>
        <v>231052-1NO</v>
      </c>
      <c r="E1825" s="30" t="s">
        <v>147</v>
      </c>
      <c r="F1825" s="30" t="s">
        <v>148</v>
      </c>
      <c r="G1825" s="365">
        <v>23</v>
      </c>
      <c r="H1825" s="30">
        <v>19</v>
      </c>
      <c r="I1825" s="9" t="s">
        <v>250</v>
      </c>
      <c r="J1825" s="9" t="s">
        <v>1289</v>
      </c>
      <c r="K1825" s="30">
        <v>3</v>
      </c>
      <c r="L1825" s="9" t="s">
        <v>458</v>
      </c>
      <c r="M1825" s="30" t="s">
        <v>84</v>
      </c>
      <c r="N1825" s="30" t="s">
        <v>152</v>
      </c>
      <c r="O1825" s="24">
        <v>208</v>
      </c>
      <c r="P1825" s="24">
        <v>294</v>
      </c>
      <c r="Q1825" s="24">
        <v>305</v>
      </c>
      <c r="R1825" s="24">
        <v>0</v>
      </c>
      <c r="S1825" s="24">
        <v>0</v>
      </c>
      <c r="T1825" s="24">
        <v>807</v>
      </c>
    </row>
    <row r="1826" spans="1:20">
      <c r="A1826" s="9" t="s">
        <v>1234</v>
      </c>
      <c r="B1826" s="30" t="s">
        <v>1265</v>
      </c>
      <c r="C1826" s="30" t="str">
        <f>CONCATENATE(VOL_VOLUMEN_SUMINISTROS[[#This Row],[Proyecto]],VOL_VOLUMEN_SUMINISTROS[[#This Row],[J]],VOL_VOLUMEN_SUMINISTROS[[#This Row],[FIN DE SEMANA]])</f>
        <v>1052-1TNO</v>
      </c>
      <c r="D1826" s="365" t="str">
        <f>CONCATENATE(VOL_VOLUMEN_SUMINISTROS[[#This Row],[Grupo]],VOL_VOLUMEN_SUMINISTROS[[#This Row],[Proyecto]],VOL_VOLUMEN_SUMINISTROS[[#This Row],[FIN DE SEMANA]])</f>
        <v>231052-1NO</v>
      </c>
      <c r="E1826" s="30" t="s">
        <v>147</v>
      </c>
      <c r="F1826" s="30" t="s">
        <v>148</v>
      </c>
      <c r="G1826" s="365">
        <v>23</v>
      </c>
      <c r="H1826" s="30">
        <v>19</v>
      </c>
      <c r="I1826" s="9" t="s">
        <v>250</v>
      </c>
      <c r="J1826" s="9" t="s">
        <v>1289</v>
      </c>
      <c r="K1826" s="30">
        <v>3</v>
      </c>
      <c r="L1826" s="9" t="s">
        <v>458</v>
      </c>
      <c r="M1826" s="30" t="s">
        <v>84</v>
      </c>
      <c r="N1826" s="30" t="s">
        <v>155</v>
      </c>
      <c r="O1826" s="24">
        <v>104</v>
      </c>
      <c r="P1826" s="24">
        <v>238</v>
      </c>
      <c r="Q1826" s="24">
        <v>212</v>
      </c>
      <c r="R1826" s="24">
        <v>0</v>
      </c>
      <c r="S1826" s="24">
        <v>0</v>
      </c>
      <c r="T1826" s="24">
        <v>554</v>
      </c>
    </row>
    <row r="1827" spans="1:20">
      <c r="A1827" s="9" t="s">
        <v>1234</v>
      </c>
      <c r="B1827" s="30" t="s">
        <v>1265</v>
      </c>
      <c r="C1827" s="30" t="str">
        <f>CONCATENATE(VOL_VOLUMEN_SUMINISTROS[[#This Row],[Proyecto]],VOL_VOLUMEN_SUMINISTROS[[#This Row],[J]],VOL_VOLUMEN_SUMINISTROS[[#This Row],[FIN DE SEMANA]])</f>
        <v>1052-1MNO</v>
      </c>
      <c r="D1827" s="365" t="str">
        <f>CONCATENATE(VOL_VOLUMEN_SUMINISTROS[[#This Row],[Grupo]],VOL_VOLUMEN_SUMINISTROS[[#This Row],[Proyecto]],VOL_VOLUMEN_SUMINISTROS[[#This Row],[FIN DE SEMANA]])</f>
        <v>231052-1NO</v>
      </c>
      <c r="E1827" s="30" t="s">
        <v>147</v>
      </c>
      <c r="F1827" s="30" t="s">
        <v>148</v>
      </c>
      <c r="G1827" s="365">
        <v>23</v>
      </c>
      <c r="H1827" s="30">
        <v>19</v>
      </c>
      <c r="I1827" s="9" t="s">
        <v>250</v>
      </c>
      <c r="J1827" s="9" t="s">
        <v>1292</v>
      </c>
      <c r="K1827" s="30">
        <v>1</v>
      </c>
      <c r="L1827" s="9" t="s">
        <v>1293</v>
      </c>
      <c r="M1827" s="30" t="s">
        <v>84</v>
      </c>
      <c r="N1827" s="30" t="s">
        <v>152</v>
      </c>
      <c r="O1827" s="24">
        <v>49</v>
      </c>
      <c r="P1827" s="24">
        <v>119</v>
      </c>
      <c r="Q1827" s="24">
        <v>129</v>
      </c>
      <c r="R1827" s="24">
        <v>0</v>
      </c>
      <c r="S1827" s="24">
        <v>0</v>
      </c>
      <c r="T1827" s="24">
        <v>297</v>
      </c>
    </row>
    <row r="1828" spans="1:20">
      <c r="A1828" s="9" t="s">
        <v>1234</v>
      </c>
      <c r="B1828" s="30" t="s">
        <v>1265</v>
      </c>
      <c r="C1828" s="30" t="str">
        <f>CONCATENATE(VOL_VOLUMEN_SUMINISTROS[[#This Row],[Proyecto]],VOL_VOLUMEN_SUMINISTROS[[#This Row],[J]],VOL_VOLUMEN_SUMINISTROS[[#This Row],[FIN DE SEMANA]])</f>
        <v>1052-1TNO</v>
      </c>
      <c r="D1828" s="365" t="str">
        <f>CONCATENATE(VOL_VOLUMEN_SUMINISTROS[[#This Row],[Grupo]],VOL_VOLUMEN_SUMINISTROS[[#This Row],[Proyecto]],VOL_VOLUMEN_SUMINISTROS[[#This Row],[FIN DE SEMANA]])</f>
        <v>231052-1NO</v>
      </c>
      <c r="E1828" s="30" t="s">
        <v>147</v>
      </c>
      <c r="F1828" s="30" t="s">
        <v>148</v>
      </c>
      <c r="G1828" s="365">
        <v>23</v>
      </c>
      <c r="H1828" s="30">
        <v>19</v>
      </c>
      <c r="I1828" s="9" t="s">
        <v>250</v>
      </c>
      <c r="J1828" s="9" t="s">
        <v>1292</v>
      </c>
      <c r="K1828" s="30">
        <v>1</v>
      </c>
      <c r="L1828" s="9" t="s">
        <v>1293</v>
      </c>
      <c r="M1828" s="30" t="s">
        <v>84</v>
      </c>
      <c r="N1828" s="30" t="s">
        <v>155</v>
      </c>
      <c r="O1828" s="24">
        <v>142</v>
      </c>
      <c r="P1828" s="24">
        <v>128</v>
      </c>
      <c r="Q1828" s="24">
        <v>26</v>
      </c>
      <c r="R1828" s="24">
        <v>0</v>
      </c>
      <c r="S1828" s="24">
        <v>0</v>
      </c>
      <c r="T1828" s="24">
        <v>296</v>
      </c>
    </row>
    <row r="1829" spans="1:20">
      <c r="A1829" s="9" t="s">
        <v>1234</v>
      </c>
      <c r="B1829" s="30" t="s">
        <v>1265</v>
      </c>
      <c r="C1829" s="30" t="str">
        <f>CONCATENATE(VOL_VOLUMEN_SUMINISTROS[[#This Row],[Proyecto]],VOL_VOLUMEN_SUMINISTROS[[#This Row],[J]],VOL_VOLUMEN_SUMINISTROS[[#This Row],[FIN DE SEMANA]])</f>
        <v>1052-1MNO</v>
      </c>
      <c r="D1829" s="365" t="str">
        <f>CONCATENATE(VOL_VOLUMEN_SUMINISTROS[[#This Row],[Grupo]],VOL_VOLUMEN_SUMINISTROS[[#This Row],[Proyecto]],VOL_VOLUMEN_SUMINISTROS[[#This Row],[FIN DE SEMANA]])</f>
        <v>231052-1NO</v>
      </c>
      <c r="E1829" s="30" t="s">
        <v>147</v>
      </c>
      <c r="F1829" s="30" t="s">
        <v>148</v>
      </c>
      <c r="G1829" s="365">
        <v>23</v>
      </c>
      <c r="H1829" s="30">
        <v>19</v>
      </c>
      <c r="I1829" s="9" t="s">
        <v>250</v>
      </c>
      <c r="J1829" s="9" t="s">
        <v>1292</v>
      </c>
      <c r="K1829" s="30">
        <v>2</v>
      </c>
      <c r="L1829" s="9" t="s">
        <v>1294</v>
      </c>
      <c r="M1829" s="30" t="s">
        <v>84</v>
      </c>
      <c r="N1829" s="30" t="s">
        <v>152</v>
      </c>
      <c r="O1829" s="24">
        <v>108</v>
      </c>
      <c r="P1829" s="24">
        <v>59</v>
      </c>
      <c r="Q1829" s="24">
        <v>11</v>
      </c>
      <c r="R1829" s="24">
        <v>0</v>
      </c>
      <c r="S1829" s="24">
        <v>0</v>
      </c>
      <c r="T1829" s="24">
        <v>178</v>
      </c>
    </row>
    <row r="1830" spans="1:20">
      <c r="A1830" s="9" t="s">
        <v>1234</v>
      </c>
      <c r="B1830" s="30" t="s">
        <v>1265</v>
      </c>
      <c r="C1830" s="30" t="str">
        <f>CONCATENATE(VOL_VOLUMEN_SUMINISTROS[[#This Row],[Proyecto]],VOL_VOLUMEN_SUMINISTROS[[#This Row],[J]],VOL_VOLUMEN_SUMINISTROS[[#This Row],[FIN DE SEMANA]])</f>
        <v>1052-1TNO</v>
      </c>
      <c r="D1830" s="365" t="str">
        <f>CONCATENATE(VOL_VOLUMEN_SUMINISTROS[[#This Row],[Grupo]],VOL_VOLUMEN_SUMINISTROS[[#This Row],[Proyecto]],VOL_VOLUMEN_SUMINISTROS[[#This Row],[FIN DE SEMANA]])</f>
        <v>231052-1NO</v>
      </c>
      <c r="E1830" s="30" t="s">
        <v>147</v>
      </c>
      <c r="F1830" s="30" t="s">
        <v>148</v>
      </c>
      <c r="G1830" s="365">
        <v>23</v>
      </c>
      <c r="H1830" s="30">
        <v>19</v>
      </c>
      <c r="I1830" s="9" t="s">
        <v>250</v>
      </c>
      <c r="J1830" s="9" t="s">
        <v>1292</v>
      </c>
      <c r="K1830" s="30">
        <v>2</v>
      </c>
      <c r="L1830" s="9" t="s">
        <v>1294</v>
      </c>
      <c r="M1830" s="30" t="s">
        <v>84</v>
      </c>
      <c r="N1830" s="30" t="s">
        <v>155</v>
      </c>
      <c r="O1830" s="24">
        <v>92</v>
      </c>
      <c r="P1830" s="24">
        <v>32</v>
      </c>
      <c r="Q1830" s="24">
        <v>6</v>
      </c>
      <c r="R1830" s="24">
        <v>0</v>
      </c>
      <c r="S1830" s="24">
        <v>0</v>
      </c>
      <c r="T1830" s="24">
        <v>130</v>
      </c>
    </row>
    <row r="1831" spans="1:20">
      <c r="A1831" s="9" t="s">
        <v>1234</v>
      </c>
      <c r="B1831" s="30" t="s">
        <v>1265</v>
      </c>
      <c r="C1831" s="30" t="str">
        <f>CONCATENATE(VOL_VOLUMEN_SUMINISTROS[[#This Row],[Proyecto]],VOL_VOLUMEN_SUMINISTROS[[#This Row],[J]],VOL_VOLUMEN_SUMINISTROS[[#This Row],[FIN DE SEMANA]])</f>
        <v>1052-1MNO</v>
      </c>
      <c r="D1831" s="365" t="str">
        <f>CONCATENATE(VOL_VOLUMEN_SUMINISTROS[[#This Row],[Grupo]],VOL_VOLUMEN_SUMINISTROS[[#This Row],[Proyecto]],VOL_VOLUMEN_SUMINISTROS[[#This Row],[FIN DE SEMANA]])</f>
        <v>231052-1NO</v>
      </c>
      <c r="E1831" s="30" t="s">
        <v>147</v>
      </c>
      <c r="F1831" s="30" t="s">
        <v>148</v>
      </c>
      <c r="G1831" s="365">
        <v>23</v>
      </c>
      <c r="H1831" s="30">
        <v>19</v>
      </c>
      <c r="I1831" s="9" t="s">
        <v>250</v>
      </c>
      <c r="J1831" s="9" t="s">
        <v>1295</v>
      </c>
      <c r="K1831" s="30">
        <v>1</v>
      </c>
      <c r="L1831" s="9" t="s">
        <v>1296</v>
      </c>
      <c r="M1831" s="30" t="s">
        <v>84</v>
      </c>
      <c r="N1831" s="30" t="s">
        <v>152</v>
      </c>
      <c r="O1831" s="24">
        <v>204</v>
      </c>
      <c r="P1831" s="24">
        <v>126</v>
      </c>
      <c r="Q1831" s="24">
        <v>18</v>
      </c>
      <c r="R1831" s="24">
        <v>0</v>
      </c>
      <c r="S1831" s="24">
        <v>0</v>
      </c>
      <c r="T1831" s="24">
        <v>348</v>
      </c>
    </row>
    <row r="1832" spans="1:20">
      <c r="A1832" s="9" t="s">
        <v>1234</v>
      </c>
      <c r="B1832" s="30" t="s">
        <v>1265</v>
      </c>
      <c r="C1832" s="30" t="str">
        <f>CONCATENATE(VOL_VOLUMEN_SUMINISTROS[[#This Row],[Proyecto]],VOL_VOLUMEN_SUMINISTROS[[#This Row],[J]],VOL_VOLUMEN_SUMINISTROS[[#This Row],[FIN DE SEMANA]])</f>
        <v>1052-1TNO</v>
      </c>
      <c r="D1832" s="365" t="str">
        <f>CONCATENATE(VOL_VOLUMEN_SUMINISTROS[[#This Row],[Grupo]],VOL_VOLUMEN_SUMINISTROS[[#This Row],[Proyecto]],VOL_VOLUMEN_SUMINISTROS[[#This Row],[FIN DE SEMANA]])</f>
        <v>231052-1NO</v>
      </c>
      <c r="E1832" s="30" t="s">
        <v>147</v>
      </c>
      <c r="F1832" s="30" t="s">
        <v>148</v>
      </c>
      <c r="G1832" s="365">
        <v>23</v>
      </c>
      <c r="H1832" s="30">
        <v>19</v>
      </c>
      <c r="I1832" s="9" t="s">
        <v>250</v>
      </c>
      <c r="J1832" s="9" t="s">
        <v>1295</v>
      </c>
      <c r="K1832" s="30">
        <v>1</v>
      </c>
      <c r="L1832" s="9" t="s">
        <v>1296</v>
      </c>
      <c r="M1832" s="30" t="s">
        <v>84</v>
      </c>
      <c r="N1832" s="30" t="s">
        <v>155</v>
      </c>
      <c r="O1832" s="24">
        <v>252</v>
      </c>
      <c r="P1832" s="24">
        <v>68</v>
      </c>
      <c r="Q1832" s="24">
        <v>0</v>
      </c>
      <c r="R1832" s="24">
        <v>0</v>
      </c>
      <c r="S1832" s="24">
        <v>0</v>
      </c>
      <c r="T1832" s="24">
        <v>320</v>
      </c>
    </row>
    <row r="1833" spans="1:20">
      <c r="A1833" s="9" t="s">
        <v>1234</v>
      </c>
      <c r="B1833" s="30" t="s">
        <v>1265</v>
      </c>
      <c r="C1833" s="30" t="str">
        <f>CONCATENATE(VOL_VOLUMEN_SUMINISTROS[[#This Row],[Proyecto]],VOL_VOLUMEN_SUMINISTROS[[#This Row],[J]],VOL_VOLUMEN_SUMINISTROS[[#This Row],[FIN DE SEMANA]])</f>
        <v>1052-1MNO</v>
      </c>
      <c r="D1833" s="365" t="str">
        <f>CONCATENATE(VOL_VOLUMEN_SUMINISTROS[[#This Row],[Grupo]],VOL_VOLUMEN_SUMINISTROS[[#This Row],[Proyecto]],VOL_VOLUMEN_SUMINISTROS[[#This Row],[FIN DE SEMANA]])</f>
        <v>231052-1NO</v>
      </c>
      <c r="E1833" s="30" t="s">
        <v>147</v>
      </c>
      <c r="F1833" s="30" t="s">
        <v>148</v>
      </c>
      <c r="G1833" s="365">
        <v>23</v>
      </c>
      <c r="H1833" s="30">
        <v>19</v>
      </c>
      <c r="I1833" s="9" t="s">
        <v>250</v>
      </c>
      <c r="J1833" s="9" t="s">
        <v>1297</v>
      </c>
      <c r="K1833" s="30">
        <v>1</v>
      </c>
      <c r="L1833" s="9" t="s">
        <v>1298</v>
      </c>
      <c r="M1833" s="30" t="s">
        <v>84</v>
      </c>
      <c r="N1833" s="30" t="s">
        <v>152</v>
      </c>
      <c r="O1833" s="24">
        <v>0</v>
      </c>
      <c r="P1833" s="24">
        <v>132</v>
      </c>
      <c r="Q1833" s="24">
        <v>253</v>
      </c>
      <c r="R1833" s="24">
        <v>0</v>
      </c>
      <c r="S1833" s="24">
        <v>0</v>
      </c>
      <c r="T1833" s="24">
        <v>385</v>
      </c>
    </row>
    <row r="1834" spans="1:20">
      <c r="A1834" s="9" t="s">
        <v>1234</v>
      </c>
      <c r="B1834" s="30" t="s">
        <v>1265</v>
      </c>
      <c r="C1834" s="30" t="str">
        <f>CONCATENATE(VOL_VOLUMEN_SUMINISTROS[[#This Row],[Proyecto]],VOL_VOLUMEN_SUMINISTROS[[#This Row],[J]],VOL_VOLUMEN_SUMINISTROS[[#This Row],[FIN DE SEMANA]])</f>
        <v>1052-1TNO</v>
      </c>
      <c r="D1834" s="365" t="str">
        <f>CONCATENATE(VOL_VOLUMEN_SUMINISTROS[[#This Row],[Grupo]],VOL_VOLUMEN_SUMINISTROS[[#This Row],[Proyecto]],VOL_VOLUMEN_SUMINISTROS[[#This Row],[FIN DE SEMANA]])</f>
        <v>231052-1NO</v>
      </c>
      <c r="E1834" s="30" t="s">
        <v>147</v>
      </c>
      <c r="F1834" s="30" t="s">
        <v>148</v>
      </c>
      <c r="G1834" s="365">
        <v>23</v>
      </c>
      <c r="H1834" s="30">
        <v>19</v>
      </c>
      <c r="I1834" s="9" t="s">
        <v>250</v>
      </c>
      <c r="J1834" s="9" t="s">
        <v>1297</v>
      </c>
      <c r="K1834" s="30">
        <v>1</v>
      </c>
      <c r="L1834" s="9" t="s">
        <v>1298</v>
      </c>
      <c r="M1834" s="30" t="s">
        <v>84</v>
      </c>
      <c r="N1834" s="30" t="s">
        <v>155</v>
      </c>
      <c r="O1834" s="24">
        <v>0</v>
      </c>
      <c r="P1834" s="24">
        <v>138</v>
      </c>
      <c r="Q1834" s="24">
        <v>46</v>
      </c>
      <c r="R1834" s="24">
        <v>0</v>
      </c>
      <c r="S1834" s="24">
        <v>0</v>
      </c>
      <c r="T1834" s="24">
        <v>184</v>
      </c>
    </row>
    <row r="1835" spans="1:20">
      <c r="A1835" s="9" t="s">
        <v>1234</v>
      </c>
      <c r="B1835" s="30" t="s">
        <v>1265</v>
      </c>
      <c r="C1835" s="30" t="str">
        <f>CONCATENATE(VOL_VOLUMEN_SUMINISTROS[[#This Row],[Proyecto]],VOL_VOLUMEN_SUMINISTROS[[#This Row],[J]],VOL_VOLUMEN_SUMINISTROS[[#This Row],[FIN DE SEMANA]])</f>
        <v>1052-1MNO</v>
      </c>
      <c r="D1835" s="365" t="str">
        <f>CONCATENATE(VOL_VOLUMEN_SUMINISTROS[[#This Row],[Grupo]],VOL_VOLUMEN_SUMINISTROS[[#This Row],[Proyecto]],VOL_VOLUMEN_SUMINISTROS[[#This Row],[FIN DE SEMANA]])</f>
        <v>231052-1NO</v>
      </c>
      <c r="E1835" s="30" t="s">
        <v>147</v>
      </c>
      <c r="F1835" s="30" t="s">
        <v>148</v>
      </c>
      <c r="G1835" s="365">
        <v>23</v>
      </c>
      <c r="H1835" s="30">
        <v>19</v>
      </c>
      <c r="I1835" s="9" t="s">
        <v>250</v>
      </c>
      <c r="J1835" s="9" t="s">
        <v>1297</v>
      </c>
      <c r="K1835" s="30">
        <v>2</v>
      </c>
      <c r="L1835" s="9" t="s">
        <v>1299</v>
      </c>
      <c r="M1835" s="30" t="s">
        <v>84</v>
      </c>
      <c r="N1835" s="30" t="s">
        <v>152</v>
      </c>
      <c r="O1835" s="24">
        <v>222</v>
      </c>
      <c r="P1835" s="24">
        <v>107</v>
      </c>
      <c r="Q1835" s="24">
        <v>15</v>
      </c>
      <c r="R1835" s="24">
        <v>0</v>
      </c>
      <c r="S1835" s="24">
        <v>0</v>
      </c>
      <c r="T1835" s="24">
        <v>344</v>
      </c>
    </row>
    <row r="1836" spans="1:20">
      <c r="A1836" s="9" t="s">
        <v>1234</v>
      </c>
      <c r="B1836" s="30" t="s">
        <v>1265</v>
      </c>
      <c r="C1836" s="30" t="str">
        <f>CONCATENATE(VOL_VOLUMEN_SUMINISTROS[[#This Row],[Proyecto]],VOL_VOLUMEN_SUMINISTROS[[#This Row],[J]],VOL_VOLUMEN_SUMINISTROS[[#This Row],[FIN DE SEMANA]])</f>
        <v>1052-1TNO</v>
      </c>
      <c r="D1836" s="365" t="str">
        <f>CONCATENATE(VOL_VOLUMEN_SUMINISTROS[[#This Row],[Grupo]],VOL_VOLUMEN_SUMINISTROS[[#This Row],[Proyecto]],VOL_VOLUMEN_SUMINISTROS[[#This Row],[FIN DE SEMANA]])</f>
        <v>231052-1NO</v>
      </c>
      <c r="E1836" s="30" t="s">
        <v>147</v>
      </c>
      <c r="F1836" s="30" t="s">
        <v>148</v>
      </c>
      <c r="G1836" s="365">
        <v>23</v>
      </c>
      <c r="H1836" s="30">
        <v>19</v>
      </c>
      <c r="I1836" s="9" t="s">
        <v>250</v>
      </c>
      <c r="J1836" s="9" t="s">
        <v>1297</v>
      </c>
      <c r="K1836" s="30">
        <v>2</v>
      </c>
      <c r="L1836" s="9" t="s">
        <v>1299</v>
      </c>
      <c r="M1836" s="30" t="s">
        <v>84</v>
      </c>
      <c r="N1836" s="30" t="s">
        <v>155</v>
      </c>
      <c r="O1836" s="24">
        <v>232</v>
      </c>
      <c r="P1836" s="24">
        <v>93</v>
      </c>
      <c r="Q1836" s="24">
        <v>8</v>
      </c>
      <c r="R1836" s="24">
        <v>0</v>
      </c>
      <c r="S1836" s="24">
        <v>0</v>
      </c>
      <c r="T1836" s="24">
        <v>333</v>
      </c>
    </row>
    <row r="1837" spans="1:20">
      <c r="A1837" s="9" t="s">
        <v>1234</v>
      </c>
      <c r="B1837" s="30" t="s">
        <v>1300</v>
      </c>
      <c r="C1837" s="30" t="str">
        <f>CONCATENATE(VOL_VOLUMEN_SUMINISTROS[[#This Row],[Proyecto]],VOL_VOLUMEN_SUMINISTROS[[#This Row],[J]],VOL_VOLUMEN_SUMINISTROS[[#This Row],[FIN DE SEMANA]])</f>
        <v>1052-2MNO</v>
      </c>
      <c r="D1837" s="365" t="str">
        <f>CONCATENATE(VOL_VOLUMEN_SUMINISTROS[[#This Row],[Grupo]],VOL_VOLUMEN_SUMINISTROS[[#This Row],[Proyecto]],VOL_VOLUMEN_SUMINISTROS[[#This Row],[FIN DE SEMANA]])</f>
        <v>61052-2NO</v>
      </c>
      <c r="E1837" s="30" t="s">
        <v>183</v>
      </c>
      <c r="F1837" s="30" t="s">
        <v>148</v>
      </c>
      <c r="G1837" s="365">
        <v>6</v>
      </c>
      <c r="H1837" s="30">
        <v>19</v>
      </c>
      <c r="I1837" s="9" t="s">
        <v>250</v>
      </c>
      <c r="J1837" s="9" t="s">
        <v>1238</v>
      </c>
      <c r="K1837" s="30">
        <v>6</v>
      </c>
      <c r="L1837" s="9" t="s">
        <v>1301</v>
      </c>
      <c r="M1837" s="30" t="s">
        <v>84</v>
      </c>
      <c r="N1837" s="30" t="s">
        <v>152</v>
      </c>
      <c r="O1837" s="24">
        <v>0</v>
      </c>
      <c r="P1837" s="24">
        <v>135</v>
      </c>
      <c r="Q1837" s="24">
        <v>45</v>
      </c>
      <c r="R1837" s="24">
        <v>0</v>
      </c>
      <c r="S1837" s="24">
        <v>0</v>
      </c>
      <c r="T1837" s="24">
        <v>180</v>
      </c>
    </row>
    <row r="1838" spans="1:20">
      <c r="A1838" s="9" t="s">
        <v>1234</v>
      </c>
      <c r="B1838" s="30" t="s">
        <v>1300</v>
      </c>
      <c r="C1838" s="30" t="str">
        <f>CONCATENATE(VOL_VOLUMEN_SUMINISTROS[[#This Row],[Proyecto]],VOL_VOLUMEN_SUMINISTROS[[#This Row],[J]],VOL_VOLUMEN_SUMINISTROS[[#This Row],[FIN DE SEMANA]])</f>
        <v>1052-2M1NO</v>
      </c>
      <c r="D1838" s="365" t="str">
        <f>CONCATENATE(VOL_VOLUMEN_SUMINISTROS[[#This Row],[Grupo]],VOL_VOLUMEN_SUMINISTROS[[#This Row],[Proyecto]],VOL_VOLUMEN_SUMINISTROS[[#This Row],[FIN DE SEMANA]])</f>
        <v>61052-2NO</v>
      </c>
      <c r="E1838" s="30" t="s">
        <v>183</v>
      </c>
      <c r="F1838" s="30" t="s">
        <v>148</v>
      </c>
      <c r="G1838" s="365">
        <v>6</v>
      </c>
      <c r="H1838" s="30">
        <v>19</v>
      </c>
      <c r="I1838" s="9" t="s">
        <v>250</v>
      </c>
      <c r="J1838" s="9" t="s">
        <v>1238</v>
      </c>
      <c r="K1838" s="30">
        <v>6</v>
      </c>
      <c r="L1838" s="9" t="s">
        <v>1301</v>
      </c>
      <c r="M1838" s="30" t="s">
        <v>84</v>
      </c>
      <c r="N1838" s="30" t="s">
        <v>216</v>
      </c>
      <c r="O1838" s="24">
        <v>0</v>
      </c>
      <c r="P1838" s="24">
        <v>0</v>
      </c>
      <c r="Q1838" s="24">
        <v>141</v>
      </c>
      <c r="R1838" s="24">
        <v>0</v>
      </c>
      <c r="S1838" s="24">
        <v>0</v>
      </c>
      <c r="T1838" s="24">
        <v>141</v>
      </c>
    </row>
    <row r="1839" spans="1:20">
      <c r="A1839" s="9" t="s">
        <v>1234</v>
      </c>
      <c r="B1839" s="30" t="s">
        <v>1300</v>
      </c>
      <c r="C1839" s="30" t="str">
        <f>CONCATENATE(VOL_VOLUMEN_SUMINISTROS[[#This Row],[Proyecto]],VOL_VOLUMEN_SUMINISTROS[[#This Row],[J]],VOL_VOLUMEN_SUMINISTROS[[#This Row],[FIN DE SEMANA]])</f>
        <v>1052-2TNO</v>
      </c>
      <c r="D1839" s="365" t="str">
        <f>CONCATENATE(VOL_VOLUMEN_SUMINISTROS[[#This Row],[Grupo]],VOL_VOLUMEN_SUMINISTROS[[#This Row],[Proyecto]],VOL_VOLUMEN_SUMINISTROS[[#This Row],[FIN DE SEMANA]])</f>
        <v>61052-2NO</v>
      </c>
      <c r="E1839" s="30" t="s">
        <v>183</v>
      </c>
      <c r="F1839" s="30" t="s">
        <v>148</v>
      </c>
      <c r="G1839" s="365">
        <v>6</v>
      </c>
      <c r="H1839" s="30">
        <v>19</v>
      </c>
      <c r="I1839" s="9" t="s">
        <v>250</v>
      </c>
      <c r="J1839" s="9" t="s">
        <v>1238</v>
      </c>
      <c r="K1839" s="30">
        <v>6</v>
      </c>
      <c r="L1839" s="9" t="s">
        <v>1301</v>
      </c>
      <c r="M1839" s="30" t="s">
        <v>84</v>
      </c>
      <c r="N1839" s="30" t="s">
        <v>155</v>
      </c>
      <c r="O1839" s="24">
        <v>0</v>
      </c>
      <c r="P1839" s="24">
        <v>0</v>
      </c>
      <c r="Q1839" s="24">
        <v>324</v>
      </c>
      <c r="R1839" s="24">
        <v>0</v>
      </c>
      <c r="S1839" s="24">
        <v>0</v>
      </c>
      <c r="T1839" s="24">
        <v>324</v>
      </c>
    </row>
    <row r="1840" spans="1:20">
      <c r="A1840" s="9" t="s">
        <v>1234</v>
      </c>
      <c r="B1840" s="30" t="s">
        <v>1300</v>
      </c>
      <c r="C1840" s="30" t="str">
        <f>CONCATENATE(VOL_VOLUMEN_SUMINISTROS[[#This Row],[Proyecto]],VOL_VOLUMEN_SUMINISTROS[[#This Row],[J]],VOL_VOLUMEN_SUMINISTROS[[#This Row],[FIN DE SEMANA]])</f>
        <v>1052-2MNO</v>
      </c>
      <c r="D1840" s="365" t="str">
        <f>CONCATENATE(VOL_VOLUMEN_SUMINISTROS[[#This Row],[Grupo]],VOL_VOLUMEN_SUMINISTROS[[#This Row],[Proyecto]],VOL_VOLUMEN_SUMINISTROS[[#This Row],[FIN DE SEMANA]])</f>
        <v>231052-2NO</v>
      </c>
      <c r="E1840" s="30" t="s">
        <v>183</v>
      </c>
      <c r="F1840" s="30" t="s">
        <v>148</v>
      </c>
      <c r="G1840" s="365">
        <v>23</v>
      </c>
      <c r="H1840" s="30">
        <v>19</v>
      </c>
      <c r="I1840" s="9" t="s">
        <v>250</v>
      </c>
      <c r="J1840" s="9" t="s">
        <v>1289</v>
      </c>
      <c r="K1840" s="30">
        <v>1</v>
      </c>
      <c r="L1840" s="9" t="s">
        <v>1290</v>
      </c>
      <c r="M1840" s="30" t="s">
        <v>84</v>
      </c>
      <c r="N1840" s="30" t="s">
        <v>152</v>
      </c>
      <c r="O1840" s="24">
        <v>50</v>
      </c>
      <c r="P1840" s="24">
        <v>97</v>
      </c>
      <c r="Q1840" s="24">
        <v>24</v>
      </c>
      <c r="R1840" s="24">
        <v>0</v>
      </c>
      <c r="S1840" s="24">
        <v>0</v>
      </c>
      <c r="T1840" s="24">
        <v>171</v>
      </c>
    </row>
    <row r="1841" spans="1:20">
      <c r="A1841" s="9" t="s">
        <v>1234</v>
      </c>
      <c r="B1841" s="30" t="s">
        <v>1300</v>
      </c>
      <c r="C1841" s="30" t="str">
        <f>CONCATENATE(VOL_VOLUMEN_SUMINISTROS[[#This Row],[Proyecto]],VOL_VOLUMEN_SUMINISTROS[[#This Row],[J]],VOL_VOLUMEN_SUMINISTROS[[#This Row],[FIN DE SEMANA]])</f>
        <v>1052-2TNO</v>
      </c>
      <c r="D1841" s="365" t="str">
        <f>CONCATENATE(VOL_VOLUMEN_SUMINISTROS[[#This Row],[Grupo]],VOL_VOLUMEN_SUMINISTROS[[#This Row],[Proyecto]],VOL_VOLUMEN_SUMINISTROS[[#This Row],[FIN DE SEMANA]])</f>
        <v>231052-2NO</v>
      </c>
      <c r="E1841" s="30" t="s">
        <v>183</v>
      </c>
      <c r="F1841" s="30" t="s">
        <v>148</v>
      </c>
      <c r="G1841" s="365">
        <v>23</v>
      </c>
      <c r="H1841" s="30">
        <v>19</v>
      </c>
      <c r="I1841" s="9" t="s">
        <v>250</v>
      </c>
      <c r="J1841" s="9" t="s">
        <v>1289</v>
      </c>
      <c r="K1841" s="30">
        <v>1</v>
      </c>
      <c r="L1841" s="9" t="s">
        <v>1290</v>
      </c>
      <c r="M1841" s="30" t="s">
        <v>84</v>
      </c>
      <c r="N1841" s="30" t="s">
        <v>155</v>
      </c>
      <c r="O1841" s="24">
        <v>68</v>
      </c>
      <c r="P1841" s="24">
        <v>73</v>
      </c>
      <c r="Q1841" s="24">
        <v>13</v>
      </c>
      <c r="R1841" s="24">
        <v>0</v>
      </c>
      <c r="S1841" s="24">
        <v>0</v>
      </c>
      <c r="T1841" s="24">
        <v>154</v>
      </c>
    </row>
    <row r="1842" spans="1:20">
      <c r="A1842" s="9" t="s">
        <v>1234</v>
      </c>
      <c r="B1842" s="30" t="s">
        <v>1300</v>
      </c>
      <c r="C1842" s="30" t="str">
        <f>CONCATENATE(VOL_VOLUMEN_SUMINISTROS[[#This Row],[Proyecto]],VOL_VOLUMEN_SUMINISTROS[[#This Row],[J]],VOL_VOLUMEN_SUMINISTROS[[#This Row],[FIN DE SEMANA]])</f>
        <v>1052-2MNO</v>
      </c>
      <c r="D1842" s="365" t="str">
        <f>CONCATENATE(VOL_VOLUMEN_SUMINISTROS[[#This Row],[Grupo]],VOL_VOLUMEN_SUMINISTROS[[#This Row],[Proyecto]],VOL_VOLUMEN_SUMINISTROS[[#This Row],[FIN DE SEMANA]])</f>
        <v>231052-2NO</v>
      </c>
      <c r="E1842" s="30" t="s">
        <v>183</v>
      </c>
      <c r="F1842" s="30" t="s">
        <v>148</v>
      </c>
      <c r="G1842" s="365">
        <v>23</v>
      </c>
      <c r="H1842" s="30">
        <v>19</v>
      </c>
      <c r="I1842" s="9" t="s">
        <v>250</v>
      </c>
      <c r="J1842" s="9" t="s">
        <v>1289</v>
      </c>
      <c r="K1842" s="30">
        <v>3</v>
      </c>
      <c r="L1842" s="9" t="s">
        <v>458</v>
      </c>
      <c r="M1842" s="30" t="s">
        <v>84</v>
      </c>
      <c r="N1842" s="30" t="s">
        <v>152</v>
      </c>
      <c r="O1842" s="24">
        <v>68</v>
      </c>
      <c r="P1842" s="24">
        <v>154</v>
      </c>
      <c r="Q1842" s="24">
        <v>80</v>
      </c>
      <c r="R1842" s="24">
        <v>0</v>
      </c>
      <c r="S1842" s="24">
        <v>0</v>
      </c>
      <c r="T1842" s="24">
        <v>302</v>
      </c>
    </row>
    <row r="1843" spans="1:20">
      <c r="A1843" s="9" t="s">
        <v>1234</v>
      </c>
      <c r="B1843" s="30" t="s">
        <v>1300</v>
      </c>
      <c r="C1843" s="30" t="str">
        <f>CONCATENATE(VOL_VOLUMEN_SUMINISTROS[[#This Row],[Proyecto]],VOL_VOLUMEN_SUMINISTROS[[#This Row],[J]],VOL_VOLUMEN_SUMINISTROS[[#This Row],[FIN DE SEMANA]])</f>
        <v>1052-2TNO</v>
      </c>
      <c r="D1843" s="365" t="str">
        <f>CONCATENATE(VOL_VOLUMEN_SUMINISTROS[[#This Row],[Grupo]],VOL_VOLUMEN_SUMINISTROS[[#This Row],[Proyecto]],VOL_VOLUMEN_SUMINISTROS[[#This Row],[FIN DE SEMANA]])</f>
        <v>231052-2NO</v>
      </c>
      <c r="E1843" s="30" t="s">
        <v>183</v>
      </c>
      <c r="F1843" s="30" t="s">
        <v>148</v>
      </c>
      <c r="G1843" s="365">
        <v>23</v>
      </c>
      <c r="H1843" s="30">
        <v>19</v>
      </c>
      <c r="I1843" s="9" t="s">
        <v>250</v>
      </c>
      <c r="J1843" s="9" t="s">
        <v>1289</v>
      </c>
      <c r="K1843" s="30">
        <v>3</v>
      </c>
      <c r="L1843" s="9" t="s">
        <v>458</v>
      </c>
      <c r="M1843" s="30" t="s">
        <v>84</v>
      </c>
      <c r="N1843" s="30" t="s">
        <v>155</v>
      </c>
      <c r="O1843" s="24">
        <v>150</v>
      </c>
      <c r="P1843" s="24">
        <v>207</v>
      </c>
      <c r="Q1843" s="24">
        <v>94</v>
      </c>
      <c r="R1843" s="24">
        <v>0</v>
      </c>
      <c r="S1843" s="24">
        <v>0</v>
      </c>
      <c r="T1843" s="24">
        <v>451</v>
      </c>
    </row>
    <row r="1844" spans="1:20">
      <c r="A1844" s="9" t="s">
        <v>1234</v>
      </c>
      <c r="B1844" s="30" t="s">
        <v>1300</v>
      </c>
      <c r="C1844" s="30" t="str">
        <f>CONCATENATE(VOL_VOLUMEN_SUMINISTROS[[#This Row],[Proyecto]],VOL_VOLUMEN_SUMINISTROS[[#This Row],[J]],VOL_VOLUMEN_SUMINISTROS[[#This Row],[FIN DE SEMANA]])</f>
        <v>1052-2M1NO</v>
      </c>
      <c r="D1844" s="365" t="str">
        <f>CONCATENATE(VOL_VOLUMEN_SUMINISTROS[[#This Row],[Grupo]],VOL_VOLUMEN_SUMINISTROS[[#This Row],[Proyecto]],VOL_VOLUMEN_SUMINISTROS[[#This Row],[FIN DE SEMANA]])</f>
        <v>231052-2NO</v>
      </c>
      <c r="E1844" s="30" t="s">
        <v>183</v>
      </c>
      <c r="F1844" s="30" t="s">
        <v>148</v>
      </c>
      <c r="G1844" s="365">
        <v>23</v>
      </c>
      <c r="H1844" s="30">
        <v>19</v>
      </c>
      <c r="I1844" s="9" t="s">
        <v>250</v>
      </c>
      <c r="J1844" s="9" t="s">
        <v>1292</v>
      </c>
      <c r="K1844" s="30">
        <v>1</v>
      </c>
      <c r="L1844" s="9" t="s">
        <v>1293</v>
      </c>
      <c r="M1844" s="30" t="s">
        <v>84</v>
      </c>
      <c r="N1844" s="30" t="s">
        <v>216</v>
      </c>
      <c r="O1844" s="24">
        <v>122</v>
      </c>
      <c r="P1844" s="24">
        <v>169</v>
      </c>
      <c r="Q1844" s="24">
        <v>112</v>
      </c>
      <c r="R1844" s="24">
        <v>0</v>
      </c>
      <c r="S1844" s="24">
        <v>0</v>
      </c>
      <c r="T1844" s="24">
        <v>403</v>
      </c>
    </row>
    <row r="1845" spans="1:20">
      <c r="A1845" s="9" t="s">
        <v>1234</v>
      </c>
      <c r="B1845" s="30" t="s">
        <v>1300</v>
      </c>
      <c r="C1845" s="30" t="str">
        <f>CONCATENATE(VOL_VOLUMEN_SUMINISTROS[[#This Row],[Proyecto]],VOL_VOLUMEN_SUMINISTROS[[#This Row],[J]],VOL_VOLUMEN_SUMINISTROS[[#This Row],[FIN DE SEMANA]])</f>
        <v>1052-2M1NO</v>
      </c>
      <c r="D1845" s="365" t="str">
        <f>CONCATENATE(VOL_VOLUMEN_SUMINISTROS[[#This Row],[Grupo]],VOL_VOLUMEN_SUMINISTROS[[#This Row],[Proyecto]],VOL_VOLUMEN_SUMINISTROS[[#This Row],[FIN DE SEMANA]])</f>
        <v>231052-2NO</v>
      </c>
      <c r="E1845" s="30" t="s">
        <v>183</v>
      </c>
      <c r="F1845" s="30" t="s">
        <v>148</v>
      </c>
      <c r="G1845" s="365">
        <v>23</v>
      </c>
      <c r="H1845" s="30">
        <v>19</v>
      </c>
      <c r="I1845" s="9" t="s">
        <v>250</v>
      </c>
      <c r="J1845" s="9" t="s">
        <v>1292</v>
      </c>
      <c r="K1845" s="30">
        <v>2</v>
      </c>
      <c r="L1845" s="9" t="s">
        <v>1294</v>
      </c>
      <c r="M1845" s="30" t="s">
        <v>84</v>
      </c>
      <c r="N1845" s="30" t="s">
        <v>216</v>
      </c>
      <c r="O1845" s="24">
        <v>88</v>
      </c>
      <c r="P1845" s="24">
        <v>92</v>
      </c>
      <c r="Q1845" s="24">
        <v>16</v>
      </c>
      <c r="R1845" s="24">
        <v>0</v>
      </c>
      <c r="S1845" s="24">
        <v>0</v>
      </c>
      <c r="T1845" s="24">
        <v>196</v>
      </c>
    </row>
    <row r="1846" spans="1:20">
      <c r="A1846" s="9" t="s">
        <v>1234</v>
      </c>
      <c r="B1846" s="30" t="s">
        <v>1300</v>
      </c>
      <c r="C1846" s="30" t="str">
        <f>CONCATENATE(VOL_VOLUMEN_SUMINISTROS[[#This Row],[Proyecto]],VOL_VOLUMEN_SUMINISTROS[[#This Row],[J]],VOL_VOLUMEN_SUMINISTROS[[#This Row],[FIN DE SEMANA]])</f>
        <v>1052-2M1NO</v>
      </c>
      <c r="D1846" s="365" t="str">
        <f>CONCATENATE(VOL_VOLUMEN_SUMINISTROS[[#This Row],[Grupo]],VOL_VOLUMEN_SUMINISTROS[[#This Row],[Proyecto]],VOL_VOLUMEN_SUMINISTROS[[#This Row],[FIN DE SEMANA]])</f>
        <v>231052-2NO</v>
      </c>
      <c r="E1846" s="30" t="s">
        <v>183</v>
      </c>
      <c r="F1846" s="30" t="s">
        <v>148</v>
      </c>
      <c r="G1846" s="365">
        <v>23</v>
      </c>
      <c r="H1846" s="30">
        <v>19</v>
      </c>
      <c r="I1846" s="9" t="s">
        <v>250</v>
      </c>
      <c r="J1846" s="9" t="s">
        <v>1297</v>
      </c>
      <c r="K1846" s="30">
        <v>1</v>
      </c>
      <c r="L1846" s="9" t="s">
        <v>1298</v>
      </c>
      <c r="M1846" s="30" t="s">
        <v>84</v>
      </c>
      <c r="N1846" s="30" t="s">
        <v>216</v>
      </c>
      <c r="O1846" s="24">
        <v>0</v>
      </c>
      <c r="P1846" s="24">
        <v>81</v>
      </c>
      <c r="Q1846" s="24">
        <v>27</v>
      </c>
      <c r="R1846" s="24">
        <v>0</v>
      </c>
      <c r="S1846" s="24">
        <v>0</v>
      </c>
      <c r="T1846" s="24">
        <v>108</v>
      </c>
    </row>
    <row r="1847" spans="1:20">
      <c r="A1847" s="9" t="s">
        <v>1234</v>
      </c>
      <c r="B1847" s="30" t="s">
        <v>1300</v>
      </c>
      <c r="C1847" s="30" t="str">
        <f>CONCATENATE(VOL_VOLUMEN_SUMINISTROS[[#This Row],[Proyecto]],VOL_VOLUMEN_SUMINISTROS[[#This Row],[J]],VOL_VOLUMEN_SUMINISTROS[[#This Row],[FIN DE SEMANA]])</f>
        <v>1052-2TNO</v>
      </c>
      <c r="D1847" s="365" t="str">
        <f>CONCATENATE(VOL_VOLUMEN_SUMINISTROS[[#This Row],[Grupo]],VOL_VOLUMEN_SUMINISTROS[[#This Row],[Proyecto]],VOL_VOLUMEN_SUMINISTROS[[#This Row],[FIN DE SEMANA]])</f>
        <v>231052-2NO</v>
      </c>
      <c r="E1847" s="30" t="s">
        <v>183</v>
      </c>
      <c r="F1847" s="30" t="s">
        <v>148</v>
      </c>
      <c r="G1847" s="365">
        <v>23</v>
      </c>
      <c r="H1847" s="30">
        <v>19</v>
      </c>
      <c r="I1847" s="9" t="s">
        <v>250</v>
      </c>
      <c r="J1847" s="9" t="s">
        <v>1297</v>
      </c>
      <c r="K1847" s="30">
        <v>1</v>
      </c>
      <c r="L1847" s="9" t="s">
        <v>1298</v>
      </c>
      <c r="M1847" s="30" t="s">
        <v>84</v>
      </c>
      <c r="N1847" s="30" t="s">
        <v>155</v>
      </c>
      <c r="O1847" s="24">
        <v>0</v>
      </c>
      <c r="P1847" s="24">
        <v>0</v>
      </c>
      <c r="Q1847" s="24">
        <v>112</v>
      </c>
      <c r="R1847" s="24">
        <v>0</v>
      </c>
      <c r="S1847" s="24">
        <v>0</v>
      </c>
      <c r="T1847" s="24">
        <v>112</v>
      </c>
    </row>
    <row r="1848" spans="1:20">
      <c r="A1848" s="9" t="s">
        <v>1234</v>
      </c>
      <c r="B1848" s="30" t="s">
        <v>1302</v>
      </c>
      <c r="C1848" s="30" t="str">
        <f>CONCATENATE(VOL_VOLUMEN_SUMINISTROS[[#This Row],[Proyecto]],VOL_VOLUMEN_SUMINISTROS[[#This Row],[J]],VOL_VOLUMEN_SUMINISTROS[[#This Row],[FIN DE SEMANA]])</f>
        <v>1052-2MNO</v>
      </c>
      <c r="D1848" s="365" t="str">
        <f>CONCATENATE(VOL_VOLUMEN_SUMINISTROS[[#This Row],[Grupo]],VOL_VOLUMEN_SUMINISTROS[[#This Row],[Proyecto]],VOL_VOLUMEN_SUMINISTROS[[#This Row],[FIN DE SEMANA]])</f>
        <v>221052-2NO</v>
      </c>
      <c r="E1848" s="30" t="s">
        <v>183</v>
      </c>
      <c r="F1848" s="30" t="s">
        <v>148</v>
      </c>
      <c r="G1848" s="365">
        <v>22</v>
      </c>
      <c r="H1848" s="30">
        <v>19</v>
      </c>
      <c r="I1848" s="9" t="s">
        <v>250</v>
      </c>
      <c r="J1848" s="9" t="s">
        <v>1240</v>
      </c>
      <c r="K1848" s="30">
        <v>1</v>
      </c>
      <c r="L1848" s="9" t="s">
        <v>1241</v>
      </c>
      <c r="M1848" s="30" t="s">
        <v>84</v>
      </c>
      <c r="N1848" s="30" t="s">
        <v>152</v>
      </c>
      <c r="O1848" s="24">
        <v>0</v>
      </c>
      <c r="P1848" s="24">
        <v>0</v>
      </c>
      <c r="Q1848" s="24">
        <v>132</v>
      </c>
      <c r="R1848" s="24">
        <v>0</v>
      </c>
      <c r="S1848" s="24">
        <v>0</v>
      </c>
      <c r="T1848" s="24">
        <v>132</v>
      </c>
    </row>
    <row r="1849" spans="1:20">
      <c r="A1849" s="9" t="s">
        <v>1234</v>
      </c>
      <c r="B1849" s="30" t="s">
        <v>1302</v>
      </c>
      <c r="C1849" s="30" t="str">
        <f>CONCATENATE(VOL_VOLUMEN_SUMINISTROS[[#This Row],[Proyecto]],VOL_VOLUMEN_SUMINISTROS[[#This Row],[J]],VOL_VOLUMEN_SUMINISTROS[[#This Row],[FIN DE SEMANA]])</f>
        <v>1052-2MNO</v>
      </c>
      <c r="D1849" s="365" t="str">
        <f>CONCATENATE(VOL_VOLUMEN_SUMINISTROS[[#This Row],[Grupo]],VOL_VOLUMEN_SUMINISTROS[[#This Row],[Proyecto]],VOL_VOLUMEN_SUMINISTROS[[#This Row],[FIN DE SEMANA]])</f>
        <v>231052-2NO</v>
      </c>
      <c r="E1849" s="30" t="s">
        <v>183</v>
      </c>
      <c r="F1849" s="30" t="s">
        <v>148</v>
      </c>
      <c r="G1849" s="365">
        <v>23</v>
      </c>
      <c r="H1849" s="30">
        <v>19</v>
      </c>
      <c r="I1849" s="9" t="s">
        <v>250</v>
      </c>
      <c r="J1849" s="9" t="s">
        <v>1272</v>
      </c>
      <c r="K1849" s="30">
        <v>1</v>
      </c>
      <c r="L1849" s="9" t="s">
        <v>1273</v>
      </c>
      <c r="M1849" s="30" t="s">
        <v>84</v>
      </c>
      <c r="N1849" s="30" t="s">
        <v>152</v>
      </c>
      <c r="O1849" s="24">
        <v>0</v>
      </c>
      <c r="P1849" s="24">
        <v>0</v>
      </c>
      <c r="Q1849" s="24">
        <v>60</v>
      </c>
      <c r="R1849" s="24">
        <v>0</v>
      </c>
      <c r="S1849" s="24">
        <v>0</v>
      </c>
      <c r="T1849" s="24">
        <v>60</v>
      </c>
    </row>
    <row r="1850" spans="1:20">
      <c r="A1850" s="9" t="s">
        <v>1234</v>
      </c>
      <c r="B1850" s="30" t="s">
        <v>1302</v>
      </c>
      <c r="C1850" s="30" t="str">
        <f>CONCATENATE(VOL_VOLUMEN_SUMINISTROS[[#This Row],[Proyecto]],VOL_VOLUMEN_SUMINISTROS[[#This Row],[J]],VOL_VOLUMEN_SUMINISTROS[[#This Row],[FIN DE SEMANA]])</f>
        <v>1052-2TNO</v>
      </c>
      <c r="D1850" s="365" t="str">
        <f>CONCATENATE(VOL_VOLUMEN_SUMINISTROS[[#This Row],[Grupo]],VOL_VOLUMEN_SUMINISTROS[[#This Row],[Proyecto]],VOL_VOLUMEN_SUMINISTROS[[#This Row],[FIN DE SEMANA]])</f>
        <v>231052-2NO</v>
      </c>
      <c r="E1850" s="30" t="s">
        <v>183</v>
      </c>
      <c r="F1850" s="30" t="s">
        <v>148</v>
      </c>
      <c r="G1850" s="365">
        <v>23</v>
      </c>
      <c r="H1850" s="30">
        <v>19</v>
      </c>
      <c r="I1850" s="9" t="s">
        <v>250</v>
      </c>
      <c r="J1850" s="9" t="s">
        <v>1272</v>
      </c>
      <c r="K1850" s="30">
        <v>1</v>
      </c>
      <c r="L1850" s="9" t="s">
        <v>1273</v>
      </c>
      <c r="M1850" s="30" t="s">
        <v>84</v>
      </c>
      <c r="N1850" s="30" t="s">
        <v>155</v>
      </c>
      <c r="O1850" s="24">
        <v>0</v>
      </c>
      <c r="P1850" s="24">
        <v>0</v>
      </c>
      <c r="Q1850" s="24">
        <v>75</v>
      </c>
      <c r="R1850" s="24">
        <v>0</v>
      </c>
      <c r="S1850" s="24">
        <v>0</v>
      </c>
      <c r="T1850" s="24">
        <v>75</v>
      </c>
    </row>
    <row r="1851" spans="1:20">
      <c r="A1851" s="9" t="s">
        <v>1234</v>
      </c>
      <c r="B1851" s="30" t="s">
        <v>1302</v>
      </c>
      <c r="C1851" s="30" t="str">
        <f>CONCATENATE(VOL_VOLUMEN_SUMINISTROS[[#This Row],[Proyecto]],VOL_VOLUMEN_SUMINISTROS[[#This Row],[J]],VOL_VOLUMEN_SUMINISTROS[[#This Row],[FIN DE SEMANA]])</f>
        <v>1052-2MNO</v>
      </c>
      <c r="D1851" s="365" t="str">
        <f>CONCATENATE(VOL_VOLUMEN_SUMINISTROS[[#This Row],[Grupo]],VOL_VOLUMEN_SUMINISTROS[[#This Row],[Proyecto]],VOL_VOLUMEN_SUMINISTROS[[#This Row],[FIN DE SEMANA]])</f>
        <v>231052-2NO</v>
      </c>
      <c r="E1851" s="30" t="s">
        <v>183</v>
      </c>
      <c r="F1851" s="30" t="s">
        <v>148</v>
      </c>
      <c r="G1851" s="365">
        <v>23</v>
      </c>
      <c r="H1851" s="30">
        <v>19</v>
      </c>
      <c r="I1851" s="9" t="s">
        <v>250</v>
      </c>
      <c r="J1851" s="9" t="s">
        <v>1272</v>
      </c>
      <c r="K1851" s="30">
        <v>2</v>
      </c>
      <c r="L1851" s="9" t="s">
        <v>1099</v>
      </c>
      <c r="M1851" s="30" t="s">
        <v>84</v>
      </c>
      <c r="N1851" s="30" t="s">
        <v>152</v>
      </c>
      <c r="O1851" s="24">
        <v>0</v>
      </c>
      <c r="P1851" s="24">
        <v>0</v>
      </c>
      <c r="Q1851" s="24">
        <v>27</v>
      </c>
      <c r="R1851" s="24">
        <v>0</v>
      </c>
      <c r="S1851" s="24">
        <v>0</v>
      </c>
      <c r="T1851" s="24">
        <v>27</v>
      </c>
    </row>
    <row r="1852" spans="1:20">
      <c r="A1852" s="9" t="s">
        <v>1234</v>
      </c>
      <c r="B1852" s="30" t="s">
        <v>1302</v>
      </c>
      <c r="C1852" s="30" t="str">
        <f>CONCATENATE(VOL_VOLUMEN_SUMINISTROS[[#This Row],[Proyecto]],VOL_VOLUMEN_SUMINISTROS[[#This Row],[J]],VOL_VOLUMEN_SUMINISTROS[[#This Row],[FIN DE SEMANA]])</f>
        <v>1052-2TNO</v>
      </c>
      <c r="D1852" s="365" t="str">
        <f>CONCATENATE(VOL_VOLUMEN_SUMINISTROS[[#This Row],[Grupo]],VOL_VOLUMEN_SUMINISTROS[[#This Row],[Proyecto]],VOL_VOLUMEN_SUMINISTROS[[#This Row],[FIN DE SEMANA]])</f>
        <v>231052-2NO</v>
      </c>
      <c r="E1852" s="30" t="s">
        <v>183</v>
      </c>
      <c r="F1852" s="30" t="s">
        <v>148</v>
      </c>
      <c r="G1852" s="365">
        <v>23</v>
      </c>
      <c r="H1852" s="30">
        <v>19</v>
      </c>
      <c r="I1852" s="9" t="s">
        <v>250</v>
      </c>
      <c r="J1852" s="9" t="s">
        <v>1272</v>
      </c>
      <c r="K1852" s="30">
        <v>2</v>
      </c>
      <c r="L1852" s="9" t="s">
        <v>1099</v>
      </c>
      <c r="M1852" s="30" t="s">
        <v>84</v>
      </c>
      <c r="N1852" s="30" t="s">
        <v>155</v>
      </c>
      <c r="O1852" s="24">
        <v>0</v>
      </c>
      <c r="P1852" s="24">
        <v>0</v>
      </c>
      <c r="Q1852" s="24">
        <v>25</v>
      </c>
      <c r="R1852" s="24">
        <v>0</v>
      </c>
      <c r="S1852" s="24">
        <v>0</v>
      </c>
      <c r="T1852" s="24">
        <v>25</v>
      </c>
    </row>
    <row r="1853" spans="1:20">
      <c r="A1853" s="9" t="s">
        <v>1234</v>
      </c>
      <c r="B1853" s="30" t="s">
        <v>1302</v>
      </c>
      <c r="C1853" s="30" t="str">
        <f>CONCATENATE(VOL_VOLUMEN_SUMINISTROS[[#This Row],[Proyecto]],VOL_VOLUMEN_SUMINISTROS[[#This Row],[J]],VOL_VOLUMEN_SUMINISTROS[[#This Row],[FIN DE SEMANA]])</f>
        <v>1052-2MNO</v>
      </c>
      <c r="D1853" s="365" t="str">
        <f>CONCATENATE(VOL_VOLUMEN_SUMINISTROS[[#This Row],[Grupo]],VOL_VOLUMEN_SUMINISTROS[[#This Row],[Proyecto]],VOL_VOLUMEN_SUMINISTROS[[#This Row],[FIN DE SEMANA]])</f>
        <v>231052-2NO</v>
      </c>
      <c r="E1853" s="30" t="s">
        <v>183</v>
      </c>
      <c r="F1853" s="30" t="s">
        <v>148</v>
      </c>
      <c r="G1853" s="365">
        <v>23</v>
      </c>
      <c r="H1853" s="30">
        <v>19</v>
      </c>
      <c r="I1853" s="9" t="s">
        <v>250</v>
      </c>
      <c r="J1853" s="9" t="s">
        <v>1274</v>
      </c>
      <c r="K1853" s="30">
        <v>1</v>
      </c>
      <c r="L1853" s="9" t="s">
        <v>1275</v>
      </c>
      <c r="M1853" s="30" t="s">
        <v>84</v>
      </c>
      <c r="N1853" s="30" t="s">
        <v>152</v>
      </c>
      <c r="O1853" s="24">
        <v>0</v>
      </c>
      <c r="P1853" s="24">
        <v>0</v>
      </c>
      <c r="Q1853" s="24">
        <v>65</v>
      </c>
      <c r="R1853" s="24">
        <v>0</v>
      </c>
      <c r="S1853" s="24">
        <v>0</v>
      </c>
      <c r="T1853" s="24">
        <v>65</v>
      </c>
    </row>
    <row r="1854" spans="1:20">
      <c r="A1854" s="9" t="s">
        <v>1234</v>
      </c>
      <c r="B1854" s="30" t="s">
        <v>1302</v>
      </c>
      <c r="C1854" s="30" t="str">
        <f>CONCATENATE(VOL_VOLUMEN_SUMINISTROS[[#This Row],[Proyecto]],VOL_VOLUMEN_SUMINISTROS[[#This Row],[J]],VOL_VOLUMEN_SUMINISTROS[[#This Row],[FIN DE SEMANA]])</f>
        <v>1052-2TNO</v>
      </c>
      <c r="D1854" s="365" t="str">
        <f>CONCATENATE(VOL_VOLUMEN_SUMINISTROS[[#This Row],[Grupo]],VOL_VOLUMEN_SUMINISTROS[[#This Row],[Proyecto]],VOL_VOLUMEN_SUMINISTROS[[#This Row],[FIN DE SEMANA]])</f>
        <v>231052-2NO</v>
      </c>
      <c r="E1854" s="30" t="s">
        <v>183</v>
      </c>
      <c r="F1854" s="30" t="s">
        <v>148</v>
      </c>
      <c r="G1854" s="365">
        <v>23</v>
      </c>
      <c r="H1854" s="30">
        <v>19</v>
      </c>
      <c r="I1854" s="9" t="s">
        <v>250</v>
      </c>
      <c r="J1854" s="9" t="s">
        <v>1274</v>
      </c>
      <c r="K1854" s="30">
        <v>1</v>
      </c>
      <c r="L1854" s="9" t="s">
        <v>1275</v>
      </c>
      <c r="M1854" s="30" t="s">
        <v>84</v>
      </c>
      <c r="N1854" s="30" t="s">
        <v>155</v>
      </c>
      <c r="O1854" s="24">
        <v>0</v>
      </c>
      <c r="P1854" s="24">
        <v>0</v>
      </c>
      <c r="Q1854" s="24">
        <v>70</v>
      </c>
      <c r="R1854" s="24">
        <v>0</v>
      </c>
      <c r="S1854" s="24">
        <v>0</v>
      </c>
      <c r="T1854" s="24">
        <v>70</v>
      </c>
    </row>
    <row r="1855" spans="1:20">
      <c r="A1855" s="9" t="s">
        <v>1234</v>
      </c>
      <c r="B1855" s="30" t="s">
        <v>1302</v>
      </c>
      <c r="C1855" s="30" t="str">
        <f>CONCATENATE(VOL_VOLUMEN_SUMINISTROS[[#This Row],[Proyecto]],VOL_VOLUMEN_SUMINISTROS[[#This Row],[J]],VOL_VOLUMEN_SUMINISTROS[[#This Row],[FIN DE SEMANA]])</f>
        <v>1052-2MNO</v>
      </c>
      <c r="D1855" s="365" t="str">
        <f>CONCATENATE(VOL_VOLUMEN_SUMINISTROS[[#This Row],[Grupo]],VOL_VOLUMEN_SUMINISTROS[[#This Row],[Proyecto]],VOL_VOLUMEN_SUMINISTROS[[#This Row],[FIN DE SEMANA]])</f>
        <v>231052-2NO</v>
      </c>
      <c r="E1855" s="30" t="s">
        <v>183</v>
      </c>
      <c r="F1855" s="30" t="s">
        <v>148</v>
      </c>
      <c r="G1855" s="365">
        <v>23</v>
      </c>
      <c r="H1855" s="30">
        <v>19</v>
      </c>
      <c r="I1855" s="9" t="s">
        <v>250</v>
      </c>
      <c r="J1855" s="9" t="s">
        <v>1276</v>
      </c>
      <c r="K1855" s="30">
        <v>1</v>
      </c>
      <c r="L1855" s="9" t="s">
        <v>1277</v>
      </c>
      <c r="M1855" s="30" t="s">
        <v>84</v>
      </c>
      <c r="N1855" s="30" t="s">
        <v>152</v>
      </c>
      <c r="O1855" s="24">
        <v>0</v>
      </c>
      <c r="P1855" s="24">
        <v>0</v>
      </c>
      <c r="Q1855" s="24">
        <v>45</v>
      </c>
      <c r="R1855" s="24">
        <v>0</v>
      </c>
      <c r="S1855" s="24">
        <v>0</v>
      </c>
      <c r="T1855" s="24">
        <v>45</v>
      </c>
    </row>
    <row r="1856" spans="1:20">
      <c r="A1856" s="9" t="s">
        <v>1234</v>
      </c>
      <c r="B1856" s="30" t="s">
        <v>1302</v>
      </c>
      <c r="C1856" s="30" t="str">
        <f>CONCATENATE(VOL_VOLUMEN_SUMINISTROS[[#This Row],[Proyecto]],VOL_VOLUMEN_SUMINISTROS[[#This Row],[J]],VOL_VOLUMEN_SUMINISTROS[[#This Row],[FIN DE SEMANA]])</f>
        <v>1052-2TNO</v>
      </c>
      <c r="D1856" s="365" t="str">
        <f>CONCATENATE(VOL_VOLUMEN_SUMINISTROS[[#This Row],[Grupo]],VOL_VOLUMEN_SUMINISTROS[[#This Row],[Proyecto]],VOL_VOLUMEN_SUMINISTROS[[#This Row],[FIN DE SEMANA]])</f>
        <v>231052-2NO</v>
      </c>
      <c r="E1856" s="30" t="s">
        <v>183</v>
      </c>
      <c r="F1856" s="30" t="s">
        <v>148</v>
      </c>
      <c r="G1856" s="365">
        <v>23</v>
      </c>
      <c r="H1856" s="30">
        <v>19</v>
      </c>
      <c r="I1856" s="9" t="s">
        <v>250</v>
      </c>
      <c r="J1856" s="9" t="s">
        <v>1276</v>
      </c>
      <c r="K1856" s="30">
        <v>1</v>
      </c>
      <c r="L1856" s="9" t="s">
        <v>1277</v>
      </c>
      <c r="M1856" s="30" t="s">
        <v>84</v>
      </c>
      <c r="N1856" s="30" t="s">
        <v>155</v>
      </c>
      <c r="O1856" s="24">
        <v>0</v>
      </c>
      <c r="P1856" s="24">
        <v>0</v>
      </c>
      <c r="Q1856" s="24">
        <v>45</v>
      </c>
      <c r="R1856" s="24">
        <v>0</v>
      </c>
      <c r="S1856" s="24">
        <v>0</v>
      </c>
      <c r="T1856" s="24">
        <v>45</v>
      </c>
    </row>
    <row r="1857" spans="1:20">
      <c r="A1857" s="9" t="s">
        <v>1234</v>
      </c>
      <c r="B1857" s="30" t="s">
        <v>1302</v>
      </c>
      <c r="C1857" s="30" t="str">
        <f>CONCATENATE(VOL_VOLUMEN_SUMINISTROS[[#This Row],[Proyecto]],VOL_VOLUMEN_SUMINISTROS[[#This Row],[J]],VOL_VOLUMEN_SUMINISTROS[[#This Row],[FIN DE SEMANA]])</f>
        <v>1052-2MNO</v>
      </c>
      <c r="D1857" s="365" t="str">
        <f>CONCATENATE(VOL_VOLUMEN_SUMINISTROS[[#This Row],[Grupo]],VOL_VOLUMEN_SUMINISTROS[[#This Row],[Proyecto]],VOL_VOLUMEN_SUMINISTROS[[#This Row],[FIN DE SEMANA]])</f>
        <v>221052-2NO</v>
      </c>
      <c r="E1857" s="30" t="s">
        <v>183</v>
      </c>
      <c r="F1857" s="30" t="s">
        <v>148</v>
      </c>
      <c r="G1857" s="365">
        <v>22</v>
      </c>
      <c r="H1857" s="30">
        <v>19</v>
      </c>
      <c r="I1857" s="9" t="s">
        <v>250</v>
      </c>
      <c r="J1857" s="9" t="s">
        <v>1242</v>
      </c>
      <c r="K1857" s="30">
        <v>1</v>
      </c>
      <c r="L1857" s="9" t="s">
        <v>1243</v>
      </c>
      <c r="M1857" s="30" t="s">
        <v>84</v>
      </c>
      <c r="N1857" s="30" t="s">
        <v>152</v>
      </c>
      <c r="O1857" s="24">
        <v>0</v>
      </c>
      <c r="P1857" s="24">
        <v>0</v>
      </c>
      <c r="Q1857" s="24">
        <v>338</v>
      </c>
      <c r="R1857" s="24">
        <v>0</v>
      </c>
      <c r="S1857" s="24">
        <v>0</v>
      </c>
      <c r="T1857" s="24">
        <v>338</v>
      </c>
    </row>
    <row r="1858" spans="1:20">
      <c r="A1858" s="9" t="s">
        <v>1234</v>
      </c>
      <c r="B1858" s="30" t="s">
        <v>1302</v>
      </c>
      <c r="C1858" s="30" t="str">
        <f>CONCATENATE(VOL_VOLUMEN_SUMINISTROS[[#This Row],[Proyecto]],VOL_VOLUMEN_SUMINISTROS[[#This Row],[J]],VOL_VOLUMEN_SUMINISTROS[[#This Row],[FIN DE SEMANA]])</f>
        <v>1052-2MNO</v>
      </c>
      <c r="D1858" s="365" t="str">
        <f>CONCATENATE(VOL_VOLUMEN_SUMINISTROS[[#This Row],[Grupo]],VOL_VOLUMEN_SUMINISTROS[[#This Row],[Proyecto]],VOL_VOLUMEN_SUMINISTROS[[#This Row],[FIN DE SEMANA]])</f>
        <v>231052-2NO</v>
      </c>
      <c r="E1858" s="30" t="s">
        <v>183</v>
      </c>
      <c r="F1858" s="30" t="s">
        <v>148</v>
      </c>
      <c r="G1858" s="365">
        <v>23</v>
      </c>
      <c r="H1858" s="30">
        <v>19</v>
      </c>
      <c r="I1858" s="9" t="s">
        <v>250</v>
      </c>
      <c r="J1858" s="9" t="s">
        <v>1280</v>
      </c>
      <c r="K1858" s="30">
        <v>4</v>
      </c>
      <c r="L1858" s="9" t="s">
        <v>1284</v>
      </c>
      <c r="M1858" s="30" t="s">
        <v>84</v>
      </c>
      <c r="N1858" s="30" t="s">
        <v>152</v>
      </c>
      <c r="O1858" s="24">
        <v>0</v>
      </c>
      <c r="P1858" s="24">
        <v>0</v>
      </c>
      <c r="Q1858" s="24">
        <v>52</v>
      </c>
      <c r="R1858" s="24">
        <v>0</v>
      </c>
      <c r="S1858" s="24">
        <v>0</v>
      </c>
      <c r="T1858" s="24">
        <v>52</v>
      </c>
    </row>
    <row r="1859" spans="1:20">
      <c r="A1859" s="9" t="s">
        <v>1234</v>
      </c>
      <c r="B1859" s="30" t="s">
        <v>1302</v>
      </c>
      <c r="C1859" s="30" t="str">
        <f>CONCATENATE(VOL_VOLUMEN_SUMINISTROS[[#This Row],[Proyecto]],VOL_VOLUMEN_SUMINISTROS[[#This Row],[J]],VOL_VOLUMEN_SUMINISTROS[[#This Row],[FIN DE SEMANA]])</f>
        <v>1052-2TNO</v>
      </c>
      <c r="D1859" s="365" t="str">
        <f>CONCATENATE(VOL_VOLUMEN_SUMINISTROS[[#This Row],[Grupo]],VOL_VOLUMEN_SUMINISTROS[[#This Row],[Proyecto]],VOL_VOLUMEN_SUMINISTROS[[#This Row],[FIN DE SEMANA]])</f>
        <v>231052-2NO</v>
      </c>
      <c r="E1859" s="30" t="s">
        <v>183</v>
      </c>
      <c r="F1859" s="30" t="s">
        <v>148</v>
      </c>
      <c r="G1859" s="365">
        <v>23</v>
      </c>
      <c r="H1859" s="30">
        <v>19</v>
      </c>
      <c r="I1859" s="9" t="s">
        <v>250</v>
      </c>
      <c r="J1859" s="9" t="s">
        <v>1280</v>
      </c>
      <c r="K1859" s="30">
        <v>4</v>
      </c>
      <c r="L1859" s="9" t="s">
        <v>1284</v>
      </c>
      <c r="M1859" s="30" t="s">
        <v>84</v>
      </c>
      <c r="N1859" s="30" t="s">
        <v>155</v>
      </c>
      <c r="O1859" s="24">
        <v>0</v>
      </c>
      <c r="P1859" s="24">
        <v>0</v>
      </c>
      <c r="Q1859" s="24">
        <v>68</v>
      </c>
      <c r="R1859" s="24">
        <v>0</v>
      </c>
      <c r="S1859" s="24">
        <v>0</v>
      </c>
      <c r="T1859" s="24">
        <v>68</v>
      </c>
    </row>
    <row r="1860" spans="1:20">
      <c r="A1860" s="9" t="s">
        <v>1234</v>
      </c>
      <c r="B1860" s="30" t="s">
        <v>1302</v>
      </c>
      <c r="C1860" s="30" t="str">
        <f>CONCATENATE(VOL_VOLUMEN_SUMINISTROS[[#This Row],[Proyecto]],VOL_VOLUMEN_SUMINISTROS[[#This Row],[J]],VOL_VOLUMEN_SUMINISTROS[[#This Row],[FIN DE SEMANA]])</f>
        <v>1052-2MNO</v>
      </c>
      <c r="D1860" s="365" t="str">
        <f>CONCATENATE(VOL_VOLUMEN_SUMINISTROS[[#This Row],[Grupo]],VOL_VOLUMEN_SUMINISTROS[[#This Row],[Proyecto]],VOL_VOLUMEN_SUMINISTROS[[#This Row],[FIN DE SEMANA]])</f>
        <v>221052-2NO</v>
      </c>
      <c r="E1860" s="30" t="s">
        <v>183</v>
      </c>
      <c r="F1860" s="30" t="s">
        <v>148</v>
      </c>
      <c r="G1860" s="365">
        <v>22</v>
      </c>
      <c r="H1860" s="30">
        <v>19</v>
      </c>
      <c r="I1860" s="9" t="s">
        <v>250</v>
      </c>
      <c r="J1860" s="9" t="s">
        <v>1255</v>
      </c>
      <c r="K1860" s="30">
        <v>1</v>
      </c>
      <c r="L1860" s="9" t="s">
        <v>1256</v>
      </c>
      <c r="M1860" s="30" t="s">
        <v>84</v>
      </c>
      <c r="N1860" s="30" t="s">
        <v>152</v>
      </c>
      <c r="O1860" s="24">
        <v>0</v>
      </c>
      <c r="P1860" s="24">
        <v>0</v>
      </c>
      <c r="Q1860" s="24">
        <v>85</v>
      </c>
      <c r="R1860" s="24">
        <v>0</v>
      </c>
      <c r="S1860" s="24">
        <v>0</v>
      </c>
      <c r="T1860" s="24">
        <v>85</v>
      </c>
    </row>
    <row r="1861" spans="1:20">
      <c r="A1861" s="9" t="s">
        <v>1234</v>
      </c>
      <c r="B1861" s="30" t="s">
        <v>1302</v>
      </c>
      <c r="C1861" s="30" t="str">
        <f>CONCATENATE(VOL_VOLUMEN_SUMINISTROS[[#This Row],[Proyecto]],VOL_VOLUMEN_SUMINISTROS[[#This Row],[J]],VOL_VOLUMEN_SUMINISTROS[[#This Row],[FIN DE SEMANA]])</f>
        <v>1052-2TNO</v>
      </c>
      <c r="D1861" s="365" t="str">
        <f>CONCATENATE(VOL_VOLUMEN_SUMINISTROS[[#This Row],[Grupo]],VOL_VOLUMEN_SUMINISTROS[[#This Row],[Proyecto]],VOL_VOLUMEN_SUMINISTROS[[#This Row],[FIN DE SEMANA]])</f>
        <v>231052-2NO</v>
      </c>
      <c r="E1861" s="30" t="s">
        <v>183</v>
      </c>
      <c r="F1861" s="30" t="s">
        <v>148</v>
      </c>
      <c r="G1861" s="365">
        <v>23</v>
      </c>
      <c r="H1861" s="30">
        <v>19</v>
      </c>
      <c r="I1861" s="9" t="s">
        <v>250</v>
      </c>
      <c r="J1861" s="9" t="s">
        <v>1297</v>
      </c>
      <c r="K1861" s="30">
        <v>1</v>
      </c>
      <c r="L1861" s="9" t="s">
        <v>1298</v>
      </c>
      <c r="M1861" s="30" t="s">
        <v>84</v>
      </c>
      <c r="N1861" s="30" t="s">
        <v>155</v>
      </c>
      <c r="O1861" s="24">
        <v>0</v>
      </c>
      <c r="P1861" s="24">
        <v>0</v>
      </c>
      <c r="Q1861" s="24">
        <v>94</v>
      </c>
      <c r="R1861" s="24">
        <v>0</v>
      </c>
      <c r="S1861" s="24">
        <v>0</v>
      </c>
      <c r="T1861" s="24">
        <v>94</v>
      </c>
    </row>
    <row r="1862" spans="1:20">
      <c r="A1862" s="9" t="s">
        <v>1234</v>
      </c>
      <c r="B1862" s="30" t="s">
        <v>1302</v>
      </c>
      <c r="C1862" s="30" t="str">
        <f>CONCATENATE(VOL_VOLUMEN_SUMINISTROS[[#This Row],[Proyecto]],VOL_VOLUMEN_SUMINISTROS[[#This Row],[J]],VOL_VOLUMEN_SUMINISTROS[[#This Row],[FIN DE SEMANA]])</f>
        <v>1052-2MNO</v>
      </c>
      <c r="D1862" s="365" t="str">
        <f>CONCATENATE(VOL_VOLUMEN_SUMINISTROS[[#This Row],[Grupo]],VOL_VOLUMEN_SUMINISTROS[[#This Row],[Proyecto]],VOL_VOLUMEN_SUMINISTROS[[#This Row],[FIN DE SEMANA]])</f>
        <v>221052-2NO</v>
      </c>
      <c r="E1862" s="30" t="s">
        <v>183</v>
      </c>
      <c r="F1862" s="30" t="s">
        <v>148</v>
      </c>
      <c r="G1862" s="365">
        <v>22</v>
      </c>
      <c r="H1862" s="30">
        <v>19</v>
      </c>
      <c r="I1862" s="9" t="s">
        <v>250</v>
      </c>
      <c r="J1862" s="9" t="s">
        <v>1258</v>
      </c>
      <c r="K1862" s="30">
        <v>1</v>
      </c>
      <c r="L1862" s="9" t="s">
        <v>1259</v>
      </c>
      <c r="M1862" s="30" t="s">
        <v>84</v>
      </c>
      <c r="N1862" s="30" t="s">
        <v>152</v>
      </c>
      <c r="O1862" s="24">
        <v>0</v>
      </c>
      <c r="P1862" s="24">
        <v>0</v>
      </c>
      <c r="Q1862" s="24">
        <v>64</v>
      </c>
      <c r="R1862" s="24">
        <v>0</v>
      </c>
      <c r="S1862" s="24">
        <v>0</v>
      </c>
      <c r="T1862" s="24">
        <v>64</v>
      </c>
    </row>
    <row r="1863" spans="1:20">
      <c r="A1863" s="9" t="s">
        <v>1234</v>
      </c>
      <c r="B1863" s="30" t="s">
        <v>1303</v>
      </c>
      <c r="C1863" s="30" t="str">
        <f>CONCATENATE(VOL_VOLUMEN_SUMINISTROS[[#This Row],[Proyecto]],VOL_VOLUMEN_SUMINISTROS[[#This Row],[J]],VOL_VOLUMEN_SUMINISTROS[[#This Row],[FIN DE SEMANA]])</f>
        <v>1052-2MNO</v>
      </c>
      <c r="D1863" s="365" t="str">
        <f>CONCATENATE(VOL_VOLUMEN_SUMINISTROS[[#This Row],[Grupo]],VOL_VOLUMEN_SUMINISTROS[[#This Row],[Proyecto]],VOL_VOLUMEN_SUMINISTROS[[#This Row],[FIN DE SEMANA]])</f>
        <v>231052-2NO</v>
      </c>
      <c r="E1863" s="30" t="s">
        <v>183</v>
      </c>
      <c r="F1863" s="30" t="s">
        <v>148</v>
      </c>
      <c r="G1863" s="365">
        <v>23</v>
      </c>
      <c r="H1863" s="30">
        <v>19</v>
      </c>
      <c r="I1863" s="9" t="s">
        <v>250</v>
      </c>
      <c r="J1863" s="9" t="s">
        <v>1289</v>
      </c>
      <c r="K1863" s="30">
        <v>2</v>
      </c>
      <c r="L1863" s="9" t="s">
        <v>1291</v>
      </c>
      <c r="M1863" s="30" t="s">
        <v>84</v>
      </c>
      <c r="N1863" s="30" t="s">
        <v>152</v>
      </c>
      <c r="O1863" s="24">
        <v>49</v>
      </c>
      <c r="P1863" s="24">
        <v>0</v>
      </c>
      <c r="Q1863" s="24">
        <v>0</v>
      </c>
      <c r="R1863" s="24">
        <v>0</v>
      </c>
      <c r="S1863" s="24">
        <v>0</v>
      </c>
      <c r="T1863" s="24">
        <v>49</v>
      </c>
    </row>
    <row r="1864" spans="1:20">
      <c r="A1864" s="9" t="s">
        <v>1234</v>
      </c>
      <c r="B1864" s="30" t="s">
        <v>1303</v>
      </c>
      <c r="C1864" s="30" t="str">
        <f>CONCATENATE(VOL_VOLUMEN_SUMINISTROS[[#This Row],[Proyecto]],VOL_VOLUMEN_SUMINISTROS[[#This Row],[J]],VOL_VOLUMEN_SUMINISTROS[[#This Row],[FIN DE SEMANA]])</f>
        <v>1052-2MNO</v>
      </c>
      <c r="D1864" s="365" t="str">
        <f>CONCATENATE(VOL_VOLUMEN_SUMINISTROS[[#This Row],[Grupo]],VOL_VOLUMEN_SUMINISTROS[[#This Row],[Proyecto]],VOL_VOLUMEN_SUMINISTROS[[#This Row],[FIN DE SEMANA]])</f>
        <v>231052-2NO</v>
      </c>
      <c r="E1864" s="30" t="s">
        <v>183</v>
      </c>
      <c r="F1864" s="30" t="s">
        <v>148</v>
      </c>
      <c r="G1864" s="365">
        <v>23</v>
      </c>
      <c r="H1864" s="30">
        <v>19</v>
      </c>
      <c r="I1864" s="9" t="s">
        <v>250</v>
      </c>
      <c r="J1864" s="9" t="s">
        <v>1289</v>
      </c>
      <c r="K1864" s="30">
        <v>3</v>
      </c>
      <c r="L1864" s="9" t="s">
        <v>458</v>
      </c>
      <c r="M1864" s="30" t="s">
        <v>84</v>
      </c>
      <c r="N1864" s="30" t="s">
        <v>152</v>
      </c>
      <c r="O1864" s="24">
        <v>50</v>
      </c>
      <c r="P1864" s="24">
        <v>0</v>
      </c>
      <c r="Q1864" s="24">
        <v>0</v>
      </c>
      <c r="R1864" s="24">
        <v>0</v>
      </c>
      <c r="S1864" s="24">
        <v>0</v>
      </c>
      <c r="T1864" s="24">
        <v>50</v>
      </c>
    </row>
    <row r="1865" spans="1:20">
      <c r="A1865" s="9" t="s">
        <v>1234</v>
      </c>
      <c r="B1865" s="30" t="s">
        <v>1303</v>
      </c>
      <c r="C1865" s="30" t="str">
        <f>CONCATENATE(VOL_VOLUMEN_SUMINISTROS[[#This Row],[Proyecto]],VOL_VOLUMEN_SUMINISTROS[[#This Row],[J]],VOL_VOLUMEN_SUMINISTROS[[#This Row],[FIN DE SEMANA]])</f>
        <v>1052-2TNO</v>
      </c>
      <c r="D1865" s="365" t="str">
        <f>CONCATENATE(VOL_VOLUMEN_SUMINISTROS[[#This Row],[Grupo]],VOL_VOLUMEN_SUMINISTROS[[#This Row],[Proyecto]],VOL_VOLUMEN_SUMINISTROS[[#This Row],[FIN DE SEMANA]])</f>
        <v>231052-2NO</v>
      </c>
      <c r="E1865" s="30" t="s">
        <v>183</v>
      </c>
      <c r="F1865" s="30" t="s">
        <v>148</v>
      </c>
      <c r="G1865" s="365">
        <v>23</v>
      </c>
      <c r="H1865" s="30">
        <v>19</v>
      </c>
      <c r="I1865" s="9" t="s">
        <v>250</v>
      </c>
      <c r="J1865" s="9" t="s">
        <v>1289</v>
      </c>
      <c r="K1865" s="30">
        <v>3</v>
      </c>
      <c r="L1865" s="9" t="s">
        <v>458</v>
      </c>
      <c r="M1865" s="30" t="s">
        <v>84</v>
      </c>
      <c r="N1865" s="30" t="s">
        <v>155</v>
      </c>
      <c r="O1865" s="24">
        <v>49</v>
      </c>
      <c r="P1865" s="24">
        <v>0</v>
      </c>
      <c r="Q1865" s="24">
        <v>0</v>
      </c>
      <c r="R1865" s="24">
        <v>0</v>
      </c>
      <c r="S1865" s="24">
        <v>0</v>
      </c>
      <c r="T1865" s="24">
        <v>49</v>
      </c>
    </row>
    <row r="1866" spans="1:20">
      <c r="A1866" s="9" t="s">
        <v>1234</v>
      </c>
      <c r="B1866" s="30" t="s">
        <v>1303</v>
      </c>
      <c r="C1866" s="30" t="str">
        <f>CONCATENATE(VOL_VOLUMEN_SUMINISTROS[[#This Row],[Proyecto]],VOL_VOLUMEN_SUMINISTROS[[#This Row],[J]],VOL_VOLUMEN_SUMINISTROS[[#This Row],[FIN DE SEMANA]])</f>
        <v>1052-2MNO</v>
      </c>
      <c r="D1866" s="365" t="str">
        <f>CONCATENATE(VOL_VOLUMEN_SUMINISTROS[[#This Row],[Grupo]],VOL_VOLUMEN_SUMINISTROS[[#This Row],[Proyecto]],VOL_VOLUMEN_SUMINISTROS[[#This Row],[FIN DE SEMANA]])</f>
        <v>231052-2NO</v>
      </c>
      <c r="E1866" s="30" t="s">
        <v>183</v>
      </c>
      <c r="F1866" s="30" t="s">
        <v>148</v>
      </c>
      <c r="G1866" s="365">
        <v>23</v>
      </c>
      <c r="H1866" s="30">
        <v>19</v>
      </c>
      <c r="I1866" s="9" t="s">
        <v>250</v>
      </c>
      <c r="J1866" s="9" t="s">
        <v>1297</v>
      </c>
      <c r="K1866" s="30">
        <v>2</v>
      </c>
      <c r="L1866" s="9" t="s">
        <v>1299</v>
      </c>
      <c r="M1866" s="30" t="s">
        <v>84</v>
      </c>
      <c r="N1866" s="30" t="s">
        <v>152</v>
      </c>
      <c r="O1866" s="24">
        <v>97</v>
      </c>
      <c r="P1866" s="24">
        <v>0</v>
      </c>
      <c r="Q1866" s="24">
        <v>0</v>
      </c>
      <c r="R1866" s="24">
        <v>0</v>
      </c>
      <c r="S1866" s="24">
        <v>0</v>
      </c>
      <c r="T1866" s="24">
        <v>97</v>
      </c>
    </row>
    <row r="1867" spans="1:20">
      <c r="A1867" s="9" t="s">
        <v>1234</v>
      </c>
      <c r="B1867" s="30" t="s">
        <v>1303</v>
      </c>
      <c r="C1867" s="30" t="str">
        <f>CONCATENATE(VOL_VOLUMEN_SUMINISTROS[[#This Row],[Proyecto]],VOL_VOLUMEN_SUMINISTROS[[#This Row],[J]],VOL_VOLUMEN_SUMINISTROS[[#This Row],[FIN DE SEMANA]])</f>
        <v>1052-2TNO</v>
      </c>
      <c r="D1867" s="365" t="str">
        <f>CONCATENATE(VOL_VOLUMEN_SUMINISTROS[[#This Row],[Grupo]],VOL_VOLUMEN_SUMINISTROS[[#This Row],[Proyecto]],VOL_VOLUMEN_SUMINISTROS[[#This Row],[FIN DE SEMANA]])</f>
        <v>231052-2NO</v>
      </c>
      <c r="E1867" s="30" t="s">
        <v>183</v>
      </c>
      <c r="F1867" s="30" t="s">
        <v>148</v>
      </c>
      <c r="G1867" s="365">
        <v>23</v>
      </c>
      <c r="H1867" s="30">
        <v>19</v>
      </c>
      <c r="I1867" s="9" t="s">
        <v>250</v>
      </c>
      <c r="J1867" s="9" t="s">
        <v>1297</v>
      </c>
      <c r="K1867" s="30">
        <v>2</v>
      </c>
      <c r="L1867" s="9" t="s">
        <v>1299</v>
      </c>
      <c r="M1867" s="30" t="s">
        <v>84</v>
      </c>
      <c r="N1867" s="30" t="s">
        <v>155</v>
      </c>
      <c r="O1867" s="24">
        <v>102</v>
      </c>
      <c r="P1867" s="24">
        <v>0</v>
      </c>
      <c r="Q1867" s="24">
        <v>0</v>
      </c>
      <c r="R1867" s="24">
        <v>0</v>
      </c>
      <c r="S1867" s="24">
        <v>0</v>
      </c>
      <c r="T1867" s="24">
        <v>102</v>
      </c>
    </row>
    <row r="1868" spans="1:20">
      <c r="A1868" s="9" t="s">
        <v>1304</v>
      </c>
      <c r="B1868" s="30" t="s">
        <v>1305</v>
      </c>
      <c r="C1868" s="30" t="str">
        <f>CONCATENATE(VOL_VOLUMEN_SUMINISTROS[[#This Row],[Proyecto]],VOL_VOLUMEN_SUMINISTROS[[#This Row],[J]],VOL_VOLUMEN_SUMINISTROS[[#This Row],[FIN DE SEMANA]])</f>
        <v>1052-2M1NO</v>
      </c>
      <c r="D1868" s="365" t="str">
        <f>CONCATENATE(VOL_VOLUMEN_SUMINISTROS[[#This Row],[Grupo]],VOL_VOLUMEN_SUMINISTROS[[#This Row],[Proyecto]],VOL_VOLUMEN_SUMINISTROS[[#This Row],[FIN DE SEMANA]])</f>
        <v>161052-2NO</v>
      </c>
      <c r="E1868" s="30" t="s">
        <v>183</v>
      </c>
      <c r="F1868" s="30" t="s">
        <v>148</v>
      </c>
      <c r="G1868" s="365">
        <v>16</v>
      </c>
      <c r="H1868" s="30">
        <v>1</v>
      </c>
      <c r="I1868" s="9" t="s">
        <v>397</v>
      </c>
      <c r="J1868" s="9" t="s">
        <v>398</v>
      </c>
      <c r="K1868" s="30">
        <v>1</v>
      </c>
      <c r="L1868" s="9" t="s">
        <v>399</v>
      </c>
      <c r="M1868" s="30" t="s">
        <v>84</v>
      </c>
      <c r="N1868" s="30" t="s">
        <v>216</v>
      </c>
      <c r="O1868" s="24">
        <v>0</v>
      </c>
      <c r="P1868" s="24">
        <v>0</v>
      </c>
      <c r="Q1868" s="24">
        <v>30</v>
      </c>
      <c r="R1868" s="24">
        <v>0</v>
      </c>
      <c r="S1868" s="24">
        <v>0</v>
      </c>
      <c r="T1868" s="24">
        <v>30</v>
      </c>
    </row>
    <row r="1869" spans="1:20">
      <c r="A1869" s="9" t="s">
        <v>1304</v>
      </c>
      <c r="B1869" s="30" t="s">
        <v>1305</v>
      </c>
      <c r="C1869" s="30" t="str">
        <f>CONCATENATE(VOL_VOLUMEN_SUMINISTROS[[#This Row],[Proyecto]],VOL_VOLUMEN_SUMINISTROS[[#This Row],[J]],VOL_VOLUMEN_SUMINISTROS[[#This Row],[FIN DE SEMANA]])</f>
        <v>1052-2M1NO</v>
      </c>
      <c r="D1869" s="365" t="str">
        <f>CONCATENATE(VOL_VOLUMEN_SUMINISTROS[[#This Row],[Grupo]],VOL_VOLUMEN_SUMINISTROS[[#This Row],[Proyecto]],VOL_VOLUMEN_SUMINISTROS[[#This Row],[FIN DE SEMANA]])</f>
        <v>161052-2NO</v>
      </c>
      <c r="E1869" s="30" t="s">
        <v>183</v>
      </c>
      <c r="F1869" s="30" t="s">
        <v>148</v>
      </c>
      <c r="G1869" s="365">
        <v>16</v>
      </c>
      <c r="H1869" s="30">
        <v>1</v>
      </c>
      <c r="I1869" s="9" t="s">
        <v>397</v>
      </c>
      <c r="J1869" s="9" t="s">
        <v>398</v>
      </c>
      <c r="K1869" s="30">
        <v>2</v>
      </c>
      <c r="L1869" s="9" t="s">
        <v>400</v>
      </c>
      <c r="M1869" s="30" t="s">
        <v>84</v>
      </c>
      <c r="N1869" s="30" t="s">
        <v>216</v>
      </c>
      <c r="O1869" s="24">
        <v>16</v>
      </c>
      <c r="P1869" s="24">
        <v>32</v>
      </c>
      <c r="Q1869" s="24">
        <v>8</v>
      </c>
      <c r="R1869" s="24">
        <v>0</v>
      </c>
      <c r="S1869" s="24">
        <v>0</v>
      </c>
      <c r="T1869" s="24">
        <v>56</v>
      </c>
    </row>
    <row r="1870" spans="1:20">
      <c r="A1870" s="9" t="s">
        <v>1304</v>
      </c>
      <c r="B1870" s="30" t="s">
        <v>1305</v>
      </c>
      <c r="C1870" s="30" t="str">
        <f>CONCATENATE(VOL_VOLUMEN_SUMINISTROS[[#This Row],[Proyecto]],VOL_VOLUMEN_SUMINISTROS[[#This Row],[J]],VOL_VOLUMEN_SUMINISTROS[[#This Row],[FIN DE SEMANA]])</f>
        <v>1052-2TNO</v>
      </c>
      <c r="D1870" s="365" t="str">
        <f>CONCATENATE(VOL_VOLUMEN_SUMINISTROS[[#This Row],[Grupo]],VOL_VOLUMEN_SUMINISTROS[[#This Row],[Proyecto]],VOL_VOLUMEN_SUMINISTROS[[#This Row],[FIN DE SEMANA]])</f>
        <v>161052-2NO</v>
      </c>
      <c r="E1870" s="30" t="s">
        <v>183</v>
      </c>
      <c r="F1870" s="30" t="s">
        <v>148</v>
      </c>
      <c r="G1870" s="365">
        <v>16</v>
      </c>
      <c r="H1870" s="30">
        <v>1</v>
      </c>
      <c r="I1870" s="9" t="s">
        <v>397</v>
      </c>
      <c r="J1870" s="9" t="s">
        <v>398</v>
      </c>
      <c r="K1870" s="30">
        <v>2</v>
      </c>
      <c r="L1870" s="9" t="s">
        <v>400</v>
      </c>
      <c r="M1870" s="30" t="s">
        <v>84</v>
      </c>
      <c r="N1870" s="30" t="s">
        <v>155</v>
      </c>
      <c r="O1870" s="24">
        <v>0</v>
      </c>
      <c r="P1870" s="24">
        <v>21</v>
      </c>
      <c r="Q1870" s="24">
        <v>7</v>
      </c>
      <c r="R1870" s="24">
        <v>0</v>
      </c>
      <c r="S1870" s="24">
        <v>0</v>
      </c>
      <c r="T1870" s="24">
        <v>28</v>
      </c>
    </row>
    <row r="1871" spans="1:20">
      <c r="A1871" s="9" t="s">
        <v>1304</v>
      </c>
      <c r="B1871" s="30" t="s">
        <v>1305</v>
      </c>
      <c r="C1871" s="30" t="str">
        <f>CONCATENATE(VOL_VOLUMEN_SUMINISTROS[[#This Row],[Proyecto]],VOL_VOLUMEN_SUMINISTROS[[#This Row],[J]],VOL_VOLUMEN_SUMINISTROS[[#This Row],[FIN DE SEMANA]])</f>
        <v>1052-2M1NO</v>
      </c>
      <c r="D1871" s="365" t="str">
        <f>CONCATENATE(VOL_VOLUMEN_SUMINISTROS[[#This Row],[Grupo]],VOL_VOLUMEN_SUMINISTROS[[#This Row],[Proyecto]],VOL_VOLUMEN_SUMINISTROS[[#This Row],[FIN DE SEMANA]])</f>
        <v>161052-2NO</v>
      </c>
      <c r="E1871" s="30" t="s">
        <v>183</v>
      </c>
      <c r="F1871" s="30" t="s">
        <v>148</v>
      </c>
      <c r="G1871" s="365">
        <v>16</v>
      </c>
      <c r="H1871" s="30">
        <v>1</v>
      </c>
      <c r="I1871" s="9" t="s">
        <v>397</v>
      </c>
      <c r="J1871" s="9" t="s">
        <v>398</v>
      </c>
      <c r="K1871" s="30">
        <v>3</v>
      </c>
      <c r="L1871" s="9" t="s">
        <v>401</v>
      </c>
      <c r="M1871" s="30" t="s">
        <v>84</v>
      </c>
      <c r="N1871" s="30" t="s">
        <v>216</v>
      </c>
      <c r="O1871" s="24">
        <v>84</v>
      </c>
      <c r="P1871" s="24">
        <v>156</v>
      </c>
      <c r="Q1871" s="24">
        <v>38</v>
      </c>
      <c r="R1871" s="24">
        <v>0</v>
      </c>
      <c r="S1871" s="24">
        <v>0</v>
      </c>
      <c r="T1871" s="24">
        <v>278</v>
      </c>
    </row>
    <row r="1872" spans="1:20">
      <c r="A1872" s="9" t="s">
        <v>1304</v>
      </c>
      <c r="B1872" s="30" t="s">
        <v>1305</v>
      </c>
      <c r="C1872" s="30" t="str">
        <f>CONCATENATE(VOL_VOLUMEN_SUMINISTROS[[#This Row],[Proyecto]],VOL_VOLUMEN_SUMINISTROS[[#This Row],[J]],VOL_VOLUMEN_SUMINISTROS[[#This Row],[FIN DE SEMANA]])</f>
        <v>1052-2M1NO</v>
      </c>
      <c r="D1872" s="365" t="str">
        <f>CONCATENATE(VOL_VOLUMEN_SUMINISTROS[[#This Row],[Grupo]],VOL_VOLUMEN_SUMINISTROS[[#This Row],[Proyecto]],VOL_VOLUMEN_SUMINISTROS[[#This Row],[FIN DE SEMANA]])</f>
        <v>161052-2NO</v>
      </c>
      <c r="E1872" s="30" t="s">
        <v>183</v>
      </c>
      <c r="F1872" s="30" t="s">
        <v>148</v>
      </c>
      <c r="G1872" s="365">
        <v>16</v>
      </c>
      <c r="H1872" s="30">
        <v>1</v>
      </c>
      <c r="I1872" s="9" t="s">
        <v>397</v>
      </c>
      <c r="J1872" s="9" t="s">
        <v>398</v>
      </c>
      <c r="K1872" s="30">
        <v>4</v>
      </c>
      <c r="L1872" s="9" t="s">
        <v>1306</v>
      </c>
      <c r="M1872" s="30" t="s">
        <v>84</v>
      </c>
      <c r="N1872" s="30" t="s">
        <v>216</v>
      </c>
      <c r="O1872" s="24">
        <v>16</v>
      </c>
      <c r="P1872" s="24">
        <v>152</v>
      </c>
      <c r="Q1872" s="24">
        <v>139</v>
      </c>
      <c r="R1872" s="24">
        <v>0</v>
      </c>
      <c r="S1872" s="24">
        <v>0</v>
      </c>
      <c r="T1872" s="24">
        <v>307</v>
      </c>
    </row>
    <row r="1873" spans="1:20">
      <c r="A1873" s="9" t="s">
        <v>1304</v>
      </c>
      <c r="B1873" s="30" t="s">
        <v>1305</v>
      </c>
      <c r="C1873" s="30" t="str">
        <f>CONCATENATE(VOL_VOLUMEN_SUMINISTROS[[#This Row],[Proyecto]],VOL_VOLUMEN_SUMINISTROS[[#This Row],[J]],VOL_VOLUMEN_SUMINISTROS[[#This Row],[FIN DE SEMANA]])</f>
        <v>1052-2TNO</v>
      </c>
      <c r="D1873" s="365" t="str">
        <f>CONCATENATE(VOL_VOLUMEN_SUMINISTROS[[#This Row],[Grupo]],VOL_VOLUMEN_SUMINISTROS[[#This Row],[Proyecto]],VOL_VOLUMEN_SUMINISTROS[[#This Row],[FIN DE SEMANA]])</f>
        <v>161052-2NO</v>
      </c>
      <c r="E1873" s="30" t="s">
        <v>183</v>
      </c>
      <c r="F1873" s="30" t="s">
        <v>148</v>
      </c>
      <c r="G1873" s="365">
        <v>16</v>
      </c>
      <c r="H1873" s="30">
        <v>1</v>
      </c>
      <c r="I1873" s="9" t="s">
        <v>397</v>
      </c>
      <c r="J1873" s="9" t="s">
        <v>398</v>
      </c>
      <c r="K1873" s="30">
        <v>4</v>
      </c>
      <c r="L1873" s="9" t="s">
        <v>1306</v>
      </c>
      <c r="M1873" s="30" t="s">
        <v>84</v>
      </c>
      <c r="N1873" s="30" t="s">
        <v>155</v>
      </c>
      <c r="O1873" s="24">
        <v>20</v>
      </c>
      <c r="P1873" s="24">
        <v>184</v>
      </c>
      <c r="Q1873" s="24">
        <v>198</v>
      </c>
      <c r="R1873" s="24">
        <v>0</v>
      </c>
      <c r="S1873" s="24">
        <v>0</v>
      </c>
      <c r="T1873" s="24">
        <v>402</v>
      </c>
    </row>
    <row r="1874" spans="1:20">
      <c r="A1874" s="9" t="s">
        <v>1304</v>
      </c>
      <c r="B1874" s="30" t="s">
        <v>1305</v>
      </c>
      <c r="C1874" s="30" t="str">
        <f>CONCATENATE(VOL_VOLUMEN_SUMINISTROS[[#This Row],[Proyecto]],VOL_VOLUMEN_SUMINISTROS[[#This Row],[J]],VOL_VOLUMEN_SUMINISTROS[[#This Row],[FIN DE SEMANA]])</f>
        <v>1052-2M1NO</v>
      </c>
      <c r="D1874" s="365" t="str">
        <f>CONCATENATE(VOL_VOLUMEN_SUMINISTROS[[#This Row],[Grupo]],VOL_VOLUMEN_SUMINISTROS[[#This Row],[Proyecto]],VOL_VOLUMEN_SUMINISTROS[[#This Row],[FIN DE SEMANA]])</f>
        <v>161052-2NO</v>
      </c>
      <c r="E1874" s="30" t="s">
        <v>183</v>
      </c>
      <c r="F1874" s="30" t="s">
        <v>148</v>
      </c>
      <c r="G1874" s="365">
        <v>16</v>
      </c>
      <c r="H1874" s="30">
        <v>1</v>
      </c>
      <c r="I1874" s="9" t="s">
        <v>397</v>
      </c>
      <c r="J1874" s="9" t="s">
        <v>398</v>
      </c>
      <c r="K1874" s="30">
        <v>5</v>
      </c>
      <c r="L1874" s="9" t="s">
        <v>1307</v>
      </c>
      <c r="M1874" s="30" t="s">
        <v>84</v>
      </c>
      <c r="N1874" s="30" t="s">
        <v>216</v>
      </c>
      <c r="O1874" s="24">
        <v>0</v>
      </c>
      <c r="P1874" s="24">
        <v>24</v>
      </c>
      <c r="Q1874" s="24">
        <v>38</v>
      </c>
      <c r="R1874" s="24">
        <v>0</v>
      </c>
      <c r="S1874" s="24">
        <v>0</v>
      </c>
      <c r="T1874" s="24">
        <v>62</v>
      </c>
    </row>
    <row r="1875" spans="1:20">
      <c r="A1875" s="9" t="s">
        <v>1304</v>
      </c>
      <c r="B1875" s="30" t="s">
        <v>1305</v>
      </c>
      <c r="C1875" s="30" t="str">
        <f>CONCATENATE(VOL_VOLUMEN_SUMINISTROS[[#This Row],[Proyecto]],VOL_VOLUMEN_SUMINISTROS[[#This Row],[J]],VOL_VOLUMEN_SUMINISTROS[[#This Row],[FIN DE SEMANA]])</f>
        <v>1052-2TNO</v>
      </c>
      <c r="D1875" s="365" t="str">
        <f>CONCATENATE(VOL_VOLUMEN_SUMINISTROS[[#This Row],[Grupo]],VOL_VOLUMEN_SUMINISTROS[[#This Row],[Proyecto]],VOL_VOLUMEN_SUMINISTROS[[#This Row],[FIN DE SEMANA]])</f>
        <v>161052-2NO</v>
      </c>
      <c r="E1875" s="30" t="s">
        <v>183</v>
      </c>
      <c r="F1875" s="30" t="s">
        <v>148</v>
      </c>
      <c r="G1875" s="365">
        <v>16</v>
      </c>
      <c r="H1875" s="30">
        <v>1</v>
      </c>
      <c r="I1875" s="9" t="s">
        <v>397</v>
      </c>
      <c r="J1875" s="9" t="s">
        <v>398</v>
      </c>
      <c r="K1875" s="30">
        <v>5</v>
      </c>
      <c r="L1875" s="9" t="s">
        <v>1307</v>
      </c>
      <c r="M1875" s="30" t="s">
        <v>84</v>
      </c>
      <c r="N1875" s="30" t="s">
        <v>155</v>
      </c>
      <c r="O1875" s="24">
        <v>0</v>
      </c>
      <c r="P1875" s="24">
        <v>66</v>
      </c>
      <c r="Q1875" s="24">
        <v>52</v>
      </c>
      <c r="R1875" s="24">
        <v>0</v>
      </c>
      <c r="S1875" s="24">
        <v>0</v>
      </c>
      <c r="T1875" s="24">
        <v>118</v>
      </c>
    </row>
    <row r="1876" spans="1:20">
      <c r="A1876" s="9" t="s">
        <v>1304</v>
      </c>
      <c r="B1876" s="30" t="s">
        <v>1305</v>
      </c>
      <c r="C1876" s="30" t="str">
        <f>CONCATENATE(VOL_VOLUMEN_SUMINISTROS[[#This Row],[Proyecto]],VOL_VOLUMEN_SUMINISTROS[[#This Row],[J]],VOL_VOLUMEN_SUMINISTROS[[#This Row],[FIN DE SEMANA]])</f>
        <v>1052-2M1NO</v>
      </c>
      <c r="D1876" s="365" t="str">
        <f>CONCATENATE(VOL_VOLUMEN_SUMINISTROS[[#This Row],[Grupo]],VOL_VOLUMEN_SUMINISTROS[[#This Row],[Proyecto]],VOL_VOLUMEN_SUMINISTROS[[#This Row],[FIN DE SEMANA]])</f>
        <v>161052-2NO</v>
      </c>
      <c r="E1876" s="30" t="s">
        <v>183</v>
      </c>
      <c r="F1876" s="30" t="s">
        <v>148</v>
      </c>
      <c r="G1876" s="365">
        <v>16</v>
      </c>
      <c r="H1876" s="30">
        <v>1</v>
      </c>
      <c r="I1876" s="9" t="s">
        <v>397</v>
      </c>
      <c r="J1876" s="9" t="s">
        <v>398</v>
      </c>
      <c r="K1876" s="30">
        <v>7</v>
      </c>
      <c r="L1876" s="9" t="s">
        <v>1308</v>
      </c>
      <c r="M1876" s="30" t="s">
        <v>84</v>
      </c>
      <c r="N1876" s="30" t="s">
        <v>216</v>
      </c>
      <c r="O1876" s="24">
        <v>14</v>
      </c>
      <c r="P1876" s="24">
        <v>106</v>
      </c>
      <c r="Q1876" s="24">
        <v>58</v>
      </c>
      <c r="R1876" s="24">
        <v>0</v>
      </c>
      <c r="S1876" s="24">
        <v>0</v>
      </c>
      <c r="T1876" s="24">
        <v>178</v>
      </c>
    </row>
    <row r="1877" spans="1:20">
      <c r="A1877" s="9" t="s">
        <v>1304</v>
      </c>
      <c r="B1877" s="30" t="s">
        <v>1305</v>
      </c>
      <c r="C1877" s="30" t="str">
        <f>CONCATENATE(VOL_VOLUMEN_SUMINISTROS[[#This Row],[Proyecto]],VOL_VOLUMEN_SUMINISTROS[[#This Row],[J]],VOL_VOLUMEN_SUMINISTROS[[#This Row],[FIN DE SEMANA]])</f>
        <v>1052-2TNO</v>
      </c>
      <c r="D1877" s="365" t="str">
        <f>CONCATENATE(VOL_VOLUMEN_SUMINISTROS[[#This Row],[Grupo]],VOL_VOLUMEN_SUMINISTROS[[#This Row],[Proyecto]],VOL_VOLUMEN_SUMINISTROS[[#This Row],[FIN DE SEMANA]])</f>
        <v>161052-2NO</v>
      </c>
      <c r="E1877" s="30" t="s">
        <v>183</v>
      </c>
      <c r="F1877" s="30" t="s">
        <v>148</v>
      </c>
      <c r="G1877" s="365">
        <v>16</v>
      </c>
      <c r="H1877" s="30">
        <v>1</v>
      </c>
      <c r="I1877" s="9" t="s">
        <v>397</v>
      </c>
      <c r="J1877" s="9" t="s">
        <v>398</v>
      </c>
      <c r="K1877" s="30">
        <v>7</v>
      </c>
      <c r="L1877" s="9" t="s">
        <v>1308</v>
      </c>
      <c r="M1877" s="30" t="s">
        <v>84</v>
      </c>
      <c r="N1877" s="30" t="s">
        <v>155</v>
      </c>
      <c r="O1877" s="24">
        <v>14</v>
      </c>
      <c r="P1877" s="24">
        <v>79</v>
      </c>
      <c r="Q1877" s="24">
        <v>69</v>
      </c>
      <c r="R1877" s="24">
        <v>0</v>
      </c>
      <c r="S1877" s="24">
        <v>0</v>
      </c>
      <c r="T1877" s="24">
        <v>162</v>
      </c>
    </row>
    <row r="1878" spans="1:20">
      <c r="A1878" s="9" t="s">
        <v>1304</v>
      </c>
      <c r="B1878" s="30" t="s">
        <v>1305</v>
      </c>
      <c r="C1878" s="30" t="str">
        <f>CONCATENATE(VOL_VOLUMEN_SUMINISTROS[[#This Row],[Proyecto]],VOL_VOLUMEN_SUMINISTROS[[#This Row],[J]],VOL_VOLUMEN_SUMINISTROS[[#This Row],[FIN DE SEMANA]])</f>
        <v>1052-2M1NO</v>
      </c>
      <c r="D1878" s="365" t="str">
        <f>CONCATENATE(VOL_VOLUMEN_SUMINISTROS[[#This Row],[Grupo]],VOL_VOLUMEN_SUMINISTROS[[#This Row],[Proyecto]],VOL_VOLUMEN_SUMINISTROS[[#This Row],[FIN DE SEMANA]])</f>
        <v>161052-2NO</v>
      </c>
      <c r="E1878" s="30" t="s">
        <v>183</v>
      </c>
      <c r="F1878" s="30" t="s">
        <v>148</v>
      </c>
      <c r="G1878" s="365">
        <v>16</v>
      </c>
      <c r="H1878" s="30">
        <v>1</v>
      </c>
      <c r="I1878" s="9" t="s">
        <v>397</v>
      </c>
      <c r="J1878" s="9" t="s">
        <v>398</v>
      </c>
      <c r="K1878" s="30">
        <v>8</v>
      </c>
      <c r="L1878" s="9" t="s">
        <v>1309</v>
      </c>
      <c r="M1878" s="30" t="s">
        <v>84</v>
      </c>
      <c r="N1878" s="30" t="s">
        <v>216</v>
      </c>
      <c r="O1878" s="24">
        <v>0</v>
      </c>
      <c r="P1878" s="24">
        <v>18</v>
      </c>
      <c r="Q1878" s="24">
        <v>50</v>
      </c>
      <c r="R1878" s="24">
        <v>0</v>
      </c>
      <c r="S1878" s="24">
        <v>0</v>
      </c>
      <c r="T1878" s="24">
        <v>68</v>
      </c>
    </row>
    <row r="1879" spans="1:20">
      <c r="A1879" s="9" t="s">
        <v>1304</v>
      </c>
      <c r="B1879" s="30" t="s">
        <v>1305</v>
      </c>
      <c r="C1879" s="30" t="str">
        <f>CONCATENATE(VOL_VOLUMEN_SUMINISTROS[[#This Row],[Proyecto]],VOL_VOLUMEN_SUMINISTROS[[#This Row],[J]],VOL_VOLUMEN_SUMINISTROS[[#This Row],[FIN DE SEMANA]])</f>
        <v>1052-2TNO</v>
      </c>
      <c r="D1879" s="365" t="str">
        <f>CONCATENATE(VOL_VOLUMEN_SUMINISTROS[[#This Row],[Grupo]],VOL_VOLUMEN_SUMINISTROS[[#This Row],[Proyecto]],VOL_VOLUMEN_SUMINISTROS[[#This Row],[FIN DE SEMANA]])</f>
        <v>161052-2NO</v>
      </c>
      <c r="E1879" s="30" t="s">
        <v>183</v>
      </c>
      <c r="F1879" s="30" t="s">
        <v>148</v>
      </c>
      <c r="G1879" s="365">
        <v>16</v>
      </c>
      <c r="H1879" s="30">
        <v>1</v>
      </c>
      <c r="I1879" s="9" t="s">
        <v>397</v>
      </c>
      <c r="J1879" s="9" t="s">
        <v>398</v>
      </c>
      <c r="K1879" s="30">
        <v>8</v>
      </c>
      <c r="L1879" s="9" t="s">
        <v>1309</v>
      </c>
      <c r="M1879" s="30" t="s">
        <v>84</v>
      </c>
      <c r="N1879" s="30" t="s">
        <v>155</v>
      </c>
      <c r="O1879" s="24">
        <v>0</v>
      </c>
      <c r="P1879" s="24">
        <v>39</v>
      </c>
      <c r="Q1879" s="24">
        <v>68</v>
      </c>
      <c r="R1879" s="24">
        <v>0</v>
      </c>
      <c r="S1879" s="24">
        <v>0</v>
      </c>
      <c r="T1879" s="24">
        <v>107</v>
      </c>
    </row>
    <row r="1880" spans="1:20">
      <c r="A1880" s="9" t="s">
        <v>1304</v>
      </c>
      <c r="B1880" s="30" t="s">
        <v>1305</v>
      </c>
      <c r="C1880" s="30" t="str">
        <f>CONCATENATE(VOL_VOLUMEN_SUMINISTROS[[#This Row],[Proyecto]],VOL_VOLUMEN_SUMINISTROS[[#This Row],[J]],VOL_VOLUMEN_SUMINISTROS[[#This Row],[FIN DE SEMANA]])</f>
        <v>1052-2M1NO</v>
      </c>
      <c r="D1880" s="365" t="str">
        <f>CONCATENATE(VOL_VOLUMEN_SUMINISTROS[[#This Row],[Grupo]],VOL_VOLUMEN_SUMINISTROS[[#This Row],[Proyecto]],VOL_VOLUMEN_SUMINISTROS[[#This Row],[FIN DE SEMANA]])</f>
        <v>161052-2NO</v>
      </c>
      <c r="E1880" s="30" t="s">
        <v>183</v>
      </c>
      <c r="F1880" s="30" t="s">
        <v>148</v>
      </c>
      <c r="G1880" s="365">
        <v>16</v>
      </c>
      <c r="H1880" s="30">
        <v>1</v>
      </c>
      <c r="I1880" s="9" t="s">
        <v>397</v>
      </c>
      <c r="J1880" s="9" t="s">
        <v>411</v>
      </c>
      <c r="K1880" s="30">
        <v>1</v>
      </c>
      <c r="L1880" s="9" t="s">
        <v>412</v>
      </c>
      <c r="M1880" s="30" t="s">
        <v>84</v>
      </c>
      <c r="N1880" s="30" t="s">
        <v>216</v>
      </c>
      <c r="O1880" s="24">
        <v>0</v>
      </c>
      <c r="P1880" s="24">
        <v>186</v>
      </c>
      <c r="Q1880" s="24">
        <v>307</v>
      </c>
      <c r="R1880" s="24">
        <v>0</v>
      </c>
      <c r="S1880" s="24">
        <v>0</v>
      </c>
      <c r="T1880" s="24">
        <v>493</v>
      </c>
    </row>
    <row r="1881" spans="1:20">
      <c r="A1881" s="9" t="s">
        <v>1304</v>
      </c>
      <c r="B1881" s="30" t="s">
        <v>1305</v>
      </c>
      <c r="C1881" s="30" t="str">
        <f>CONCATENATE(VOL_VOLUMEN_SUMINISTROS[[#This Row],[Proyecto]],VOL_VOLUMEN_SUMINISTROS[[#This Row],[J]],VOL_VOLUMEN_SUMINISTROS[[#This Row],[FIN DE SEMANA]])</f>
        <v>1052-2M1NO</v>
      </c>
      <c r="D1881" s="365" t="str">
        <f>CONCATENATE(VOL_VOLUMEN_SUMINISTROS[[#This Row],[Grupo]],VOL_VOLUMEN_SUMINISTROS[[#This Row],[Proyecto]],VOL_VOLUMEN_SUMINISTROS[[#This Row],[FIN DE SEMANA]])</f>
        <v>161052-2NO</v>
      </c>
      <c r="E1881" s="30" t="s">
        <v>183</v>
      </c>
      <c r="F1881" s="30" t="s">
        <v>148</v>
      </c>
      <c r="G1881" s="365">
        <v>16</v>
      </c>
      <c r="H1881" s="30">
        <v>1</v>
      </c>
      <c r="I1881" s="9" t="s">
        <v>397</v>
      </c>
      <c r="J1881" s="9" t="s">
        <v>411</v>
      </c>
      <c r="K1881" s="30">
        <v>2</v>
      </c>
      <c r="L1881" s="9" t="s">
        <v>413</v>
      </c>
      <c r="M1881" s="30" t="s">
        <v>84</v>
      </c>
      <c r="N1881" s="30" t="s">
        <v>216</v>
      </c>
      <c r="O1881" s="24">
        <v>72</v>
      </c>
      <c r="P1881" s="24">
        <v>93</v>
      </c>
      <c r="Q1881" s="24">
        <v>19</v>
      </c>
      <c r="R1881" s="24">
        <v>0</v>
      </c>
      <c r="S1881" s="24">
        <v>0</v>
      </c>
      <c r="T1881" s="24">
        <v>184</v>
      </c>
    </row>
    <row r="1882" spans="1:20">
      <c r="A1882" s="9" t="s">
        <v>1304</v>
      </c>
      <c r="B1882" s="30" t="s">
        <v>1305</v>
      </c>
      <c r="C1882" s="30" t="str">
        <f>CONCATENATE(VOL_VOLUMEN_SUMINISTROS[[#This Row],[Proyecto]],VOL_VOLUMEN_SUMINISTROS[[#This Row],[J]],VOL_VOLUMEN_SUMINISTROS[[#This Row],[FIN DE SEMANA]])</f>
        <v>1052-2M1NO</v>
      </c>
      <c r="D1882" s="365" t="str">
        <f>CONCATENATE(VOL_VOLUMEN_SUMINISTROS[[#This Row],[Grupo]],VOL_VOLUMEN_SUMINISTROS[[#This Row],[Proyecto]],VOL_VOLUMEN_SUMINISTROS[[#This Row],[FIN DE SEMANA]])</f>
        <v>161052-2NO</v>
      </c>
      <c r="E1882" s="30" t="s">
        <v>183</v>
      </c>
      <c r="F1882" s="30" t="s">
        <v>148</v>
      </c>
      <c r="G1882" s="365">
        <v>16</v>
      </c>
      <c r="H1882" s="30">
        <v>1</v>
      </c>
      <c r="I1882" s="9" t="s">
        <v>397</v>
      </c>
      <c r="J1882" s="9" t="s">
        <v>411</v>
      </c>
      <c r="K1882" s="30">
        <v>3</v>
      </c>
      <c r="L1882" s="9" t="s">
        <v>414</v>
      </c>
      <c r="M1882" s="30" t="s">
        <v>84</v>
      </c>
      <c r="N1882" s="30" t="s">
        <v>216</v>
      </c>
      <c r="O1882" s="24">
        <v>62</v>
      </c>
      <c r="P1882" s="24">
        <v>79</v>
      </c>
      <c r="Q1882" s="24">
        <v>16</v>
      </c>
      <c r="R1882" s="24">
        <v>0</v>
      </c>
      <c r="S1882" s="24">
        <v>0</v>
      </c>
      <c r="T1882" s="24">
        <v>157</v>
      </c>
    </row>
    <row r="1883" spans="1:20">
      <c r="A1883" s="9" t="s">
        <v>1304</v>
      </c>
      <c r="B1883" s="30" t="s">
        <v>1310</v>
      </c>
      <c r="C1883" s="30" t="str">
        <f>CONCATENATE(VOL_VOLUMEN_SUMINISTROS[[#This Row],[Proyecto]],VOL_VOLUMEN_SUMINISTROS[[#This Row],[J]],VOL_VOLUMEN_SUMINISTROS[[#This Row],[FIN DE SEMANA]])</f>
        <v>1052-2MNO</v>
      </c>
      <c r="D1883" s="365" t="str">
        <f>CONCATENATE(VOL_VOLUMEN_SUMINISTROS[[#This Row],[Grupo]],VOL_VOLUMEN_SUMINISTROS[[#This Row],[Proyecto]],VOL_VOLUMEN_SUMINISTROS[[#This Row],[FIN DE SEMANA]])</f>
        <v>161052-2NO</v>
      </c>
      <c r="E1883" s="30" t="s">
        <v>183</v>
      </c>
      <c r="F1883" s="30" t="s">
        <v>148</v>
      </c>
      <c r="G1883" s="365">
        <v>16</v>
      </c>
      <c r="H1883" s="30">
        <v>1</v>
      </c>
      <c r="I1883" s="9" t="s">
        <v>397</v>
      </c>
      <c r="J1883" s="9" t="s">
        <v>398</v>
      </c>
      <c r="K1883" s="30">
        <v>1</v>
      </c>
      <c r="L1883" s="9" t="s">
        <v>399</v>
      </c>
      <c r="M1883" s="30" t="s">
        <v>84</v>
      </c>
      <c r="N1883" s="30" t="s">
        <v>152</v>
      </c>
      <c r="O1883" s="24">
        <v>0</v>
      </c>
      <c r="P1883" s="24">
        <v>0</v>
      </c>
      <c r="Q1883" s="24">
        <v>30</v>
      </c>
      <c r="R1883" s="24">
        <v>0</v>
      </c>
      <c r="S1883" s="24">
        <v>0</v>
      </c>
      <c r="T1883" s="24">
        <v>30</v>
      </c>
    </row>
    <row r="1884" spans="1:20">
      <c r="A1884" s="9" t="s">
        <v>1304</v>
      </c>
      <c r="B1884" s="30" t="s">
        <v>1310</v>
      </c>
      <c r="C1884" s="30" t="str">
        <f>CONCATENATE(VOL_VOLUMEN_SUMINISTROS[[#This Row],[Proyecto]],VOL_VOLUMEN_SUMINISTROS[[#This Row],[J]],VOL_VOLUMEN_SUMINISTROS[[#This Row],[FIN DE SEMANA]])</f>
        <v>1052-2TNO</v>
      </c>
      <c r="D1884" s="365" t="str">
        <f>CONCATENATE(VOL_VOLUMEN_SUMINISTROS[[#This Row],[Grupo]],VOL_VOLUMEN_SUMINISTROS[[#This Row],[Proyecto]],VOL_VOLUMEN_SUMINISTROS[[#This Row],[FIN DE SEMANA]])</f>
        <v>161052-2NO</v>
      </c>
      <c r="E1884" s="30" t="s">
        <v>183</v>
      </c>
      <c r="F1884" s="30" t="s">
        <v>148</v>
      </c>
      <c r="G1884" s="365">
        <v>16</v>
      </c>
      <c r="H1884" s="30">
        <v>1</v>
      </c>
      <c r="I1884" s="9" t="s">
        <v>397</v>
      </c>
      <c r="J1884" s="9" t="s">
        <v>398</v>
      </c>
      <c r="K1884" s="30">
        <v>1</v>
      </c>
      <c r="L1884" s="9" t="s">
        <v>399</v>
      </c>
      <c r="M1884" s="30" t="s">
        <v>84</v>
      </c>
      <c r="N1884" s="30" t="s">
        <v>155</v>
      </c>
      <c r="O1884" s="24">
        <v>0</v>
      </c>
      <c r="P1884" s="24">
        <v>0</v>
      </c>
      <c r="Q1884" s="24">
        <v>35</v>
      </c>
      <c r="R1884" s="24">
        <v>0</v>
      </c>
      <c r="S1884" s="24">
        <v>0</v>
      </c>
      <c r="T1884" s="24">
        <v>35</v>
      </c>
    </row>
    <row r="1885" spans="1:20">
      <c r="A1885" s="9" t="s">
        <v>1304</v>
      </c>
      <c r="B1885" s="30" t="s">
        <v>1310</v>
      </c>
      <c r="C1885" s="30" t="str">
        <f>CONCATENATE(VOL_VOLUMEN_SUMINISTROS[[#This Row],[Proyecto]],VOL_VOLUMEN_SUMINISTROS[[#This Row],[J]],VOL_VOLUMEN_SUMINISTROS[[#This Row],[FIN DE SEMANA]])</f>
        <v>1052-2MNO</v>
      </c>
      <c r="D1885" s="365" t="str">
        <f>CONCATENATE(VOL_VOLUMEN_SUMINISTROS[[#This Row],[Grupo]],VOL_VOLUMEN_SUMINISTROS[[#This Row],[Proyecto]],VOL_VOLUMEN_SUMINISTROS[[#This Row],[FIN DE SEMANA]])</f>
        <v>161052-2NO</v>
      </c>
      <c r="E1885" s="30" t="s">
        <v>183</v>
      </c>
      <c r="F1885" s="30" t="s">
        <v>148</v>
      </c>
      <c r="G1885" s="365">
        <v>16</v>
      </c>
      <c r="H1885" s="30">
        <v>1</v>
      </c>
      <c r="I1885" s="9" t="s">
        <v>397</v>
      </c>
      <c r="J1885" s="9" t="s">
        <v>398</v>
      </c>
      <c r="K1885" s="30">
        <v>5</v>
      </c>
      <c r="L1885" s="9" t="s">
        <v>1307</v>
      </c>
      <c r="M1885" s="30" t="s">
        <v>84</v>
      </c>
      <c r="N1885" s="30" t="s">
        <v>152</v>
      </c>
      <c r="O1885" s="24">
        <v>0</v>
      </c>
      <c r="P1885" s="24">
        <v>0</v>
      </c>
      <c r="Q1885" s="24">
        <v>55</v>
      </c>
      <c r="R1885" s="24">
        <v>0</v>
      </c>
      <c r="S1885" s="24">
        <v>0</v>
      </c>
      <c r="T1885" s="24">
        <v>55</v>
      </c>
    </row>
    <row r="1886" spans="1:20">
      <c r="A1886" s="9" t="s">
        <v>1304</v>
      </c>
      <c r="B1886" s="30" t="s">
        <v>1310</v>
      </c>
      <c r="C1886" s="30" t="str">
        <f>CONCATENATE(VOL_VOLUMEN_SUMINISTROS[[#This Row],[Proyecto]],VOL_VOLUMEN_SUMINISTROS[[#This Row],[J]],VOL_VOLUMEN_SUMINISTROS[[#This Row],[FIN DE SEMANA]])</f>
        <v>1052-2TNO</v>
      </c>
      <c r="D1886" s="365" t="str">
        <f>CONCATENATE(VOL_VOLUMEN_SUMINISTROS[[#This Row],[Grupo]],VOL_VOLUMEN_SUMINISTROS[[#This Row],[Proyecto]],VOL_VOLUMEN_SUMINISTROS[[#This Row],[FIN DE SEMANA]])</f>
        <v>161052-2NO</v>
      </c>
      <c r="E1886" s="30" t="s">
        <v>183</v>
      </c>
      <c r="F1886" s="30" t="s">
        <v>148</v>
      </c>
      <c r="G1886" s="365">
        <v>16</v>
      </c>
      <c r="H1886" s="30">
        <v>1</v>
      </c>
      <c r="I1886" s="9" t="s">
        <v>397</v>
      </c>
      <c r="J1886" s="9" t="s">
        <v>398</v>
      </c>
      <c r="K1886" s="30">
        <v>5</v>
      </c>
      <c r="L1886" s="9" t="s">
        <v>1307</v>
      </c>
      <c r="M1886" s="30" t="s">
        <v>84</v>
      </c>
      <c r="N1886" s="30" t="s">
        <v>155</v>
      </c>
      <c r="O1886" s="24">
        <v>0</v>
      </c>
      <c r="P1886" s="24">
        <v>0</v>
      </c>
      <c r="Q1886" s="24">
        <v>74</v>
      </c>
      <c r="R1886" s="24">
        <v>0</v>
      </c>
      <c r="S1886" s="24">
        <v>0</v>
      </c>
      <c r="T1886" s="24">
        <v>74</v>
      </c>
    </row>
    <row r="1887" spans="1:20">
      <c r="A1887" s="9" t="s">
        <v>1304</v>
      </c>
      <c r="B1887" s="30" t="s">
        <v>1310</v>
      </c>
      <c r="C1887" s="30" t="str">
        <f>CONCATENATE(VOL_VOLUMEN_SUMINISTROS[[#This Row],[Proyecto]],VOL_VOLUMEN_SUMINISTROS[[#This Row],[J]],VOL_VOLUMEN_SUMINISTROS[[#This Row],[FIN DE SEMANA]])</f>
        <v>1052-2MNO</v>
      </c>
      <c r="D1887" s="365" t="str">
        <f>CONCATENATE(VOL_VOLUMEN_SUMINISTROS[[#This Row],[Grupo]],VOL_VOLUMEN_SUMINISTROS[[#This Row],[Proyecto]],VOL_VOLUMEN_SUMINISTROS[[#This Row],[FIN DE SEMANA]])</f>
        <v>161052-2NO</v>
      </c>
      <c r="E1887" s="30" t="s">
        <v>183</v>
      </c>
      <c r="F1887" s="30" t="s">
        <v>148</v>
      </c>
      <c r="G1887" s="365">
        <v>16</v>
      </c>
      <c r="H1887" s="30">
        <v>1</v>
      </c>
      <c r="I1887" s="9" t="s">
        <v>397</v>
      </c>
      <c r="J1887" s="9" t="s">
        <v>1168</v>
      </c>
      <c r="K1887" s="30">
        <v>1</v>
      </c>
      <c r="L1887" s="9" t="s">
        <v>1169</v>
      </c>
      <c r="M1887" s="30" t="s">
        <v>84</v>
      </c>
      <c r="N1887" s="30" t="s">
        <v>152</v>
      </c>
      <c r="O1887" s="24">
        <v>0</v>
      </c>
      <c r="P1887" s="24">
        <v>0</v>
      </c>
      <c r="Q1887" s="24">
        <v>67</v>
      </c>
      <c r="R1887" s="24">
        <v>0</v>
      </c>
      <c r="S1887" s="24">
        <v>0</v>
      </c>
      <c r="T1887" s="24">
        <v>67</v>
      </c>
    </row>
    <row r="1888" spans="1:20">
      <c r="A1888" s="9" t="s">
        <v>1304</v>
      </c>
      <c r="B1888" s="30" t="s">
        <v>1310</v>
      </c>
      <c r="C1888" s="30" t="str">
        <f>CONCATENATE(VOL_VOLUMEN_SUMINISTROS[[#This Row],[Proyecto]],VOL_VOLUMEN_SUMINISTROS[[#This Row],[J]],VOL_VOLUMEN_SUMINISTROS[[#This Row],[FIN DE SEMANA]])</f>
        <v>1052-2TNO</v>
      </c>
      <c r="D1888" s="365" t="str">
        <f>CONCATENATE(VOL_VOLUMEN_SUMINISTROS[[#This Row],[Grupo]],VOL_VOLUMEN_SUMINISTROS[[#This Row],[Proyecto]],VOL_VOLUMEN_SUMINISTROS[[#This Row],[FIN DE SEMANA]])</f>
        <v>161052-2NO</v>
      </c>
      <c r="E1888" s="30" t="s">
        <v>183</v>
      </c>
      <c r="F1888" s="30" t="s">
        <v>148</v>
      </c>
      <c r="G1888" s="365">
        <v>16</v>
      </c>
      <c r="H1888" s="30">
        <v>1</v>
      </c>
      <c r="I1888" s="9" t="s">
        <v>397</v>
      </c>
      <c r="J1888" s="9" t="s">
        <v>1168</v>
      </c>
      <c r="K1888" s="30">
        <v>1</v>
      </c>
      <c r="L1888" s="9" t="s">
        <v>1169</v>
      </c>
      <c r="M1888" s="30" t="s">
        <v>84</v>
      </c>
      <c r="N1888" s="30" t="s">
        <v>155</v>
      </c>
      <c r="O1888" s="24">
        <v>0</v>
      </c>
      <c r="P1888" s="24">
        <v>0</v>
      </c>
      <c r="Q1888" s="24">
        <v>63</v>
      </c>
      <c r="R1888" s="24">
        <v>0</v>
      </c>
      <c r="S1888" s="24">
        <v>0</v>
      </c>
      <c r="T1888" s="24">
        <v>63</v>
      </c>
    </row>
    <row r="1889" spans="1:20">
      <c r="A1889" s="9" t="s">
        <v>1304</v>
      </c>
      <c r="B1889" s="30" t="s">
        <v>1310</v>
      </c>
      <c r="C1889" s="30" t="str">
        <f>CONCATENATE(VOL_VOLUMEN_SUMINISTROS[[#This Row],[Proyecto]],VOL_VOLUMEN_SUMINISTROS[[#This Row],[J]],VOL_VOLUMEN_SUMINISTROS[[#This Row],[FIN DE SEMANA]])</f>
        <v>1052-2M1NO</v>
      </c>
      <c r="D1889" s="365" t="str">
        <f>CONCATENATE(VOL_VOLUMEN_SUMINISTROS[[#This Row],[Grupo]],VOL_VOLUMEN_SUMINISTROS[[#This Row],[Proyecto]],VOL_VOLUMEN_SUMINISTROS[[#This Row],[FIN DE SEMANA]])</f>
        <v>161052-2NO</v>
      </c>
      <c r="E1889" s="30" t="s">
        <v>183</v>
      </c>
      <c r="F1889" s="30" t="s">
        <v>148</v>
      </c>
      <c r="G1889" s="365">
        <v>16</v>
      </c>
      <c r="H1889" s="30">
        <v>1</v>
      </c>
      <c r="I1889" s="9" t="s">
        <v>397</v>
      </c>
      <c r="J1889" s="9" t="s">
        <v>411</v>
      </c>
      <c r="K1889" s="30">
        <v>1</v>
      </c>
      <c r="L1889" s="9" t="s">
        <v>412</v>
      </c>
      <c r="M1889" s="30" t="s">
        <v>84</v>
      </c>
      <c r="N1889" s="30" t="s">
        <v>216</v>
      </c>
      <c r="O1889" s="24">
        <v>0</v>
      </c>
      <c r="P1889" s="24">
        <v>0</v>
      </c>
      <c r="Q1889" s="24">
        <v>210</v>
      </c>
      <c r="R1889" s="24">
        <v>0</v>
      </c>
      <c r="S1889" s="24">
        <v>0</v>
      </c>
      <c r="T1889" s="24">
        <v>210</v>
      </c>
    </row>
    <row r="1890" spans="1:20">
      <c r="A1890" s="9" t="s">
        <v>1304</v>
      </c>
      <c r="B1890" s="30" t="s">
        <v>1311</v>
      </c>
      <c r="C1890" s="30" t="str">
        <f>CONCATENATE(VOL_VOLUMEN_SUMINISTROS[[#This Row],[Proyecto]],VOL_VOLUMEN_SUMINISTROS[[#This Row],[J]],VOL_VOLUMEN_SUMINISTROS[[#This Row],[FIN DE SEMANA]])</f>
        <v>1052-2MNO</v>
      </c>
      <c r="D1890" s="365" t="str">
        <f>CONCATENATE(VOL_VOLUMEN_SUMINISTROS[[#This Row],[Grupo]],VOL_VOLUMEN_SUMINISTROS[[#This Row],[Proyecto]],VOL_VOLUMEN_SUMINISTROS[[#This Row],[FIN DE SEMANA]])</f>
        <v>161052-2NO</v>
      </c>
      <c r="E1890" s="30" t="s">
        <v>183</v>
      </c>
      <c r="F1890" s="30" t="s">
        <v>148</v>
      </c>
      <c r="G1890" s="365">
        <v>16</v>
      </c>
      <c r="H1890" s="30">
        <v>1</v>
      </c>
      <c r="I1890" s="9" t="s">
        <v>397</v>
      </c>
      <c r="J1890" s="9" t="s">
        <v>398</v>
      </c>
      <c r="K1890" s="30">
        <v>2</v>
      </c>
      <c r="L1890" s="9" t="s">
        <v>400</v>
      </c>
      <c r="M1890" s="30" t="s">
        <v>84</v>
      </c>
      <c r="N1890" s="30" t="s">
        <v>152</v>
      </c>
      <c r="O1890" s="24">
        <v>45</v>
      </c>
      <c r="P1890" s="24">
        <v>0</v>
      </c>
      <c r="Q1890" s="24">
        <v>0</v>
      </c>
      <c r="R1890" s="24">
        <v>0</v>
      </c>
      <c r="S1890" s="24">
        <v>0</v>
      </c>
      <c r="T1890" s="24">
        <v>45</v>
      </c>
    </row>
    <row r="1891" spans="1:20">
      <c r="A1891" s="9" t="s">
        <v>1304</v>
      </c>
      <c r="B1891" s="30" t="s">
        <v>1311</v>
      </c>
      <c r="C1891" s="30" t="str">
        <f>CONCATENATE(VOL_VOLUMEN_SUMINISTROS[[#This Row],[Proyecto]],VOL_VOLUMEN_SUMINISTROS[[#This Row],[J]],VOL_VOLUMEN_SUMINISTROS[[#This Row],[FIN DE SEMANA]])</f>
        <v>1052-2TNO</v>
      </c>
      <c r="D1891" s="365" t="str">
        <f>CONCATENATE(VOL_VOLUMEN_SUMINISTROS[[#This Row],[Grupo]],VOL_VOLUMEN_SUMINISTROS[[#This Row],[Proyecto]],VOL_VOLUMEN_SUMINISTROS[[#This Row],[FIN DE SEMANA]])</f>
        <v>161052-2NO</v>
      </c>
      <c r="E1891" s="30" t="s">
        <v>183</v>
      </c>
      <c r="F1891" s="30" t="s">
        <v>148</v>
      </c>
      <c r="G1891" s="365">
        <v>16</v>
      </c>
      <c r="H1891" s="30">
        <v>1</v>
      </c>
      <c r="I1891" s="9" t="s">
        <v>397</v>
      </c>
      <c r="J1891" s="9" t="s">
        <v>398</v>
      </c>
      <c r="K1891" s="30">
        <v>2</v>
      </c>
      <c r="L1891" s="9" t="s">
        <v>400</v>
      </c>
      <c r="M1891" s="30" t="s">
        <v>84</v>
      </c>
      <c r="N1891" s="30" t="s">
        <v>155</v>
      </c>
      <c r="O1891" s="24">
        <v>44</v>
      </c>
      <c r="P1891" s="24">
        <v>0</v>
      </c>
      <c r="Q1891" s="24">
        <v>0</v>
      </c>
      <c r="R1891" s="24">
        <v>0</v>
      </c>
      <c r="S1891" s="24">
        <v>0</v>
      </c>
      <c r="T1891" s="24">
        <v>44</v>
      </c>
    </row>
    <row r="1892" spans="1:20">
      <c r="A1892" s="9" t="s">
        <v>1304</v>
      </c>
      <c r="B1892" s="30" t="s">
        <v>1311</v>
      </c>
      <c r="C1892" s="30" t="str">
        <f>CONCATENATE(VOL_VOLUMEN_SUMINISTROS[[#This Row],[Proyecto]],VOL_VOLUMEN_SUMINISTROS[[#This Row],[J]],VOL_VOLUMEN_SUMINISTROS[[#This Row],[FIN DE SEMANA]])</f>
        <v>1052-2TNO</v>
      </c>
      <c r="D1892" s="365" t="str">
        <f>CONCATENATE(VOL_VOLUMEN_SUMINISTROS[[#This Row],[Grupo]],VOL_VOLUMEN_SUMINISTROS[[#This Row],[Proyecto]],VOL_VOLUMEN_SUMINISTROS[[#This Row],[FIN DE SEMANA]])</f>
        <v>161052-2NO</v>
      </c>
      <c r="E1892" s="30" t="s">
        <v>183</v>
      </c>
      <c r="F1892" s="30" t="s">
        <v>148</v>
      </c>
      <c r="G1892" s="365">
        <v>16</v>
      </c>
      <c r="H1892" s="30">
        <v>1</v>
      </c>
      <c r="I1892" s="9" t="s">
        <v>397</v>
      </c>
      <c r="J1892" s="9" t="s">
        <v>398</v>
      </c>
      <c r="K1892" s="30">
        <v>3</v>
      </c>
      <c r="L1892" s="9" t="s">
        <v>401</v>
      </c>
      <c r="M1892" s="30" t="s">
        <v>84</v>
      </c>
      <c r="N1892" s="30" t="s">
        <v>155</v>
      </c>
      <c r="O1892" s="24">
        <v>68</v>
      </c>
      <c r="P1892" s="24">
        <v>0</v>
      </c>
      <c r="Q1892" s="24">
        <v>0</v>
      </c>
      <c r="R1892" s="24">
        <v>0</v>
      </c>
      <c r="S1892" s="24">
        <v>0</v>
      </c>
      <c r="T1892" s="24">
        <v>68</v>
      </c>
    </row>
    <row r="1893" spans="1:20">
      <c r="A1893" s="9" t="s">
        <v>1304</v>
      </c>
      <c r="B1893" s="30" t="s">
        <v>1311</v>
      </c>
      <c r="C1893" s="30" t="str">
        <f>CONCATENATE(VOL_VOLUMEN_SUMINISTROS[[#This Row],[Proyecto]],VOL_VOLUMEN_SUMINISTROS[[#This Row],[J]],VOL_VOLUMEN_SUMINISTROS[[#This Row],[FIN DE SEMANA]])</f>
        <v>1052-2MNO</v>
      </c>
      <c r="D1893" s="365" t="str">
        <f>CONCATENATE(VOL_VOLUMEN_SUMINISTROS[[#This Row],[Grupo]],VOL_VOLUMEN_SUMINISTROS[[#This Row],[Proyecto]],VOL_VOLUMEN_SUMINISTROS[[#This Row],[FIN DE SEMANA]])</f>
        <v>161052-2NO</v>
      </c>
      <c r="E1893" s="30" t="s">
        <v>183</v>
      </c>
      <c r="F1893" s="30" t="s">
        <v>148</v>
      </c>
      <c r="G1893" s="365">
        <v>16</v>
      </c>
      <c r="H1893" s="30">
        <v>1</v>
      </c>
      <c r="I1893" s="9" t="s">
        <v>397</v>
      </c>
      <c r="J1893" s="9" t="s">
        <v>398</v>
      </c>
      <c r="K1893" s="30">
        <v>6</v>
      </c>
      <c r="L1893" s="9" t="s">
        <v>402</v>
      </c>
      <c r="M1893" s="30" t="s">
        <v>84</v>
      </c>
      <c r="N1893" s="30" t="s">
        <v>152</v>
      </c>
      <c r="O1893" s="24">
        <v>33</v>
      </c>
      <c r="P1893" s="24">
        <v>0</v>
      </c>
      <c r="Q1893" s="24">
        <v>0</v>
      </c>
      <c r="R1893" s="24">
        <v>0</v>
      </c>
      <c r="S1893" s="24">
        <v>0</v>
      </c>
      <c r="T1893" s="24">
        <v>33</v>
      </c>
    </row>
    <row r="1894" spans="1:20">
      <c r="A1894" s="9" t="s">
        <v>1304</v>
      </c>
      <c r="B1894" s="30" t="s">
        <v>1311</v>
      </c>
      <c r="C1894" s="30" t="str">
        <f>CONCATENATE(VOL_VOLUMEN_SUMINISTROS[[#This Row],[Proyecto]],VOL_VOLUMEN_SUMINISTROS[[#This Row],[J]],VOL_VOLUMEN_SUMINISTROS[[#This Row],[FIN DE SEMANA]])</f>
        <v>1052-2TNO</v>
      </c>
      <c r="D1894" s="365" t="str">
        <f>CONCATENATE(VOL_VOLUMEN_SUMINISTROS[[#This Row],[Grupo]],VOL_VOLUMEN_SUMINISTROS[[#This Row],[Proyecto]],VOL_VOLUMEN_SUMINISTROS[[#This Row],[FIN DE SEMANA]])</f>
        <v>161052-2NO</v>
      </c>
      <c r="E1894" s="30" t="s">
        <v>183</v>
      </c>
      <c r="F1894" s="30" t="s">
        <v>148</v>
      </c>
      <c r="G1894" s="365">
        <v>16</v>
      </c>
      <c r="H1894" s="30">
        <v>1</v>
      </c>
      <c r="I1894" s="9" t="s">
        <v>397</v>
      </c>
      <c r="J1894" s="9" t="s">
        <v>398</v>
      </c>
      <c r="K1894" s="30">
        <v>6</v>
      </c>
      <c r="L1894" s="9" t="s">
        <v>402</v>
      </c>
      <c r="M1894" s="30" t="s">
        <v>84</v>
      </c>
      <c r="N1894" s="30" t="s">
        <v>155</v>
      </c>
      <c r="O1894" s="24">
        <v>25</v>
      </c>
      <c r="P1894" s="24">
        <v>0</v>
      </c>
      <c r="Q1894" s="24">
        <v>0</v>
      </c>
      <c r="R1894" s="24">
        <v>0</v>
      </c>
      <c r="S1894" s="24">
        <v>0</v>
      </c>
      <c r="T1894" s="24">
        <v>25</v>
      </c>
    </row>
    <row r="1895" spans="1:20">
      <c r="A1895" s="9" t="s">
        <v>1304</v>
      </c>
      <c r="B1895" s="30" t="s">
        <v>1311</v>
      </c>
      <c r="C1895" s="30" t="str">
        <f>CONCATENATE(VOL_VOLUMEN_SUMINISTROS[[#This Row],[Proyecto]],VOL_VOLUMEN_SUMINISTROS[[#This Row],[J]],VOL_VOLUMEN_SUMINISTROS[[#This Row],[FIN DE SEMANA]])</f>
        <v>1052-2TNO</v>
      </c>
      <c r="D1895" s="365" t="str">
        <f>CONCATENATE(VOL_VOLUMEN_SUMINISTROS[[#This Row],[Grupo]],VOL_VOLUMEN_SUMINISTROS[[#This Row],[Proyecto]],VOL_VOLUMEN_SUMINISTROS[[#This Row],[FIN DE SEMANA]])</f>
        <v>161052-2NO</v>
      </c>
      <c r="E1895" s="30" t="s">
        <v>183</v>
      </c>
      <c r="F1895" s="30" t="s">
        <v>148</v>
      </c>
      <c r="G1895" s="365">
        <v>16</v>
      </c>
      <c r="H1895" s="30">
        <v>1</v>
      </c>
      <c r="I1895" s="9" t="s">
        <v>397</v>
      </c>
      <c r="J1895" s="9" t="s">
        <v>403</v>
      </c>
      <c r="K1895" s="30">
        <v>4</v>
      </c>
      <c r="L1895" s="9" t="s">
        <v>406</v>
      </c>
      <c r="M1895" s="30" t="s">
        <v>84</v>
      </c>
      <c r="N1895" s="30" t="s">
        <v>155</v>
      </c>
      <c r="O1895" s="24">
        <v>69</v>
      </c>
      <c r="P1895" s="24">
        <v>0</v>
      </c>
      <c r="Q1895" s="24">
        <v>0</v>
      </c>
      <c r="R1895" s="24">
        <v>0</v>
      </c>
      <c r="S1895" s="24">
        <v>0</v>
      </c>
      <c r="T1895" s="24">
        <v>69</v>
      </c>
    </row>
    <row r="1896" spans="1:20">
      <c r="A1896" s="9" t="s">
        <v>1105</v>
      </c>
      <c r="B1896" s="30" t="s">
        <v>1210</v>
      </c>
      <c r="C1896" s="30" t="str">
        <f>CONCATENATE(VOL_VOLUMEN_SUMINISTROS[[#This Row],[Proyecto]],VOL_VOLUMEN_SUMINISTROS[[#This Row],[J]],VOL_VOLUMEN_SUMINISTROS[[#This Row],[FIN DE SEMANA]])</f>
        <v>1052-1MNO</v>
      </c>
      <c r="D1896" s="365" t="str">
        <f>CONCATENATE(VOL_VOLUMEN_SUMINISTROS[[#This Row],[Grupo]],VOL_VOLUMEN_SUMINISTROS[[#This Row],[Proyecto]],VOL_VOLUMEN_SUMINISTROS[[#This Row],[FIN DE SEMANA]])</f>
        <v>61052-1NO</v>
      </c>
      <c r="E1896" s="30" t="s">
        <v>147</v>
      </c>
      <c r="F1896" s="30" t="s">
        <v>148</v>
      </c>
      <c r="G1896" s="365">
        <v>6</v>
      </c>
      <c r="H1896" s="30">
        <v>5</v>
      </c>
      <c r="I1896" s="9" t="s">
        <v>764</v>
      </c>
      <c r="J1896" s="9" t="s">
        <v>1312</v>
      </c>
      <c r="K1896" s="30"/>
      <c r="M1896" s="30" t="s">
        <v>84</v>
      </c>
      <c r="N1896" s="30" t="s">
        <v>152</v>
      </c>
      <c r="O1896" s="24">
        <v>289</v>
      </c>
      <c r="P1896" s="24">
        <v>370</v>
      </c>
      <c r="Q1896" s="24">
        <v>482</v>
      </c>
      <c r="R1896" s="24">
        <v>0</v>
      </c>
      <c r="S1896" s="24">
        <v>0</v>
      </c>
      <c r="T1896" s="24">
        <v>1141</v>
      </c>
    </row>
    <row r="1897" spans="1:20">
      <c r="A1897" s="9" t="s">
        <v>1105</v>
      </c>
      <c r="B1897" s="30" t="s">
        <v>1210</v>
      </c>
      <c r="C1897" s="30" t="str">
        <f>CONCATENATE(VOL_VOLUMEN_SUMINISTROS[[#This Row],[Proyecto]],VOL_VOLUMEN_SUMINISTROS[[#This Row],[J]],VOL_VOLUMEN_SUMINISTROS[[#This Row],[FIN DE SEMANA]])</f>
        <v>1052-2MNO</v>
      </c>
      <c r="D1897" s="365" t="str">
        <f>CONCATENATE(VOL_VOLUMEN_SUMINISTROS[[#This Row],[Grupo]],VOL_VOLUMEN_SUMINISTROS[[#This Row],[Proyecto]],VOL_VOLUMEN_SUMINISTROS[[#This Row],[FIN DE SEMANA]])</f>
        <v>61052-2NO</v>
      </c>
      <c r="E1897" s="30" t="s">
        <v>183</v>
      </c>
      <c r="F1897" s="30" t="s">
        <v>148</v>
      </c>
      <c r="G1897" s="365">
        <v>6</v>
      </c>
      <c r="H1897" s="30">
        <v>5</v>
      </c>
      <c r="I1897" s="9" t="s">
        <v>764</v>
      </c>
      <c r="J1897" s="9" t="s">
        <v>1312</v>
      </c>
      <c r="K1897" s="30"/>
      <c r="M1897" s="30" t="s">
        <v>84</v>
      </c>
      <c r="N1897" s="30" t="s">
        <v>152</v>
      </c>
      <c r="O1897" s="24">
        <v>289</v>
      </c>
      <c r="P1897" s="24">
        <v>370</v>
      </c>
      <c r="Q1897" s="24">
        <v>482</v>
      </c>
      <c r="R1897" s="24">
        <v>0</v>
      </c>
      <c r="S1897" s="24">
        <v>0</v>
      </c>
      <c r="T1897" s="24">
        <v>1141</v>
      </c>
    </row>
    <row r="1898" spans="1:20">
      <c r="A1898" s="9" t="s">
        <v>1105</v>
      </c>
      <c r="B1898" s="30" t="s">
        <v>1210</v>
      </c>
      <c r="C1898" s="30" t="str">
        <f>CONCATENATE(VOL_VOLUMEN_SUMINISTROS[[#This Row],[Proyecto]],VOL_VOLUMEN_SUMINISTROS[[#This Row],[J]],VOL_VOLUMEN_SUMINISTROS[[#This Row],[FIN DE SEMANA]])</f>
        <v>1052-1MNO</v>
      </c>
      <c r="D1898" s="365" t="str">
        <f>CONCATENATE(VOL_VOLUMEN_SUMINISTROS[[#This Row],[Grupo]],VOL_VOLUMEN_SUMINISTROS[[#This Row],[Proyecto]],VOL_VOLUMEN_SUMINISTROS[[#This Row],[FIN DE SEMANA]])</f>
        <v>61052-1NO</v>
      </c>
      <c r="E1898" s="30" t="s">
        <v>147</v>
      </c>
      <c r="F1898" s="30" t="s">
        <v>148</v>
      </c>
      <c r="G1898" s="365">
        <v>6</v>
      </c>
      <c r="H1898" s="30">
        <v>5</v>
      </c>
      <c r="I1898" s="9" t="s">
        <v>764</v>
      </c>
      <c r="J1898" s="9" t="s">
        <v>1313</v>
      </c>
      <c r="K1898" s="30"/>
      <c r="M1898" s="30" t="s">
        <v>84</v>
      </c>
      <c r="N1898" s="30" t="s">
        <v>152</v>
      </c>
      <c r="O1898" s="24">
        <v>270</v>
      </c>
      <c r="P1898" s="24">
        <v>391</v>
      </c>
      <c r="Q1898" s="24">
        <v>472</v>
      </c>
      <c r="R1898" s="24">
        <v>0</v>
      </c>
      <c r="S1898" s="24">
        <v>0</v>
      </c>
      <c r="T1898" s="24">
        <v>1133</v>
      </c>
    </row>
    <row r="1899" spans="1:20">
      <c r="A1899" s="9" t="s">
        <v>1105</v>
      </c>
      <c r="B1899" s="30" t="s">
        <v>1210</v>
      </c>
      <c r="C1899" s="30" t="str">
        <f>CONCATENATE(VOL_VOLUMEN_SUMINISTROS[[#This Row],[Proyecto]],VOL_VOLUMEN_SUMINISTROS[[#This Row],[J]],VOL_VOLUMEN_SUMINISTROS[[#This Row],[FIN DE SEMANA]])</f>
        <v>1052-2MNO</v>
      </c>
      <c r="D1899" s="365" t="str">
        <f>CONCATENATE(VOL_VOLUMEN_SUMINISTROS[[#This Row],[Grupo]],VOL_VOLUMEN_SUMINISTROS[[#This Row],[Proyecto]],VOL_VOLUMEN_SUMINISTROS[[#This Row],[FIN DE SEMANA]])</f>
        <v>61052-2NO</v>
      </c>
      <c r="E1899" s="30" t="s">
        <v>183</v>
      </c>
      <c r="F1899" s="30" t="s">
        <v>148</v>
      </c>
      <c r="G1899" s="365">
        <v>6</v>
      </c>
      <c r="H1899" s="30">
        <v>5</v>
      </c>
      <c r="I1899" s="9" t="s">
        <v>764</v>
      </c>
      <c r="J1899" s="9" t="s">
        <v>1313</v>
      </c>
      <c r="K1899" s="30"/>
      <c r="M1899" s="30" t="s">
        <v>84</v>
      </c>
      <c r="N1899" s="30" t="s">
        <v>152</v>
      </c>
      <c r="O1899" s="24">
        <v>270</v>
      </c>
      <c r="P1899" s="24">
        <v>391</v>
      </c>
      <c r="Q1899" s="24">
        <v>472</v>
      </c>
      <c r="R1899" s="24">
        <v>0</v>
      </c>
      <c r="S1899" s="24">
        <v>0</v>
      </c>
      <c r="T1899" s="24">
        <v>1133</v>
      </c>
    </row>
    <row r="1900" spans="1:20">
      <c r="A1900" s="9" t="s">
        <v>1105</v>
      </c>
      <c r="B1900" s="30" t="s">
        <v>1210</v>
      </c>
      <c r="C1900" s="30" t="str">
        <f>CONCATENATE(VOL_VOLUMEN_SUMINISTROS[[#This Row],[Proyecto]],VOL_VOLUMEN_SUMINISTROS[[#This Row],[J]],VOL_VOLUMEN_SUMINISTROS[[#This Row],[FIN DE SEMANA]])</f>
        <v>1052-1MNO</v>
      </c>
      <c r="D1900" s="365" t="str">
        <f>CONCATENATE(VOL_VOLUMEN_SUMINISTROS[[#This Row],[Grupo]],VOL_VOLUMEN_SUMINISTROS[[#This Row],[Proyecto]],VOL_VOLUMEN_SUMINISTROS[[#This Row],[FIN DE SEMANA]])</f>
        <v>61052-1NO</v>
      </c>
      <c r="E1900" s="30" t="s">
        <v>147</v>
      </c>
      <c r="F1900" s="30" t="s">
        <v>148</v>
      </c>
      <c r="G1900" s="365">
        <v>6</v>
      </c>
      <c r="H1900" s="30">
        <v>5</v>
      </c>
      <c r="I1900" s="9" t="s">
        <v>764</v>
      </c>
      <c r="J1900" s="9" t="s">
        <v>1314</v>
      </c>
      <c r="K1900" s="30"/>
      <c r="M1900" s="30" t="s">
        <v>84</v>
      </c>
      <c r="N1900" s="30" t="s">
        <v>152</v>
      </c>
      <c r="O1900" s="24">
        <v>327</v>
      </c>
      <c r="P1900" s="24">
        <v>569</v>
      </c>
      <c r="Q1900" s="24">
        <v>532</v>
      </c>
      <c r="R1900" s="24">
        <v>0</v>
      </c>
      <c r="S1900" s="24">
        <v>0</v>
      </c>
      <c r="T1900" s="24">
        <v>1428</v>
      </c>
    </row>
    <row r="1901" spans="1:20">
      <c r="A1901" s="9" t="s">
        <v>1105</v>
      </c>
      <c r="B1901" s="30" t="s">
        <v>1210</v>
      </c>
      <c r="C1901" s="30" t="str">
        <f>CONCATENATE(VOL_VOLUMEN_SUMINISTROS[[#This Row],[Proyecto]],VOL_VOLUMEN_SUMINISTROS[[#This Row],[J]],VOL_VOLUMEN_SUMINISTROS[[#This Row],[FIN DE SEMANA]])</f>
        <v>1052-2MNO</v>
      </c>
      <c r="D1901" s="365" t="str">
        <f>CONCATENATE(VOL_VOLUMEN_SUMINISTROS[[#This Row],[Grupo]],VOL_VOLUMEN_SUMINISTROS[[#This Row],[Proyecto]],VOL_VOLUMEN_SUMINISTROS[[#This Row],[FIN DE SEMANA]])</f>
        <v>61052-2NO</v>
      </c>
      <c r="E1901" s="30" t="s">
        <v>183</v>
      </c>
      <c r="F1901" s="30" t="s">
        <v>148</v>
      </c>
      <c r="G1901" s="365">
        <v>6</v>
      </c>
      <c r="H1901" s="30">
        <v>5</v>
      </c>
      <c r="I1901" s="9" t="s">
        <v>764</v>
      </c>
      <c r="J1901" s="9" t="s">
        <v>1314</v>
      </c>
      <c r="K1901" s="30"/>
      <c r="M1901" s="30" t="s">
        <v>84</v>
      </c>
      <c r="N1901" s="30" t="s">
        <v>152</v>
      </c>
      <c r="O1901" s="24">
        <v>327</v>
      </c>
      <c r="P1901" s="24">
        <v>569</v>
      </c>
      <c r="Q1901" s="24">
        <v>532</v>
      </c>
      <c r="R1901" s="24">
        <v>0</v>
      </c>
      <c r="S1901" s="24">
        <v>0</v>
      </c>
      <c r="T1901" s="24">
        <v>1428</v>
      </c>
    </row>
    <row r="1902" spans="1:20">
      <c r="A1902" s="9" t="s">
        <v>1105</v>
      </c>
      <c r="B1902" s="30" t="s">
        <v>1210</v>
      </c>
      <c r="C1902" s="30" t="str">
        <f>CONCATENATE(VOL_VOLUMEN_SUMINISTROS[[#This Row],[Proyecto]],VOL_VOLUMEN_SUMINISTROS[[#This Row],[J]],VOL_VOLUMEN_SUMINISTROS[[#This Row],[FIN DE SEMANA]])</f>
        <v>1052-1MNO</v>
      </c>
      <c r="D1902" s="365" t="str">
        <f>CONCATENATE(VOL_VOLUMEN_SUMINISTROS[[#This Row],[Grupo]],VOL_VOLUMEN_SUMINISTROS[[#This Row],[Proyecto]],VOL_VOLUMEN_SUMINISTROS[[#This Row],[FIN DE SEMANA]])</f>
        <v>61052-1NO</v>
      </c>
      <c r="E1902" s="30" t="s">
        <v>147</v>
      </c>
      <c r="F1902" s="30" t="s">
        <v>148</v>
      </c>
      <c r="G1902" s="365">
        <v>6</v>
      </c>
      <c r="H1902" s="30">
        <v>5</v>
      </c>
      <c r="I1902" s="9" t="s">
        <v>764</v>
      </c>
      <c r="J1902" s="9" t="s">
        <v>1315</v>
      </c>
      <c r="K1902" s="30"/>
      <c r="M1902" s="30" t="s">
        <v>84</v>
      </c>
      <c r="N1902" s="30" t="s">
        <v>152</v>
      </c>
      <c r="O1902" s="24">
        <v>359</v>
      </c>
      <c r="P1902" s="24">
        <v>432</v>
      </c>
      <c r="Q1902" s="24">
        <v>448</v>
      </c>
      <c r="R1902" s="24">
        <v>0</v>
      </c>
      <c r="S1902" s="24">
        <v>0</v>
      </c>
      <c r="T1902" s="24">
        <v>1239</v>
      </c>
    </row>
    <row r="1903" spans="1:20">
      <c r="A1903" s="9" t="s">
        <v>1105</v>
      </c>
      <c r="B1903" s="30" t="s">
        <v>1165</v>
      </c>
      <c r="C1903" s="30" t="str">
        <f>CONCATENATE(VOL_VOLUMEN_SUMINISTROS[[#This Row],[Proyecto]],VOL_VOLUMEN_SUMINISTROS[[#This Row],[J]],VOL_VOLUMEN_SUMINISTROS[[#This Row],[FIN DE SEMANA]])</f>
        <v>1052-1MNO</v>
      </c>
      <c r="D1903" s="365" t="str">
        <f>CONCATENATE(VOL_VOLUMEN_SUMINISTROS[[#This Row],[Grupo]],VOL_VOLUMEN_SUMINISTROS[[#This Row],[Proyecto]],VOL_VOLUMEN_SUMINISTROS[[#This Row],[FIN DE SEMANA]])</f>
        <v>291052-1NO</v>
      </c>
      <c r="E1903" s="30" t="s">
        <v>147</v>
      </c>
      <c r="F1903" s="30" t="s">
        <v>148</v>
      </c>
      <c r="G1903" s="365">
        <v>29</v>
      </c>
      <c r="H1903" s="30">
        <v>7</v>
      </c>
      <c r="I1903" s="9" t="s">
        <v>221</v>
      </c>
      <c r="J1903" s="9" t="s">
        <v>1316</v>
      </c>
      <c r="K1903" s="30"/>
      <c r="M1903" s="30" t="s">
        <v>84</v>
      </c>
      <c r="N1903" s="30" t="s">
        <v>152</v>
      </c>
      <c r="O1903" s="24">
        <v>363</v>
      </c>
      <c r="P1903" s="24">
        <v>425</v>
      </c>
      <c r="Q1903" s="24">
        <v>456</v>
      </c>
      <c r="R1903" s="24">
        <v>0</v>
      </c>
      <c r="S1903" s="24">
        <v>0</v>
      </c>
      <c r="T1903" s="24">
        <v>1244</v>
      </c>
    </row>
    <row r="1904" spans="1:20">
      <c r="A1904" s="9" t="s">
        <v>1105</v>
      </c>
      <c r="B1904" s="30" t="s">
        <v>1165</v>
      </c>
      <c r="C1904" s="30" t="str">
        <f>CONCATENATE(VOL_VOLUMEN_SUMINISTROS[[#This Row],[Proyecto]],VOL_VOLUMEN_SUMINISTROS[[#This Row],[J]],VOL_VOLUMEN_SUMINISTROS[[#This Row],[FIN DE SEMANA]])</f>
        <v>1052-1MNO</v>
      </c>
      <c r="D1904" s="365" t="str">
        <f>CONCATENATE(VOL_VOLUMEN_SUMINISTROS[[#This Row],[Grupo]],VOL_VOLUMEN_SUMINISTROS[[#This Row],[Proyecto]],VOL_VOLUMEN_SUMINISTROS[[#This Row],[FIN DE SEMANA]])</f>
        <v>291052-1NO</v>
      </c>
      <c r="E1904" s="30" t="s">
        <v>147</v>
      </c>
      <c r="F1904" s="30" t="s">
        <v>148</v>
      </c>
      <c r="G1904" s="365">
        <v>29</v>
      </c>
      <c r="H1904" s="30">
        <v>7</v>
      </c>
      <c r="I1904" s="9" t="s">
        <v>221</v>
      </c>
      <c r="J1904" s="9" t="s">
        <v>1317</v>
      </c>
      <c r="K1904" s="30"/>
      <c r="M1904" s="30" t="s">
        <v>84</v>
      </c>
      <c r="N1904" s="30" t="s">
        <v>152</v>
      </c>
      <c r="O1904" s="24">
        <v>457</v>
      </c>
      <c r="P1904" s="24">
        <v>553</v>
      </c>
      <c r="Q1904" s="24">
        <v>913</v>
      </c>
      <c r="R1904" s="24">
        <v>0</v>
      </c>
      <c r="S1904" s="24">
        <v>0</v>
      </c>
      <c r="T1904" s="24">
        <v>1923</v>
      </c>
    </row>
    <row r="1905" spans="1:20">
      <c r="A1905" s="9" t="s">
        <v>1105</v>
      </c>
      <c r="B1905" s="30" t="s">
        <v>1165</v>
      </c>
      <c r="C1905" s="30" t="str">
        <f>CONCATENATE(VOL_VOLUMEN_SUMINISTROS[[#This Row],[Proyecto]],VOL_VOLUMEN_SUMINISTROS[[#This Row],[J]],VOL_VOLUMEN_SUMINISTROS[[#This Row],[FIN DE SEMANA]])</f>
        <v>1052-1MNO</v>
      </c>
      <c r="D1905" s="365" t="str">
        <f>CONCATENATE(VOL_VOLUMEN_SUMINISTROS[[#This Row],[Grupo]],VOL_VOLUMEN_SUMINISTROS[[#This Row],[Proyecto]],VOL_VOLUMEN_SUMINISTROS[[#This Row],[FIN DE SEMANA]])</f>
        <v>291052-1NO</v>
      </c>
      <c r="E1905" s="30" t="s">
        <v>147</v>
      </c>
      <c r="F1905" s="30" t="s">
        <v>148</v>
      </c>
      <c r="G1905" s="365">
        <v>29</v>
      </c>
      <c r="H1905" s="30">
        <v>7</v>
      </c>
      <c r="I1905" s="9" t="s">
        <v>221</v>
      </c>
      <c r="J1905" s="9" t="s">
        <v>1318</v>
      </c>
      <c r="K1905" s="30"/>
      <c r="M1905" s="30" t="s">
        <v>84</v>
      </c>
      <c r="N1905" s="30" t="s">
        <v>152</v>
      </c>
      <c r="O1905" s="24">
        <v>377</v>
      </c>
      <c r="P1905" s="24">
        <v>462</v>
      </c>
      <c r="Q1905" s="24">
        <v>566</v>
      </c>
      <c r="R1905" s="24">
        <v>0</v>
      </c>
      <c r="S1905" s="24">
        <v>0</v>
      </c>
      <c r="T1905" s="24">
        <v>1405</v>
      </c>
    </row>
    <row r="1906" spans="1:20">
      <c r="A1906" s="9" t="s">
        <v>702</v>
      </c>
      <c r="B1906" s="30" t="s">
        <v>703</v>
      </c>
      <c r="C1906" s="30" t="str">
        <f>CONCATENATE(VOL_VOLUMEN_SUMINISTROS[[#This Row],[Proyecto]],VOL_VOLUMEN_SUMINISTROS[[#This Row],[J]],VOL_VOLUMEN_SUMINISTROS[[#This Row],[FIN DE SEMANA]])</f>
        <v>1052-1MNO</v>
      </c>
      <c r="D1906" s="365" t="str">
        <f>CONCATENATE(VOL_VOLUMEN_SUMINISTROS[[#This Row],[Grupo]],VOL_VOLUMEN_SUMINISTROS[[#This Row],[Proyecto]],VOL_VOLUMEN_SUMINISTROS[[#This Row],[FIN DE SEMANA]])</f>
        <v>61052-1NO</v>
      </c>
      <c r="E1906" s="30" t="s">
        <v>147</v>
      </c>
      <c r="F1906" s="30" t="s">
        <v>148</v>
      </c>
      <c r="G1906" s="365">
        <v>6</v>
      </c>
      <c r="H1906" s="30">
        <v>19</v>
      </c>
      <c r="I1906" s="9" t="s">
        <v>250</v>
      </c>
      <c r="J1906" s="9" t="s">
        <v>1319</v>
      </c>
      <c r="K1906" s="30"/>
      <c r="M1906" s="30" t="s">
        <v>84</v>
      </c>
      <c r="N1906" s="30" t="s">
        <v>152</v>
      </c>
      <c r="O1906" s="24">
        <v>310</v>
      </c>
      <c r="P1906" s="24">
        <v>426</v>
      </c>
      <c r="Q1906" s="24">
        <v>441</v>
      </c>
      <c r="R1906" s="24">
        <v>0</v>
      </c>
      <c r="S1906" s="24">
        <v>0</v>
      </c>
      <c r="T1906" s="24">
        <v>1177</v>
      </c>
    </row>
    <row r="1907" spans="1:20">
      <c r="A1907" s="9" t="s">
        <v>1049</v>
      </c>
      <c r="B1907" s="30" t="s">
        <v>1050</v>
      </c>
      <c r="C1907" s="30" t="str">
        <f>CONCATENATE(VOL_VOLUMEN_SUMINISTROS[[#This Row],[Proyecto]],VOL_VOLUMEN_SUMINISTROS[[#This Row],[J]],VOL_VOLUMEN_SUMINISTROS[[#This Row],[FIN DE SEMANA]])</f>
        <v>1052-1MNO</v>
      </c>
      <c r="D1907" s="365" t="str">
        <f>CONCATENATE(VOL_VOLUMEN_SUMINISTROS[[#This Row],[Grupo]],VOL_VOLUMEN_SUMINISTROS[[#This Row],[Proyecto]],VOL_VOLUMEN_SUMINISTROS[[#This Row],[FIN DE SEMANA]])</f>
        <v>121052-1NO</v>
      </c>
      <c r="E1907" s="30" t="s">
        <v>147</v>
      </c>
      <c r="F1907" s="30" t="s">
        <v>148</v>
      </c>
      <c r="G1907" s="365">
        <v>12</v>
      </c>
      <c r="H1907" s="30">
        <v>8</v>
      </c>
      <c r="I1907" s="9" t="s">
        <v>149</v>
      </c>
      <c r="J1907" s="9" t="s">
        <v>1320</v>
      </c>
      <c r="K1907" s="30"/>
      <c r="M1907" s="30" t="s">
        <v>84</v>
      </c>
      <c r="N1907" s="30" t="s">
        <v>152</v>
      </c>
      <c r="O1907" s="24">
        <v>364</v>
      </c>
      <c r="P1907" s="24">
        <v>456</v>
      </c>
      <c r="Q1907" s="24">
        <v>578</v>
      </c>
      <c r="R1907" s="24">
        <v>0</v>
      </c>
      <c r="S1907" s="24">
        <v>0</v>
      </c>
      <c r="T1907" s="24">
        <v>1398</v>
      </c>
    </row>
    <row r="1908" spans="1:20">
      <c r="A1908" s="9" t="s">
        <v>829</v>
      </c>
      <c r="B1908" s="30" t="s">
        <v>906</v>
      </c>
      <c r="C1908" s="30" t="str">
        <f>CONCATENATE(VOL_VOLUMEN_SUMINISTROS[[#This Row],[Proyecto]],VOL_VOLUMEN_SUMINISTROS[[#This Row],[J]],VOL_VOLUMEN_SUMINISTROS[[#This Row],[FIN DE SEMANA]])</f>
        <v>1052-1MNO</v>
      </c>
      <c r="D1908" s="365" t="str">
        <f>CONCATENATE(VOL_VOLUMEN_SUMINISTROS[[#This Row],[Grupo]],VOL_VOLUMEN_SUMINISTROS[[#This Row],[Proyecto]],VOL_VOLUMEN_SUMINISTROS[[#This Row],[FIN DE SEMANA]])</f>
        <v>161052-1NO</v>
      </c>
      <c r="E1908" s="30" t="s">
        <v>147</v>
      </c>
      <c r="F1908" s="30" t="s">
        <v>148</v>
      </c>
      <c r="G1908" s="365">
        <v>16</v>
      </c>
      <c r="H1908" s="30">
        <v>1</v>
      </c>
      <c r="I1908" s="9" t="s">
        <v>1321</v>
      </c>
      <c r="J1908" s="9" t="s">
        <v>1322</v>
      </c>
      <c r="K1908" s="30"/>
      <c r="M1908" s="30" t="s">
        <v>84</v>
      </c>
      <c r="N1908" s="30" t="s">
        <v>152</v>
      </c>
      <c r="O1908" s="24">
        <v>345</v>
      </c>
      <c r="P1908" s="24">
        <v>404</v>
      </c>
      <c r="Q1908" s="24">
        <v>487</v>
      </c>
      <c r="R1908" s="24">
        <v>0</v>
      </c>
      <c r="S1908" s="24">
        <v>0</v>
      </c>
      <c r="T1908" s="24">
        <v>1236</v>
      </c>
    </row>
    <row r="1909" spans="1:20">
      <c r="A1909" s="9" t="s">
        <v>829</v>
      </c>
      <c r="B1909" s="30" t="s">
        <v>906</v>
      </c>
      <c r="C1909" s="30" t="str">
        <f>CONCATENATE(VOL_VOLUMEN_SUMINISTROS[[#This Row],[Proyecto]],VOL_VOLUMEN_SUMINISTROS[[#This Row],[J]],VOL_VOLUMEN_SUMINISTROS[[#This Row],[FIN DE SEMANA]])</f>
        <v>1052-2MNO</v>
      </c>
      <c r="D1909" s="365" t="str">
        <f>CONCATENATE(VOL_VOLUMEN_SUMINISTROS[[#This Row],[Grupo]],VOL_VOLUMEN_SUMINISTROS[[#This Row],[Proyecto]],VOL_VOLUMEN_SUMINISTROS[[#This Row],[FIN DE SEMANA]])</f>
        <v>161052-2NO</v>
      </c>
      <c r="E1909" s="30" t="s">
        <v>183</v>
      </c>
      <c r="F1909" s="30" t="s">
        <v>148</v>
      </c>
      <c r="G1909" s="365">
        <v>16</v>
      </c>
      <c r="H1909" s="30">
        <v>1</v>
      </c>
      <c r="I1909" s="9" t="s">
        <v>1321</v>
      </c>
      <c r="J1909" s="9" t="s">
        <v>1322</v>
      </c>
      <c r="K1909" s="30"/>
      <c r="M1909" s="30" t="s">
        <v>84</v>
      </c>
      <c r="N1909" s="30" t="s">
        <v>152</v>
      </c>
      <c r="O1909" s="24">
        <v>345</v>
      </c>
      <c r="P1909" s="24">
        <v>404</v>
      </c>
      <c r="Q1909" s="24">
        <v>487</v>
      </c>
      <c r="R1909" s="24">
        <v>0</v>
      </c>
      <c r="S1909" s="24">
        <v>0</v>
      </c>
      <c r="T1909" s="24">
        <v>1236</v>
      </c>
    </row>
    <row r="1910" spans="1:20">
      <c r="A1910" s="9" t="s">
        <v>829</v>
      </c>
      <c r="B1910" s="30" t="s">
        <v>906</v>
      </c>
      <c r="C1910" s="30" t="str">
        <f>CONCATENATE(VOL_VOLUMEN_SUMINISTROS[[#This Row],[Proyecto]],VOL_VOLUMEN_SUMINISTROS[[#This Row],[J]],VOL_VOLUMEN_SUMINISTROS[[#This Row],[FIN DE SEMANA]])</f>
        <v>1052-1MNO</v>
      </c>
      <c r="D1910" s="365" t="str">
        <f>CONCATENATE(VOL_VOLUMEN_SUMINISTROS[[#This Row],[Grupo]],VOL_VOLUMEN_SUMINISTROS[[#This Row],[Proyecto]],VOL_VOLUMEN_SUMINISTROS[[#This Row],[FIN DE SEMANA]])</f>
        <v>201052-1NO</v>
      </c>
      <c r="E1910" s="30" t="s">
        <v>147</v>
      </c>
      <c r="F1910" s="30" t="s">
        <v>148</v>
      </c>
      <c r="G1910" s="365">
        <v>20</v>
      </c>
      <c r="H1910" s="30">
        <v>11</v>
      </c>
      <c r="I1910" s="9" t="s">
        <v>803</v>
      </c>
      <c r="J1910" s="9" t="s">
        <v>1323</v>
      </c>
      <c r="K1910" s="30"/>
      <c r="M1910" s="30" t="s">
        <v>84</v>
      </c>
      <c r="N1910" s="30" t="s">
        <v>152</v>
      </c>
      <c r="O1910" s="24">
        <v>291</v>
      </c>
      <c r="P1910" s="24">
        <v>368</v>
      </c>
      <c r="Q1910" s="24">
        <v>574</v>
      </c>
      <c r="R1910" s="24">
        <v>0</v>
      </c>
      <c r="S1910" s="24">
        <v>0</v>
      </c>
      <c r="T1910" s="24">
        <v>1233</v>
      </c>
    </row>
    <row r="1911" spans="1:20">
      <c r="A1911" s="9" t="s">
        <v>829</v>
      </c>
      <c r="B1911" s="30" t="s">
        <v>906</v>
      </c>
      <c r="C1911" s="30" t="str">
        <f>CONCATENATE(VOL_VOLUMEN_SUMINISTROS[[#This Row],[Proyecto]],VOL_VOLUMEN_SUMINISTROS[[#This Row],[J]],VOL_VOLUMEN_SUMINISTROS[[#This Row],[FIN DE SEMANA]])</f>
        <v>1052-2MNO</v>
      </c>
      <c r="D1911" s="365" t="str">
        <f>CONCATENATE(VOL_VOLUMEN_SUMINISTROS[[#This Row],[Grupo]],VOL_VOLUMEN_SUMINISTROS[[#This Row],[Proyecto]],VOL_VOLUMEN_SUMINISTROS[[#This Row],[FIN DE SEMANA]])</f>
        <v>201052-2NO</v>
      </c>
      <c r="E1911" s="30" t="s">
        <v>183</v>
      </c>
      <c r="F1911" s="30" t="s">
        <v>148</v>
      </c>
      <c r="G1911" s="365">
        <v>20</v>
      </c>
      <c r="H1911" s="30">
        <v>11</v>
      </c>
      <c r="I1911" s="9" t="s">
        <v>803</v>
      </c>
      <c r="J1911" s="9" t="s">
        <v>1323</v>
      </c>
      <c r="K1911" s="30"/>
      <c r="M1911" s="30" t="s">
        <v>84</v>
      </c>
      <c r="N1911" s="30" t="s">
        <v>152</v>
      </c>
      <c r="O1911" s="24">
        <v>291</v>
      </c>
      <c r="P1911" s="24">
        <v>368</v>
      </c>
      <c r="Q1911" s="24">
        <v>574</v>
      </c>
      <c r="R1911" s="24">
        <v>0</v>
      </c>
      <c r="S1911" s="24">
        <v>0</v>
      </c>
      <c r="T1911" s="24">
        <v>1233</v>
      </c>
    </row>
    <row r="1912" spans="1:20">
      <c r="A1912" s="9" t="s">
        <v>829</v>
      </c>
      <c r="B1912" s="30" t="s">
        <v>906</v>
      </c>
      <c r="C1912" s="30" t="str">
        <f>CONCATENATE(VOL_VOLUMEN_SUMINISTROS[[#This Row],[Proyecto]],VOL_VOLUMEN_SUMINISTROS[[#This Row],[J]],VOL_VOLUMEN_SUMINISTROS[[#This Row],[FIN DE SEMANA]])</f>
        <v>1052-1MNO</v>
      </c>
      <c r="D1912" s="365" t="str">
        <f>CONCATENATE(VOL_VOLUMEN_SUMINISTROS[[#This Row],[Grupo]],VOL_VOLUMEN_SUMINISTROS[[#This Row],[Proyecto]],VOL_VOLUMEN_SUMINISTROS[[#This Row],[FIN DE SEMANA]])</f>
        <v>191052-1NO</v>
      </c>
      <c r="E1912" s="30" t="s">
        <v>147</v>
      </c>
      <c r="F1912" s="30" t="s">
        <v>148</v>
      </c>
      <c r="G1912" s="365">
        <v>19</v>
      </c>
      <c r="H1912" s="30">
        <v>11</v>
      </c>
      <c r="I1912" s="9" t="s">
        <v>803</v>
      </c>
      <c r="J1912" s="9" t="s">
        <v>1324</v>
      </c>
      <c r="K1912" s="30"/>
      <c r="M1912" s="30" t="s">
        <v>84</v>
      </c>
      <c r="N1912" s="30" t="s">
        <v>152</v>
      </c>
      <c r="O1912" s="24">
        <v>381</v>
      </c>
      <c r="P1912" s="24">
        <v>615</v>
      </c>
      <c r="Q1912" s="24">
        <v>930</v>
      </c>
      <c r="R1912" s="24">
        <v>0</v>
      </c>
      <c r="S1912" s="24">
        <v>0</v>
      </c>
      <c r="T1912" s="24">
        <v>1926</v>
      </c>
    </row>
    <row r="1913" spans="1:20">
      <c r="A1913" s="9" t="s">
        <v>555</v>
      </c>
      <c r="B1913" s="30" t="s">
        <v>608</v>
      </c>
      <c r="C1913" s="30" t="str">
        <f>CONCATENATE(VOL_VOLUMEN_SUMINISTROS[[#This Row],[Proyecto]],VOL_VOLUMEN_SUMINISTROS[[#This Row],[J]],VOL_VOLUMEN_SUMINISTROS[[#This Row],[FIN DE SEMANA]])</f>
        <v>1052-1MNO</v>
      </c>
      <c r="D1913" s="365" t="str">
        <f>CONCATENATE(VOL_VOLUMEN_SUMINISTROS[[#This Row],[Grupo]],VOL_VOLUMEN_SUMINISTROS[[#This Row],[Proyecto]],VOL_VOLUMEN_SUMINISTROS[[#This Row],[FIN DE SEMANA]])</f>
        <v>141052-1NO</v>
      </c>
      <c r="E1913" s="30" t="s">
        <v>147</v>
      </c>
      <c r="F1913" s="30" t="s">
        <v>148</v>
      </c>
      <c r="G1913" s="365">
        <v>14</v>
      </c>
      <c r="H1913" s="30">
        <v>3</v>
      </c>
      <c r="I1913" s="9" t="s">
        <v>578</v>
      </c>
      <c r="J1913" s="9" t="s">
        <v>1325</v>
      </c>
      <c r="K1913" s="30"/>
      <c r="M1913" s="30" t="s">
        <v>84</v>
      </c>
      <c r="N1913" s="30" t="s">
        <v>152</v>
      </c>
      <c r="O1913" s="24">
        <v>367</v>
      </c>
      <c r="P1913" s="24">
        <v>496</v>
      </c>
      <c r="Q1913" s="24">
        <v>537</v>
      </c>
      <c r="R1913" s="24">
        <v>0</v>
      </c>
      <c r="S1913" s="24">
        <v>0</v>
      </c>
      <c r="T1913" s="24">
        <v>1400</v>
      </c>
    </row>
    <row r="1914" spans="1:20">
      <c r="A1914" s="9" t="s">
        <v>702</v>
      </c>
      <c r="B1914" s="30" t="s">
        <v>703</v>
      </c>
      <c r="C1914" s="30" t="str">
        <f>CONCATENATE(VOL_VOLUMEN_SUMINISTROS[[#This Row],[Proyecto]],VOL_VOLUMEN_SUMINISTROS[[#This Row],[J]],VOL_VOLUMEN_SUMINISTROS[[#This Row],[FIN DE SEMANA]])</f>
        <v>1052-1MNO</v>
      </c>
      <c r="D1914" s="365" t="str">
        <f>CONCATENATE(VOL_VOLUMEN_SUMINISTROS[[#This Row],[Grupo]],VOL_VOLUMEN_SUMINISTROS[[#This Row],[Proyecto]],VOL_VOLUMEN_SUMINISTROS[[#This Row],[FIN DE SEMANA]])</f>
        <v>61052-1NO</v>
      </c>
      <c r="E1914" s="30" t="s">
        <v>147</v>
      </c>
      <c r="F1914" s="30" t="s">
        <v>148</v>
      </c>
      <c r="G1914" s="365">
        <v>6</v>
      </c>
      <c r="H1914" s="30">
        <v>19</v>
      </c>
      <c r="I1914" s="9" t="s">
        <v>250</v>
      </c>
      <c r="J1914" s="9" t="s">
        <v>1326</v>
      </c>
      <c r="K1914" s="30"/>
      <c r="M1914" s="30" t="s">
        <v>84</v>
      </c>
      <c r="N1914" s="30" t="s">
        <v>152</v>
      </c>
      <c r="O1914" s="24">
        <v>257</v>
      </c>
      <c r="P1914" s="24">
        <v>362</v>
      </c>
      <c r="Q1914" s="24">
        <v>410</v>
      </c>
      <c r="R1914" s="24">
        <v>0</v>
      </c>
      <c r="S1914" s="24">
        <v>0</v>
      </c>
      <c r="T1914" s="24">
        <v>1029</v>
      </c>
    </row>
    <row r="1915" spans="1:20">
      <c r="A1915" s="9" t="s">
        <v>1327</v>
      </c>
      <c r="B1915" s="30">
        <v>3538</v>
      </c>
      <c r="C1915" s="30" t="str">
        <f>CONCATENATE(VOL_VOLUMEN_SUMINISTROS[[#This Row],[Proyecto]],VOL_VOLUMEN_SUMINISTROS[[#This Row],[J]],VOL_VOLUMEN_SUMINISTROS[[#This Row],[FIN DE SEMANA]])</f>
        <v>1052-1MNO</v>
      </c>
      <c r="D1915" s="365" t="str">
        <f>CONCATENATE(VOL_VOLUMEN_SUMINISTROS[[#This Row],[Grupo]],VOL_VOLUMEN_SUMINISTROS[[#This Row],[Proyecto]],VOL_VOLUMEN_SUMINISTROS[[#This Row],[FIN DE SEMANA]])</f>
        <v>131052-1NO</v>
      </c>
      <c r="E1915" s="30" t="s">
        <v>147</v>
      </c>
      <c r="F1915" s="30" t="s">
        <v>148</v>
      </c>
      <c r="G1915" s="365">
        <v>13</v>
      </c>
      <c r="H1915" s="30">
        <v>10</v>
      </c>
      <c r="I1915" s="9" t="s">
        <v>331</v>
      </c>
      <c r="J1915" s="9" t="s">
        <v>1328</v>
      </c>
      <c r="K1915" s="30"/>
      <c r="M1915" s="30" t="s">
        <v>84</v>
      </c>
      <c r="N1915" s="30" t="s">
        <v>152</v>
      </c>
      <c r="O1915" s="24">
        <v>616</v>
      </c>
      <c r="P1915" s="24">
        <v>852</v>
      </c>
      <c r="Q1915" s="24">
        <v>887</v>
      </c>
      <c r="R1915" s="24">
        <v>0</v>
      </c>
      <c r="S1915" s="24">
        <v>0</v>
      </c>
      <c r="T1915" s="24">
        <v>2355</v>
      </c>
    </row>
    <row r="1916" spans="1:20">
      <c r="A1916" s="9" t="s">
        <v>1327</v>
      </c>
      <c r="B1916" s="30">
        <v>3538</v>
      </c>
      <c r="C1916" s="30" t="str">
        <f>CONCATENATE(VOL_VOLUMEN_SUMINISTROS[[#This Row],[Proyecto]],VOL_VOLUMEN_SUMINISTROS[[#This Row],[J]],VOL_VOLUMEN_SUMINISTROS[[#This Row],[FIN DE SEMANA]])</f>
        <v>1052-1MNO</v>
      </c>
      <c r="D1916" s="365" t="str">
        <f>CONCATENATE(VOL_VOLUMEN_SUMINISTROS[[#This Row],[Grupo]],VOL_VOLUMEN_SUMINISTROS[[#This Row],[Proyecto]],VOL_VOLUMEN_SUMINISTROS[[#This Row],[FIN DE SEMANA]])</f>
        <v>131052-1NO</v>
      </c>
      <c r="E1916" s="30" t="s">
        <v>147</v>
      </c>
      <c r="F1916" s="30" t="s">
        <v>148</v>
      </c>
      <c r="G1916" s="365">
        <v>13</v>
      </c>
      <c r="H1916" s="30">
        <v>10</v>
      </c>
      <c r="I1916" s="9" t="s">
        <v>331</v>
      </c>
      <c r="J1916" s="9" t="s">
        <v>1329</v>
      </c>
      <c r="K1916" s="30"/>
      <c r="M1916" s="30" t="s">
        <v>84</v>
      </c>
      <c r="N1916" s="30" t="s">
        <v>152</v>
      </c>
      <c r="O1916" s="24">
        <v>628</v>
      </c>
      <c r="P1916" s="24">
        <v>838</v>
      </c>
      <c r="Q1916" s="24">
        <v>886</v>
      </c>
      <c r="R1916" s="24">
        <v>0</v>
      </c>
      <c r="S1916" s="24">
        <v>0</v>
      </c>
      <c r="T1916" s="24">
        <v>2352</v>
      </c>
    </row>
    <row r="1917" spans="1:20">
      <c r="A1917" s="9" t="s">
        <v>128</v>
      </c>
      <c r="B1917" s="30"/>
      <c r="C1917" s="31"/>
      <c r="D1917" s="366"/>
      <c r="E1917" s="30"/>
      <c r="F1917" s="30"/>
      <c r="G1917" s="30"/>
      <c r="H1917" s="30"/>
      <c r="K1917" s="30"/>
      <c r="M1917" s="30"/>
      <c r="N1917" s="30"/>
      <c r="O1917" s="24">
        <f>SUBTOTAL(109,VOL_VOLUMEN_SUMINISTROS[TIPO A])</f>
        <v>191455</v>
      </c>
      <c r="P1917" s="24">
        <f>SUBTOTAL(109,VOL_VOLUMEN_SUMINISTROS[TIPO B])</f>
        <v>249627</v>
      </c>
      <c r="Q1917" s="24">
        <f>SUBTOTAL(109,VOL_VOLUMEN_SUMINISTROS[TIPO C])</f>
        <v>280233</v>
      </c>
      <c r="R1917" s="24">
        <f>SUBTOTAL(109,VOL_VOLUMEN_SUMINISTROS[TIPO M])</f>
        <v>7582</v>
      </c>
      <c r="S1917" s="24">
        <f>SUBTOTAL(109,VOL_VOLUMEN_SUMINISTROS[TIPO H])</f>
        <v>7530</v>
      </c>
      <c r="T1917" s="24">
        <f>SUBTOTAL(109,VOL_VOLUMEN_SUMINISTROS[TOTAL])</f>
        <v>736427</v>
      </c>
    </row>
  </sheetData>
  <mergeCells count="5">
    <mergeCell ref="A3:T3"/>
    <mergeCell ref="A4:T4"/>
    <mergeCell ref="A7:T7"/>
    <mergeCell ref="B2:E2"/>
    <mergeCell ref="A5:T5"/>
  </mergeCells>
  <hyperlinks>
    <hyperlink ref="B2:C2" location="'INDICE_ MODELO'!A1" display="Ir a Indice"/>
    <hyperlink ref="B2:E2" location="'INDICE_ MODELO'!C14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G63"/>
  <sheetViews>
    <sheetView topLeftCell="A7" zoomScaleNormal="100" workbookViewId="0">
      <selection activeCell="F23" sqref="F23"/>
    </sheetView>
  </sheetViews>
  <sheetFormatPr baseColWidth="10" defaultColWidth="0" defaultRowHeight="13.5" customHeight="1" zeroHeight="1"/>
  <cols>
    <col min="1" max="1" width="11" style="237" customWidth="1"/>
    <col min="2" max="2" width="27.42578125" style="237" customWidth="1"/>
    <col min="3" max="3" width="33.7109375" style="237" customWidth="1"/>
    <col min="4" max="4" width="14.5703125" style="237" customWidth="1"/>
    <col min="5" max="5" width="16.28515625" style="237" customWidth="1"/>
    <col min="6" max="6" width="22.140625" style="237" customWidth="1"/>
    <col min="7" max="7" width="11" style="237" customWidth="1"/>
    <col min="8" max="16384" width="11" style="237" hidden="1"/>
  </cols>
  <sheetData>
    <row r="1" spans="1:7" s="35" customFormat="1" ht="16.5">
      <c r="A1" s="460" t="str">
        <f>+C18</f>
        <v>FRUTA</v>
      </c>
      <c r="B1" s="70"/>
      <c r="C1" s="70"/>
      <c r="D1" s="70"/>
      <c r="E1" s="70"/>
      <c r="F1" s="70"/>
      <c r="G1" s="8"/>
    </row>
    <row r="2" spans="1:7" s="35" customFormat="1" ht="20.25">
      <c r="A2" s="39"/>
      <c r="B2" s="480" t="s">
        <v>1940</v>
      </c>
      <c r="C2" s="480"/>
      <c r="D2" s="38"/>
      <c r="E2" s="86"/>
      <c r="F2" s="86"/>
      <c r="G2" s="5"/>
    </row>
    <row r="3" spans="1:7" s="35" customFormat="1" ht="18.75">
      <c r="A3" s="481" t="s">
        <v>1937</v>
      </c>
      <c r="B3" s="482"/>
      <c r="C3" s="482"/>
      <c r="D3" s="482"/>
      <c r="E3" s="482"/>
      <c r="F3" s="482"/>
      <c r="G3" s="483"/>
    </row>
    <row r="4" spans="1:7" s="35" customFormat="1" ht="18.75">
      <c r="A4" s="481" t="s">
        <v>1938</v>
      </c>
      <c r="B4" s="482"/>
      <c r="C4" s="482"/>
      <c r="D4" s="482"/>
      <c r="E4" s="482"/>
      <c r="F4" s="482"/>
      <c r="G4" s="483"/>
    </row>
    <row r="5" spans="1:7" s="35" customFormat="1" ht="18.75">
      <c r="A5" s="481" t="s">
        <v>1939</v>
      </c>
      <c r="B5" s="482"/>
      <c r="C5" s="482"/>
      <c r="D5" s="482"/>
      <c r="E5" s="482"/>
      <c r="F5" s="482"/>
      <c r="G5" s="483"/>
    </row>
    <row r="6" spans="1:7" s="35" customFormat="1" ht="18.75">
      <c r="A6" s="39"/>
      <c r="B6" s="38"/>
      <c r="C6" s="38"/>
      <c r="D6" s="100"/>
      <c r="E6" s="100"/>
      <c r="F6" s="100"/>
      <c r="G6" s="101"/>
    </row>
    <row r="7" spans="1:7" s="35" customFormat="1" ht="18.75">
      <c r="A7" s="39"/>
      <c r="B7" s="38"/>
      <c r="C7" s="38"/>
      <c r="D7" s="100"/>
      <c r="E7" s="100"/>
      <c r="F7" s="100"/>
      <c r="G7" s="101"/>
    </row>
    <row r="8" spans="1:7" s="35" customFormat="1" ht="18.75">
      <c r="A8" s="481" t="str">
        <f>CONCATENATE("RESUMEN CATEGORÍA"," : ",A1)</f>
        <v>RESUMEN CATEGORÍA : FRUTA</v>
      </c>
      <c r="B8" s="482"/>
      <c r="C8" s="482"/>
      <c r="D8" s="482"/>
      <c r="E8" s="482"/>
      <c r="F8" s="482"/>
      <c r="G8" s="483"/>
    </row>
    <row r="9" spans="1:7" s="35" customFormat="1" ht="18.75">
      <c r="A9" s="484">
        <f>F23</f>
        <v>40329900220</v>
      </c>
      <c r="B9" s="485"/>
      <c r="C9" s="485"/>
      <c r="D9" s="485"/>
      <c r="E9" s="485"/>
      <c r="F9" s="485"/>
      <c r="G9" s="486"/>
    </row>
    <row r="10" spans="1:7">
      <c r="A10" s="122"/>
      <c r="B10" s="82"/>
      <c r="C10" s="82"/>
      <c r="D10" s="82"/>
      <c r="E10" s="82"/>
      <c r="F10" s="82"/>
      <c r="G10" s="41"/>
    </row>
    <row r="11" spans="1:7" ht="27">
      <c r="A11" s="122"/>
      <c r="B11" s="127" t="s">
        <v>1587</v>
      </c>
      <c r="C11" s="128" t="s">
        <v>1521</v>
      </c>
      <c r="D11" s="128" t="s">
        <v>1584</v>
      </c>
      <c r="E11" s="128" t="s">
        <v>1585</v>
      </c>
      <c r="F11" s="82"/>
      <c r="G11" s="41"/>
    </row>
    <row r="12" spans="1:7">
      <c r="A12" s="122"/>
      <c r="B12" s="118" t="s">
        <v>1579</v>
      </c>
      <c r="C12" s="119">
        <f>FRE_FRECUENCIAS!$O$17</f>
        <v>629438</v>
      </c>
      <c r="D12" s="119">
        <f>FRE_FRECUENCIAS!$O$21</f>
        <v>105799</v>
      </c>
      <c r="E12" s="119">
        <f>FRE_FRECUENCIAS!$O$22</f>
        <v>1190</v>
      </c>
      <c r="F12" s="120"/>
      <c r="G12" s="41"/>
    </row>
    <row r="13" spans="1:7">
      <c r="A13" s="122"/>
      <c r="B13" s="118" t="s">
        <v>1580</v>
      </c>
      <c r="C13" s="119">
        <f>COUNTIF(CAL_DIAS_SUMINISTRO_PE,"si")</f>
        <v>259</v>
      </c>
      <c r="D13" s="119">
        <f>COUNTIF(CAL_DIAS_SUMINISTRO_SE_LAV,"si")</f>
        <v>259</v>
      </c>
      <c r="E13" s="119">
        <f>COUNTIF(CAL_DIAS_SUMINISTRO_SE_FDS,"si")</f>
        <v>53</v>
      </c>
      <c r="F13" s="120"/>
      <c r="G13" s="41"/>
    </row>
    <row r="14" spans="1:7">
      <c r="A14" s="122"/>
      <c r="B14" s="118" t="s">
        <v>1581</v>
      </c>
      <c r="C14" s="119">
        <f>C12*C13</f>
        <v>163024442</v>
      </c>
      <c r="D14" s="119">
        <f>D12*D13</f>
        <v>27401941</v>
      </c>
      <c r="E14" s="119">
        <f>E12*E13</f>
        <v>63070</v>
      </c>
      <c r="F14" s="120"/>
      <c r="G14" s="41"/>
    </row>
    <row r="15" spans="1:7">
      <c r="A15" s="122"/>
      <c r="B15" s="118" t="s">
        <v>1582</v>
      </c>
      <c r="C15" s="118">
        <v>15</v>
      </c>
      <c r="D15" s="118">
        <v>15</v>
      </c>
      <c r="E15" s="118">
        <v>15</v>
      </c>
      <c r="F15" s="120"/>
      <c r="G15" s="41"/>
    </row>
    <row r="16" spans="1:7">
      <c r="A16" s="122"/>
      <c r="B16" s="82"/>
      <c r="C16" s="82"/>
      <c r="D16" s="82"/>
      <c r="E16" s="82"/>
      <c r="F16" s="82"/>
      <c r="G16" s="41"/>
    </row>
    <row r="17" spans="1:7" ht="25.5">
      <c r="A17" s="122"/>
      <c r="B17" s="126" t="s">
        <v>1583</v>
      </c>
      <c r="C17" s="126" t="s">
        <v>1941</v>
      </c>
      <c r="D17" s="126" t="s">
        <v>1942</v>
      </c>
      <c r="E17" s="126" t="s">
        <v>1649</v>
      </c>
      <c r="F17" s="126" t="s">
        <v>1687</v>
      </c>
      <c r="G17" s="41"/>
    </row>
    <row r="18" spans="1:7">
      <c r="A18" s="122"/>
      <c r="B18" s="466" t="s">
        <v>1586</v>
      </c>
      <c r="C18" s="459" t="s">
        <v>1</v>
      </c>
      <c r="D18" s="467">
        <f>COUNTIF(CAL_DIAS_SUMINISTRO_PE,"si")</f>
        <v>259</v>
      </c>
      <c r="E18" s="116">
        <f t="shared" ref="E18" si="0">VLOOKUP(C18,PRE_A_CONSOLIDADO_CATEGORIA,7,FALSE)</f>
        <v>34113720848</v>
      </c>
      <c r="F18" s="468">
        <f>SUM(E18:E18)</f>
        <v>34113720848</v>
      </c>
      <c r="G18" s="41"/>
    </row>
    <row r="19" spans="1:7">
      <c r="A19" s="122"/>
      <c r="B19" s="479" t="s">
        <v>1589</v>
      </c>
      <c r="C19" s="479"/>
      <c r="D19" s="479"/>
      <c r="E19" s="479"/>
      <c r="F19" s="125">
        <f>SUM(F18)</f>
        <v>34113720848</v>
      </c>
      <c r="G19" s="41"/>
    </row>
    <row r="20" spans="1:7">
      <c r="A20" s="122"/>
      <c r="B20" s="466" t="s">
        <v>2476</v>
      </c>
      <c r="C20" s="121" t="s">
        <v>1</v>
      </c>
      <c r="D20" s="467">
        <f>COUNTIF(CAL_DIAS_SUMINISTRO_PE,"si")</f>
        <v>259</v>
      </c>
      <c r="E20" s="116">
        <f t="shared" ref="E20" si="1">VLOOKUP(C20,PRE_A_CONSOLIDADO_CATEGORIA,11,FALSE)</f>
        <v>6216179372</v>
      </c>
      <c r="F20" s="468">
        <f>SUM(E20:E20)</f>
        <v>6216179372</v>
      </c>
      <c r="G20" s="41"/>
    </row>
    <row r="21" spans="1:7">
      <c r="A21" s="122"/>
      <c r="B21" s="479" t="s">
        <v>1588</v>
      </c>
      <c r="C21" s="479"/>
      <c r="D21" s="479"/>
      <c r="E21" s="479"/>
      <c r="F21" s="125">
        <f>SUM(F20:F20)</f>
        <v>6216179372</v>
      </c>
      <c r="G21" s="41"/>
    </row>
    <row r="22" spans="1:7" ht="14.25">
      <c r="A22" s="122"/>
      <c r="B22" s="42"/>
      <c r="C22" s="42"/>
      <c r="D22" s="42"/>
      <c r="E22" s="42"/>
      <c r="F22" s="42"/>
      <c r="G22" s="41"/>
    </row>
    <row r="23" spans="1:7">
      <c r="A23" s="122"/>
      <c r="B23" s="479" t="s">
        <v>1943</v>
      </c>
      <c r="C23" s="479"/>
      <c r="D23" s="479"/>
      <c r="E23" s="479"/>
      <c r="F23" s="125">
        <f>F19+F21</f>
        <v>40329900220</v>
      </c>
      <c r="G23" s="41"/>
    </row>
    <row r="24" spans="1:7">
      <c r="A24" s="122"/>
      <c r="B24" s="82"/>
      <c r="C24" s="82"/>
      <c r="D24" s="82"/>
      <c r="E24" s="238"/>
      <c r="F24" s="238"/>
      <c r="G24" s="41"/>
    </row>
    <row r="25" spans="1:7">
      <c r="A25" s="123"/>
      <c r="B25" s="50"/>
      <c r="C25" s="50"/>
      <c r="D25" s="50"/>
      <c r="E25" s="339"/>
      <c r="F25" s="339"/>
      <c r="G25" s="124"/>
    </row>
    <row r="26" spans="1:7" hidden="1">
      <c r="A26" s="117"/>
      <c r="B26" s="117"/>
      <c r="C26" s="117"/>
      <c r="D26" s="117"/>
      <c r="E26" s="117"/>
      <c r="F26" s="117"/>
      <c r="G26" s="117"/>
    </row>
    <row r="27" spans="1:7" ht="13.5" customHeight="1">
      <c r="A27" s="90"/>
      <c r="B27" s="90"/>
      <c r="C27" s="90"/>
      <c r="D27" s="90"/>
      <c r="E27" s="90"/>
      <c r="F27" s="90"/>
      <c r="G27" s="90"/>
    </row>
    <row r="28" spans="1:7" ht="13.5" hidden="1" customHeight="1"/>
    <row r="29" spans="1:7" ht="13.5" hidden="1" customHeight="1"/>
    <row r="30" spans="1:7" ht="13.5" hidden="1" customHeight="1"/>
    <row r="31" spans="1:7" ht="13.5" hidden="1" customHeight="1"/>
    <row r="32" spans="1:7" ht="13.5" hidden="1" customHeight="1"/>
    <row r="33" ht="13.5" hidden="1" customHeight="1"/>
    <row r="34" ht="13.5" hidden="1" customHeight="1"/>
    <row r="35" ht="13.5" hidden="1" customHeight="1"/>
    <row r="36" ht="13.5" hidden="1" customHeight="1"/>
    <row r="37" ht="13.5" hidden="1" customHeight="1"/>
    <row r="38" ht="13.5" hidden="1" customHeight="1"/>
    <row r="39" ht="13.5" hidden="1" customHeight="1"/>
    <row r="40" ht="13.5" hidden="1" customHeight="1"/>
    <row r="41" ht="13.5" hidden="1" customHeight="1"/>
    <row r="42" ht="13.5" hidden="1" customHeight="1"/>
    <row r="43" ht="13.5" hidden="1" customHeight="1"/>
    <row r="44" ht="13.5" hidden="1" customHeight="1"/>
    <row r="45" ht="13.5" hidden="1" customHeight="1"/>
    <row r="46" ht="13.5" hidden="1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</sheetData>
  <mergeCells count="9">
    <mergeCell ref="B23:E23"/>
    <mergeCell ref="B2:C2"/>
    <mergeCell ref="A3:G3"/>
    <mergeCell ref="A4:G4"/>
    <mergeCell ref="A8:G8"/>
    <mergeCell ref="A9:G9"/>
    <mergeCell ref="B21:E21"/>
    <mergeCell ref="B19:E19"/>
    <mergeCell ref="A5:G5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3"/>
  <sheetViews>
    <sheetView zoomScaleNormal="100" workbookViewId="0"/>
  </sheetViews>
  <sheetFormatPr baseColWidth="10" defaultColWidth="0" defaultRowHeight="0" customHeight="1" zeroHeight="1"/>
  <cols>
    <col min="1" max="1" width="6.28515625" style="355" customWidth="1"/>
    <col min="2" max="2" width="26.42578125" style="355" customWidth="1"/>
    <col min="3" max="14" width="15.85546875" style="355" customWidth="1"/>
    <col min="15" max="15" width="17.85546875" style="355" customWidth="1"/>
    <col min="16" max="16" width="11" style="355" customWidth="1"/>
    <col min="17" max="30" width="0" style="355" hidden="1" customWidth="1"/>
    <col min="31" max="16384" width="11" style="355" hidden="1"/>
  </cols>
  <sheetData>
    <row r="1" spans="1:16" s="368" customFormat="1" ht="16.5">
      <c r="A1" s="379"/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9"/>
    </row>
    <row r="2" spans="1:16" s="368" customFormat="1" ht="20.25">
      <c r="A2" s="370"/>
      <c r="B2" s="480" t="s">
        <v>1940</v>
      </c>
      <c r="C2" s="480"/>
      <c r="D2" s="480"/>
      <c r="E2" s="374"/>
      <c r="F2" s="374"/>
      <c r="G2" s="369"/>
      <c r="H2" s="356"/>
      <c r="I2" s="356"/>
      <c r="J2" s="356"/>
      <c r="K2" s="356"/>
      <c r="L2" s="356"/>
      <c r="M2" s="356"/>
      <c r="N2" s="356"/>
      <c r="O2" s="356"/>
      <c r="P2" s="357"/>
    </row>
    <row r="3" spans="1:16" s="368" customFormat="1" ht="18.75">
      <c r="A3" s="481" t="s">
        <v>1937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3"/>
    </row>
    <row r="4" spans="1:16" s="368" customFormat="1" ht="18.75">
      <c r="A4" s="481" t="s">
        <v>1938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3"/>
    </row>
    <row r="5" spans="1:16" s="368" customFormat="1" ht="18.75">
      <c r="A5" s="481" t="s">
        <v>1939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3"/>
    </row>
    <row r="6" spans="1:16" s="368" customFormat="1" ht="18.75">
      <c r="A6" s="370"/>
      <c r="B6" s="369"/>
      <c r="C6" s="369"/>
      <c r="D6" s="369"/>
      <c r="E6" s="369"/>
      <c r="F6" s="369"/>
      <c r="G6" s="375"/>
      <c r="H6" s="375"/>
      <c r="I6" s="375"/>
      <c r="J6" s="375"/>
      <c r="K6" s="375"/>
      <c r="L6" s="375"/>
      <c r="M6" s="375"/>
      <c r="N6" s="375"/>
      <c r="O6" s="375"/>
      <c r="P6" s="376"/>
    </row>
    <row r="7" spans="1:16" s="368" customFormat="1" ht="18.75">
      <c r="A7" s="464"/>
      <c r="B7" s="369"/>
      <c r="C7" s="369"/>
      <c r="D7" s="369"/>
      <c r="E7" s="369"/>
      <c r="F7" s="369"/>
      <c r="G7" s="375"/>
      <c r="H7" s="375"/>
      <c r="I7" s="375"/>
      <c r="J7" s="375"/>
      <c r="K7" s="375"/>
      <c r="L7" s="375"/>
      <c r="M7" s="375"/>
      <c r="N7" s="375"/>
      <c r="O7" s="375"/>
      <c r="P7" s="376"/>
    </row>
    <row r="8" spans="1:16" s="368" customFormat="1" ht="18.75">
      <c r="A8" s="481" t="str">
        <f>CONCATENATE("RESUMEN PRESUPUESTO PAE 2017: ",RES_RESUMEN_PRESUPUESTO_2!A1)</f>
        <v>RESUMEN PRESUPUESTO PAE 2017: FRUTA</v>
      </c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3"/>
    </row>
    <row r="9" spans="1:16" s="368" customFormat="1" ht="18.75">
      <c r="A9" s="484">
        <f>H15+L15</f>
        <v>40329900220</v>
      </c>
      <c r="B9" s="485"/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6"/>
    </row>
    <row r="10" spans="1:16" ht="13.5">
      <c r="A10" s="380"/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71"/>
    </row>
    <row r="11" spans="1:16" ht="26.25" customHeight="1">
      <c r="A11" s="380"/>
      <c r="B11" s="361"/>
      <c r="C11" s="487" t="s">
        <v>1521</v>
      </c>
      <c r="D11" s="487"/>
      <c r="E11" s="487"/>
      <c r="F11" s="487"/>
      <c r="G11" s="487"/>
      <c r="H11" s="487"/>
      <c r="I11" s="488" t="s">
        <v>1522</v>
      </c>
      <c r="J11" s="488"/>
      <c r="K11" s="488"/>
      <c r="L11" s="488"/>
      <c r="M11" s="361"/>
      <c r="N11" s="361"/>
      <c r="O11" s="443">
        <v>689454</v>
      </c>
      <c r="P11" s="371"/>
    </row>
    <row r="12" spans="1:16" ht="13.5">
      <c r="A12" s="380"/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71"/>
    </row>
    <row r="13" spans="1:16" ht="38.25">
      <c r="A13" s="380"/>
      <c r="B13" s="437" t="s">
        <v>1944</v>
      </c>
      <c r="C13" s="437" t="s">
        <v>2484</v>
      </c>
      <c r="D13" s="437" t="s">
        <v>2485</v>
      </c>
      <c r="E13" s="437" t="s">
        <v>2486</v>
      </c>
      <c r="F13" s="437" t="s">
        <v>2408</v>
      </c>
      <c r="G13" s="437" t="s">
        <v>2487</v>
      </c>
      <c r="H13" s="437" t="s">
        <v>2475</v>
      </c>
      <c r="I13" s="438" t="s">
        <v>2484</v>
      </c>
      <c r="J13" s="438" t="s">
        <v>2488</v>
      </c>
      <c r="K13" s="438" t="s">
        <v>2486</v>
      </c>
      <c r="L13" s="438" t="s">
        <v>2409</v>
      </c>
      <c r="M13" s="442" t="s">
        <v>2472</v>
      </c>
      <c r="N13" s="442" t="s">
        <v>2473</v>
      </c>
      <c r="O13" s="442" t="s">
        <v>2474</v>
      </c>
      <c r="P13" s="371"/>
    </row>
    <row r="14" spans="1:16" ht="13.5">
      <c r="A14" s="380"/>
      <c r="B14" s="161" t="s">
        <v>1</v>
      </c>
      <c r="C14" s="440">
        <f t="shared" ref="C14" si="0">SUMIF(COSTPE_G_CATEGORIA,$B14,COSTPE_G_VALOR_TOTAL_TIPOA)</f>
        <v>7746810368</v>
      </c>
      <c r="D14" s="440">
        <f t="shared" ref="D14" si="1">SUMIF(COSTPE_G_CATEGORIA,$B14,COSTPE_G_VALOR_TOTAL_TIPOB)</f>
        <v>12327128856</v>
      </c>
      <c r="E14" s="440">
        <f t="shared" ref="E14" si="2">SUMIF(COSTPE_G_CATEGORIA,$B14,COSTPE_G_VALOR_TOTAL_TIPOC)</f>
        <v>13184926008</v>
      </c>
      <c r="F14" s="440">
        <f t="shared" ref="F14" si="3">SUMIF(COSTPE_G_CATEGORIA,$B14,COSTPE_G_VALOR_TOTAL_TIPOM)</f>
        <v>428898576</v>
      </c>
      <c r="G14" s="440">
        <f t="shared" ref="G14" si="4">SUMIF(COSTPE_G_CATEGORIA,$B14,COSTPE_G_VALOR_TOTAL_TIPOH)</f>
        <v>425957040</v>
      </c>
      <c r="H14" s="440">
        <f t="shared" ref="H14" si="5">C14+D14+E14+F14+G14</f>
        <v>34113720848</v>
      </c>
      <c r="I14" s="440">
        <f t="shared" ref="I14" si="6">SUMIF(COSTSE_G_CATEGORIA,$B14,COSTSE_G_VALOR_TOTAL_TIPOA)</f>
        <v>1381023668</v>
      </c>
      <c r="J14" s="440">
        <f t="shared" ref="J14" si="7">SUMIF(COSTSE_G_CATEGORIA,$B14,COSTSE_G_VALOR_TOTAL_TIPOB)</f>
        <v>1945014360</v>
      </c>
      <c r="K14" s="440">
        <f t="shared" ref="K14" si="8">SUMIF(COSTSE_G_CATEGORIA,$B14,COSTSE_G_VALOR_TOTAL_TIPOC)</f>
        <v>2890141344</v>
      </c>
      <c r="L14" s="440">
        <f t="shared" ref="L14" si="9">I14+J14+K14</f>
        <v>6216179372</v>
      </c>
      <c r="M14" s="440">
        <f t="shared" ref="M14" si="10">H14+L14</f>
        <v>40329900220</v>
      </c>
      <c r="N14" s="440">
        <f t="shared" ref="N14" si="11">M14/30</f>
        <v>1344330007.3333333</v>
      </c>
      <c r="O14" s="439">
        <f t="shared" ref="O14" si="12">ROUND(N14/$O$11,0)</f>
        <v>1950</v>
      </c>
      <c r="P14" s="371"/>
    </row>
    <row r="15" spans="1:16" ht="13.5">
      <c r="A15" s="380"/>
      <c r="B15" s="444" t="s">
        <v>103</v>
      </c>
      <c r="C15" s="445">
        <f t="shared" ref="C15:M15" si="13">SUM(C14:C14)</f>
        <v>7746810368</v>
      </c>
      <c r="D15" s="445">
        <f t="shared" si="13"/>
        <v>12327128856</v>
      </c>
      <c r="E15" s="445">
        <f t="shared" si="13"/>
        <v>13184926008</v>
      </c>
      <c r="F15" s="445">
        <f t="shared" si="13"/>
        <v>428898576</v>
      </c>
      <c r="G15" s="445">
        <f t="shared" si="13"/>
        <v>425957040</v>
      </c>
      <c r="H15" s="445">
        <f t="shared" si="13"/>
        <v>34113720848</v>
      </c>
      <c r="I15" s="445">
        <f t="shared" si="13"/>
        <v>1381023668</v>
      </c>
      <c r="J15" s="445">
        <f t="shared" si="13"/>
        <v>1945014360</v>
      </c>
      <c r="K15" s="445">
        <f t="shared" si="13"/>
        <v>2890141344</v>
      </c>
      <c r="L15" s="445">
        <f t="shared" si="13"/>
        <v>6216179372</v>
      </c>
      <c r="M15" s="445">
        <f t="shared" si="13"/>
        <v>40329900220</v>
      </c>
      <c r="N15" s="446"/>
      <c r="O15" s="441"/>
      <c r="P15" s="371"/>
    </row>
    <row r="16" spans="1:16" ht="13.5">
      <c r="A16" s="380"/>
      <c r="B16" s="447"/>
      <c r="C16" s="448"/>
      <c r="D16" s="448"/>
      <c r="E16" s="448"/>
      <c r="F16" s="448"/>
      <c r="G16" s="448"/>
      <c r="H16" s="448"/>
      <c r="I16" s="448"/>
      <c r="J16" s="448"/>
      <c r="K16" s="448"/>
      <c r="L16" s="448"/>
      <c r="M16" s="448"/>
      <c r="N16" s="448"/>
      <c r="O16" s="441"/>
      <c r="P16" s="371"/>
    </row>
    <row r="17" spans="1:16" ht="13.5">
      <c r="A17" s="380"/>
      <c r="B17" s="449"/>
      <c r="C17" s="450"/>
      <c r="D17" s="450"/>
      <c r="E17" s="450"/>
      <c r="F17" s="450"/>
      <c r="G17" s="450"/>
      <c r="H17" s="450"/>
      <c r="I17" s="461"/>
      <c r="J17" s="461"/>
      <c r="K17" s="461"/>
      <c r="L17" s="461"/>
      <c r="M17" s="461"/>
      <c r="N17" s="450"/>
      <c r="O17" s="441"/>
      <c r="P17" s="371"/>
    </row>
    <row r="18" spans="1:16" ht="15.75">
      <c r="A18" s="380"/>
      <c r="B18" s="373"/>
      <c r="C18" s="373"/>
      <c r="D18" s="373"/>
      <c r="E18" s="373"/>
      <c r="F18" s="373"/>
      <c r="G18" s="373"/>
      <c r="H18" s="218"/>
      <c r="I18" s="462"/>
      <c r="J18" s="462"/>
      <c r="K18" s="462"/>
      <c r="L18" s="462"/>
      <c r="M18" s="463"/>
      <c r="N18" s="373"/>
      <c r="O18" s="373"/>
      <c r="P18" s="371"/>
    </row>
    <row r="19" spans="1:16" ht="13.5">
      <c r="A19" s="381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82"/>
    </row>
    <row r="20" spans="1:16" customFormat="1" ht="15" hidden="1">
      <c r="M20" s="354"/>
      <c r="N20" s="354"/>
      <c r="O20" s="354"/>
    </row>
    <row r="21" spans="1:16" customFormat="1" ht="13.5" hidden="1" customHeight="1">
      <c r="M21" s="354"/>
      <c r="N21" s="354"/>
      <c r="O21" s="354"/>
    </row>
    <row r="22" spans="1:16" customFormat="1" ht="13.5" hidden="1" customHeight="1">
      <c r="M22" s="354"/>
      <c r="N22" s="354"/>
      <c r="O22" s="354"/>
    </row>
    <row r="23" spans="1:16" customFormat="1" ht="13.5" hidden="1" customHeight="1">
      <c r="M23" s="354"/>
      <c r="N23" s="354"/>
      <c r="O23" s="354"/>
    </row>
    <row r="24" spans="1:16" customFormat="1" ht="13.5" hidden="1" customHeight="1">
      <c r="M24" s="354"/>
      <c r="N24" s="354"/>
      <c r="O24" s="354"/>
    </row>
    <row r="25" spans="1:16" customFormat="1" ht="13.5" hidden="1" customHeight="1">
      <c r="M25" s="354"/>
      <c r="N25" s="354"/>
      <c r="O25" s="354"/>
    </row>
    <row r="26" spans="1:16" customFormat="1" ht="13.5" hidden="1" customHeight="1">
      <c r="M26" s="354"/>
      <c r="N26" s="354"/>
      <c r="O26" s="354"/>
    </row>
    <row r="27" spans="1:16" customFormat="1" ht="13.5" hidden="1" customHeight="1">
      <c r="M27" s="354"/>
      <c r="N27" s="354"/>
      <c r="O27" s="354"/>
    </row>
    <row r="28" spans="1:16" customFormat="1" ht="13.5" hidden="1" customHeight="1">
      <c r="M28" s="354"/>
      <c r="N28" s="354"/>
      <c r="O28" s="354"/>
    </row>
    <row r="29" spans="1:16" customFormat="1" ht="13.5" hidden="1" customHeight="1">
      <c r="M29" s="354"/>
      <c r="N29" s="354"/>
      <c r="O29" s="354"/>
    </row>
    <row r="30" spans="1:16" customFormat="1" ht="13.5" hidden="1" customHeight="1">
      <c r="M30" s="354"/>
      <c r="N30" s="354"/>
      <c r="O30" s="354"/>
    </row>
    <row r="31" spans="1:16" customFormat="1" ht="13.5" hidden="1" customHeight="1">
      <c r="M31" s="354"/>
      <c r="N31" s="354"/>
      <c r="O31" s="354"/>
    </row>
    <row r="32" spans="1:16" customFormat="1" ht="13.5" hidden="1" customHeight="1">
      <c r="M32" s="354"/>
      <c r="N32" s="354"/>
      <c r="O32" s="354"/>
    </row>
    <row r="33" spans="13:15" customFormat="1" ht="13.5" hidden="1" customHeight="1">
      <c r="M33" s="354"/>
      <c r="N33" s="354"/>
      <c r="O33" s="354"/>
    </row>
    <row r="34" spans="13:15" customFormat="1" ht="13.5" hidden="1" customHeight="1">
      <c r="M34" s="354"/>
      <c r="N34" s="354"/>
      <c r="O34" s="354"/>
    </row>
    <row r="35" spans="13:15" customFormat="1" ht="13.5" hidden="1" customHeight="1">
      <c r="M35" s="354"/>
      <c r="N35" s="354"/>
      <c r="O35" s="354"/>
    </row>
    <row r="36" spans="13:15" customFormat="1" ht="13.5" hidden="1" customHeight="1">
      <c r="M36" s="354"/>
      <c r="N36" s="354"/>
      <c r="O36" s="354"/>
    </row>
    <row r="37" spans="13:15" customFormat="1" ht="13.5" hidden="1" customHeight="1">
      <c r="M37" s="354"/>
      <c r="N37" s="354"/>
      <c r="O37" s="354"/>
    </row>
    <row r="38" spans="13:15" customFormat="1" ht="13.5" hidden="1" customHeight="1">
      <c r="M38" s="354"/>
      <c r="N38" s="354"/>
      <c r="O38" s="354"/>
    </row>
    <row r="39" spans="13:15" customFormat="1" ht="13.5" hidden="1" customHeight="1">
      <c r="M39" s="354"/>
      <c r="N39" s="354"/>
      <c r="O39" s="354"/>
    </row>
    <row r="40" spans="13:15" customFormat="1" ht="13.5" hidden="1" customHeight="1">
      <c r="M40" s="354"/>
      <c r="N40" s="354"/>
      <c r="O40" s="354"/>
    </row>
    <row r="41" spans="13:15" customFormat="1" ht="13.5" hidden="1" customHeight="1">
      <c r="M41" s="354"/>
      <c r="N41" s="354"/>
      <c r="O41" s="354"/>
    </row>
    <row r="42" spans="13:15" customFormat="1" ht="13.5" hidden="1" customHeight="1">
      <c r="M42" s="354"/>
      <c r="N42" s="354"/>
      <c r="O42" s="354"/>
    </row>
    <row r="43" spans="13:15" customFormat="1" ht="13.5" hidden="1" customHeight="1">
      <c r="M43" s="354"/>
      <c r="N43" s="354"/>
      <c r="O43" s="354"/>
    </row>
    <row r="44" spans="13:15" customFormat="1" ht="13.5" hidden="1" customHeight="1">
      <c r="M44" s="354"/>
      <c r="N44" s="354"/>
      <c r="O44" s="354"/>
    </row>
    <row r="45" spans="13:15" customFormat="1" ht="13.5" hidden="1" customHeight="1">
      <c r="M45" s="354"/>
      <c r="N45" s="354"/>
      <c r="O45" s="354"/>
    </row>
    <row r="46" spans="13:15" customFormat="1" ht="13.5" hidden="1" customHeight="1">
      <c r="M46" s="354"/>
      <c r="N46" s="354"/>
      <c r="O46" s="354"/>
    </row>
    <row r="47" spans="13:15" customFormat="1" ht="13.5" hidden="1" customHeight="1">
      <c r="M47" s="354"/>
      <c r="N47" s="354"/>
      <c r="O47" s="354"/>
    </row>
    <row r="48" spans="13:15" customFormat="1" ht="13.5" hidden="1" customHeight="1">
      <c r="M48" s="354"/>
      <c r="N48" s="354"/>
      <c r="O48" s="354"/>
    </row>
    <row r="49" spans="13:15" customFormat="1" ht="13.5" hidden="1" customHeight="1">
      <c r="M49" s="354"/>
      <c r="N49" s="354"/>
      <c r="O49" s="354"/>
    </row>
    <row r="50" spans="13:15" customFormat="1" ht="13.5" hidden="1" customHeight="1">
      <c r="M50" s="354"/>
      <c r="N50" s="354"/>
      <c r="O50" s="354"/>
    </row>
    <row r="51" spans="13:15" customFormat="1" ht="13.5" hidden="1" customHeight="1">
      <c r="M51" s="354"/>
      <c r="N51" s="354"/>
      <c r="O51" s="354"/>
    </row>
    <row r="52" spans="13:15" customFormat="1" ht="13.5" hidden="1" customHeight="1">
      <c r="M52" s="354"/>
      <c r="N52" s="354"/>
      <c r="O52" s="354"/>
    </row>
    <row r="53" spans="13:15" customFormat="1" ht="13.5" hidden="1" customHeight="1">
      <c r="M53" s="354"/>
      <c r="N53" s="354"/>
      <c r="O53" s="354"/>
    </row>
    <row r="54" spans="13:15" customFormat="1" ht="13.5" hidden="1" customHeight="1">
      <c r="M54" s="354"/>
      <c r="N54" s="354"/>
      <c r="O54" s="354"/>
    </row>
    <row r="55" spans="13:15" customFormat="1" ht="13.5" hidden="1" customHeight="1">
      <c r="M55" s="354"/>
      <c r="N55" s="354"/>
      <c r="O55" s="354"/>
    </row>
    <row r="56" spans="13:15" customFormat="1" ht="13.5" hidden="1" customHeight="1">
      <c r="M56" s="354"/>
      <c r="N56" s="354"/>
      <c r="O56" s="354"/>
    </row>
    <row r="57" spans="13:15" customFormat="1" ht="13.5" hidden="1" customHeight="1">
      <c r="M57" s="354"/>
      <c r="N57" s="354"/>
      <c r="O57" s="354"/>
    </row>
    <row r="58" spans="13:15" customFormat="1" ht="13.5" hidden="1" customHeight="1">
      <c r="M58" s="354"/>
      <c r="N58" s="354"/>
      <c r="O58" s="354"/>
    </row>
    <row r="59" spans="13:15" customFormat="1" ht="13.5" hidden="1" customHeight="1">
      <c r="M59" s="354"/>
      <c r="N59" s="354"/>
      <c r="O59" s="354"/>
    </row>
    <row r="60" spans="13:15" customFormat="1" ht="13.5" hidden="1" customHeight="1">
      <c r="M60" s="354"/>
      <c r="N60" s="354"/>
      <c r="O60" s="354"/>
    </row>
    <row r="61" spans="13:15" customFormat="1" ht="13.5" hidden="1" customHeight="1">
      <c r="M61" s="354"/>
      <c r="N61" s="354"/>
      <c r="O61" s="354"/>
    </row>
    <row r="62" spans="13:15" customFormat="1" ht="13.5" hidden="1" customHeight="1">
      <c r="M62" s="354"/>
      <c r="N62" s="354"/>
      <c r="O62" s="354"/>
    </row>
    <row r="63" spans="13:15" customFormat="1" ht="13.5" hidden="1" customHeight="1">
      <c r="M63" s="354"/>
      <c r="N63" s="354"/>
      <c r="O63" s="354"/>
    </row>
  </sheetData>
  <sortState ref="B14:O24">
    <sortCondition ref="B14:B24"/>
  </sortState>
  <mergeCells count="8">
    <mergeCell ref="B2:D2"/>
    <mergeCell ref="C11:H11"/>
    <mergeCell ref="I11:L11"/>
    <mergeCell ref="A3:P3"/>
    <mergeCell ref="A4:P4"/>
    <mergeCell ref="A5:P5"/>
    <mergeCell ref="A8:P8"/>
    <mergeCell ref="A9:P9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33"/>
  <sheetViews>
    <sheetView zoomScaleNormal="100" workbookViewId="0"/>
  </sheetViews>
  <sheetFormatPr baseColWidth="10" defaultColWidth="0" defaultRowHeight="0" customHeight="1" zeroHeight="1"/>
  <cols>
    <col min="1" max="1" width="10" style="355" customWidth="1"/>
    <col min="2" max="2" width="24.42578125" style="355" customWidth="1"/>
    <col min="3" max="3" width="8.42578125" style="355" customWidth="1"/>
    <col min="4" max="4" width="62" style="355" customWidth="1"/>
    <col min="5" max="5" width="5.7109375" style="355" customWidth="1"/>
    <col min="6" max="6" width="9" style="355" customWidth="1"/>
    <col min="7" max="9" width="13" style="355" customWidth="1"/>
    <col min="10" max="11" width="17.42578125" style="355" customWidth="1"/>
    <col min="12" max="12" width="13.85546875" style="355" customWidth="1"/>
    <col min="13" max="13" width="9" style="355" customWidth="1"/>
    <col min="14" max="16" width="13" style="355" customWidth="1"/>
    <col min="17" max="18" width="17.42578125" style="355" customWidth="1"/>
    <col min="19" max="19" width="13.85546875" style="355" customWidth="1"/>
    <col min="20" max="20" width="9" style="355" customWidth="1"/>
    <col min="21" max="23" width="13" style="355" customWidth="1"/>
    <col min="24" max="25" width="17.42578125" style="355" customWidth="1"/>
    <col min="26" max="26" width="13.85546875" style="355" customWidth="1"/>
    <col min="27" max="27" width="9" style="355" customWidth="1"/>
    <col min="28" max="30" width="13" style="355" customWidth="1"/>
    <col min="31" max="32" width="17.42578125" style="355" customWidth="1"/>
    <col min="33" max="33" width="13.85546875" style="355" customWidth="1"/>
    <col min="34" max="34" width="9" style="355" customWidth="1"/>
    <col min="35" max="37" width="13" style="355" customWidth="1"/>
    <col min="38" max="39" width="17.42578125" style="355" customWidth="1"/>
    <col min="40" max="41" width="13.85546875" style="355" customWidth="1"/>
    <col min="42" max="42" width="18.28515625" style="355" customWidth="1"/>
    <col min="43" max="46" width="11.42578125" style="354" hidden="1" customWidth="1"/>
    <col min="47" max="61" width="14.7109375" style="354" hidden="1" customWidth="1"/>
    <col min="62" max="16384" width="11.42578125" style="354" hidden="1"/>
  </cols>
  <sheetData>
    <row r="1" spans="1:59" ht="15.75">
      <c r="A1" s="389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1"/>
      <c r="U1" s="391"/>
      <c r="V1" s="391"/>
      <c r="W1" s="390"/>
      <c r="X1" s="390"/>
      <c r="Y1" s="390"/>
      <c r="Z1" s="390"/>
      <c r="AA1" s="391"/>
      <c r="AB1" s="391"/>
      <c r="AC1" s="391"/>
      <c r="AD1" s="390"/>
      <c r="AE1" s="390"/>
      <c r="AF1" s="390"/>
      <c r="AG1" s="390"/>
      <c r="AH1" s="391"/>
      <c r="AI1" s="391"/>
      <c r="AJ1" s="391"/>
      <c r="AK1" s="390"/>
      <c r="AL1" s="390"/>
      <c r="AM1" s="390"/>
      <c r="AN1" s="390"/>
      <c r="AO1" s="390"/>
      <c r="AP1" s="265"/>
    </row>
    <row r="2" spans="1:59" ht="20.25">
      <c r="A2" s="392"/>
      <c r="B2" s="356"/>
      <c r="C2" s="480" t="s">
        <v>1940</v>
      </c>
      <c r="D2" s="480"/>
      <c r="E2" s="399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61"/>
      <c r="U2" s="361"/>
      <c r="V2" s="361"/>
      <c r="W2" s="356"/>
      <c r="X2" s="356"/>
      <c r="Y2" s="356"/>
      <c r="Z2" s="356"/>
      <c r="AA2" s="361"/>
      <c r="AB2" s="361"/>
      <c r="AC2" s="361"/>
      <c r="AD2" s="356"/>
      <c r="AE2" s="356"/>
      <c r="AF2" s="356"/>
      <c r="AG2" s="356"/>
      <c r="AH2" s="361"/>
      <c r="AI2" s="361"/>
      <c r="AJ2" s="361"/>
      <c r="AK2" s="356"/>
      <c r="AL2" s="356"/>
      <c r="AM2" s="356"/>
      <c r="AN2" s="356"/>
      <c r="AO2" s="356"/>
      <c r="AP2" s="266"/>
    </row>
    <row r="3" spans="1:59" ht="18">
      <c r="A3" s="492" t="s">
        <v>1937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4"/>
    </row>
    <row r="4" spans="1:59" ht="18">
      <c r="A4" s="492" t="s">
        <v>1938</v>
      </c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4"/>
    </row>
    <row r="5" spans="1:59" ht="18">
      <c r="A5" s="492" t="s">
        <v>1939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4"/>
    </row>
    <row r="6" spans="1:59" ht="18">
      <c r="A6" s="400"/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401"/>
      <c r="AN6" s="401"/>
      <c r="AO6" s="401"/>
      <c r="AP6" s="402"/>
    </row>
    <row r="7" spans="1:59" ht="18">
      <c r="A7" s="492" t="s">
        <v>1953</v>
      </c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4"/>
    </row>
    <row r="8" spans="1:59" ht="18">
      <c r="A8" s="489" t="str">
        <f>CONCATENATE("VALORES UNITARIOS CÁLCULADOS :"," ",COT_PRECALCULOS!D24)</f>
        <v>VALORES UNITARIOS CÁLCULADOS : Precios Base Gravable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I8" s="490"/>
      <c r="AJ8" s="490"/>
      <c r="AK8" s="490"/>
      <c r="AL8" s="490"/>
      <c r="AM8" s="490"/>
      <c r="AN8" s="490"/>
      <c r="AO8" s="490"/>
      <c r="AP8" s="491"/>
    </row>
    <row r="9" spans="1:59" ht="15.75" thickBot="1">
      <c r="A9" s="393"/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  <c r="Z9" s="394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5"/>
    </row>
    <row r="10" spans="1:59" ht="15.75">
      <c r="A10" s="226"/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  <c r="AP10" s="391"/>
    </row>
    <row r="11" spans="1:59" ht="15.75">
      <c r="A11" s="361"/>
      <c r="B11" s="361"/>
      <c r="C11" s="361"/>
      <c r="D11" s="361"/>
      <c r="E11" s="361"/>
      <c r="F11" s="495" t="s">
        <v>1640</v>
      </c>
      <c r="G11" s="495"/>
      <c r="H11" s="495"/>
      <c r="I11" s="495"/>
      <c r="J11" s="495"/>
      <c r="K11" s="495"/>
      <c r="L11" s="495"/>
      <c r="M11" s="496" t="s">
        <v>1641</v>
      </c>
      <c r="N11" s="496"/>
      <c r="O11" s="496"/>
      <c r="P11" s="496"/>
      <c r="Q11" s="496"/>
      <c r="R11" s="496"/>
      <c r="S11" s="496"/>
      <c r="T11" s="495" t="s">
        <v>1642</v>
      </c>
      <c r="U11" s="495"/>
      <c r="V11" s="495"/>
      <c r="W11" s="495"/>
      <c r="X11" s="495"/>
      <c r="Y11" s="495"/>
      <c r="Z11" s="495"/>
      <c r="AA11" s="496" t="s">
        <v>1643</v>
      </c>
      <c r="AB11" s="496"/>
      <c r="AC11" s="496"/>
      <c r="AD11" s="496"/>
      <c r="AE11" s="496"/>
      <c r="AF11" s="496"/>
      <c r="AG11" s="496"/>
      <c r="AH11" s="497" t="s">
        <v>1644</v>
      </c>
      <c r="AI11" s="498"/>
      <c r="AJ11" s="498"/>
      <c r="AK11" s="498"/>
      <c r="AL11" s="498"/>
      <c r="AM11" s="498"/>
      <c r="AN11" s="498"/>
      <c r="AO11" s="351"/>
      <c r="AP11" s="351"/>
    </row>
    <row r="12" spans="1:59" ht="4.5" customHeight="1">
      <c r="A12" s="361"/>
      <c r="B12" s="361"/>
      <c r="C12" s="361"/>
      <c r="D12" s="361"/>
      <c r="E12" s="361"/>
      <c r="F12" s="311"/>
      <c r="G12" s="311"/>
      <c r="H12" s="311"/>
      <c r="I12" s="311"/>
      <c r="J12" s="311"/>
      <c r="K12" s="311"/>
      <c r="L12" s="311"/>
      <c r="M12" s="312"/>
      <c r="N12" s="312"/>
      <c r="O12" s="312"/>
      <c r="P12" s="312"/>
      <c r="Q12" s="312"/>
      <c r="R12" s="312"/>
      <c r="S12" s="312"/>
      <c r="T12" s="311"/>
      <c r="U12" s="311"/>
      <c r="V12" s="311"/>
      <c r="W12" s="311"/>
      <c r="X12" s="311"/>
      <c r="Y12" s="311"/>
      <c r="Z12" s="311"/>
      <c r="AA12" s="312"/>
      <c r="AB12" s="312"/>
      <c r="AC12" s="312"/>
      <c r="AD12" s="312"/>
      <c r="AE12" s="312"/>
      <c r="AF12" s="312"/>
      <c r="AG12" s="312"/>
      <c r="AH12" s="312"/>
      <c r="AI12" s="312"/>
      <c r="AJ12" s="312"/>
      <c r="AK12" s="312"/>
      <c r="AL12" s="312"/>
      <c r="AM12" s="312"/>
      <c r="AN12" s="312"/>
      <c r="AO12" s="312"/>
      <c r="AP12" s="312"/>
    </row>
    <row r="13" spans="1:59" ht="37.5" customHeight="1">
      <c r="A13" s="383" t="s">
        <v>2462</v>
      </c>
      <c r="B13" s="383" t="s">
        <v>2463</v>
      </c>
      <c r="C13" s="269" t="s">
        <v>1977</v>
      </c>
      <c r="D13" s="403" t="s">
        <v>1645</v>
      </c>
      <c r="E13" s="269" t="s">
        <v>8</v>
      </c>
      <c r="F13" s="257" t="s">
        <v>2416</v>
      </c>
      <c r="G13" s="257" t="s">
        <v>2471</v>
      </c>
      <c r="H13" s="257" t="s">
        <v>2470</v>
      </c>
      <c r="I13" s="257" t="s">
        <v>2465</v>
      </c>
      <c r="J13" s="257" t="s">
        <v>2490</v>
      </c>
      <c r="K13" s="257" t="s">
        <v>2492</v>
      </c>
      <c r="L13" s="257" t="s">
        <v>2491</v>
      </c>
      <c r="M13" s="269" t="s">
        <v>2416</v>
      </c>
      <c r="N13" s="269" t="s">
        <v>2471</v>
      </c>
      <c r="O13" s="269" t="s">
        <v>2470</v>
      </c>
      <c r="P13" s="269" t="s">
        <v>2465</v>
      </c>
      <c r="Q13" s="269" t="s">
        <v>2490</v>
      </c>
      <c r="R13" s="269" t="s">
        <v>2492</v>
      </c>
      <c r="S13" s="269" t="s">
        <v>2491</v>
      </c>
      <c r="T13" s="257" t="s">
        <v>2416</v>
      </c>
      <c r="U13" s="257" t="s">
        <v>2471</v>
      </c>
      <c r="V13" s="257" t="s">
        <v>2470</v>
      </c>
      <c r="W13" s="257" t="s">
        <v>2465</v>
      </c>
      <c r="X13" s="257" t="s">
        <v>2490</v>
      </c>
      <c r="Y13" s="257" t="s">
        <v>2492</v>
      </c>
      <c r="Z13" s="257" t="s">
        <v>2491</v>
      </c>
      <c r="AA13" s="269" t="s">
        <v>2416</v>
      </c>
      <c r="AB13" s="269" t="s">
        <v>2471</v>
      </c>
      <c r="AC13" s="269" t="s">
        <v>2470</v>
      </c>
      <c r="AD13" s="269" t="s">
        <v>2465</v>
      </c>
      <c r="AE13" s="269" t="s">
        <v>2490</v>
      </c>
      <c r="AF13" s="269" t="s">
        <v>2492</v>
      </c>
      <c r="AG13" s="269" t="s">
        <v>2491</v>
      </c>
      <c r="AH13" s="257" t="s">
        <v>2416</v>
      </c>
      <c r="AI13" s="257" t="s">
        <v>2471</v>
      </c>
      <c r="AJ13" s="257" t="s">
        <v>2470</v>
      </c>
      <c r="AK13" s="257" t="s">
        <v>2465</v>
      </c>
      <c r="AL13" s="257" t="s">
        <v>2490</v>
      </c>
      <c r="AM13" s="257" t="s">
        <v>2492</v>
      </c>
      <c r="AN13" s="257" t="s">
        <v>2491</v>
      </c>
      <c r="AO13" s="451" t="s">
        <v>2489</v>
      </c>
      <c r="AP13" s="451" t="s">
        <v>2493</v>
      </c>
    </row>
    <row r="14" spans="1:59" ht="15.75">
      <c r="A14" s="338">
        <v>1</v>
      </c>
      <c r="B14" s="338" t="s">
        <v>1</v>
      </c>
      <c r="C14" s="258">
        <v>7</v>
      </c>
      <c r="D14" s="328" t="s">
        <v>57</v>
      </c>
      <c r="E14" s="258" t="s">
        <v>9</v>
      </c>
      <c r="F14" s="431">
        <f t="array" ref="F14">MAX((IF(MNU_CODIGO_ALIMENTO_ENTREGA=CONCATENATE($C14,"_","P_"),MNU_GRAMAJE_REQUERIDO_TIPOA,"")))</f>
        <v>100</v>
      </c>
      <c r="G14" s="259">
        <f t="shared" ref="G14:G43" si="0">SUMIF(COSTPE_G_ALIMENTO_GRUPO,CONCATENATE($C14,"_",$A14),COSTPE_G_VOLUMEN_TOTAL_TIPOA)</f>
        <v>130504</v>
      </c>
      <c r="H14" s="259">
        <f t="shared" ref="H14:H43" si="1">SUMIF(COSTSE_G_ALIMENTO_GRUPO,CONCATENATE($C14,"_",$A14),COSTSE_G_VOLUMEN_TOTAL_TIPOA)</f>
        <v>0</v>
      </c>
      <c r="I14" s="259">
        <f t="shared" ref="I14:I43" si="2">G14+H14</f>
        <v>130504</v>
      </c>
      <c r="J14" s="260">
        <f t="shared" ref="J14:J43" si="3">SUMIF(COSTPE_G_ALIMENTO_GRUPO,CONCATENATE($C14,"_",$A14),COSTPE_G_VALOR_TOTAL_TIPOA)</f>
        <v>14616448</v>
      </c>
      <c r="K14" s="260">
        <f t="shared" ref="K14:K43" si="4">SUMIF(COSTSE_G_ALIMENTO_GRUPO,CONCATENATE($C14,"_",$A14),COSTSE_G_VALOR_TOTAL_TIPOA)</f>
        <v>0</v>
      </c>
      <c r="L14" s="260">
        <f t="shared" ref="L14:L43" si="5">J14+K14</f>
        <v>14616448</v>
      </c>
      <c r="M14" s="432">
        <f t="array" ref="M14">MAX((IF(MNU_CODIGO_ALIMENTO_ENTREGA=CONCATENATE($C14,"_","P_"),MNU_GRAMAJE_REQUERIDO_TIPOB,"")))</f>
        <v>100</v>
      </c>
      <c r="N14" s="348">
        <f t="shared" ref="N14:N43" si="6">SUMIF(COSTPE_G_ALIMENTO_GRUPO,CONCATENATE($C14,"_",$A14),COSTPE_G_VOLUMEN_TOTAL_TIPOB)</f>
        <v>74160</v>
      </c>
      <c r="O14" s="348">
        <f t="shared" ref="O14:O43" si="7">SUMIF(COSTSE_G_ALIMENTO_GRUPO,CONCATENATE($C14,"_",$A14),COSTSE_G_VOLUMEN_TOTAL_TIPOB)</f>
        <v>0</v>
      </c>
      <c r="P14" s="348">
        <f t="shared" ref="P14:P43" si="8">N14+O14</f>
        <v>74160</v>
      </c>
      <c r="Q14" s="349">
        <f t="shared" ref="Q14:Q43" si="9">SUMIF(COSTPE_G_ALIMENTO_GRUPO,CONCATENATE($C14,"_",$A14),COSTPE_G_VALOR_TOTAL_TIPOB)</f>
        <v>8305920</v>
      </c>
      <c r="R14" s="349">
        <f t="shared" ref="R14:R43" si="10">SUMIF(COSTSE_G_ALIMENTO_GRUPO,CONCATENATE($C14,"_",$A14),COSTSE_G_VALOR_TOTAL_TIPOB)</f>
        <v>0</v>
      </c>
      <c r="S14" s="349">
        <f t="shared" ref="S14:S43" si="11">Q14+R14</f>
        <v>8305920</v>
      </c>
      <c r="T14" s="353">
        <f t="array" ref="T14">MAX((IF(MNU_CODIGO_ALIMENTO_ENTREGA=CONCATENATE($C14,"_","P_"),MNU_GRAMAJE_REQUERIDO_TIPOC,"")))</f>
        <v>100</v>
      </c>
      <c r="U14" s="259">
        <f t="shared" ref="U14:U43" si="12">SUMIF(COSTPE_G_ALIMENTO_GRUPO,CONCATENATE($C14,"_",$A14),COSTPE_G_VOLUMEN_TOTAL_TIPOC)</f>
        <v>75636</v>
      </c>
      <c r="V14" s="259">
        <f t="shared" ref="V14:V43" si="13">SUMIF(COSTSE_G_ALIMENTO_GRUPO,CONCATENATE($C14,"_",$A14),COSTSE_G_VOLUMEN_TOTAL_TIPOC)</f>
        <v>10538</v>
      </c>
      <c r="W14" s="259">
        <f t="shared" ref="W14:W43" si="14">U14+V14</f>
        <v>86174</v>
      </c>
      <c r="X14" s="260">
        <f t="shared" ref="X14:X43" si="15">SUMIF(COSTPE_G_ALIMENTO_GRUPO,CONCATENATE($C14,"_",$A14),COSTPE_G_VALOR_TOTAL_TIPOC)</f>
        <v>8471232</v>
      </c>
      <c r="Y14" s="260">
        <f t="shared" ref="Y14:Y43" si="16">SUMIF(COSTSE_G_ALIMENTO_GRUPO,CONCATENATE($C14,"_",$A14),COSTSE_G_VALOR_TOTAL_TIPOC)</f>
        <v>1180256</v>
      </c>
      <c r="Z14" s="260">
        <f t="shared" ref="Z14:Z43" si="17">X14+Y14</f>
        <v>9651488</v>
      </c>
      <c r="AA14" s="258">
        <f t="array" ref="AA14">MAX((IF(MNU_CODIGO_ALIMENTO_ENTREGA=CONCATENATE($C14,"_","P_"),MNU_GRAMAJE_REQUERIDO_TIPOM,"")))</f>
        <v>100</v>
      </c>
      <c r="AB14" s="261">
        <f t="shared" ref="AB14:AB43" si="18">SUMIF(COSTPE_G_ALIMENTO_GRUPO,CONCATENATE($C14,"_",$A14),COSTPE_G_VOLUMEN_TOTAL_TIPOM)</f>
        <v>3456</v>
      </c>
      <c r="AC14" s="261">
        <v>0</v>
      </c>
      <c r="AD14" s="261">
        <f t="shared" ref="AD14:AD43" si="19">AB14+AC14</f>
        <v>3456</v>
      </c>
      <c r="AE14" s="262">
        <f t="shared" ref="AE14:AE43" si="20">SUMIF(COSTPE_G_ALIMENTO_GRUPO,CONCATENATE($C14,"_",$A14),COSTPE_G_VALOR_TOTAL_TIPOM)</f>
        <v>387072</v>
      </c>
      <c r="AF14" s="262">
        <v>0</v>
      </c>
      <c r="AG14" s="262">
        <f t="shared" ref="AG14:AG43" si="21">AE14+AF14</f>
        <v>387072</v>
      </c>
      <c r="AH14" s="353">
        <f t="array" ref="AH14">MAX((IF(MNU_CODIGO_ALIMENTO_ENTREGA=CONCATENATE($C14,"_","P_"),MNU_GRAMAJE_REQUERIDO_TIPOH,"")))</f>
        <v>100</v>
      </c>
      <c r="AI14" s="259">
        <f t="shared" ref="AI14:AI43" si="22">SUMIF(COSTPE_G_ALIMENTO_GRUPO,CONCATENATE($C14,"_",$A14),COSTPE_G_VOLUMEN_TOTAL_TIPOH)</f>
        <v>3555</v>
      </c>
      <c r="AJ14" s="259">
        <v>0</v>
      </c>
      <c r="AK14" s="259">
        <f t="shared" ref="AK14:AK43" si="23">AI14+AJ14</f>
        <v>3555</v>
      </c>
      <c r="AL14" s="260">
        <f t="shared" ref="AL14:AL43" si="24">SUMIF(COSTPE_G_ALIMENTO_GRUPO,CONCATENATE($C14,"_",$A14),COSTPE_G_VALOR_TOTAL_TIPOH)</f>
        <v>398160</v>
      </c>
      <c r="AM14" s="260">
        <v>0</v>
      </c>
      <c r="AN14" s="260">
        <f t="shared" ref="AN14:AN43" si="25">AL14+AM14</f>
        <v>398160</v>
      </c>
      <c r="AO14" s="457">
        <f t="shared" ref="AO14:AO43" si="26">AK14+AD14+W14+P14+I14</f>
        <v>297849</v>
      </c>
      <c r="AP14" s="456">
        <f t="shared" ref="AP14:AP43" si="27">AN14+AG14+Z14+S14+L14</f>
        <v>33359088</v>
      </c>
      <c r="AQ14" s="263" t="e">
        <f>#REF!+AH14+AA14+T14+M14</f>
        <v>#REF!</v>
      </c>
      <c r="AR14" s="263">
        <f t="shared" ref="AR14:AR40" si="28">AP14+AI14+AB14+U14+N14</f>
        <v>33515895</v>
      </c>
      <c r="AS14" s="263" t="e">
        <f t="shared" ref="AS14:AS40" si="29">AQ14+AJ14+AC14+V14+O14</f>
        <v>#REF!</v>
      </c>
      <c r="AT14" s="263">
        <f t="shared" ref="AT14:AT40" si="30">AR14+AK14+AD14+W14+P14</f>
        <v>33683240</v>
      </c>
      <c r="AU14" s="263" t="e">
        <f t="shared" ref="AU14:AU40" si="31">AS14+AL14+AE14+X14+Q14</f>
        <v>#REF!</v>
      </c>
      <c r="AV14" s="263">
        <f t="shared" ref="AV14:AV40" si="32">AT14+AM14+AF14+Y14+R14</f>
        <v>34863496</v>
      </c>
      <c r="AW14" s="263" t="e">
        <f t="shared" ref="AW14:AW40" si="33">AU14+AN14+AG14+Z14+S14</f>
        <v>#REF!</v>
      </c>
      <c r="AX14" s="263" t="e">
        <f>AV14+#REF!+AH14+AA14+T14</f>
        <v>#REF!</v>
      </c>
      <c r="AY14" s="263" t="e">
        <f t="shared" ref="AY14:AY40" si="34">AW14+AP14+AI14+AB14+U14</f>
        <v>#REF!</v>
      </c>
      <c r="AZ14" s="263" t="e">
        <f t="shared" ref="AZ14:AZ40" si="35">AX14+AQ14+AJ14+AC14+V14</f>
        <v>#REF!</v>
      </c>
      <c r="BA14" s="263" t="e">
        <f t="shared" ref="BA14:BA40" si="36">AY14+AR14+AK14+AD14+W14</f>
        <v>#REF!</v>
      </c>
      <c r="BB14" s="263" t="e">
        <f t="shared" ref="BB14:BB40" si="37">AZ14+AS14+AL14+AE14+X14</f>
        <v>#REF!</v>
      </c>
      <c r="BC14" s="263" t="e">
        <f t="shared" ref="BC14:BC40" si="38">BA14+AT14+AM14+AF14+Y14</f>
        <v>#REF!</v>
      </c>
      <c r="BD14" s="263" t="e">
        <f t="shared" ref="BD14:BD40" si="39">BB14+AU14+AN14+AG14+Z14</f>
        <v>#REF!</v>
      </c>
      <c r="BE14" s="263" t="e">
        <f>BC14+AV14+#REF!+AH14+AA14</f>
        <v>#REF!</v>
      </c>
      <c r="BF14" s="263" t="e">
        <f t="shared" ref="BF14:BF40" si="40">BD14+AW14+AP14+AI14+AB14</f>
        <v>#REF!</v>
      </c>
      <c r="BG14" s="263" t="e">
        <f t="shared" ref="BG14:BG40" si="41">BE14+AX14+AQ14+AJ14+AC14</f>
        <v>#REF!</v>
      </c>
    </row>
    <row r="15" spans="1:59" ht="15.75">
      <c r="A15" s="338">
        <v>1</v>
      </c>
      <c r="B15" s="338" t="s">
        <v>1</v>
      </c>
      <c r="C15" s="258">
        <v>8</v>
      </c>
      <c r="D15" s="328" t="s">
        <v>55</v>
      </c>
      <c r="E15" s="258" t="s">
        <v>9</v>
      </c>
      <c r="F15" s="431">
        <f t="array" ref="F15">MAX((IF(MNU_CODIGO_ALIMENTO_ENTREGA=CONCATENATE($C15,"_","P_"),MNU_GRAMAJE_REQUERIDO_TIPOA,"")))</f>
        <v>100</v>
      </c>
      <c r="G15" s="259">
        <f t="shared" si="0"/>
        <v>59320</v>
      </c>
      <c r="H15" s="259">
        <f t="shared" si="1"/>
        <v>0</v>
      </c>
      <c r="I15" s="259">
        <f t="shared" si="2"/>
        <v>59320</v>
      </c>
      <c r="J15" s="260">
        <f t="shared" si="3"/>
        <v>8364120</v>
      </c>
      <c r="K15" s="260">
        <f t="shared" si="4"/>
        <v>0</v>
      </c>
      <c r="L15" s="260">
        <f t="shared" si="5"/>
        <v>8364120</v>
      </c>
      <c r="M15" s="432">
        <f t="array" ref="M15">MAX((IF(MNU_CODIGO_ALIMENTO_ENTREGA=CONCATENATE($C15,"_","P_"),MNU_GRAMAJE_REQUERIDO_TIPOB,"")))</f>
        <v>100</v>
      </c>
      <c r="N15" s="348">
        <f t="shared" si="6"/>
        <v>65920</v>
      </c>
      <c r="O15" s="348">
        <f t="shared" si="7"/>
        <v>0</v>
      </c>
      <c r="P15" s="348">
        <f t="shared" si="8"/>
        <v>65920</v>
      </c>
      <c r="Q15" s="349">
        <f t="shared" si="9"/>
        <v>9294720</v>
      </c>
      <c r="R15" s="349">
        <f t="shared" si="10"/>
        <v>0</v>
      </c>
      <c r="S15" s="349">
        <f t="shared" si="11"/>
        <v>9294720</v>
      </c>
      <c r="T15" s="353">
        <f t="array" ref="T15">MAX((IF(MNU_CODIGO_ALIMENTO_ENTREGA=CONCATENATE($C15,"_","P_"),MNU_GRAMAJE_REQUERIDO_TIPOC,"")))</f>
        <v>100</v>
      </c>
      <c r="U15" s="259">
        <f t="shared" si="12"/>
        <v>67232</v>
      </c>
      <c r="V15" s="259">
        <f t="shared" si="13"/>
        <v>10538</v>
      </c>
      <c r="W15" s="259">
        <f t="shared" si="14"/>
        <v>77770</v>
      </c>
      <c r="X15" s="260">
        <f t="shared" si="15"/>
        <v>9479712</v>
      </c>
      <c r="Y15" s="260">
        <f t="shared" si="16"/>
        <v>1485858</v>
      </c>
      <c r="Z15" s="260">
        <f t="shared" si="17"/>
        <v>10965570</v>
      </c>
      <c r="AA15" s="258">
        <f t="array" ref="AA15">MAX((IF(MNU_CODIGO_ALIMENTO_ENTREGA=CONCATENATE($C15,"_","P_"),MNU_GRAMAJE_REQUERIDO_TIPOM,"")))</f>
        <v>100</v>
      </c>
      <c r="AB15" s="261">
        <f t="shared" si="18"/>
        <v>3072</v>
      </c>
      <c r="AC15" s="261">
        <v>0</v>
      </c>
      <c r="AD15" s="261">
        <f t="shared" si="19"/>
        <v>3072</v>
      </c>
      <c r="AE15" s="262">
        <f t="shared" si="20"/>
        <v>433152</v>
      </c>
      <c r="AF15" s="262">
        <v>0</v>
      </c>
      <c r="AG15" s="262">
        <f t="shared" si="21"/>
        <v>433152</v>
      </c>
      <c r="AH15" s="353">
        <f t="array" ref="AH15">MAX((IF(MNU_CODIGO_ALIMENTO_ENTREGA=CONCATENATE($C15,"_","P_"),MNU_GRAMAJE_REQUERIDO_TIPOH,"")))</f>
        <v>100</v>
      </c>
      <c r="AI15" s="259">
        <f t="shared" si="22"/>
        <v>3160</v>
      </c>
      <c r="AJ15" s="259">
        <v>0</v>
      </c>
      <c r="AK15" s="259">
        <f t="shared" si="23"/>
        <v>3160</v>
      </c>
      <c r="AL15" s="260">
        <f t="shared" si="24"/>
        <v>445560</v>
      </c>
      <c r="AM15" s="260">
        <v>0</v>
      </c>
      <c r="AN15" s="260">
        <f t="shared" si="25"/>
        <v>445560</v>
      </c>
      <c r="AO15" s="457">
        <f t="shared" si="26"/>
        <v>209242</v>
      </c>
      <c r="AP15" s="456">
        <f t="shared" si="27"/>
        <v>29503122</v>
      </c>
      <c r="AQ15" s="263" t="e">
        <f>#REF!+AH15+AA15+T15+M15</f>
        <v>#REF!</v>
      </c>
      <c r="AR15" s="263">
        <f t="shared" si="28"/>
        <v>29642506</v>
      </c>
      <c r="AS15" s="263" t="e">
        <f t="shared" si="29"/>
        <v>#REF!</v>
      </c>
      <c r="AT15" s="263">
        <f t="shared" si="30"/>
        <v>29792428</v>
      </c>
      <c r="AU15" s="263" t="e">
        <f t="shared" si="31"/>
        <v>#REF!</v>
      </c>
      <c r="AV15" s="263">
        <f t="shared" si="32"/>
        <v>31278286</v>
      </c>
      <c r="AW15" s="263" t="e">
        <f t="shared" si="33"/>
        <v>#REF!</v>
      </c>
      <c r="AX15" s="263" t="e">
        <f>AV15+#REF!+AH15+AA15+T15</f>
        <v>#REF!</v>
      </c>
      <c r="AY15" s="263" t="e">
        <f t="shared" si="34"/>
        <v>#REF!</v>
      </c>
      <c r="AZ15" s="263" t="e">
        <f t="shared" si="35"/>
        <v>#REF!</v>
      </c>
      <c r="BA15" s="263" t="e">
        <f t="shared" si="36"/>
        <v>#REF!</v>
      </c>
      <c r="BB15" s="263" t="e">
        <f t="shared" si="37"/>
        <v>#REF!</v>
      </c>
      <c r="BC15" s="263" t="e">
        <f t="shared" si="38"/>
        <v>#REF!</v>
      </c>
      <c r="BD15" s="263" t="e">
        <f t="shared" si="39"/>
        <v>#REF!</v>
      </c>
      <c r="BE15" s="263" t="e">
        <f>BC15+AV15+#REF!+AH15+AA15</f>
        <v>#REF!</v>
      </c>
      <c r="BF15" s="263" t="e">
        <f t="shared" si="40"/>
        <v>#REF!</v>
      </c>
      <c r="BG15" s="263" t="e">
        <f t="shared" si="41"/>
        <v>#REF!</v>
      </c>
    </row>
    <row r="16" spans="1:59" ht="15.75">
      <c r="A16" s="338">
        <v>1</v>
      </c>
      <c r="B16" s="338" t="s">
        <v>1</v>
      </c>
      <c r="C16" s="258">
        <v>17</v>
      </c>
      <c r="D16" s="328" t="s">
        <v>53</v>
      </c>
      <c r="E16" s="258" t="s">
        <v>9</v>
      </c>
      <c r="F16" s="431">
        <f t="array" ref="F16">MAX((IF(MNU_CODIGO_ALIMENTO_ENTREGA=CONCATENATE($C16,"_","P_"),MNU_GRAMAJE_REQUERIDO_TIPOA,"")))</f>
        <v>0</v>
      </c>
      <c r="G16" s="259">
        <f t="shared" si="0"/>
        <v>0</v>
      </c>
      <c r="H16" s="259">
        <f t="shared" si="1"/>
        <v>0</v>
      </c>
      <c r="I16" s="259">
        <f t="shared" si="2"/>
        <v>0</v>
      </c>
      <c r="J16" s="260">
        <f t="shared" si="3"/>
        <v>0</v>
      </c>
      <c r="K16" s="260">
        <f t="shared" si="4"/>
        <v>0</v>
      </c>
      <c r="L16" s="260">
        <f t="shared" si="5"/>
        <v>0</v>
      </c>
      <c r="M16" s="432">
        <f t="array" ref="M16">MAX((IF(MNU_CODIGO_ALIMENTO_ENTREGA=CONCATENATE($C16,"_","P_"),MNU_GRAMAJE_REQUERIDO_TIPOB,"")))</f>
        <v>100</v>
      </c>
      <c r="N16" s="348">
        <f t="shared" si="6"/>
        <v>173040</v>
      </c>
      <c r="O16" s="348">
        <f t="shared" si="7"/>
        <v>0</v>
      </c>
      <c r="P16" s="348">
        <f t="shared" si="8"/>
        <v>173040</v>
      </c>
      <c r="Q16" s="349">
        <f t="shared" si="9"/>
        <v>41010480</v>
      </c>
      <c r="R16" s="349">
        <f t="shared" si="10"/>
        <v>0</v>
      </c>
      <c r="S16" s="349">
        <f t="shared" si="11"/>
        <v>41010480</v>
      </c>
      <c r="T16" s="353">
        <f t="array" ref="T16">MAX((IF(MNU_CODIGO_ALIMENTO_ENTREGA=CONCATENATE($C16,"_","P_"),MNU_GRAMAJE_REQUERIDO_TIPOC,"")))</f>
        <v>100</v>
      </c>
      <c r="U16" s="259">
        <f t="shared" si="12"/>
        <v>176484</v>
      </c>
      <c r="V16" s="259">
        <f t="shared" si="13"/>
        <v>22034</v>
      </c>
      <c r="W16" s="259">
        <f t="shared" si="14"/>
        <v>198518</v>
      </c>
      <c r="X16" s="260">
        <f t="shared" si="15"/>
        <v>41826708</v>
      </c>
      <c r="Y16" s="260">
        <f t="shared" si="16"/>
        <v>5222058</v>
      </c>
      <c r="Z16" s="260">
        <f t="shared" si="17"/>
        <v>47048766</v>
      </c>
      <c r="AA16" s="258">
        <f t="array" ref="AA16">MAX((IF(MNU_CODIGO_ALIMENTO_ENTREGA=CONCATENATE($C16,"_","P_"),MNU_GRAMAJE_REQUERIDO_TIPOM,"")))</f>
        <v>100</v>
      </c>
      <c r="AB16" s="261">
        <f t="shared" si="18"/>
        <v>8064</v>
      </c>
      <c r="AC16" s="261">
        <v>0</v>
      </c>
      <c r="AD16" s="261">
        <f t="shared" si="19"/>
        <v>8064</v>
      </c>
      <c r="AE16" s="262">
        <f t="shared" si="20"/>
        <v>1911168</v>
      </c>
      <c r="AF16" s="262">
        <v>0</v>
      </c>
      <c r="AG16" s="262">
        <f t="shared" si="21"/>
        <v>1911168</v>
      </c>
      <c r="AH16" s="353">
        <f t="array" ref="AH16">MAX((IF(MNU_CODIGO_ALIMENTO_ENTREGA=CONCATENATE($C16,"_","P_"),MNU_GRAMAJE_REQUERIDO_TIPOH,"")))</f>
        <v>100</v>
      </c>
      <c r="AI16" s="259">
        <f t="shared" si="22"/>
        <v>8295</v>
      </c>
      <c r="AJ16" s="259">
        <v>0</v>
      </c>
      <c r="AK16" s="259">
        <f t="shared" si="23"/>
        <v>8295</v>
      </c>
      <c r="AL16" s="260">
        <f t="shared" si="24"/>
        <v>1965915</v>
      </c>
      <c r="AM16" s="260">
        <v>0</v>
      </c>
      <c r="AN16" s="260">
        <f t="shared" si="25"/>
        <v>1965915</v>
      </c>
      <c r="AO16" s="457">
        <f t="shared" si="26"/>
        <v>387917</v>
      </c>
      <c r="AP16" s="456">
        <f t="shared" si="27"/>
        <v>91936329</v>
      </c>
      <c r="AQ16" s="263" t="e">
        <f>#REF!+AH16+AA16+T16+M16</f>
        <v>#REF!</v>
      </c>
      <c r="AR16" s="263">
        <f t="shared" si="28"/>
        <v>92302212</v>
      </c>
      <c r="AS16" s="263" t="e">
        <f t="shared" si="29"/>
        <v>#REF!</v>
      </c>
      <c r="AT16" s="263">
        <f t="shared" si="30"/>
        <v>92690129</v>
      </c>
      <c r="AU16" s="263" t="e">
        <f t="shared" si="31"/>
        <v>#REF!</v>
      </c>
      <c r="AV16" s="263">
        <f t="shared" si="32"/>
        <v>97912187</v>
      </c>
      <c r="AW16" s="263" t="e">
        <f t="shared" si="33"/>
        <v>#REF!</v>
      </c>
      <c r="AX16" s="263" t="e">
        <f>AV16+#REF!+AH16+AA16+T16</f>
        <v>#REF!</v>
      </c>
      <c r="AY16" s="263" t="e">
        <f t="shared" si="34"/>
        <v>#REF!</v>
      </c>
      <c r="AZ16" s="263" t="e">
        <f t="shared" si="35"/>
        <v>#REF!</v>
      </c>
      <c r="BA16" s="263" t="e">
        <f t="shared" si="36"/>
        <v>#REF!</v>
      </c>
      <c r="BB16" s="263" t="e">
        <f t="shared" si="37"/>
        <v>#REF!</v>
      </c>
      <c r="BC16" s="263" t="e">
        <f t="shared" si="38"/>
        <v>#REF!</v>
      </c>
      <c r="BD16" s="263" t="e">
        <f t="shared" si="39"/>
        <v>#REF!</v>
      </c>
      <c r="BE16" s="263" t="e">
        <f>BC16+AV16+#REF!+AH16+AA16</f>
        <v>#REF!</v>
      </c>
      <c r="BF16" s="263" t="e">
        <f t="shared" si="40"/>
        <v>#REF!</v>
      </c>
      <c r="BG16" s="263" t="e">
        <f t="shared" si="41"/>
        <v>#REF!</v>
      </c>
    </row>
    <row r="17" spans="1:59" ht="15.75">
      <c r="A17" s="338">
        <v>1</v>
      </c>
      <c r="B17" s="338" t="s">
        <v>1</v>
      </c>
      <c r="C17" s="258">
        <v>22</v>
      </c>
      <c r="D17" s="328" t="s">
        <v>51</v>
      </c>
      <c r="E17" s="258" t="s">
        <v>9</v>
      </c>
      <c r="F17" s="431">
        <f t="array" ref="F17">MAX((IF(MNU_CODIGO_ALIMENTO_ENTREGA=CONCATENATE($C17,"_","P_"),MNU_GRAMAJE_REQUERIDO_TIPOA,"")))</f>
        <v>0</v>
      </c>
      <c r="G17" s="259">
        <f t="shared" si="0"/>
        <v>0</v>
      </c>
      <c r="H17" s="259">
        <f t="shared" si="1"/>
        <v>0</v>
      </c>
      <c r="I17" s="259">
        <f t="shared" si="2"/>
        <v>0</v>
      </c>
      <c r="J17" s="260">
        <f t="shared" si="3"/>
        <v>0</v>
      </c>
      <c r="K17" s="260">
        <f t="shared" si="4"/>
        <v>0</v>
      </c>
      <c r="L17" s="260">
        <f t="shared" si="5"/>
        <v>0</v>
      </c>
      <c r="M17" s="432">
        <f t="array" ref="M17">MAX((IF(MNU_CODIGO_ALIMENTO_ENTREGA=CONCATENATE($C17,"_","P_"),MNU_GRAMAJE_REQUERIDO_TIPOB,"")))</f>
        <v>100</v>
      </c>
      <c r="N17" s="348">
        <f t="shared" si="6"/>
        <v>164800</v>
      </c>
      <c r="O17" s="348">
        <f t="shared" si="7"/>
        <v>0</v>
      </c>
      <c r="P17" s="348">
        <f t="shared" si="8"/>
        <v>164800</v>
      </c>
      <c r="Q17" s="349">
        <f t="shared" si="9"/>
        <v>90804800</v>
      </c>
      <c r="R17" s="349">
        <f t="shared" si="10"/>
        <v>0</v>
      </c>
      <c r="S17" s="349">
        <f t="shared" si="11"/>
        <v>90804800</v>
      </c>
      <c r="T17" s="353">
        <f t="array" ref="T17">MAX((IF(MNU_CODIGO_ALIMENTO_ENTREGA=CONCATENATE($C17,"_","P_"),MNU_GRAMAJE_REQUERIDO_TIPOC,"")))</f>
        <v>100</v>
      </c>
      <c r="U17" s="259">
        <f t="shared" si="12"/>
        <v>168080</v>
      </c>
      <c r="V17" s="259">
        <f t="shared" si="13"/>
        <v>22034</v>
      </c>
      <c r="W17" s="259">
        <f t="shared" si="14"/>
        <v>190114</v>
      </c>
      <c r="X17" s="260">
        <f t="shared" si="15"/>
        <v>92612080</v>
      </c>
      <c r="Y17" s="260">
        <f t="shared" si="16"/>
        <v>12140734</v>
      </c>
      <c r="Z17" s="260">
        <f t="shared" si="17"/>
        <v>104752814</v>
      </c>
      <c r="AA17" s="258">
        <f t="array" ref="AA17">MAX((IF(MNU_CODIGO_ALIMENTO_ENTREGA=CONCATENATE($C17,"_","P_"),MNU_GRAMAJE_REQUERIDO_TIPOM,"")))</f>
        <v>100</v>
      </c>
      <c r="AB17" s="261">
        <f t="shared" si="18"/>
        <v>7680</v>
      </c>
      <c r="AC17" s="261">
        <v>0</v>
      </c>
      <c r="AD17" s="261">
        <f t="shared" si="19"/>
        <v>7680</v>
      </c>
      <c r="AE17" s="262">
        <f t="shared" si="20"/>
        <v>4231680</v>
      </c>
      <c r="AF17" s="262">
        <v>0</v>
      </c>
      <c r="AG17" s="262">
        <f t="shared" si="21"/>
        <v>4231680</v>
      </c>
      <c r="AH17" s="353">
        <f t="array" ref="AH17">MAX((IF(MNU_CODIGO_ALIMENTO_ENTREGA=CONCATENATE($C17,"_","P_"),MNU_GRAMAJE_REQUERIDO_TIPOH,"")))</f>
        <v>100</v>
      </c>
      <c r="AI17" s="259">
        <f t="shared" si="22"/>
        <v>7900</v>
      </c>
      <c r="AJ17" s="259">
        <v>0</v>
      </c>
      <c r="AK17" s="259">
        <f t="shared" si="23"/>
        <v>7900</v>
      </c>
      <c r="AL17" s="260">
        <f t="shared" si="24"/>
        <v>4352900</v>
      </c>
      <c r="AM17" s="260">
        <v>0</v>
      </c>
      <c r="AN17" s="260">
        <f t="shared" si="25"/>
        <v>4352900</v>
      </c>
      <c r="AO17" s="457">
        <f t="shared" si="26"/>
        <v>370494</v>
      </c>
      <c r="AP17" s="456">
        <f t="shared" si="27"/>
        <v>204142194</v>
      </c>
      <c r="AQ17" s="263" t="e">
        <f>#REF!+AH17+AA17+T17+M17</f>
        <v>#REF!</v>
      </c>
      <c r="AR17" s="263">
        <f t="shared" si="28"/>
        <v>204490654</v>
      </c>
      <c r="AS17" s="263" t="e">
        <f t="shared" si="29"/>
        <v>#REF!</v>
      </c>
      <c r="AT17" s="263">
        <f t="shared" si="30"/>
        <v>204861148</v>
      </c>
      <c r="AU17" s="263" t="e">
        <f t="shared" si="31"/>
        <v>#REF!</v>
      </c>
      <c r="AV17" s="263">
        <f t="shared" si="32"/>
        <v>217001882</v>
      </c>
      <c r="AW17" s="263" t="e">
        <f t="shared" si="33"/>
        <v>#REF!</v>
      </c>
      <c r="AX17" s="263" t="e">
        <f>AV17+#REF!+AH17+AA17+T17</f>
        <v>#REF!</v>
      </c>
      <c r="AY17" s="263" t="e">
        <f t="shared" si="34"/>
        <v>#REF!</v>
      </c>
      <c r="AZ17" s="263" t="e">
        <f t="shared" si="35"/>
        <v>#REF!</v>
      </c>
      <c r="BA17" s="263" t="e">
        <f t="shared" si="36"/>
        <v>#REF!</v>
      </c>
      <c r="BB17" s="263" t="e">
        <f t="shared" si="37"/>
        <v>#REF!</v>
      </c>
      <c r="BC17" s="263" t="e">
        <f t="shared" si="38"/>
        <v>#REF!</v>
      </c>
      <c r="BD17" s="263" t="e">
        <f t="shared" si="39"/>
        <v>#REF!</v>
      </c>
      <c r="BE17" s="263" t="e">
        <f>BC17+AV17+#REF!+AH17+AA17</f>
        <v>#REF!</v>
      </c>
      <c r="BF17" s="263" t="e">
        <f t="shared" si="40"/>
        <v>#REF!</v>
      </c>
      <c r="BG17" s="263" t="e">
        <f t="shared" si="41"/>
        <v>#REF!</v>
      </c>
    </row>
    <row r="18" spans="1:59" ht="15.75">
      <c r="A18" s="338">
        <v>1</v>
      </c>
      <c r="B18" s="338" t="s">
        <v>1</v>
      </c>
      <c r="C18" s="258">
        <v>33</v>
      </c>
      <c r="D18" s="328" t="s">
        <v>59</v>
      </c>
      <c r="E18" s="258" t="s">
        <v>48</v>
      </c>
      <c r="F18" s="431">
        <v>1</v>
      </c>
      <c r="G18" s="259">
        <f t="shared" si="0"/>
        <v>160164</v>
      </c>
      <c r="H18" s="259">
        <f t="shared" si="1"/>
        <v>0</v>
      </c>
      <c r="I18" s="259">
        <f t="shared" si="2"/>
        <v>160164</v>
      </c>
      <c r="J18" s="260">
        <f t="shared" si="3"/>
        <v>45326412</v>
      </c>
      <c r="K18" s="260">
        <f t="shared" si="4"/>
        <v>0</v>
      </c>
      <c r="L18" s="260">
        <f t="shared" si="5"/>
        <v>45326412</v>
      </c>
      <c r="M18" s="432">
        <v>1</v>
      </c>
      <c r="N18" s="348">
        <f t="shared" si="6"/>
        <v>148320</v>
      </c>
      <c r="O18" s="348">
        <f t="shared" si="7"/>
        <v>0</v>
      </c>
      <c r="P18" s="348">
        <f t="shared" si="8"/>
        <v>148320</v>
      </c>
      <c r="Q18" s="349">
        <f t="shared" si="9"/>
        <v>41974560</v>
      </c>
      <c r="R18" s="349">
        <f t="shared" si="10"/>
        <v>0</v>
      </c>
      <c r="S18" s="349">
        <f t="shared" si="11"/>
        <v>41974560</v>
      </c>
      <c r="T18" s="431">
        <v>1</v>
      </c>
      <c r="U18" s="259">
        <f t="shared" si="12"/>
        <v>151272</v>
      </c>
      <c r="V18" s="259">
        <f t="shared" si="13"/>
        <v>22034</v>
      </c>
      <c r="W18" s="259">
        <f t="shared" si="14"/>
        <v>173306</v>
      </c>
      <c r="X18" s="260">
        <f t="shared" si="15"/>
        <v>42809976</v>
      </c>
      <c r="Y18" s="260">
        <f t="shared" si="16"/>
        <v>6235622</v>
      </c>
      <c r="Z18" s="260">
        <f t="shared" si="17"/>
        <v>49045598</v>
      </c>
      <c r="AA18" s="258">
        <v>1</v>
      </c>
      <c r="AB18" s="261">
        <f t="shared" si="18"/>
        <v>6912</v>
      </c>
      <c r="AC18" s="261">
        <v>0</v>
      </c>
      <c r="AD18" s="261">
        <f t="shared" si="19"/>
        <v>6912</v>
      </c>
      <c r="AE18" s="262">
        <f t="shared" si="20"/>
        <v>1956096</v>
      </c>
      <c r="AF18" s="262">
        <v>0</v>
      </c>
      <c r="AG18" s="262">
        <f t="shared" si="21"/>
        <v>1956096</v>
      </c>
      <c r="AH18" s="353">
        <v>1</v>
      </c>
      <c r="AI18" s="259">
        <f t="shared" si="22"/>
        <v>7110</v>
      </c>
      <c r="AJ18" s="259">
        <v>0</v>
      </c>
      <c r="AK18" s="259">
        <f t="shared" si="23"/>
        <v>7110</v>
      </c>
      <c r="AL18" s="260">
        <f t="shared" si="24"/>
        <v>2012130</v>
      </c>
      <c r="AM18" s="260">
        <v>0</v>
      </c>
      <c r="AN18" s="260">
        <f t="shared" si="25"/>
        <v>2012130</v>
      </c>
      <c r="AO18" s="457">
        <f t="shared" si="26"/>
        <v>495812</v>
      </c>
      <c r="AP18" s="456">
        <f t="shared" si="27"/>
        <v>140314796</v>
      </c>
      <c r="AQ18" s="263" t="e">
        <f>#REF!+AH18+AA18+T18+M18</f>
        <v>#REF!</v>
      </c>
      <c r="AR18" s="263">
        <f t="shared" si="28"/>
        <v>140628410</v>
      </c>
      <c r="AS18" s="263" t="e">
        <f t="shared" si="29"/>
        <v>#REF!</v>
      </c>
      <c r="AT18" s="263">
        <f t="shared" si="30"/>
        <v>140964058</v>
      </c>
      <c r="AU18" s="263" t="e">
        <f t="shared" si="31"/>
        <v>#REF!</v>
      </c>
      <c r="AV18" s="263">
        <f t="shared" si="32"/>
        <v>147199680</v>
      </c>
      <c r="AW18" s="263" t="e">
        <f t="shared" si="33"/>
        <v>#REF!</v>
      </c>
      <c r="AX18" s="263" t="e">
        <f>AV18+#REF!+AH18+AA18+T18</f>
        <v>#REF!</v>
      </c>
      <c r="AY18" s="263" t="e">
        <f t="shared" si="34"/>
        <v>#REF!</v>
      </c>
      <c r="AZ18" s="263" t="e">
        <f t="shared" si="35"/>
        <v>#REF!</v>
      </c>
      <c r="BA18" s="263" t="e">
        <f t="shared" si="36"/>
        <v>#REF!</v>
      </c>
      <c r="BB18" s="263" t="e">
        <f t="shared" si="37"/>
        <v>#REF!</v>
      </c>
      <c r="BC18" s="263" t="e">
        <f t="shared" si="38"/>
        <v>#REF!</v>
      </c>
      <c r="BD18" s="263" t="e">
        <f t="shared" si="39"/>
        <v>#REF!</v>
      </c>
      <c r="BE18" s="263" t="e">
        <f>BC18+AV18+#REF!+AH18+AA18</f>
        <v>#REF!</v>
      </c>
      <c r="BF18" s="263" t="e">
        <f t="shared" si="40"/>
        <v>#REF!</v>
      </c>
      <c r="BG18" s="263" t="e">
        <f t="shared" si="41"/>
        <v>#REF!</v>
      </c>
    </row>
    <row r="19" spans="1:59" ht="15.75">
      <c r="A19" s="338">
        <v>1</v>
      </c>
      <c r="B19" s="338" t="s">
        <v>1</v>
      </c>
      <c r="C19" s="258">
        <v>36</v>
      </c>
      <c r="D19" s="328" t="s">
        <v>1340</v>
      </c>
      <c r="E19" s="258" t="s">
        <v>9</v>
      </c>
      <c r="F19" s="431">
        <f t="array" ref="F19">MAX((IF(MNU_CODIGO_ALIMENTO_ENTREGA=CONCATENATE($C19,"_","P_"),MNU_GRAMAJE_REQUERIDO_TIPOA,"")))</f>
        <v>20</v>
      </c>
      <c r="G19" s="259">
        <f t="shared" si="0"/>
        <v>41524</v>
      </c>
      <c r="H19" s="259">
        <f t="shared" si="1"/>
        <v>0</v>
      </c>
      <c r="I19" s="259">
        <f t="shared" si="2"/>
        <v>41524</v>
      </c>
      <c r="J19" s="260">
        <f t="shared" si="3"/>
        <v>5481168</v>
      </c>
      <c r="K19" s="260">
        <f t="shared" si="4"/>
        <v>0</v>
      </c>
      <c r="L19" s="260">
        <f t="shared" si="5"/>
        <v>5481168</v>
      </c>
      <c r="M19" s="432">
        <f t="array" ref="M19">MAX((IF(MNU_CODIGO_ALIMENTO_ENTREGA=CONCATENATE($C19,"_","P_"),MNU_GRAMAJE_REQUERIDO_TIPOB,"")))</f>
        <v>40</v>
      </c>
      <c r="N19" s="348">
        <f t="shared" si="6"/>
        <v>57680</v>
      </c>
      <c r="O19" s="348">
        <f t="shared" si="7"/>
        <v>0</v>
      </c>
      <c r="P19" s="348">
        <f t="shared" si="8"/>
        <v>57680</v>
      </c>
      <c r="Q19" s="349">
        <f t="shared" si="9"/>
        <v>15285200</v>
      </c>
      <c r="R19" s="349">
        <f t="shared" si="10"/>
        <v>0</v>
      </c>
      <c r="S19" s="349">
        <f t="shared" si="11"/>
        <v>15285200</v>
      </c>
      <c r="T19" s="353">
        <f t="array" ref="T19">MAX((IF(MNU_CODIGO_ALIMENTO_ENTREGA=CONCATENATE($C19,"_","P_"),MNU_GRAMAJE_REQUERIDO_TIPOC,"")))</f>
        <v>40</v>
      </c>
      <c r="U19" s="259">
        <f t="shared" si="12"/>
        <v>58828</v>
      </c>
      <c r="V19" s="259">
        <f t="shared" si="13"/>
        <v>7664</v>
      </c>
      <c r="W19" s="259">
        <f t="shared" si="14"/>
        <v>66492</v>
      </c>
      <c r="X19" s="260">
        <f t="shared" si="15"/>
        <v>15589420</v>
      </c>
      <c r="Y19" s="260">
        <f t="shared" si="16"/>
        <v>2030960</v>
      </c>
      <c r="Z19" s="260">
        <f t="shared" si="17"/>
        <v>17620380</v>
      </c>
      <c r="AA19" s="258">
        <f t="array" ref="AA19">MAX((IF(MNU_CODIGO_ALIMENTO_ENTREGA=CONCATENATE($C19,"_","P_"),MNU_GRAMAJE_REQUERIDO_TIPOM,"")))</f>
        <v>40</v>
      </c>
      <c r="AB19" s="261">
        <f t="shared" si="18"/>
        <v>2688</v>
      </c>
      <c r="AC19" s="261">
        <v>0</v>
      </c>
      <c r="AD19" s="261">
        <f t="shared" si="19"/>
        <v>2688</v>
      </c>
      <c r="AE19" s="262">
        <f t="shared" si="20"/>
        <v>712320</v>
      </c>
      <c r="AF19" s="262">
        <v>0</v>
      </c>
      <c r="AG19" s="262">
        <f t="shared" si="21"/>
        <v>712320</v>
      </c>
      <c r="AH19" s="353">
        <f t="array" ref="AH19">MAX((IF(MNU_CODIGO_ALIMENTO_ENTREGA=CONCATENATE($C19,"_","P_"),MNU_GRAMAJE_REQUERIDO_TIPOH,"")))</f>
        <v>40</v>
      </c>
      <c r="AI19" s="259">
        <f t="shared" si="22"/>
        <v>2765</v>
      </c>
      <c r="AJ19" s="259">
        <v>0</v>
      </c>
      <c r="AK19" s="259">
        <f t="shared" si="23"/>
        <v>2765</v>
      </c>
      <c r="AL19" s="260">
        <f t="shared" si="24"/>
        <v>732725</v>
      </c>
      <c r="AM19" s="260">
        <v>0</v>
      </c>
      <c r="AN19" s="260">
        <f t="shared" si="25"/>
        <v>732725</v>
      </c>
      <c r="AO19" s="457">
        <f t="shared" si="26"/>
        <v>171149</v>
      </c>
      <c r="AP19" s="456">
        <f t="shared" si="27"/>
        <v>39831793</v>
      </c>
      <c r="AQ19" s="263" t="e">
        <f>#REF!+AH19+AA19+T19+M19</f>
        <v>#REF!</v>
      </c>
      <c r="AR19" s="263">
        <f t="shared" si="28"/>
        <v>39953754</v>
      </c>
      <c r="AS19" s="263" t="e">
        <f t="shared" si="29"/>
        <v>#REF!</v>
      </c>
      <c r="AT19" s="263">
        <f t="shared" si="30"/>
        <v>40083379</v>
      </c>
      <c r="AU19" s="263" t="e">
        <f t="shared" si="31"/>
        <v>#REF!</v>
      </c>
      <c r="AV19" s="263">
        <f t="shared" si="32"/>
        <v>42114339</v>
      </c>
      <c r="AW19" s="263" t="e">
        <f t="shared" si="33"/>
        <v>#REF!</v>
      </c>
      <c r="AX19" s="263" t="e">
        <f>AV19+#REF!+AH19+AA19+T19</f>
        <v>#REF!</v>
      </c>
      <c r="AY19" s="263" t="e">
        <f t="shared" si="34"/>
        <v>#REF!</v>
      </c>
      <c r="AZ19" s="263" t="e">
        <f t="shared" si="35"/>
        <v>#REF!</v>
      </c>
      <c r="BA19" s="263" t="e">
        <f t="shared" si="36"/>
        <v>#REF!</v>
      </c>
      <c r="BB19" s="263" t="e">
        <f t="shared" si="37"/>
        <v>#REF!</v>
      </c>
      <c r="BC19" s="263" t="e">
        <f t="shared" si="38"/>
        <v>#REF!</v>
      </c>
      <c r="BD19" s="263" t="e">
        <f t="shared" si="39"/>
        <v>#REF!</v>
      </c>
      <c r="BE19" s="263" t="e">
        <f>BC19+AV19+#REF!+AH19+AA19</f>
        <v>#REF!</v>
      </c>
      <c r="BF19" s="263" t="e">
        <f t="shared" si="40"/>
        <v>#REF!</v>
      </c>
      <c r="BG19" s="263" t="e">
        <f t="shared" si="41"/>
        <v>#REF!</v>
      </c>
    </row>
    <row r="20" spans="1:59" ht="15.75">
      <c r="A20" s="338">
        <v>1</v>
      </c>
      <c r="B20" s="338" t="s">
        <v>1</v>
      </c>
      <c r="C20" s="258">
        <v>42</v>
      </c>
      <c r="D20" s="328" t="s">
        <v>61</v>
      </c>
      <c r="E20" s="258" t="s">
        <v>9</v>
      </c>
      <c r="F20" s="431">
        <f t="array" ref="F20">MAX((IF(MNU_CODIGO_ALIMENTO_ENTREGA=CONCATENATE($C20,"_","P_"),MNU_GRAMAJE_REQUERIDO_TIPOA,"")))</f>
        <v>100</v>
      </c>
      <c r="G20" s="259">
        <f t="shared" si="0"/>
        <v>136436</v>
      </c>
      <c r="H20" s="259">
        <f t="shared" si="1"/>
        <v>0</v>
      </c>
      <c r="I20" s="259">
        <f t="shared" si="2"/>
        <v>136436</v>
      </c>
      <c r="J20" s="260">
        <f t="shared" si="3"/>
        <v>27832944</v>
      </c>
      <c r="K20" s="260">
        <f t="shared" si="4"/>
        <v>0</v>
      </c>
      <c r="L20" s="260">
        <f t="shared" si="5"/>
        <v>27832944</v>
      </c>
      <c r="M20" s="432">
        <f t="array" ref="M20">MAX((IF(MNU_CODIGO_ALIMENTO_ENTREGA=CONCATENATE($C20,"_","P_"),MNU_GRAMAJE_REQUERIDO_TIPOB,"")))</f>
        <v>100</v>
      </c>
      <c r="N20" s="348">
        <f t="shared" si="6"/>
        <v>156560</v>
      </c>
      <c r="O20" s="348">
        <f t="shared" si="7"/>
        <v>0</v>
      </c>
      <c r="P20" s="348">
        <f t="shared" si="8"/>
        <v>156560</v>
      </c>
      <c r="Q20" s="349">
        <f t="shared" si="9"/>
        <v>31938240</v>
      </c>
      <c r="R20" s="349">
        <f t="shared" si="10"/>
        <v>0</v>
      </c>
      <c r="S20" s="349">
        <f t="shared" si="11"/>
        <v>31938240</v>
      </c>
      <c r="T20" s="353">
        <f t="array" ref="T20">MAX((IF(MNU_CODIGO_ALIMENTO_ENTREGA=CONCATENATE($C20,"_","P_"),MNU_GRAMAJE_REQUERIDO_TIPOC,"")))</f>
        <v>100</v>
      </c>
      <c r="U20" s="259">
        <f t="shared" si="12"/>
        <v>159676</v>
      </c>
      <c r="V20" s="259">
        <f t="shared" si="13"/>
        <v>18202</v>
      </c>
      <c r="W20" s="259">
        <f t="shared" si="14"/>
        <v>177878</v>
      </c>
      <c r="X20" s="260">
        <f t="shared" si="15"/>
        <v>32573904</v>
      </c>
      <c r="Y20" s="260">
        <f t="shared" si="16"/>
        <v>3713208</v>
      </c>
      <c r="Z20" s="260">
        <f t="shared" si="17"/>
        <v>36287112</v>
      </c>
      <c r="AA20" s="258">
        <f t="array" ref="AA20">MAX((IF(MNU_CODIGO_ALIMENTO_ENTREGA=CONCATENATE($C20,"_","P_"),MNU_GRAMAJE_REQUERIDO_TIPOM,"")))</f>
        <v>100</v>
      </c>
      <c r="AB20" s="261">
        <f t="shared" si="18"/>
        <v>7296</v>
      </c>
      <c r="AC20" s="261">
        <v>0</v>
      </c>
      <c r="AD20" s="261">
        <f t="shared" si="19"/>
        <v>7296</v>
      </c>
      <c r="AE20" s="262">
        <f t="shared" si="20"/>
        <v>1488384</v>
      </c>
      <c r="AF20" s="262">
        <v>0</v>
      </c>
      <c r="AG20" s="262">
        <f t="shared" si="21"/>
        <v>1488384</v>
      </c>
      <c r="AH20" s="353">
        <f t="array" ref="AH20">MAX((IF(MNU_CODIGO_ALIMENTO_ENTREGA=CONCATENATE($C20,"_","P_"),MNU_GRAMAJE_REQUERIDO_TIPOH,"")))</f>
        <v>100</v>
      </c>
      <c r="AI20" s="259">
        <f t="shared" si="22"/>
        <v>7505</v>
      </c>
      <c r="AJ20" s="259">
        <v>0</v>
      </c>
      <c r="AK20" s="259">
        <f t="shared" si="23"/>
        <v>7505</v>
      </c>
      <c r="AL20" s="260">
        <f t="shared" si="24"/>
        <v>1531020</v>
      </c>
      <c r="AM20" s="260">
        <v>0</v>
      </c>
      <c r="AN20" s="260">
        <f t="shared" si="25"/>
        <v>1531020</v>
      </c>
      <c r="AO20" s="457">
        <f t="shared" si="26"/>
        <v>485675</v>
      </c>
      <c r="AP20" s="456">
        <f t="shared" si="27"/>
        <v>99077700</v>
      </c>
      <c r="AQ20" s="263" t="e">
        <f>#REF!+AH20+AA20+T20+M20</f>
        <v>#REF!</v>
      </c>
      <c r="AR20" s="263">
        <f t="shared" si="28"/>
        <v>99408737</v>
      </c>
      <c r="AS20" s="263" t="e">
        <f t="shared" si="29"/>
        <v>#REF!</v>
      </c>
      <c r="AT20" s="263">
        <f t="shared" si="30"/>
        <v>99757976</v>
      </c>
      <c r="AU20" s="263" t="e">
        <f t="shared" si="31"/>
        <v>#REF!</v>
      </c>
      <c r="AV20" s="263">
        <f t="shared" si="32"/>
        <v>103471184</v>
      </c>
      <c r="AW20" s="263" t="e">
        <f t="shared" si="33"/>
        <v>#REF!</v>
      </c>
      <c r="AX20" s="263" t="e">
        <f>AV20+#REF!+AH20+AA20+T20</f>
        <v>#REF!</v>
      </c>
      <c r="AY20" s="263" t="e">
        <f t="shared" si="34"/>
        <v>#REF!</v>
      </c>
      <c r="AZ20" s="263" t="e">
        <f t="shared" si="35"/>
        <v>#REF!</v>
      </c>
      <c r="BA20" s="263" t="e">
        <f t="shared" si="36"/>
        <v>#REF!</v>
      </c>
      <c r="BB20" s="263" t="e">
        <f t="shared" si="37"/>
        <v>#REF!</v>
      </c>
      <c r="BC20" s="263" t="e">
        <f t="shared" si="38"/>
        <v>#REF!</v>
      </c>
      <c r="BD20" s="263" t="e">
        <f t="shared" si="39"/>
        <v>#REF!</v>
      </c>
      <c r="BE20" s="263" t="e">
        <f>BC20+AV20+#REF!+AH20+AA20</f>
        <v>#REF!</v>
      </c>
      <c r="BF20" s="263" t="e">
        <f t="shared" si="40"/>
        <v>#REF!</v>
      </c>
      <c r="BG20" s="263" t="e">
        <f t="shared" si="41"/>
        <v>#REF!</v>
      </c>
    </row>
    <row r="21" spans="1:59" ht="15.75">
      <c r="A21" s="338">
        <v>1</v>
      </c>
      <c r="B21" s="338" t="s">
        <v>1</v>
      </c>
      <c r="C21" s="258">
        <v>43</v>
      </c>
      <c r="D21" s="328" t="s">
        <v>62</v>
      </c>
      <c r="E21" s="258" t="s">
        <v>9</v>
      </c>
      <c r="F21" s="431">
        <f t="array" ref="F21">MAX((IF(MNU_CODIGO_ALIMENTO_ENTREGA=CONCATENATE($C21,"_","P_"),MNU_GRAMAJE_REQUERIDO_TIPOA,"")))</f>
        <v>100</v>
      </c>
      <c r="G21" s="259">
        <f t="shared" si="0"/>
        <v>142368</v>
      </c>
      <c r="H21" s="259">
        <f t="shared" si="1"/>
        <v>0</v>
      </c>
      <c r="I21" s="259">
        <f t="shared" si="2"/>
        <v>142368</v>
      </c>
      <c r="J21" s="260">
        <f t="shared" si="3"/>
        <v>25341504</v>
      </c>
      <c r="K21" s="260">
        <f t="shared" si="4"/>
        <v>0</v>
      </c>
      <c r="L21" s="260">
        <f t="shared" si="5"/>
        <v>25341504</v>
      </c>
      <c r="M21" s="432">
        <f t="array" ref="M21">MAX((IF(MNU_CODIGO_ALIMENTO_ENTREGA=CONCATENATE($C21,"_","P_"),MNU_GRAMAJE_REQUERIDO_TIPOB,"")))</f>
        <v>100</v>
      </c>
      <c r="N21" s="348">
        <f t="shared" si="6"/>
        <v>140080</v>
      </c>
      <c r="O21" s="348">
        <f t="shared" si="7"/>
        <v>0</v>
      </c>
      <c r="P21" s="348">
        <f t="shared" si="8"/>
        <v>140080</v>
      </c>
      <c r="Q21" s="349">
        <f t="shared" si="9"/>
        <v>24934240</v>
      </c>
      <c r="R21" s="349">
        <f t="shared" si="10"/>
        <v>0</v>
      </c>
      <c r="S21" s="349">
        <f t="shared" si="11"/>
        <v>24934240</v>
      </c>
      <c r="T21" s="353">
        <f t="array" ref="T21">MAX((IF(MNU_CODIGO_ALIMENTO_ENTREGA=CONCATENATE($C21,"_","P_"),MNU_GRAMAJE_REQUERIDO_TIPOC,"")))</f>
        <v>100</v>
      </c>
      <c r="U21" s="259">
        <f t="shared" si="12"/>
        <v>142868</v>
      </c>
      <c r="V21" s="259">
        <f t="shared" si="13"/>
        <v>22034</v>
      </c>
      <c r="W21" s="259">
        <f t="shared" si="14"/>
        <v>164902</v>
      </c>
      <c r="X21" s="260">
        <f t="shared" si="15"/>
        <v>25430504</v>
      </c>
      <c r="Y21" s="260">
        <f t="shared" si="16"/>
        <v>3922052</v>
      </c>
      <c r="Z21" s="260">
        <f t="shared" si="17"/>
        <v>29352556</v>
      </c>
      <c r="AA21" s="258">
        <f t="array" ref="AA21">MAX((IF(MNU_CODIGO_ALIMENTO_ENTREGA=CONCATENATE($C21,"_","P_"),MNU_GRAMAJE_REQUERIDO_TIPOM,"")))</f>
        <v>100</v>
      </c>
      <c r="AB21" s="261">
        <f t="shared" si="18"/>
        <v>6528</v>
      </c>
      <c r="AC21" s="261">
        <v>0</v>
      </c>
      <c r="AD21" s="261">
        <f t="shared" si="19"/>
        <v>6528</v>
      </c>
      <c r="AE21" s="262">
        <f t="shared" si="20"/>
        <v>1161984</v>
      </c>
      <c r="AF21" s="262">
        <v>0</v>
      </c>
      <c r="AG21" s="262">
        <f t="shared" si="21"/>
        <v>1161984</v>
      </c>
      <c r="AH21" s="353">
        <f t="array" ref="AH21">MAX((IF(MNU_CODIGO_ALIMENTO_ENTREGA=CONCATENATE($C21,"_","P_"),MNU_GRAMAJE_REQUERIDO_TIPOH,"")))</f>
        <v>100</v>
      </c>
      <c r="AI21" s="259">
        <f t="shared" si="22"/>
        <v>6715</v>
      </c>
      <c r="AJ21" s="259">
        <v>0</v>
      </c>
      <c r="AK21" s="259">
        <f t="shared" si="23"/>
        <v>6715</v>
      </c>
      <c r="AL21" s="260">
        <f t="shared" si="24"/>
        <v>1195270</v>
      </c>
      <c r="AM21" s="260">
        <v>0</v>
      </c>
      <c r="AN21" s="260">
        <f t="shared" si="25"/>
        <v>1195270</v>
      </c>
      <c r="AO21" s="457">
        <f t="shared" si="26"/>
        <v>460593</v>
      </c>
      <c r="AP21" s="456">
        <f t="shared" si="27"/>
        <v>81985554</v>
      </c>
      <c r="AQ21" s="263" t="e">
        <f>#REF!+AH21+AA21+T21+M21</f>
        <v>#REF!</v>
      </c>
      <c r="AR21" s="263">
        <f t="shared" si="28"/>
        <v>82281745</v>
      </c>
      <c r="AS21" s="263" t="e">
        <f t="shared" si="29"/>
        <v>#REF!</v>
      </c>
      <c r="AT21" s="263">
        <f t="shared" si="30"/>
        <v>82599970</v>
      </c>
      <c r="AU21" s="263" t="e">
        <f t="shared" si="31"/>
        <v>#REF!</v>
      </c>
      <c r="AV21" s="263">
        <f t="shared" si="32"/>
        <v>86522022</v>
      </c>
      <c r="AW21" s="263" t="e">
        <f t="shared" si="33"/>
        <v>#REF!</v>
      </c>
      <c r="AX21" s="263" t="e">
        <f>AV21+#REF!+AH21+AA21+T21</f>
        <v>#REF!</v>
      </c>
      <c r="AY21" s="263" t="e">
        <f t="shared" si="34"/>
        <v>#REF!</v>
      </c>
      <c r="AZ21" s="263" t="e">
        <f t="shared" si="35"/>
        <v>#REF!</v>
      </c>
      <c r="BA21" s="263" t="e">
        <f t="shared" si="36"/>
        <v>#REF!</v>
      </c>
      <c r="BB21" s="263" t="e">
        <f t="shared" si="37"/>
        <v>#REF!</v>
      </c>
      <c r="BC21" s="263" t="e">
        <f t="shared" si="38"/>
        <v>#REF!</v>
      </c>
      <c r="BD21" s="263" t="e">
        <f t="shared" si="39"/>
        <v>#REF!</v>
      </c>
      <c r="BE21" s="263" t="e">
        <f>BC21+AV21+#REF!+AH21+AA21</f>
        <v>#REF!</v>
      </c>
      <c r="BF21" s="263" t="e">
        <f t="shared" si="40"/>
        <v>#REF!</v>
      </c>
      <c r="BG21" s="263" t="e">
        <f t="shared" si="41"/>
        <v>#REF!</v>
      </c>
    </row>
    <row r="22" spans="1:59" ht="15.75">
      <c r="A22" s="338">
        <v>1</v>
      </c>
      <c r="B22" s="338" t="s">
        <v>1</v>
      </c>
      <c r="C22" s="258">
        <v>46</v>
      </c>
      <c r="D22" s="328" t="s">
        <v>64</v>
      </c>
      <c r="E22" s="258" t="s">
        <v>9</v>
      </c>
      <c r="F22" s="431">
        <f t="array" ref="F22">MAX((IF(MNU_CODIGO_ALIMENTO_ENTREGA=CONCATENATE($C22,"_","P_"),MNU_GRAMAJE_REQUERIDO_TIPOA,"")))</f>
        <v>100</v>
      </c>
      <c r="G22" s="259">
        <f t="shared" si="0"/>
        <v>177960</v>
      </c>
      <c r="H22" s="259">
        <f t="shared" si="1"/>
        <v>0</v>
      </c>
      <c r="I22" s="259">
        <f t="shared" si="2"/>
        <v>177960</v>
      </c>
      <c r="J22" s="260">
        <f t="shared" si="3"/>
        <v>74387280</v>
      </c>
      <c r="K22" s="260">
        <f t="shared" si="4"/>
        <v>0</v>
      </c>
      <c r="L22" s="260">
        <f t="shared" si="5"/>
        <v>74387280</v>
      </c>
      <c r="M22" s="432">
        <f t="array" ref="M22">MAX((IF(MNU_CODIGO_ALIMENTO_ENTREGA=CONCATENATE($C22,"_","P_"),MNU_GRAMAJE_REQUERIDO_TIPOB,"")))</f>
        <v>100</v>
      </c>
      <c r="N22" s="348">
        <f t="shared" si="6"/>
        <v>173040</v>
      </c>
      <c r="O22" s="348">
        <f t="shared" si="7"/>
        <v>0</v>
      </c>
      <c r="P22" s="348">
        <f t="shared" si="8"/>
        <v>173040</v>
      </c>
      <c r="Q22" s="349">
        <f t="shared" si="9"/>
        <v>72330720</v>
      </c>
      <c r="R22" s="349">
        <f t="shared" si="10"/>
        <v>0</v>
      </c>
      <c r="S22" s="349">
        <f t="shared" si="11"/>
        <v>72330720</v>
      </c>
      <c r="T22" s="353">
        <f t="array" ref="T22">MAX((IF(MNU_CODIGO_ALIMENTO_ENTREGA=CONCATENATE($C22,"_","P_"),MNU_GRAMAJE_REQUERIDO_TIPOC,"")))</f>
        <v>100</v>
      </c>
      <c r="U22" s="259">
        <f t="shared" si="12"/>
        <v>176484</v>
      </c>
      <c r="V22" s="259">
        <f t="shared" si="13"/>
        <v>22992</v>
      </c>
      <c r="W22" s="259">
        <f t="shared" si="14"/>
        <v>199476</v>
      </c>
      <c r="X22" s="260">
        <f t="shared" si="15"/>
        <v>73770312</v>
      </c>
      <c r="Y22" s="260">
        <f t="shared" si="16"/>
        <v>9610656</v>
      </c>
      <c r="Z22" s="260">
        <f t="shared" si="17"/>
        <v>83380968</v>
      </c>
      <c r="AA22" s="258">
        <f t="array" ref="AA22">MAX((IF(MNU_CODIGO_ALIMENTO_ENTREGA=CONCATENATE($C22,"_","P_"),MNU_GRAMAJE_REQUERIDO_TIPOM,"")))</f>
        <v>100</v>
      </c>
      <c r="AB22" s="261">
        <f t="shared" si="18"/>
        <v>8064</v>
      </c>
      <c r="AC22" s="261">
        <v>0</v>
      </c>
      <c r="AD22" s="261">
        <f t="shared" si="19"/>
        <v>8064</v>
      </c>
      <c r="AE22" s="262">
        <f t="shared" si="20"/>
        <v>3370752</v>
      </c>
      <c r="AF22" s="262">
        <v>0</v>
      </c>
      <c r="AG22" s="262">
        <f t="shared" si="21"/>
        <v>3370752</v>
      </c>
      <c r="AH22" s="353">
        <f t="array" ref="AH22">MAX((IF(MNU_CODIGO_ALIMENTO_ENTREGA=CONCATENATE($C22,"_","P_"),MNU_GRAMAJE_REQUERIDO_TIPOH,"")))</f>
        <v>100</v>
      </c>
      <c r="AI22" s="259">
        <f t="shared" si="22"/>
        <v>8295</v>
      </c>
      <c r="AJ22" s="259">
        <v>0</v>
      </c>
      <c r="AK22" s="259">
        <f t="shared" si="23"/>
        <v>8295</v>
      </c>
      <c r="AL22" s="260">
        <f t="shared" si="24"/>
        <v>3467310</v>
      </c>
      <c r="AM22" s="260">
        <v>0</v>
      </c>
      <c r="AN22" s="260">
        <f t="shared" si="25"/>
        <v>3467310</v>
      </c>
      <c r="AO22" s="457">
        <f t="shared" si="26"/>
        <v>566835</v>
      </c>
      <c r="AP22" s="456">
        <f t="shared" si="27"/>
        <v>236937030</v>
      </c>
      <c r="AQ22" s="263" t="e">
        <f>#REF!+AH22+AA22+T22+M22</f>
        <v>#REF!</v>
      </c>
      <c r="AR22" s="263">
        <f t="shared" si="28"/>
        <v>237302913</v>
      </c>
      <c r="AS22" s="263" t="e">
        <f t="shared" si="29"/>
        <v>#REF!</v>
      </c>
      <c r="AT22" s="263">
        <f t="shared" si="30"/>
        <v>237691788</v>
      </c>
      <c r="AU22" s="263" t="e">
        <f t="shared" si="31"/>
        <v>#REF!</v>
      </c>
      <c r="AV22" s="263">
        <f t="shared" si="32"/>
        <v>247302444</v>
      </c>
      <c r="AW22" s="263" t="e">
        <f t="shared" si="33"/>
        <v>#REF!</v>
      </c>
      <c r="AX22" s="263" t="e">
        <f>AV22+#REF!+AH22+AA22+T22</f>
        <v>#REF!</v>
      </c>
      <c r="AY22" s="263" t="e">
        <f t="shared" si="34"/>
        <v>#REF!</v>
      </c>
      <c r="AZ22" s="263" t="e">
        <f t="shared" si="35"/>
        <v>#REF!</v>
      </c>
      <c r="BA22" s="263" t="e">
        <f t="shared" si="36"/>
        <v>#REF!</v>
      </c>
      <c r="BB22" s="263" t="e">
        <f t="shared" si="37"/>
        <v>#REF!</v>
      </c>
      <c r="BC22" s="263" t="e">
        <f t="shared" si="38"/>
        <v>#REF!</v>
      </c>
      <c r="BD22" s="263" t="e">
        <f t="shared" si="39"/>
        <v>#REF!</v>
      </c>
      <c r="BE22" s="263" t="e">
        <f>BC22+AV22+#REF!+AH22+AA22</f>
        <v>#REF!</v>
      </c>
      <c r="BF22" s="263" t="e">
        <f t="shared" si="40"/>
        <v>#REF!</v>
      </c>
      <c r="BG22" s="263" t="e">
        <f t="shared" si="41"/>
        <v>#REF!</v>
      </c>
    </row>
    <row r="23" spans="1:59" ht="15.75">
      <c r="A23" s="338">
        <v>1</v>
      </c>
      <c r="B23" s="338" t="s">
        <v>1</v>
      </c>
      <c r="C23" s="258">
        <v>58</v>
      </c>
      <c r="D23" s="328" t="s">
        <v>67</v>
      </c>
      <c r="E23" s="258" t="s">
        <v>9</v>
      </c>
      <c r="F23" s="431">
        <f t="array" ref="F23">MAX((IF(MNU_CODIGO_ALIMENTO_ENTREGA=CONCATENATE($C23,"_","P_"),MNU_GRAMAJE_REQUERIDO_TIPOA,"")))</f>
        <v>100</v>
      </c>
      <c r="G23" s="259">
        <f t="shared" si="0"/>
        <v>142368</v>
      </c>
      <c r="H23" s="259">
        <f t="shared" si="1"/>
        <v>0</v>
      </c>
      <c r="I23" s="259">
        <f t="shared" si="2"/>
        <v>142368</v>
      </c>
      <c r="J23" s="260">
        <f t="shared" si="3"/>
        <v>23063616</v>
      </c>
      <c r="K23" s="260">
        <f t="shared" si="4"/>
        <v>0</v>
      </c>
      <c r="L23" s="260">
        <f t="shared" si="5"/>
        <v>23063616</v>
      </c>
      <c r="M23" s="432">
        <f t="array" ref="M23">MAX((IF(MNU_CODIGO_ALIMENTO_ENTREGA=CONCATENATE($C23,"_","P_"),MNU_GRAMAJE_REQUERIDO_TIPOB,"")))</f>
        <v>100</v>
      </c>
      <c r="N23" s="348">
        <f t="shared" si="6"/>
        <v>189520</v>
      </c>
      <c r="O23" s="348">
        <f t="shared" si="7"/>
        <v>0</v>
      </c>
      <c r="P23" s="348">
        <f t="shared" si="8"/>
        <v>189520</v>
      </c>
      <c r="Q23" s="349">
        <f t="shared" si="9"/>
        <v>30702240</v>
      </c>
      <c r="R23" s="349">
        <f t="shared" si="10"/>
        <v>0</v>
      </c>
      <c r="S23" s="349">
        <f t="shared" si="11"/>
        <v>30702240</v>
      </c>
      <c r="T23" s="353">
        <f t="array" ref="T23">MAX((IF(MNU_CODIGO_ALIMENTO_ENTREGA=CONCATENATE($C23,"_","P_"),MNU_GRAMAJE_REQUERIDO_TIPOC,"")))</f>
        <v>100</v>
      </c>
      <c r="U23" s="259">
        <f t="shared" si="12"/>
        <v>193292</v>
      </c>
      <c r="V23" s="259">
        <f t="shared" si="13"/>
        <v>22034</v>
      </c>
      <c r="W23" s="259">
        <f t="shared" si="14"/>
        <v>215326</v>
      </c>
      <c r="X23" s="260">
        <f t="shared" si="15"/>
        <v>31313304</v>
      </c>
      <c r="Y23" s="260">
        <f t="shared" si="16"/>
        <v>3569508</v>
      </c>
      <c r="Z23" s="260">
        <f t="shared" si="17"/>
        <v>34882812</v>
      </c>
      <c r="AA23" s="258">
        <f t="array" ref="AA23">MAX((IF(MNU_CODIGO_ALIMENTO_ENTREGA=CONCATENATE($C23,"_","P_"),MNU_GRAMAJE_REQUERIDO_TIPOM,"")))</f>
        <v>100</v>
      </c>
      <c r="AB23" s="261">
        <f t="shared" si="18"/>
        <v>8832</v>
      </c>
      <c r="AC23" s="261">
        <v>0</v>
      </c>
      <c r="AD23" s="261">
        <f t="shared" si="19"/>
        <v>8832</v>
      </c>
      <c r="AE23" s="262">
        <f t="shared" si="20"/>
        <v>1430784</v>
      </c>
      <c r="AF23" s="262">
        <v>0</v>
      </c>
      <c r="AG23" s="262">
        <f t="shared" si="21"/>
        <v>1430784</v>
      </c>
      <c r="AH23" s="353">
        <f t="array" ref="AH23">MAX((IF(MNU_CODIGO_ALIMENTO_ENTREGA=CONCATENATE($C23,"_","P_"),MNU_GRAMAJE_REQUERIDO_TIPOH,"")))</f>
        <v>100</v>
      </c>
      <c r="AI23" s="259">
        <f t="shared" si="22"/>
        <v>9085</v>
      </c>
      <c r="AJ23" s="259">
        <v>0</v>
      </c>
      <c r="AK23" s="259">
        <f t="shared" si="23"/>
        <v>9085</v>
      </c>
      <c r="AL23" s="260">
        <f t="shared" si="24"/>
        <v>1471770</v>
      </c>
      <c r="AM23" s="260">
        <v>0</v>
      </c>
      <c r="AN23" s="260">
        <f t="shared" si="25"/>
        <v>1471770</v>
      </c>
      <c r="AO23" s="457">
        <f t="shared" si="26"/>
        <v>565131</v>
      </c>
      <c r="AP23" s="456">
        <f t="shared" si="27"/>
        <v>91551222</v>
      </c>
      <c r="AQ23" s="263" t="e">
        <f>#REF!+AH23+AA23+T23+M23</f>
        <v>#REF!</v>
      </c>
      <c r="AR23" s="263">
        <f t="shared" si="28"/>
        <v>91951951</v>
      </c>
      <c r="AS23" s="263" t="e">
        <f t="shared" si="29"/>
        <v>#REF!</v>
      </c>
      <c r="AT23" s="263">
        <f t="shared" si="30"/>
        <v>92374714</v>
      </c>
      <c r="AU23" s="263" t="e">
        <f t="shared" si="31"/>
        <v>#REF!</v>
      </c>
      <c r="AV23" s="263">
        <f t="shared" si="32"/>
        <v>95944222</v>
      </c>
      <c r="AW23" s="263" t="e">
        <f t="shared" si="33"/>
        <v>#REF!</v>
      </c>
      <c r="AX23" s="263" t="e">
        <f>AV23+#REF!+AH23+AA23+T23</f>
        <v>#REF!</v>
      </c>
      <c r="AY23" s="263" t="e">
        <f t="shared" si="34"/>
        <v>#REF!</v>
      </c>
      <c r="AZ23" s="263" t="e">
        <f t="shared" si="35"/>
        <v>#REF!</v>
      </c>
      <c r="BA23" s="263" t="e">
        <f t="shared" si="36"/>
        <v>#REF!</v>
      </c>
      <c r="BB23" s="263" t="e">
        <f t="shared" si="37"/>
        <v>#REF!</v>
      </c>
      <c r="BC23" s="263" t="e">
        <f t="shared" si="38"/>
        <v>#REF!</v>
      </c>
      <c r="BD23" s="263" t="e">
        <f t="shared" si="39"/>
        <v>#REF!</v>
      </c>
      <c r="BE23" s="263" t="e">
        <f>BC23+AV23+#REF!+AH23+AA23</f>
        <v>#REF!</v>
      </c>
      <c r="BF23" s="263" t="e">
        <f t="shared" si="40"/>
        <v>#REF!</v>
      </c>
      <c r="BG23" s="263" t="e">
        <f t="shared" si="41"/>
        <v>#REF!</v>
      </c>
    </row>
    <row r="24" spans="1:59" ht="15.75">
      <c r="A24" s="338">
        <v>1</v>
      </c>
      <c r="B24" s="338" t="s">
        <v>1</v>
      </c>
      <c r="C24" s="258">
        <v>59</v>
      </c>
      <c r="D24" s="328" t="s">
        <v>99</v>
      </c>
      <c r="E24" s="258" t="s">
        <v>9</v>
      </c>
      <c r="F24" s="431">
        <f t="array" ref="F24">MAX((IF(MNU_CODIGO_ALIMENTO_ENTREGA=CONCATENATE($C24,"_","P_"),MNU_GRAMAJE_REQUERIDO_TIPOA,"")))</f>
        <v>0</v>
      </c>
      <c r="G24" s="259">
        <f t="shared" si="0"/>
        <v>0</v>
      </c>
      <c r="H24" s="259">
        <f t="shared" si="1"/>
        <v>0</v>
      </c>
      <c r="I24" s="259">
        <f t="shared" si="2"/>
        <v>0</v>
      </c>
      <c r="J24" s="260">
        <f t="shared" si="3"/>
        <v>0</v>
      </c>
      <c r="K24" s="260">
        <f t="shared" si="4"/>
        <v>0</v>
      </c>
      <c r="L24" s="260">
        <f t="shared" si="5"/>
        <v>0</v>
      </c>
      <c r="M24" s="432">
        <f t="array" ref="M24">MAX((IF(MNU_CODIGO_ALIMENTO_ENTREGA=CONCATENATE($C24,"_","P_"),MNU_GRAMAJE_REQUERIDO_TIPOB,"")))</f>
        <v>100</v>
      </c>
      <c r="N24" s="348">
        <f t="shared" si="6"/>
        <v>65920</v>
      </c>
      <c r="O24" s="348">
        <f t="shared" si="7"/>
        <v>0</v>
      </c>
      <c r="P24" s="348">
        <f t="shared" si="8"/>
        <v>65920</v>
      </c>
      <c r="Q24" s="349">
        <f t="shared" si="9"/>
        <v>19776000</v>
      </c>
      <c r="R24" s="349">
        <f t="shared" si="10"/>
        <v>0</v>
      </c>
      <c r="S24" s="349">
        <f t="shared" si="11"/>
        <v>19776000</v>
      </c>
      <c r="T24" s="353">
        <f t="array" ref="T24">MAX((IF(MNU_CODIGO_ALIMENTO_ENTREGA=CONCATENATE($C24,"_","P_"),MNU_GRAMAJE_REQUERIDO_TIPOC,"")))</f>
        <v>100</v>
      </c>
      <c r="U24" s="259">
        <f t="shared" si="12"/>
        <v>67232</v>
      </c>
      <c r="V24" s="259">
        <f t="shared" si="13"/>
        <v>10538</v>
      </c>
      <c r="W24" s="259">
        <f t="shared" si="14"/>
        <v>77770</v>
      </c>
      <c r="X24" s="260">
        <f t="shared" si="15"/>
        <v>20169600</v>
      </c>
      <c r="Y24" s="260">
        <f t="shared" si="16"/>
        <v>3161400</v>
      </c>
      <c r="Z24" s="260">
        <f t="shared" si="17"/>
        <v>23331000</v>
      </c>
      <c r="AA24" s="258">
        <f t="array" ref="AA24">MAX((IF(MNU_CODIGO_ALIMENTO_ENTREGA=CONCATENATE($C24,"_","P_"),MNU_GRAMAJE_REQUERIDO_TIPOM,"")))</f>
        <v>100</v>
      </c>
      <c r="AB24" s="261">
        <f t="shared" si="18"/>
        <v>3072</v>
      </c>
      <c r="AC24" s="261">
        <v>0</v>
      </c>
      <c r="AD24" s="261">
        <f t="shared" si="19"/>
        <v>3072</v>
      </c>
      <c r="AE24" s="262">
        <f t="shared" si="20"/>
        <v>921600</v>
      </c>
      <c r="AF24" s="262">
        <v>0</v>
      </c>
      <c r="AG24" s="262">
        <f t="shared" si="21"/>
        <v>921600</v>
      </c>
      <c r="AH24" s="353">
        <f t="array" ref="AH24">MAX((IF(MNU_CODIGO_ALIMENTO_ENTREGA=CONCATENATE($C24,"_","P_"),MNU_GRAMAJE_REQUERIDO_TIPOH,"")))</f>
        <v>100</v>
      </c>
      <c r="AI24" s="259">
        <f t="shared" si="22"/>
        <v>3160</v>
      </c>
      <c r="AJ24" s="259">
        <v>0</v>
      </c>
      <c r="AK24" s="259">
        <f t="shared" si="23"/>
        <v>3160</v>
      </c>
      <c r="AL24" s="260">
        <f t="shared" si="24"/>
        <v>948000</v>
      </c>
      <c r="AM24" s="260">
        <v>0</v>
      </c>
      <c r="AN24" s="260">
        <f t="shared" si="25"/>
        <v>948000</v>
      </c>
      <c r="AO24" s="457">
        <f t="shared" si="26"/>
        <v>149922</v>
      </c>
      <c r="AP24" s="456">
        <f t="shared" si="27"/>
        <v>44976600</v>
      </c>
      <c r="AQ24" s="263" t="e">
        <f>#REF!+AH24+AA24+T24+M24</f>
        <v>#REF!</v>
      </c>
      <c r="AR24" s="263">
        <f t="shared" si="28"/>
        <v>45115984</v>
      </c>
      <c r="AS24" s="263" t="e">
        <f t="shared" si="29"/>
        <v>#REF!</v>
      </c>
      <c r="AT24" s="263">
        <f t="shared" si="30"/>
        <v>45265906</v>
      </c>
      <c r="AU24" s="263" t="e">
        <f t="shared" si="31"/>
        <v>#REF!</v>
      </c>
      <c r="AV24" s="263">
        <f t="shared" si="32"/>
        <v>48427306</v>
      </c>
      <c r="AW24" s="263" t="e">
        <f t="shared" si="33"/>
        <v>#REF!</v>
      </c>
      <c r="AX24" s="263" t="e">
        <f>AV24+#REF!+AH24+AA24+T24</f>
        <v>#REF!</v>
      </c>
      <c r="AY24" s="263" t="e">
        <f t="shared" si="34"/>
        <v>#REF!</v>
      </c>
      <c r="AZ24" s="263" t="e">
        <f t="shared" si="35"/>
        <v>#REF!</v>
      </c>
      <c r="BA24" s="263" t="e">
        <f t="shared" si="36"/>
        <v>#REF!</v>
      </c>
      <c r="BB24" s="263" t="e">
        <f t="shared" si="37"/>
        <v>#REF!</v>
      </c>
      <c r="BC24" s="263" t="e">
        <f t="shared" si="38"/>
        <v>#REF!</v>
      </c>
      <c r="BD24" s="263" t="e">
        <f t="shared" si="39"/>
        <v>#REF!</v>
      </c>
      <c r="BE24" s="263" t="e">
        <f>BC24+AV24+#REF!+AH24+AA24</f>
        <v>#REF!</v>
      </c>
      <c r="BF24" s="263" t="e">
        <f t="shared" si="40"/>
        <v>#REF!</v>
      </c>
      <c r="BG24" s="263" t="e">
        <f t="shared" si="41"/>
        <v>#REF!</v>
      </c>
    </row>
    <row r="25" spans="1:59" ht="15.75">
      <c r="A25" s="338">
        <v>1</v>
      </c>
      <c r="B25" s="338" t="s">
        <v>1</v>
      </c>
      <c r="C25" s="258">
        <v>69</v>
      </c>
      <c r="D25" s="328" t="s">
        <v>70</v>
      </c>
      <c r="E25" s="258" t="s">
        <v>9</v>
      </c>
      <c r="F25" s="431">
        <f t="array" ref="F25">MAX((IF(MNU_CODIGO_ALIMENTO_ENTREGA=CONCATENATE($C25,"_","P_"),MNU_GRAMAJE_REQUERIDO_TIPOA,"")))</f>
        <v>100</v>
      </c>
      <c r="G25" s="259">
        <f t="shared" si="0"/>
        <v>177960</v>
      </c>
      <c r="H25" s="259">
        <f t="shared" si="1"/>
        <v>0</v>
      </c>
      <c r="I25" s="259">
        <f t="shared" si="2"/>
        <v>177960</v>
      </c>
      <c r="J25" s="260">
        <f t="shared" si="3"/>
        <v>56947200</v>
      </c>
      <c r="K25" s="260">
        <f t="shared" si="4"/>
        <v>0</v>
      </c>
      <c r="L25" s="260">
        <f t="shared" si="5"/>
        <v>56947200</v>
      </c>
      <c r="M25" s="432">
        <f t="array" ref="M25">MAX((IF(MNU_CODIGO_ALIMENTO_ENTREGA=CONCATENATE($C25,"_","P_"),MNU_GRAMAJE_REQUERIDO_TIPOB,"")))</f>
        <v>100</v>
      </c>
      <c r="N25" s="348">
        <f t="shared" si="6"/>
        <v>131840</v>
      </c>
      <c r="O25" s="348">
        <f t="shared" si="7"/>
        <v>0</v>
      </c>
      <c r="P25" s="348">
        <f t="shared" si="8"/>
        <v>131840</v>
      </c>
      <c r="Q25" s="349">
        <f t="shared" si="9"/>
        <v>42188800</v>
      </c>
      <c r="R25" s="349">
        <f t="shared" si="10"/>
        <v>0</v>
      </c>
      <c r="S25" s="349">
        <f t="shared" si="11"/>
        <v>42188800</v>
      </c>
      <c r="T25" s="353">
        <f t="array" ref="T25">MAX((IF(MNU_CODIGO_ALIMENTO_ENTREGA=CONCATENATE($C25,"_","P_"),MNU_GRAMAJE_REQUERIDO_TIPOC,"")))</f>
        <v>100</v>
      </c>
      <c r="U25" s="259">
        <f t="shared" si="12"/>
        <v>134464</v>
      </c>
      <c r="V25" s="259">
        <f t="shared" si="13"/>
        <v>11496</v>
      </c>
      <c r="W25" s="259">
        <f t="shared" si="14"/>
        <v>145960</v>
      </c>
      <c r="X25" s="260">
        <f t="shared" si="15"/>
        <v>43028480</v>
      </c>
      <c r="Y25" s="260">
        <f t="shared" si="16"/>
        <v>3678720</v>
      </c>
      <c r="Z25" s="260">
        <f t="shared" si="17"/>
        <v>46707200</v>
      </c>
      <c r="AA25" s="258">
        <f t="array" ref="AA25">MAX((IF(MNU_CODIGO_ALIMENTO_ENTREGA=CONCATENATE($C25,"_","P_"),MNU_GRAMAJE_REQUERIDO_TIPOM,"")))</f>
        <v>100</v>
      </c>
      <c r="AB25" s="261">
        <f t="shared" si="18"/>
        <v>6144</v>
      </c>
      <c r="AC25" s="261">
        <v>0</v>
      </c>
      <c r="AD25" s="261">
        <f t="shared" si="19"/>
        <v>6144</v>
      </c>
      <c r="AE25" s="262">
        <f t="shared" si="20"/>
        <v>1966080</v>
      </c>
      <c r="AF25" s="262">
        <v>0</v>
      </c>
      <c r="AG25" s="262">
        <f t="shared" si="21"/>
        <v>1966080</v>
      </c>
      <c r="AH25" s="353">
        <f t="array" ref="AH25">MAX((IF(MNU_CODIGO_ALIMENTO_ENTREGA=CONCATENATE($C25,"_","P_"),MNU_GRAMAJE_REQUERIDO_TIPOH,"")))</f>
        <v>100</v>
      </c>
      <c r="AI25" s="259">
        <f t="shared" si="22"/>
        <v>6320</v>
      </c>
      <c r="AJ25" s="259">
        <v>0</v>
      </c>
      <c r="AK25" s="259">
        <f t="shared" si="23"/>
        <v>6320</v>
      </c>
      <c r="AL25" s="260">
        <f t="shared" si="24"/>
        <v>2022400</v>
      </c>
      <c r="AM25" s="260">
        <v>0</v>
      </c>
      <c r="AN25" s="260">
        <f t="shared" si="25"/>
        <v>2022400</v>
      </c>
      <c r="AO25" s="457">
        <f t="shared" si="26"/>
        <v>468224</v>
      </c>
      <c r="AP25" s="456">
        <f t="shared" si="27"/>
        <v>149831680</v>
      </c>
      <c r="AQ25" s="263" t="e">
        <f>#REF!+AH25+AA25+T25+M25</f>
        <v>#REF!</v>
      </c>
      <c r="AR25" s="263">
        <f t="shared" si="28"/>
        <v>150110448</v>
      </c>
      <c r="AS25" s="263" t="e">
        <f t="shared" si="29"/>
        <v>#REF!</v>
      </c>
      <c r="AT25" s="263">
        <f t="shared" si="30"/>
        <v>150400712</v>
      </c>
      <c r="AU25" s="263" t="e">
        <f t="shared" si="31"/>
        <v>#REF!</v>
      </c>
      <c r="AV25" s="263">
        <f t="shared" si="32"/>
        <v>154079432</v>
      </c>
      <c r="AW25" s="263" t="e">
        <f t="shared" si="33"/>
        <v>#REF!</v>
      </c>
      <c r="AX25" s="263" t="e">
        <f>AV25+#REF!+AH25+AA25+T25</f>
        <v>#REF!</v>
      </c>
      <c r="AY25" s="263" t="e">
        <f t="shared" si="34"/>
        <v>#REF!</v>
      </c>
      <c r="AZ25" s="263" t="e">
        <f t="shared" si="35"/>
        <v>#REF!</v>
      </c>
      <c r="BA25" s="263" t="e">
        <f t="shared" si="36"/>
        <v>#REF!</v>
      </c>
      <c r="BB25" s="263" t="e">
        <f t="shared" si="37"/>
        <v>#REF!</v>
      </c>
      <c r="BC25" s="263" t="e">
        <f t="shared" si="38"/>
        <v>#REF!</v>
      </c>
      <c r="BD25" s="263" t="e">
        <f t="shared" si="39"/>
        <v>#REF!</v>
      </c>
      <c r="BE25" s="263" t="e">
        <f>BC25+AV25+#REF!+AH25+AA25</f>
        <v>#REF!</v>
      </c>
      <c r="BF25" s="263" t="e">
        <f t="shared" si="40"/>
        <v>#REF!</v>
      </c>
      <c r="BG25" s="263" t="e">
        <f t="shared" si="41"/>
        <v>#REF!</v>
      </c>
    </row>
    <row r="26" spans="1:59" ht="15.75">
      <c r="A26" s="338">
        <v>1</v>
      </c>
      <c r="B26" s="338" t="s">
        <v>1</v>
      </c>
      <c r="C26" s="258">
        <v>70</v>
      </c>
      <c r="D26" s="328" t="s">
        <v>71</v>
      </c>
      <c r="E26" s="258" t="s">
        <v>9</v>
      </c>
      <c r="F26" s="431">
        <f t="array" ref="F26">MAX((IF(MNU_CODIGO_ALIMENTO_ENTREGA=CONCATENATE($C26,"_","P_"),MNU_GRAMAJE_REQUERIDO_TIPOA,"")))</f>
        <v>0</v>
      </c>
      <c r="G26" s="259">
        <f t="shared" si="0"/>
        <v>0</v>
      </c>
      <c r="H26" s="259">
        <f t="shared" si="1"/>
        <v>0</v>
      </c>
      <c r="I26" s="259">
        <f t="shared" si="2"/>
        <v>0</v>
      </c>
      <c r="J26" s="260">
        <f t="shared" si="3"/>
        <v>0</v>
      </c>
      <c r="K26" s="260">
        <f t="shared" si="4"/>
        <v>0</v>
      </c>
      <c r="L26" s="260">
        <f t="shared" si="5"/>
        <v>0</v>
      </c>
      <c r="M26" s="432">
        <f t="array" ref="M26">MAX((IF(MNU_CODIGO_ALIMENTO_ENTREGA=CONCATENATE($C26,"_","P_"),MNU_GRAMAJE_REQUERIDO_TIPOB,"")))</f>
        <v>100</v>
      </c>
      <c r="N26" s="348">
        <f t="shared" si="6"/>
        <v>82400</v>
      </c>
      <c r="O26" s="348">
        <f t="shared" si="7"/>
        <v>0</v>
      </c>
      <c r="P26" s="348">
        <f t="shared" si="8"/>
        <v>82400</v>
      </c>
      <c r="Q26" s="349">
        <f t="shared" si="9"/>
        <v>37574400</v>
      </c>
      <c r="R26" s="349">
        <f t="shared" si="10"/>
        <v>0</v>
      </c>
      <c r="S26" s="349">
        <f t="shared" si="11"/>
        <v>37574400</v>
      </c>
      <c r="T26" s="353">
        <f t="array" ref="T26">MAX((IF(MNU_CODIGO_ALIMENTO_ENTREGA=CONCATENATE($C26,"_","P_"),MNU_GRAMAJE_REQUERIDO_TIPOC,"")))</f>
        <v>100</v>
      </c>
      <c r="U26" s="259">
        <f t="shared" si="12"/>
        <v>84040</v>
      </c>
      <c r="V26" s="259">
        <f t="shared" si="13"/>
        <v>7664</v>
      </c>
      <c r="W26" s="259">
        <f t="shared" si="14"/>
        <v>91704</v>
      </c>
      <c r="X26" s="260">
        <f t="shared" si="15"/>
        <v>38322240</v>
      </c>
      <c r="Y26" s="260">
        <f t="shared" si="16"/>
        <v>3494784</v>
      </c>
      <c r="Z26" s="260">
        <f t="shared" si="17"/>
        <v>41817024</v>
      </c>
      <c r="AA26" s="258">
        <f t="array" ref="AA26">MAX((IF(MNU_CODIGO_ALIMENTO_ENTREGA=CONCATENATE($C26,"_","P_"),MNU_GRAMAJE_REQUERIDO_TIPOM,"")))</f>
        <v>100</v>
      </c>
      <c r="AB26" s="261">
        <f t="shared" si="18"/>
        <v>3840</v>
      </c>
      <c r="AC26" s="261">
        <v>0</v>
      </c>
      <c r="AD26" s="261">
        <f t="shared" si="19"/>
        <v>3840</v>
      </c>
      <c r="AE26" s="262">
        <f t="shared" si="20"/>
        <v>1751040</v>
      </c>
      <c r="AF26" s="262">
        <v>0</v>
      </c>
      <c r="AG26" s="262">
        <f t="shared" si="21"/>
        <v>1751040</v>
      </c>
      <c r="AH26" s="353">
        <f t="array" ref="AH26">MAX((IF(MNU_CODIGO_ALIMENTO_ENTREGA=CONCATENATE($C26,"_","P_"),MNU_GRAMAJE_REQUERIDO_TIPOH,"")))</f>
        <v>100</v>
      </c>
      <c r="AI26" s="259">
        <f t="shared" si="22"/>
        <v>3950</v>
      </c>
      <c r="AJ26" s="259">
        <v>0</v>
      </c>
      <c r="AK26" s="259">
        <f t="shared" si="23"/>
        <v>3950</v>
      </c>
      <c r="AL26" s="260">
        <f t="shared" si="24"/>
        <v>1801200</v>
      </c>
      <c r="AM26" s="260">
        <v>0</v>
      </c>
      <c r="AN26" s="260">
        <f t="shared" si="25"/>
        <v>1801200</v>
      </c>
      <c r="AO26" s="457">
        <f t="shared" si="26"/>
        <v>181894</v>
      </c>
      <c r="AP26" s="456">
        <f t="shared" si="27"/>
        <v>82943664</v>
      </c>
      <c r="AQ26" s="263" t="e">
        <f>#REF!+AH26+AA26+T26+M26</f>
        <v>#REF!</v>
      </c>
      <c r="AR26" s="263">
        <f t="shared" si="28"/>
        <v>83117894</v>
      </c>
      <c r="AS26" s="263" t="e">
        <f t="shared" si="29"/>
        <v>#REF!</v>
      </c>
      <c r="AT26" s="263">
        <f t="shared" si="30"/>
        <v>83299788</v>
      </c>
      <c r="AU26" s="263" t="e">
        <f t="shared" si="31"/>
        <v>#REF!</v>
      </c>
      <c r="AV26" s="263">
        <f t="shared" si="32"/>
        <v>86794572</v>
      </c>
      <c r="AW26" s="263" t="e">
        <f t="shared" si="33"/>
        <v>#REF!</v>
      </c>
      <c r="AX26" s="263" t="e">
        <f>AV26+#REF!+AH26+AA26+T26</f>
        <v>#REF!</v>
      </c>
      <c r="AY26" s="263" t="e">
        <f t="shared" si="34"/>
        <v>#REF!</v>
      </c>
      <c r="AZ26" s="263" t="e">
        <f t="shared" si="35"/>
        <v>#REF!</v>
      </c>
      <c r="BA26" s="263" t="e">
        <f t="shared" si="36"/>
        <v>#REF!</v>
      </c>
      <c r="BB26" s="263" t="e">
        <f t="shared" si="37"/>
        <v>#REF!</v>
      </c>
      <c r="BC26" s="263" t="e">
        <f t="shared" si="38"/>
        <v>#REF!</v>
      </c>
      <c r="BD26" s="263" t="e">
        <f t="shared" si="39"/>
        <v>#REF!</v>
      </c>
      <c r="BE26" s="263" t="e">
        <f>BC26+AV26+#REF!+AH26+AA26</f>
        <v>#REF!</v>
      </c>
      <c r="BF26" s="263" t="e">
        <f t="shared" si="40"/>
        <v>#REF!</v>
      </c>
      <c r="BG26" s="263" t="e">
        <f t="shared" si="41"/>
        <v>#REF!</v>
      </c>
    </row>
    <row r="27" spans="1:59" ht="15.75">
      <c r="A27" s="338">
        <v>2</v>
      </c>
      <c r="B27" s="338" t="s">
        <v>1</v>
      </c>
      <c r="C27" s="258">
        <v>7</v>
      </c>
      <c r="D27" s="328" t="s">
        <v>57</v>
      </c>
      <c r="E27" s="258" t="s">
        <v>9</v>
      </c>
      <c r="F27" s="431">
        <f t="array" ref="F27">MAX((IF(MNU_CODIGO_ALIMENTO_ENTREGA=CONCATENATE($C27,"_","P_"),MNU_GRAMAJE_REQUERIDO_TIPOA,"")))</f>
        <v>100</v>
      </c>
      <c r="G27" s="259">
        <f t="shared" si="0"/>
        <v>129360</v>
      </c>
      <c r="H27" s="259">
        <f t="shared" si="1"/>
        <v>22847</v>
      </c>
      <c r="I27" s="259">
        <f t="shared" si="2"/>
        <v>152207</v>
      </c>
      <c r="J27" s="260">
        <f t="shared" si="3"/>
        <v>14488320</v>
      </c>
      <c r="K27" s="260">
        <f t="shared" si="4"/>
        <v>2558864</v>
      </c>
      <c r="L27" s="260">
        <f t="shared" si="5"/>
        <v>17047184</v>
      </c>
      <c r="M27" s="432">
        <f t="array" ref="M27">MAX((IF(MNU_CODIGO_ALIMENTO_ENTREGA=CONCATENATE($C27,"_","P_"),MNU_GRAMAJE_REQUERIDO_TIPOB,"")))</f>
        <v>100</v>
      </c>
      <c r="N27" s="348">
        <f t="shared" si="6"/>
        <v>71919</v>
      </c>
      <c r="O27" s="348">
        <f t="shared" si="7"/>
        <v>7579</v>
      </c>
      <c r="P27" s="348">
        <f t="shared" si="8"/>
        <v>79498</v>
      </c>
      <c r="Q27" s="349">
        <f t="shared" si="9"/>
        <v>8054928</v>
      </c>
      <c r="R27" s="349">
        <f t="shared" si="10"/>
        <v>848848</v>
      </c>
      <c r="S27" s="349">
        <f t="shared" si="11"/>
        <v>8903776</v>
      </c>
      <c r="T27" s="353">
        <f t="array" ref="T27">MAX((IF(MNU_CODIGO_ALIMENTO_ENTREGA=CONCATENATE($C27,"_","P_"),MNU_GRAMAJE_REQUERIDO_TIPOC,"")))</f>
        <v>100</v>
      </c>
      <c r="U27" s="259">
        <f t="shared" si="12"/>
        <v>72900</v>
      </c>
      <c r="V27" s="259">
        <f t="shared" si="13"/>
        <v>18546</v>
      </c>
      <c r="W27" s="259">
        <f t="shared" si="14"/>
        <v>91446</v>
      </c>
      <c r="X27" s="260">
        <f t="shared" si="15"/>
        <v>8164800</v>
      </c>
      <c r="Y27" s="260">
        <f t="shared" si="16"/>
        <v>2077152</v>
      </c>
      <c r="Z27" s="260">
        <f t="shared" si="17"/>
        <v>10241952</v>
      </c>
      <c r="AA27" s="258">
        <f t="array" ref="AA27">MAX((IF(MNU_CODIGO_ALIMENTO_ENTREGA=CONCATENATE($C27,"_","P_"),MNU_GRAMAJE_REQUERIDO_TIPOM,"")))</f>
        <v>100</v>
      </c>
      <c r="AB27" s="261">
        <f t="shared" si="18"/>
        <v>3150</v>
      </c>
      <c r="AC27" s="261">
        <v>0</v>
      </c>
      <c r="AD27" s="261">
        <f t="shared" si="19"/>
        <v>3150</v>
      </c>
      <c r="AE27" s="262">
        <f t="shared" si="20"/>
        <v>352800</v>
      </c>
      <c r="AF27" s="262">
        <v>0</v>
      </c>
      <c r="AG27" s="262">
        <f t="shared" si="21"/>
        <v>352800</v>
      </c>
      <c r="AH27" s="353">
        <f t="array" ref="AH27">MAX((IF(MNU_CODIGO_ALIMENTO_ENTREGA=CONCATENATE($C27,"_","P_"),MNU_GRAMAJE_REQUERIDO_TIPOH,"")))</f>
        <v>100</v>
      </c>
      <c r="AI27" s="259">
        <f t="shared" si="22"/>
        <v>2619</v>
      </c>
      <c r="AJ27" s="259">
        <v>0</v>
      </c>
      <c r="AK27" s="259">
        <f t="shared" si="23"/>
        <v>2619</v>
      </c>
      <c r="AL27" s="260">
        <f t="shared" si="24"/>
        <v>293328</v>
      </c>
      <c r="AM27" s="260">
        <v>0</v>
      </c>
      <c r="AN27" s="260">
        <f t="shared" si="25"/>
        <v>293328</v>
      </c>
      <c r="AO27" s="457">
        <f t="shared" si="26"/>
        <v>328920</v>
      </c>
      <c r="AP27" s="456">
        <f t="shared" si="27"/>
        <v>36839040</v>
      </c>
      <c r="AQ27" s="263" t="e">
        <f>#REF!+AH27+AA27+T27+M27</f>
        <v>#REF!</v>
      </c>
      <c r="AR27" s="263">
        <f t="shared" si="28"/>
        <v>36989628</v>
      </c>
      <c r="AS27" s="263" t="e">
        <f t="shared" si="29"/>
        <v>#REF!</v>
      </c>
      <c r="AT27" s="263">
        <f t="shared" si="30"/>
        <v>37166341</v>
      </c>
      <c r="AU27" s="263" t="e">
        <f t="shared" si="31"/>
        <v>#REF!</v>
      </c>
      <c r="AV27" s="263">
        <f t="shared" si="32"/>
        <v>40092341</v>
      </c>
      <c r="AW27" s="263" t="e">
        <f t="shared" si="33"/>
        <v>#REF!</v>
      </c>
      <c r="AX27" s="263" t="e">
        <f>AV27+#REF!+AH27+AA27+T27</f>
        <v>#REF!</v>
      </c>
      <c r="AY27" s="263" t="e">
        <f t="shared" si="34"/>
        <v>#REF!</v>
      </c>
      <c r="AZ27" s="263" t="e">
        <f t="shared" si="35"/>
        <v>#REF!</v>
      </c>
      <c r="BA27" s="263" t="e">
        <f t="shared" si="36"/>
        <v>#REF!</v>
      </c>
      <c r="BB27" s="263" t="e">
        <f t="shared" si="37"/>
        <v>#REF!</v>
      </c>
      <c r="BC27" s="263" t="e">
        <f t="shared" si="38"/>
        <v>#REF!</v>
      </c>
      <c r="BD27" s="263" t="e">
        <f t="shared" si="39"/>
        <v>#REF!</v>
      </c>
      <c r="BE27" s="263" t="e">
        <f>BC27+AV27+#REF!+AH27+AA27</f>
        <v>#REF!</v>
      </c>
      <c r="BF27" s="263" t="e">
        <f t="shared" si="40"/>
        <v>#REF!</v>
      </c>
      <c r="BG27" s="263" t="e">
        <f t="shared" si="41"/>
        <v>#REF!</v>
      </c>
    </row>
    <row r="28" spans="1:59" ht="15.75">
      <c r="A28" s="338">
        <v>2</v>
      </c>
      <c r="B28" s="338" t="s">
        <v>1</v>
      </c>
      <c r="C28" s="258">
        <v>8</v>
      </c>
      <c r="D28" s="328" t="s">
        <v>55</v>
      </c>
      <c r="E28" s="258" t="s">
        <v>9</v>
      </c>
      <c r="F28" s="431">
        <f t="array" ref="F28">MAX((IF(MNU_CODIGO_ALIMENTO_ENTREGA=CONCATENATE($C28,"_","P_"),MNU_GRAMAJE_REQUERIDO_TIPOA,"")))</f>
        <v>100</v>
      </c>
      <c r="G28" s="259">
        <f t="shared" si="0"/>
        <v>58800</v>
      </c>
      <c r="H28" s="259">
        <f t="shared" si="1"/>
        <v>8107</v>
      </c>
      <c r="I28" s="259">
        <f t="shared" si="2"/>
        <v>66907</v>
      </c>
      <c r="J28" s="260">
        <f t="shared" si="3"/>
        <v>8290800</v>
      </c>
      <c r="K28" s="260">
        <f t="shared" si="4"/>
        <v>1143087</v>
      </c>
      <c r="L28" s="260">
        <f t="shared" si="5"/>
        <v>9433887</v>
      </c>
      <c r="M28" s="432">
        <f t="array" ref="M28">MAX((IF(MNU_CODIGO_ALIMENTO_ENTREGA=CONCATENATE($C28,"_","P_"),MNU_GRAMAJE_REQUERIDO_TIPOB,"")))</f>
        <v>100</v>
      </c>
      <c r="N28" s="348">
        <f t="shared" si="6"/>
        <v>63928</v>
      </c>
      <c r="O28" s="348">
        <f t="shared" si="7"/>
        <v>7579</v>
      </c>
      <c r="P28" s="348">
        <f t="shared" si="8"/>
        <v>71507</v>
      </c>
      <c r="Q28" s="349">
        <f t="shared" si="9"/>
        <v>9013848</v>
      </c>
      <c r="R28" s="349">
        <f t="shared" si="10"/>
        <v>1068639</v>
      </c>
      <c r="S28" s="349">
        <f t="shared" si="11"/>
        <v>10082487</v>
      </c>
      <c r="T28" s="353">
        <f t="array" ref="T28">MAX((IF(MNU_CODIGO_ALIMENTO_ENTREGA=CONCATENATE($C28,"_","P_"),MNU_GRAMAJE_REQUERIDO_TIPOC,"")))</f>
        <v>100</v>
      </c>
      <c r="U28" s="259">
        <f t="shared" si="12"/>
        <v>64800</v>
      </c>
      <c r="V28" s="259">
        <f t="shared" si="13"/>
        <v>18546</v>
      </c>
      <c r="W28" s="259">
        <f t="shared" si="14"/>
        <v>83346</v>
      </c>
      <c r="X28" s="260">
        <f t="shared" si="15"/>
        <v>9136800</v>
      </c>
      <c r="Y28" s="260">
        <f t="shared" si="16"/>
        <v>2614986</v>
      </c>
      <c r="Z28" s="260">
        <f t="shared" si="17"/>
        <v>11751786</v>
      </c>
      <c r="AA28" s="258">
        <f t="array" ref="AA28">MAX((IF(MNU_CODIGO_ALIMENTO_ENTREGA=CONCATENATE($C28,"_","P_"),MNU_GRAMAJE_REQUERIDO_TIPOM,"")))</f>
        <v>100</v>
      </c>
      <c r="AB28" s="261">
        <f t="shared" si="18"/>
        <v>2800</v>
      </c>
      <c r="AC28" s="261">
        <v>0</v>
      </c>
      <c r="AD28" s="261">
        <f t="shared" si="19"/>
        <v>2800</v>
      </c>
      <c r="AE28" s="262">
        <f t="shared" si="20"/>
        <v>394800</v>
      </c>
      <c r="AF28" s="262">
        <v>0</v>
      </c>
      <c r="AG28" s="262">
        <f t="shared" si="21"/>
        <v>394800</v>
      </c>
      <c r="AH28" s="353">
        <f t="array" ref="AH28">MAX((IF(MNU_CODIGO_ALIMENTO_ENTREGA=CONCATENATE($C28,"_","P_"),MNU_GRAMAJE_REQUERIDO_TIPOH,"")))</f>
        <v>100</v>
      </c>
      <c r="AI28" s="259">
        <f t="shared" si="22"/>
        <v>2328</v>
      </c>
      <c r="AJ28" s="259">
        <v>0</v>
      </c>
      <c r="AK28" s="259">
        <f t="shared" si="23"/>
        <v>2328</v>
      </c>
      <c r="AL28" s="260">
        <f t="shared" si="24"/>
        <v>328248</v>
      </c>
      <c r="AM28" s="260">
        <v>0</v>
      </c>
      <c r="AN28" s="260">
        <f t="shared" si="25"/>
        <v>328248</v>
      </c>
      <c r="AO28" s="457">
        <f t="shared" si="26"/>
        <v>226888</v>
      </c>
      <c r="AP28" s="456">
        <f t="shared" si="27"/>
        <v>31991208</v>
      </c>
      <c r="AQ28" s="263" t="e">
        <f>#REF!+AH28+AA28+T28+M28</f>
        <v>#REF!</v>
      </c>
      <c r="AR28" s="263">
        <f t="shared" si="28"/>
        <v>32125064</v>
      </c>
      <c r="AS28" s="263" t="e">
        <f t="shared" si="29"/>
        <v>#REF!</v>
      </c>
      <c r="AT28" s="263">
        <f t="shared" si="30"/>
        <v>32285045</v>
      </c>
      <c r="AU28" s="263" t="e">
        <f t="shared" si="31"/>
        <v>#REF!</v>
      </c>
      <c r="AV28" s="263">
        <f t="shared" si="32"/>
        <v>35968670</v>
      </c>
      <c r="AW28" s="263" t="e">
        <f t="shared" si="33"/>
        <v>#REF!</v>
      </c>
      <c r="AX28" s="263" t="e">
        <f>AV28+#REF!+AH28+AA28+T28</f>
        <v>#REF!</v>
      </c>
      <c r="AY28" s="263" t="e">
        <f t="shared" si="34"/>
        <v>#REF!</v>
      </c>
      <c r="AZ28" s="263" t="e">
        <f t="shared" si="35"/>
        <v>#REF!</v>
      </c>
      <c r="BA28" s="263" t="e">
        <f t="shared" si="36"/>
        <v>#REF!</v>
      </c>
      <c r="BB28" s="263" t="e">
        <f t="shared" si="37"/>
        <v>#REF!</v>
      </c>
      <c r="BC28" s="263" t="e">
        <f t="shared" si="38"/>
        <v>#REF!</v>
      </c>
      <c r="BD28" s="263" t="e">
        <f t="shared" si="39"/>
        <v>#REF!</v>
      </c>
      <c r="BE28" s="263" t="e">
        <f>BC28+AV28+#REF!+AH28+AA28</f>
        <v>#REF!</v>
      </c>
      <c r="BF28" s="263" t="e">
        <f t="shared" si="40"/>
        <v>#REF!</v>
      </c>
      <c r="BG28" s="263" t="e">
        <f t="shared" si="41"/>
        <v>#REF!</v>
      </c>
    </row>
    <row r="29" spans="1:59" ht="15.75">
      <c r="A29" s="338">
        <v>2</v>
      </c>
      <c r="B29" s="338" t="s">
        <v>1</v>
      </c>
      <c r="C29" s="258">
        <v>17</v>
      </c>
      <c r="D29" s="328" t="s">
        <v>53</v>
      </c>
      <c r="E29" s="258" t="s">
        <v>9</v>
      </c>
      <c r="F29" s="431">
        <f t="array" ref="F29">MAX((IF(MNU_CODIGO_ALIMENTO_ENTREGA=CONCATENATE($C29,"_","P_"),MNU_GRAMAJE_REQUERIDO_TIPOA,"")))</f>
        <v>0</v>
      </c>
      <c r="G29" s="259">
        <f t="shared" si="0"/>
        <v>0</v>
      </c>
      <c r="H29" s="259">
        <f t="shared" si="1"/>
        <v>0</v>
      </c>
      <c r="I29" s="259">
        <f t="shared" si="2"/>
        <v>0</v>
      </c>
      <c r="J29" s="260">
        <f t="shared" si="3"/>
        <v>0</v>
      </c>
      <c r="K29" s="260">
        <f t="shared" si="4"/>
        <v>0</v>
      </c>
      <c r="L29" s="260">
        <f t="shared" si="5"/>
        <v>0</v>
      </c>
      <c r="M29" s="432">
        <f t="array" ref="M29">MAX((IF(MNU_CODIGO_ALIMENTO_ENTREGA=CONCATENATE($C29,"_","P_"),MNU_GRAMAJE_REQUERIDO_TIPOB,"")))</f>
        <v>100</v>
      </c>
      <c r="N29" s="348">
        <f t="shared" si="6"/>
        <v>167811</v>
      </c>
      <c r="O29" s="348">
        <f t="shared" si="7"/>
        <v>15847</v>
      </c>
      <c r="P29" s="348">
        <f t="shared" si="8"/>
        <v>183658</v>
      </c>
      <c r="Q29" s="349">
        <f t="shared" si="9"/>
        <v>39771207</v>
      </c>
      <c r="R29" s="349">
        <f t="shared" si="10"/>
        <v>3755739</v>
      </c>
      <c r="S29" s="349">
        <f t="shared" si="11"/>
        <v>43526946</v>
      </c>
      <c r="T29" s="353">
        <f t="array" ref="T29">MAX((IF(MNU_CODIGO_ALIMENTO_ENTREGA=CONCATENATE($C29,"_","P_"),MNU_GRAMAJE_REQUERIDO_TIPOC,"")))</f>
        <v>100</v>
      </c>
      <c r="U29" s="259">
        <f t="shared" si="12"/>
        <v>170100</v>
      </c>
      <c r="V29" s="259">
        <f t="shared" si="13"/>
        <v>38778</v>
      </c>
      <c r="W29" s="259">
        <f t="shared" si="14"/>
        <v>208878</v>
      </c>
      <c r="X29" s="260">
        <f t="shared" si="15"/>
        <v>40313700</v>
      </c>
      <c r="Y29" s="260">
        <f t="shared" si="16"/>
        <v>9190386</v>
      </c>
      <c r="Z29" s="260">
        <f t="shared" si="17"/>
        <v>49504086</v>
      </c>
      <c r="AA29" s="258">
        <f t="array" ref="AA29">MAX((IF(MNU_CODIGO_ALIMENTO_ENTREGA=CONCATENATE($C29,"_","P_"),MNU_GRAMAJE_REQUERIDO_TIPOM,"")))</f>
        <v>100</v>
      </c>
      <c r="AB29" s="261">
        <f t="shared" si="18"/>
        <v>7350</v>
      </c>
      <c r="AC29" s="261">
        <v>0</v>
      </c>
      <c r="AD29" s="261">
        <f t="shared" si="19"/>
        <v>7350</v>
      </c>
      <c r="AE29" s="262">
        <f t="shared" si="20"/>
        <v>1741950</v>
      </c>
      <c r="AF29" s="262">
        <v>0</v>
      </c>
      <c r="AG29" s="262">
        <f t="shared" si="21"/>
        <v>1741950</v>
      </c>
      <c r="AH29" s="353">
        <f t="array" ref="AH29">MAX((IF(MNU_CODIGO_ALIMENTO_ENTREGA=CONCATENATE($C29,"_","P_"),MNU_GRAMAJE_REQUERIDO_TIPOH,"")))</f>
        <v>100</v>
      </c>
      <c r="AI29" s="259">
        <f t="shared" si="22"/>
        <v>6111</v>
      </c>
      <c r="AJ29" s="259">
        <v>0</v>
      </c>
      <c r="AK29" s="259">
        <f t="shared" si="23"/>
        <v>6111</v>
      </c>
      <c r="AL29" s="260">
        <f t="shared" si="24"/>
        <v>1448307</v>
      </c>
      <c r="AM29" s="260">
        <v>0</v>
      </c>
      <c r="AN29" s="260">
        <f t="shared" si="25"/>
        <v>1448307</v>
      </c>
      <c r="AO29" s="457">
        <f t="shared" si="26"/>
        <v>405997</v>
      </c>
      <c r="AP29" s="456">
        <f t="shared" si="27"/>
        <v>96221289</v>
      </c>
      <c r="AQ29" s="263" t="e">
        <f>#REF!+AH29+AA29+T29+M29</f>
        <v>#REF!</v>
      </c>
      <c r="AR29" s="263">
        <f t="shared" si="28"/>
        <v>96572661</v>
      </c>
      <c r="AS29" s="263" t="e">
        <f t="shared" si="29"/>
        <v>#REF!</v>
      </c>
      <c r="AT29" s="263">
        <f t="shared" si="30"/>
        <v>96978658</v>
      </c>
      <c r="AU29" s="263" t="e">
        <f t="shared" si="31"/>
        <v>#REF!</v>
      </c>
      <c r="AV29" s="263">
        <f t="shared" si="32"/>
        <v>109924783</v>
      </c>
      <c r="AW29" s="263" t="e">
        <f t="shared" si="33"/>
        <v>#REF!</v>
      </c>
      <c r="AX29" s="263" t="e">
        <f>AV29+#REF!+AH29+AA29+T29</f>
        <v>#REF!</v>
      </c>
      <c r="AY29" s="263" t="e">
        <f t="shared" si="34"/>
        <v>#REF!</v>
      </c>
      <c r="AZ29" s="263" t="e">
        <f t="shared" si="35"/>
        <v>#REF!</v>
      </c>
      <c r="BA29" s="263" t="e">
        <f t="shared" si="36"/>
        <v>#REF!</v>
      </c>
      <c r="BB29" s="263" t="e">
        <f t="shared" si="37"/>
        <v>#REF!</v>
      </c>
      <c r="BC29" s="263" t="e">
        <f t="shared" si="38"/>
        <v>#REF!</v>
      </c>
      <c r="BD29" s="263" t="e">
        <f t="shared" si="39"/>
        <v>#REF!</v>
      </c>
      <c r="BE29" s="263" t="e">
        <f>BC29+AV29+#REF!+AH29+AA29</f>
        <v>#REF!</v>
      </c>
      <c r="BF29" s="263" t="e">
        <f t="shared" si="40"/>
        <v>#REF!</v>
      </c>
      <c r="BG29" s="263" t="e">
        <f t="shared" si="41"/>
        <v>#REF!</v>
      </c>
    </row>
    <row r="30" spans="1:59" ht="15.75">
      <c r="A30" s="338">
        <v>2</v>
      </c>
      <c r="B30" s="338" t="s">
        <v>1</v>
      </c>
      <c r="C30" s="258">
        <v>22</v>
      </c>
      <c r="D30" s="328" t="s">
        <v>51</v>
      </c>
      <c r="E30" s="258" t="s">
        <v>9</v>
      </c>
      <c r="F30" s="431">
        <f t="array" ref="F30">MAX((IF(MNU_CODIGO_ALIMENTO_ENTREGA=CONCATENATE($C30,"_","P_"),MNU_GRAMAJE_REQUERIDO_TIPOA,"")))</f>
        <v>0</v>
      </c>
      <c r="G30" s="259">
        <f t="shared" si="0"/>
        <v>0</v>
      </c>
      <c r="H30" s="259">
        <f t="shared" si="1"/>
        <v>0</v>
      </c>
      <c r="I30" s="259">
        <f t="shared" si="2"/>
        <v>0</v>
      </c>
      <c r="J30" s="260">
        <f t="shared" si="3"/>
        <v>0</v>
      </c>
      <c r="K30" s="260">
        <f t="shared" si="4"/>
        <v>0</v>
      </c>
      <c r="L30" s="260">
        <f t="shared" si="5"/>
        <v>0</v>
      </c>
      <c r="M30" s="432">
        <f t="array" ref="M30">MAX((IF(MNU_CODIGO_ALIMENTO_ENTREGA=CONCATENATE($C30,"_","P_"),MNU_GRAMAJE_REQUERIDO_TIPOB,"")))</f>
        <v>100</v>
      </c>
      <c r="N30" s="348">
        <f t="shared" si="6"/>
        <v>159820</v>
      </c>
      <c r="O30" s="348">
        <f t="shared" si="7"/>
        <v>15847</v>
      </c>
      <c r="P30" s="348">
        <f t="shared" si="8"/>
        <v>175667</v>
      </c>
      <c r="Q30" s="349">
        <f t="shared" si="9"/>
        <v>88060820</v>
      </c>
      <c r="R30" s="349">
        <f t="shared" si="10"/>
        <v>8731697</v>
      </c>
      <c r="S30" s="349">
        <f t="shared" si="11"/>
        <v>96792517</v>
      </c>
      <c r="T30" s="353">
        <f t="array" ref="T30">MAX((IF(MNU_CODIGO_ALIMENTO_ENTREGA=CONCATENATE($C30,"_","P_"),MNU_GRAMAJE_REQUERIDO_TIPOC,"")))</f>
        <v>100</v>
      </c>
      <c r="U30" s="259">
        <f t="shared" si="12"/>
        <v>162000</v>
      </c>
      <c r="V30" s="259">
        <f t="shared" si="13"/>
        <v>38778</v>
      </c>
      <c r="W30" s="259">
        <f t="shared" si="14"/>
        <v>200778</v>
      </c>
      <c r="X30" s="260">
        <f t="shared" si="15"/>
        <v>89262000</v>
      </c>
      <c r="Y30" s="260">
        <f t="shared" si="16"/>
        <v>21366678</v>
      </c>
      <c r="Z30" s="260">
        <f t="shared" si="17"/>
        <v>110628678</v>
      </c>
      <c r="AA30" s="258">
        <f t="array" ref="AA30">MAX((IF(MNU_CODIGO_ALIMENTO_ENTREGA=CONCATENATE($C30,"_","P_"),MNU_GRAMAJE_REQUERIDO_TIPOM,"")))</f>
        <v>100</v>
      </c>
      <c r="AB30" s="261">
        <f t="shared" si="18"/>
        <v>7000</v>
      </c>
      <c r="AC30" s="261">
        <v>0</v>
      </c>
      <c r="AD30" s="261">
        <f t="shared" si="19"/>
        <v>7000</v>
      </c>
      <c r="AE30" s="262">
        <f t="shared" si="20"/>
        <v>3857000</v>
      </c>
      <c r="AF30" s="262">
        <v>0</v>
      </c>
      <c r="AG30" s="262">
        <f t="shared" si="21"/>
        <v>3857000</v>
      </c>
      <c r="AH30" s="353">
        <f t="array" ref="AH30">MAX((IF(MNU_CODIGO_ALIMENTO_ENTREGA=CONCATENATE($C30,"_","P_"),MNU_GRAMAJE_REQUERIDO_TIPOH,"")))</f>
        <v>100</v>
      </c>
      <c r="AI30" s="259">
        <f t="shared" si="22"/>
        <v>5820</v>
      </c>
      <c r="AJ30" s="259">
        <v>0</v>
      </c>
      <c r="AK30" s="259">
        <f t="shared" si="23"/>
        <v>5820</v>
      </c>
      <c r="AL30" s="260">
        <f t="shared" si="24"/>
        <v>3206820</v>
      </c>
      <c r="AM30" s="260">
        <v>0</v>
      </c>
      <c r="AN30" s="260">
        <f t="shared" si="25"/>
        <v>3206820</v>
      </c>
      <c r="AO30" s="457">
        <f t="shared" si="26"/>
        <v>389265</v>
      </c>
      <c r="AP30" s="456">
        <f t="shared" si="27"/>
        <v>214485015</v>
      </c>
      <c r="AQ30" s="263" t="e">
        <f>#REF!+AH30+AA30+T30+M30</f>
        <v>#REF!</v>
      </c>
      <c r="AR30" s="263">
        <f t="shared" si="28"/>
        <v>214819655</v>
      </c>
      <c r="AS30" s="263" t="e">
        <f t="shared" si="29"/>
        <v>#REF!</v>
      </c>
      <c r="AT30" s="263">
        <f t="shared" si="30"/>
        <v>215208920</v>
      </c>
      <c r="AU30" s="263" t="e">
        <f t="shared" si="31"/>
        <v>#REF!</v>
      </c>
      <c r="AV30" s="263">
        <f t="shared" si="32"/>
        <v>245307295</v>
      </c>
      <c r="AW30" s="263" t="e">
        <f t="shared" si="33"/>
        <v>#REF!</v>
      </c>
      <c r="AX30" s="263" t="e">
        <f>AV30+#REF!+AH30+AA30+T30</f>
        <v>#REF!</v>
      </c>
      <c r="AY30" s="263" t="e">
        <f t="shared" si="34"/>
        <v>#REF!</v>
      </c>
      <c r="AZ30" s="263" t="e">
        <f t="shared" si="35"/>
        <v>#REF!</v>
      </c>
      <c r="BA30" s="263" t="e">
        <f t="shared" si="36"/>
        <v>#REF!</v>
      </c>
      <c r="BB30" s="263" t="e">
        <f t="shared" si="37"/>
        <v>#REF!</v>
      </c>
      <c r="BC30" s="263" t="e">
        <f t="shared" si="38"/>
        <v>#REF!</v>
      </c>
      <c r="BD30" s="263" t="e">
        <f t="shared" si="39"/>
        <v>#REF!</v>
      </c>
      <c r="BE30" s="263" t="e">
        <f>BC30+AV30+#REF!+AH30+AA30</f>
        <v>#REF!</v>
      </c>
      <c r="BF30" s="263" t="e">
        <f t="shared" si="40"/>
        <v>#REF!</v>
      </c>
      <c r="BG30" s="263" t="e">
        <f t="shared" si="41"/>
        <v>#REF!</v>
      </c>
    </row>
    <row r="31" spans="1:59" ht="15.75">
      <c r="A31" s="338">
        <v>2</v>
      </c>
      <c r="B31" s="338" t="s">
        <v>1</v>
      </c>
      <c r="C31" s="258">
        <v>33</v>
      </c>
      <c r="D31" s="328" t="s">
        <v>59</v>
      </c>
      <c r="E31" s="258" t="s">
        <v>48</v>
      </c>
      <c r="F31" s="431">
        <v>1</v>
      </c>
      <c r="G31" s="259">
        <f t="shared" si="0"/>
        <v>158760</v>
      </c>
      <c r="H31" s="259">
        <f t="shared" si="1"/>
        <v>21373</v>
      </c>
      <c r="I31" s="259">
        <f t="shared" si="2"/>
        <v>180133</v>
      </c>
      <c r="J31" s="260">
        <f t="shared" si="3"/>
        <v>44929080</v>
      </c>
      <c r="K31" s="260">
        <f t="shared" si="4"/>
        <v>6048559</v>
      </c>
      <c r="L31" s="260">
        <f t="shared" si="5"/>
        <v>50977639</v>
      </c>
      <c r="M31" s="432">
        <v>1</v>
      </c>
      <c r="N31" s="348">
        <f t="shared" si="6"/>
        <v>143838</v>
      </c>
      <c r="O31" s="348">
        <f t="shared" si="7"/>
        <v>15847</v>
      </c>
      <c r="P31" s="348">
        <f t="shared" si="8"/>
        <v>159685</v>
      </c>
      <c r="Q31" s="349">
        <f t="shared" si="9"/>
        <v>40706154</v>
      </c>
      <c r="R31" s="349">
        <f t="shared" si="10"/>
        <v>4484701</v>
      </c>
      <c r="S31" s="349">
        <f t="shared" si="11"/>
        <v>45190855</v>
      </c>
      <c r="T31" s="431">
        <v>1</v>
      </c>
      <c r="U31" s="259">
        <f t="shared" si="12"/>
        <v>145800</v>
      </c>
      <c r="V31" s="259">
        <f t="shared" si="13"/>
        <v>38778</v>
      </c>
      <c r="W31" s="259">
        <f t="shared" si="14"/>
        <v>184578</v>
      </c>
      <c r="X31" s="260">
        <f t="shared" si="15"/>
        <v>41261400</v>
      </c>
      <c r="Y31" s="260">
        <f t="shared" si="16"/>
        <v>10974174</v>
      </c>
      <c r="Z31" s="260">
        <f t="shared" si="17"/>
        <v>52235574</v>
      </c>
      <c r="AA31" s="258">
        <v>1</v>
      </c>
      <c r="AB31" s="261">
        <f t="shared" si="18"/>
        <v>6300</v>
      </c>
      <c r="AC31" s="261">
        <v>0</v>
      </c>
      <c r="AD31" s="261">
        <f t="shared" si="19"/>
        <v>6300</v>
      </c>
      <c r="AE31" s="262">
        <f t="shared" si="20"/>
        <v>1782900</v>
      </c>
      <c r="AF31" s="262">
        <v>0</v>
      </c>
      <c r="AG31" s="262">
        <f t="shared" si="21"/>
        <v>1782900</v>
      </c>
      <c r="AH31" s="353">
        <v>1</v>
      </c>
      <c r="AI31" s="259">
        <f t="shared" si="22"/>
        <v>5238</v>
      </c>
      <c r="AJ31" s="259">
        <v>0</v>
      </c>
      <c r="AK31" s="259">
        <f t="shared" si="23"/>
        <v>5238</v>
      </c>
      <c r="AL31" s="260">
        <f t="shared" si="24"/>
        <v>1482354</v>
      </c>
      <c r="AM31" s="260">
        <v>0</v>
      </c>
      <c r="AN31" s="260">
        <f t="shared" si="25"/>
        <v>1482354</v>
      </c>
      <c r="AO31" s="457">
        <f t="shared" si="26"/>
        <v>535934</v>
      </c>
      <c r="AP31" s="456">
        <f t="shared" si="27"/>
        <v>151669322</v>
      </c>
      <c r="AQ31" s="263" t="e">
        <f>#REF!+AH31+AA31+T31+M31</f>
        <v>#REF!</v>
      </c>
      <c r="AR31" s="263">
        <f t="shared" si="28"/>
        <v>151970498</v>
      </c>
      <c r="AS31" s="263" t="e">
        <f t="shared" si="29"/>
        <v>#REF!</v>
      </c>
      <c r="AT31" s="263">
        <f t="shared" si="30"/>
        <v>152326299</v>
      </c>
      <c r="AU31" s="263" t="e">
        <f t="shared" si="31"/>
        <v>#REF!</v>
      </c>
      <c r="AV31" s="263">
        <f t="shared" si="32"/>
        <v>167785174</v>
      </c>
      <c r="AW31" s="263" t="e">
        <f t="shared" si="33"/>
        <v>#REF!</v>
      </c>
      <c r="AX31" s="263" t="e">
        <f>AV31+#REF!+AH31+AA31+T31</f>
        <v>#REF!</v>
      </c>
      <c r="AY31" s="263" t="e">
        <f t="shared" si="34"/>
        <v>#REF!</v>
      </c>
      <c r="AZ31" s="263" t="e">
        <f t="shared" si="35"/>
        <v>#REF!</v>
      </c>
      <c r="BA31" s="263" t="e">
        <f t="shared" si="36"/>
        <v>#REF!</v>
      </c>
      <c r="BB31" s="263" t="e">
        <f t="shared" si="37"/>
        <v>#REF!</v>
      </c>
      <c r="BC31" s="263" t="e">
        <f t="shared" si="38"/>
        <v>#REF!</v>
      </c>
      <c r="BD31" s="263" t="e">
        <f t="shared" si="39"/>
        <v>#REF!</v>
      </c>
      <c r="BE31" s="263" t="e">
        <f>BC31+AV31+#REF!+AH31+AA31</f>
        <v>#REF!</v>
      </c>
      <c r="BF31" s="263" t="e">
        <f t="shared" si="40"/>
        <v>#REF!</v>
      </c>
      <c r="BG31" s="263" t="e">
        <f t="shared" si="41"/>
        <v>#REF!</v>
      </c>
    </row>
    <row r="32" spans="1:59" ht="15.75">
      <c r="A32" s="338">
        <v>2</v>
      </c>
      <c r="B32" s="338" t="s">
        <v>1</v>
      </c>
      <c r="C32" s="258">
        <v>36</v>
      </c>
      <c r="D32" s="328" t="s">
        <v>1340</v>
      </c>
      <c r="E32" s="258" t="s">
        <v>9</v>
      </c>
      <c r="F32" s="431">
        <f t="array" ref="F32">MAX((IF(MNU_CODIGO_ALIMENTO_ENTREGA=CONCATENATE($C32,"_","P_"),MNU_GRAMAJE_REQUERIDO_TIPOA,"")))</f>
        <v>20</v>
      </c>
      <c r="G32" s="259">
        <f t="shared" si="0"/>
        <v>41160</v>
      </c>
      <c r="H32" s="259">
        <f t="shared" si="1"/>
        <v>5896</v>
      </c>
      <c r="I32" s="259">
        <f t="shared" si="2"/>
        <v>47056</v>
      </c>
      <c r="J32" s="260">
        <f t="shared" si="3"/>
        <v>5433120</v>
      </c>
      <c r="K32" s="260">
        <f t="shared" si="4"/>
        <v>778272</v>
      </c>
      <c r="L32" s="260">
        <f t="shared" si="5"/>
        <v>6211392</v>
      </c>
      <c r="M32" s="432">
        <f t="array" ref="M32">MAX((IF(MNU_CODIGO_ALIMENTO_ENTREGA=CONCATENATE($C32,"_","P_"),MNU_GRAMAJE_REQUERIDO_TIPOB,"")))</f>
        <v>40</v>
      </c>
      <c r="N32" s="348">
        <f t="shared" si="6"/>
        <v>55937</v>
      </c>
      <c r="O32" s="348">
        <f t="shared" si="7"/>
        <v>5512</v>
      </c>
      <c r="P32" s="348">
        <f t="shared" si="8"/>
        <v>61449</v>
      </c>
      <c r="Q32" s="349">
        <f t="shared" si="9"/>
        <v>14823305</v>
      </c>
      <c r="R32" s="349">
        <f t="shared" si="10"/>
        <v>1460680</v>
      </c>
      <c r="S32" s="349">
        <f t="shared" si="11"/>
        <v>16283985</v>
      </c>
      <c r="T32" s="353">
        <f t="array" ref="T32">MAX((IF(MNU_CODIGO_ALIMENTO_ENTREGA=CONCATENATE($C32,"_","P_"),MNU_GRAMAJE_REQUERIDO_TIPOC,"")))</f>
        <v>40</v>
      </c>
      <c r="U32" s="259">
        <f t="shared" si="12"/>
        <v>56700</v>
      </c>
      <c r="V32" s="259">
        <f t="shared" si="13"/>
        <v>13488</v>
      </c>
      <c r="W32" s="259">
        <f t="shared" si="14"/>
        <v>70188</v>
      </c>
      <c r="X32" s="260">
        <f t="shared" si="15"/>
        <v>15025500</v>
      </c>
      <c r="Y32" s="260">
        <f t="shared" si="16"/>
        <v>3574320</v>
      </c>
      <c r="Z32" s="260">
        <f t="shared" si="17"/>
        <v>18599820</v>
      </c>
      <c r="AA32" s="258">
        <f t="array" ref="AA32">MAX((IF(MNU_CODIGO_ALIMENTO_ENTREGA=CONCATENATE($C32,"_","P_"),MNU_GRAMAJE_REQUERIDO_TIPOM,"")))</f>
        <v>40</v>
      </c>
      <c r="AB32" s="261">
        <f t="shared" si="18"/>
        <v>2450</v>
      </c>
      <c r="AC32" s="261">
        <v>0</v>
      </c>
      <c r="AD32" s="261">
        <f t="shared" si="19"/>
        <v>2450</v>
      </c>
      <c r="AE32" s="262">
        <f t="shared" si="20"/>
        <v>649250</v>
      </c>
      <c r="AF32" s="262">
        <v>0</v>
      </c>
      <c r="AG32" s="262">
        <f t="shared" si="21"/>
        <v>649250</v>
      </c>
      <c r="AH32" s="353">
        <f t="array" ref="AH32">MAX((IF(MNU_CODIGO_ALIMENTO_ENTREGA=CONCATENATE($C32,"_","P_"),MNU_GRAMAJE_REQUERIDO_TIPOH,"")))</f>
        <v>40</v>
      </c>
      <c r="AI32" s="259">
        <f t="shared" si="22"/>
        <v>2037</v>
      </c>
      <c r="AJ32" s="259">
        <v>0</v>
      </c>
      <c r="AK32" s="259">
        <f t="shared" si="23"/>
        <v>2037</v>
      </c>
      <c r="AL32" s="260">
        <f t="shared" si="24"/>
        <v>539805</v>
      </c>
      <c r="AM32" s="260">
        <v>0</v>
      </c>
      <c r="AN32" s="260">
        <f t="shared" si="25"/>
        <v>539805</v>
      </c>
      <c r="AO32" s="457">
        <f t="shared" si="26"/>
        <v>183180</v>
      </c>
      <c r="AP32" s="456">
        <f t="shared" si="27"/>
        <v>42284252</v>
      </c>
      <c r="AQ32" s="263" t="e">
        <f>#REF!+AH32+AA32+T32+M32</f>
        <v>#REF!</v>
      </c>
      <c r="AR32" s="263">
        <f t="shared" si="28"/>
        <v>42401376</v>
      </c>
      <c r="AS32" s="263" t="e">
        <f t="shared" si="29"/>
        <v>#REF!</v>
      </c>
      <c r="AT32" s="263">
        <f t="shared" si="30"/>
        <v>42537500</v>
      </c>
      <c r="AU32" s="263" t="e">
        <f t="shared" si="31"/>
        <v>#REF!</v>
      </c>
      <c r="AV32" s="263">
        <f t="shared" si="32"/>
        <v>47572500</v>
      </c>
      <c r="AW32" s="263" t="e">
        <f t="shared" si="33"/>
        <v>#REF!</v>
      </c>
      <c r="AX32" s="263" t="e">
        <f>AV32+#REF!+AH32+AA32+T32</f>
        <v>#REF!</v>
      </c>
      <c r="AY32" s="263" t="e">
        <f t="shared" si="34"/>
        <v>#REF!</v>
      </c>
      <c r="AZ32" s="263" t="e">
        <f t="shared" si="35"/>
        <v>#REF!</v>
      </c>
      <c r="BA32" s="263" t="e">
        <f t="shared" si="36"/>
        <v>#REF!</v>
      </c>
      <c r="BB32" s="263" t="e">
        <f t="shared" si="37"/>
        <v>#REF!</v>
      </c>
      <c r="BC32" s="263" t="e">
        <f t="shared" si="38"/>
        <v>#REF!</v>
      </c>
      <c r="BD32" s="263" t="e">
        <f t="shared" si="39"/>
        <v>#REF!</v>
      </c>
      <c r="BE32" s="263" t="e">
        <f>BC32+AV32+#REF!+AH32+AA32</f>
        <v>#REF!</v>
      </c>
      <c r="BF32" s="263" t="e">
        <f t="shared" si="40"/>
        <v>#REF!</v>
      </c>
      <c r="BG32" s="263" t="e">
        <f t="shared" si="41"/>
        <v>#REF!</v>
      </c>
    </row>
    <row r="33" spans="1:59" ht="15.75">
      <c r="A33" s="338">
        <v>2</v>
      </c>
      <c r="B33" s="338" t="s">
        <v>1</v>
      </c>
      <c r="C33" s="258">
        <v>42</v>
      </c>
      <c r="D33" s="328" t="s">
        <v>61</v>
      </c>
      <c r="E33" s="258" t="s">
        <v>9</v>
      </c>
      <c r="F33" s="431">
        <f t="array" ref="F33">MAX((IF(MNU_CODIGO_ALIMENTO_ENTREGA=CONCATENATE($C33,"_","P_"),MNU_GRAMAJE_REQUERIDO_TIPOA,"")))</f>
        <v>100</v>
      </c>
      <c r="G33" s="259">
        <f t="shared" si="0"/>
        <v>135240</v>
      </c>
      <c r="H33" s="259">
        <f t="shared" si="1"/>
        <v>26532</v>
      </c>
      <c r="I33" s="259">
        <f t="shared" si="2"/>
        <v>161772</v>
      </c>
      <c r="J33" s="260">
        <f t="shared" si="3"/>
        <v>27588960</v>
      </c>
      <c r="K33" s="260">
        <f t="shared" si="4"/>
        <v>5412528</v>
      </c>
      <c r="L33" s="260">
        <f t="shared" si="5"/>
        <v>33001488</v>
      </c>
      <c r="M33" s="432">
        <f t="array" ref="M33">MAX((IF(MNU_CODIGO_ALIMENTO_ENTREGA=CONCATENATE($C33,"_","P_"),MNU_GRAMAJE_REQUERIDO_TIPOB,"")))</f>
        <v>100</v>
      </c>
      <c r="N33" s="348">
        <f t="shared" si="6"/>
        <v>151829</v>
      </c>
      <c r="O33" s="348">
        <f t="shared" si="7"/>
        <v>13091</v>
      </c>
      <c r="P33" s="348">
        <f t="shared" si="8"/>
        <v>164920</v>
      </c>
      <c r="Q33" s="349">
        <f t="shared" si="9"/>
        <v>30973116</v>
      </c>
      <c r="R33" s="349">
        <f t="shared" si="10"/>
        <v>2670564</v>
      </c>
      <c r="S33" s="349">
        <f t="shared" si="11"/>
        <v>33643680</v>
      </c>
      <c r="T33" s="353">
        <f t="array" ref="T33">MAX((IF(MNU_CODIGO_ALIMENTO_ENTREGA=CONCATENATE($C33,"_","P_"),MNU_GRAMAJE_REQUERIDO_TIPOC,"")))</f>
        <v>100</v>
      </c>
      <c r="U33" s="259">
        <f t="shared" si="12"/>
        <v>153900</v>
      </c>
      <c r="V33" s="259">
        <f t="shared" si="13"/>
        <v>32034</v>
      </c>
      <c r="W33" s="259">
        <f t="shared" si="14"/>
        <v>185934</v>
      </c>
      <c r="X33" s="260">
        <f t="shared" si="15"/>
        <v>31395600</v>
      </c>
      <c r="Y33" s="260">
        <f t="shared" si="16"/>
        <v>6534936</v>
      </c>
      <c r="Z33" s="260">
        <f t="shared" si="17"/>
        <v>37930536</v>
      </c>
      <c r="AA33" s="258">
        <f t="array" ref="AA33">MAX((IF(MNU_CODIGO_ALIMENTO_ENTREGA=CONCATENATE($C33,"_","P_"),MNU_GRAMAJE_REQUERIDO_TIPOM,"")))</f>
        <v>100</v>
      </c>
      <c r="AB33" s="261">
        <f t="shared" si="18"/>
        <v>6650</v>
      </c>
      <c r="AC33" s="261">
        <v>0</v>
      </c>
      <c r="AD33" s="261">
        <f t="shared" si="19"/>
        <v>6650</v>
      </c>
      <c r="AE33" s="262">
        <f t="shared" si="20"/>
        <v>1356600</v>
      </c>
      <c r="AF33" s="262">
        <v>0</v>
      </c>
      <c r="AG33" s="262">
        <f t="shared" si="21"/>
        <v>1356600</v>
      </c>
      <c r="AH33" s="353">
        <f t="array" ref="AH33">MAX((IF(MNU_CODIGO_ALIMENTO_ENTREGA=CONCATENATE($C33,"_","P_"),MNU_GRAMAJE_REQUERIDO_TIPOH,"")))</f>
        <v>100</v>
      </c>
      <c r="AI33" s="259">
        <f t="shared" si="22"/>
        <v>5529</v>
      </c>
      <c r="AJ33" s="259">
        <v>0</v>
      </c>
      <c r="AK33" s="259">
        <f t="shared" si="23"/>
        <v>5529</v>
      </c>
      <c r="AL33" s="260">
        <f t="shared" si="24"/>
        <v>1127916</v>
      </c>
      <c r="AM33" s="260">
        <v>0</v>
      </c>
      <c r="AN33" s="260">
        <f t="shared" si="25"/>
        <v>1127916</v>
      </c>
      <c r="AO33" s="457">
        <f t="shared" si="26"/>
        <v>524805</v>
      </c>
      <c r="AP33" s="456">
        <f t="shared" si="27"/>
        <v>107060220</v>
      </c>
      <c r="AQ33" s="263" t="e">
        <f>#REF!+AH33+AA33+T33+M33</f>
        <v>#REF!</v>
      </c>
      <c r="AR33" s="263">
        <f t="shared" si="28"/>
        <v>107378128</v>
      </c>
      <c r="AS33" s="263" t="e">
        <f t="shared" si="29"/>
        <v>#REF!</v>
      </c>
      <c r="AT33" s="263">
        <f t="shared" si="30"/>
        <v>107741161</v>
      </c>
      <c r="AU33" s="263" t="e">
        <f t="shared" si="31"/>
        <v>#REF!</v>
      </c>
      <c r="AV33" s="263">
        <f t="shared" si="32"/>
        <v>116946661</v>
      </c>
      <c r="AW33" s="263" t="e">
        <f t="shared" si="33"/>
        <v>#REF!</v>
      </c>
      <c r="AX33" s="263" t="e">
        <f>AV33+#REF!+AH33+AA33+T33</f>
        <v>#REF!</v>
      </c>
      <c r="AY33" s="263" t="e">
        <f t="shared" si="34"/>
        <v>#REF!</v>
      </c>
      <c r="AZ33" s="263" t="e">
        <f t="shared" si="35"/>
        <v>#REF!</v>
      </c>
      <c r="BA33" s="263" t="e">
        <f t="shared" si="36"/>
        <v>#REF!</v>
      </c>
      <c r="BB33" s="263" t="e">
        <f t="shared" si="37"/>
        <v>#REF!</v>
      </c>
      <c r="BC33" s="263" t="e">
        <f t="shared" si="38"/>
        <v>#REF!</v>
      </c>
      <c r="BD33" s="263" t="e">
        <f t="shared" si="39"/>
        <v>#REF!</v>
      </c>
      <c r="BE33" s="263" t="e">
        <f>BC33+AV33+#REF!+AH33+AA33</f>
        <v>#REF!</v>
      </c>
      <c r="BF33" s="263" t="e">
        <f t="shared" si="40"/>
        <v>#REF!</v>
      </c>
      <c r="BG33" s="263" t="e">
        <f t="shared" si="41"/>
        <v>#REF!</v>
      </c>
    </row>
    <row r="34" spans="1:59" ht="15.75">
      <c r="A34" s="338">
        <v>2</v>
      </c>
      <c r="B34" s="338" t="s">
        <v>1</v>
      </c>
      <c r="C34" s="258">
        <v>43</v>
      </c>
      <c r="D34" s="328" t="s">
        <v>62</v>
      </c>
      <c r="E34" s="258" t="s">
        <v>9</v>
      </c>
      <c r="F34" s="431">
        <f t="array" ref="F34">MAX((IF(MNU_CODIGO_ALIMENTO_ENTREGA=CONCATENATE($C34,"_","P_"),MNU_GRAMAJE_REQUERIDO_TIPOA,"")))</f>
        <v>100</v>
      </c>
      <c r="G34" s="259">
        <f t="shared" si="0"/>
        <v>141120</v>
      </c>
      <c r="H34" s="259">
        <f t="shared" si="1"/>
        <v>21373</v>
      </c>
      <c r="I34" s="259">
        <f t="shared" si="2"/>
        <v>162493</v>
      </c>
      <c r="J34" s="260">
        <f t="shared" si="3"/>
        <v>25119360</v>
      </c>
      <c r="K34" s="260">
        <f t="shared" si="4"/>
        <v>3804394</v>
      </c>
      <c r="L34" s="260">
        <f t="shared" si="5"/>
        <v>28923754</v>
      </c>
      <c r="M34" s="432">
        <f t="array" ref="M34">MAX((IF(MNU_CODIGO_ALIMENTO_ENTREGA=CONCATENATE($C34,"_","P_"),MNU_GRAMAJE_REQUERIDO_TIPOB,"")))</f>
        <v>100</v>
      </c>
      <c r="N34" s="348">
        <f t="shared" si="6"/>
        <v>135847</v>
      </c>
      <c r="O34" s="348">
        <f t="shared" si="7"/>
        <v>15847</v>
      </c>
      <c r="P34" s="348">
        <f t="shared" si="8"/>
        <v>151694</v>
      </c>
      <c r="Q34" s="349">
        <f t="shared" si="9"/>
        <v>24180766</v>
      </c>
      <c r="R34" s="349">
        <f t="shared" si="10"/>
        <v>2820766</v>
      </c>
      <c r="S34" s="349">
        <f t="shared" si="11"/>
        <v>27001532</v>
      </c>
      <c r="T34" s="353">
        <f t="array" ref="T34">MAX((IF(MNU_CODIGO_ALIMENTO_ENTREGA=CONCATENATE($C34,"_","P_"),MNU_GRAMAJE_REQUERIDO_TIPOC,"")))</f>
        <v>100</v>
      </c>
      <c r="U34" s="259">
        <f t="shared" si="12"/>
        <v>137700</v>
      </c>
      <c r="V34" s="259">
        <f t="shared" si="13"/>
        <v>38778</v>
      </c>
      <c r="W34" s="259">
        <f t="shared" si="14"/>
        <v>176478</v>
      </c>
      <c r="X34" s="260">
        <f t="shared" si="15"/>
        <v>24510600</v>
      </c>
      <c r="Y34" s="260">
        <f t="shared" si="16"/>
        <v>6902484</v>
      </c>
      <c r="Z34" s="260">
        <f t="shared" si="17"/>
        <v>31413084</v>
      </c>
      <c r="AA34" s="258">
        <f t="array" ref="AA34">MAX((IF(MNU_CODIGO_ALIMENTO_ENTREGA=CONCATENATE($C34,"_","P_"),MNU_GRAMAJE_REQUERIDO_TIPOM,"")))</f>
        <v>100</v>
      </c>
      <c r="AB34" s="261">
        <f t="shared" si="18"/>
        <v>5950</v>
      </c>
      <c r="AC34" s="261">
        <v>0</v>
      </c>
      <c r="AD34" s="261">
        <f t="shared" si="19"/>
        <v>5950</v>
      </c>
      <c r="AE34" s="262">
        <f t="shared" si="20"/>
        <v>1059100</v>
      </c>
      <c r="AF34" s="262">
        <v>0</v>
      </c>
      <c r="AG34" s="262">
        <f t="shared" si="21"/>
        <v>1059100</v>
      </c>
      <c r="AH34" s="353">
        <f t="array" ref="AH34">MAX((IF(MNU_CODIGO_ALIMENTO_ENTREGA=CONCATENATE($C34,"_","P_"),MNU_GRAMAJE_REQUERIDO_TIPOH,"")))</f>
        <v>100</v>
      </c>
      <c r="AI34" s="259">
        <f t="shared" si="22"/>
        <v>4947</v>
      </c>
      <c r="AJ34" s="259">
        <v>0</v>
      </c>
      <c r="AK34" s="259">
        <f t="shared" si="23"/>
        <v>4947</v>
      </c>
      <c r="AL34" s="260">
        <f t="shared" si="24"/>
        <v>880566</v>
      </c>
      <c r="AM34" s="260">
        <v>0</v>
      </c>
      <c r="AN34" s="260">
        <f t="shared" si="25"/>
        <v>880566</v>
      </c>
      <c r="AO34" s="457">
        <f t="shared" si="26"/>
        <v>501562</v>
      </c>
      <c r="AP34" s="456">
        <f t="shared" si="27"/>
        <v>89278036</v>
      </c>
      <c r="AQ34" s="263" t="e">
        <f>#REF!+AH34+AA34+T34+M34</f>
        <v>#REF!</v>
      </c>
      <c r="AR34" s="263">
        <f t="shared" si="28"/>
        <v>89562480</v>
      </c>
      <c r="AS34" s="263" t="e">
        <f t="shared" si="29"/>
        <v>#REF!</v>
      </c>
      <c r="AT34" s="263">
        <f t="shared" si="30"/>
        <v>89901549</v>
      </c>
      <c r="AU34" s="263" t="e">
        <f t="shared" si="31"/>
        <v>#REF!</v>
      </c>
      <c r="AV34" s="263">
        <f t="shared" si="32"/>
        <v>99624799</v>
      </c>
      <c r="AW34" s="263" t="e">
        <f t="shared" si="33"/>
        <v>#REF!</v>
      </c>
      <c r="AX34" s="263" t="e">
        <f>AV34+#REF!+AH34+AA34+T34</f>
        <v>#REF!</v>
      </c>
      <c r="AY34" s="263" t="e">
        <f t="shared" si="34"/>
        <v>#REF!</v>
      </c>
      <c r="AZ34" s="263" t="e">
        <f t="shared" si="35"/>
        <v>#REF!</v>
      </c>
      <c r="BA34" s="263" t="e">
        <f t="shared" si="36"/>
        <v>#REF!</v>
      </c>
      <c r="BB34" s="263" t="e">
        <f t="shared" si="37"/>
        <v>#REF!</v>
      </c>
      <c r="BC34" s="263" t="e">
        <f t="shared" si="38"/>
        <v>#REF!</v>
      </c>
      <c r="BD34" s="263" t="e">
        <f t="shared" si="39"/>
        <v>#REF!</v>
      </c>
      <c r="BE34" s="263" t="e">
        <f>BC34+AV34+#REF!+AH34+AA34</f>
        <v>#REF!</v>
      </c>
      <c r="BF34" s="263" t="e">
        <f t="shared" si="40"/>
        <v>#REF!</v>
      </c>
      <c r="BG34" s="263" t="e">
        <f t="shared" si="41"/>
        <v>#REF!</v>
      </c>
    </row>
    <row r="35" spans="1:59" ht="15.75">
      <c r="A35" s="338">
        <v>2</v>
      </c>
      <c r="B35" s="338" t="s">
        <v>1</v>
      </c>
      <c r="C35" s="258">
        <v>46</v>
      </c>
      <c r="D35" s="328" t="s">
        <v>64</v>
      </c>
      <c r="E35" s="258" t="s">
        <v>9</v>
      </c>
      <c r="F35" s="431">
        <f t="array" ref="F35">MAX((IF(MNU_CODIGO_ALIMENTO_ENTREGA=CONCATENATE($C35,"_","P_"),MNU_GRAMAJE_REQUERIDO_TIPOA,"")))</f>
        <v>100</v>
      </c>
      <c r="G35" s="259">
        <f t="shared" si="0"/>
        <v>176400</v>
      </c>
      <c r="H35" s="259">
        <f t="shared" si="1"/>
        <v>21373</v>
      </c>
      <c r="I35" s="259">
        <f t="shared" si="2"/>
        <v>197773</v>
      </c>
      <c r="J35" s="260">
        <f t="shared" si="3"/>
        <v>73735200</v>
      </c>
      <c r="K35" s="260">
        <f t="shared" si="4"/>
        <v>8933914</v>
      </c>
      <c r="L35" s="260">
        <f t="shared" si="5"/>
        <v>82669114</v>
      </c>
      <c r="M35" s="432">
        <f t="array" ref="M35">MAX((IF(MNU_CODIGO_ALIMENTO_ENTREGA=CONCATENATE($C35,"_","P_"),MNU_GRAMAJE_REQUERIDO_TIPOB,"")))</f>
        <v>100</v>
      </c>
      <c r="N35" s="348">
        <f t="shared" si="6"/>
        <v>167811</v>
      </c>
      <c r="O35" s="348">
        <f t="shared" si="7"/>
        <v>16536</v>
      </c>
      <c r="P35" s="348">
        <f t="shared" si="8"/>
        <v>184347</v>
      </c>
      <c r="Q35" s="349">
        <f t="shared" si="9"/>
        <v>70144998</v>
      </c>
      <c r="R35" s="349">
        <f t="shared" si="10"/>
        <v>6912048</v>
      </c>
      <c r="S35" s="349">
        <f t="shared" si="11"/>
        <v>77057046</v>
      </c>
      <c r="T35" s="353">
        <f t="array" ref="T35">MAX((IF(MNU_CODIGO_ALIMENTO_ENTREGA=CONCATENATE($C35,"_","P_"),MNU_GRAMAJE_REQUERIDO_TIPOC,"")))</f>
        <v>100</v>
      </c>
      <c r="U35" s="259">
        <f t="shared" si="12"/>
        <v>170100</v>
      </c>
      <c r="V35" s="259">
        <f t="shared" si="13"/>
        <v>40464</v>
      </c>
      <c r="W35" s="259">
        <f t="shared" si="14"/>
        <v>210564</v>
      </c>
      <c r="X35" s="260">
        <f t="shared" si="15"/>
        <v>71101800</v>
      </c>
      <c r="Y35" s="260">
        <f t="shared" si="16"/>
        <v>16913952</v>
      </c>
      <c r="Z35" s="260">
        <f t="shared" si="17"/>
        <v>88015752</v>
      </c>
      <c r="AA35" s="258">
        <f t="array" ref="AA35">MAX((IF(MNU_CODIGO_ALIMENTO_ENTREGA=CONCATENATE($C35,"_","P_"),MNU_GRAMAJE_REQUERIDO_TIPOM,"")))</f>
        <v>100</v>
      </c>
      <c r="AB35" s="261">
        <f t="shared" si="18"/>
        <v>7350</v>
      </c>
      <c r="AC35" s="261">
        <v>0</v>
      </c>
      <c r="AD35" s="261">
        <f t="shared" si="19"/>
        <v>7350</v>
      </c>
      <c r="AE35" s="262">
        <f t="shared" si="20"/>
        <v>3072300</v>
      </c>
      <c r="AF35" s="262">
        <v>0</v>
      </c>
      <c r="AG35" s="262">
        <f t="shared" si="21"/>
        <v>3072300</v>
      </c>
      <c r="AH35" s="353">
        <f t="array" ref="AH35">MAX((IF(MNU_CODIGO_ALIMENTO_ENTREGA=CONCATENATE($C35,"_","P_"),MNU_GRAMAJE_REQUERIDO_TIPOH,"")))</f>
        <v>100</v>
      </c>
      <c r="AI35" s="259">
        <f t="shared" si="22"/>
        <v>6111</v>
      </c>
      <c r="AJ35" s="259">
        <v>0</v>
      </c>
      <c r="AK35" s="259">
        <f t="shared" si="23"/>
        <v>6111</v>
      </c>
      <c r="AL35" s="260">
        <f t="shared" si="24"/>
        <v>2554398</v>
      </c>
      <c r="AM35" s="260">
        <v>0</v>
      </c>
      <c r="AN35" s="260">
        <f t="shared" si="25"/>
        <v>2554398</v>
      </c>
      <c r="AO35" s="457">
        <f t="shared" si="26"/>
        <v>606145</v>
      </c>
      <c r="AP35" s="456">
        <f t="shared" si="27"/>
        <v>253368610</v>
      </c>
      <c r="AQ35" s="263" t="e">
        <f>#REF!+AH35+AA35+T35+M35</f>
        <v>#REF!</v>
      </c>
      <c r="AR35" s="263">
        <f t="shared" si="28"/>
        <v>253719982</v>
      </c>
      <c r="AS35" s="263" t="e">
        <f t="shared" si="29"/>
        <v>#REF!</v>
      </c>
      <c r="AT35" s="263">
        <f t="shared" si="30"/>
        <v>254128354</v>
      </c>
      <c r="AU35" s="263" t="e">
        <f t="shared" si="31"/>
        <v>#REF!</v>
      </c>
      <c r="AV35" s="263">
        <f t="shared" si="32"/>
        <v>277954354</v>
      </c>
      <c r="AW35" s="263" t="e">
        <f t="shared" si="33"/>
        <v>#REF!</v>
      </c>
      <c r="AX35" s="263" t="e">
        <f>AV35+#REF!+AH35+AA35+T35</f>
        <v>#REF!</v>
      </c>
      <c r="AY35" s="263" t="e">
        <f t="shared" si="34"/>
        <v>#REF!</v>
      </c>
      <c r="AZ35" s="263" t="e">
        <f t="shared" si="35"/>
        <v>#REF!</v>
      </c>
      <c r="BA35" s="263" t="e">
        <f t="shared" si="36"/>
        <v>#REF!</v>
      </c>
      <c r="BB35" s="263" t="e">
        <f t="shared" si="37"/>
        <v>#REF!</v>
      </c>
      <c r="BC35" s="263" t="e">
        <f t="shared" si="38"/>
        <v>#REF!</v>
      </c>
      <c r="BD35" s="263" t="e">
        <f t="shared" si="39"/>
        <v>#REF!</v>
      </c>
      <c r="BE35" s="263" t="e">
        <f>BC35+AV35+#REF!+AH35+AA35</f>
        <v>#REF!</v>
      </c>
      <c r="BF35" s="263" t="e">
        <f t="shared" si="40"/>
        <v>#REF!</v>
      </c>
      <c r="BG35" s="263" t="e">
        <f t="shared" si="41"/>
        <v>#REF!</v>
      </c>
    </row>
    <row r="36" spans="1:59" ht="15.75">
      <c r="A36" s="338">
        <v>2</v>
      </c>
      <c r="B36" s="338" t="s">
        <v>1</v>
      </c>
      <c r="C36" s="258">
        <v>58</v>
      </c>
      <c r="D36" s="328" t="s">
        <v>67</v>
      </c>
      <c r="E36" s="258" t="s">
        <v>9</v>
      </c>
      <c r="F36" s="431">
        <f t="array" ref="F36">MAX((IF(MNU_CODIGO_ALIMENTO_ENTREGA=CONCATENATE($C36,"_","P_"),MNU_GRAMAJE_REQUERIDO_TIPOA,"")))</f>
        <v>100</v>
      </c>
      <c r="G36" s="259">
        <f t="shared" si="0"/>
        <v>141120</v>
      </c>
      <c r="H36" s="259">
        <f t="shared" si="1"/>
        <v>20636</v>
      </c>
      <c r="I36" s="259">
        <f t="shared" si="2"/>
        <v>161756</v>
      </c>
      <c r="J36" s="260">
        <f t="shared" si="3"/>
        <v>22861440</v>
      </c>
      <c r="K36" s="260">
        <f t="shared" si="4"/>
        <v>3343032</v>
      </c>
      <c r="L36" s="260">
        <f t="shared" si="5"/>
        <v>26204472</v>
      </c>
      <c r="M36" s="432">
        <f t="array" ref="M36">MAX((IF(MNU_CODIGO_ALIMENTO_ENTREGA=CONCATENATE($C36,"_","P_"),MNU_GRAMAJE_REQUERIDO_TIPOB,"")))</f>
        <v>100</v>
      </c>
      <c r="N36" s="348">
        <f t="shared" si="6"/>
        <v>183793</v>
      </c>
      <c r="O36" s="348">
        <f t="shared" si="7"/>
        <v>15847</v>
      </c>
      <c r="P36" s="348">
        <f t="shared" si="8"/>
        <v>199640</v>
      </c>
      <c r="Q36" s="349">
        <f t="shared" si="9"/>
        <v>29774466</v>
      </c>
      <c r="R36" s="349">
        <f t="shared" si="10"/>
        <v>2567214</v>
      </c>
      <c r="S36" s="349">
        <f t="shared" si="11"/>
        <v>32341680</v>
      </c>
      <c r="T36" s="353">
        <f t="array" ref="T36">MAX((IF(MNU_CODIGO_ALIMENTO_ENTREGA=CONCATENATE($C36,"_","P_"),MNU_GRAMAJE_REQUERIDO_TIPOC,"")))</f>
        <v>100</v>
      </c>
      <c r="U36" s="259">
        <f t="shared" si="12"/>
        <v>186300</v>
      </c>
      <c r="V36" s="259">
        <f t="shared" si="13"/>
        <v>38778</v>
      </c>
      <c r="W36" s="259">
        <f t="shared" si="14"/>
        <v>225078</v>
      </c>
      <c r="X36" s="260">
        <f t="shared" si="15"/>
        <v>30180600</v>
      </c>
      <c r="Y36" s="260">
        <f t="shared" si="16"/>
        <v>6282036</v>
      </c>
      <c r="Z36" s="260">
        <f t="shared" si="17"/>
        <v>36462636</v>
      </c>
      <c r="AA36" s="258">
        <f t="array" ref="AA36">MAX((IF(MNU_CODIGO_ALIMENTO_ENTREGA=CONCATENATE($C36,"_","P_"),MNU_GRAMAJE_REQUERIDO_TIPOM,"")))</f>
        <v>100</v>
      </c>
      <c r="AB36" s="261">
        <f t="shared" si="18"/>
        <v>8050</v>
      </c>
      <c r="AC36" s="261">
        <v>0</v>
      </c>
      <c r="AD36" s="261">
        <f t="shared" si="19"/>
        <v>8050</v>
      </c>
      <c r="AE36" s="262">
        <f t="shared" si="20"/>
        <v>1304100</v>
      </c>
      <c r="AF36" s="262">
        <v>0</v>
      </c>
      <c r="AG36" s="262">
        <f t="shared" si="21"/>
        <v>1304100</v>
      </c>
      <c r="AH36" s="353">
        <f t="array" ref="AH36">MAX((IF(MNU_CODIGO_ALIMENTO_ENTREGA=CONCATENATE($C36,"_","P_"),MNU_GRAMAJE_REQUERIDO_TIPOH,"")))</f>
        <v>100</v>
      </c>
      <c r="AI36" s="259">
        <f t="shared" si="22"/>
        <v>6693</v>
      </c>
      <c r="AJ36" s="259">
        <v>0</v>
      </c>
      <c r="AK36" s="259">
        <f t="shared" si="23"/>
        <v>6693</v>
      </c>
      <c r="AL36" s="260">
        <f t="shared" si="24"/>
        <v>1084266</v>
      </c>
      <c r="AM36" s="260">
        <v>0</v>
      </c>
      <c r="AN36" s="260">
        <f t="shared" si="25"/>
        <v>1084266</v>
      </c>
      <c r="AO36" s="457">
        <f t="shared" si="26"/>
        <v>601217</v>
      </c>
      <c r="AP36" s="456">
        <f t="shared" si="27"/>
        <v>97397154</v>
      </c>
      <c r="AQ36" s="263" t="e">
        <f>#REF!+AH36+AA36+T36+M36</f>
        <v>#REF!</v>
      </c>
      <c r="AR36" s="263">
        <f t="shared" si="28"/>
        <v>97781990</v>
      </c>
      <c r="AS36" s="263" t="e">
        <f t="shared" si="29"/>
        <v>#REF!</v>
      </c>
      <c r="AT36" s="263">
        <f t="shared" si="30"/>
        <v>98221451</v>
      </c>
      <c r="AU36" s="263" t="e">
        <f t="shared" si="31"/>
        <v>#REF!</v>
      </c>
      <c r="AV36" s="263">
        <f t="shared" si="32"/>
        <v>107070701</v>
      </c>
      <c r="AW36" s="263" t="e">
        <f t="shared" si="33"/>
        <v>#REF!</v>
      </c>
      <c r="AX36" s="263" t="e">
        <f>AV36+#REF!+AH36+AA36+T36</f>
        <v>#REF!</v>
      </c>
      <c r="AY36" s="263" t="e">
        <f t="shared" si="34"/>
        <v>#REF!</v>
      </c>
      <c r="AZ36" s="263" t="e">
        <f t="shared" si="35"/>
        <v>#REF!</v>
      </c>
      <c r="BA36" s="263" t="e">
        <f t="shared" si="36"/>
        <v>#REF!</v>
      </c>
      <c r="BB36" s="263" t="e">
        <f t="shared" si="37"/>
        <v>#REF!</v>
      </c>
      <c r="BC36" s="263" t="e">
        <f t="shared" si="38"/>
        <v>#REF!</v>
      </c>
      <c r="BD36" s="263" t="e">
        <f t="shared" si="39"/>
        <v>#REF!</v>
      </c>
      <c r="BE36" s="263" t="e">
        <f>BC36+AV36+#REF!+AH36+AA36</f>
        <v>#REF!</v>
      </c>
      <c r="BF36" s="263" t="e">
        <f t="shared" si="40"/>
        <v>#REF!</v>
      </c>
      <c r="BG36" s="263" t="e">
        <f t="shared" si="41"/>
        <v>#REF!</v>
      </c>
    </row>
    <row r="37" spans="1:59" ht="15.75">
      <c r="A37" s="338">
        <v>2</v>
      </c>
      <c r="B37" s="338" t="s">
        <v>1</v>
      </c>
      <c r="C37" s="258">
        <v>59</v>
      </c>
      <c r="D37" s="328" t="s">
        <v>99</v>
      </c>
      <c r="E37" s="258" t="s">
        <v>9</v>
      </c>
      <c r="F37" s="431">
        <f t="array" ref="F37">MAX((IF(MNU_CODIGO_ALIMENTO_ENTREGA=CONCATENATE($C37,"_","P_"),MNU_GRAMAJE_REQUERIDO_TIPOA,"")))</f>
        <v>0</v>
      </c>
      <c r="G37" s="259">
        <f t="shared" si="0"/>
        <v>0</v>
      </c>
      <c r="H37" s="259">
        <f t="shared" si="1"/>
        <v>0</v>
      </c>
      <c r="I37" s="259">
        <f t="shared" si="2"/>
        <v>0</v>
      </c>
      <c r="J37" s="260">
        <f t="shared" si="3"/>
        <v>0</v>
      </c>
      <c r="K37" s="260">
        <f t="shared" si="4"/>
        <v>0</v>
      </c>
      <c r="L37" s="260">
        <f t="shared" si="5"/>
        <v>0</v>
      </c>
      <c r="M37" s="432">
        <f t="array" ref="M37">MAX((IF(MNU_CODIGO_ALIMENTO_ENTREGA=CONCATENATE($C37,"_","P_"),MNU_GRAMAJE_REQUERIDO_TIPOB,"")))</f>
        <v>100</v>
      </c>
      <c r="N37" s="348">
        <f t="shared" si="6"/>
        <v>63928</v>
      </c>
      <c r="O37" s="348">
        <f t="shared" si="7"/>
        <v>7579</v>
      </c>
      <c r="P37" s="348">
        <f t="shared" si="8"/>
        <v>71507</v>
      </c>
      <c r="Q37" s="349">
        <f t="shared" si="9"/>
        <v>19178400</v>
      </c>
      <c r="R37" s="349">
        <f t="shared" si="10"/>
        <v>2273700</v>
      </c>
      <c r="S37" s="349">
        <f t="shared" si="11"/>
        <v>21452100</v>
      </c>
      <c r="T37" s="353">
        <f t="array" ref="T37">MAX((IF(MNU_CODIGO_ALIMENTO_ENTREGA=CONCATENATE($C37,"_","P_"),MNU_GRAMAJE_REQUERIDO_TIPOC,"")))</f>
        <v>100</v>
      </c>
      <c r="U37" s="259">
        <f t="shared" si="12"/>
        <v>64800</v>
      </c>
      <c r="V37" s="259">
        <f t="shared" si="13"/>
        <v>18546</v>
      </c>
      <c r="W37" s="259">
        <f t="shared" si="14"/>
        <v>83346</v>
      </c>
      <c r="X37" s="260">
        <f t="shared" si="15"/>
        <v>19440000</v>
      </c>
      <c r="Y37" s="260">
        <f t="shared" si="16"/>
        <v>5563800</v>
      </c>
      <c r="Z37" s="260">
        <f t="shared" si="17"/>
        <v>25003800</v>
      </c>
      <c r="AA37" s="258">
        <f t="array" ref="AA37">MAX((IF(MNU_CODIGO_ALIMENTO_ENTREGA=CONCATENATE($C37,"_","P_"),MNU_GRAMAJE_REQUERIDO_TIPOM,"")))</f>
        <v>100</v>
      </c>
      <c r="AB37" s="261">
        <f t="shared" si="18"/>
        <v>2800</v>
      </c>
      <c r="AC37" s="261">
        <v>0</v>
      </c>
      <c r="AD37" s="261">
        <f t="shared" si="19"/>
        <v>2800</v>
      </c>
      <c r="AE37" s="262">
        <f t="shared" si="20"/>
        <v>840000</v>
      </c>
      <c r="AF37" s="262">
        <v>0</v>
      </c>
      <c r="AG37" s="262">
        <f t="shared" si="21"/>
        <v>840000</v>
      </c>
      <c r="AH37" s="353">
        <f t="array" ref="AH37">MAX((IF(MNU_CODIGO_ALIMENTO_ENTREGA=CONCATENATE($C37,"_","P_"),MNU_GRAMAJE_REQUERIDO_TIPOH,"")))</f>
        <v>100</v>
      </c>
      <c r="AI37" s="259">
        <f t="shared" si="22"/>
        <v>2328</v>
      </c>
      <c r="AJ37" s="259">
        <v>0</v>
      </c>
      <c r="AK37" s="259">
        <f t="shared" si="23"/>
        <v>2328</v>
      </c>
      <c r="AL37" s="260">
        <f t="shared" si="24"/>
        <v>698400</v>
      </c>
      <c r="AM37" s="260">
        <v>0</v>
      </c>
      <c r="AN37" s="260">
        <f t="shared" si="25"/>
        <v>698400</v>
      </c>
      <c r="AO37" s="457">
        <f t="shared" si="26"/>
        <v>159981</v>
      </c>
      <c r="AP37" s="456">
        <f t="shared" si="27"/>
        <v>47994300</v>
      </c>
      <c r="AQ37" s="263" t="e">
        <f>#REF!+AH37+AA37+T37+M37</f>
        <v>#REF!</v>
      </c>
      <c r="AR37" s="263">
        <f t="shared" si="28"/>
        <v>48128156</v>
      </c>
      <c r="AS37" s="263" t="e">
        <f t="shared" si="29"/>
        <v>#REF!</v>
      </c>
      <c r="AT37" s="263">
        <f t="shared" si="30"/>
        <v>48288137</v>
      </c>
      <c r="AU37" s="263" t="e">
        <f t="shared" si="31"/>
        <v>#REF!</v>
      </c>
      <c r="AV37" s="263">
        <f t="shared" si="32"/>
        <v>56125637</v>
      </c>
      <c r="AW37" s="263" t="e">
        <f t="shared" si="33"/>
        <v>#REF!</v>
      </c>
      <c r="AX37" s="263" t="e">
        <f>AV37+#REF!+AH37+AA37+T37</f>
        <v>#REF!</v>
      </c>
      <c r="AY37" s="263" t="e">
        <f t="shared" si="34"/>
        <v>#REF!</v>
      </c>
      <c r="AZ37" s="263" t="e">
        <f t="shared" si="35"/>
        <v>#REF!</v>
      </c>
      <c r="BA37" s="263" t="e">
        <f t="shared" si="36"/>
        <v>#REF!</v>
      </c>
      <c r="BB37" s="263" t="e">
        <f t="shared" si="37"/>
        <v>#REF!</v>
      </c>
      <c r="BC37" s="263" t="e">
        <f t="shared" si="38"/>
        <v>#REF!</v>
      </c>
      <c r="BD37" s="263" t="e">
        <f t="shared" si="39"/>
        <v>#REF!</v>
      </c>
      <c r="BE37" s="263" t="e">
        <f>BC37+AV37+#REF!+AH37+AA37</f>
        <v>#REF!</v>
      </c>
      <c r="BF37" s="263" t="e">
        <f t="shared" si="40"/>
        <v>#REF!</v>
      </c>
      <c r="BG37" s="263" t="e">
        <f t="shared" si="41"/>
        <v>#REF!</v>
      </c>
    </row>
    <row r="38" spans="1:59" ht="15.75">
      <c r="A38" s="338">
        <v>2</v>
      </c>
      <c r="B38" s="338" t="s">
        <v>1</v>
      </c>
      <c r="C38" s="258">
        <v>69</v>
      </c>
      <c r="D38" s="328" t="s">
        <v>70</v>
      </c>
      <c r="E38" s="258" t="s">
        <v>9</v>
      </c>
      <c r="F38" s="431">
        <f t="array" ref="F38">MAX((IF(MNU_CODIGO_ALIMENTO_ENTREGA=CONCATENATE($C38,"_","P_"),MNU_GRAMAJE_REQUERIDO_TIPOA,"")))</f>
        <v>100</v>
      </c>
      <c r="G38" s="259">
        <f t="shared" si="0"/>
        <v>176400</v>
      </c>
      <c r="H38" s="259">
        <f t="shared" si="1"/>
        <v>13266</v>
      </c>
      <c r="I38" s="259">
        <f t="shared" si="2"/>
        <v>189666</v>
      </c>
      <c r="J38" s="260">
        <f t="shared" si="3"/>
        <v>56448000</v>
      </c>
      <c r="K38" s="260">
        <f t="shared" si="4"/>
        <v>4245120</v>
      </c>
      <c r="L38" s="260">
        <f t="shared" si="5"/>
        <v>60693120</v>
      </c>
      <c r="M38" s="432">
        <f t="array" ref="M38">MAX((IF(MNU_CODIGO_ALIMENTO_ENTREGA=CONCATENATE($C38,"_","P_"),MNU_GRAMAJE_REQUERIDO_TIPOB,"")))</f>
        <v>100</v>
      </c>
      <c r="N38" s="348">
        <f t="shared" si="6"/>
        <v>127856</v>
      </c>
      <c r="O38" s="348">
        <f t="shared" si="7"/>
        <v>8268</v>
      </c>
      <c r="P38" s="348">
        <f t="shared" si="8"/>
        <v>136124</v>
      </c>
      <c r="Q38" s="349">
        <f t="shared" si="9"/>
        <v>40913920</v>
      </c>
      <c r="R38" s="349">
        <f t="shared" si="10"/>
        <v>2645760</v>
      </c>
      <c r="S38" s="349">
        <f t="shared" si="11"/>
        <v>43559680</v>
      </c>
      <c r="T38" s="353">
        <f t="array" ref="T38">MAX((IF(MNU_CODIGO_ALIMENTO_ENTREGA=CONCATENATE($C38,"_","P_"),MNU_GRAMAJE_REQUERIDO_TIPOC,"")))</f>
        <v>100</v>
      </c>
      <c r="U38" s="259">
        <f t="shared" si="12"/>
        <v>129600</v>
      </c>
      <c r="V38" s="259">
        <f t="shared" si="13"/>
        <v>20232</v>
      </c>
      <c r="W38" s="259">
        <f t="shared" si="14"/>
        <v>149832</v>
      </c>
      <c r="X38" s="260">
        <f t="shared" si="15"/>
        <v>41472000</v>
      </c>
      <c r="Y38" s="260">
        <f t="shared" si="16"/>
        <v>6474240</v>
      </c>
      <c r="Z38" s="260">
        <f t="shared" si="17"/>
        <v>47946240</v>
      </c>
      <c r="AA38" s="258">
        <f t="array" ref="AA38">MAX((IF(MNU_CODIGO_ALIMENTO_ENTREGA=CONCATENATE($C38,"_","P_"),MNU_GRAMAJE_REQUERIDO_TIPOM,"")))</f>
        <v>100</v>
      </c>
      <c r="AB38" s="261">
        <f t="shared" si="18"/>
        <v>5600</v>
      </c>
      <c r="AC38" s="261">
        <v>0</v>
      </c>
      <c r="AD38" s="261">
        <f t="shared" si="19"/>
        <v>5600</v>
      </c>
      <c r="AE38" s="262">
        <f t="shared" si="20"/>
        <v>1792000</v>
      </c>
      <c r="AF38" s="262">
        <v>0</v>
      </c>
      <c r="AG38" s="262">
        <f t="shared" si="21"/>
        <v>1792000</v>
      </c>
      <c r="AH38" s="353">
        <f t="array" ref="AH38">MAX((IF(MNU_CODIGO_ALIMENTO_ENTREGA=CONCATENATE($C38,"_","P_"),MNU_GRAMAJE_REQUERIDO_TIPOH,"")))</f>
        <v>100</v>
      </c>
      <c r="AI38" s="259">
        <f t="shared" si="22"/>
        <v>4656</v>
      </c>
      <c r="AJ38" s="259">
        <v>0</v>
      </c>
      <c r="AK38" s="259">
        <f t="shared" si="23"/>
        <v>4656</v>
      </c>
      <c r="AL38" s="260">
        <f t="shared" si="24"/>
        <v>1489920</v>
      </c>
      <c r="AM38" s="260">
        <v>0</v>
      </c>
      <c r="AN38" s="260">
        <f t="shared" si="25"/>
        <v>1489920</v>
      </c>
      <c r="AO38" s="457">
        <f t="shared" si="26"/>
        <v>485878</v>
      </c>
      <c r="AP38" s="456">
        <f t="shared" si="27"/>
        <v>155480960</v>
      </c>
      <c r="AQ38" s="263" t="e">
        <f>#REF!+AH38+AA38+T38+M38</f>
        <v>#REF!</v>
      </c>
      <c r="AR38" s="263">
        <f t="shared" si="28"/>
        <v>155748672</v>
      </c>
      <c r="AS38" s="263" t="e">
        <f t="shared" si="29"/>
        <v>#REF!</v>
      </c>
      <c r="AT38" s="263">
        <f t="shared" si="30"/>
        <v>156044884</v>
      </c>
      <c r="AU38" s="263" t="e">
        <f t="shared" si="31"/>
        <v>#REF!</v>
      </c>
      <c r="AV38" s="263">
        <f t="shared" si="32"/>
        <v>165164884</v>
      </c>
      <c r="AW38" s="263" t="e">
        <f t="shared" si="33"/>
        <v>#REF!</v>
      </c>
      <c r="AX38" s="263" t="e">
        <f>AV38+#REF!+AH38+AA38+T38</f>
        <v>#REF!</v>
      </c>
      <c r="AY38" s="263" t="e">
        <f t="shared" si="34"/>
        <v>#REF!</v>
      </c>
      <c r="AZ38" s="263" t="e">
        <f t="shared" si="35"/>
        <v>#REF!</v>
      </c>
      <c r="BA38" s="263" t="e">
        <f t="shared" si="36"/>
        <v>#REF!</v>
      </c>
      <c r="BB38" s="263" t="e">
        <f t="shared" si="37"/>
        <v>#REF!</v>
      </c>
      <c r="BC38" s="263" t="e">
        <f t="shared" si="38"/>
        <v>#REF!</v>
      </c>
      <c r="BD38" s="263" t="e">
        <f t="shared" si="39"/>
        <v>#REF!</v>
      </c>
      <c r="BE38" s="263" t="e">
        <f>BC38+AV38+#REF!+AH38+AA38</f>
        <v>#REF!</v>
      </c>
      <c r="BF38" s="263" t="e">
        <f t="shared" si="40"/>
        <v>#REF!</v>
      </c>
      <c r="BG38" s="263" t="e">
        <f t="shared" si="41"/>
        <v>#REF!</v>
      </c>
    </row>
    <row r="39" spans="1:59" ht="15.75">
      <c r="A39" s="338">
        <v>2</v>
      </c>
      <c r="B39" s="338" t="s">
        <v>1</v>
      </c>
      <c r="C39" s="258">
        <v>70</v>
      </c>
      <c r="D39" s="328" t="s">
        <v>71</v>
      </c>
      <c r="E39" s="258" t="s">
        <v>9</v>
      </c>
      <c r="F39" s="431">
        <f t="array" ref="F39">MAX((IF(MNU_CODIGO_ALIMENTO_ENTREGA=CONCATENATE($C39,"_","P_"),MNU_GRAMAJE_REQUERIDO_TIPOA,"")))</f>
        <v>0</v>
      </c>
      <c r="G39" s="259">
        <f t="shared" si="0"/>
        <v>0</v>
      </c>
      <c r="H39" s="259">
        <f t="shared" si="1"/>
        <v>0</v>
      </c>
      <c r="I39" s="259">
        <f t="shared" si="2"/>
        <v>0</v>
      </c>
      <c r="J39" s="260">
        <f t="shared" si="3"/>
        <v>0</v>
      </c>
      <c r="K39" s="260">
        <f t="shared" si="4"/>
        <v>0</v>
      </c>
      <c r="L39" s="260">
        <f t="shared" si="5"/>
        <v>0</v>
      </c>
      <c r="M39" s="432">
        <f t="array" ref="M39">MAX((IF(MNU_CODIGO_ALIMENTO_ENTREGA=CONCATENATE($C39,"_","P_"),MNU_GRAMAJE_REQUERIDO_TIPOB,"")))</f>
        <v>100</v>
      </c>
      <c r="N39" s="348">
        <f t="shared" si="6"/>
        <v>79910</v>
      </c>
      <c r="O39" s="348">
        <f t="shared" si="7"/>
        <v>5512</v>
      </c>
      <c r="P39" s="348">
        <f t="shared" si="8"/>
        <v>85422</v>
      </c>
      <c r="Q39" s="349">
        <f t="shared" si="9"/>
        <v>36438960</v>
      </c>
      <c r="R39" s="349">
        <f t="shared" si="10"/>
        <v>2513472</v>
      </c>
      <c r="S39" s="349">
        <f t="shared" si="11"/>
        <v>38952432</v>
      </c>
      <c r="T39" s="353">
        <f t="array" ref="T39">MAX((IF(MNU_CODIGO_ALIMENTO_ENTREGA=CONCATENATE($C39,"_","P_"),MNU_GRAMAJE_REQUERIDO_TIPOC,"")))</f>
        <v>100</v>
      </c>
      <c r="U39" s="259">
        <f t="shared" si="12"/>
        <v>81000</v>
      </c>
      <c r="V39" s="259">
        <f t="shared" si="13"/>
        <v>13488</v>
      </c>
      <c r="W39" s="259">
        <f t="shared" si="14"/>
        <v>94488</v>
      </c>
      <c r="X39" s="260">
        <f t="shared" si="15"/>
        <v>36936000</v>
      </c>
      <c r="Y39" s="260">
        <f t="shared" si="16"/>
        <v>6150528</v>
      </c>
      <c r="Z39" s="260">
        <f t="shared" si="17"/>
        <v>43086528</v>
      </c>
      <c r="AA39" s="258">
        <f t="array" ref="AA39">MAX((IF(MNU_CODIGO_ALIMENTO_ENTREGA=CONCATENATE($C39,"_","P_"),MNU_GRAMAJE_REQUERIDO_TIPOM,"")))</f>
        <v>100</v>
      </c>
      <c r="AB39" s="261">
        <f t="shared" si="18"/>
        <v>3500</v>
      </c>
      <c r="AC39" s="261">
        <v>0</v>
      </c>
      <c r="AD39" s="261">
        <f t="shared" si="19"/>
        <v>3500</v>
      </c>
      <c r="AE39" s="262">
        <f t="shared" si="20"/>
        <v>1596000</v>
      </c>
      <c r="AF39" s="262">
        <v>0</v>
      </c>
      <c r="AG39" s="262">
        <f t="shared" si="21"/>
        <v>1596000</v>
      </c>
      <c r="AH39" s="353">
        <f t="array" ref="AH39">MAX((IF(MNU_CODIGO_ALIMENTO_ENTREGA=CONCATENATE($C39,"_","P_"),MNU_GRAMAJE_REQUERIDO_TIPOH,"")))</f>
        <v>100</v>
      </c>
      <c r="AI39" s="259">
        <f t="shared" si="22"/>
        <v>2910</v>
      </c>
      <c r="AJ39" s="259">
        <v>0</v>
      </c>
      <c r="AK39" s="259">
        <f t="shared" si="23"/>
        <v>2910</v>
      </c>
      <c r="AL39" s="260">
        <f t="shared" si="24"/>
        <v>1326960</v>
      </c>
      <c r="AM39" s="260">
        <v>0</v>
      </c>
      <c r="AN39" s="260">
        <f t="shared" si="25"/>
        <v>1326960</v>
      </c>
      <c r="AO39" s="457">
        <f t="shared" si="26"/>
        <v>186320</v>
      </c>
      <c r="AP39" s="456">
        <f t="shared" si="27"/>
        <v>84961920</v>
      </c>
      <c r="AQ39" s="263" t="e">
        <f>#REF!+AH39+AA39+T39+M39</f>
        <v>#REF!</v>
      </c>
      <c r="AR39" s="263">
        <f t="shared" si="28"/>
        <v>85129240</v>
      </c>
      <c r="AS39" s="263" t="e">
        <f t="shared" si="29"/>
        <v>#REF!</v>
      </c>
      <c r="AT39" s="263">
        <f t="shared" si="30"/>
        <v>85315560</v>
      </c>
      <c r="AU39" s="263" t="e">
        <f t="shared" si="31"/>
        <v>#REF!</v>
      </c>
      <c r="AV39" s="263">
        <f t="shared" si="32"/>
        <v>93979560</v>
      </c>
      <c r="AW39" s="263" t="e">
        <f t="shared" si="33"/>
        <v>#REF!</v>
      </c>
      <c r="AX39" s="263" t="e">
        <f>AV39+#REF!+AH39+AA39+T39</f>
        <v>#REF!</v>
      </c>
      <c r="AY39" s="263" t="e">
        <f t="shared" si="34"/>
        <v>#REF!</v>
      </c>
      <c r="AZ39" s="263" t="e">
        <f t="shared" si="35"/>
        <v>#REF!</v>
      </c>
      <c r="BA39" s="263" t="e">
        <f t="shared" si="36"/>
        <v>#REF!</v>
      </c>
      <c r="BB39" s="263" t="e">
        <f t="shared" si="37"/>
        <v>#REF!</v>
      </c>
      <c r="BC39" s="263" t="e">
        <f t="shared" si="38"/>
        <v>#REF!</v>
      </c>
      <c r="BD39" s="263" t="e">
        <f t="shared" si="39"/>
        <v>#REF!</v>
      </c>
      <c r="BE39" s="263" t="e">
        <f>BC39+AV39+#REF!+AH39+AA39</f>
        <v>#REF!</v>
      </c>
      <c r="BF39" s="263" t="e">
        <f t="shared" si="40"/>
        <v>#REF!</v>
      </c>
      <c r="BG39" s="263" t="e">
        <f t="shared" si="41"/>
        <v>#REF!</v>
      </c>
    </row>
    <row r="40" spans="1:59" ht="15.75">
      <c r="A40" s="338">
        <v>3</v>
      </c>
      <c r="B40" s="338" t="s">
        <v>1</v>
      </c>
      <c r="C40" s="258">
        <v>7</v>
      </c>
      <c r="D40" s="328" t="s">
        <v>57</v>
      </c>
      <c r="E40" s="258" t="s">
        <v>9</v>
      </c>
      <c r="F40" s="431">
        <f t="array" ref="F40">MAX((IF(MNU_CODIGO_ALIMENTO_ENTREGA=CONCATENATE($C40,"_","P_"),MNU_GRAMAJE_REQUERIDO_TIPOA,"")))</f>
        <v>100</v>
      </c>
      <c r="G40" s="259">
        <f t="shared" si="0"/>
        <v>134178</v>
      </c>
      <c r="H40" s="259">
        <f t="shared" si="1"/>
        <v>13392</v>
      </c>
      <c r="I40" s="259">
        <f t="shared" si="2"/>
        <v>147570</v>
      </c>
      <c r="J40" s="260">
        <f t="shared" si="3"/>
        <v>15027936</v>
      </c>
      <c r="K40" s="260">
        <f t="shared" si="4"/>
        <v>1499904</v>
      </c>
      <c r="L40" s="260">
        <f t="shared" si="5"/>
        <v>16527840</v>
      </c>
      <c r="M40" s="432">
        <f t="array" ref="M40">MAX((IF(MNU_CODIGO_ALIMENTO_ENTREGA=CONCATENATE($C40,"_","P_"),MNU_GRAMAJE_REQUERIDO_TIPOB,"")))</f>
        <v>100</v>
      </c>
      <c r="N40" s="348">
        <f t="shared" si="6"/>
        <v>65655</v>
      </c>
      <c r="O40" s="348">
        <f t="shared" si="7"/>
        <v>4466</v>
      </c>
      <c r="P40" s="348">
        <f t="shared" si="8"/>
        <v>70121</v>
      </c>
      <c r="Q40" s="349">
        <f t="shared" si="9"/>
        <v>7353360</v>
      </c>
      <c r="R40" s="349">
        <f t="shared" si="10"/>
        <v>500192</v>
      </c>
      <c r="S40" s="349">
        <f t="shared" si="11"/>
        <v>7853552</v>
      </c>
      <c r="T40" s="353">
        <f t="array" ref="T40">MAX((IF(MNU_CODIGO_ALIMENTO_ENTREGA=CONCATENATE($C40,"_","P_"),MNU_GRAMAJE_REQUERIDO_TIPOC,"")))</f>
        <v>100</v>
      </c>
      <c r="U40" s="259">
        <f t="shared" si="12"/>
        <v>68490</v>
      </c>
      <c r="V40" s="259">
        <f t="shared" si="13"/>
        <v>11143</v>
      </c>
      <c r="W40" s="259">
        <f t="shared" si="14"/>
        <v>79633</v>
      </c>
      <c r="X40" s="260">
        <f t="shared" si="15"/>
        <v>7670880</v>
      </c>
      <c r="Y40" s="260">
        <f t="shared" si="16"/>
        <v>1248016</v>
      </c>
      <c r="Z40" s="260">
        <f t="shared" si="17"/>
        <v>8918896</v>
      </c>
      <c r="AA40" s="258">
        <f t="array" ref="AA40">MAX((IF(MNU_CODIGO_ALIMENTO_ENTREGA=CONCATENATE($C40,"_","P_"),MNU_GRAMAJE_REQUERIDO_TIPOM,"")))</f>
        <v>100</v>
      </c>
      <c r="AB40" s="261">
        <f t="shared" si="18"/>
        <v>2187</v>
      </c>
      <c r="AC40" s="261">
        <v>0</v>
      </c>
      <c r="AD40" s="261">
        <f t="shared" si="19"/>
        <v>2187</v>
      </c>
      <c r="AE40" s="262">
        <f t="shared" si="20"/>
        <v>244944</v>
      </c>
      <c r="AF40" s="262">
        <v>0</v>
      </c>
      <c r="AG40" s="262">
        <f t="shared" si="21"/>
        <v>244944</v>
      </c>
      <c r="AH40" s="353">
        <f t="array" ref="AH40">MAX((IF(MNU_CODIGO_ALIMENTO_ENTREGA=CONCATENATE($C40,"_","P_"),MNU_GRAMAJE_REQUERIDO_TIPOH,"")))</f>
        <v>100</v>
      </c>
      <c r="AI40" s="259">
        <f t="shared" si="22"/>
        <v>1980</v>
      </c>
      <c r="AJ40" s="259">
        <v>0</v>
      </c>
      <c r="AK40" s="259">
        <f t="shared" si="23"/>
        <v>1980</v>
      </c>
      <c r="AL40" s="260">
        <f t="shared" si="24"/>
        <v>221760</v>
      </c>
      <c r="AM40" s="260">
        <v>0</v>
      </c>
      <c r="AN40" s="260">
        <f t="shared" si="25"/>
        <v>221760</v>
      </c>
      <c r="AO40" s="457">
        <f t="shared" si="26"/>
        <v>301491</v>
      </c>
      <c r="AP40" s="456">
        <f t="shared" si="27"/>
        <v>33766992</v>
      </c>
      <c r="AQ40" s="263" t="e">
        <f>#REF!+AH40+AA40+T40+M40</f>
        <v>#REF!</v>
      </c>
      <c r="AR40" s="263">
        <f t="shared" si="28"/>
        <v>33905304</v>
      </c>
      <c r="AS40" s="263" t="e">
        <f t="shared" si="29"/>
        <v>#REF!</v>
      </c>
      <c r="AT40" s="263">
        <f t="shared" si="30"/>
        <v>34059225</v>
      </c>
      <c r="AU40" s="263" t="e">
        <f t="shared" si="31"/>
        <v>#REF!</v>
      </c>
      <c r="AV40" s="263">
        <f t="shared" si="32"/>
        <v>35807433</v>
      </c>
      <c r="AW40" s="263" t="e">
        <f t="shared" si="33"/>
        <v>#REF!</v>
      </c>
      <c r="AX40" s="263" t="e">
        <f>AV40+#REF!+AH40+AA40+T40</f>
        <v>#REF!</v>
      </c>
      <c r="AY40" s="263" t="e">
        <f t="shared" si="34"/>
        <v>#REF!</v>
      </c>
      <c r="AZ40" s="263" t="e">
        <f t="shared" si="35"/>
        <v>#REF!</v>
      </c>
      <c r="BA40" s="263" t="e">
        <f t="shared" si="36"/>
        <v>#REF!</v>
      </c>
      <c r="BB40" s="263" t="e">
        <f t="shared" si="37"/>
        <v>#REF!</v>
      </c>
      <c r="BC40" s="263" t="e">
        <f t="shared" si="38"/>
        <v>#REF!</v>
      </c>
      <c r="BD40" s="263" t="e">
        <f t="shared" si="39"/>
        <v>#REF!</v>
      </c>
      <c r="BE40" s="263" t="e">
        <f>BC40+AV40+#REF!+AH40+AA40</f>
        <v>#REF!</v>
      </c>
      <c r="BF40" s="263" t="e">
        <f t="shared" si="40"/>
        <v>#REF!</v>
      </c>
      <c r="BG40" s="263" t="e">
        <f t="shared" si="41"/>
        <v>#REF!</v>
      </c>
    </row>
    <row r="41" spans="1:59" ht="15.75">
      <c r="A41" s="338">
        <v>3</v>
      </c>
      <c r="B41" s="338" t="s">
        <v>1</v>
      </c>
      <c r="C41" s="258">
        <v>8</v>
      </c>
      <c r="D41" s="328" t="s">
        <v>55</v>
      </c>
      <c r="E41" s="258" t="s">
        <v>9</v>
      </c>
      <c r="F41" s="431">
        <f t="array" ref="F41">MAX((IF(MNU_CODIGO_ALIMENTO_ENTREGA=CONCATENATE($C41,"_","P_"),MNU_GRAMAJE_REQUERIDO_TIPOA,"")))</f>
        <v>100</v>
      </c>
      <c r="G41" s="259">
        <f t="shared" si="0"/>
        <v>60990</v>
      </c>
      <c r="H41" s="259">
        <f t="shared" si="1"/>
        <v>4752</v>
      </c>
      <c r="I41" s="259">
        <f t="shared" si="2"/>
        <v>65742</v>
      </c>
      <c r="J41" s="260">
        <f t="shared" si="3"/>
        <v>8599590</v>
      </c>
      <c r="K41" s="260">
        <f t="shared" si="4"/>
        <v>670032</v>
      </c>
      <c r="L41" s="260">
        <f t="shared" si="5"/>
        <v>9269622</v>
      </c>
      <c r="M41" s="432">
        <f t="array" ref="M41">MAX((IF(MNU_CODIGO_ALIMENTO_ENTREGA=CONCATENATE($C41,"_","P_"),MNU_GRAMAJE_REQUERIDO_TIPOB,"")))</f>
        <v>100</v>
      </c>
      <c r="N41" s="348">
        <f t="shared" si="6"/>
        <v>58360</v>
      </c>
      <c r="O41" s="348">
        <f t="shared" si="7"/>
        <v>4466</v>
      </c>
      <c r="P41" s="348">
        <f t="shared" si="8"/>
        <v>62826</v>
      </c>
      <c r="Q41" s="349">
        <f t="shared" si="9"/>
        <v>8228760</v>
      </c>
      <c r="R41" s="349">
        <f t="shared" si="10"/>
        <v>629706</v>
      </c>
      <c r="S41" s="349">
        <f t="shared" si="11"/>
        <v>8858466</v>
      </c>
      <c r="T41" s="353">
        <f t="array" ref="T41">MAX((IF(MNU_CODIGO_ALIMENTO_ENTREGA=CONCATENATE($C41,"_","P_"),MNU_GRAMAJE_REQUERIDO_TIPOC,"")))</f>
        <v>100</v>
      </c>
      <c r="U41" s="259">
        <f t="shared" si="12"/>
        <v>60880</v>
      </c>
      <c r="V41" s="259">
        <f t="shared" si="13"/>
        <v>11143</v>
      </c>
      <c r="W41" s="259">
        <f t="shared" si="14"/>
        <v>72023</v>
      </c>
      <c r="X41" s="260">
        <f t="shared" si="15"/>
        <v>8584080</v>
      </c>
      <c r="Y41" s="260">
        <f t="shared" si="16"/>
        <v>1571163</v>
      </c>
      <c r="Z41" s="260">
        <f t="shared" si="17"/>
        <v>10155243</v>
      </c>
      <c r="AA41" s="258">
        <f t="array" ref="AA41">MAX((IF(MNU_CODIGO_ALIMENTO_ENTREGA=CONCATENATE($C41,"_","P_"),MNU_GRAMAJE_REQUERIDO_TIPOM,"")))</f>
        <v>100</v>
      </c>
      <c r="AB41" s="261">
        <f t="shared" si="18"/>
        <v>1944</v>
      </c>
      <c r="AC41" s="261">
        <v>0</v>
      </c>
      <c r="AD41" s="261">
        <f t="shared" si="19"/>
        <v>1944</v>
      </c>
      <c r="AE41" s="262">
        <f t="shared" si="20"/>
        <v>274104</v>
      </c>
      <c r="AF41" s="262">
        <v>0</v>
      </c>
      <c r="AG41" s="262">
        <f t="shared" si="21"/>
        <v>274104</v>
      </c>
      <c r="AH41" s="353">
        <f t="array" ref="AH41">MAX((IF(MNU_CODIGO_ALIMENTO_ENTREGA=CONCATENATE($C41,"_","P_"),MNU_GRAMAJE_REQUERIDO_TIPOH,"")))</f>
        <v>100</v>
      </c>
      <c r="AI41" s="259">
        <f t="shared" si="22"/>
        <v>1760</v>
      </c>
      <c r="AJ41" s="259">
        <v>0</v>
      </c>
      <c r="AK41" s="259">
        <f t="shared" si="23"/>
        <v>1760</v>
      </c>
      <c r="AL41" s="260">
        <f t="shared" si="24"/>
        <v>248160</v>
      </c>
      <c r="AM41" s="260">
        <v>0</v>
      </c>
      <c r="AN41" s="260">
        <f t="shared" si="25"/>
        <v>248160</v>
      </c>
      <c r="AO41" s="457">
        <f t="shared" si="26"/>
        <v>204295</v>
      </c>
      <c r="AP41" s="456">
        <f t="shared" si="27"/>
        <v>28805595</v>
      </c>
      <c r="AQ41" s="263" t="e">
        <f>#REF!+AH41+AA41+T41+M41</f>
        <v>#REF!</v>
      </c>
      <c r="AR41" s="263">
        <f t="shared" ref="AR41:AR104" si="42">AP41+AI41+AB41+U41+N41</f>
        <v>28928539</v>
      </c>
      <c r="AS41" s="263" t="e">
        <f t="shared" ref="AS41:AS104" si="43">AQ41+AJ41+AC41+V41+O41</f>
        <v>#REF!</v>
      </c>
      <c r="AT41" s="263">
        <f t="shared" ref="AT41:AT104" si="44">AR41+AK41+AD41+W41+P41</f>
        <v>29067092</v>
      </c>
      <c r="AU41" s="263" t="e">
        <f t="shared" ref="AU41:AU104" si="45">AS41+AL41+AE41+X41+Q41</f>
        <v>#REF!</v>
      </c>
      <c r="AV41" s="263">
        <f t="shared" ref="AV41:AV104" si="46">AT41+AM41+AF41+Y41+R41</f>
        <v>31267961</v>
      </c>
      <c r="AW41" s="263" t="e">
        <f t="shared" ref="AW41:AW104" si="47">AU41+AN41+AG41+Z41+S41</f>
        <v>#REF!</v>
      </c>
      <c r="AX41" s="263" t="e">
        <f>AV41+#REF!+AH41+AA41+T41</f>
        <v>#REF!</v>
      </c>
      <c r="AY41" s="263" t="e">
        <f t="shared" ref="AY41:AY104" si="48">AW41+AP41+AI41+AB41+U41</f>
        <v>#REF!</v>
      </c>
      <c r="AZ41" s="263" t="e">
        <f t="shared" ref="AZ41:AZ104" si="49">AX41+AQ41+AJ41+AC41+V41</f>
        <v>#REF!</v>
      </c>
      <c r="BA41" s="263" t="e">
        <f t="shared" ref="BA41:BA104" si="50">AY41+AR41+AK41+AD41+W41</f>
        <v>#REF!</v>
      </c>
      <c r="BB41" s="263" t="e">
        <f t="shared" ref="BB41:BB104" si="51">AZ41+AS41+AL41+AE41+X41</f>
        <v>#REF!</v>
      </c>
      <c r="BC41" s="263" t="e">
        <f t="shared" ref="BC41:BC104" si="52">BA41+AT41+AM41+AF41+Y41</f>
        <v>#REF!</v>
      </c>
      <c r="BD41" s="263" t="e">
        <f t="shared" ref="BD41:BD104" si="53">BB41+AU41+AN41+AG41+Z41</f>
        <v>#REF!</v>
      </c>
      <c r="BE41" s="263" t="e">
        <f>BC41+AV41+#REF!+AH41+AA41</f>
        <v>#REF!</v>
      </c>
      <c r="BF41" s="263" t="e">
        <f t="shared" ref="BF41:BF104" si="54">BD41+AW41+AP41+AI41+AB41</f>
        <v>#REF!</v>
      </c>
      <c r="BG41" s="263" t="e">
        <f t="shared" ref="BG41:BG104" si="55">BE41+AX41+AQ41+AJ41+AC41</f>
        <v>#REF!</v>
      </c>
    </row>
    <row r="42" spans="1:59" ht="15.75">
      <c r="A42" s="338">
        <v>3</v>
      </c>
      <c r="B42" s="338" t="s">
        <v>1</v>
      </c>
      <c r="C42" s="258">
        <v>17</v>
      </c>
      <c r="D42" s="328" t="s">
        <v>53</v>
      </c>
      <c r="E42" s="258" t="s">
        <v>9</v>
      </c>
      <c r="F42" s="431">
        <f t="array" ref="F42">MAX((IF(MNU_CODIGO_ALIMENTO_ENTREGA=CONCATENATE($C42,"_","P_"),MNU_GRAMAJE_REQUERIDO_TIPOA,"")))</f>
        <v>0</v>
      </c>
      <c r="G42" s="259">
        <f t="shared" si="0"/>
        <v>0</v>
      </c>
      <c r="H42" s="259">
        <f t="shared" si="1"/>
        <v>0</v>
      </c>
      <c r="I42" s="259">
        <f t="shared" si="2"/>
        <v>0</v>
      </c>
      <c r="J42" s="260">
        <f t="shared" si="3"/>
        <v>0</v>
      </c>
      <c r="K42" s="260">
        <f t="shared" si="4"/>
        <v>0</v>
      </c>
      <c r="L42" s="260">
        <f t="shared" si="5"/>
        <v>0</v>
      </c>
      <c r="M42" s="432">
        <f t="array" ref="M42">MAX((IF(MNU_CODIGO_ALIMENTO_ENTREGA=CONCATENATE($C42,"_","P_"),MNU_GRAMAJE_REQUERIDO_TIPOB,"")))</f>
        <v>100</v>
      </c>
      <c r="N42" s="348">
        <f t="shared" si="6"/>
        <v>153195</v>
      </c>
      <c r="O42" s="348">
        <f t="shared" si="7"/>
        <v>9338</v>
      </c>
      <c r="P42" s="348">
        <f t="shared" si="8"/>
        <v>162533</v>
      </c>
      <c r="Q42" s="349">
        <f t="shared" si="9"/>
        <v>36307215</v>
      </c>
      <c r="R42" s="349">
        <f t="shared" si="10"/>
        <v>2213106</v>
      </c>
      <c r="S42" s="349">
        <f t="shared" si="11"/>
        <v>38520321</v>
      </c>
      <c r="T42" s="353">
        <f t="array" ref="T42">MAX((IF(MNU_CODIGO_ALIMENTO_ENTREGA=CONCATENATE($C42,"_","P_"),MNU_GRAMAJE_REQUERIDO_TIPOC,"")))</f>
        <v>100</v>
      </c>
      <c r="U42" s="259">
        <f t="shared" si="12"/>
        <v>159810</v>
      </c>
      <c r="V42" s="259">
        <f t="shared" si="13"/>
        <v>23299</v>
      </c>
      <c r="W42" s="259">
        <f t="shared" si="14"/>
        <v>183109</v>
      </c>
      <c r="X42" s="260">
        <f t="shared" si="15"/>
        <v>37874970</v>
      </c>
      <c r="Y42" s="260">
        <f t="shared" si="16"/>
        <v>5521863</v>
      </c>
      <c r="Z42" s="260">
        <f t="shared" si="17"/>
        <v>43396833</v>
      </c>
      <c r="AA42" s="258">
        <f t="array" ref="AA42">MAX((IF(MNU_CODIGO_ALIMENTO_ENTREGA=CONCATENATE($C42,"_","P_"),MNU_GRAMAJE_REQUERIDO_TIPOM,"")))</f>
        <v>100</v>
      </c>
      <c r="AB42" s="261">
        <f t="shared" si="18"/>
        <v>5103</v>
      </c>
      <c r="AC42" s="261">
        <v>0</v>
      </c>
      <c r="AD42" s="261">
        <f t="shared" si="19"/>
        <v>5103</v>
      </c>
      <c r="AE42" s="262">
        <f t="shared" si="20"/>
        <v>1209411</v>
      </c>
      <c r="AF42" s="262">
        <v>0</v>
      </c>
      <c r="AG42" s="262">
        <f t="shared" si="21"/>
        <v>1209411</v>
      </c>
      <c r="AH42" s="353">
        <f t="array" ref="AH42">MAX((IF(MNU_CODIGO_ALIMENTO_ENTREGA=CONCATENATE($C42,"_","P_"),MNU_GRAMAJE_REQUERIDO_TIPOH,"")))</f>
        <v>100</v>
      </c>
      <c r="AI42" s="259">
        <f t="shared" si="22"/>
        <v>4620</v>
      </c>
      <c r="AJ42" s="259">
        <v>0</v>
      </c>
      <c r="AK42" s="259">
        <f t="shared" si="23"/>
        <v>4620</v>
      </c>
      <c r="AL42" s="260">
        <f t="shared" si="24"/>
        <v>1094940</v>
      </c>
      <c r="AM42" s="260">
        <v>0</v>
      </c>
      <c r="AN42" s="260">
        <f t="shared" si="25"/>
        <v>1094940</v>
      </c>
      <c r="AO42" s="457">
        <f t="shared" si="26"/>
        <v>355365</v>
      </c>
      <c r="AP42" s="456">
        <f t="shared" si="27"/>
        <v>84221505</v>
      </c>
      <c r="AQ42" s="263" t="e">
        <f>#REF!+AH42+AA42+T42+M42</f>
        <v>#REF!</v>
      </c>
      <c r="AR42" s="263">
        <f t="shared" si="42"/>
        <v>84544233</v>
      </c>
      <c r="AS42" s="263" t="e">
        <f t="shared" si="43"/>
        <v>#REF!</v>
      </c>
      <c r="AT42" s="263">
        <f t="shared" si="44"/>
        <v>84899598</v>
      </c>
      <c r="AU42" s="263" t="e">
        <f t="shared" si="45"/>
        <v>#REF!</v>
      </c>
      <c r="AV42" s="263">
        <f t="shared" si="46"/>
        <v>92634567</v>
      </c>
      <c r="AW42" s="263" t="e">
        <f t="shared" si="47"/>
        <v>#REF!</v>
      </c>
      <c r="AX42" s="263" t="e">
        <f>AV42+#REF!+AH42+AA42+T42</f>
        <v>#REF!</v>
      </c>
      <c r="AY42" s="263" t="e">
        <f t="shared" si="48"/>
        <v>#REF!</v>
      </c>
      <c r="AZ42" s="263" t="e">
        <f t="shared" si="49"/>
        <v>#REF!</v>
      </c>
      <c r="BA42" s="263" t="e">
        <f t="shared" si="50"/>
        <v>#REF!</v>
      </c>
      <c r="BB42" s="263" t="e">
        <f t="shared" si="51"/>
        <v>#REF!</v>
      </c>
      <c r="BC42" s="263" t="e">
        <f t="shared" si="52"/>
        <v>#REF!</v>
      </c>
      <c r="BD42" s="263" t="e">
        <f t="shared" si="53"/>
        <v>#REF!</v>
      </c>
      <c r="BE42" s="263" t="e">
        <f>BC42+AV42+#REF!+AH42+AA42</f>
        <v>#REF!</v>
      </c>
      <c r="BF42" s="263" t="e">
        <f t="shared" si="54"/>
        <v>#REF!</v>
      </c>
      <c r="BG42" s="263" t="e">
        <f t="shared" si="55"/>
        <v>#REF!</v>
      </c>
    </row>
    <row r="43" spans="1:59" ht="15.75">
      <c r="A43" s="338">
        <v>3</v>
      </c>
      <c r="B43" s="338" t="s">
        <v>1</v>
      </c>
      <c r="C43" s="258">
        <v>22</v>
      </c>
      <c r="D43" s="328" t="s">
        <v>51</v>
      </c>
      <c r="E43" s="258" t="s">
        <v>9</v>
      </c>
      <c r="F43" s="431">
        <f t="array" ref="F43">MAX((IF(MNU_CODIGO_ALIMENTO_ENTREGA=CONCATENATE($C43,"_","P_"),MNU_GRAMAJE_REQUERIDO_TIPOA,"")))</f>
        <v>0</v>
      </c>
      <c r="G43" s="259">
        <f t="shared" si="0"/>
        <v>0</v>
      </c>
      <c r="H43" s="259">
        <f t="shared" si="1"/>
        <v>0</v>
      </c>
      <c r="I43" s="259">
        <f t="shared" si="2"/>
        <v>0</v>
      </c>
      <c r="J43" s="260">
        <f t="shared" si="3"/>
        <v>0</v>
      </c>
      <c r="K43" s="260">
        <f t="shared" si="4"/>
        <v>0</v>
      </c>
      <c r="L43" s="260">
        <f t="shared" si="5"/>
        <v>0</v>
      </c>
      <c r="M43" s="432">
        <f t="array" ref="M43">MAX((IF(MNU_CODIGO_ALIMENTO_ENTREGA=CONCATENATE($C43,"_","P_"),MNU_GRAMAJE_REQUERIDO_TIPOB,"")))</f>
        <v>100</v>
      </c>
      <c r="N43" s="348">
        <f t="shared" si="6"/>
        <v>145900</v>
      </c>
      <c r="O43" s="348">
        <f t="shared" si="7"/>
        <v>9338</v>
      </c>
      <c r="P43" s="348">
        <f t="shared" si="8"/>
        <v>155238</v>
      </c>
      <c r="Q43" s="349">
        <f t="shared" si="9"/>
        <v>80390900</v>
      </c>
      <c r="R43" s="349">
        <f t="shared" si="10"/>
        <v>5145238</v>
      </c>
      <c r="S43" s="349">
        <f t="shared" si="11"/>
        <v>85536138</v>
      </c>
      <c r="T43" s="353">
        <f t="array" ref="T43">MAX((IF(MNU_CODIGO_ALIMENTO_ENTREGA=CONCATENATE($C43,"_","P_"),MNU_GRAMAJE_REQUERIDO_TIPOC,"")))</f>
        <v>100</v>
      </c>
      <c r="U43" s="259">
        <f t="shared" si="12"/>
        <v>152200</v>
      </c>
      <c r="V43" s="259">
        <f t="shared" si="13"/>
        <v>23299</v>
      </c>
      <c r="W43" s="259">
        <f t="shared" si="14"/>
        <v>175499</v>
      </c>
      <c r="X43" s="260">
        <f t="shared" si="15"/>
        <v>83862200</v>
      </c>
      <c r="Y43" s="260">
        <f t="shared" si="16"/>
        <v>12837749</v>
      </c>
      <c r="Z43" s="260">
        <f t="shared" si="17"/>
        <v>96699949</v>
      </c>
      <c r="AA43" s="258">
        <f t="array" ref="AA43">MAX((IF(MNU_CODIGO_ALIMENTO_ENTREGA=CONCATENATE($C43,"_","P_"),MNU_GRAMAJE_REQUERIDO_TIPOM,"")))</f>
        <v>100</v>
      </c>
      <c r="AB43" s="261">
        <f t="shared" si="18"/>
        <v>4860</v>
      </c>
      <c r="AC43" s="261">
        <v>0</v>
      </c>
      <c r="AD43" s="261">
        <f t="shared" si="19"/>
        <v>4860</v>
      </c>
      <c r="AE43" s="262">
        <f t="shared" si="20"/>
        <v>2677860</v>
      </c>
      <c r="AF43" s="262">
        <v>0</v>
      </c>
      <c r="AG43" s="262">
        <f t="shared" si="21"/>
        <v>2677860</v>
      </c>
      <c r="AH43" s="353">
        <f t="array" ref="AH43">MAX((IF(MNU_CODIGO_ALIMENTO_ENTREGA=CONCATENATE($C43,"_","P_"),MNU_GRAMAJE_REQUERIDO_TIPOH,"")))</f>
        <v>100</v>
      </c>
      <c r="AI43" s="259">
        <f t="shared" si="22"/>
        <v>4400</v>
      </c>
      <c r="AJ43" s="259">
        <v>0</v>
      </c>
      <c r="AK43" s="259">
        <f t="shared" si="23"/>
        <v>4400</v>
      </c>
      <c r="AL43" s="260">
        <f t="shared" si="24"/>
        <v>2424400</v>
      </c>
      <c r="AM43" s="260">
        <v>0</v>
      </c>
      <c r="AN43" s="260">
        <f t="shared" si="25"/>
        <v>2424400</v>
      </c>
      <c r="AO43" s="457">
        <f t="shared" si="26"/>
        <v>339997</v>
      </c>
      <c r="AP43" s="456">
        <f t="shared" si="27"/>
        <v>187338347</v>
      </c>
      <c r="AQ43" s="263" t="e">
        <f>#REF!+AH43+AA43+T43+M43</f>
        <v>#REF!</v>
      </c>
      <c r="AR43" s="263">
        <f t="shared" si="42"/>
        <v>187645707</v>
      </c>
      <c r="AS43" s="263" t="e">
        <f t="shared" si="43"/>
        <v>#REF!</v>
      </c>
      <c r="AT43" s="263">
        <f t="shared" si="44"/>
        <v>187985704</v>
      </c>
      <c r="AU43" s="263" t="e">
        <f t="shared" si="45"/>
        <v>#REF!</v>
      </c>
      <c r="AV43" s="263">
        <f t="shared" si="46"/>
        <v>205968691</v>
      </c>
      <c r="AW43" s="263" t="e">
        <f t="shared" si="47"/>
        <v>#REF!</v>
      </c>
      <c r="AX43" s="263" t="e">
        <f>AV43+#REF!+AH43+AA43+T43</f>
        <v>#REF!</v>
      </c>
      <c r="AY43" s="263" t="e">
        <f t="shared" si="48"/>
        <v>#REF!</v>
      </c>
      <c r="AZ43" s="263" t="e">
        <f t="shared" si="49"/>
        <v>#REF!</v>
      </c>
      <c r="BA43" s="263" t="e">
        <f t="shared" si="50"/>
        <v>#REF!</v>
      </c>
      <c r="BB43" s="263" t="e">
        <f t="shared" si="51"/>
        <v>#REF!</v>
      </c>
      <c r="BC43" s="263" t="e">
        <f t="shared" si="52"/>
        <v>#REF!</v>
      </c>
      <c r="BD43" s="263" t="e">
        <f t="shared" si="53"/>
        <v>#REF!</v>
      </c>
      <c r="BE43" s="263" t="e">
        <f>BC43+AV43+#REF!+AH43+AA43</f>
        <v>#REF!</v>
      </c>
      <c r="BF43" s="263" t="e">
        <f t="shared" si="54"/>
        <v>#REF!</v>
      </c>
      <c r="BG43" s="263" t="e">
        <f t="shared" si="55"/>
        <v>#REF!</v>
      </c>
    </row>
    <row r="44" spans="1:59" ht="15.75">
      <c r="A44" s="338">
        <v>3</v>
      </c>
      <c r="B44" s="338" t="s">
        <v>1</v>
      </c>
      <c r="C44" s="258">
        <v>33</v>
      </c>
      <c r="D44" s="328" t="s">
        <v>59</v>
      </c>
      <c r="E44" s="258" t="s">
        <v>48</v>
      </c>
      <c r="F44" s="431">
        <v>1</v>
      </c>
      <c r="G44" s="259">
        <f t="shared" ref="G44:G107" si="56">SUMIF(COSTPE_G_ALIMENTO_GRUPO,CONCATENATE($C44,"_",$A44),COSTPE_G_VOLUMEN_TOTAL_TIPOA)</f>
        <v>164673</v>
      </c>
      <c r="H44" s="259">
        <f t="shared" ref="H44:H107" si="57">SUMIF(COSTSE_G_ALIMENTO_GRUPO,CONCATENATE($C44,"_",$A44),COSTSE_G_VOLUMEN_TOTAL_TIPOA)</f>
        <v>12528</v>
      </c>
      <c r="I44" s="259">
        <f t="shared" ref="I44:I107" si="58">G44+H44</f>
        <v>177201</v>
      </c>
      <c r="J44" s="260">
        <f t="shared" ref="J44:J107" si="59">SUMIF(COSTPE_G_ALIMENTO_GRUPO,CONCATENATE($C44,"_",$A44),COSTPE_G_VALOR_TOTAL_TIPOA)</f>
        <v>46602459</v>
      </c>
      <c r="K44" s="260">
        <f t="shared" ref="K44:K107" si="60">SUMIF(COSTSE_G_ALIMENTO_GRUPO,CONCATENATE($C44,"_",$A44),COSTSE_G_VALOR_TOTAL_TIPOA)</f>
        <v>3545424</v>
      </c>
      <c r="L44" s="260">
        <f t="shared" ref="L44:L107" si="61">J44+K44</f>
        <v>50147883</v>
      </c>
      <c r="M44" s="432">
        <v>1</v>
      </c>
      <c r="N44" s="348">
        <f t="shared" ref="N44:N107" si="62">SUMIF(COSTPE_G_ALIMENTO_GRUPO,CONCATENATE($C44,"_",$A44),COSTPE_G_VOLUMEN_TOTAL_TIPOB)</f>
        <v>131310</v>
      </c>
      <c r="O44" s="348">
        <f t="shared" ref="O44:O107" si="63">SUMIF(COSTSE_G_ALIMENTO_GRUPO,CONCATENATE($C44,"_",$A44),COSTSE_G_VOLUMEN_TOTAL_TIPOB)</f>
        <v>9338</v>
      </c>
      <c r="P44" s="348">
        <f t="shared" ref="P44:P107" si="64">N44+O44</f>
        <v>140648</v>
      </c>
      <c r="Q44" s="349">
        <f t="shared" ref="Q44:Q107" si="65">SUMIF(COSTPE_G_ALIMENTO_GRUPO,CONCATENATE($C44,"_",$A44),COSTPE_G_VALOR_TOTAL_TIPOB)</f>
        <v>37160730</v>
      </c>
      <c r="R44" s="349">
        <f t="shared" ref="R44:R107" si="66">SUMIF(COSTSE_G_ALIMENTO_GRUPO,CONCATENATE($C44,"_",$A44),COSTSE_G_VALOR_TOTAL_TIPOB)</f>
        <v>2642654</v>
      </c>
      <c r="S44" s="349">
        <f t="shared" ref="S44:S107" si="67">Q44+R44</f>
        <v>39803384</v>
      </c>
      <c r="T44" s="431">
        <v>1</v>
      </c>
      <c r="U44" s="259">
        <f t="shared" ref="U44:U107" si="68">SUMIF(COSTPE_G_ALIMENTO_GRUPO,CONCATENATE($C44,"_",$A44),COSTPE_G_VOLUMEN_TOTAL_TIPOC)</f>
        <v>136980</v>
      </c>
      <c r="V44" s="259">
        <f t="shared" ref="V44:V107" si="69">SUMIF(COSTSE_G_ALIMENTO_GRUPO,CONCATENATE($C44,"_",$A44),COSTSE_G_VOLUMEN_TOTAL_TIPOC)</f>
        <v>23299</v>
      </c>
      <c r="W44" s="259">
        <f t="shared" ref="W44:W107" si="70">U44+V44</f>
        <v>160279</v>
      </c>
      <c r="X44" s="260">
        <f t="shared" ref="X44:X107" si="71">SUMIF(COSTPE_G_ALIMENTO_GRUPO,CONCATENATE($C44,"_",$A44),COSTPE_G_VALOR_TOTAL_TIPOC)</f>
        <v>38765340</v>
      </c>
      <c r="Y44" s="260">
        <f t="shared" ref="Y44:Y107" si="72">SUMIF(COSTSE_G_ALIMENTO_GRUPO,CONCATENATE($C44,"_",$A44),COSTSE_G_VALOR_TOTAL_TIPOC)</f>
        <v>6593617</v>
      </c>
      <c r="Z44" s="260">
        <f t="shared" ref="Z44:Z107" si="73">X44+Y44</f>
        <v>45358957</v>
      </c>
      <c r="AA44" s="258">
        <v>1</v>
      </c>
      <c r="AB44" s="261">
        <f t="shared" ref="AB44:AB107" si="74">SUMIF(COSTPE_G_ALIMENTO_GRUPO,CONCATENATE($C44,"_",$A44),COSTPE_G_VOLUMEN_TOTAL_TIPOM)</f>
        <v>4374</v>
      </c>
      <c r="AC44" s="261">
        <v>0</v>
      </c>
      <c r="AD44" s="261">
        <f t="shared" ref="AD44:AD107" si="75">AB44+AC44</f>
        <v>4374</v>
      </c>
      <c r="AE44" s="262">
        <f t="shared" ref="AE44:AE107" si="76">SUMIF(COSTPE_G_ALIMENTO_GRUPO,CONCATENATE($C44,"_",$A44),COSTPE_G_VALOR_TOTAL_TIPOM)</f>
        <v>1237842</v>
      </c>
      <c r="AF44" s="262">
        <v>0</v>
      </c>
      <c r="AG44" s="262">
        <f t="shared" ref="AG44:AG107" si="77">AE44+AF44</f>
        <v>1237842</v>
      </c>
      <c r="AH44" s="353">
        <v>1</v>
      </c>
      <c r="AI44" s="259">
        <f t="shared" ref="AI44:AI107" si="78">SUMIF(COSTPE_G_ALIMENTO_GRUPO,CONCATENATE($C44,"_",$A44),COSTPE_G_VOLUMEN_TOTAL_TIPOH)</f>
        <v>3960</v>
      </c>
      <c r="AJ44" s="259">
        <v>0</v>
      </c>
      <c r="AK44" s="259">
        <f t="shared" ref="AK44:AK107" si="79">AI44+AJ44</f>
        <v>3960</v>
      </c>
      <c r="AL44" s="260">
        <f t="shared" ref="AL44:AL107" si="80">SUMIF(COSTPE_G_ALIMENTO_GRUPO,CONCATENATE($C44,"_",$A44),COSTPE_G_VALOR_TOTAL_TIPOH)</f>
        <v>1120680</v>
      </c>
      <c r="AM44" s="260">
        <v>0</v>
      </c>
      <c r="AN44" s="260">
        <f t="shared" ref="AN44:AN107" si="81">AL44+AM44</f>
        <v>1120680</v>
      </c>
      <c r="AO44" s="457">
        <f t="shared" ref="AO44:AO107" si="82">AK44+AD44+W44+P44+I44</f>
        <v>486462</v>
      </c>
      <c r="AP44" s="456">
        <f t="shared" ref="AP44:AP107" si="83">AN44+AG44+Z44+S44+L44</f>
        <v>137668746</v>
      </c>
      <c r="AQ44" s="263" t="e">
        <f>#REF!+AH44+AA44+T44+M44</f>
        <v>#REF!</v>
      </c>
      <c r="AR44" s="263">
        <f t="shared" si="42"/>
        <v>137945370</v>
      </c>
      <c r="AS44" s="263" t="e">
        <f t="shared" si="43"/>
        <v>#REF!</v>
      </c>
      <c r="AT44" s="263">
        <f t="shared" si="44"/>
        <v>138254631</v>
      </c>
      <c r="AU44" s="263" t="e">
        <f t="shared" si="45"/>
        <v>#REF!</v>
      </c>
      <c r="AV44" s="263">
        <f t="shared" si="46"/>
        <v>147490902</v>
      </c>
      <c r="AW44" s="263" t="e">
        <f t="shared" si="47"/>
        <v>#REF!</v>
      </c>
      <c r="AX44" s="263" t="e">
        <f>AV44+#REF!+AH44+AA44+T44</f>
        <v>#REF!</v>
      </c>
      <c r="AY44" s="263" t="e">
        <f t="shared" si="48"/>
        <v>#REF!</v>
      </c>
      <c r="AZ44" s="263" t="e">
        <f t="shared" si="49"/>
        <v>#REF!</v>
      </c>
      <c r="BA44" s="263" t="e">
        <f t="shared" si="50"/>
        <v>#REF!</v>
      </c>
      <c r="BB44" s="263" t="e">
        <f t="shared" si="51"/>
        <v>#REF!</v>
      </c>
      <c r="BC44" s="263" t="e">
        <f t="shared" si="52"/>
        <v>#REF!</v>
      </c>
      <c r="BD44" s="263" t="e">
        <f t="shared" si="53"/>
        <v>#REF!</v>
      </c>
      <c r="BE44" s="263" t="e">
        <f>BC44+AV44+#REF!+AH44+AA44</f>
        <v>#REF!</v>
      </c>
      <c r="BF44" s="263" t="e">
        <f t="shared" si="54"/>
        <v>#REF!</v>
      </c>
      <c r="BG44" s="263" t="e">
        <f t="shared" si="55"/>
        <v>#REF!</v>
      </c>
    </row>
    <row r="45" spans="1:59" ht="15.75">
      <c r="A45" s="338">
        <v>3</v>
      </c>
      <c r="B45" s="338" t="s">
        <v>1</v>
      </c>
      <c r="C45" s="258">
        <v>36</v>
      </c>
      <c r="D45" s="328" t="s">
        <v>1340</v>
      </c>
      <c r="E45" s="258" t="s">
        <v>9</v>
      </c>
      <c r="F45" s="431">
        <f t="array" ref="F45">MAX((IF(MNU_CODIGO_ALIMENTO_ENTREGA=CONCATENATE($C45,"_","P_"),MNU_GRAMAJE_REQUERIDO_TIPOA,"")))</f>
        <v>20</v>
      </c>
      <c r="G45" s="259">
        <f t="shared" si="56"/>
        <v>42693</v>
      </c>
      <c r="H45" s="259">
        <f t="shared" si="57"/>
        <v>3456</v>
      </c>
      <c r="I45" s="259">
        <f t="shared" si="58"/>
        <v>46149</v>
      </c>
      <c r="J45" s="260">
        <f t="shared" si="59"/>
        <v>5635476</v>
      </c>
      <c r="K45" s="260">
        <f t="shared" si="60"/>
        <v>456192</v>
      </c>
      <c r="L45" s="260">
        <f t="shared" si="61"/>
        <v>6091668</v>
      </c>
      <c r="M45" s="432">
        <f t="array" ref="M45">MAX((IF(MNU_CODIGO_ALIMENTO_ENTREGA=CONCATENATE($C45,"_","P_"),MNU_GRAMAJE_REQUERIDO_TIPOB,"")))</f>
        <v>40</v>
      </c>
      <c r="N45" s="348">
        <f t="shared" si="62"/>
        <v>51065</v>
      </c>
      <c r="O45" s="348">
        <f t="shared" si="63"/>
        <v>3248</v>
      </c>
      <c r="P45" s="348">
        <f t="shared" si="64"/>
        <v>54313</v>
      </c>
      <c r="Q45" s="349">
        <f t="shared" si="65"/>
        <v>13532225</v>
      </c>
      <c r="R45" s="349">
        <f t="shared" si="66"/>
        <v>860720</v>
      </c>
      <c r="S45" s="349">
        <f t="shared" si="67"/>
        <v>14392945</v>
      </c>
      <c r="T45" s="353">
        <f t="array" ref="T45">MAX((IF(MNU_CODIGO_ALIMENTO_ENTREGA=CONCATENATE($C45,"_","P_"),MNU_GRAMAJE_REQUERIDO_TIPOC,"")))</f>
        <v>40</v>
      </c>
      <c r="U45" s="259">
        <f t="shared" si="68"/>
        <v>53270</v>
      </c>
      <c r="V45" s="259">
        <f t="shared" si="69"/>
        <v>8104</v>
      </c>
      <c r="W45" s="259">
        <f t="shared" si="70"/>
        <v>61374</v>
      </c>
      <c r="X45" s="260">
        <f t="shared" si="71"/>
        <v>14116550</v>
      </c>
      <c r="Y45" s="260">
        <f t="shared" si="72"/>
        <v>2147560</v>
      </c>
      <c r="Z45" s="260">
        <f t="shared" si="73"/>
        <v>16264110</v>
      </c>
      <c r="AA45" s="258">
        <f t="array" ref="AA45">MAX((IF(MNU_CODIGO_ALIMENTO_ENTREGA=CONCATENATE($C45,"_","P_"),MNU_GRAMAJE_REQUERIDO_TIPOM,"")))</f>
        <v>40</v>
      </c>
      <c r="AB45" s="261">
        <f t="shared" si="74"/>
        <v>1701</v>
      </c>
      <c r="AC45" s="261">
        <v>0</v>
      </c>
      <c r="AD45" s="261">
        <f t="shared" si="75"/>
        <v>1701</v>
      </c>
      <c r="AE45" s="262">
        <f t="shared" si="76"/>
        <v>450765</v>
      </c>
      <c r="AF45" s="262">
        <v>0</v>
      </c>
      <c r="AG45" s="262">
        <f t="shared" si="77"/>
        <v>450765</v>
      </c>
      <c r="AH45" s="353">
        <f t="array" ref="AH45">MAX((IF(MNU_CODIGO_ALIMENTO_ENTREGA=CONCATENATE($C45,"_","P_"),MNU_GRAMAJE_REQUERIDO_TIPOH,"")))</f>
        <v>40</v>
      </c>
      <c r="AI45" s="259">
        <f t="shared" si="78"/>
        <v>1540</v>
      </c>
      <c r="AJ45" s="259">
        <v>0</v>
      </c>
      <c r="AK45" s="259">
        <f t="shared" si="79"/>
        <v>1540</v>
      </c>
      <c r="AL45" s="260">
        <f t="shared" si="80"/>
        <v>408100</v>
      </c>
      <c r="AM45" s="260">
        <v>0</v>
      </c>
      <c r="AN45" s="260">
        <f t="shared" si="81"/>
        <v>408100</v>
      </c>
      <c r="AO45" s="457">
        <f t="shared" si="82"/>
        <v>165077</v>
      </c>
      <c r="AP45" s="456">
        <f t="shared" si="83"/>
        <v>37607588</v>
      </c>
      <c r="AQ45" s="263" t="e">
        <f>#REF!+AH45+AA45+T45+M45</f>
        <v>#REF!</v>
      </c>
      <c r="AR45" s="263">
        <f t="shared" si="42"/>
        <v>37715164</v>
      </c>
      <c r="AS45" s="263" t="e">
        <f t="shared" si="43"/>
        <v>#REF!</v>
      </c>
      <c r="AT45" s="263">
        <f t="shared" si="44"/>
        <v>37834092</v>
      </c>
      <c r="AU45" s="263" t="e">
        <f t="shared" si="45"/>
        <v>#REF!</v>
      </c>
      <c r="AV45" s="263">
        <f t="shared" si="46"/>
        <v>40842372</v>
      </c>
      <c r="AW45" s="263" t="e">
        <f t="shared" si="47"/>
        <v>#REF!</v>
      </c>
      <c r="AX45" s="263" t="e">
        <f>AV45+#REF!+AH45+AA45+T45</f>
        <v>#REF!</v>
      </c>
      <c r="AY45" s="263" t="e">
        <f t="shared" si="48"/>
        <v>#REF!</v>
      </c>
      <c r="AZ45" s="263" t="e">
        <f t="shared" si="49"/>
        <v>#REF!</v>
      </c>
      <c r="BA45" s="263" t="e">
        <f t="shared" si="50"/>
        <v>#REF!</v>
      </c>
      <c r="BB45" s="263" t="e">
        <f t="shared" si="51"/>
        <v>#REF!</v>
      </c>
      <c r="BC45" s="263" t="e">
        <f t="shared" si="52"/>
        <v>#REF!</v>
      </c>
      <c r="BD45" s="263" t="e">
        <f t="shared" si="53"/>
        <v>#REF!</v>
      </c>
      <c r="BE45" s="263" t="e">
        <f>BC45+AV45+#REF!+AH45+AA45</f>
        <v>#REF!</v>
      </c>
      <c r="BF45" s="263" t="e">
        <f t="shared" si="54"/>
        <v>#REF!</v>
      </c>
      <c r="BG45" s="263" t="e">
        <f t="shared" si="55"/>
        <v>#REF!</v>
      </c>
    </row>
    <row r="46" spans="1:59" ht="15.75">
      <c r="A46" s="338">
        <v>3</v>
      </c>
      <c r="B46" s="338" t="s">
        <v>1</v>
      </c>
      <c r="C46" s="258">
        <v>42</v>
      </c>
      <c r="D46" s="328" t="s">
        <v>61</v>
      </c>
      <c r="E46" s="258" t="s">
        <v>9</v>
      </c>
      <c r="F46" s="431">
        <f t="array" ref="F46">MAX((IF(MNU_CODIGO_ALIMENTO_ENTREGA=CONCATENATE($C46,"_","P_"),MNU_GRAMAJE_REQUERIDO_TIPOA,"")))</f>
        <v>100</v>
      </c>
      <c r="G46" s="259">
        <f t="shared" si="56"/>
        <v>140277</v>
      </c>
      <c r="H46" s="259">
        <f t="shared" si="57"/>
        <v>15552</v>
      </c>
      <c r="I46" s="259">
        <f t="shared" si="58"/>
        <v>155829</v>
      </c>
      <c r="J46" s="260">
        <f t="shared" si="59"/>
        <v>28616508</v>
      </c>
      <c r="K46" s="260">
        <f t="shared" si="60"/>
        <v>3172608</v>
      </c>
      <c r="L46" s="260">
        <f t="shared" si="61"/>
        <v>31789116</v>
      </c>
      <c r="M46" s="432">
        <f t="array" ref="M46">MAX((IF(MNU_CODIGO_ALIMENTO_ENTREGA=CONCATENATE($C46,"_","P_"),MNU_GRAMAJE_REQUERIDO_TIPOB,"")))</f>
        <v>100</v>
      </c>
      <c r="N46" s="348">
        <f t="shared" si="62"/>
        <v>138605</v>
      </c>
      <c r="O46" s="348">
        <f t="shared" si="63"/>
        <v>7714</v>
      </c>
      <c r="P46" s="348">
        <f t="shared" si="64"/>
        <v>146319</v>
      </c>
      <c r="Q46" s="349">
        <f t="shared" si="65"/>
        <v>28275420</v>
      </c>
      <c r="R46" s="349">
        <f t="shared" si="66"/>
        <v>1573656</v>
      </c>
      <c r="S46" s="349">
        <f t="shared" si="67"/>
        <v>29849076</v>
      </c>
      <c r="T46" s="353">
        <f t="array" ref="T46">MAX((IF(MNU_CODIGO_ALIMENTO_ENTREGA=CONCATENATE($C46,"_","P_"),MNU_GRAMAJE_REQUERIDO_TIPOC,"")))</f>
        <v>100</v>
      </c>
      <c r="U46" s="259">
        <f t="shared" si="68"/>
        <v>144590</v>
      </c>
      <c r="V46" s="259">
        <f t="shared" si="69"/>
        <v>19247</v>
      </c>
      <c r="W46" s="259">
        <f t="shared" si="70"/>
        <v>163837</v>
      </c>
      <c r="X46" s="260">
        <f t="shared" si="71"/>
        <v>29496360</v>
      </c>
      <c r="Y46" s="260">
        <f t="shared" si="72"/>
        <v>3926388</v>
      </c>
      <c r="Z46" s="260">
        <f t="shared" si="73"/>
        <v>33422748</v>
      </c>
      <c r="AA46" s="258">
        <f t="array" ref="AA46">MAX((IF(MNU_CODIGO_ALIMENTO_ENTREGA=CONCATENATE($C46,"_","P_"),MNU_GRAMAJE_REQUERIDO_TIPOM,"")))</f>
        <v>100</v>
      </c>
      <c r="AB46" s="261">
        <f t="shared" si="74"/>
        <v>4617</v>
      </c>
      <c r="AC46" s="261">
        <v>0</v>
      </c>
      <c r="AD46" s="261">
        <f t="shared" si="75"/>
        <v>4617</v>
      </c>
      <c r="AE46" s="262">
        <f t="shared" si="76"/>
        <v>941868</v>
      </c>
      <c r="AF46" s="262">
        <v>0</v>
      </c>
      <c r="AG46" s="262">
        <f t="shared" si="77"/>
        <v>941868</v>
      </c>
      <c r="AH46" s="353">
        <f t="array" ref="AH46">MAX((IF(MNU_CODIGO_ALIMENTO_ENTREGA=CONCATENATE($C46,"_","P_"),MNU_GRAMAJE_REQUERIDO_TIPOH,"")))</f>
        <v>100</v>
      </c>
      <c r="AI46" s="259">
        <f t="shared" si="78"/>
        <v>4180</v>
      </c>
      <c r="AJ46" s="259">
        <v>0</v>
      </c>
      <c r="AK46" s="259">
        <f t="shared" si="79"/>
        <v>4180</v>
      </c>
      <c r="AL46" s="260">
        <f t="shared" si="80"/>
        <v>852720</v>
      </c>
      <c r="AM46" s="260">
        <v>0</v>
      </c>
      <c r="AN46" s="260">
        <f t="shared" si="81"/>
        <v>852720</v>
      </c>
      <c r="AO46" s="457">
        <f t="shared" si="82"/>
        <v>474782</v>
      </c>
      <c r="AP46" s="456">
        <f t="shared" si="83"/>
        <v>96855528</v>
      </c>
      <c r="AQ46" s="263" t="e">
        <f>#REF!+AH46+AA46+T46+M46</f>
        <v>#REF!</v>
      </c>
      <c r="AR46" s="263">
        <f t="shared" si="42"/>
        <v>97147520</v>
      </c>
      <c r="AS46" s="263" t="e">
        <f t="shared" si="43"/>
        <v>#REF!</v>
      </c>
      <c r="AT46" s="263">
        <f t="shared" si="44"/>
        <v>97466473</v>
      </c>
      <c r="AU46" s="263" t="e">
        <f t="shared" si="45"/>
        <v>#REF!</v>
      </c>
      <c r="AV46" s="263">
        <f t="shared" si="46"/>
        <v>102966517</v>
      </c>
      <c r="AW46" s="263" t="e">
        <f t="shared" si="47"/>
        <v>#REF!</v>
      </c>
      <c r="AX46" s="263" t="e">
        <f>AV46+#REF!+AH46+AA46+T46</f>
        <v>#REF!</v>
      </c>
      <c r="AY46" s="263" t="e">
        <f t="shared" si="48"/>
        <v>#REF!</v>
      </c>
      <c r="AZ46" s="263" t="e">
        <f t="shared" si="49"/>
        <v>#REF!</v>
      </c>
      <c r="BA46" s="263" t="e">
        <f t="shared" si="50"/>
        <v>#REF!</v>
      </c>
      <c r="BB46" s="263" t="e">
        <f t="shared" si="51"/>
        <v>#REF!</v>
      </c>
      <c r="BC46" s="263" t="e">
        <f t="shared" si="52"/>
        <v>#REF!</v>
      </c>
      <c r="BD46" s="263" t="e">
        <f t="shared" si="53"/>
        <v>#REF!</v>
      </c>
      <c r="BE46" s="263" t="e">
        <f>BC46+AV46+#REF!+AH46+AA46</f>
        <v>#REF!</v>
      </c>
      <c r="BF46" s="263" t="e">
        <f t="shared" si="54"/>
        <v>#REF!</v>
      </c>
      <c r="BG46" s="263" t="e">
        <f t="shared" si="55"/>
        <v>#REF!</v>
      </c>
    </row>
    <row r="47" spans="1:59" ht="15.75">
      <c r="A47" s="338">
        <v>3</v>
      </c>
      <c r="B47" s="338" t="s">
        <v>1</v>
      </c>
      <c r="C47" s="258">
        <v>43</v>
      </c>
      <c r="D47" s="328" t="s">
        <v>62</v>
      </c>
      <c r="E47" s="258" t="s">
        <v>9</v>
      </c>
      <c r="F47" s="431">
        <f t="array" ref="F47">MAX((IF(MNU_CODIGO_ALIMENTO_ENTREGA=CONCATENATE($C47,"_","P_"),MNU_GRAMAJE_REQUERIDO_TIPOA,"")))</f>
        <v>100</v>
      </c>
      <c r="G47" s="259">
        <f t="shared" si="56"/>
        <v>146376</v>
      </c>
      <c r="H47" s="259">
        <f t="shared" si="57"/>
        <v>12528</v>
      </c>
      <c r="I47" s="259">
        <f t="shared" si="58"/>
        <v>158904</v>
      </c>
      <c r="J47" s="260">
        <f t="shared" si="59"/>
        <v>26054928</v>
      </c>
      <c r="K47" s="260">
        <f t="shared" si="60"/>
        <v>2229984</v>
      </c>
      <c r="L47" s="260">
        <f t="shared" si="61"/>
        <v>28284912</v>
      </c>
      <c r="M47" s="432">
        <f t="array" ref="M47">MAX((IF(MNU_CODIGO_ALIMENTO_ENTREGA=CONCATENATE($C47,"_","P_"),MNU_GRAMAJE_REQUERIDO_TIPOB,"")))</f>
        <v>100</v>
      </c>
      <c r="N47" s="348">
        <f t="shared" si="62"/>
        <v>124015</v>
      </c>
      <c r="O47" s="348">
        <f t="shared" si="63"/>
        <v>9338</v>
      </c>
      <c r="P47" s="348">
        <f t="shared" si="64"/>
        <v>133353</v>
      </c>
      <c r="Q47" s="349">
        <f t="shared" si="65"/>
        <v>22074670</v>
      </c>
      <c r="R47" s="349">
        <f t="shared" si="66"/>
        <v>1662164</v>
      </c>
      <c r="S47" s="349">
        <f t="shared" si="67"/>
        <v>23736834</v>
      </c>
      <c r="T47" s="353">
        <f t="array" ref="T47">MAX((IF(MNU_CODIGO_ALIMENTO_ENTREGA=CONCATENATE($C47,"_","P_"),MNU_GRAMAJE_REQUERIDO_TIPOC,"")))</f>
        <v>100</v>
      </c>
      <c r="U47" s="259">
        <f t="shared" si="68"/>
        <v>129370</v>
      </c>
      <c r="V47" s="259">
        <f t="shared" si="69"/>
        <v>23299</v>
      </c>
      <c r="W47" s="259">
        <f t="shared" si="70"/>
        <v>152669</v>
      </c>
      <c r="X47" s="260">
        <f t="shared" si="71"/>
        <v>23027860</v>
      </c>
      <c r="Y47" s="260">
        <f t="shared" si="72"/>
        <v>4147222</v>
      </c>
      <c r="Z47" s="260">
        <f t="shared" si="73"/>
        <v>27175082</v>
      </c>
      <c r="AA47" s="258">
        <f t="array" ref="AA47">MAX((IF(MNU_CODIGO_ALIMENTO_ENTREGA=CONCATENATE($C47,"_","P_"),MNU_GRAMAJE_REQUERIDO_TIPOM,"")))</f>
        <v>100</v>
      </c>
      <c r="AB47" s="261">
        <f t="shared" si="74"/>
        <v>4131</v>
      </c>
      <c r="AC47" s="261">
        <v>0</v>
      </c>
      <c r="AD47" s="261">
        <f t="shared" si="75"/>
        <v>4131</v>
      </c>
      <c r="AE47" s="262">
        <f t="shared" si="76"/>
        <v>735318</v>
      </c>
      <c r="AF47" s="262">
        <v>0</v>
      </c>
      <c r="AG47" s="262">
        <f t="shared" si="77"/>
        <v>735318</v>
      </c>
      <c r="AH47" s="353">
        <f t="array" ref="AH47">MAX((IF(MNU_CODIGO_ALIMENTO_ENTREGA=CONCATENATE($C47,"_","P_"),MNU_GRAMAJE_REQUERIDO_TIPOH,"")))</f>
        <v>100</v>
      </c>
      <c r="AI47" s="259">
        <f t="shared" si="78"/>
        <v>3740</v>
      </c>
      <c r="AJ47" s="259">
        <v>0</v>
      </c>
      <c r="AK47" s="259">
        <f t="shared" si="79"/>
        <v>3740</v>
      </c>
      <c r="AL47" s="260">
        <f t="shared" si="80"/>
        <v>665720</v>
      </c>
      <c r="AM47" s="260">
        <v>0</v>
      </c>
      <c r="AN47" s="260">
        <f t="shared" si="81"/>
        <v>665720</v>
      </c>
      <c r="AO47" s="457">
        <f t="shared" si="82"/>
        <v>452797</v>
      </c>
      <c r="AP47" s="456">
        <f t="shared" si="83"/>
        <v>80597866</v>
      </c>
      <c r="AQ47" s="263" t="e">
        <f>#REF!+AH47+AA47+T47+M47</f>
        <v>#REF!</v>
      </c>
      <c r="AR47" s="263">
        <f t="shared" si="42"/>
        <v>80859122</v>
      </c>
      <c r="AS47" s="263" t="e">
        <f t="shared" si="43"/>
        <v>#REF!</v>
      </c>
      <c r="AT47" s="263">
        <f t="shared" si="44"/>
        <v>81153015</v>
      </c>
      <c r="AU47" s="263" t="e">
        <f t="shared" si="45"/>
        <v>#REF!</v>
      </c>
      <c r="AV47" s="263">
        <f t="shared" si="46"/>
        <v>86962401</v>
      </c>
      <c r="AW47" s="263" t="e">
        <f t="shared" si="47"/>
        <v>#REF!</v>
      </c>
      <c r="AX47" s="263" t="e">
        <f>AV47+#REF!+AH47+AA47+T47</f>
        <v>#REF!</v>
      </c>
      <c r="AY47" s="263" t="e">
        <f t="shared" si="48"/>
        <v>#REF!</v>
      </c>
      <c r="AZ47" s="263" t="e">
        <f t="shared" si="49"/>
        <v>#REF!</v>
      </c>
      <c r="BA47" s="263" t="e">
        <f t="shared" si="50"/>
        <v>#REF!</v>
      </c>
      <c r="BB47" s="263" t="e">
        <f t="shared" si="51"/>
        <v>#REF!</v>
      </c>
      <c r="BC47" s="263" t="e">
        <f t="shared" si="52"/>
        <v>#REF!</v>
      </c>
      <c r="BD47" s="263" t="e">
        <f t="shared" si="53"/>
        <v>#REF!</v>
      </c>
      <c r="BE47" s="263" t="e">
        <f>BC47+AV47+#REF!+AH47+AA47</f>
        <v>#REF!</v>
      </c>
      <c r="BF47" s="263" t="e">
        <f t="shared" si="54"/>
        <v>#REF!</v>
      </c>
      <c r="BG47" s="263" t="e">
        <f t="shared" si="55"/>
        <v>#REF!</v>
      </c>
    </row>
    <row r="48" spans="1:59" ht="15.75">
      <c r="A48" s="338">
        <v>3</v>
      </c>
      <c r="B48" s="338" t="s">
        <v>1</v>
      </c>
      <c r="C48" s="258">
        <v>46</v>
      </c>
      <c r="D48" s="328" t="s">
        <v>64</v>
      </c>
      <c r="E48" s="258" t="s">
        <v>9</v>
      </c>
      <c r="F48" s="431">
        <f t="array" ref="F48">MAX((IF(MNU_CODIGO_ALIMENTO_ENTREGA=CONCATENATE($C48,"_","P_"),MNU_GRAMAJE_REQUERIDO_TIPOA,"")))</f>
        <v>100</v>
      </c>
      <c r="G48" s="259">
        <f t="shared" si="56"/>
        <v>182970</v>
      </c>
      <c r="H48" s="259">
        <f t="shared" si="57"/>
        <v>12528</v>
      </c>
      <c r="I48" s="259">
        <f t="shared" si="58"/>
        <v>195498</v>
      </c>
      <c r="J48" s="260">
        <f t="shared" si="59"/>
        <v>76481460</v>
      </c>
      <c r="K48" s="260">
        <f t="shared" si="60"/>
        <v>5236704</v>
      </c>
      <c r="L48" s="260">
        <f t="shared" si="61"/>
        <v>81718164</v>
      </c>
      <c r="M48" s="432">
        <f t="array" ref="M48">MAX((IF(MNU_CODIGO_ALIMENTO_ENTREGA=CONCATENATE($C48,"_","P_"),MNU_GRAMAJE_REQUERIDO_TIPOB,"")))</f>
        <v>100</v>
      </c>
      <c r="N48" s="348">
        <f t="shared" si="62"/>
        <v>153195</v>
      </c>
      <c r="O48" s="348">
        <f t="shared" si="63"/>
        <v>9744</v>
      </c>
      <c r="P48" s="348">
        <f t="shared" si="64"/>
        <v>162939</v>
      </c>
      <c r="Q48" s="349">
        <f t="shared" si="65"/>
        <v>64035510</v>
      </c>
      <c r="R48" s="349">
        <f t="shared" si="66"/>
        <v>4072992</v>
      </c>
      <c r="S48" s="349">
        <f t="shared" si="67"/>
        <v>68108502</v>
      </c>
      <c r="T48" s="353">
        <f t="array" ref="T48">MAX((IF(MNU_CODIGO_ALIMENTO_ENTREGA=CONCATENATE($C48,"_","P_"),MNU_GRAMAJE_REQUERIDO_TIPOC,"")))</f>
        <v>100</v>
      </c>
      <c r="U48" s="259">
        <f t="shared" si="68"/>
        <v>159810</v>
      </c>
      <c r="V48" s="259">
        <f t="shared" si="69"/>
        <v>24312</v>
      </c>
      <c r="W48" s="259">
        <f t="shared" si="70"/>
        <v>184122</v>
      </c>
      <c r="X48" s="260">
        <f t="shared" si="71"/>
        <v>66800580</v>
      </c>
      <c r="Y48" s="260">
        <f t="shared" si="72"/>
        <v>10162416</v>
      </c>
      <c r="Z48" s="260">
        <f t="shared" si="73"/>
        <v>76962996</v>
      </c>
      <c r="AA48" s="258">
        <f t="array" ref="AA48">MAX((IF(MNU_CODIGO_ALIMENTO_ENTREGA=CONCATENATE($C48,"_","P_"),MNU_GRAMAJE_REQUERIDO_TIPOM,"")))</f>
        <v>100</v>
      </c>
      <c r="AB48" s="261">
        <f t="shared" si="74"/>
        <v>5103</v>
      </c>
      <c r="AC48" s="261">
        <v>0</v>
      </c>
      <c r="AD48" s="261">
        <f t="shared" si="75"/>
        <v>5103</v>
      </c>
      <c r="AE48" s="262">
        <f t="shared" si="76"/>
        <v>2133054</v>
      </c>
      <c r="AF48" s="262">
        <v>0</v>
      </c>
      <c r="AG48" s="262">
        <f t="shared" si="77"/>
        <v>2133054</v>
      </c>
      <c r="AH48" s="353">
        <f t="array" ref="AH48">MAX((IF(MNU_CODIGO_ALIMENTO_ENTREGA=CONCATENATE($C48,"_","P_"),MNU_GRAMAJE_REQUERIDO_TIPOH,"")))</f>
        <v>100</v>
      </c>
      <c r="AI48" s="259">
        <f t="shared" si="78"/>
        <v>4620</v>
      </c>
      <c r="AJ48" s="259">
        <v>0</v>
      </c>
      <c r="AK48" s="259">
        <f t="shared" si="79"/>
        <v>4620</v>
      </c>
      <c r="AL48" s="260">
        <f t="shared" si="80"/>
        <v>1931160</v>
      </c>
      <c r="AM48" s="260">
        <v>0</v>
      </c>
      <c r="AN48" s="260">
        <f t="shared" si="81"/>
        <v>1931160</v>
      </c>
      <c r="AO48" s="457">
        <f t="shared" si="82"/>
        <v>552282</v>
      </c>
      <c r="AP48" s="456">
        <f t="shared" si="83"/>
        <v>230853876</v>
      </c>
      <c r="AQ48" s="263" t="e">
        <f>#REF!+AH48+AA48+T48+M48</f>
        <v>#REF!</v>
      </c>
      <c r="AR48" s="263">
        <f t="shared" si="42"/>
        <v>231176604</v>
      </c>
      <c r="AS48" s="263" t="e">
        <f t="shared" si="43"/>
        <v>#REF!</v>
      </c>
      <c r="AT48" s="263">
        <f t="shared" si="44"/>
        <v>231533388</v>
      </c>
      <c r="AU48" s="263" t="e">
        <f t="shared" si="45"/>
        <v>#REF!</v>
      </c>
      <c r="AV48" s="263">
        <f t="shared" si="46"/>
        <v>245768796</v>
      </c>
      <c r="AW48" s="263" t="e">
        <f t="shared" si="47"/>
        <v>#REF!</v>
      </c>
      <c r="AX48" s="263" t="e">
        <f>AV48+#REF!+AH48+AA48+T48</f>
        <v>#REF!</v>
      </c>
      <c r="AY48" s="263" t="e">
        <f t="shared" si="48"/>
        <v>#REF!</v>
      </c>
      <c r="AZ48" s="263" t="e">
        <f t="shared" si="49"/>
        <v>#REF!</v>
      </c>
      <c r="BA48" s="263" t="e">
        <f t="shared" si="50"/>
        <v>#REF!</v>
      </c>
      <c r="BB48" s="263" t="e">
        <f t="shared" si="51"/>
        <v>#REF!</v>
      </c>
      <c r="BC48" s="263" t="e">
        <f t="shared" si="52"/>
        <v>#REF!</v>
      </c>
      <c r="BD48" s="263" t="e">
        <f t="shared" si="53"/>
        <v>#REF!</v>
      </c>
      <c r="BE48" s="263" t="e">
        <f>BC48+AV48+#REF!+AH48+AA48</f>
        <v>#REF!</v>
      </c>
      <c r="BF48" s="263" t="e">
        <f t="shared" si="54"/>
        <v>#REF!</v>
      </c>
      <c r="BG48" s="263" t="e">
        <f t="shared" si="55"/>
        <v>#REF!</v>
      </c>
    </row>
    <row r="49" spans="1:59" ht="15.75">
      <c r="A49" s="338">
        <v>3</v>
      </c>
      <c r="B49" s="338" t="s">
        <v>1</v>
      </c>
      <c r="C49" s="258">
        <v>58</v>
      </c>
      <c r="D49" s="328" t="s">
        <v>67</v>
      </c>
      <c r="E49" s="258" t="s">
        <v>9</v>
      </c>
      <c r="F49" s="431">
        <f t="array" ref="F49">MAX((IF(MNU_CODIGO_ALIMENTO_ENTREGA=CONCATENATE($C49,"_","P_"),MNU_GRAMAJE_REQUERIDO_TIPOA,"")))</f>
        <v>100</v>
      </c>
      <c r="G49" s="259">
        <f t="shared" si="56"/>
        <v>146376</v>
      </c>
      <c r="H49" s="259">
        <f t="shared" si="57"/>
        <v>12096</v>
      </c>
      <c r="I49" s="259">
        <f t="shared" si="58"/>
        <v>158472</v>
      </c>
      <c r="J49" s="260">
        <f t="shared" si="59"/>
        <v>23712912</v>
      </c>
      <c r="K49" s="260">
        <f t="shared" si="60"/>
        <v>1959552</v>
      </c>
      <c r="L49" s="260">
        <f t="shared" si="61"/>
        <v>25672464</v>
      </c>
      <c r="M49" s="432">
        <f t="array" ref="M49">MAX((IF(MNU_CODIGO_ALIMENTO_ENTREGA=CONCATENATE($C49,"_","P_"),MNU_GRAMAJE_REQUERIDO_TIPOB,"")))</f>
        <v>100</v>
      </c>
      <c r="N49" s="348">
        <f t="shared" si="62"/>
        <v>167785</v>
      </c>
      <c r="O49" s="348">
        <f t="shared" si="63"/>
        <v>9338</v>
      </c>
      <c r="P49" s="348">
        <f t="shared" si="64"/>
        <v>177123</v>
      </c>
      <c r="Q49" s="349">
        <f t="shared" si="65"/>
        <v>27181170</v>
      </c>
      <c r="R49" s="349">
        <f t="shared" si="66"/>
        <v>1512756</v>
      </c>
      <c r="S49" s="349">
        <f t="shared" si="67"/>
        <v>28693926</v>
      </c>
      <c r="T49" s="353">
        <f t="array" ref="T49">MAX((IF(MNU_CODIGO_ALIMENTO_ENTREGA=CONCATENATE($C49,"_","P_"),MNU_GRAMAJE_REQUERIDO_TIPOC,"")))</f>
        <v>100</v>
      </c>
      <c r="U49" s="259">
        <f t="shared" si="68"/>
        <v>175030</v>
      </c>
      <c r="V49" s="259">
        <f t="shared" si="69"/>
        <v>23299</v>
      </c>
      <c r="W49" s="259">
        <f t="shared" si="70"/>
        <v>198329</v>
      </c>
      <c r="X49" s="260">
        <f t="shared" si="71"/>
        <v>28354860</v>
      </c>
      <c r="Y49" s="260">
        <f t="shared" si="72"/>
        <v>3774438</v>
      </c>
      <c r="Z49" s="260">
        <f t="shared" si="73"/>
        <v>32129298</v>
      </c>
      <c r="AA49" s="258">
        <f t="array" ref="AA49">MAX((IF(MNU_CODIGO_ALIMENTO_ENTREGA=CONCATENATE($C49,"_","P_"),MNU_GRAMAJE_REQUERIDO_TIPOM,"")))</f>
        <v>100</v>
      </c>
      <c r="AB49" s="261">
        <f t="shared" si="74"/>
        <v>5589</v>
      </c>
      <c r="AC49" s="261">
        <v>0</v>
      </c>
      <c r="AD49" s="261">
        <f t="shared" si="75"/>
        <v>5589</v>
      </c>
      <c r="AE49" s="262">
        <f t="shared" si="76"/>
        <v>905418</v>
      </c>
      <c r="AF49" s="262">
        <v>0</v>
      </c>
      <c r="AG49" s="262">
        <f t="shared" si="77"/>
        <v>905418</v>
      </c>
      <c r="AH49" s="353">
        <f t="array" ref="AH49">MAX((IF(MNU_CODIGO_ALIMENTO_ENTREGA=CONCATENATE($C49,"_","P_"),MNU_GRAMAJE_REQUERIDO_TIPOH,"")))</f>
        <v>100</v>
      </c>
      <c r="AI49" s="259">
        <f t="shared" si="78"/>
        <v>5060</v>
      </c>
      <c r="AJ49" s="259">
        <v>0</v>
      </c>
      <c r="AK49" s="259">
        <f t="shared" si="79"/>
        <v>5060</v>
      </c>
      <c r="AL49" s="260">
        <f t="shared" si="80"/>
        <v>819720</v>
      </c>
      <c r="AM49" s="260">
        <v>0</v>
      </c>
      <c r="AN49" s="260">
        <f t="shared" si="81"/>
        <v>819720</v>
      </c>
      <c r="AO49" s="457">
        <f t="shared" si="82"/>
        <v>544573</v>
      </c>
      <c r="AP49" s="456">
        <f t="shared" si="83"/>
        <v>88220826</v>
      </c>
      <c r="AQ49" s="263" t="e">
        <f>#REF!+AH49+AA49+T49+M49</f>
        <v>#REF!</v>
      </c>
      <c r="AR49" s="263">
        <f t="shared" si="42"/>
        <v>88574290</v>
      </c>
      <c r="AS49" s="263" t="e">
        <f t="shared" si="43"/>
        <v>#REF!</v>
      </c>
      <c r="AT49" s="263">
        <f t="shared" si="44"/>
        <v>88960391</v>
      </c>
      <c r="AU49" s="263" t="e">
        <f t="shared" si="45"/>
        <v>#REF!</v>
      </c>
      <c r="AV49" s="263">
        <f t="shared" si="46"/>
        <v>94247585</v>
      </c>
      <c r="AW49" s="263" t="e">
        <f t="shared" si="47"/>
        <v>#REF!</v>
      </c>
      <c r="AX49" s="263" t="e">
        <f>AV49+#REF!+AH49+AA49+T49</f>
        <v>#REF!</v>
      </c>
      <c r="AY49" s="263" t="e">
        <f t="shared" si="48"/>
        <v>#REF!</v>
      </c>
      <c r="AZ49" s="263" t="e">
        <f t="shared" si="49"/>
        <v>#REF!</v>
      </c>
      <c r="BA49" s="263" t="e">
        <f t="shared" si="50"/>
        <v>#REF!</v>
      </c>
      <c r="BB49" s="263" t="e">
        <f t="shared" si="51"/>
        <v>#REF!</v>
      </c>
      <c r="BC49" s="263" t="e">
        <f t="shared" si="52"/>
        <v>#REF!</v>
      </c>
      <c r="BD49" s="263" t="e">
        <f t="shared" si="53"/>
        <v>#REF!</v>
      </c>
      <c r="BE49" s="263" t="e">
        <f>BC49+AV49+#REF!+AH49+AA49</f>
        <v>#REF!</v>
      </c>
      <c r="BF49" s="263" t="e">
        <f t="shared" si="54"/>
        <v>#REF!</v>
      </c>
      <c r="BG49" s="263" t="e">
        <f t="shared" si="55"/>
        <v>#REF!</v>
      </c>
    </row>
    <row r="50" spans="1:59" ht="15.75">
      <c r="A50" s="338">
        <v>3</v>
      </c>
      <c r="B50" s="338" t="s">
        <v>1</v>
      </c>
      <c r="C50" s="258">
        <v>59</v>
      </c>
      <c r="D50" s="328" t="s">
        <v>99</v>
      </c>
      <c r="E50" s="258" t="s">
        <v>9</v>
      </c>
      <c r="F50" s="431">
        <f t="array" ref="F50">MAX((IF(MNU_CODIGO_ALIMENTO_ENTREGA=CONCATENATE($C50,"_","P_"),MNU_GRAMAJE_REQUERIDO_TIPOA,"")))</f>
        <v>0</v>
      </c>
      <c r="G50" s="259">
        <f t="shared" si="56"/>
        <v>0</v>
      </c>
      <c r="H50" s="259">
        <f t="shared" si="57"/>
        <v>0</v>
      </c>
      <c r="I50" s="259">
        <f t="shared" si="58"/>
        <v>0</v>
      </c>
      <c r="J50" s="260">
        <f t="shared" si="59"/>
        <v>0</v>
      </c>
      <c r="K50" s="260">
        <f t="shared" si="60"/>
        <v>0</v>
      </c>
      <c r="L50" s="260">
        <f t="shared" si="61"/>
        <v>0</v>
      </c>
      <c r="M50" s="432">
        <f t="array" ref="M50">MAX((IF(MNU_CODIGO_ALIMENTO_ENTREGA=CONCATENATE($C50,"_","P_"),MNU_GRAMAJE_REQUERIDO_TIPOB,"")))</f>
        <v>100</v>
      </c>
      <c r="N50" s="348">
        <f t="shared" si="62"/>
        <v>58360</v>
      </c>
      <c r="O50" s="348">
        <f t="shared" si="63"/>
        <v>4466</v>
      </c>
      <c r="P50" s="348">
        <f t="shared" si="64"/>
        <v>62826</v>
      </c>
      <c r="Q50" s="349">
        <f t="shared" si="65"/>
        <v>17508000</v>
      </c>
      <c r="R50" s="349">
        <f t="shared" si="66"/>
        <v>1339800</v>
      </c>
      <c r="S50" s="349">
        <f t="shared" si="67"/>
        <v>18847800</v>
      </c>
      <c r="T50" s="353">
        <f t="array" ref="T50">MAX((IF(MNU_CODIGO_ALIMENTO_ENTREGA=CONCATENATE($C50,"_","P_"),MNU_GRAMAJE_REQUERIDO_TIPOC,"")))</f>
        <v>100</v>
      </c>
      <c r="U50" s="259">
        <f t="shared" si="68"/>
        <v>60880</v>
      </c>
      <c r="V50" s="259">
        <f t="shared" si="69"/>
        <v>11143</v>
      </c>
      <c r="W50" s="259">
        <f t="shared" si="70"/>
        <v>72023</v>
      </c>
      <c r="X50" s="260">
        <f t="shared" si="71"/>
        <v>18264000</v>
      </c>
      <c r="Y50" s="260">
        <f t="shared" si="72"/>
        <v>3342900</v>
      </c>
      <c r="Z50" s="260">
        <f t="shared" si="73"/>
        <v>21606900</v>
      </c>
      <c r="AA50" s="258">
        <f t="array" ref="AA50">MAX((IF(MNU_CODIGO_ALIMENTO_ENTREGA=CONCATENATE($C50,"_","P_"),MNU_GRAMAJE_REQUERIDO_TIPOM,"")))</f>
        <v>100</v>
      </c>
      <c r="AB50" s="261">
        <f t="shared" si="74"/>
        <v>1944</v>
      </c>
      <c r="AC50" s="261">
        <v>0</v>
      </c>
      <c r="AD50" s="261">
        <f t="shared" si="75"/>
        <v>1944</v>
      </c>
      <c r="AE50" s="262">
        <f t="shared" si="76"/>
        <v>583200</v>
      </c>
      <c r="AF50" s="262">
        <v>0</v>
      </c>
      <c r="AG50" s="262">
        <f t="shared" si="77"/>
        <v>583200</v>
      </c>
      <c r="AH50" s="353">
        <f t="array" ref="AH50">MAX((IF(MNU_CODIGO_ALIMENTO_ENTREGA=CONCATENATE($C50,"_","P_"),MNU_GRAMAJE_REQUERIDO_TIPOH,"")))</f>
        <v>100</v>
      </c>
      <c r="AI50" s="259">
        <f t="shared" si="78"/>
        <v>1760</v>
      </c>
      <c r="AJ50" s="259">
        <v>0</v>
      </c>
      <c r="AK50" s="259">
        <f t="shared" si="79"/>
        <v>1760</v>
      </c>
      <c r="AL50" s="260">
        <f t="shared" si="80"/>
        <v>528000</v>
      </c>
      <c r="AM50" s="260">
        <v>0</v>
      </c>
      <c r="AN50" s="260">
        <f t="shared" si="81"/>
        <v>528000</v>
      </c>
      <c r="AO50" s="457">
        <f t="shared" si="82"/>
        <v>138553</v>
      </c>
      <c r="AP50" s="456">
        <f t="shared" si="83"/>
        <v>41565900</v>
      </c>
      <c r="AQ50" s="263" t="e">
        <f>#REF!+AH50+AA50+T50+M50</f>
        <v>#REF!</v>
      </c>
      <c r="AR50" s="263">
        <f t="shared" si="42"/>
        <v>41688844</v>
      </c>
      <c r="AS50" s="263" t="e">
        <f t="shared" si="43"/>
        <v>#REF!</v>
      </c>
      <c r="AT50" s="263">
        <f t="shared" si="44"/>
        <v>41827397</v>
      </c>
      <c r="AU50" s="263" t="e">
        <f t="shared" si="45"/>
        <v>#REF!</v>
      </c>
      <c r="AV50" s="263">
        <f t="shared" si="46"/>
        <v>46510097</v>
      </c>
      <c r="AW50" s="263" t="e">
        <f t="shared" si="47"/>
        <v>#REF!</v>
      </c>
      <c r="AX50" s="263" t="e">
        <f>AV50+#REF!+AH50+AA50+T50</f>
        <v>#REF!</v>
      </c>
      <c r="AY50" s="263" t="e">
        <f t="shared" si="48"/>
        <v>#REF!</v>
      </c>
      <c r="AZ50" s="263" t="e">
        <f t="shared" si="49"/>
        <v>#REF!</v>
      </c>
      <c r="BA50" s="263" t="e">
        <f t="shared" si="50"/>
        <v>#REF!</v>
      </c>
      <c r="BB50" s="263" t="e">
        <f t="shared" si="51"/>
        <v>#REF!</v>
      </c>
      <c r="BC50" s="263" t="e">
        <f t="shared" si="52"/>
        <v>#REF!</v>
      </c>
      <c r="BD50" s="263" t="e">
        <f t="shared" si="53"/>
        <v>#REF!</v>
      </c>
      <c r="BE50" s="263" t="e">
        <f>BC50+AV50+#REF!+AH50+AA50</f>
        <v>#REF!</v>
      </c>
      <c r="BF50" s="263" t="e">
        <f t="shared" si="54"/>
        <v>#REF!</v>
      </c>
      <c r="BG50" s="263" t="e">
        <f t="shared" si="55"/>
        <v>#REF!</v>
      </c>
    </row>
    <row r="51" spans="1:59" ht="15.75">
      <c r="A51" s="338">
        <v>3</v>
      </c>
      <c r="B51" s="338" t="s">
        <v>1</v>
      </c>
      <c r="C51" s="258">
        <v>69</v>
      </c>
      <c r="D51" s="328" t="s">
        <v>70</v>
      </c>
      <c r="E51" s="258" t="s">
        <v>9</v>
      </c>
      <c r="F51" s="431">
        <f t="array" ref="F51">MAX((IF(MNU_CODIGO_ALIMENTO_ENTREGA=CONCATENATE($C51,"_","P_"),MNU_GRAMAJE_REQUERIDO_TIPOA,"")))</f>
        <v>100</v>
      </c>
      <c r="G51" s="259">
        <f t="shared" si="56"/>
        <v>182970</v>
      </c>
      <c r="H51" s="259">
        <f t="shared" si="57"/>
        <v>7776</v>
      </c>
      <c r="I51" s="259">
        <f t="shared" si="58"/>
        <v>190746</v>
      </c>
      <c r="J51" s="260">
        <f t="shared" si="59"/>
        <v>58550400</v>
      </c>
      <c r="K51" s="260">
        <f t="shared" si="60"/>
        <v>2488320</v>
      </c>
      <c r="L51" s="260">
        <f t="shared" si="61"/>
        <v>61038720</v>
      </c>
      <c r="M51" s="432">
        <f t="array" ref="M51">MAX((IF(MNU_CODIGO_ALIMENTO_ENTREGA=CONCATENATE($C51,"_","P_"),MNU_GRAMAJE_REQUERIDO_TIPOB,"")))</f>
        <v>100</v>
      </c>
      <c r="N51" s="348">
        <f t="shared" si="62"/>
        <v>116720</v>
      </c>
      <c r="O51" s="348">
        <f t="shared" si="63"/>
        <v>4872</v>
      </c>
      <c r="P51" s="348">
        <f t="shared" si="64"/>
        <v>121592</v>
      </c>
      <c r="Q51" s="349">
        <f t="shared" si="65"/>
        <v>37350400</v>
      </c>
      <c r="R51" s="349">
        <f t="shared" si="66"/>
        <v>1559040</v>
      </c>
      <c r="S51" s="349">
        <f t="shared" si="67"/>
        <v>38909440</v>
      </c>
      <c r="T51" s="353">
        <f t="array" ref="T51">MAX((IF(MNU_CODIGO_ALIMENTO_ENTREGA=CONCATENATE($C51,"_","P_"),MNU_GRAMAJE_REQUERIDO_TIPOC,"")))</f>
        <v>100</v>
      </c>
      <c r="U51" s="259">
        <f t="shared" si="68"/>
        <v>121760</v>
      </c>
      <c r="V51" s="259">
        <f t="shared" si="69"/>
        <v>12156</v>
      </c>
      <c r="W51" s="259">
        <f t="shared" si="70"/>
        <v>133916</v>
      </c>
      <c r="X51" s="260">
        <f t="shared" si="71"/>
        <v>38963200</v>
      </c>
      <c r="Y51" s="260">
        <f t="shared" si="72"/>
        <v>3889920</v>
      </c>
      <c r="Z51" s="260">
        <f t="shared" si="73"/>
        <v>42853120</v>
      </c>
      <c r="AA51" s="258">
        <f t="array" ref="AA51">MAX((IF(MNU_CODIGO_ALIMENTO_ENTREGA=CONCATENATE($C51,"_","P_"),MNU_GRAMAJE_REQUERIDO_TIPOM,"")))</f>
        <v>100</v>
      </c>
      <c r="AB51" s="261">
        <f t="shared" si="74"/>
        <v>3888</v>
      </c>
      <c r="AC51" s="261">
        <v>0</v>
      </c>
      <c r="AD51" s="261">
        <f t="shared" si="75"/>
        <v>3888</v>
      </c>
      <c r="AE51" s="262">
        <f t="shared" si="76"/>
        <v>1244160</v>
      </c>
      <c r="AF51" s="262">
        <v>0</v>
      </c>
      <c r="AG51" s="262">
        <f t="shared" si="77"/>
        <v>1244160</v>
      </c>
      <c r="AH51" s="353">
        <f t="array" ref="AH51">MAX((IF(MNU_CODIGO_ALIMENTO_ENTREGA=CONCATENATE($C51,"_","P_"),MNU_GRAMAJE_REQUERIDO_TIPOH,"")))</f>
        <v>100</v>
      </c>
      <c r="AI51" s="259">
        <f t="shared" si="78"/>
        <v>3520</v>
      </c>
      <c r="AJ51" s="259">
        <v>0</v>
      </c>
      <c r="AK51" s="259">
        <f t="shared" si="79"/>
        <v>3520</v>
      </c>
      <c r="AL51" s="260">
        <f t="shared" si="80"/>
        <v>1126400</v>
      </c>
      <c r="AM51" s="260">
        <v>0</v>
      </c>
      <c r="AN51" s="260">
        <f t="shared" si="81"/>
        <v>1126400</v>
      </c>
      <c r="AO51" s="457">
        <f t="shared" si="82"/>
        <v>453662</v>
      </c>
      <c r="AP51" s="456">
        <f t="shared" si="83"/>
        <v>145171840</v>
      </c>
      <c r="AQ51" s="263" t="e">
        <f>#REF!+AH51+AA51+T51+M51</f>
        <v>#REF!</v>
      </c>
      <c r="AR51" s="263">
        <f t="shared" si="42"/>
        <v>145417728</v>
      </c>
      <c r="AS51" s="263" t="e">
        <f t="shared" si="43"/>
        <v>#REF!</v>
      </c>
      <c r="AT51" s="263">
        <f t="shared" si="44"/>
        <v>145680644</v>
      </c>
      <c r="AU51" s="263" t="e">
        <f t="shared" si="45"/>
        <v>#REF!</v>
      </c>
      <c r="AV51" s="263">
        <f t="shared" si="46"/>
        <v>151129604</v>
      </c>
      <c r="AW51" s="263" t="e">
        <f t="shared" si="47"/>
        <v>#REF!</v>
      </c>
      <c r="AX51" s="263" t="e">
        <f>AV51+#REF!+AH51+AA51+T51</f>
        <v>#REF!</v>
      </c>
      <c r="AY51" s="263" t="e">
        <f t="shared" si="48"/>
        <v>#REF!</v>
      </c>
      <c r="AZ51" s="263" t="e">
        <f t="shared" si="49"/>
        <v>#REF!</v>
      </c>
      <c r="BA51" s="263" t="e">
        <f t="shared" si="50"/>
        <v>#REF!</v>
      </c>
      <c r="BB51" s="263" t="e">
        <f t="shared" si="51"/>
        <v>#REF!</v>
      </c>
      <c r="BC51" s="263" t="e">
        <f t="shared" si="52"/>
        <v>#REF!</v>
      </c>
      <c r="BD51" s="263" t="e">
        <f t="shared" si="53"/>
        <v>#REF!</v>
      </c>
      <c r="BE51" s="263" t="e">
        <f>BC51+AV51+#REF!+AH51+AA51</f>
        <v>#REF!</v>
      </c>
      <c r="BF51" s="263" t="e">
        <f t="shared" si="54"/>
        <v>#REF!</v>
      </c>
      <c r="BG51" s="263" t="e">
        <f t="shared" si="55"/>
        <v>#REF!</v>
      </c>
    </row>
    <row r="52" spans="1:59" ht="15.75">
      <c r="A52" s="338">
        <v>3</v>
      </c>
      <c r="B52" s="338" t="s">
        <v>1</v>
      </c>
      <c r="C52" s="258">
        <v>70</v>
      </c>
      <c r="D52" s="328" t="s">
        <v>71</v>
      </c>
      <c r="E52" s="258" t="s">
        <v>9</v>
      </c>
      <c r="F52" s="431">
        <f t="array" ref="F52">MAX((IF(MNU_CODIGO_ALIMENTO_ENTREGA=CONCATENATE($C52,"_","P_"),MNU_GRAMAJE_REQUERIDO_TIPOA,"")))</f>
        <v>0</v>
      </c>
      <c r="G52" s="259">
        <f t="shared" si="56"/>
        <v>0</v>
      </c>
      <c r="H52" s="259">
        <f t="shared" si="57"/>
        <v>0</v>
      </c>
      <c r="I52" s="259">
        <f t="shared" si="58"/>
        <v>0</v>
      </c>
      <c r="J52" s="260">
        <f t="shared" si="59"/>
        <v>0</v>
      </c>
      <c r="K52" s="260">
        <f t="shared" si="60"/>
        <v>0</v>
      </c>
      <c r="L52" s="260">
        <f t="shared" si="61"/>
        <v>0</v>
      </c>
      <c r="M52" s="432">
        <f t="array" ref="M52">MAX((IF(MNU_CODIGO_ALIMENTO_ENTREGA=CONCATENATE($C52,"_","P_"),MNU_GRAMAJE_REQUERIDO_TIPOB,"")))</f>
        <v>100</v>
      </c>
      <c r="N52" s="348">
        <f t="shared" si="62"/>
        <v>72950</v>
      </c>
      <c r="O52" s="348">
        <f t="shared" si="63"/>
        <v>3248</v>
      </c>
      <c r="P52" s="348">
        <f t="shared" si="64"/>
        <v>76198</v>
      </c>
      <c r="Q52" s="349">
        <f t="shared" si="65"/>
        <v>33265200</v>
      </c>
      <c r="R52" s="349">
        <f t="shared" si="66"/>
        <v>1481088</v>
      </c>
      <c r="S52" s="349">
        <f t="shared" si="67"/>
        <v>34746288</v>
      </c>
      <c r="T52" s="353">
        <f t="array" ref="T52">MAX((IF(MNU_CODIGO_ALIMENTO_ENTREGA=CONCATENATE($C52,"_","P_"),MNU_GRAMAJE_REQUERIDO_TIPOC,"")))</f>
        <v>100</v>
      </c>
      <c r="U52" s="259">
        <f t="shared" si="68"/>
        <v>76100</v>
      </c>
      <c r="V52" s="259">
        <f t="shared" si="69"/>
        <v>8104</v>
      </c>
      <c r="W52" s="259">
        <f t="shared" si="70"/>
        <v>84204</v>
      </c>
      <c r="X52" s="260">
        <f t="shared" si="71"/>
        <v>34701600</v>
      </c>
      <c r="Y52" s="260">
        <f t="shared" si="72"/>
        <v>3695424</v>
      </c>
      <c r="Z52" s="260">
        <f t="shared" si="73"/>
        <v>38397024</v>
      </c>
      <c r="AA52" s="258">
        <f t="array" ref="AA52">MAX((IF(MNU_CODIGO_ALIMENTO_ENTREGA=CONCATENATE($C52,"_","P_"),MNU_GRAMAJE_REQUERIDO_TIPOM,"")))</f>
        <v>100</v>
      </c>
      <c r="AB52" s="261">
        <f t="shared" si="74"/>
        <v>2430</v>
      </c>
      <c r="AC52" s="261">
        <v>0</v>
      </c>
      <c r="AD52" s="261">
        <f t="shared" si="75"/>
        <v>2430</v>
      </c>
      <c r="AE52" s="262">
        <f t="shared" si="76"/>
        <v>1108080</v>
      </c>
      <c r="AF52" s="262">
        <v>0</v>
      </c>
      <c r="AG52" s="262">
        <f t="shared" si="77"/>
        <v>1108080</v>
      </c>
      <c r="AH52" s="353">
        <f t="array" ref="AH52">MAX((IF(MNU_CODIGO_ALIMENTO_ENTREGA=CONCATENATE($C52,"_","P_"),MNU_GRAMAJE_REQUERIDO_TIPOH,"")))</f>
        <v>100</v>
      </c>
      <c r="AI52" s="259">
        <f t="shared" si="78"/>
        <v>2200</v>
      </c>
      <c r="AJ52" s="259">
        <v>0</v>
      </c>
      <c r="AK52" s="259">
        <f t="shared" si="79"/>
        <v>2200</v>
      </c>
      <c r="AL52" s="260">
        <f t="shared" si="80"/>
        <v>1003200</v>
      </c>
      <c r="AM52" s="260">
        <v>0</v>
      </c>
      <c r="AN52" s="260">
        <f t="shared" si="81"/>
        <v>1003200</v>
      </c>
      <c r="AO52" s="457">
        <f t="shared" si="82"/>
        <v>165032</v>
      </c>
      <c r="AP52" s="456">
        <f t="shared" si="83"/>
        <v>75254592</v>
      </c>
      <c r="AQ52" s="263" t="e">
        <f>#REF!+AH52+AA52+T52+M52</f>
        <v>#REF!</v>
      </c>
      <c r="AR52" s="263">
        <f t="shared" si="42"/>
        <v>75408272</v>
      </c>
      <c r="AS52" s="263" t="e">
        <f t="shared" si="43"/>
        <v>#REF!</v>
      </c>
      <c r="AT52" s="263">
        <f t="shared" si="44"/>
        <v>75573304</v>
      </c>
      <c r="AU52" s="263" t="e">
        <f t="shared" si="45"/>
        <v>#REF!</v>
      </c>
      <c r="AV52" s="263">
        <f t="shared" si="46"/>
        <v>80749816</v>
      </c>
      <c r="AW52" s="263" t="e">
        <f t="shared" si="47"/>
        <v>#REF!</v>
      </c>
      <c r="AX52" s="263" t="e">
        <f>AV52+#REF!+AH52+AA52+T52</f>
        <v>#REF!</v>
      </c>
      <c r="AY52" s="263" t="e">
        <f t="shared" si="48"/>
        <v>#REF!</v>
      </c>
      <c r="AZ52" s="263" t="e">
        <f t="shared" si="49"/>
        <v>#REF!</v>
      </c>
      <c r="BA52" s="263" t="e">
        <f t="shared" si="50"/>
        <v>#REF!</v>
      </c>
      <c r="BB52" s="263" t="e">
        <f t="shared" si="51"/>
        <v>#REF!</v>
      </c>
      <c r="BC52" s="263" t="e">
        <f t="shared" si="52"/>
        <v>#REF!</v>
      </c>
      <c r="BD52" s="263" t="e">
        <f t="shared" si="53"/>
        <v>#REF!</v>
      </c>
      <c r="BE52" s="263" t="e">
        <f>BC52+AV52+#REF!+AH52+AA52</f>
        <v>#REF!</v>
      </c>
      <c r="BF52" s="263" t="e">
        <f t="shared" si="54"/>
        <v>#REF!</v>
      </c>
      <c r="BG52" s="263" t="e">
        <f t="shared" si="55"/>
        <v>#REF!</v>
      </c>
    </row>
    <row r="53" spans="1:59" ht="15.75">
      <c r="A53" s="338">
        <v>4</v>
      </c>
      <c r="B53" s="338" t="s">
        <v>1</v>
      </c>
      <c r="C53" s="258">
        <v>7</v>
      </c>
      <c r="D53" s="328" t="s">
        <v>57</v>
      </c>
      <c r="E53" s="258" t="s">
        <v>9</v>
      </c>
      <c r="F53" s="431">
        <f t="array" ref="F53">MAX((IF(MNU_CODIGO_ALIMENTO_ENTREGA=CONCATENATE($C53,"_","P_"),MNU_GRAMAJE_REQUERIDO_TIPOA,"")))</f>
        <v>100</v>
      </c>
      <c r="G53" s="259">
        <f t="shared" si="56"/>
        <v>139502</v>
      </c>
      <c r="H53" s="259">
        <f t="shared" si="57"/>
        <v>14012</v>
      </c>
      <c r="I53" s="259">
        <f t="shared" si="58"/>
        <v>153514</v>
      </c>
      <c r="J53" s="260">
        <f t="shared" si="59"/>
        <v>15624224</v>
      </c>
      <c r="K53" s="260">
        <f t="shared" si="60"/>
        <v>1569344</v>
      </c>
      <c r="L53" s="260">
        <f t="shared" si="61"/>
        <v>17193568</v>
      </c>
      <c r="M53" s="432">
        <f t="array" ref="M53">MAX((IF(MNU_CODIGO_ALIMENTO_ENTREGA=CONCATENATE($C53,"_","P_"),MNU_GRAMAJE_REQUERIDO_TIPOB,"")))</f>
        <v>100</v>
      </c>
      <c r="N53" s="348">
        <f t="shared" si="62"/>
        <v>74835</v>
      </c>
      <c r="O53" s="348">
        <f t="shared" si="63"/>
        <v>4906</v>
      </c>
      <c r="P53" s="348">
        <f t="shared" si="64"/>
        <v>79741</v>
      </c>
      <c r="Q53" s="349">
        <f t="shared" si="65"/>
        <v>8381520</v>
      </c>
      <c r="R53" s="349">
        <f t="shared" si="66"/>
        <v>549472</v>
      </c>
      <c r="S53" s="349">
        <f t="shared" si="67"/>
        <v>8930992</v>
      </c>
      <c r="T53" s="353">
        <f t="array" ref="T53">MAX((IF(MNU_CODIGO_ALIMENTO_ENTREGA=CONCATENATE($C53,"_","P_"),MNU_GRAMAJE_REQUERIDO_TIPOC,"")))</f>
        <v>100</v>
      </c>
      <c r="U53" s="259">
        <f t="shared" si="68"/>
        <v>81828</v>
      </c>
      <c r="V53" s="259">
        <f t="shared" si="69"/>
        <v>16775</v>
      </c>
      <c r="W53" s="259">
        <f t="shared" si="70"/>
        <v>98603</v>
      </c>
      <c r="X53" s="260">
        <f t="shared" si="71"/>
        <v>9164736</v>
      </c>
      <c r="Y53" s="260">
        <f t="shared" si="72"/>
        <v>1878800</v>
      </c>
      <c r="Z53" s="260">
        <f t="shared" si="73"/>
        <v>11043536</v>
      </c>
      <c r="AA53" s="258">
        <f t="array" ref="AA53">MAX((IF(MNU_CODIGO_ALIMENTO_ENTREGA=CONCATENATE($C53,"_","P_"),MNU_GRAMAJE_REQUERIDO_TIPOM,"")))</f>
        <v>100</v>
      </c>
      <c r="AB53" s="261">
        <f t="shared" si="74"/>
        <v>1296</v>
      </c>
      <c r="AC53" s="261">
        <v>0</v>
      </c>
      <c r="AD53" s="261">
        <f t="shared" si="75"/>
        <v>1296</v>
      </c>
      <c r="AE53" s="262">
        <f t="shared" si="76"/>
        <v>145152</v>
      </c>
      <c r="AF53" s="262">
        <v>0</v>
      </c>
      <c r="AG53" s="262">
        <f t="shared" si="77"/>
        <v>145152</v>
      </c>
      <c r="AH53" s="353">
        <f t="array" ref="AH53">MAX((IF(MNU_CODIGO_ALIMENTO_ENTREGA=CONCATENATE($C53,"_","P_"),MNU_GRAMAJE_REQUERIDO_TIPOH,"")))</f>
        <v>100</v>
      </c>
      <c r="AI53" s="259">
        <f t="shared" si="78"/>
        <v>1296</v>
      </c>
      <c r="AJ53" s="259">
        <v>0</v>
      </c>
      <c r="AK53" s="259">
        <f t="shared" si="79"/>
        <v>1296</v>
      </c>
      <c r="AL53" s="260">
        <f t="shared" si="80"/>
        <v>145152</v>
      </c>
      <c r="AM53" s="260">
        <v>0</v>
      </c>
      <c r="AN53" s="260">
        <f t="shared" si="81"/>
        <v>145152</v>
      </c>
      <c r="AO53" s="457">
        <f t="shared" si="82"/>
        <v>334450</v>
      </c>
      <c r="AP53" s="456">
        <f t="shared" si="83"/>
        <v>37458400</v>
      </c>
      <c r="AQ53" s="263" t="e">
        <f>#REF!+AH53+AA53+T53+M53</f>
        <v>#REF!</v>
      </c>
      <c r="AR53" s="263">
        <f t="shared" si="42"/>
        <v>37617655</v>
      </c>
      <c r="AS53" s="263" t="e">
        <f t="shared" si="43"/>
        <v>#REF!</v>
      </c>
      <c r="AT53" s="263">
        <f t="shared" si="44"/>
        <v>37798591</v>
      </c>
      <c r="AU53" s="263" t="e">
        <f t="shared" si="45"/>
        <v>#REF!</v>
      </c>
      <c r="AV53" s="263">
        <f t="shared" si="46"/>
        <v>40226863</v>
      </c>
      <c r="AW53" s="263" t="e">
        <f t="shared" si="47"/>
        <v>#REF!</v>
      </c>
      <c r="AX53" s="263" t="e">
        <f>AV53+#REF!+AH53+AA53+T53</f>
        <v>#REF!</v>
      </c>
      <c r="AY53" s="263" t="e">
        <f t="shared" si="48"/>
        <v>#REF!</v>
      </c>
      <c r="AZ53" s="263" t="e">
        <f t="shared" si="49"/>
        <v>#REF!</v>
      </c>
      <c r="BA53" s="263" t="e">
        <f t="shared" si="50"/>
        <v>#REF!</v>
      </c>
      <c r="BB53" s="263" t="e">
        <f t="shared" si="51"/>
        <v>#REF!</v>
      </c>
      <c r="BC53" s="263" t="e">
        <f t="shared" si="52"/>
        <v>#REF!</v>
      </c>
      <c r="BD53" s="263" t="e">
        <f t="shared" si="53"/>
        <v>#REF!</v>
      </c>
      <c r="BE53" s="263" t="e">
        <f>BC53+AV53+#REF!+AH53+AA53</f>
        <v>#REF!</v>
      </c>
      <c r="BF53" s="263" t="e">
        <f t="shared" si="54"/>
        <v>#REF!</v>
      </c>
      <c r="BG53" s="263" t="e">
        <f t="shared" si="55"/>
        <v>#REF!</v>
      </c>
    </row>
    <row r="54" spans="1:59" ht="15.75">
      <c r="A54" s="338">
        <v>4</v>
      </c>
      <c r="B54" s="338" t="s">
        <v>1</v>
      </c>
      <c r="C54" s="258">
        <v>8</v>
      </c>
      <c r="D54" s="328" t="s">
        <v>55</v>
      </c>
      <c r="E54" s="258" t="s">
        <v>9</v>
      </c>
      <c r="F54" s="431">
        <f t="array" ref="F54">MAX((IF(MNU_CODIGO_ALIMENTO_ENTREGA=CONCATENATE($C54,"_","P_"),MNU_GRAMAJE_REQUERIDO_TIPOA,"")))</f>
        <v>100</v>
      </c>
      <c r="G54" s="259">
        <f t="shared" si="56"/>
        <v>63410</v>
      </c>
      <c r="H54" s="259">
        <f t="shared" si="57"/>
        <v>4972</v>
      </c>
      <c r="I54" s="259">
        <f t="shared" si="58"/>
        <v>68382</v>
      </c>
      <c r="J54" s="260">
        <f t="shared" si="59"/>
        <v>8940810</v>
      </c>
      <c r="K54" s="260">
        <f t="shared" si="60"/>
        <v>701052</v>
      </c>
      <c r="L54" s="260">
        <f t="shared" si="61"/>
        <v>9641862</v>
      </c>
      <c r="M54" s="432">
        <f t="array" ref="M54">MAX((IF(MNU_CODIGO_ALIMENTO_ENTREGA=CONCATENATE($C54,"_","P_"),MNU_GRAMAJE_REQUERIDO_TIPOB,"")))</f>
        <v>100</v>
      </c>
      <c r="N54" s="348">
        <f t="shared" si="62"/>
        <v>66520</v>
      </c>
      <c r="O54" s="348">
        <f t="shared" si="63"/>
        <v>4906</v>
      </c>
      <c r="P54" s="348">
        <f t="shared" si="64"/>
        <v>71426</v>
      </c>
      <c r="Q54" s="349">
        <f t="shared" si="65"/>
        <v>9379320</v>
      </c>
      <c r="R54" s="349">
        <f t="shared" si="66"/>
        <v>691746</v>
      </c>
      <c r="S54" s="349">
        <f t="shared" si="67"/>
        <v>10071066</v>
      </c>
      <c r="T54" s="353">
        <f t="array" ref="T54">MAX((IF(MNU_CODIGO_ALIMENTO_ENTREGA=CONCATENATE($C54,"_","P_"),MNU_GRAMAJE_REQUERIDO_TIPOC,"")))</f>
        <v>100</v>
      </c>
      <c r="U54" s="259">
        <f t="shared" si="68"/>
        <v>72736</v>
      </c>
      <c r="V54" s="259">
        <f t="shared" si="69"/>
        <v>16775</v>
      </c>
      <c r="W54" s="259">
        <f t="shared" si="70"/>
        <v>89511</v>
      </c>
      <c r="X54" s="260">
        <f t="shared" si="71"/>
        <v>10255776</v>
      </c>
      <c r="Y54" s="260">
        <f t="shared" si="72"/>
        <v>2365275</v>
      </c>
      <c r="Z54" s="260">
        <f t="shared" si="73"/>
        <v>12621051</v>
      </c>
      <c r="AA54" s="258">
        <f t="array" ref="AA54">MAX((IF(MNU_CODIGO_ALIMENTO_ENTREGA=CONCATENATE($C54,"_","P_"),MNU_GRAMAJE_REQUERIDO_TIPOM,"")))</f>
        <v>100</v>
      </c>
      <c r="AB54" s="261">
        <f t="shared" si="74"/>
        <v>1152</v>
      </c>
      <c r="AC54" s="261">
        <v>0</v>
      </c>
      <c r="AD54" s="261">
        <f t="shared" si="75"/>
        <v>1152</v>
      </c>
      <c r="AE54" s="262">
        <f t="shared" si="76"/>
        <v>162432</v>
      </c>
      <c r="AF54" s="262">
        <v>0</v>
      </c>
      <c r="AG54" s="262">
        <f t="shared" si="77"/>
        <v>162432</v>
      </c>
      <c r="AH54" s="353">
        <f t="array" ref="AH54">MAX((IF(MNU_CODIGO_ALIMENTO_ENTREGA=CONCATENATE($C54,"_","P_"),MNU_GRAMAJE_REQUERIDO_TIPOH,"")))</f>
        <v>100</v>
      </c>
      <c r="AI54" s="259">
        <f t="shared" si="78"/>
        <v>1152</v>
      </c>
      <c r="AJ54" s="259">
        <v>0</v>
      </c>
      <c r="AK54" s="259">
        <f t="shared" si="79"/>
        <v>1152</v>
      </c>
      <c r="AL54" s="260">
        <f t="shared" si="80"/>
        <v>162432</v>
      </c>
      <c r="AM54" s="260">
        <v>0</v>
      </c>
      <c r="AN54" s="260">
        <f t="shared" si="81"/>
        <v>162432</v>
      </c>
      <c r="AO54" s="457">
        <f t="shared" si="82"/>
        <v>231623</v>
      </c>
      <c r="AP54" s="456">
        <f t="shared" si="83"/>
        <v>32658843</v>
      </c>
      <c r="AQ54" s="263" t="e">
        <f>#REF!+AH54+AA54+T54+M54</f>
        <v>#REF!</v>
      </c>
      <c r="AR54" s="263">
        <f t="shared" si="42"/>
        <v>32800403</v>
      </c>
      <c r="AS54" s="263" t="e">
        <f t="shared" si="43"/>
        <v>#REF!</v>
      </c>
      <c r="AT54" s="263">
        <f t="shared" si="44"/>
        <v>32963644</v>
      </c>
      <c r="AU54" s="263" t="e">
        <f t="shared" si="45"/>
        <v>#REF!</v>
      </c>
      <c r="AV54" s="263">
        <f t="shared" si="46"/>
        <v>36020665</v>
      </c>
      <c r="AW54" s="263" t="e">
        <f t="shared" si="47"/>
        <v>#REF!</v>
      </c>
      <c r="AX54" s="263" t="e">
        <f>AV54+#REF!+AH54+AA54+T54</f>
        <v>#REF!</v>
      </c>
      <c r="AY54" s="263" t="e">
        <f t="shared" si="48"/>
        <v>#REF!</v>
      </c>
      <c r="AZ54" s="263" t="e">
        <f t="shared" si="49"/>
        <v>#REF!</v>
      </c>
      <c r="BA54" s="263" t="e">
        <f t="shared" si="50"/>
        <v>#REF!</v>
      </c>
      <c r="BB54" s="263" t="e">
        <f t="shared" si="51"/>
        <v>#REF!</v>
      </c>
      <c r="BC54" s="263" t="e">
        <f t="shared" si="52"/>
        <v>#REF!</v>
      </c>
      <c r="BD54" s="263" t="e">
        <f t="shared" si="53"/>
        <v>#REF!</v>
      </c>
      <c r="BE54" s="263" t="e">
        <f>BC54+AV54+#REF!+AH54+AA54</f>
        <v>#REF!</v>
      </c>
      <c r="BF54" s="263" t="e">
        <f t="shared" si="54"/>
        <v>#REF!</v>
      </c>
      <c r="BG54" s="263" t="e">
        <f t="shared" si="55"/>
        <v>#REF!</v>
      </c>
    </row>
    <row r="55" spans="1:59" ht="15.75">
      <c r="A55" s="338">
        <v>4</v>
      </c>
      <c r="B55" s="338" t="s">
        <v>1</v>
      </c>
      <c r="C55" s="258">
        <v>17</v>
      </c>
      <c r="D55" s="328" t="s">
        <v>53</v>
      </c>
      <c r="E55" s="258" t="s">
        <v>9</v>
      </c>
      <c r="F55" s="431">
        <f t="array" ref="F55">MAX((IF(MNU_CODIGO_ALIMENTO_ENTREGA=CONCATENATE($C55,"_","P_"),MNU_GRAMAJE_REQUERIDO_TIPOA,"")))</f>
        <v>0</v>
      </c>
      <c r="G55" s="259">
        <f t="shared" si="56"/>
        <v>0</v>
      </c>
      <c r="H55" s="259">
        <f t="shared" si="57"/>
        <v>0</v>
      </c>
      <c r="I55" s="259">
        <f t="shared" si="58"/>
        <v>0</v>
      </c>
      <c r="J55" s="260">
        <f t="shared" si="59"/>
        <v>0</v>
      </c>
      <c r="K55" s="260">
        <f t="shared" si="60"/>
        <v>0</v>
      </c>
      <c r="L55" s="260">
        <f t="shared" si="61"/>
        <v>0</v>
      </c>
      <c r="M55" s="432">
        <f t="array" ref="M55">MAX((IF(MNU_CODIGO_ALIMENTO_ENTREGA=CONCATENATE($C55,"_","P_"),MNU_GRAMAJE_REQUERIDO_TIPOB,"")))</f>
        <v>100</v>
      </c>
      <c r="N55" s="348">
        <f t="shared" si="62"/>
        <v>174615</v>
      </c>
      <c r="O55" s="348">
        <f t="shared" si="63"/>
        <v>10258</v>
      </c>
      <c r="P55" s="348">
        <f t="shared" si="64"/>
        <v>184873</v>
      </c>
      <c r="Q55" s="349">
        <f t="shared" si="65"/>
        <v>41383755</v>
      </c>
      <c r="R55" s="349">
        <f t="shared" si="66"/>
        <v>2431146</v>
      </c>
      <c r="S55" s="349">
        <f t="shared" si="67"/>
        <v>43814901</v>
      </c>
      <c r="T55" s="353">
        <f t="array" ref="T55">MAX((IF(MNU_CODIGO_ALIMENTO_ENTREGA=CONCATENATE($C55,"_","P_"),MNU_GRAMAJE_REQUERIDO_TIPOC,"")))</f>
        <v>100</v>
      </c>
      <c r="U55" s="259">
        <f t="shared" si="68"/>
        <v>190932</v>
      </c>
      <c r="V55" s="259">
        <f t="shared" si="69"/>
        <v>35075</v>
      </c>
      <c r="W55" s="259">
        <f t="shared" si="70"/>
        <v>226007</v>
      </c>
      <c r="X55" s="260">
        <f t="shared" si="71"/>
        <v>45250884</v>
      </c>
      <c r="Y55" s="260">
        <f t="shared" si="72"/>
        <v>8312775</v>
      </c>
      <c r="Z55" s="260">
        <f t="shared" si="73"/>
        <v>53563659</v>
      </c>
      <c r="AA55" s="258">
        <f t="array" ref="AA55">MAX((IF(MNU_CODIGO_ALIMENTO_ENTREGA=CONCATENATE($C55,"_","P_"),MNU_GRAMAJE_REQUERIDO_TIPOM,"")))</f>
        <v>100</v>
      </c>
      <c r="AB55" s="261">
        <f t="shared" si="74"/>
        <v>3024</v>
      </c>
      <c r="AC55" s="261">
        <v>0</v>
      </c>
      <c r="AD55" s="261">
        <f t="shared" si="75"/>
        <v>3024</v>
      </c>
      <c r="AE55" s="262">
        <f t="shared" si="76"/>
        <v>716688</v>
      </c>
      <c r="AF55" s="262">
        <v>0</v>
      </c>
      <c r="AG55" s="262">
        <f t="shared" si="77"/>
        <v>716688</v>
      </c>
      <c r="AH55" s="353">
        <f t="array" ref="AH55">MAX((IF(MNU_CODIGO_ALIMENTO_ENTREGA=CONCATENATE($C55,"_","P_"),MNU_GRAMAJE_REQUERIDO_TIPOH,"")))</f>
        <v>100</v>
      </c>
      <c r="AI55" s="259">
        <f t="shared" si="78"/>
        <v>3024</v>
      </c>
      <c r="AJ55" s="259">
        <v>0</v>
      </c>
      <c r="AK55" s="259">
        <f t="shared" si="79"/>
        <v>3024</v>
      </c>
      <c r="AL55" s="260">
        <f t="shared" si="80"/>
        <v>716688</v>
      </c>
      <c r="AM55" s="260">
        <v>0</v>
      </c>
      <c r="AN55" s="260">
        <f t="shared" si="81"/>
        <v>716688</v>
      </c>
      <c r="AO55" s="457">
        <f t="shared" si="82"/>
        <v>416928</v>
      </c>
      <c r="AP55" s="456">
        <f t="shared" si="83"/>
        <v>98811936</v>
      </c>
      <c r="AQ55" s="263" t="e">
        <f>#REF!+AH55+AA55+T55+M55</f>
        <v>#REF!</v>
      </c>
      <c r="AR55" s="263">
        <f t="shared" si="42"/>
        <v>99183531</v>
      </c>
      <c r="AS55" s="263" t="e">
        <f t="shared" si="43"/>
        <v>#REF!</v>
      </c>
      <c r="AT55" s="263">
        <f t="shared" si="44"/>
        <v>99600459</v>
      </c>
      <c r="AU55" s="263" t="e">
        <f t="shared" si="45"/>
        <v>#REF!</v>
      </c>
      <c r="AV55" s="263">
        <f t="shared" si="46"/>
        <v>110344380</v>
      </c>
      <c r="AW55" s="263" t="e">
        <f t="shared" si="47"/>
        <v>#REF!</v>
      </c>
      <c r="AX55" s="263" t="e">
        <f>AV55+#REF!+AH55+AA55+T55</f>
        <v>#REF!</v>
      </c>
      <c r="AY55" s="263" t="e">
        <f t="shared" si="48"/>
        <v>#REF!</v>
      </c>
      <c r="AZ55" s="263" t="e">
        <f t="shared" si="49"/>
        <v>#REF!</v>
      </c>
      <c r="BA55" s="263" t="e">
        <f t="shared" si="50"/>
        <v>#REF!</v>
      </c>
      <c r="BB55" s="263" t="e">
        <f t="shared" si="51"/>
        <v>#REF!</v>
      </c>
      <c r="BC55" s="263" t="e">
        <f t="shared" si="52"/>
        <v>#REF!</v>
      </c>
      <c r="BD55" s="263" t="e">
        <f t="shared" si="53"/>
        <v>#REF!</v>
      </c>
      <c r="BE55" s="263" t="e">
        <f>BC55+AV55+#REF!+AH55+AA55</f>
        <v>#REF!</v>
      </c>
      <c r="BF55" s="263" t="e">
        <f t="shared" si="54"/>
        <v>#REF!</v>
      </c>
      <c r="BG55" s="263" t="e">
        <f t="shared" si="55"/>
        <v>#REF!</v>
      </c>
    </row>
    <row r="56" spans="1:59" ht="15.75">
      <c r="A56" s="338">
        <v>4</v>
      </c>
      <c r="B56" s="338" t="s">
        <v>1</v>
      </c>
      <c r="C56" s="258">
        <v>22</v>
      </c>
      <c r="D56" s="328" t="s">
        <v>51</v>
      </c>
      <c r="E56" s="258" t="s">
        <v>9</v>
      </c>
      <c r="F56" s="431">
        <f t="array" ref="F56">MAX((IF(MNU_CODIGO_ALIMENTO_ENTREGA=CONCATENATE($C56,"_","P_"),MNU_GRAMAJE_REQUERIDO_TIPOA,"")))</f>
        <v>0</v>
      </c>
      <c r="G56" s="259">
        <f t="shared" si="56"/>
        <v>0</v>
      </c>
      <c r="H56" s="259">
        <f t="shared" si="57"/>
        <v>0</v>
      </c>
      <c r="I56" s="259">
        <f t="shared" si="58"/>
        <v>0</v>
      </c>
      <c r="J56" s="260">
        <f t="shared" si="59"/>
        <v>0</v>
      </c>
      <c r="K56" s="260">
        <f t="shared" si="60"/>
        <v>0</v>
      </c>
      <c r="L56" s="260">
        <f t="shared" si="61"/>
        <v>0</v>
      </c>
      <c r="M56" s="432">
        <f t="array" ref="M56">MAX((IF(MNU_CODIGO_ALIMENTO_ENTREGA=CONCATENATE($C56,"_","P_"),MNU_GRAMAJE_REQUERIDO_TIPOB,"")))</f>
        <v>100</v>
      </c>
      <c r="N56" s="348">
        <f t="shared" si="62"/>
        <v>166300</v>
      </c>
      <c r="O56" s="348">
        <f t="shared" si="63"/>
        <v>10258</v>
      </c>
      <c r="P56" s="348">
        <f t="shared" si="64"/>
        <v>176558</v>
      </c>
      <c r="Q56" s="349">
        <f t="shared" si="65"/>
        <v>91631300</v>
      </c>
      <c r="R56" s="349">
        <f t="shared" si="66"/>
        <v>5652158</v>
      </c>
      <c r="S56" s="349">
        <f t="shared" si="67"/>
        <v>97283458</v>
      </c>
      <c r="T56" s="353">
        <f t="array" ref="T56">MAX((IF(MNU_CODIGO_ALIMENTO_ENTREGA=CONCATENATE($C56,"_","P_"),MNU_GRAMAJE_REQUERIDO_TIPOC,"")))</f>
        <v>100</v>
      </c>
      <c r="U56" s="259">
        <f t="shared" si="68"/>
        <v>181840</v>
      </c>
      <c r="V56" s="259">
        <f t="shared" si="69"/>
        <v>35075</v>
      </c>
      <c r="W56" s="259">
        <f t="shared" si="70"/>
        <v>216915</v>
      </c>
      <c r="X56" s="260">
        <f t="shared" si="71"/>
        <v>100193840</v>
      </c>
      <c r="Y56" s="260">
        <f t="shared" si="72"/>
        <v>19326325</v>
      </c>
      <c r="Z56" s="260">
        <f t="shared" si="73"/>
        <v>119520165</v>
      </c>
      <c r="AA56" s="258">
        <f t="array" ref="AA56">MAX((IF(MNU_CODIGO_ALIMENTO_ENTREGA=CONCATENATE($C56,"_","P_"),MNU_GRAMAJE_REQUERIDO_TIPOM,"")))</f>
        <v>100</v>
      </c>
      <c r="AB56" s="261">
        <f t="shared" si="74"/>
        <v>2880</v>
      </c>
      <c r="AC56" s="261">
        <v>0</v>
      </c>
      <c r="AD56" s="261">
        <f t="shared" si="75"/>
        <v>2880</v>
      </c>
      <c r="AE56" s="262">
        <f t="shared" si="76"/>
        <v>1586880</v>
      </c>
      <c r="AF56" s="262">
        <v>0</v>
      </c>
      <c r="AG56" s="262">
        <f t="shared" si="77"/>
        <v>1586880</v>
      </c>
      <c r="AH56" s="353">
        <f t="array" ref="AH56">MAX((IF(MNU_CODIGO_ALIMENTO_ENTREGA=CONCATENATE($C56,"_","P_"),MNU_GRAMAJE_REQUERIDO_TIPOH,"")))</f>
        <v>100</v>
      </c>
      <c r="AI56" s="259">
        <f t="shared" si="78"/>
        <v>2880</v>
      </c>
      <c r="AJ56" s="259">
        <v>0</v>
      </c>
      <c r="AK56" s="259">
        <f t="shared" si="79"/>
        <v>2880</v>
      </c>
      <c r="AL56" s="260">
        <f t="shared" si="80"/>
        <v>1586880</v>
      </c>
      <c r="AM56" s="260">
        <v>0</v>
      </c>
      <c r="AN56" s="260">
        <f t="shared" si="81"/>
        <v>1586880</v>
      </c>
      <c r="AO56" s="457">
        <f t="shared" si="82"/>
        <v>399233</v>
      </c>
      <c r="AP56" s="456">
        <f t="shared" si="83"/>
        <v>219977383</v>
      </c>
      <c r="AQ56" s="263" t="e">
        <f>#REF!+AH56+AA56+T56+M56</f>
        <v>#REF!</v>
      </c>
      <c r="AR56" s="263">
        <f t="shared" si="42"/>
        <v>220331283</v>
      </c>
      <c r="AS56" s="263" t="e">
        <f t="shared" si="43"/>
        <v>#REF!</v>
      </c>
      <c r="AT56" s="263">
        <f t="shared" si="44"/>
        <v>220730516</v>
      </c>
      <c r="AU56" s="263" t="e">
        <f t="shared" si="45"/>
        <v>#REF!</v>
      </c>
      <c r="AV56" s="263">
        <f t="shared" si="46"/>
        <v>245708999</v>
      </c>
      <c r="AW56" s="263" t="e">
        <f t="shared" si="47"/>
        <v>#REF!</v>
      </c>
      <c r="AX56" s="263" t="e">
        <f>AV56+#REF!+AH56+AA56+T56</f>
        <v>#REF!</v>
      </c>
      <c r="AY56" s="263" t="e">
        <f t="shared" si="48"/>
        <v>#REF!</v>
      </c>
      <c r="AZ56" s="263" t="e">
        <f t="shared" si="49"/>
        <v>#REF!</v>
      </c>
      <c r="BA56" s="263" t="e">
        <f t="shared" si="50"/>
        <v>#REF!</v>
      </c>
      <c r="BB56" s="263" t="e">
        <f t="shared" si="51"/>
        <v>#REF!</v>
      </c>
      <c r="BC56" s="263" t="e">
        <f t="shared" si="52"/>
        <v>#REF!</v>
      </c>
      <c r="BD56" s="263" t="e">
        <f t="shared" si="53"/>
        <v>#REF!</v>
      </c>
      <c r="BE56" s="263" t="e">
        <f>BC56+AV56+#REF!+AH56+AA56</f>
        <v>#REF!</v>
      </c>
      <c r="BF56" s="263" t="e">
        <f t="shared" si="54"/>
        <v>#REF!</v>
      </c>
      <c r="BG56" s="263" t="e">
        <f t="shared" si="55"/>
        <v>#REF!</v>
      </c>
    </row>
    <row r="57" spans="1:59" ht="15.75">
      <c r="A57" s="338">
        <v>4</v>
      </c>
      <c r="B57" s="338" t="s">
        <v>1</v>
      </c>
      <c r="C57" s="258">
        <v>33</v>
      </c>
      <c r="D57" s="328" t="s">
        <v>59</v>
      </c>
      <c r="E57" s="258" t="s">
        <v>48</v>
      </c>
      <c r="F57" s="431">
        <v>1</v>
      </c>
      <c r="G57" s="259">
        <f t="shared" si="56"/>
        <v>171207</v>
      </c>
      <c r="H57" s="259">
        <f t="shared" si="57"/>
        <v>13108</v>
      </c>
      <c r="I57" s="259">
        <f t="shared" si="58"/>
        <v>184315</v>
      </c>
      <c r="J57" s="260">
        <f t="shared" si="59"/>
        <v>48451581</v>
      </c>
      <c r="K57" s="260">
        <f t="shared" si="60"/>
        <v>3709564</v>
      </c>
      <c r="L57" s="260">
        <f t="shared" si="61"/>
        <v>52161145</v>
      </c>
      <c r="M57" s="432">
        <v>1</v>
      </c>
      <c r="N57" s="348">
        <f t="shared" si="62"/>
        <v>149670</v>
      </c>
      <c r="O57" s="348">
        <f t="shared" si="63"/>
        <v>10258</v>
      </c>
      <c r="P57" s="348">
        <f t="shared" si="64"/>
        <v>159928</v>
      </c>
      <c r="Q57" s="349">
        <f t="shared" si="65"/>
        <v>42356610</v>
      </c>
      <c r="R57" s="349">
        <f t="shared" si="66"/>
        <v>2903014</v>
      </c>
      <c r="S57" s="349">
        <f t="shared" si="67"/>
        <v>45259624</v>
      </c>
      <c r="T57" s="431">
        <v>1</v>
      </c>
      <c r="U57" s="259">
        <f t="shared" si="68"/>
        <v>163656</v>
      </c>
      <c r="V57" s="259">
        <f t="shared" si="69"/>
        <v>35075</v>
      </c>
      <c r="W57" s="259">
        <f t="shared" si="70"/>
        <v>198731</v>
      </c>
      <c r="X57" s="260">
        <f t="shared" si="71"/>
        <v>46314648</v>
      </c>
      <c r="Y57" s="260">
        <f t="shared" si="72"/>
        <v>9926225</v>
      </c>
      <c r="Z57" s="260">
        <f t="shared" si="73"/>
        <v>56240873</v>
      </c>
      <c r="AA57" s="258">
        <v>1</v>
      </c>
      <c r="AB57" s="261">
        <f t="shared" si="74"/>
        <v>2592</v>
      </c>
      <c r="AC57" s="261">
        <v>0</v>
      </c>
      <c r="AD57" s="261">
        <f t="shared" si="75"/>
        <v>2592</v>
      </c>
      <c r="AE57" s="262">
        <f t="shared" si="76"/>
        <v>733536</v>
      </c>
      <c r="AF57" s="262">
        <v>0</v>
      </c>
      <c r="AG57" s="262">
        <f t="shared" si="77"/>
        <v>733536</v>
      </c>
      <c r="AH57" s="353">
        <v>1</v>
      </c>
      <c r="AI57" s="259">
        <f t="shared" si="78"/>
        <v>2592</v>
      </c>
      <c r="AJ57" s="259">
        <v>0</v>
      </c>
      <c r="AK57" s="259">
        <f t="shared" si="79"/>
        <v>2592</v>
      </c>
      <c r="AL57" s="260">
        <f t="shared" si="80"/>
        <v>733536</v>
      </c>
      <c r="AM57" s="260">
        <v>0</v>
      </c>
      <c r="AN57" s="260">
        <f t="shared" si="81"/>
        <v>733536</v>
      </c>
      <c r="AO57" s="457">
        <f t="shared" si="82"/>
        <v>548158</v>
      </c>
      <c r="AP57" s="456">
        <f t="shared" si="83"/>
        <v>155128714</v>
      </c>
      <c r="AQ57" s="263" t="e">
        <f>#REF!+AH57+AA57+T57+M57</f>
        <v>#REF!</v>
      </c>
      <c r="AR57" s="263">
        <f t="shared" si="42"/>
        <v>155447224</v>
      </c>
      <c r="AS57" s="263" t="e">
        <f t="shared" si="43"/>
        <v>#REF!</v>
      </c>
      <c r="AT57" s="263">
        <f t="shared" si="44"/>
        <v>155811067</v>
      </c>
      <c r="AU57" s="263" t="e">
        <f t="shared" si="45"/>
        <v>#REF!</v>
      </c>
      <c r="AV57" s="263">
        <f t="shared" si="46"/>
        <v>168640306</v>
      </c>
      <c r="AW57" s="263" t="e">
        <f t="shared" si="47"/>
        <v>#REF!</v>
      </c>
      <c r="AX57" s="263" t="e">
        <f>AV57+#REF!+AH57+AA57+T57</f>
        <v>#REF!</v>
      </c>
      <c r="AY57" s="263" t="e">
        <f t="shared" si="48"/>
        <v>#REF!</v>
      </c>
      <c r="AZ57" s="263" t="e">
        <f t="shared" si="49"/>
        <v>#REF!</v>
      </c>
      <c r="BA57" s="263" t="e">
        <f t="shared" si="50"/>
        <v>#REF!</v>
      </c>
      <c r="BB57" s="263" t="e">
        <f t="shared" si="51"/>
        <v>#REF!</v>
      </c>
      <c r="BC57" s="263" t="e">
        <f t="shared" si="52"/>
        <v>#REF!</v>
      </c>
      <c r="BD57" s="263" t="e">
        <f t="shared" si="53"/>
        <v>#REF!</v>
      </c>
      <c r="BE57" s="263" t="e">
        <f>BC57+AV57+#REF!+AH57+AA57</f>
        <v>#REF!</v>
      </c>
      <c r="BF57" s="263" t="e">
        <f t="shared" si="54"/>
        <v>#REF!</v>
      </c>
      <c r="BG57" s="263" t="e">
        <f t="shared" si="55"/>
        <v>#REF!</v>
      </c>
    </row>
    <row r="58" spans="1:59" ht="15.75">
      <c r="A58" s="338">
        <v>4</v>
      </c>
      <c r="B58" s="338" t="s">
        <v>1</v>
      </c>
      <c r="C58" s="258">
        <v>36</v>
      </c>
      <c r="D58" s="328" t="s">
        <v>1340</v>
      </c>
      <c r="E58" s="258" t="s">
        <v>9</v>
      </c>
      <c r="F58" s="431">
        <f t="array" ref="F58">MAX((IF(MNU_CODIGO_ALIMENTO_ENTREGA=CONCATENATE($C58,"_","P_"),MNU_GRAMAJE_REQUERIDO_TIPOA,"")))</f>
        <v>20</v>
      </c>
      <c r="G58" s="259">
        <f t="shared" si="56"/>
        <v>44387</v>
      </c>
      <c r="H58" s="259">
        <f t="shared" si="57"/>
        <v>3616</v>
      </c>
      <c r="I58" s="259">
        <f t="shared" si="58"/>
        <v>48003</v>
      </c>
      <c r="J58" s="260">
        <f t="shared" si="59"/>
        <v>5859084</v>
      </c>
      <c r="K58" s="260">
        <f t="shared" si="60"/>
        <v>477312</v>
      </c>
      <c r="L58" s="260">
        <f t="shared" si="61"/>
        <v>6336396</v>
      </c>
      <c r="M58" s="432">
        <f t="array" ref="M58">MAX((IF(MNU_CODIGO_ALIMENTO_ENTREGA=CONCATENATE($C58,"_","P_"),MNU_GRAMAJE_REQUERIDO_TIPOB,"")))</f>
        <v>40</v>
      </c>
      <c r="N58" s="348">
        <f t="shared" si="62"/>
        <v>58205</v>
      </c>
      <c r="O58" s="348">
        <f t="shared" si="63"/>
        <v>3568</v>
      </c>
      <c r="P58" s="348">
        <f t="shared" si="64"/>
        <v>61773</v>
      </c>
      <c r="Q58" s="349">
        <f t="shared" si="65"/>
        <v>15424325</v>
      </c>
      <c r="R58" s="349">
        <f t="shared" si="66"/>
        <v>945520</v>
      </c>
      <c r="S58" s="349">
        <f t="shared" si="67"/>
        <v>16369845</v>
      </c>
      <c r="T58" s="353">
        <f t="array" ref="T58">MAX((IF(MNU_CODIGO_ALIMENTO_ENTREGA=CONCATENATE($C58,"_","P_"),MNU_GRAMAJE_REQUERIDO_TIPOC,"")))</f>
        <v>40</v>
      </c>
      <c r="U58" s="259">
        <f t="shared" si="68"/>
        <v>63644</v>
      </c>
      <c r="V58" s="259">
        <f t="shared" si="69"/>
        <v>12200</v>
      </c>
      <c r="W58" s="259">
        <f t="shared" si="70"/>
        <v>75844</v>
      </c>
      <c r="X58" s="260">
        <f t="shared" si="71"/>
        <v>16865660</v>
      </c>
      <c r="Y58" s="260">
        <f t="shared" si="72"/>
        <v>3233000</v>
      </c>
      <c r="Z58" s="260">
        <f t="shared" si="73"/>
        <v>20098660</v>
      </c>
      <c r="AA58" s="258">
        <f t="array" ref="AA58">MAX((IF(MNU_CODIGO_ALIMENTO_ENTREGA=CONCATENATE($C58,"_","P_"),MNU_GRAMAJE_REQUERIDO_TIPOM,"")))</f>
        <v>40</v>
      </c>
      <c r="AB58" s="261">
        <f t="shared" si="74"/>
        <v>1008</v>
      </c>
      <c r="AC58" s="261">
        <v>0</v>
      </c>
      <c r="AD58" s="261">
        <f t="shared" si="75"/>
        <v>1008</v>
      </c>
      <c r="AE58" s="262">
        <f t="shared" si="76"/>
        <v>267120</v>
      </c>
      <c r="AF58" s="262">
        <v>0</v>
      </c>
      <c r="AG58" s="262">
        <f t="shared" si="77"/>
        <v>267120</v>
      </c>
      <c r="AH58" s="353">
        <f t="array" ref="AH58">MAX((IF(MNU_CODIGO_ALIMENTO_ENTREGA=CONCATENATE($C58,"_","P_"),MNU_GRAMAJE_REQUERIDO_TIPOH,"")))</f>
        <v>40</v>
      </c>
      <c r="AI58" s="259">
        <f t="shared" si="78"/>
        <v>1008</v>
      </c>
      <c r="AJ58" s="259">
        <v>0</v>
      </c>
      <c r="AK58" s="259">
        <f t="shared" si="79"/>
        <v>1008</v>
      </c>
      <c r="AL58" s="260">
        <f t="shared" si="80"/>
        <v>267120</v>
      </c>
      <c r="AM58" s="260">
        <v>0</v>
      </c>
      <c r="AN58" s="260">
        <f t="shared" si="81"/>
        <v>267120</v>
      </c>
      <c r="AO58" s="457">
        <f t="shared" si="82"/>
        <v>187636</v>
      </c>
      <c r="AP58" s="456">
        <f t="shared" si="83"/>
        <v>43339141</v>
      </c>
      <c r="AQ58" s="263" t="e">
        <f>#REF!+AH58+AA58+T58+M58</f>
        <v>#REF!</v>
      </c>
      <c r="AR58" s="263">
        <f t="shared" si="42"/>
        <v>43463006</v>
      </c>
      <c r="AS58" s="263" t="e">
        <f t="shared" si="43"/>
        <v>#REF!</v>
      </c>
      <c r="AT58" s="263">
        <f t="shared" si="44"/>
        <v>43602639</v>
      </c>
      <c r="AU58" s="263" t="e">
        <f t="shared" si="45"/>
        <v>#REF!</v>
      </c>
      <c r="AV58" s="263">
        <f t="shared" si="46"/>
        <v>47781159</v>
      </c>
      <c r="AW58" s="263" t="e">
        <f t="shared" si="47"/>
        <v>#REF!</v>
      </c>
      <c r="AX58" s="263" t="e">
        <f>AV58+#REF!+AH58+AA58+T58</f>
        <v>#REF!</v>
      </c>
      <c r="AY58" s="263" t="e">
        <f t="shared" si="48"/>
        <v>#REF!</v>
      </c>
      <c r="AZ58" s="263" t="e">
        <f t="shared" si="49"/>
        <v>#REF!</v>
      </c>
      <c r="BA58" s="263" t="e">
        <f t="shared" si="50"/>
        <v>#REF!</v>
      </c>
      <c r="BB58" s="263" t="e">
        <f t="shared" si="51"/>
        <v>#REF!</v>
      </c>
      <c r="BC58" s="263" t="e">
        <f t="shared" si="52"/>
        <v>#REF!</v>
      </c>
      <c r="BD58" s="263" t="e">
        <f t="shared" si="53"/>
        <v>#REF!</v>
      </c>
      <c r="BE58" s="263" t="e">
        <f>BC58+AV58+#REF!+AH58+AA58</f>
        <v>#REF!</v>
      </c>
      <c r="BF58" s="263" t="e">
        <f t="shared" si="54"/>
        <v>#REF!</v>
      </c>
      <c r="BG58" s="263" t="e">
        <f t="shared" si="55"/>
        <v>#REF!</v>
      </c>
    </row>
    <row r="59" spans="1:59" ht="15.75">
      <c r="A59" s="338">
        <v>4</v>
      </c>
      <c r="B59" s="338" t="s">
        <v>1</v>
      </c>
      <c r="C59" s="258">
        <v>42</v>
      </c>
      <c r="D59" s="328" t="s">
        <v>61</v>
      </c>
      <c r="E59" s="258" t="s">
        <v>9</v>
      </c>
      <c r="F59" s="431">
        <f t="array" ref="F59">MAX((IF(MNU_CODIGO_ALIMENTO_ENTREGA=CONCATENATE($C59,"_","P_"),MNU_GRAMAJE_REQUERIDO_TIPOA,"")))</f>
        <v>100</v>
      </c>
      <c r="G59" s="259">
        <f t="shared" si="56"/>
        <v>145843</v>
      </c>
      <c r="H59" s="259">
        <f t="shared" si="57"/>
        <v>16272</v>
      </c>
      <c r="I59" s="259">
        <f t="shared" si="58"/>
        <v>162115</v>
      </c>
      <c r="J59" s="260">
        <f t="shared" si="59"/>
        <v>29751972</v>
      </c>
      <c r="K59" s="260">
        <f t="shared" si="60"/>
        <v>3319488</v>
      </c>
      <c r="L59" s="260">
        <f t="shared" si="61"/>
        <v>33071460</v>
      </c>
      <c r="M59" s="432">
        <f t="array" ref="M59">MAX((IF(MNU_CODIGO_ALIMENTO_ENTREGA=CONCATENATE($C59,"_","P_"),MNU_GRAMAJE_REQUERIDO_TIPOB,"")))</f>
        <v>100</v>
      </c>
      <c r="N59" s="348">
        <f t="shared" si="62"/>
        <v>157985</v>
      </c>
      <c r="O59" s="348">
        <f t="shared" si="63"/>
        <v>8474</v>
      </c>
      <c r="P59" s="348">
        <f t="shared" si="64"/>
        <v>166459</v>
      </c>
      <c r="Q59" s="349">
        <f t="shared" si="65"/>
        <v>32228940</v>
      </c>
      <c r="R59" s="349">
        <f t="shared" si="66"/>
        <v>1728696</v>
      </c>
      <c r="S59" s="349">
        <f t="shared" si="67"/>
        <v>33957636</v>
      </c>
      <c r="T59" s="353">
        <f t="array" ref="T59">MAX((IF(MNU_CODIGO_ALIMENTO_ENTREGA=CONCATENATE($C59,"_","P_"),MNU_GRAMAJE_REQUERIDO_TIPOC,"")))</f>
        <v>100</v>
      </c>
      <c r="U59" s="259">
        <f t="shared" si="68"/>
        <v>172748</v>
      </c>
      <c r="V59" s="259">
        <f t="shared" si="69"/>
        <v>28975</v>
      </c>
      <c r="W59" s="259">
        <f t="shared" si="70"/>
        <v>201723</v>
      </c>
      <c r="X59" s="260">
        <f t="shared" si="71"/>
        <v>35240592</v>
      </c>
      <c r="Y59" s="260">
        <f t="shared" si="72"/>
        <v>5910900</v>
      </c>
      <c r="Z59" s="260">
        <f t="shared" si="73"/>
        <v>41151492</v>
      </c>
      <c r="AA59" s="258">
        <f t="array" ref="AA59">MAX((IF(MNU_CODIGO_ALIMENTO_ENTREGA=CONCATENATE($C59,"_","P_"),MNU_GRAMAJE_REQUERIDO_TIPOM,"")))</f>
        <v>100</v>
      </c>
      <c r="AB59" s="261">
        <f t="shared" si="74"/>
        <v>2736</v>
      </c>
      <c r="AC59" s="261">
        <v>0</v>
      </c>
      <c r="AD59" s="261">
        <f t="shared" si="75"/>
        <v>2736</v>
      </c>
      <c r="AE59" s="262">
        <f t="shared" si="76"/>
        <v>558144</v>
      </c>
      <c r="AF59" s="262">
        <v>0</v>
      </c>
      <c r="AG59" s="262">
        <f t="shared" si="77"/>
        <v>558144</v>
      </c>
      <c r="AH59" s="353">
        <f t="array" ref="AH59">MAX((IF(MNU_CODIGO_ALIMENTO_ENTREGA=CONCATENATE($C59,"_","P_"),MNU_GRAMAJE_REQUERIDO_TIPOH,"")))</f>
        <v>100</v>
      </c>
      <c r="AI59" s="259">
        <f t="shared" si="78"/>
        <v>2736</v>
      </c>
      <c r="AJ59" s="259">
        <v>0</v>
      </c>
      <c r="AK59" s="259">
        <f t="shared" si="79"/>
        <v>2736</v>
      </c>
      <c r="AL59" s="260">
        <f t="shared" si="80"/>
        <v>558144</v>
      </c>
      <c r="AM59" s="260">
        <v>0</v>
      </c>
      <c r="AN59" s="260">
        <f t="shared" si="81"/>
        <v>558144</v>
      </c>
      <c r="AO59" s="457">
        <f t="shared" si="82"/>
        <v>535769</v>
      </c>
      <c r="AP59" s="456">
        <f t="shared" si="83"/>
        <v>109296876</v>
      </c>
      <c r="AQ59" s="263" t="e">
        <f>#REF!+AH59+AA59+T59+M59</f>
        <v>#REF!</v>
      </c>
      <c r="AR59" s="263">
        <f t="shared" si="42"/>
        <v>109633081</v>
      </c>
      <c r="AS59" s="263" t="e">
        <f t="shared" si="43"/>
        <v>#REF!</v>
      </c>
      <c r="AT59" s="263">
        <f t="shared" si="44"/>
        <v>110006735</v>
      </c>
      <c r="AU59" s="263" t="e">
        <f t="shared" si="45"/>
        <v>#REF!</v>
      </c>
      <c r="AV59" s="263">
        <f t="shared" si="46"/>
        <v>117646331</v>
      </c>
      <c r="AW59" s="263" t="e">
        <f t="shared" si="47"/>
        <v>#REF!</v>
      </c>
      <c r="AX59" s="263" t="e">
        <f>AV59+#REF!+AH59+AA59+T59</f>
        <v>#REF!</v>
      </c>
      <c r="AY59" s="263" t="e">
        <f t="shared" si="48"/>
        <v>#REF!</v>
      </c>
      <c r="AZ59" s="263" t="e">
        <f t="shared" si="49"/>
        <v>#REF!</v>
      </c>
      <c r="BA59" s="263" t="e">
        <f t="shared" si="50"/>
        <v>#REF!</v>
      </c>
      <c r="BB59" s="263" t="e">
        <f t="shared" si="51"/>
        <v>#REF!</v>
      </c>
      <c r="BC59" s="263" t="e">
        <f t="shared" si="52"/>
        <v>#REF!</v>
      </c>
      <c r="BD59" s="263" t="e">
        <f t="shared" si="53"/>
        <v>#REF!</v>
      </c>
      <c r="BE59" s="263" t="e">
        <f>BC59+AV59+#REF!+AH59+AA59</f>
        <v>#REF!</v>
      </c>
      <c r="BF59" s="263" t="e">
        <f t="shared" si="54"/>
        <v>#REF!</v>
      </c>
      <c r="BG59" s="263" t="e">
        <f t="shared" si="55"/>
        <v>#REF!</v>
      </c>
    </row>
    <row r="60" spans="1:59" ht="15.75">
      <c r="A60" s="338">
        <v>4</v>
      </c>
      <c r="B60" s="338" t="s">
        <v>1</v>
      </c>
      <c r="C60" s="258">
        <v>43</v>
      </c>
      <c r="D60" s="328" t="s">
        <v>62</v>
      </c>
      <c r="E60" s="258" t="s">
        <v>9</v>
      </c>
      <c r="F60" s="431">
        <f t="array" ref="F60">MAX((IF(MNU_CODIGO_ALIMENTO_ENTREGA=CONCATENATE($C60,"_","P_"),MNU_GRAMAJE_REQUERIDO_TIPOA,"")))</f>
        <v>100</v>
      </c>
      <c r="G60" s="259">
        <f t="shared" si="56"/>
        <v>152184</v>
      </c>
      <c r="H60" s="259">
        <f t="shared" si="57"/>
        <v>13108</v>
      </c>
      <c r="I60" s="259">
        <f t="shared" si="58"/>
        <v>165292</v>
      </c>
      <c r="J60" s="260">
        <f t="shared" si="59"/>
        <v>27088752</v>
      </c>
      <c r="K60" s="260">
        <f t="shared" si="60"/>
        <v>2333224</v>
      </c>
      <c r="L60" s="260">
        <f t="shared" si="61"/>
        <v>29421976</v>
      </c>
      <c r="M60" s="432">
        <f t="array" ref="M60">MAX((IF(MNU_CODIGO_ALIMENTO_ENTREGA=CONCATENATE($C60,"_","P_"),MNU_GRAMAJE_REQUERIDO_TIPOB,"")))</f>
        <v>100</v>
      </c>
      <c r="N60" s="348">
        <f t="shared" si="62"/>
        <v>141355</v>
      </c>
      <c r="O60" s="348">
        <f t="shared" si="63"/>
        <v>10258</v>
      </c>
      <c r="P60" s="348">
        <f t="shared" si="64"/>
        <v>151613</v>
      </c>
      <c r="Q60" s="349">
        <f t="shared" si="65"/>
        <v>25161190</v>
      </c>
      <c r="R60" s="349">
        <f t="shared" si="66"/>
        <v>1825924</v>
      </c>
      <c r="S60" s="349">
        <f t="shared" si="67"/>
        <v>26987114</v>
      </c>
      <c r="T60" s="353">
        <f t="array" ref="T60">MAX((IF(MNU_CODIGO_ALIMENTO_ENTREGA=CONCATENATE($C60,"_","P_"),MNU_GRAMAJE_REQUERIDO_TIPOC,"")))</f>
        <v>100</v>
      </c>
      <c r="U60" s="259">
        <f t="shared" si="68"/>
        <v>154564</v>
      </c>
      <c r="V60" s="259">
        <f t="shared" si="69"/>
        <v>35075</v>
      </c>
      <c r="W60" s="259">
        <f t="shared" si="70"/>
        <v>189639</v>
      </c>
      <c r="X60" s="260">
        <f t="shared" si="71"/>
        <v>27512392</v>
      </c>
      <c r="Y60" s="260">
        <f t="shared" si="72"/>
        <v>6243350</v>
      </c>
      <c r="Z60" s="260">
        <f t="shared" si="73"/>
        <v>33755742</v>
      </c>
      <c r="AA60" s="258">
        <f t="array" ref="AA60">MAX((IF(MNU_CODIGO_ALIMENTO_ENTREGA=CONCATENATE($C60,"_","P_"),MNU_GRAMAJE_REQUERIDO_TIPOM,"")))</f>
        <v>100</v>
      </c>
      <c r="AB60" s="261">
        <f t="shared" si="74"/>
        <v>2448</v>
      </c>
      <c r="AC60" s="261">
        <v>0</v>
      </c>
      <c r="AD60" s="261">
        <f t="shared" si="75"/>
        <v>2448</v>
      </c>
      <c r="AE60" s="262">
        <f t="shared" si="76"/>
        <v>435744</v>
      </c>
      <c r="AF60" s="262">
        <v>0</v>
      </c>
      <c r="AG60" s="262">
        <f t="shared" si="77"/>
        <v>435744</v>
      </c>
      <c r="AH60" s="353">
        <f t="array" ref="AH60">MAX((IF(MNU_CODIGO_ALIMENTO_ENTREGA=CONCATENATE($C60,"_","P_"),MNU_GRAMAJE_REQUERIDO_TIPOH,"")))</f>
        <v>100</v>
      </c>
      <c r="AI60" s="259">
        <f t="shared" si="78"/>
        <v>2448</v>
      </c>
      <c r="AJ60" s="259">
        <v>0</v>
      </c>
      <c r="AK60" s="259">
        <f t="shared" si="79"/>
        <v>2448</v>
      </c>
      <c r="AL60" s="260">
        <f t="shared" si="80"/>
        <v>435744</v>
      </c>
      <c r="AM60" s="260">
        <v>0</v>
      </c>
      <c r="AN60" s="260">
        <f t="shared" si="81"/>
        <v>435744</v>
      </c>
      <c r="AO60" s="457">
        <f t="shared" si="82"/>
        <v>511440</v>
      </c>
      <c r="AP60" s="456">
        <f t="shared" si="83"/>
        <v>91036320</v>
      </c>
      <c r="AQ60" s="263" t="e">
        <f>#REF!+AH60+AA60+T60+M60</f>
        <v>#REF!</v>
      </c>
      <c r="AR60" s="263">
        <f t="shared" si="42"/>
        <v>91337135</v>
      </c>
      <c r="AS60" s="263" t="e">
        <f t="shared" si="43"/>
        <v>#REF!</v>
      </c>
      <c r="AT60" s="263">
        <f t="shared" si="44"/>
        <v>91683283</v>
      </c>
      <c r="AU60" s="263" t="e">
        <f t="shared" si="45"/>
        <v>#REF!</v>
      </c>
      <c r="AV60" s="263">
        <f t="shared" si="46"/>
        <v>99752557</v>
      </c>
      <c r="AW60" s="263" t="e">
        <f t="shared" si="47"/>
        <v>#REF!</v>
      </c>
      <c r="AX60" s="263" t="e">
        <f>AV60+#REF!+AH60+AA60+T60</f>
        <v>#REF!</v>
      </c>
      <c r="AY60" s="263" t="e">
        <f t="shared" si="48"/>
        <v>#REF!</v>
      </c>
      <c r="AZ60" s="263" t="e">
        <f t="shared" si="49"/>
        <v>#REF!</v>
      </c>
      <c r="BA60" s="263" t="e">
        <f t="shared" si="50"/>
        <v>#REF!</v>
      </c>
      <c r="BB60" s="263" t="e">
        <f t="shared" si="51"/>
        <v>#REF!</v>
      </c>
      <c r="BC60" s="263" t="e">
        <f t="shared" si="52"/>
        <v>#REF!</v>
      </c>
      <c r="BD60" s="263" t="e">
        <f t="shared" si="53"/>
        <v>#REF!</v>
      </c>
      <c r="BE60" s="263" t="e">
        <f>BC60+AV60+#REF!+AH60+AA60</f>
        <v>#REF!</v>
      </c>
      <c r="BF60" s="263" t="e">
        <f t="shared" si="54"/>
        <v>#REF!</v>
      </c>
      <c r="BG60" s="263" t="e">
        <f t="shared" si="55"/>
        <v>#REF!</v>
      </c>
    </row>
    <row r="61" spans="1:59" ht="15.75">
      <c r="A61" s="338">
        <v>4</v>
      </c>
      <c r="B61" s="338" t="s">
        <v>1</v>
      </c>
      <c r="C61" s="258">
        <v>46</v>
      </c>
      <c r="D61" s="328" t="s">
        <v>64</v>
      </c>
      <c r="E61" s="258" t="s">
        <v>9</v>
      </c>
      <c r="F61" s="431">
        <f t="array" ref="F61">MAX((IF(MNU_CODIGO_ALIMENTO_ENTREGA=CONCATENATE($C61,"_","P_"),MNU_GRAMAJE_REQUERIDO_TIPOA,"")))</f>
        <v>100</v>
      </c>
      <c r="G61" s="259">
        <f t="shared" si="56"/>
        <v>190230</v>
      </c>
      <c r="H61" s="259">
        <f t="shared" si="57"/>
        <v>13108</v>
      </c>
      <c r="I61" s="259">
        <f t="shared" si="58"/>
        <v>203338</v>
      </c>
      <c r="J61" s="260">
        <f t="shared" si="59"/>
        <v>79516140</v>
      </c>
      <c r="K61" s="260">
        <f t="shared" si="60"/>
        <v>5479144</v>
      </c>
      <c r="L61" s="260">
        <f t="shared" si="61"/>
        <v>84995284</v>
      </c>
      <c r="M61" s="432">
        <f t="array" ref="M61">MAX((IF(MNU_CODIGO_ALIMENTO_ENTREGA=CONCATENATE($C61,"_","P_"),MNU_GRAMAJE_REQUERIDO_TIPOB,"")))</f>
        <v>100</v>
      </c>
      <c r="N61" s="348">
        <f t="shared" si="62"/>
        <v>174615</v>
      </c>
      <c r="O61" s="348">
        <f t="shared" si="63"/>
        <v>10704</v>
      </c>
      <c r="P61" s="348">
        <f t="shared" si="64"/>
        <v>185319</v>
      </c>
      <c r="Q61" s="349">
        <f t="shared" si="65"/>
        <v>72989070</v>
      </c>
      <c r="R61" s="349">
        <f t="shared" si="66"/>
        <v>4474272</v>
      </c>
      <c r="S61" s="349">
        <f t="shared" si="67"/>
        <v>77463342</v>
      </c>
      <c r="T61" s="353">
        <f t="array" ref="T61">MAX((IF(MNU_CODIGO_ALIMENTO_ENTREGA=CONCATENATE($C61,"_","P_"),MNU_GRAMAJE_REQUERIDO_TIPOC,"")))</f>
        <v>100</v>
      </c>
      <c r="U61" s="259">
        <f t="shared" si="68"/>
        <v>190932</v>
      </c>
      <c r="V61" s="259">
        <f t="shared" si="69"/>
        <v>36600</v>
      </c>
      <c r="W61" s="259">
        <f t="shared" si="70"/>
        <v>227532</v>
      </c>
      <c r="X61" s="260">
        <f t="shared" si="71"/>
        <v>79809576</v>
      </c>
      <c r="Y61" s="260">
        <f t="shared" si="72"/>
        <v>15298800</v>
      </c>
      <c r="Z61" s="260">
        <f t="shared" si="73"/>
        <v>95108376</v>
      </c>
      <c r="AA61" s="258">
        <f t="array" ref="AA61">MAX((IF(MNU_CODIGO_ALIMENTO_ENTREGA=CONCATENATE($C61,"_","P_"),MNU_GRAMAJE_REQUERIDO_TIPOM,"")))</f>
        <v>100</v>
      </c>
      <c r="AB61" s="261">
        <f t="shared" si="74"/>
        <v>3024</v>
      </c>
      <c r="AC61" s="261">
        <v>0</v>
      </c>
      <c r="AD61" s="261">
        <f t="shared" si="75"/>
        <v>3024</v>
      </c>
      <c r="AE61" s="262">
        <f t="shared" si="76"/>
        <v>1264032</v>
      </c>
      <c r="AF61" s="262">
        <v>0</v>
      </c>
      <c r="AG61" s="262">
        <f t="shared" si="77"/>
        <v>1264032</v>
      </c>
      <c r="AH61" s="353">
        <f t="array" ref="AH61">MAX((IF(MNU_CODIGO_ALIMENTO_ENTREGA=CONCATENATE($C61,"_","P_"),MNU_GRAMAJE_REQUERIDO_TIPOH,"")))</f>
        <v>100</v>
      </c>
      <c r="AI61" s="259">
        <f t="shared" si="78"/>
        <v>3024</v>
      </c>
      <c r="AJ61" s="259">
        <v>0</v>
      </c>
      <c r="AK61" s="259">
        <f t="shared" si="79"/>
        <v>3024</v>
      </c>
      <c r="AL61" s="260">
        <f t="shared" si="80"/>
        <v>1264032</v>
      </c>
      <c r="AM61" s="260">
        <v>0</v>
      </c>
      <c r="AN61" s="260">
        <f t="shared" si="81"/>
        <v>1264032</v>
      </c>
      <c r="AO61" s="457">
        <f t="shared" si="82"/>
        <v>622237</v>
      </c>
      <c r="AP61" s="456">
        <f t="shared" si="83"/>
        <v>260095066</v>
      </c>
      <c r="AQ61" s="263" t="e">
        <f>#REF!+AH61+AA61+T61+M61</f>
        <v>#REF!</v>
      </c>
      <c r="AR61" s="263">
        <f t="shared" si="42"/>
        <v>260466661</v>
      </c>
      <c r="AS61" s="263" t="e">
        <f t="shared" si="43"/>
        <v>#REF!</v>
      </c>
      <c r="AT61" s="263">
        <f t="shared" si="44"/>
        <v>260885560</v>
      </c>
      <c r="AU61" s="263" t="e">
        <f t="shared" si="45"/>
        <v>#REF!</v>
      </c>
      <c r="AV61" s="263">
        <f t="shared" si="46"/>
        <v>280658632</v>
      </c>
      <c r="AW61" s="263" t="e">
        <f t="shared" si="47"/>
        <v>#REF!</v>
      </c>
      <c r="AX61" s="263" t="e">
        <f>AV61+#REF!+AH61+AA61+T61</f>
        <v>#REF!</v>
      </c>
      <c r="AY61" s="263" t="e">
        <f t="shared" si="48"/>
        <v>#REF!</v>
      </c>
      <c r="AZ61" s="263" t="e">
        <f t="shared" si="49"/>
        <v>#REF!</v>
      </c>
      <c r="BA61" s="263" t="e">
        <f t="shared" si="50"/>
        <v>#REF!</v>
      </c>
      <c r="BB61" s="263" t="e">
        <f t="shared" si="51"/>
        <v>#REF!</v>
      </c>
      <c r="BC61" s="263" t="e">
        <f t="shared" si="52"/>
        <v>#REF!</v>
      </c>
      <c r="BD61" s="263" t="e">
        <f t="shared" si="53"/>
        <v>#REF!</v>
      </c>
      <c r="BE61" s="263" t="e">
        <f>BC61+AV61+#REF!+AH61+AA61</f>
        <v>#REF!</v>
      </c>
      <c r="BF61" s="263" t="e">
        <f t="shared" si="54"/>
        <v>#REF!</v>
      </c>
      <c r="BG61" s="263" t="e">
        <f t="shared" si="55"/>
        <v>#REF!</v>
      </c>
    </row>
    <row r="62" spans="1:59" ht="15.75">
      <c r="A62" s="338">
        <v>4</v>
      </c>
      <c r="B62" s="338" t="s">
        <v>1</v>
      </c>
      <c r="C62" s="258">
        <v>58</v>
      </c>
      <c r="D62" s="328" t="s">
        <v>67</v>
      </c>
      <c r="E62" s="258" t="s">
        <v>9</v>
      </c>
      <c r="F62" s="431">
        <f t="array" ref="F62">MAX((IF(MNU_CODIGO_ALIMENTO_ENTREGA=CONCATENATE($C62,"_","P_"),MNU_GRAMAJE_REQUERIDO_TIPOA,"")))</f>
        <v>100</v>
      </c>
      <c r="G62" s="259">
        <f t="shared" si="56"/>
        <v>152184</v>
      </c>
      <c r="H62" s="259">
        <f t="shared" si="57"/>
        <v>12656</v>
      </c>
      <c r="I62" s="259">
        <f t="shared" si="58"/>
        <v>164840</v>
      </c>
      <c r="J62" s="260">
        <f t="shared" si="59"/>
        <v>24653808</v>
      </c>
      <c r="K62" s="260">
        <f t="shared" si="60"/>
        <v>2050272</v>
      </c>
      <c r="L62" s="260">
        <f t="shared" si="61"/>
        <v>26704080</v>
      </c>
      <c r="M62" s="432">
        <f t="array" ref="M62">MAX((IF(MNU_CODIGO_ALIMENTO_ENTREGA=CONCATENATE($C62,"_","P_"),MNU_GRAMAJE_REQUERIDO_TIPOB,"")))</f>
        <v>100</v>
      </c>
      <c r="N62" s="348">
        <f t="shared" si="62"/>
        <v>191245</v>
      </c>
      <c r="O62" s="348">
        <f t="shared" si="63"/>
        <v>10258</v>
      </c>
      <c r="P62" s="348">
        <f t="shared" si="64"/>
        <v>201503</v>
      </c>
      <c r="Q62" s="349">
        <f t="shared" si="65"/>
        <v>30981690</v>
      </c>
      <c r="R62" s="349">
        <f t="shared" si="66"/>
        <v>1661796</v>
      </c>
      <c r="S62" s="349">
        <f t="shared" si="67"/>
        <v>32643486</v>
      </c>
      <c r="T62" s="353">
        <f t="array" ref="T62">MAX((IF(MNU_CODIGO_ALIMENTO_ENTREGA=CONCATENATE($C62,"_","P_"),MNU_GRAMAJE_REQUERIDO_TIPOC,"")))</f>
        <v>100</v>
      </c>
      <c r="U62" s="259">
        <f t="shared" si="68"/>
        <v>209116</v>
      </c>
      <c r="V62" s="259">
        <f t="shared" si="69"/>
        <v>35075</v>
      </c>
      <c r="W62" s="259">
        <f t="shared" si="70"/>
        <v>244191</v>
      </c>
      <c r="X62" s="260">
        <f t="shared" si="71"/>
        <v>33876792</v>
      </c>
      <c r="Y62" s="260">
        <f t="shared" si="72"/>
        <v>5682150</v>
      </c>
      <c r="Z62" s="260">
        <f t="shared" si="73"/>
        <v>39558942</v>
      </c>
      <c r="AA62" s="258">
        <f t="array" ref="AA62">MAX((IF(MNU_CODIGO_ALIMENTO_ENTREGA=CONCATENATE($C62,"_","P_"),MNU_GRAMAJE_REQUERIDO_TIPOM,"")))</f>
        <v>100</v>
      </c>
      <c r="AB62" s="261">
        <f t="shared" si="74"/>
        <v>3312</v>
      </c>
      <c r="AC62" s="261">
        <v>0</v>
      </c>
      <c r="AD62" s="261">
        <f t="shared" si="75"/>
        <v>3312</v>
      </c>
      <c r="AE62" s="262">
        <f t="shared" si="76"/>
        <v>536544</v>
      </c>
      <c r="AF62" s="262">
        <v>0</v>
      </c>
      <c r="AG62" s="262">
        <f t="shared" si="77"/>
        <v>536544</v>
      </c>
      <c r="AH62" s="353">
        <f t="array" ref="AH62">MAX((IF(MNU_CODIGO_ALIMENTO_ENTREGA=CONCATENATE($C62,"_","P_"),MNU_GRAMAJE_REQUERIDO_TIPOH,"")))</f>
        <v>100</v>
      </c>
      <c r="AI62" s="259">
        <f t="shared" si="78"/>
        <v>3312</v>
      </c>
      <c r="AJ62" s="259">
        <v>0</v>
      </c>
      <c r="AK62" s="259">
        <f t="shared" si="79"/>
        <v>3312</v>
      </c>
      <c r="AL62" s="260">
        <f t="shared" si="80"/>
        <v>536544</v>
      </c>
      <c r="AM62" s="260">
        <v>0</v>
      </c>
      <c r="AN62" s="260">
        <f t="shared" si="81"/>
        <v>536544</v>
      </c>
      <c r="AO62" s="457">
        <f t="shared" si="82"/>
        <v>617158</v>
      </c>
      <c r="AP62" s="456">
        <f t="shared" si="83"/>
        <v>99979596</v>
      </c>
      <c r="AQ62" s="263" t="e">
        <f>#REF!+AH62+AA62+T62+M62</f>
        <v>#REF!</v>
      </c>
      <c r="AR62" s="263">
        <f t="shared" si="42"/>
        <v>100386581</v>
      </c>
      <c r="AS62" s="263" t="e">
        <f t="shared" si="43"/>
        <v>#REF!</v>
      </c>
      <c r="AT62" s="263">
        <f t="shared" si="44"/>
        <v>100838899</v>
      </c>
      <c r="AU62" s="263" t="e">
        <f t="shared" si="45"/>
        <v>#REF!</v>
      </c>
      <c r="AV62" s="263">
        <f t="shared" si="46"/>
        <v>108182845</v>
      </c>
      <c r="AW62" s="263" t="e">
        <f t="shared" si="47"/>
        <v>#REF!</v>
      </c>
      <c r="AX62" s="263" t="e">
        <f>AV62+#REF!+AH62+AA62+T62</f>
        <v>#REF!</v>
      </c>
      <c r="AY62" s="263" t="e">
        <f t="shared" si="48"/>
        <v>#REF!</v>
      </c>
      <c r="AZ62" s="263" t="e">
        <f t="shared" si="49"/>
        <v>#REF!</v>
      </c>
      <c r="BA62" s="263" t="e">
        <f t="shared" si="50"/>
        <v>#REF!</v>
      </c>
      <c r="BB62" s="263" t="e">
        <f t="shared" si="51"/>
        <v>#REF!</v>
      </c>
      <c r="BC62" s="263" t="e">
        <f t="shared" si="52"/>
        <v>#REF!</v>
      </c>
      <c r="BD62" s="263" t="e">
        <f t="shared" si="53"/>
        <v>#REF!</v>
      </c>
      <c r="BE62" s="263" t="e">
        <f>BC62+AV62+#REF!+AH62+AA62</f>
        <v>#REF!</v>
      </c>
      <c r="BF62" s="263" t="e">
        <f t="shared" si="54"/>
        <v>#REF!</v>
      </c>
      <c r="BG62" s="263" t="e">
        <f t="shared" si="55"/>
        <v>#REF!</v>
      </c>
    </row>
    <row r="63" spans="1:59" ht="15.75">
      <c r="A63" s="338">
        <v>4</v>
      </c>
      <c r="B63" s="338" t="s">
        <v>1</v>
      </c>
      <c r="C63" s="258">
        <v>59</v>
      </c>
      <c r="D63" s="328" t="s">
        <v>99</v>
      </c>
      <c r="E63" s="258" t="s">
        <v>9</v>
      </c>
      <c r="F63" s="431">
        <f t="array" ref="F63">MAX((IF(MNU_CODIGO_ALIMENTO_ENTREGA=CONCATENATE($C63,"_","P_"),MNU_GRAMAJE_REQUERIDO_TIPOA,"")))</f>
        <v>0</v>
      </c>
      <c r="G63" s="259">
        <f t="shared" si="56"/>
        <v>0</v>
      </c>
      <c r="H63" s="259">
        <f t="shared" si="57"/>
        <v>0</v>
      </c>
      <c r="I63" s="259">
        <f t="shared" si="58"/>
        <v>0</v>
      </c>
      <c r="J63" s="260">
        <f t="shared" si="59"/>
        <v>0</v>
      </c>
      <c r="K63" s="260">
        <f t="shared" si="60"/>
        <v>0</v>
      </c>
      <c r="L63" s="260">
        <f t="shared" si="61"/>
        <v>0</v>
      </c>
      <c r="M63" s="432">
        <f t="array" ref="M63">MAX((IF(MNU_CODIGO_ALIMENTO_ENTREGA=CONCATENATE($C63,"_","P_"),MNU_GRAMAJE_REQUERIDO_TIPOB,"")))</f>
        <v>100</v>
      </c>
      <c r="N63" s="348">
        <f t="shared" si="62"/>
        <v>66520</v>
      </c>
      <c r="O63" s="348">
        <f t="shared" si="63"/>
        <v>4906</v>
      </c>
      <c r="P63" s="348">
        <f t="shared" si="64"/>
        <v>71426</v>
      </c>
      <c r="Q63" s="349">
        <f t="shared" si="65"/>
        <v>19956000</v>
      </c>
      <c r="R63" s="349">
        <f t="shared" si="66"/>
        <v>1471800</v>
      </c>
      <c r="S63" s="349">
        <f t="shared" si="67"/>
        <v>21427800</v>
      </c>
      <c r="T63" s="353">
        <f t="array" ref="T63">MAX((IF(MNU_CODIGO_ALIMENTO_ENTREGA=CONCATENATE($C63,"_","P_"),MNU_GRAMAJE_REQUERIDO_TIPOC,"")))</f>
        <v>100</v>
      </c>
      <c r="U63" s="259">
        <f t="shared" si="68"/>
        <v>72736</v>
      </c>
      <c r="V63" s="259">
        <f t="shared" si="69"/>
        <v>16775</v>
      </c>
      <c r="W63" s="259">
        <f t="shared" si="70"/>
        <v>89511</v>
      </c>
      <c r="X63" s="260">
        <f t="shared" si="71"/>
        <v>21820800</v>
      </c>
      <c r="Y63" s="260">
        <f t="shared" si="72"/>
        <v>5032500</v>
      </c>
      <c r="Z63" s="260">
        <f t="shared" si="73"/>
        <v>26853300</v>
      </c>
      <c r="AA63" s="258">
        <f t="array" ref="AA63">MAX((IF(MNU_CODIGO_ALIMENTO_ENTREGA=CONCATENATE($C63,"_","P_"),MNU_GRAMAJE_REQUERIDO_TIPOM,"")))</f>
        <v>100</v>
      </c>
      <c r="AB63" s="261">
        <f t="shared" si="74"/>
        <v>1152</v>
      </c>
      <c r="AC63" s="261">
        <v>0</v>
      </c>
      <c r="AD63" s="261">
        <f t="shared" si="75"/>
        <v>1152</v>
      </c>
      <c r="AE63" s="262">
        <f t="shared" si="76"/>
        <v>345600</v>
      </c>
      <c r="AF63" s="262">
        <v>0</v>
      </c>
      <c r="AG63" s="262">
        <f t="shared" si="77"/>
        <v>345600</v>
      </c>
      <c r="AH63" s="353">
        <f t="array" ref="AH63">MAX((IF(MNU_CODIGO_ALIMENTO_ENTREGA=CONCATENATE($C63,"_","P_"),MNU_GRAMAJE_REQUERIDO_TIPOH,"")))</f>
        <v>100</v>
      </c>
      <c r="AI63" s="259">
        <f t="shared" si="78"/>
        <v>1152</v>
      </c>
      <c r="AJ63" s="259">
        <v>0</v>
      </c>
      <c r="AK63" s="259">
        <f t="shared" si="79"/>
        <v>1152</v>
      </c>
      <c r="AL63" s="260">
        <f t="shared" si="80"/>
        <v>345600</v>
      </c>
      <c r="AM63" s="260">
        <v>0</v>
      </c>
      <c r="AN63" s="260">
        <f t="shared" si="81"/>
        <v>345600</v>
      </c>
      <c r="AO63" s="457">
        <f t="shared" si="82"/>
        <v>163241</v>
      </c>
      <c r="AP63" s="456">
        <f t="shared" si="83"/>
        <v>48972300</v>
      </c>
      <c r="AQ63" s="263" t="e">
        <f>#REF!+AH63+AA63+T63+M63</f>
        <v>#REF!</v>
      </c>
      <c r="AR63" s="263">
        <f t="shared" si="42"/>
        <v>49113860</v>
      </c>
      <c r="AS63" s="263" t="e">
        <f t="shared" si="43"/>
        <v>#REF!</v>
      </c>
      <c r="AT63" s="263">
        <f t="shared" si="44"/>
        <v>49277101</v>
      </c>
      <c r="AU63" s="263" t="e">
        <f t="shared" si="45"/>
        <v>#REF!</v>
      </c>
      <c r="AV63" s="263">
        <f t="shared" si="46"/>
        <v>55781401</v>
      </c>
      <c r="AW63" s="263" t="e">
        <f t="shared" si="47"/>
        <v>#REF!</v>
      </c>
      <c r="AX63" s="263" t="e">
        <f>AV63+#REF!+AH63+AA63+T63</f>
        <v>#REF!</v>
      </c>
      <c r="AY63" s="263" t="e">
        <f t="shared" si="48"/>
        <v>#REF!</v>
      </c>
      <c r="AZ63" s="263" t="e">
        <f t="shared" si="49"/>
        <v>#REF!</v>
      </c>
      <c r="BA63" s="263" t="e">
        <f t="shared" si="50"/>
        <v>#REF!</v>
      </c>
      <c r="BB63" s="263" t="e">
        <f t="shared" si="51"/>
        <v>#REF!</v>
      </c>
      <c r="BC63" s="263" t="e">
        <f t="shared" si="52"/>
        <v>#REF!</v>
      </c>
      <c r="BD63" s="263" t="e">
        <f t="shared" si="53"/>
        <v>#REF!</v>
      </c>
      <c r="BE63" s="263" t="e">
        <f>BC63+AV63+#REF!+AH63+AA63</f>
        <v>#REF!</v>
      </c>
      <c r="BF63" s="263" t="e">
        <f t="shared" si="54"/>
        <v>#REF!</v>
      </c>
      <c r="BG63" s="263" t="e">
        <f t="shared" si="55"/>
        <v>#REF!</v>
      </c>
    </row>
    <row r="64" spans="1:59" ht="15.75">
      <c r="A64" s="338">
        <v>4</v>
      </c>
      <c r="B64" s="338" t="s">
        <v>1</v>
      </c>
      <c r="C64" s="258">
        <v>69</v>
      </c>
      <c r="D64" s="328" t="s">
        <v>70</v>
      </c>
      <c r="E64" s="258" t="s">
        <v>9</v>
      </c>
      <c r="F64" s="431">
        <f t="array" ref="F64">MAX((IF(MNU_CODIGO_ALIMENTO_ENTREGA=CONCATENATE($C64,"_","P_"),MNU_GRAMAJE_REQUERIDO_TIPOA,"")))</f>
        <v>100</v>
      </c>
      <c r="G64" s="259">
        <f t="shared" si="56"/>
        <v>190230</v>
      </c>
      <c r="H64" s="259">
        <f t="shared" si="57"/>
        <v>8136</v>
      </c>
      <c r="I64" s="259">
        <f t="shared" si="58"/>
        <v>198366</v>
      </c>
      <c r="J64" s="260">
        <f t="shared" si="59"/>
        <v>60873600</v>
      </c>
      <c r="K64" s="260">
        <f t="shared" si="60"/>
        <v>2603520</v>
      </c>
      <c r="L64" s="260">
        <f t="shared" si="61"/>
        <v>63477120</v>
      </c>
      <c r="M64" s="432">
        <f t="array" ref="M64">MAX((IF(MNU_CODIGO_ALIMENTO_ENTREGA=CONCATENATE($C64,"_","P_"),MNU_GRAMAJE_REQUERIDO_TIPOB,"")))</f>
        <v>100</v>
      </c>
      <c r="N64" s="348">
        <f t="shared" si="62"/>
        <v>133040</v>
      </c>
      <c r="O64" s="348">
        <f t="shared" si="63"/>
        <v>5352</v>
      </c>
      <c r="P64" s="348">
        <f t="shared" si="64"/>
        <v>138392</v>
      </c>
      <c r="Q64" s="349">
        <f t="shared" si="65"/>
        <v>42572800</v>
      </c>
      <c r="R64" s="349">
        <f t="shared" si="66"/>
        <v>1712640</v>
      </c>
      <c r="S64" s="349">
        <f t="shared" si="67"/>
        <v>44285440</v>
      </c>
      <c r="T64" s="353">
        <f t="array" ref="T64">MAX((IF(MNU_CODIGO_ALIMENTO_ENTREGA=CONCATENATE($C64,"_","P_"),MNU_GRAMAJE_REQUERIDO_TIPOC,"")))</f>
        <v>100</v>
      </c>
      <c r="U64" s="259">
        <f t="shared" si="68"/>
        <v>145472</v>
      </c>
      <c r="V64" s="259">
        <f t="shared" si="69"/>
        <v>18300</v>
      </c>
      <c r="W64" s="259">
        <f t="shared" si="70"/>
        <v>163772</v>
      </c>
      <c r="X64" s="260">
        <f t="shared" si="71"/>
        <v>46551040</v>
      </c>
      <c r="Y64" s="260">
        <f t="shared" si="72"/>
        <v>5856000</v>
      </c>
      <c r="Z64" s="260">
        <f t="shared" si="73"/>
        <v>52407040</v>
      </c>
      <c r="AA64" s="258">
        <f t="array" ref="AA64">MAX((IF(MNU_CODIGO_ALIMENTO_ENTREGA=CONCATENATE($C64,"_","P_"),MNU_GRAMAJE_REQUERIDO_TIPOM,"")))</f>
        <v>100</v>
      </c>
      <c r="AB64" s="261">
        <f t="shared" si="74"/>
        <v>2304</v>
      </c>
      <c r="AC64" s="261">
        <v>0</v>
      </c>
      <c r="AD64" s="261">
        <f t="shared" si="75"/>
        <v>2304</v>
      </c>
      <c r="AE64" s="262">
        <f t="shared" si="76"/>
        <v>737280</v>
      </c>
      <c r="AF64" s="262">
        <v>0</v>
      </c>
      <c r="AG64" s="262">
        <f t="shared" si="77"/>
        <v>737280</v>
      </c>
      <c r="AH64" s="353">
        <f t="array" ref="AH64">MAX((IF(MNU_CODIGO_ALIMENTO_ENTREGA=CONCATENATE($C64,"_","P_"),MNU_GRAMAJE_REQUERIDO_TIPOH,"")))</f>
        <v>100</v>
      </c>
      <c r="AI64" s="259">
        <f t="shared" si="78"/>
        <v>2304</v>
      </c>
      <c r="AJ64" s="259">
        <v>0</v>
      </c>
      <c r="AK64" s="259">
        <f t="shared" si="79"/>
        <v>2304</v>
      </c>
      <c r="AL64" s="260">
        <f t="shared" si="80"/>
        <v>737280</v>
      </c>
      <c r="AM64" s="260">
        <v>0</v>
      </c>
      <c r="AN64" s="260">
        <f t="shared" si="81"/>
        <v>737280</v>
      </c>
      <c r="AO64" s="457">
        <f t="shared" si="82"/>
        <v>505138</v>
      </c>
      <c r="AP64" s="456">
        <f t="shared" si="83"/>
        <v>161644160</v>
      </c>
      <c r="AQ64" s="263" t="e">
        <f>#REF!+AH64+AA64+T64+M64</f>
        <v>#REF!</v>
      </c>
      <c r="AR64" s="263">
        <f t="shared" si="42"/>
        <v>161927280</v>
      </c>
      <c r="AS64" s="263" t="e">
        <f t="shared" si="43"/>
        <v>#REF!</v>
      </c>
      <c r="AT64" s="263">
        <f t="shared" si="44"/>
        <v>162234052</v>
      </c>
      <c r="AU64" s="263" t="e">
        <f t="shared" si="45"/>
        <v>#REF!</v>
      </c>
      <c r="AV64" s="263">
        <f t="shared" si="46"/>
        <v>169802692</v>
      </c>
      <c r="AW64" s="263" t="e">
        <f t="shared" si="47"/>
        <v>#REF!</v>
      </c>
      <c r="AX64" s="263" t="e">
        <f>AV64+#REF!+AH64+AA64+T64</f>
        <v>#REF!</v>
      </c>
      <c r="AY64" s="263" t="e">
        <f t="shared" si="48"/>
        <v>#REF!</v>
      </c>
      <c r="AZ64" s="263" t="e">
        <f t="shared" si="49"/>
        <v>#REF!</v>
      </c>
      <c r="BA64" s="263" t="e">
        <f t="shared" si="50"/>
        <v>#REF!</v>
      </c>
      <c r="BB64" s="263" t="e">
        <f t="shared" si="51"/>
        <v>#REF!</v>
      </c>
      <c r="BC64" s="263" t="e">
        <f t="shared" si="52"/>
        <v>#REF!</v>
      </c>
      <c r="BD64" s="263" t="e">
        <f t="shared" si="53"/>
        <v>#REF!</v>
      </c>
      <c r="BE64" s="263" t="e">
        <f>BC64+AV64+#REF!+AH64+AA64</f>
        <v>#REF!</v>
      </c>
      <c r="BF64" s="263" t="e">
        <f t="shared" si="54"/>
        <v>#REF!</v>
      </c>
      <c r="BG64" s="263" t="e">
        <f t="shared" si="55"/>
        <v>#REF!</v>
      </c>
    </row>
    <row r="65" spans="1:59" ht="15.75">
      <c r="A65" s="338">
        <v>4</v>
      </c>
      <c r="B65" s="338" t="s">
        <v>1</v>
      </c>
      <c r="C65" s="258">
        <v>70</v>
      </c>
      <c r="D65" s="328" t="s">
        <v>71</v>
      </c>
      <c r="E65" s="258" t="s">
        <v>9</v>
      </c>
      <c r="F65" s="431">
        <f t="array" ref="F65">MAX((IF(MNU_CODIGO_ALIMENTO_ENTREGA=CONCATENATE($C65,"_","P_"),MNU_GRAMAJE_REQUERIDO_TIPOA,"")))</f>
        <v>0</v>
      </c>
      <c r="G65" s="259">
        <f t="shared" si="56"/>
        <v>0</v>
      </c>
      <c r="H65" s="259">
        <f t="shared" si="57"/>
        <v>0</v>
      </c>
      <c r="I65" s="259">
        <f t="shared" si="58"/>
        <v>0</v>
      </c>
      <c r="J65" s="260">
        <f t="shared" si="59"/>
        <v>0</v>
      </c>
      <c r="K65" s="260">
        <f t="shared" si="60"/>
        <v>0</v>
      </c>
      <c r="L65" s="260">
        <f t="shared" si="61"/>
        <v>0</v>
      </c>
      <c r="M65" s="432">
        <f t="array" ref="M65">MAX((IF(MNU_CODIGO_ALIMENTO_ENTREGA=CONCATENATE($C65,"_","P_"),MNU_GRAMAJE_REQUERIDO_TIPOB,"")))</f>
        <v>100</v>
      </c>
      <c r="N65" s="348">
        <f t="shared" si="62"/>
        <v>83150</v>
      </c>
      <c r="O65" s="348">
        <f t="shared" si="63"/>
        <v>3568</v>
      </c>
      <c r="P65" s="348">
        <f t="shared" si="64"/>
        <v>86718</v>
      </c>
      <c r="Q65" s="349">
        <f t="shared" si="65"/>
        <v>37916400</v>
      </c>
      <c r="R65" s="349">
        <f t="shared" si="66"/>
        <v>1627008</v>
      </c>
      <c r="S65" s="349">
        <f t="shared" si="67"/>
        <v>39543408</v>
      </c>
      <c r="T65" s="353">
        <f t="array" ref="T65">MAX((IF(MNU_CODIGO_ALIMENTO_ENTREGA=CONCATENATE($C65,"_","P_"),MNU_GRAMAJE_REQUERIDO_TIPOC,"")))</f>
        <v>100</v>
      </c>
      <c r="U65" s="259">
        <f t="shared" si="68"/>
        <v>90920</v>
      </c>
      <c r="V65" s="259">
        <f t="shared" si="69"/>
        <v>12200</v>
      </c>
      <c r="W65" s="259">
        <f t="shared" si="70"/>
        <v>103120</v>
      </c>
      <c r="X65" s="260">
        <f t="shared" si="71"/>
        <v>41459520</v>
      </c>
      <c r="Y65" s="260">
        <f t="shared" si="72"/>
        <v>5563200</v>
      </c>
      <c r="Z65" s="260">
        <f t="shared" si="73"/>
        <v>47022720</v>
      </c>
      <c r="AA65" s="258">
        <f t="array" ref="AA65">MAX((IF(MNU_CODIGO_ALIMENTO_ENTREGA=CONCATENATE($C65,"_","P_"),MNU_GRAMAJE_REQUERIDO_TIPOM,"")))</f>
        <v>100</v>
      </c>
      <c r="AB65" s="261">
        <f t="shared" si="74"/>
        <v>1440</v>
      </c>
      <c r="AC65" s="261">
        <v>0</v>
      </c>
      <c r="AD65" s="261">
        <f t="shared" si="75"/>
        <v>1440</v>
      </c>
      <c r="AE65" s="262">
        <f t="shared" si="76"/>
        <v>656640</v>
      </c>
      <c r="AF65" s="262">
        <v>0</v>
      </c>
      <c r="AG65" s="262">
        <f t="shared" si="77"/>
        <v>656640</v>
      </c>
      <c r="AH65" s="353">
        <f t="array" ref="AH65">MAX((IF(MNU_CODIGO_ALIMENTO_ENTREGA=CONCATENATE($C65,"_","P_"),MNU_GRAMAJE_REQUERIDO_TIPOH,"")))</f>
        <v>100</v>
      </c>
      <c r="AI65" s="259">
        <f t="shared" si="78"/>
        <v>1440</v>
      </c>
      <c r="AJ65" s="259">
        <v>0</v>
      </c>
      <c r="AK65" s="259">
        <f t="shared" si="79"/>
        <v>1440</v>
      </c>
      <c r="AL65" s="260">
        <f t="shared" si="80"/>
        <v>656640</v>
      </c>
      <c r="AM65" s="260">
        <v>0</v>
      </c>
      <c r="AN65" s="260">
        <f t="shared" si="81"/>
        <v>656640</v>
      </c>
      <c r="AO65" s="457">
        <f t="shared" si="82"/>
        <v>192718</v>
      </c>
      <c r="AP65" s="456">
        <f t="shared" si="83"/>
        <v>87879408</v>
      </c>
      <c r="AQ65" s="263" t="e">
        <f>#REF!+AH65+AA65+T65+M65</f>
        <v>#REF!</v>
      </c>
      <c r="AR65" s="263">
        <f t="shared" si="42"/>
        <v>88056358</v>
      </c>
      <c r="AS65" s="263" t="e">
        <f t="shared" si="43"/>
        <v>#REF!</v>
      </c>
      <c r="AT65" s="263">
        <f t="shared" si="44"/>
        <v>88249076</v>
      </c>
      <c r="AU65" s="263" t="e">
        <f t="shared" si="45"/>
        <v>#REF!</v>
      </c>
      <c r="AV65" s="263">
        <f t="shared" si="46"/>
        <v>95439284</v>
      </c>
      <c r="AW65" s="263" t="e">
        <f t="shared" si="47"/>
        <v>#REF!</v>
      </c>
      <c r="AX65" s="263" t="e">
        <f>AV65+#REF!+AH65+AA65+T65</f>
        <v>#REF!</v>
      </c>
      <c r="AY65" s="263" t="e">
        <f t="shared" si="48"/>
        <v>#REF!</v>
      </c>
      <c r="AZ65" s="263" t="e">
        <f t="shared" si="49"/>
        <v>#REF!</v>
      </c>
      <c r="BA65" s="263" t="e">
        <f t="shared" si="50"/>
        <v>#REF!</v>
      </c>
      <c r="BB65" s="263" t="e">
        <f t="shared" si="51"/>
        <v>#REF!</v>
      </c>
      <c r="BC65" s="263" t="e">
        <f t="shared" si="52"/>
        <v>#REF!</v>
      </c>
      <c r="BD65" s="263" t="e">
        <f t="shared" si="53"/>
        <v>#REF!</v>
      </c>
      <c r="BE65" s="263" t="e">
        <f>BC65+AV65+#REF!+AH65+AA65</f>
        <v>#REF!</v>
      </c>
      <c r="BF65" s="263" t="e">
        <f t="shared" si="54"/>
        <v>#REF!</v>
      </c>
      <c r="BG65" s="263" t="e">
        <f t="shared" si="55"/>
        <v>#REF!</v>
      </c>
    </row>
    <row r="66" spans="1:59" ht="15.75">
      <c r="A66" s="338">
        <v>5</v>
      </c>
      <c r="B66" s="338" t="s">
        <v>1</v>
      </c>
      <c r="C66" s="258">
        <v>7</v>
      </c>
      <c r="D66" s="328" t="s">
        <v>57</v>
      </c>
      <c r="E66" s="258" t="s">
        <v>9</v>
      </c>
      <c r="F66" s="431">
        <f t="array" ref="F66">MAX((IF(MNU_CODIGO_ALIMENTO_ENTREGA=CONCATENATE($C66,"_","P_"),MNU_GRAMAJE_REQUERIDO_TIPOA,"")))</f>
        <v>100</v>
      </c>
      <c r="G66" s="259">
        <f t="shared" si="56"/>
        <v>114048</v>
      </c>
      <c r="H66" s="259">
        <f t="shared" si="57"/>
        <v>22010</v>
      </c>
      <c r="I66" s="259">
        <f t="shared" si="58"/>
        <v>136058</v>
      </c>
      <c r="J66" s="260">
        <f t="shared" si="59"/>
        <v>12773376</v>
      </c>
      <c r="K66" s="260">
        <f t="shared" si="60"/>
        <v>2465120</v>
      </c>
      <c r="L66" s="260">
        <f t="shared" si="61"/>
        <v>15238496</v>
      </c>
      <c r="M66" s="432">
        <f t="array" ref="M66">MAX((IF(MNU_CODIGO_ALIMENTO_ENTREGA=CONCATENATE($C66,"_","P_"),MNU_GRAMAJE_REQUERIDO_TIPOB,"")))</f>
        <v>100</v>
      </c>
      <c r="N66" s="348">
        <f t="shared" si="62"/>
        <v>61470</v>
      </c>
      <c r="O66" s="348">
        <f t="shared" si="63"/>
        <v>14256</v>
      </c>
      <c r="P66" s="348">
        <f t="shared" si="64"/>
        <v>75726</v>
      </c>
      <c r="Q66" s="349">
        <f t="shared" si="65"/>
        <v>6884640</v>
      </c>
      <c r="R66" s="349">
        <f t="shared" si="66"/>
        <v>1596672</v>
      </c>
      <c r="S66" s="349">
        <f t="shared" si="67"/>
        <v>8481312</v>
      </c>
      <c r="T66" s="353">
        <f t="array" ref="T66">MAX((IF(MNU_CODIGO_ALIMENTO_ENTREGA=CONCATENATE($C66,"_","P_"),MNU_GRAMAJE_REQUERIDO_TIPOC,"")))</f>
        <v>100</v>
      </c>
      <c r="U66" s="259">
        <f t="shared" si="68"/>
        <v>71919</v>
      </c>
      <c r="V66" s="259">
        <f t="shared" si="69"/>
        <v>18777</v>
      </c>
      <c r="W66" s="259">
        <f t="shared" si="70"/>
        <v>90696</v>
      </c>
      <c r="X66" s="260">
        <f t="shared" si="71"/>
        <v>8054928</v>
      </c>
      <c r="Y66" s="260">
        <f t="shared" si="72"/>
        <v>2103024</v>
      </c>
      <c r="Z66" s="260">
        <f t="shared" si="73"/>
        <v>10157952</v>
      </c>
      <c r="AA66" s="258">
        <f t="array" ref="AA66">MAX((IF(MNU_CODIGO_ALIMENTO_ENTREGA=CONCATENATE($C66,"_","P_"),MNU_GRAMAJE_REQUERIDO_TIPOM,"")))</f>
        <v>100</v>
      </c>
      <c r="AB66" s="261">
        <f t="shared" si="74"/>
        <v>1593</v>
      </c>
      <c r="AC66" s="261">
        <v>0</v>
      </c>
      <c r="AD66" s="261">
        <f t="shared" si="75"/>
        <v>1593</v>
      </c>
      <c r="AE66" s="262">
        <f t="shared" si="76"/>
        <v>178416</v>
      </c>
      <c r="AF66" s="262">
        <v>0</v>
      </c>
      <c r="AG66" s="262">
        <f t="shared" si="77"/>
        <v>178416</v>
      </c>
      <c r="AH66" s="353">
        <f t="array" ref="AH66">MAX((IF(MNU_CODIGO_ALIMENTO_ENTREGA=CONCATENATE($C66,"_","P_"),MNU_GRAMAJE_REQUERIDO_TIPOH,"")))</f>
        <v>100</v>
      </c>
      <c r="AI66" s="259">
        <f t="shared" si="78"/>
        <v>1368</v>
      </c>
      <c r="AJ66" s="259">
        <v>0</v>
      </c>
      <c r="AK66" s="259">
        <f t="shared" si="79"/>
        <v>1368</v>
      </c>
      <c r="AL66" s="260">
        <f t="shared" si="80"/>
        <v>153216</v>
      </c>
      <c r="AM66" s="260">
        <v>0</v>
      </c>
      <c r="AN66" s="260">
        <f t="shared" si="81"/>
        <v>153216</v>
      </c>
      <c r="AO66" s="457">
        <f t="shared" si="82"/>
        <v>305441</v>
      </c>
      <c r="AP66" s="456">
        <f t="shared" si="83"/>
        <v>34209392</v>
      </c>
      <c r="AQ66" s="263" t="e">
        <f>#REF!+AH66+AA66+T66+M66</f>
        <v>#REF!</v>
      </c>
      <c r="AR66" s="263">
        <f t="shared" si="42"/>
        <v>34345742</v>
      </c>
      <c r="AS66" s="263" t="e">
        <f t="shared" si="43"/>
        <v>#REF!</v>
      </c>
      <c r="AT66" s="263">
        <f t="shared" si="44"/>
        <v>34515125</v>
      </c>
      <c r="AU66" s="263" t="e">
        <f t="shared" si="45"/>
        <v>#REF!</v>
      </c>
      <c r="AV66" s="263">
        <f t="shared" si="46"/>
        <v>38214821</v>
      </c>
      <c r="AW66" s="263" t="e">
        <f t="shared" si="47"/>
        <v>#REF!</v>
      </c>
      <c r="AX66" s="263" t="e">
        <f>AV66+#REF!+AH66+AA66+T66</f>
        <v>#REF!</v>
      </c>
      <c r="AY66" s="263" t="e">
        <f t="shared" si="48"/>
        <v>#REF!</v>
      </c>
      <c r="AZ66" s="263" t="e">
        <f t="shared" si="49"/>
        <v>#REF!</v>
      </c>
      <c r="BA66" s="263" t="e">
        <f t="shared" si="50"/>
        <v>#REF!</v>
      </c>
      <c r="BB66" s="263" t="e">
        <f t="shared" si="51"/>
        <v>#REF!</v>
      </c>
      <c r="BC66" s="263" t="e">
        <f t="shared" si="52"/>
        <v>#REF!</v>
      </c>
      <c r="BD66" s="263" t="e">
        <f t="shared" si="53"/>
        <v>#REF!</v>
      </c>
      <c r="BE66" s="263" t="e">
        <f>BC66+AV66+#REF!+AH66+AA66</f>
        <v>#REF!</v>
      </c>
      <c r="BF66" s="263" t="e">
        <f t="shared" si="54"/>
        <v>#REF!</v>
      </c>
      <c r="BG66" s="263" t="e">
        <f t="shared" si="55"/>
        <v>#REF!</v>
      </c>
    </row>
    <row r="67" spans="1:59" ht="15.75">
      <c r="A67" s="338">
        <v>5</v>
      </c>
      <c r="B67" s="338" t="s">
        <v>1</v>
      </c>
      <c r="C67" s="258">
        <v>8</v>
      </c>
      <c r="D67" s="328" t="s">
        <v>55</v>
      </c>
      <c r="E67" s="258" t="s">
        <v>9</v>
      </c>
      <c r="F67" s="431">
        <f t="array" ref="F67">MAX((IF(MNU_CODIGO_ALIMENTO_ENTREGA=CONCATENATE($C67,"_","P_"),MNU_GRAMAJE_REQUERIDO_TIPOA,"")))</f>
        <v>100</v>
      </c>
      <c r="G67" s="259">
        <f t="shared" si="56"/>
        <v>51840</v>
      </c>
      <c r="H67" s="259">
        <f t="shared" si="57"/>
        <v>7810</v>
      </c>
      <c r="I67" s="259">
        <f t="shared" si="58"/>
        <v>59650</v>
      </c>
      <c r="J67" s="260">
        <f t="shared" si="59"/>
        <v>7309440</v>
      </c>
      <c r="K67" s="260">
        <f t="shared" si="60"/>
        <v>1101210</v>
      </c>
      <c r="L67" s="260">
        <f t="shared" si="61"/>
        <v>8410650</v>
      </c>
      <c r="M67" s="432">
        <f t="array" ref="M67">MAX((IF(MNU_CODIGO_ALIMENTO_ENTREGA=CONCATENATE($C67,"_","P_"),MNU_GRAMAJE_REQUERIDO_TIPOB,"")))</f>
        <v>100</v>
      </c>
      <c r="N67" s="348">
        <f t="shared" si="62"/>
        <v>54640</v>
      </c>
      <c r="O67" s="348">
        <f t="shared" si="63"/>
        <v>14256</v>
      </c>
      <c r="P67" s="348">
        <f t="shared" si="64"/>
        <v>68896</v>
      </c>
      <c r="Q67" s="349">
        <f t="shared" si="65"/>
        <v>7704240</v>
      </c>
      <c r="R67" s="349">
        <f t="shared" si="66"/>
        <v>2010096</v>
      </c>
      <c r="S67" s="349">
        <f t="shared" si="67"/>
        <v>9714336</v>
      </c>
      <c r="T67" s="353">
        <f t="array" ref="T67">MAX((IF(MNU_CODIGO_ALIMENTO_ENTREGA=CONCATENATE($C67,"_","P_"),MNU_GRAMAJE_REQUERIDO_TIPOC,"")))</f>
        <v>100</v>
      </c>
      <c r="U67" s="259">
        <f t="shared" si="68"/>
        <v>63928</v>
      </c>
      <c r="V67" s="259">
        <f t="shared" si="69"/>
        <v>18777</v>
      </c>
      <c r="W67" s="259">
        <f t="shared" si="70"/>
        <v>82705</v>
      </c>
      <c r="X67" s="260">
        <f t="shared" si="71"/>
        <v>9013848</v>
      </c>
      <c r="Y67" s="260">
        <f t="shared" si="72"/>
        <v>2647557</v>
      </c>
      <c r="Z67" s="260">
        <f t="shared" si="73"/>
        <v>11661405</v>
      </c>
      <c r="AA67" s="258">
        <f t="array" ref="AA67">MAX((IF(MNU_CODIGO_ALIMENTO_ENTREGA=CONCATENATE($C67,"_","P_"),MNU_GRAMAJE_REQUERIDO_TIPOM,"")))</f>
        <v>100</v>
      </c>
      <c r="AB67" s="261">
        <f t="shared" si="74"/>
        <v>1416</v>
      </c>
      <c r="AC67" s="261">
        <v>0</v>
      </c>
      <c r="AD67" s="261">
        <f t="shared" si="75"/>
        <v>1416</v>
      </c>
      <c r="AE67" s="262">
        <f t="shared" si="76"/>
        <v>199656</v>
      </c>
      <c r="AF67" s="262">
        <v>0</v>
      </c>
      <c r="AG67" s="262">
        <f t="shared" si="77"/>
        <v>199656</v>
      </c>
      <c r="AH67" s="353">
        <f t="array" ref="AH67">MAX((IF(MNU_CODIGO_ALIMENTO_ENTREGA=CONCATENATE($C67,"_","P_"),MNU_GRAMAJE_REQUERIDO_TIPOH,"")))</f>
        <v>100</v>
      </c>
      <c r="AI67" s="259">
        <f t="shared" si="78"/>
        <v>1216</v>
      </c>
      <c r="AJ67" s="259">
        <v>0</v>
      </c>
      <c r="AK67" s="259">
        <f t="shared" si="79"/>
        <v>1216</v>
      </c>
      <c r="AL67" s="260">
        <f t="shared" si="80"/>
        <v>171456</v>
      </c>
      <c r="AM67" s="260">
        <v>0</v>
      </c>
      <c r="AN67" s="260">
        <f t="shared" si="81"/>
        <v>171456</v>
      </c>
      <c r="AO67" s="457">
        <f t="shared" si="82"/>
        <v>213883</v>
      </c>
      <c r="AP67" s="456">
        <f t="shared" si="83"/>
        <v>30157503</v>
      </c>
      <c r="AQ67" s="263" t="e">
        <f>#REF!+AH67+AA67+T67+M67</f>
        <v>#REF!</v>
      </c>
      <c r="AR67" s="263">
        <f t="shared" si="42"/>
        <v>30278703</v>
      </c>
      <c r="AS67" s="263" t="e">
        <f t="shared" si="43"/>
        <v>#REF!</v>
      </c>
      <c r="AT67" s="263">
        <f t="shared" si="44"/>
        <v>30432936</v>
      </c>
      <c r="AU67" s="263" t="e">
        <f t="shared" si="45"/>
        <v>#REF!</v>
      </c>
      <c r="AV67" s="263">
        <f t="shared" si="46"/>
        <v>35090589</v>
      </c>
      <c r="AW67" s="263" t="e">
        <f t="shared" si="47"/>
        <v>#REF!</v>
      </c>
      <c r="AX67" s="263" t="e">
        <f>AV67+#REF!+AH67+AA67+T67</f>
        <v>#REF!</v>
      </c>
      <c r="AY67" s="263" t="e">
        <f t="shared" si="48"/>
        <v>#REF!</v>
      </c>
      <c r="AZ67" s="263" t="e">
        <f t="shared" si="49"/>
        <v>#REF!</v>
      </c>
      <c r="BA67" s="263" t="e">
        <f t="shared" si="50"/>
        <v>#REF!</v>
      </c>
      <c r="BB67" s="263" t="e">
        <f t="shared" si="51"/>
        <v>#REF!</v>
      </c>
      <c r="BC67" s="263" t="e">
        <f t="shared" si="52"/>
        <v>#REF!</v>
      </c>
      <c r="BD67" s="263" t="e">
        <f t="shared" si="53"/>
        <v>#REF!</v>
      </c>
      <c r="BE67" s="263" t="e">
        <f>BC67+AV67+#REF!+AH67+AA67</f>
        <v>#REF!</v>
      </c>
      <c r="BF67" s="263" t="e">
        <f t="shared" si="54"/>
        <v>#REF!</v>
      </c>
      <c r="BG67" s="263" t="e">
        <f t="shared" si="55"/>
        <v>#REF!</v>
      </c>
    </row>
    <row r="68" spans="1:59" ht="15.75">
      <c r="A68" s="338">
        <v>5</v>
      </c>
      <c r="B68" s="338" t="s">
        <v>1</v>
      </c>
      <c r="C68" s="258">
        <v>17</v>
      </c>
      <c r="D68" s="328" t="s">
        <v>53</v>
      </c>
      <c r="E68" s="258" t="s">
        <v>9</v>
      </c>
      <c r="F68" s="431">
        <f t="array" ref="F68">MAX((IF(MNU_CODIGO_ALIMENTO_ENTREGA=CONCATENATE($C68,"_","P_"),MNU_GRAMAJE_REQUERIDO_TIPOA,"")))</f>
        <v>0</v>
      </c>
      <c r="G68" s="259">
        <f t="shared" si="56"/>
        <v>0</v>
      </c>
      <c r="H68" s="259">
        <f t="shared" si="57"/>
        <v>0</v>
      </c>
      <c r="I68" s="259">
        <f t="shared" si="58"/>
        <v>0</v>
      </c>
      <c r="J68" s="260">
        <f t="shared" si="59"/>
        <v>0</v>
      </c>
      <c r="K68" s="260">
        <f t="shared" si="60"/>
        <v>0</v>
      </c>
      <c r="L68" s="260">
        <f t="shared" si="61"/>
        <v>0</v>
      </c>
      <c r="M68" s="432">
        <f t="array" ref="M68">MAX((IF(MNU_CODIGO_ALIMENTO_ENTREGA=CONCATENATE($C68,"_","P_"),MNU_GRAMAJE_REQUERIDO_TIPOB,"")))</f>
        <v>100</v>
      </c>
      <c r="N68" s="348">
        <f t="shared" si="62"/>
        <v>143430</v>
      </c>
      <c r="O68" s="348">
        <f t="shared" si="63"/>
        <v>29808</v>
      </c>
      <c r="P68" s="348">
        <f t="shared" si="64"/>
        <v>173238</v>
      </c>
      <c r="Q68" s="349">
        <f t="shared" si="65"/>
        <v>33992910</v>
      </c>
      <c r="R68" s="349">
        <f t="shared" si="66"/>
        <v>7064496</v>
      </c>
      <c r="S68" s="349">
        <f t="shared" si="67"/>
        <v>41057406</v>
      </c>
      <c r="T68" s="353">
        <f t="array" ref="T68">MAX((IF(MNU_CODIGO_ALIMENTO_ENTREGA=CONCATENATE($C68,"_","P_"),MNU_GRAMAJE_REQUERIDO_TIPOC,"")))</f>
        <v>100</v>
      </c>
      <c r="U68" s="259">
        <f t="shared" si="68"/>
        <v>167811</v>
      </c>
      <c r="V68" s="259">
        <f t="shared" si="69"/>
        <v>39261</v>
      </c>
      <c r="W68" s="259">
        <f t="shared" si="70"/>
        <v>207072</v>
      </c>
      <c r="X68" s="260">
        <f t="shared" si="71"/>
        <v>39771207</v>
      </c>
      <c r="Y68" s="260">
        <f t="shared" si="72"/>
        <v>9304857</v>
      </c>
      <c r="Z68" s="260">
        <f t="shared" si="73"/>
        <v>49076064</v>
      </c>
      <c r="AA68" s="258">
        <f t="array" ref="AA68">MAX((IF(MNU_CODIGO_ALIMENTO_ENTREGA=CONCATENATE($C68,"_","P_"),MNU_GRAMAJE_REQUERIDO_TIPOM,"")))</f>
        <v>100</v>
      </c>
      <c r="AB68" s="261">
        <f t="shared" si="74"/>
        <v>3717</v>
      </c>
      <c r="AC68" s="261">
        <v>0</v>
      </c>
      <c r="AD68" s="261">
        <f t="shared" si="75"/>
        <v>3717</v>
      </c>
      <c r="AE68" s="262">
        <f t="shared" si="76"/>
        <v>880929</v>
      </c>
      <c r="AF68" s="262">
        <v>0</v>
      </c>
      <c r="AG68" s="262">
        <f t="shared" si="77"/>
        <v>880929</v>
      </c>
      <c r="AH68" s="353">
        <f t="array" ref="AH68">MAX((IF(MNU_CODIGO_ALIMENTO_ENTREGA=CONCATENATE($C68,"_","P_"),MNU_GRAMAJE_REQUERIDO_TIPOH,"")))</f>
        <v>100</v>
      </c>
      <c r="AI68" s="259">
        <f t="shared" si="78"/>
        <v>3192</v>
      </c>
      <c r="AJ68" s="259">
        <v>0</v>
      </c>
      <c r="AK68" s="259">
        <f t="shared" si="79"/>
        <v>3192</v>
      </c>
      <c r="AL68" s="260">
        <f t="shared" si="80"/>
        <v>756504</v>
      </c>
      <c r="AM68" s="260">
        <v>0</v>
      </c>
      <c r="AN68" s="260">
        <f t="shared" si="81"/>
        <v>756504</v>
      </c>
      <c r="AO68" s="457">
        <f t="shared" si="82"/>
        <v>387219</v>
      </c>
      <c r="AP68" s="456">
        <f t="shared" si="83"/>
        <v>91770903</v>
      </c>
      <c r="AQ68" s="263" t="e">
        <f>#REF!+AH68+AA68+T68+M68</f>
        <v>#REF!</v>
      </c>
      <c r="AR68" s="263">
        <f t="shared" si="42"/>
        <v>92089053</v>
      </c>
      <c r="AS68" s="263" t="e">
        <f t="shared" si="43"/>
        <v>#REF!</v>
      </c>
      <c r="AT68" s="263">
        <f t="shared" si="44"/>
        <v>92476272</v>
      </c>
      <c r="AU68" s="263" t="e">
        <f t="shared" si="45"/>
        <v>#REF!</v>
      </c>
      <c r="AV68" s="263">
        <f t="shared" si="46"/>
        <v>108845625</v>
      </c>
      <c r="AW68" s="263" t="e">
        <f t="shared" si="47"/>
        <v>#REF!</v>
      </c>
      <c r="AX68" s="263" t="e">
        <f>AV68+#REF!+AH68+AA68+T68</f>
        <v>#REF!</v>
      </c>
      <c r="AY68" s="263" t="e">
        <f t="shared" si="48"/>
        <v>#REF!</v>
      </c>
      <c r="AZ68" s="263" t="e">
        <f t="shared" si="49"/>
        <v>#REF!</v>
      </c>
      <c r="BA68" s="263" t="e">
        <f t="shared" si="50"/>
        <v>#REF!</v>
      </c>
      <c r="BB68" s="263" t="e">
        <f t="shared" si="51"/>
        <v>#REF!</v>
      </c>
      <c r="BC68" s="263" t="e">
        <f t="shared" si="52"/>
        <v>#REF!</v>
      </c>
      <c r="BD68" s="263" t="e">
        <f t="shared" si="53"/>
        <v>#REF!</v>
      </c>
      <c r="BE68" s="263" t="e">
        <f>BC68+AV68+#REF!+AH68+AA68</f>
        <v>#REF!</v>
      </c>
      <c r="BF68" s="263" t="e">
        <f t="shared" si="54"/>
        <v>#REF!</v>
      </c>
      <c r="BG68" s="263" t="e">
        <f t="shared" si="55"/>
        <v>#REF!</v>
      </c>
    </row>
    <row r="69" spans="1:59" ht="15.75">
      <c r="A69" s="338">
        <v>5</v>
      </c>
      <c r="B69" s="338" t="s">
        <v>1</v>
      </c>
      <c r="C69" s="258">
        <v>22</v>
      </c>
      <c r="D69" s="328" t="s">
        <v>51</v>
      </c>
      <c r="E69" s="258" t="s">
        <v>9</v>
      </c>
      <c r="F69" s="431">
        <f t="array" ref="F69">MAX((IF(MNU_CODIGO_ALIMENTO_ENTREGA=CONCATENATE($C69,"_","P_"),MNU_GRAMAJE_REQUERIDO_TIPOA,"")))</f>
        <v>0</v>
      </c>
      <c r="G69" s="259">
        <f t="shared" si="56"/>
        <v>0</v>
      </c>
      <c r="H69" s="259">
        <f t="shared" si="57"/>
        <v>0</v>
      </c>
      <c r="I69" s="259">
        <f t="shared" si="58"/>
        <v>0</v>
      </c>
      <c r="J69" s="260">
        <f t="shared" si="59"/>
        <v>0</v>
      </c>
      <c r="K69" s="260">
        <f t="shared" si="60"/>
        <v>0</v>
      </c>
      <c r="L69" s="260">
        <f t="shared" si="61"/>
        <v>0</v>
      </c>
      <c r="M69" s="432">
        <f t="array" ref="M69">MAX((IF(MNU_CODIGO_ALIMENTO_ENTREGA=CONCATENATE($C69,"_","P_"),MNU_GRAMAJE_REQUERIDO_TIPOB,"")))</f>
        <v>100</v>
      </c>
      <c r="N69" s="348">
        <f t="shared" si="62"/>
        <v>136600</v>
      </c>
      <c r="O69" s="348">
        <f t="shared" si="63"/>
        <v>29808</v>
      </c>
      <c r="P69" s="348">
        <f t="shared" si="64"/>
        <v>166408</v>
      </c>
      <c r="Q69" s="349">
        <f t="shared" si="65"/>
        <v>75266600</v>
      </c>
      <c r="R69" s="349">
        <f t="shared" si="66"/>
        <v>16424208</v>
      </c>
      <c r="S69" s="349">
        <f t="shared" si="67"/>
        <v>91690808</v>
      </c>
      <c r="T69" s="353">
        <f t="array" ref="T69">MAX((IF(MNU_CODIGO_ALIMENTO_ENTREGA=CONCATENATE($C69,"_","P_"),MNU_GRAMAJE_REQUERIDO_TIPOC,"")))</f>
        <v>100</v>
      </c>
      <c r="U69" s="259">
        <f t="shared" si="68"/>
        <v>159820</v>
      </c>
      <c r="V69" s="259">
        <f t="shared" si="69"/>
        <v>39261</v>
      </c>
      <c r="W69" s="259">
        <f t="shared" si="70"/>
        <v>199081</v>
      </c>
      <c r="X69" s="260">
        <f t="shared" si="71"/>
        <v>88060820</v>
      </c>
      <c r="Y69" s="260">
        <f t="shared" si="72"/>
        <v>21632811</v>
      </c>
      <c r="Z69" s="260">
        <f t="shared" si="73"/>
        <v>109693631</v>
      </c>
      <c r="AA69" s="258">
        <f t="array" ref="AA69">MAX((IF(MNU_CODIGO_ALIMENTO_ENTREGA=CONCATENATE($C69,"_","P_"),MNU_GRAMAJE_REQUERIDO_TIPOM,"")))</f>
        <v>100</v>
      </c>
      <c r="AB69" s="261">
        <f t="shared" si="74"/>
        <v>3540</v>
      </c>
      <c r="AC69" s="261">
        <v>0</v>
      </c>
      <c r="AD69" s="261">
        <f t="shared" si="75"/>
        <v>3540</v>
      </c>
      <c r="AE69" s="262">
        <f t="shared" si="76"/>
        <v>1950540</v>
      </c>
      <c r="AF69" s="262">
        <v>0</v>
      </c>
      <c r="AG69" s="262">
        <f t="shared" si="77"/>
        <v>1950540</v>
      </c>
      <c r="AH69" s="353">
        <f t="array" ref="AH69">MAX((IF(MNU_CODIGO_ALIMENTO_ENTREGA=CONCATENATE($C69,"_","P_"),MNU_GRAMAJE_REQUERIDO_TIPOH,"")))</f>
        <v>100</v>
      </c>
      <c r="AI69" s="259">
        <f t="shared" si="78"/>
        <v>3040</v>
      </c>
      <c r="AJ69" s="259">
        <v>0</v>
      </c>
      <c r="AK69" s="259">
        <f t="shared" si="79"/>
        <v>3040</v>
      </c>
      <c r="AL69" s="260">
        <f t="shared" si="80"/>
        <v>1675040</v>
      </c>
      <c r="AM69" s="260">
        <v>0</v>
      </c>
      <c r="AN69" s="260">
        <f t="shared" si="81"/>
        <v>1675040</v>
      </c>
      <c r="AO69" s="457">
        <f t="shared" si="82"/>
        <v>372069</v>
      </c>
      <c r="AP69" s="456">
        <f t="shared" si="83"/>
        <v>205010019</v>
      </c>
      <c r="AQ69" s="263" t="e">
        <f>#REF!+AH69+AA69+T69+M69</f>
        <v>#REF!</v>
      </c>
      <c r="AR69" s="263">
        <f t="shared" si="42"/>
        <v>205313019</v>
      </c>
      <c r="AS69" s="263" t="e">
        <f t="shared" si="43"/>
        <v>#REF!</v>
      </c>
      <c r="AT69" s="263">
        <f t="shared" si="44"/>
        <v>205685088</v>
      </c>
      <c r="AU69" s="263" t="e">
        <f t="shared" si="45"/>
        <v>#REF!</v>
      </c>
      <c r="AV69" s="263">
        <f t="shared" si="46"/>
        <v>243742107</v>
      </c>
      <c r="AW69" s="263" t="e">
        <f t="shared" si="47"/>
        <v>#REF!</v>
      </c>
      <c r="AX69" s="263" t="e">
        <f>AV69+#REF!+AH69+AA69+T69</f>
        <v>#REF!</v>
      </c>
      <c r="AY69" s="263" t="e">
        <f t="shared" si="48"/>
        <v>#REF!</v>
      </c>
      <c r="AZ69" s="263" t="e">
        <f t="shared" si="49"/>
        <v>#REF!</v>
      </c>
      <c r="BA69" s="263" t="e">
        <f t="shared" si="50"/>
        <v>#REF!</v>
      </c>
      <c r="BB69" s="263" t="e">
        <f t="shared" si="51"/>
        <v>#REF!</v>
      </c>
      <c r="BC69" s="263" t="e">
        <f t="shared" si="52"/>
        <v>#REF!</v>
      </c>
      <c r="BD69" s="263" t="e">
        <f t="shared" si="53"/>
        <v>#REF!</v>
      </c>
      <c r="BE69" s="263" t="e">
        <f>BC69+AV69+#REF!+AH69+AA69</f>
        <v>#REF!</v>
      </c>
      <c r="BF69" s="263" t="e">
        <f t="shared" si="54"/>
        <v>#REF!</v>
      </c>
      <c r="BG69" s="263" t="e">
        <f t="shared" si="55"/>
        <v>#REF!</v>
      </c>
    </row>
    <row r="70" spans="1:59" ht="15.75">
      <c r="A70" s="338">
        <v>5</v>
      </c>
      <c r="B70" s="338" t="s">
        <v>1</v>
      </c>
      <c r="C70" s="258">
        <v>33</v>
      </c>
      <c r="D70" s="328" t="s">
        <v>59</v>
      </c>
      <c r="E70" s="258" t="s">
        <v>48</v>
      </c>
      <c r="F70" s="431">
        <v>1</v>
      </c>
      <c r="G70" s="259">
        <f t="shared" si="56"/>
        <v>139968</v>
      </c>
      <c r="H70" s="259">
        <f t="shared" si="57"/>
        <v>20590</v>
      </c>
      <c r="I70" s="259">
        <f t="shared" si="58"/>
        <v>160558</v>
      </c>
      <c r="J70" s="260">
        <f t="shared" si="59"/>
        <v>39610944</v>
      </c>
      <c r="K70" s="260">
        <f t="shared" si="60"/>
        <v>5826970</v>
      </c>
      <c r="L70" s="260">
        <f t="shared" si="61"/>
        <v>45437914</v>
      </c>
      <c r="M70" s="432">
        <v>1</v>
      </c>
      <c r="N70" s="348">
        <f t="shared" si="62"/>
        <v>122940</v>
      </c>
      <c r="O70" s="348">
        <f t="shared" si="63"/>
        <v>29808</v>
      </c>
      <c r="P70" s="348">
        <f t="shared" si="64"/>
        <v>152748</v>
      </c>
      <c r="Q70" s="349">
        <f t="shared" si="65"/>
        <v>34792020</v>
      </c>
      <c r="R70" s="349">
        <f t="shared" si="66"/>
        <v>8435664</v>
      </c>
      <c r="S70" s="349">
        <f t="shared" si="67"/>
        <v>43227684</v>
      </c>
      <c r="T70" s="431">
        <v>1</v>
      </c>
      <c r="U70" s="259">
        <f t="shared" si="68"/>
        <v>143838</v>
      </c>
      <c r="V70" s="259">
        <f t="shared" si="69"/>
        <v>39261</v>
      </c>
      <c r="W70" s="259">
        <f t="shared" si="70"/>
        <v>183099</v>
      </c>
      <c r="X70" s="260">
        <f t="shared" si="71"/>
        <v>40706154</v>
      </c>
      <c r="Y70" s="260">
        <f t="shared" si="72"/>
        <v>11110863</v>
      </c>
      <c r="Z70" s="260">
        <f t="shared" si="73"/>
        <v>51817017</v>
      </c>
      <c r="AA70" s="258">
        <v>1</v>
      </c>
      <c r="AB70" s="261">
        <f t="shared" si="74"/>
        <v>3186</v>
      </c>
      <c r="AC70" s="261">
        <v>0</v>
      </c>
      <c r="AD70" s="261">
        <f t="shared" si="75"/>
        <v>3186</v>
      </c>
      <c r="AE70" s="262">
        <f t="shared" si="76"/>
        <v>901638</v>
      </c>
      <c r="AF70" s="262">
        <v>0</v>
      </c>
      <c r="AG70" s="262">
        <f t="shared" si="77"/>
        <v>901638</v>
      </c>
      <c r="AH70" s="353">
        <v>1</v>
      </c>
      <c r="AI70" s="259">
        <f t="shared" si="78"/>
        <v>2736</v>
      </c>
      <c r="AJ70" s="259">
        <v>0</v>
      </c>
      <c r="AK70" s="259">
        <f t="shared" si="79"/>
        <v>2736</v>
      </c>
      <c r="AL70" s="260">
        <f t="shared" si="80"/>
        <v>774288</v>
      </c>
      <c r="AM70" s="260">
        <v>0</v>
      </c>
      <c r="AN70" s="260">
        <f t="shared" si="81"/>
        <v>774288</v>
      </c>
      <c r="AO70" s="457">
        <f t="shared" si="82"/>
        <v>502327</v>
      </c>
      <c r="AP70" s="456">
        <f t="shared" si="83"/>
        <v>142158541</v>
      </c>
      <c r="AQ70" s="263" t="e">
        <f>#REF!+AH70+AA70+T70+M70</f>
        <v>#REF!</v>
      </c>
      <c r="AR70" s="263">
        <f t="shared" si="42"/>
        <v>142431241</v>
      </c>
      <c r="AS70" s="263" t="e">
        <f t="shared" si="43"/>
        <v>#REF!</v>
      </c>
      <c r="AT70" s="263">
        <f t="shared" si="44"/>
        <v>142773010</v>
      </c>
      <c r="AU70" s="263" t="e">
        <f t="shared" si="45"/>
        <v>#REF!</v>
      </c>
      <c r="AV70" s="263">
        <f t="shared" si="46"/>
        <v>162319537</v>
      </c>
      <c r="AW70" s="263" t="e">
        <f t="shared" si="47"/>
        <v>#REF!</v>
      </c>
      <c r="AX70" s="263" t="e">
        <f>AV70+#REF!+AH70+AA70+T70</f>
        <v>#REF!</v>
      </c>
      <c r="AY70" s="263" t="e">
        <f t="shared" si="48"/>
        <v>#REF!</v>
      </c>
      <c r="AZ70" s="263" t="e">
        <f t="shared" si="49"/>
        <v>#REF!</v>
      </c>
      <c r="BA70" s="263" t="e">
        <f t="shared" si="50"/>
        <v>#REF!</v>
      </c>
      <c r="BB70" s="263" t="e">
        <f t="shared" si="51"/>
        <v>#REF!</v>
      </c>
      <c r="BC70" s="263" t="e">
        <f t="shared" si="52"/>
        <v>#REF!</v>
      </c>
      <c r="BD70" s="263" t="e">
        <f t="shared" si="53"/>
        <v>#REF!</v>
      </c>
      <c r="BE70" s="263" t="e">
        <f>BC70+AV70+#REF!+AH70+AA70</f>
        <v>#REF!</v>
      </c>
      <c r="BF70" s="263" t="e">
        <f t="shared" si="54"/>
        <v>#REF!</v>
      </c>
      <c r="BG70" s="263" t="e">
        <f t="shared" si="55"/>
        <v>#REF!</v>
      </c>
    </row>
    <row r="71" spans="1:59" ht="15.75">
      <c r="A71" s="338">
        <v>5</v>
      </c>
      <c r="B71" s="338" t="s">
        <v>1</v>
      </c>
      <c r="C71" s="258">
        <v>36</v>
      </c>
      <c r="D71" s="328" t="s">
        <v>1340</v>
      </c>
      <c r="E71" s="258" t="s">
        <v>9</v>
      </c>
      <c r="F71" s="431">
        <f t="array" ref="F71">MAX((IF(MNU_CODIGO_ALIMENTO_ENTREGA=CONCATENATE($C71,"_","P_"),MNU_GRAMAJE_REQUERIDO_TIPOA,"")))</f>
        <v>20</v>
      </c>
      <c r="G71" s="259">
        <f t="shared" si="56"/>
        <v>36288</v>
      </c>
      <c r="H71" s="259">
        <f t="shared" si="57"/>
        <v>5680</v>
      </c>
      <c r="I71" s="259">
        <f t="shared" si="58"/>
        <v>41968</v>
      </c>
      <c r="J71" s="260">
        <f t="shared" si="59"/>
        <v>4790016</v>
      </c>
      <c r="K71" s="260">
        <f t="shared" si="60"/>
        <v>749760</v>
      </c>
      <c r="L71" s="260">
        <f t="shared" si="61"/>
        <v>5539776</v>
      </c>
      <c r="M71" s="432">
        <f t="array" ref="M71">MAX((IF(MNU_CODIGO_ALIMENTO_ENTREGA=CONCATENATE($C71,"_","P_"),MNU_GRAMAJE_REQUERIDO_TIPOB,"")))</f>
        <v>40</v>
      </c>
      <c r="N71" s="348">
        <f t="shared" si="62"/>
        <v>47810</v>
      </c>
      <c r="O71" s="348">
        <f t="shared" si="63"/>
        <v>10368</v>
      </c>
      <c r="P71" s="348">
        <f t="shared" si="64"/>
        <v>58178</v>
      </c>
      <c r="Q71" s="349">
        <f t="shared" si="65"/>
        <v>12669650</v>
      </c>
      <c r="R71" s="349">
        <f t="shared" si="66"/>
        <v>2747520</v>
      </c>
      <c r="S71" s="349">
        <f t="shared" si="67"/>
        <v>15417170</v>
      </c>
      <c r="T71" s="353">
        <f t="array" ref="T71">MAX((IF(MNU_CODIGO_ALIMENTO_ENTREGA=CONCATENATE($C71,"_","P_"),MNU_GRAMAJE_REQUERIDO_TIPOC,"")))</f>
        <v>40</v>
      </c>
      <c r="U71" s="259">
        <f t="shared" si="68"/>
        <v>55937</v>
      </c>
      <c r="V71" s="259">
        <f t="shared" si="69"/>
        <v>13656</v>
      </c>
      <c r="W71" s="259">
        <f t="shared" si="70"/>
        <v>69593</v>
      </c>
      <c r="X71" s="260">
        <f t="shared" si="71"/>
        <v>14823305</v>
      </c>
      <c r="Y71" s="260">
        <f t="shared" si="72"/>
        <v>3618840</v>
      </c>
      <c r="Z71" s="260">
        <f t="shared" si="73"/>
        <v>18442145</v>
      </c>
      <c r="AA71" s="258">
        <f t="array" ref="AA71">MAX((IF(MNU_CODIGO_ALIMENTO_ENTREGA=CONCATENATE($C71,"_","P_"),MNU_GRAMAJE_REQUERIDO_TIPOM,"")))</f>
        <v>40</v>
      </c>
      <c r="AB71" s="261">
        <f t="shared" si="74"/>
        <v>1239</v>
      </c>
      <c r="AC71" s="261">
        <v>0</v>
      </c>
      <c r="AD71" s="261">
        <f t="shared" si="75"/>
        <v>1239</v>
      </c>
      <c r="AE71" s="262">
        <f t="shared" si="76"/>
        <v>328335</v>
      </c>
      <c r="AF71" s="262">
        <v>0</v>
      </c>
      <c r="AG71" s="262">
        <f t="shared" si="77"/>
        <v>328335</v>
      </c>
      <c r="AH71" s="353">
        <f t="array" ref="AH71">MAX((IF(MNU_CODIGO_ALIMENTO_ENTREGA=CONCATENATE($C71,"_","P_"),MNU_GRAMAJE_REQUERIDO_TIPOH,"")))</f>
        <v>40</v>
      </c>
      <c r="AI71" s="259">
        <f t="shared" si="78"/>
        <v>1064</v>
      </c>
      <c r="AJ71" s="259">
        <v>0</v>
      </c>
      <c r="AK71" s="259">
        <f t="shared" si="79"/>
        <v>1064</v>
      </c>
      <c r="AL71" s="260">
        <f t="shared" si="80"/>
        <v>281960</v>
      </c>
      <c r="AM71" s="260">
        <v>0</v>
      </c>
      <c r="AN71" s="260">
        <f t="shared" si="81"/>
        <v>281960</v>
      </c>
      <c r="AO71" s="457">
        <f t="shared" si="82"/>
        <v>172042</v>
      </c>
      <c r="AP71" s="456">
        <f t="shared" si="83"/>
        <v>40009386</v>
      </c>
      <c r="AQ71" s="263" t="e">
        <f>#REF!+AH71+AA71+T71+M71</f>
        <v>#REF!</v>
      </c>
      <c r="AR71" s="263">
        <f t="shared" si="42"/>
        <v>40115436</v>
      </c>
      <c r="AS71" s="263" t="e">
        <f t="shared" si="43"/>
        <v>#REF!</v>
      </c>
      <c r="AT71" s="263">
        <f t="shared" si="44"/>
        <v>40245510</v>
      </c>
      <c r="AU71" s="263" t="e">
        <f t="shared" si="45"/>
        <v>#REF!</v>
      </c>
      <c r="AV71" s="263">
        <f t="shared" si="46"/>
        <v>46611870</v>
      </c>
      <c r="AW71" s="263" t="e">
        <f t="shared" si="47"/>
        <v>#REF!</v>
      </c>
      <c r="AX71" s="263" t="e">
        <f>AV71+#REF!+AH71+AA71+T71</f>
        <v>#REF!</v>
      </c>
      <c r="AY71" s="263" t="e">
        <f t="shared" si="48"/>
        <v>#REF!</v>
      </c>
      <c r="AZ71" s="263" t="e">
        <f t="shared" si="49"/>
        <v>#REF!</v>
      </c>
      <c r="BA71" s="263" t="e">
        <f t="shared" si="50"/>
        <v>#REF!</v>
      </c>
      <c r="BB71" s="263" t="e">
        <f t="shared" si="51"/>
        <v>#REF!</v>
      </c>
      <c r="BC71" s="263" t="e">
        <f t="shared" si="52"/>
        <v>#REF!</v>
      </c>
      <c r="BD71" s="263" t="e">
        <f t="shared" si="53"/>
        <v>#REF!</v>
      </c>
      <c r="BE71" s="263" t="e">
        <f>BC71+AV71+#REF!+AH71+AA71</f>
        <v>#REF!</v>
      </c>
      <c r="BF71" s="263" t="e">
        <f t="shared" si="54"/>
        <v>#REF!</v>
      </c>
      <c r="BG71" s="263" t="e">
        <f t="shared" si="55"/>
        <v>#REF!</v>
      </c>
    </row>
    <row r="72" spans="1:59" ht="15.75">
      <c r="A72" s="338">
        <v>5</v>
      </c>
      <c r="B72" s="338" t="s">
        <v>1</v>
      </c>
      <c r="C72" s="258">
        <v>42</v>
      </c>
      <c r="D72" s="328" t="s">
        <v>61</v>
      </c>
      <c r="E72" s="258" t="s">
        <v>9</v>
      </c>
      <c r="F72" s="431">
        <f t="array" ref="F72">MAX((IF(MNU_CODIGO_ALIMENTO_ENTREGA=CONCATENATE($C72,"_","P_"),MNU_GRAMAJE_REQUERIDO_TIPOA,"")))</f>
        <v>100</v>
      </c>
      <c r="G72" s="259">
        <f t="shared" si="56"/>
        <v>119232</v>
      </c>
      <c r="H72" s="259">
        <f t="shared" si="57"/>
        <v>25560</v>
      </c>
      <c r="I72" s="259">
        <f t="shared" si="58"/>
        <v>144792</v>
      </c>
      <c r="J72" s="260">
        <f t="shared" si="59"/>
        <v>24323328</v>
      </c>
      <c r="K72" s="260">
        <f t="shared" si="60"/>
        <v>5214240</v>
      </c>
      <c r="L72" s="260">
        <f t="shared" si="61"/>
        <v>29537568</v>
      </c>
      <c r="M72" s="432">
        <f t="array" ref="M72">MAX((IF(MNU_CODIGO_ALIMENTO_ENTREGA=CONCATENATE($C72,"_","P_"),MNU_GRAMAJE_REQUERIDO_TIPOB,"")))</f>
        <v>100</v>
      </c>
      <c r="N72" s="348">
        <f t="shared" si="62"/>
        <v>129770</v>
      </c>
      <c r="O72" s="348">
        <f t="shared" si="63"/>
        <v>24624</v>
      </c>
      <c r="P72" s="348">
        <f t="shared" si="64"/>
        <v>154394</v>
      </c>
      <c r="Q72" s="349">
        <f t="shared" si="65"/>
        <v>26473080</v>
      </c>
      <c r="R72" s="349">
        <f t="shared" si="66"/>
        <v>5023296</v>
      </c>
      <c r="S72" s="349">
        <f t="shared" si="67"/>
        <v>31496376</v>
      </c>
      <c r="T72" s="353">
        <f t="array" ref="T72">MAX((IF(MNU_CODIGO_ALIMENTO_ENTREGA=CONCATENATE($C72,"_","P_"),MNU_GRAMAJE_REQUERIDO_TIPOC,"")))</f>
        <v>100</v>
      </c>
      <c r="U72" s="259">
        <f t="shared" si="68"/>
        <v>151829</v>
      </c>
      <c r="V72" s="259">
        <f t="shared" si="69"/>
        <v>32433</v>
      </c>
      <c r="W72" s="259">
        <f t="shared" si="70"/>
        <v>184262</v>
      </c>
      <c r="X72" s="260">
        <f t="shared" si="71"/>
        <v>30973116</v>
      </c>
      <c r="Y72" s="260">
        <f t="shared" si="72"/>
        <v>6616332</v>
      </c>
      <c r="Z72" s="260">
        <f t="shared" si="73"/>
        <v>37589448</v>
      </c>
      <c r="AA72" s="258">
        <f t="array" ref="AA72">MAX((IF(MNU_CODIGO_ALIMENTO_ENTREGA=CONCATENATE($C72,"_","P_"),MNU_GRAMAJE_REQUERIDO_TIPOM,"")))</f>
        <v>100</v>
      </c>
      <c r="AB72" s="261">
        <f t="shared" si="74"/>
        <v>3363</v>
      </c>
      <c r="AC72" s="261">
        <v>0</v>
      </c>
      <c r="AD72" s="261">
        <f t="shared" si="75"/>
        <v>3363</v>
      </c>
      <c r="AE72" s="262">
        <f t="shared" si="76"/>
        <v>686052</v>
      </c>
      <c r="AF72" s="262">
        <v>0</v>
      </c>
      <c r="AG72" s="262">
        <f t="shared" si="77"/>
        <v>686052</v>
      </c>
      <c r="AH72" s="353">
        <f t="array" ref="AH72">MAX((IF(MNU_CODIGO_ALIMENTO_ENTREGA=CONCATENATE($C72,"_","P_"),MNU_GRAMAJE_REQUERIDO_TIPOH,"")))</f>
        <v>100</v>
      </c>
      <c r="AI72" s="259">
        <f t="shared" si="78"/>
        <v>2888</v>
      </c>
      <c r="AJ72" s="259">
        <v>0</v>
      </c>
      <c r="AK72" s="259">
        <f t="shared" si="79"/>
        <v>2888</v>
      </c>
      <c r="AL72" s="260">
        <f t="shared" si="80"/>
        <v>589152</v>
      </c>
      <c r="AM72" s="260">
        <v>0</v>
      </c>
      <c r="AN72" s="260">
        <f t="shared" si="81"/>
        <v>589152</v>
      </c>
      <c r="AO72" s="457">
        <f t="shared" si="82"/>
        <v>489699</v>
      </c>
      <c r="AP72" s="456">
        <f t="shared" si="83"/>
        <v>99898596</v>
      </c>
      <c r="AQ72" s="263" t="e">
        <f>#REF!+AH72+AA72+T72+M72</f>
        <v>#REF!</v>
      </c>
      <c r="AR72" s="263">
        <f t="shared" si="42"/>
        <v>100186446</v>
      </c>
      <c r="AS72" s="263" t="e">
        <f t="shared" si="43"/>
        <v>#REF!</v>
      </c>
      <c r="AT72" s="263">
        <f t="shared" si="44"/>
        <v>100531353</v>
      </c>
      <c r="AU72" s="263" t="e">
        <f t="shared" si="45"/>
        <v>#REF!</v>
      </c>
      <c r="AV72" s="263">
        <f t="shared" si="46"/>
        <v>112170981</v>
      </c>
      <c r="AW72" s="263" t="e">
        <f t="shared" si="47"/>
        <v>#REF!</v>
      </c>
      <c r="AX72" s="263" t="e">
        <f>AV72+#REF!+AH72+AA72+T72</f>
        <v>#REF!</v>
      </c>
      <c r="AY72" s="263" t="e">
        <f t="shared" si="48"/>
        <v>#REF!</v>
      </c>
      <c r="AZ72" s="263" t="e">
        <f t="shared" si="49"/>
        <v>#REF!</v>
      </c>
      <c r="BA72" s="263" t="e">
        <f t="shared" si="50"/>
        <v>#REF!</v>
      </c>
      <c r="BB72" s="263" t="e">
        <f t="shared" si="51"/>
        <v>#REF!</v>
      </c>
      <c r="BC72" s="263" t="e">
        <f t="shared" si="52"/>
        <v>#REF!</v>
      </c>
      <c r="BD72" s="263" t="e">
        <f t="shared" si="53"/>
        <v>#REF!</v>
      </c>
      <c r="BE72" s="263" t="e">
        <f>BC72+AV72+#REF!+AH72+AA72</f>
        <v>#REF!</v>
      </c>
      <c r="BF72" s="263" t="e">
        <f t="shared" si="54"/>
        <v>#REF!</v>
      </c>
      <c r="BG72" s="263" t="e">
        <f t="shared" si="55"/>
        <v>#REF!</v>
      </c>
    </row>
    <row r="73" spans="1:59" ht="15.75">
      <c r="A73" s="338">
        <v>5</v>
      </c>
      <c r="B73" s="338" t="s">
        <v>1</v>
      </c>
      <c r="C73" s="258">
        <v>43</v>
      </c>
      <c r="D73" s="328" t="s">
        <v>62</v>
      </c>
      <c r="E73" s="258" t="s">
        <v>9</v>
      </c>
      <c r="F73" s="431">
        <f t="array" ref="F73">MAX((IF(MNU_CODIGO_ALIMENTO_ENTREGA=CONCATENATE($C73,"_","P_"),MNU_GRAMAJE_REQUERIDO_TIPOA,"")))</f>
        <v>100</v>
      </c>
      <c r="G73" s="259">
        <f t="shared" si="56"/>
        <v>124416</v>
      </c>
      <c r="H73" s="259">
        <f t="shared" si="57"/>
        <v>20590</v>
      </c>
      <c r="I73" s="259">
        <f t="shared" si="58"/>
        <v>145006</v>
      </c>
      <c r="J73" s="260">
        <f t="shared" si="59"/>
        <v>22146048</v>
      </c>
      <c r="K73" s="260">
        <f t="shared" si="60"/>
        <v>3665020</v>
      </c>
      <c r="L73" s="260">
        <f t="shared" si="61"/>
        <v>25811068</v>
      </c>
      <c r="M73" s="432">
        <f t="array" ref="M73">MAX((IF(MNU_CODIGO_ALIMENTO_ENTREGA=CONCATENATE($C73,"_","P_"),MNU_GRAMAJE_REQUERIDO_TIPOB,"")))</f>
        <v>100</v>
      </c>
      <c r="N73" s="348">
        <f t="shared" si="62"/>
        <v>116110</v>
      </c>
      <c r="O73" s="348">
        <f t="shared" si="63"/>
        <v>29808</v>
      </c>
      <c r="P73" s="348">
        <f t="shared" si="64"/>
        <v>145918</v>
      </c>
      <c r="Q73" s="349">
        <f t="shared" si="65"/>
        <v>20667580</v>
      </c>
      <c r="R73" s="349">
        <f t="shared" si="66"/>
        <v>5305824</v>
      </c>
      <c r="S73" s="349">
        <f t="shared" si="67"/>
        <v>25973404</v>
      </c>
      <c r="T73" s="353">
        <f t="array" ref="T73">MAX((IF(MNU_CODIGO_ALIMENTO_ENTREGA=CONCATENATE($C73,"_","P_"),MNU_GRAMAJE_REQUERIDO_TIPOC,"")))</f>
        <v>100</v>
      </c>
      <c r="U73" s="259">
        <f t="shared" si="68"/>
        <v>135847</v>
      </c>
      <c r="V73" s="259">
        <f t="shared" si="69"/>
        <v>39261</v>
      </c>
      <c r="W73" s="259">
        <f t="shared" si="70"/>
        <v>175108</v>
      </c>
      <c r="X73" s="260">
        <f t="shared" si="71"/>
        <v>24180766</v>
      </c>
      <c r="Y73" s="260">
        <f t="shared" si="72"/>
        <v>6988458</v>
      </c>
      <c r="Z73" s="260">
        <f t="shared" si="73"/>
        <v>31169224</v>
      </c>
      <c r="AA73" s="258">
        <f t="array" ref="AA73">MAX((IF(MNU_CODIGO_ALIMENTO_ENTREGA=CONCATENATE($C73,"_","P_"),MNU_GRAMAJE_REQUERIDO_TIPOM,"")))</f>
        <v>100</v>
      </c>
      <c r="AB73" s="261">
        <f t="shared" si="74"/>
        <v>3009</v>
      </c>
      <c r="AC73" s="261">
        <v>0</v>
      </c>
      <c r="AD73" s="261">
        <f t="shared" si="75"/>
        <v>3009</v>
      </c>
      <c r="AE73" s="262">
        <f t="shared" si="76"/>
        <v>535602</v>
      </c>
      <c r="AF73" s="262">
        <v>0</v>
      </c>
      <c r="AG73" s="262">
        <f t="shared" si="77"/>
        <v>535602</v>
      </c>
      <c r="AH73" s="353">
        <f t="array" ref="AH73">MAX((IF(MNU_CODIGO_ALIMENTO_ENTREGA=CONCATENATE($C73,"_","P_"),MNU_GRAMAJE_REQUERIDO_TIPOH,"")))</f>
        <v>100</v>
      </c>
      <c r="AI73" s="259">
        <f t="shared" si="78"/>
        <v>2584</v>
      </c>
      <c r="AJ73" s="259">
        <v>0</v>
      </c>
      <c r="AK73" s="259">
        <f t="shared" si="79"/>
        <v>2584</v>
      </c>
      <c r="AL73" s="260">
        <f t="shared" si="80"/>
        <v>459952</v>
      </c>
      <c r="AM73" s="260">
        <v>0</v>
      </c>
      <c r="AN73" s="260">
        <f t="shared" si="81"/>
        <v>459952</v>
      </c>
      <c r="AO73" s="457">
        <f t="shared" si="82"/>
        <v>471625</v>
      </c>
      <c r="AP73" s="456">
        <f t="shared" si="83"/>
        <v>83949250</v>
      </c>
      <c r="AQ73" s="263" t="e">
        <f>#REF!+AH73+AA73+T73+M73</f>
        <v>#REF!</v>
      </c>
      <c r="AR73" s="263">
        <f t="shared" si="42"/>
        <v>84206800</v>
      </c>
      <c r="AS73" s="263" t="e">
        <f t="shared" si="43"/>
        <v>#REF!</v>
      </c>
      <c r="AT73" s="263">
        <f t="shared" si="44"/>
        <v>84533419</v>
      </c>
      <c r="AU73" s="263" t="e">
        <f t="shared" si="45"/>
        <v>#REF!</v>
      </c>
      <c r="AV73" s="263">
        <f t="shared" si="46"/>
        <v>96827701</v>
      </c>
      <c r="AW73" s="263" t="e">
        <f t="shared" si="47"/>
        <v>#REF!</v>
      </c>
      <c r="AX73" s="263" t="e">
        <f>AV73+#REF!+AH73+AA73+T73</f>
        <v>#REF!</v>
      </c>
      <c r="AY73" s="263" t="e">
        <f t="shared" si="48"/>
        <v>#REF!</v>
      </c>
      <c r="AZ73" s="263" t="e">
        <f t="shared" si="49"/>
        <v>#REF!</v>
      </c>
      <c r="BA73" s="263" t="e">
        <f t="shared" si="50"/>
        <v>#REF!</v>
      </c>
      <c r="BB73" s="263" t="e">
        <f t="shared" si="51"/>
        <v>#REF!</v>
      </c>
      <c r="BC73" s="263" t="e">
        <f t="shared" si="52"/>
        <v>#REF!</v>
      </c>
      <c r="BD73" s="263" t="e">
        <f t="shared" si="53"/>
        <v>#REF!</v>
      </c>
      <c r="BE73" s="263" t="e">
        <f>BC73+AV73+#REF!+AH73+AA73</f>
        <v>#REF!</v>
      </c>
      <c r="BF73" s="263" t="e">
        <f t="shared" si="54"/>
        <v>#REF!</v>
      </c>
      <c r="BG73" s="263" t="e">
        <f t="shared" si="55"/>
        <v>#REF!</v>
      </c>
    </row>
    <row r="74" spans="1:59" ht="15.75">
      <c r="A74" s="338">
        <v>5</v>
      </c>
      <c r="B74" s="338" t="s">
        <v>1</v>
      </c>
      <c r="C74" s="258">
        <v>46</v>
      </c>
      <c r="D74" s="328" t="s">
        <v>64</v>
      </c>
      <c r="E74" s="258" t="s">
        <v>9</v>
      </c>
      <c r="F74" s="431">
        <f t="array" ref="F74">MAX((IF(MNU_CODIGO_ALIMENTO_ENTREGA=CONCATENATE($C74,"_","P_"),MNU_GRAMAJE_REQUERIDO_TIPOA,"")))</f>
        <v>100</v>
      </c>
      <c r="G74" s="259">
        <f t="shared" si="56"/>
        <v>155520</v>
      </c>
      <c r="H74" s="259">
        <f t="shared" si="57"/>
        <v>20590</v>
      </c>
      <c r="I74" s="259">
        <f t="shared" si="58"/>
        <v>176110</v>
      </c>
      <c r="J74" s="260">
        <f t="shared" si="59"/>
        <v>65007360</v>
      </c>
      <c r="K74" s="260">
        <f t="shared" si="60"/>
        <v>8606620</v>
      </c>
      <c r="L74" s="260">
        <f t="shared" si="61"/>
        <v>73613980</v>
      </c>
      <c r="M74" s="432">
        <f t="array" ref="M74">MAX((IF(MNU_CODIGO_ALIMENTO_ENTREGA=CONCATENATE($C74,"_","P_"),MNU_GRAMAJE_REQUERIDO_TIPOB,"")))</f>
        <v>100</v>
      </c>
      <c r="N74" s="348">
        <f t="shared" si="62"/>
        <v>143430</v>
      </c>
      <c r="O74" s="348">
        <f t="shared" si="63"/>
        <v>31104</v>
      </c>
      <c r="P74" s="348">
        <f t="shared" si="64"/>
        <v>174534</v>
      </c>
      <c r="Q74" s="349">
        <f t="shared" si="65"/>
        <v>59953740</v>
      </c>
      <c r="R74" s="349">
        <f t="shared" si="66"/>
        <v>13001472</v>
      </c>
      <c r="S74" s="349">
        <f t="shared" si="67"/>
        <v>72955212</v>
      </c>
      <c r="T74" s="353">
        <f t="array" ref="T74">MAX((IF(MNU_CODIGO_ALIMENTO_ENTREGA=CONCATENATE($C74,"_","P_"),MNU_GRAMAJE_REQUERIDO_TIPOC,"")))</f>
        <v>100</v>
      </c>
      <c r="U74" s="259">
        <f t="shared" si="68"/>
        <v>167811</v>
      </c>
      <c r="V74" s="259">
        <f t="shared" si="69"/>
        <v>40968</v>
      </c>
      <c r="W74" s="259">
        <f t="shared" si="70"/>
        <v>208779</v>
      </c>
      <c r="X74" s="260">
        <f t="shared" si="71"/>
        <v>70144998</v>
      </c>
      <c r="Y74" s="260">
        <f t="shared" si="72"/>
        <v>17124624</v>
      </c>
      <c r="Z74" s="260">
        <f t="shared" si="73"/>
        <v>87269622</v>
      </c>
      <c r="AA74" s="258">
        <f t="array" ref="AA74">MAX((IF(MNU_CODIGO_ALIMENTO_ENTREGA=CONCATENATE($C74,"_","P_"),MNU_GRAMAJE_REQUERIDO_TIPOM,"")))</f>
        <v>100</v>
      </c>
      <c r="AB74" s="261">
        <f t="shared" si="74"/>
        <v>3717</v>
      </c>
      <c r="AC74" s="261">
        <v>0</v>
      </c>
      <c r="AD74" s="261">
        <f t="shared" si="75"/>
        <v>3717</v>
      </c>
      <c r="AE74" s="262">
        <f t="shared" si="76"/>
        <v>1553706</v>
      </c>
      <c r="AF74" s="262">
        <v>0</v>
      </c>
      <c r="AG74" s="262">
        <f t="shared" si="77"/>
        <v>1553706</v>
      </c>
      <c r="AH74" s="353">
        <f t="array" ref="AH74">MAX((IF(MNU_CODIGO_ALIMENTO_ENTREGA=CONCATENATE($C74,"_","P_"),MNU_GRAMAJE_REQUERIDO_TIPOH,"")))</f>
        <v>100</v>
      </c>
      <c r="AI74" s="259">
        <f t="shared" si="78"/>
        <v>3192</v>
      </c>
      <c r="AJ74" s="259">
        <v>0</v>
      </c>
      <c r="AK74" s="259">
        <f t="shared" si="79"/>
        <v>3192</v>
      </c>
      <c r="AL74" s="260">
        <f t="shared" si="80"/>
        <v>1334256</v>
      </c>
      <c r="AM74" s="260">
        <v>0</v>
      </c>
      <c r="AN74" s="260">
        <f t="shared" si="81"/>
        <v>1334256</v>
      </c>
      <c r="AO74" s="457">
        <f t="shared" si="82"/>
        <v>566332</v>
      </c>
      <c r="AP74" s="456">
        <f t="shared" si="83"/>
        <v>236726776</v>
      </c>
      <c r="AQ74" s="263" t="e">
        <f>#REF!+AH74+AA74+T74+M74</f>
        <v>#REF!</v>
      </c>
      <c r="AR74" s="263">
        <f t="shared" si="42"/>
        <v>237044926</v>
      </c>
      <c r="AS74" s="263" t="e">
        <f t="shared" si="43"/>
        <v>#REF!</v>
      </c>
      <c r="AT74" s="263">
        <f t="shared" si="44"/>
        <v>237435148</v>
      </c>
      <c r="AU74" s="263" t="e">
        <f t="shared" si="45"/>
        <v>#REF!</v>
      </c>
      <c r="AV74" s="263">
        <f t="shared" si="46"/>
        <v>267561244</v>
      </c>
      <c r="AW74" s="263" t="e">
        <f t="shared" si="47"/>
        <v>#REF!</v>
      </c>
      <c r="AX74" s="263" t="e">
        <f>AV74+#REF!+AH74+AA74+T74</f>
        <v>#REF!</v>
      </c>
      <c r="AY74" s="263" t="e">
        <f t="shared" si="48"/>
        <v>#REF!</v>
      </c>
      <c r="AZ74" s="263" t="e">
        <f t="shared" si="49"/>
        <v>#REF!</v>
      </c>
      <c r="BA74" s="263" t="e">
        <f t="shared" si="50"/>
        <v>#REF!</v>
      </c>
      <c r="BB74" s="263" t="e">
        <f t="shared" si="51"/>
        <v>#REF!</v>
      </c>
      <c r="BC74" s="263" t="e">
        <f t="shared" si="52"/>
        <v>#REF!</v>
      </c>
      <c r="BD74" s="263" t="e">
        <f t="shared" si="53"/>
        <v>#REF!</v>
      </c>
      <c r="BE74" s="263" t="e">
        <f>BC74+AV74+#REF!+AH74+AA74</f>
        <v>#REF!</v>
      </c>
      <c r="BF74" s="263" t="e">
        <f t="shared" si="54"/>
        <v>#REF!</v>
      </c>
      <c r="BG74" s="263" t="e">
        <f t="shared" si="55"/>
        <v>#REF!</v>
      </c>
    </row>
    <row r="75" spans="1:59" ht="15.75">
      <c r="A75" s="338">
        <v>5</v>
      </c>
      <c r="B75" s="338" t="s">
        <v>1</v>
      </c>
      <c r="C75" s="258">
        <v>58</v>
      </c>
      <c r="D75" s="328" t="s">
        <v>67</v>
      </c>
      <c r="E75" s="258" t="s">
        <v>9</v>
      </c>
      <c r="F75" s="431">
        <f t="array" ref="F75">MAX((IF(MNU_CODIGO_ALIMENTO_ENTREGA=CONCATENATE($C75,"_","P_"),MNU_GRAMAJE_REQUERIDO_TIPOA,"")))</f>
        <v>100</v>
      </c>
      <c r="G75" s="259">
        <f t="shared" si="56"/>
        <v>124416</v>
      </c>
      <c r="H75" s="259">
        <f t="shared" si="57"/>
        <v>19880</v>
      </c>
      <c r="I75" s="259">
        <f t="shared" si="58"/>
        <v>144296</v>
      </c>
      <c r="J75" s="260">
        <f t="shared" si="59"/>
        <v>20155392</v>
      </c>
      <c r="K75" s="260">
        <f t="shared" si="60"/>
        <v>3220560</v>
      </c>
      <c r="L75" s="260">
        <f t="shared" si="61"/>
        <v>23375952</v>
      </c>
      <c r="M75" s="432">
        <f t="array" ref="M75">MAX((IF(MNU_CODIGO_ALIMENTO_ENTREGA=CONCATENATE($C75,"_","P_"),MNU_GRAMAJE_REQUERIDO_TIPOB,"")))</f>
        <v>100</v>
      </c>
      <c r="N75" s="348">
        <f t="shared" si="62"/>
        <v>157090</v>
      </c>
      <c r="O75" s="348">
        <f t="shared" si="63"/>
        <v>29808</v>
      </c>
      <c r="P75" s="348">
        <f t="shared" si="64"/>
        <v>186898</v>
      </c>
      <c r="Q75" s="349">
        <f t="shared" si="65"/>
        <v>25448580</v>
      </c>
      <c r="R75" s="349">
        <f t="shared" si="66"/>
        <v>4828896</v>
      </c>
      <c r="S75" s="349">
        <f t="shared" si="67"/>
        <v>30277476</v>
      </c>
      <c r="T75" s="353">
        <f t="array" ref="T75">MAX((IF(MNU_CODIGO_ALIMENTO_ENTREGA=CONCATENATE($C75,"_","P_"),MNU_GRAMAJE_REQUERIDO_TIPOC,"")))</f>
        <v>100</v>
      </c>
      <c r="U75" s="259">
        <f t="shared" si="68"/>
        <v>183793</v>
      </c>
      <c r="V75" s="259">
        <f t="shared" si="69"/>
        <v>39261</v>
      </c>
      <c r="W75" s="259">
        <f t="shared" si="70"/>
        <v>223054</v>
      </c>
      <c r="X75" s="260">
        <f t="shared" si="71"/>
        <v>29774466</v>
      </c>
      <c r="Y75" s="260">
        <f t="shared" si="72"/>
        <v>6360282</v>
      </c>
      <c r="Z75" s="260">
        <f t="shared" si="73"/>
        <v>36134748</v>
      </c>
      <c r="AA75" s="258">
        <f t="array" ref="AA75">MAX((IF(MNU_CODIGO_ALIMENTO_ENTREGA=CONCATENATE($C75,"_","P_"),MNU_GRAMAJE_REQUERIDO_TIPOM,"")))</f>
        <v>100</v>
      </c>
      <c r="AB75" s="261">
        <f t="shared" si="74"/>
        <v>4071</v>
      </c>
      <c r="AC75" s="261">
        <v>0</v>
      </c>
      <c r="AD75" s="261">
        <f t="shared" si="75"/>
        <v>4071</v>
      </c>
      <c r="AE75" s="262">
        <f t="shared" si="76"/>
        <v>659502</v>
      </c>
      <c r="AF75" s="262">
        <v>0</v>
      </c>
      <c r="AG75" s="262">
        <f t="shared" si="77"/>
        <v>659502</v>
      </c>
      <c r="AH75" s="353">
        <f t="array" ref="AH75">MAX((IF(MNU_CODIGO_ALIMENTO_ENTREGA=CONCATENATE($C75,"_","P_"),MNU_GRAMAJE_REQUERIDO_TIPOH,"")))</f>
        <v>100</v>
      </c>
      <c r="AI75" s="259">
        <f t="shared" si="78"/>
        <v>3496</v>
      </c>
      <c r="AJ75" s="259">
        <v>0</v>
      </c>
      <c r="AK75" s="259">
        <f t="shared" si="79"/>
        <v>3496</v>
      </c>
      <c r="AL75" s="260">
        <f t="shared" si="80"/>
        <v>566352</v>
      </c>
      <c r="AM75" s="260">
        <v>0</v>
      </c>
      <c r="AN75" s="260">
        <f t="shared" si="81"/>
        <v>566352</v>
      </c>
      <c r="AO75" s="457">
        <f t="shared" si="82"/>
        <v>561815</v>
      </c>
      <c r="AP75" s="456">
        <f t="shared" si="83"/>
        <v>91014030</v>
      </c>
      <c r="AQ75" s="263" t="e">
        <f>#REF!+AH75+AA75+T75+M75</f>
        <v>#REF!</v>
      </c>
      <c r="AR75" s="263">
        <f t="shared" si="42"/>
        <v>91362480</v>
      </c>
      <c r="AS75" s="263" t="e">
        <f t="shared" si="43"/>
        <v>#REF!</v>
      </c>
      <c r="AT75" s="263">
        <f t="shared" si="44"/>
        <v>91779999</v>
      </c>
      <c r="AU75" s="263" t="e">
        <f t="shared" si="45"/>
        <v>#REF!</v>
      </c>
      <c r="AV75" s="263">
        <f t="shared" si="46"/>
        <v>102969177</v>
      </c>
      <c r="AW75" s="263" t="e">
        <f t="shared" si="47"/>
        <v>#REF!</v>
      </c>
      <c r="AX75" s="263" t="e">
        <f>AV75+#REF!+AH75+AA75+T75</f>
        <v>#REF!</v>
      </c>
      <c r="AY75" s="263" t="e">
        <f t="shared" si="48"/>
        <v>#REF!</v>
      </c>
      <c r="AZ75" s="263" t="e">
        <f t="shared" si="49"/>
        <v>#REF!</v>
      </c>
      <c r="BA75" s="263" t="e">
        <f t="shared" si="50"/>
        <v>#REF!</v>
      </c>
      <c r="BB75" s="263" t="e">
        <f t="shared" si="51"/>
        <v>#REF!</v>
      </c>
      <c r="BC75" s="263" t="e">
        <f t="shared" si="52"/>
        <v>#REF!</v>
      </c>
      <c r="BD75" s="263" t="e">
        <f t="shared" si="53"/>
        <v>#REF!</v>
      </c>
      <c r="BE75" s="263" t="e">
        <f>BC75+AV75+#REF!+AH75+AA75</f>
        <v>#REF!</v>
      </c>
      <c r="BF75" s="263" t="e">
        <f t="shared" si="54"/>
        <v>#REF!</v>
      </c>
      <c r="BG75" s="263" t="e">
        <f t="shared" si="55"/>
        <v>#REF!</v>
      </c>
    </row>
    <row r="76" spans="1:59" ht="15.75">
      <c r="A76" s="338">
        <v>5</v>
      </c>
      <c r="B76" s="338" t="s">
        <v>1</v>
      </c>
      <c r="C76" s="258">
        <v>59</v>
      </c>
      <c r="D76" s="328" t="s">
        <v>99</v>
      </c>
      <c r="E76" s="258" t="s">
        <v>9</v>
      </c>
      <c r="F76" s="431">
        <f t="array" ref="F76">MAX((IF(MNU_CODIGO_ALIMENTO_ENTREGA=CONCATENATE($C76,"_","P_"),MNU_GRAMAJE_REQUERIDO_TIPOA,"")))</f>
        <v>0</v>
      </c>
      <c r="G76" s="259">
        <f t="shared" si="56"/>
        <v>0</v>
      </c>
      <c r="H76" s="259">
        <f t="shared" si="57"/>
        <v>0</v>
      </c>
      <c r="I76" s="259">
        <f t="shared" si="58"/>
        <v>0</v>
      </c>
      <c r="J76" s="260">
        <f t="shared" si="59"/>
        <v>0</v>
      </c>
      <c r="K76" s="260">
        <f t="shared" si="60"/>
        <v>0</v>
      </c>
      <c r="L76" s="260">
        <f t="shared" si="61"/>
        <v>0</v>
      </c>
      <c r="M76" s="432">
        <f t="array" ref="M76">MAX((IF(MNU_CODIGO_ALIMENTO_ENTREGA=CONCATENATE($C76,"_","P_"),MNU_GRAMAJE_REQUERIDO_TIPOB,"")))</f>
        <v>100</v>
      </c>
      <c r="N76" s="348">
        <f t="shared" si="62"/>
        <v>54640</v>
      </c>
      <c r="O76" s="348">
        <f t="shared" si="63"/>
        <v>14256</v>
      </c>
      <c r="P76" s="348">
        <f t="shared" si="64"/>
        <v>68896</v>
      </c>
      <c r="Q76" s="349">
        <f t="shared" si="65"/>
        <v>16392000</v>
      </c>
      <c r="R76" s="349">
        <f t="shared" si="66"/>
        <v>4276800</v>
      </c>
      <c r="S76" s="349">
        <f t="shared" si="67"/>
        <v>20668800</v>
      </c>
      <c r="T76" s="353">
        <f t="array" ref="T76">MAX((IF(MNU_CODIGO_ALIMENTO_ENTREGA=CONCATENATE($C76,"_","P_"),MNU_GRAMAJE_REQUERIDO_TIPOC,"")))</f>
        <v>100</v>
      </c>
      <c r="U76" s="259">
        <f t="shared" si="68"/>
        <v>63928</v>
      </c>
      <c r="V76" s="259">
        <f t="shared" si="69"/>
        <v>18777</v>
      </c>
      <c r="W76" s="259">
        <f t="shared" si="70"/>
        <v>82705</v>
      </c>
      <c r="X76" s="260">
        <f t="shared" si="71"/>
        <v>19178400</v>
      </c>
      <c r="Y76" s="260">
        <f t="shared" si="72"/>
        <v>5633100</v>
      </c>
      <c r="Z76" s="260">
        <f t="shared" si="73"/>
        <v>24811500</v>
      </c>
      <c r="AA76" s="258">
        <f t="array" ref="AA76">MAX((IF(MNU_CODIGO_ALIMENTO_ENTREGA=CONCATENATE($C76,"_","P_"),MNU_GRAMAJE_REQUERIDO_TIPOM,"")))</f>
        <v>100</v>
      </c>
      <c r="AB76" s="261">
        <f t="shared" si="74"/>
        <v>1416</v>
      </c>
      <c r="AC76" s="261">
        <v>0</v>
      </c>
      <c r="AD76" s="261">
        <f t="shared" si="75"/>
        <v>1416</v>
      </c>
      <c r="AE76" s="262">
        <f t="shared" si="76"/>
        <v>424800</v>
      </c>
      <c r="AF76" s="262">
        <v>0</v>
      </c>
      <c r="AG76" s="262">
        <f t="shared" si="77"/>
        <v>424800</v>
      </c>
      <c r="AH76" s="353">
        <f t="array" ref="AH76">MAX((IF(MNU_CODIGO_ALIMENTO_ENTREGA=CONCATENATE($C76,"_","P_"),MNU_GRAMAJE_REQUERIDO_TIPOH,"")))</f>
        <v>100</v>
      </c>
      <c r="AI76" s="259">
        <f t="shared" si="78"/>
        <v>1216</v>
      </c>
      <c r="AJ76" s="259">
        <v>0</v>
      </c>
      <c r="AK76" s="259">
        <f t="shared" si="79"/>
        <v>1216</v>
      </c>
      <c r="AL76" s="260">
        <f t="shared" si="80"/>
        <v>364800</v>
      </c>
      <c r="AM76" s="260">
        <v>0</v>
      </c>
      <c r="AN76" s="260">
        <f t="shared" si="81"/>
        <v>364800</v>
      </c>
      <c r="AO76" s="457">
        <f t="shared" si="82"/>
        <v>154233</v>
      </c>
      <c r="AP76" s="456">
        <f t="shared" si="83"/>
        <v>46269900</v>
      </c>
      <c r="AQ76" s="263" t="e">
        <f>#REF!+AH76+AA76+T76+M76</f>
        <v>#REF!</v>
      </c>
      <c r="AR76" s="263">
        <f t="shared" si="42"/>
        <v>46391100</v>
      </c>
      <c r="AS76" s="263" t="e">
        <f t="shared" si="43"/>
        <v>#REF!</v>
      </c>
      <c r="AT76" s="263">
        <f t="shared" si="44"/>
        <v>46545333</v>
      </c>
      <c r="AU76" s="263" t="e">
        <f t="shared" si="45"/>
        <v>#REF!</v>
      </c>
      <c r="AV76" s="263">
        <f t="shared" si="46"/>
        <v>56455233</v>
      </c>
      <c r="AW76" s="263" t="e">
        <f t="shared" si="47"/>
        <v>#REF!</v>
      </c>
      <c r="AX76" s="263" t="e">
        <f>AV76+#REF!+AH76+AA76+T76</f>
        <v>#REF!</v>
      </c>
      <c r="AY76" s="263" t="e">
        <f t="shared" si="48"/>
        <v>#REF!</v>
      </c>
      <c r="AZ76" s="263" t="e">
        <f t="shared" si="49"/>
        <v>#REF!</v>
      </c>
      <c r="BA76" s="263" t="e">
        <f t="shared" si="50"/>
        <v>#REF!</v>
      </c>
      <c r="BB76" s="263" t="e">
        <f t="shared" si="51"/>
        <v>#REF!</v>
      </c>
      <c r="BC76" s="263" t="e">
        <f t="shared" si="52"/>
        <v>#REF!</v>
      </c>
      <c r="BD76" s="263" t="e">
        <f t="shared" si="53"/>
        <v>#REF!</v>
      </c>
      <c r="BE76" s="263" t="e">
        <f>BC76+AV76+#REF!+AH76+AA76</f>
        <v>#REF!</v>
      </c>
      <c r="BF76" s="263" t="e">
        <f t="shared" si="54"/>
        <v>#REF!</v>
      </c>
      <c r="BG76" s="263" t="e">
        <f t="shared" si="55"/>
        <v>#REF!</v>
      </c>
    </row>
    <row r="77" spans="1:59" ht="15.75">
      <c r="A77" s="338">
        <v>5</v>
      </c>
      <c r="B77" s="338" t="s">
        <v>1</v>
      </c>
      <c r="C77" s="258">
        <v>69</v>
      </c>
      <c r="D77" s="328" t="s">
        <v>70</v>
      </c>
      <c r="E77" s="258" t="s">
        <v>9</v>
      </c>
      <c r="F77" s="431">
        <f t="array" ref="F77">MAX((IF(MNU_CODIGO_ALIMENTO_ENTREGA=CONCATENATE($C77,"_","P_"),MNU_GRAMAJE_REQUERIDO_TIPOA,"")))</f>
        <v>100</v>
      </c>
      <c r="G77" s="259">
        <f t="shared" si="56"/>
        <v>155520</v>
      </c>
      <c r="H77" s="259">
        <f t="shared" si="57"/>
        <v>12780</v>
      </c>
      <c r="I77" s="259">
        <f t="shared" si="58"/>
        <v>168300</v>
      </c>
      <c r="J77" s="260">
        <f t="shared" si="59"/>
        <v>49766400</v>
      </c>
      <c r="K77" s="260">
        <f t="shared" si="60"/>
        <v>4089600</v>
      </c>
      <c r="L77" s="260">
        <f t="shared" si="61"/>
        <v>53856000</v>
      </c>
      <c r="M77" s="432">
        <f t="array" ref="M77">MAX((IF(MNU_CODIGO_ALIMENTO_ENTREGA=CONCATENATE($C77,"_","P_"),MNU_GRAMAJE_REQUERIDO_TIPOB,"")))</f>
        <v>100</v>
      </c>
      <c r="N77" s="348">
        <f t="shared" si="62"/>
        <v>109280</v>
      </c>
      <c r="O77" s="348">
        <f t="shared" si="63"/>
        <v>15552</v>
      </c>
      <c r="P77" s="348">
        <f t="shared" si="64"/>
        <v>124832</v>
      </c>
      <c r="Q77" s="349">
        <f t="shared" si="65"/>
        <v>34969600</v>
      </c>
      <c r="R77" s="349">
        <f t="shared" si="66"/>
        <v>4976640</v>
      </c>
      <c r="S77" s="349">
        <f t="shared" si="67"/>
        <v>39946240</v>
      </c>
      <c r="T77" s="353">
        <f t="array" ref="T77">MAX((IF(MNU_CODIGO_ALIMENTO_ENTREGA=CONCATENATE($C77,"_","P_"),MNU_GRAMAJE_REQUERIDO_TIPOC,"")))</f>
        <v>100</v>
      </c>
      <c r="U77" s="259">
        <f t="shared" si="68"/>
        <v>127856</v>
      </c>
      <c r="V77" s="259">
        <f t="shared" si="69"/>
        <v>20484</v>
      </c>
      <c r="W77" s="259">
        <f t="shared" si="70"/>
        <v>148340</v>
      </c>
      <c r="X77" s="260">
        <f t="shared" si="71"/>
        <v>40913920</v>
      </c>
      <c r="Y77" s="260">
        <f t="shared" si="72"/>
        <v>6554880</v>
      </c>
      <c r="Z77" s="260">
        <f t="shared" si="73"/>
        <v>47468800</v>
      </c>
      <c r="AA77" s="258">
        <f t="array" ref="AA77">MAX((IF(MNU_CODIGO_ALIMENTO_ENTREGA=CONCATENATE($C77,"_","P_"),MNU_GRAMAJE_REQUERIDO_TIPOM,"")))</f>
        <v>100</v>
      </c>
      <c r="AB77" s="261">
        <f t="shared" si="74"/>
        <v>2832</v>
      </c>
      <c r="AC77" s="261">
        <v>0</v>
      </c>
      <c r="AD77" s="261">
        <f t="shared" si="75"/>
        <v>2832</v>
      </c>
      <c r="AE77" s="262">
        <f t="shared" si="76"/>
        <v>906240</v>
      </c>
      <c r="AF77" s="262">
        <v>0</v>
      </c>
      <c r="AG77" s="262">
        <f t="shared" si="77"/>
        <v>906240</v>
      </c>
      <c r="AH77" s="353">
        <f t="array" ref="AH77">MAX((IF(MNU_CODIGO_ALIMENTO_ENTREGA=CONCATENATE($C77,"_","P_"),MNU_GRAMAJE_REQUERIDO_TIPOH,"")))</f>
        <v>100</v>
      </c>
      <c r="AI77" s="259">
        <f t="shared" si="78"/>
        <v>2432</v>
      </c>
      <c r="AJ77" s="259">
        <v>0</v>
      </c>
      <c r="AK77" s="259">
        <f t="shared" si="79"/>
        <v>2432</v>
      </c>
      <c r="AL77" s="260">
        <f t="shared" si="80"/>
        <v>778240</v>
      </c>
      <c r="AM77" s="260">
        <v>0</v>
      </c>
      <c r="AN77" s="260">
        <f t="shared" si="81"/>
        <v>778240</v>
      </c>
      <c r="AO77" s="457">
        <f t="shared" si="82"/>
        <v>446736</v>
      </c>
      <c r="AP77" s="456">
        <f t="shared" si="83"/>
        <v>142955520</v>
      </c>
      <c r="AQ77" s="263" t="e">
        <f>#REF!+AH77+AA77+T77+M77</f>
        <v>#REF!</v>
      </c>
      <c r="AR77" s="263">
        <f t="shared" si="42"/>
        <v>143197920</v>
      </c>
      <c r="AS77" s="263" t="e">
        <f t="shared" si="43"/>
        <v>#REF!</v>
      </c>
      <c r="AT77" s="263">
        <f t="shared" si="44"/>
        <v>143476356</v>
      </c>
      <c r="AU77" s="263" t="e">
        <f t="shared" si="45"/>
        <v>#REF!</v>
      </c>
      <c r="AV77" s="263">
        <f t="shared" si="46"/>
        <v>155007876</v>
      </c>
      <c r="AW77" s="263" t="e">
        <f t="shared" si="47"/>
        <v>#REF!</v>
      </c>
      <c r="AX77" s="263" t="e">
        <f>AV77+#REF!+AH77+AA77+T77</f>
        <v>#REF!</v>
      </c>
      <c r="AY77" s="263" t="e">
        <f t="shared" si="48"/>
        <v>#REF!</v>
      </c>
      <c r="AZ77" s="263" t="e">
        <f t="shared" si="49"/>
        <v>#REF!</v>
      </c>
      <c r="BA77" s="263" t="e">
        <f t="shared" si="50"/>
        <v>#REF!</v>
      </c>
      <c r="BB77" s="263" t="e">
        <f t="shared" si="51"/>
        <v>#REF!</v>
      </c>
      <c r="BC77" s="263" t="e">
        <f t="shared" si="52"/>
        <v>#REF!</v>
      </c>
      <c r="BD77" s="263" t="e">
        <f t="shared" si="53"/>
        <v>#REF!</v>
      </c>
      <c r="BE77" s="263" t="e">
        <f>BC77+AV77+#REF!+AH77+AA77</f>
        <v>#REF!</v>
      </c>
      <c r="BF77" s="263" t="e">
        <f t="shared" si="54"/>
        <v>#REF!</v>
      </c>
      <c r="BG77" s="263" t="e">
        <f t="shared" si="55"/>
        <v>#REF!</v>
      </c>
    </row>
    <row r="78" spans="1:59" ht="15.75">
      <c r="A78" s="338">
        <v>5</v>
      </c>
      <c r="B78" s="338" t="s">
        <v>1</v>
      </c>
      <c r="C78" s="258">
        <v>70</v>
      </c>
      <c r="D78" s="328" t="s">
        <v>71</v>
      </c>
      <c r="E78" s="258" t="s">
        <v>9</v>
      </c>
      <c r="F78" s="431">
        <f t="array" ref="F78">MAX((IF(MNU_CODIGO_ALIMENTO_ENTREGA=CONCATENATE($C78,"_","P_"),MNU_GRAMAJE_REQUERIDO_TIPOA,"")))</f>
        <v>0</v>
      </c>
      <c r="G78" s="259">
        <f t="shared" si="56"/>
        <v>0</v>
      </c>
      <c r="H78" s="259">
        <f t="shared" si="57"/>
        <v>0</v>
      </c>
      <c r="I78" s="259">
        <f t="shared" si="58"/>
        <v>0</v>
      </c>
      <c r="J78" s="260">
        <f t="shared" si="59"/>
        <v>0</v>
      </c>
      <c r="K78" s="260">
        <f t="shared" si="60"/>
        <v>0</v>
      </c>
      <c r="L78" s="260">
        <f t="shared" si="61"/>
        <v>0</v>
      </c>
      <c r="M78" s="432">
        <f t="array" ref="M78">MAX((IF(MNU_CODIGO_ALIMENTO_ENTREGA=CONCATENATE($C78,"_","P_"),MNU_GRAMAJE_REQUERIDO_TIPOB,"")))</f>
        <v>100</v>
      </c>
      <c r="N78" s="348">
        <f t="shared" si="62"/>
        <v>68300</v>
      </c>
      <c r="O78" s="348">
        <f t="shared" si="63"/>
        <v>10368</v>
      </c>
      <c r="P78" s="348">
        <f t="shared" si="64"/>
        <v>78668</v>
      </c>
      <c r="Q78" s="349">
        <f t="shared" si="65"/>
        <v>31144800</v>
      </c>
      <c r="R78" s="349">
        <f t="shared" si="66"/>
        <v>4727808</v>
      </c>
      <c r="S78" s="349">
        <f t="shared" si="67"/>
        <v>35872608</v>
      </c>
      <c r="T78" s="353">
        <f t="array" ref="T78">MAX((IF(MNU_CODIGO_ALIMENTO_ENTREGA=CONCATENATE($C78,"_","P_"),MNU_GRAMAJE_REQUERIDO_TIPOC,"")))</f>
        <v>100</v>
      </c>
      <c r="U78" s="259">
        <f t="shared" si="68"/>
        <v>79910</v>
      </c>
      <c r="V78" s="259">
        <f t="shared" si="69"/>
        <v>13656</v>
      </c>
      <c r="W78" s="259">
        <f t="shared" si="70"/>
        <v>93566</v>
      </c>
      <c r="X78" s="260">
        <f t="shared" si="71"/>
        <v>36438960</v>
      </c>
      <c r="Y78" s="260">
        <f t="shared" si="72"/>
        <v>6227136</v>
      </c>
      <c r="Z78" s="260">
        <f t="shared" si="73"/>
        <v>42666096</v>
      </c>
      <c r="AA78" s="258">
        <f t="array" ref="AA78">MAX((IF(MNU_CODIGO_ALIMENTO_ENTREGA=CONCATENATE($C78,"_","P_"),MNU_GRAMAJE_REQUERIDO_TIPOM,"")))</f>
        <v>100</v>
      </c>
      <c r="AB78" s="261">
        <f t="shared" si="74"/>
        <v>1770</v>
      </c>
      <c r="AC78" s="261">
        <v>0</v>
      </c>
      <c r="AD78" s="261">
        <f t="shared" si="75"/>
        <v>1770</v>
      </c>
      <c r="AE78" s="262">
        <f t="shared" si="76"/>
        <v>807120</v>
      </c>
      <c r="AF78" s="262">
        <v>0</v>
      </c>
      <c r="AG78" s="262">
        <f t="shared" si="77"/>
        <v>807120</v>
      </c>
      <c r="AH78" s="353">
        <f t="array" ref="AH78">MAX((IF(MNU_CODIGO_ALIMENTO_ENTREGA=CONCATENATE($C78,"_","P_"),MNU_GRAMAJE_REQUERIDO_TIPOH,"")))</f>
        <v>100</v>
      </c>
      <c r="AI78" s="259">
        <f t="shared" si="78"/>
        <v>1520</v>
      </c>
      <c r="AJ78" s="259">
        <v>0</v>
      </c>
      <c r="AK78" s="259">
        <f t="shared" si="79"/>
        <v>1520</v>
      </c>
      <c r="AL78" s="260">
        <f t="shared" si="80"/>
        <v>693120</v>
      </c>
      <c r="AM78" s="260">
        <v>0</v>
      </c>
      <c r="AN78" s="260">
        <f t="shared" si="81"/>
        <v>693120</v>
      </c>
      <c r="AO78" s="457">
        <f t="shared" si="82"/>
        <v>175524</v>
      </c>
      <c r="AP78" s="456">
        <f t="shared" si="83"/>
        <v>80038944</v>
      </c>
      <c r="AQ78" s="263" t="e">
        <f>#REF!+AH78+AA78+T78+M78</f>
        <v>#REF!</v>
      </c>
      <c r="AR78" s="263">
        <f t="shared" si="42"/>
        <v>80190444</v>
      </c>
      <c r="AS78" s="263" t="e">
        <f t="shared" si="43"/>
        <v>#REF!</v>
      </c>
      <c r="AT78" s="263">
        <f t="shared" si="44"/>
        <v>80365968</v>
      </c>
      <c r="AU78" s="263" t="e">
        <f t="shared" si="45"/>
        <v>#REF!</v>
      </c>
      <c r="AV78" s="263">
        <f t="shared" si="46"/>
        <v>91320912</v>
      </c>
      <c r="AW78" s="263" t="e">
        <f t="shared" si="47"/>
        <v>#REF!</v>
      </c>
      <c r="AX78" s="263" t="e">
        <f>AV78+#REF!+AH78+AA78+T78</f>
        <v>#REF!</v>
      </c>
      <c r="AY78" s="263" t="e">
        <f t="shared" si="48"/>
        <v>#REF!</v>
      </c>
      <c r="AZ78" s="263" t="e">
        <f t="shared" si="49"/>
        <v>#REF!</v>
      </c>
      <c r="BA78" s="263" t="e">
        <f t="shared" si="50"/>
        <v>#REF!</v>
      </c>
      <c r="BB78" s="263" t="e">
        <f t="shared" si="51"/>
        <v>#REF!</v>
      </c>
      <c r="BC78" s="263" t="e">
        <f t="shared" si="52"/>
        <v>#REF!</v>
      </c>
      <c r="BD78" s="263" t="e">
        <f t="shared" si="53"/>
        <v>#REF!</v>
      </c>
      <c r="BE78" s="263" t="e">
        <f>BC78+AV78+#REF!+AH78+AA78</f>
        <v>#REF!</v>
      </c>
      <c r="BF78" s="263" t="e">
        <f t="shared" si="54"/>
        <v>#REF!</v>
      </c>
      <c r="BG78" s="263" t="e">
        <f t="shared" si="55"/>
        <v>#REF!</v>
      </c>
    </row>
    <row r="79" spans="1:59" ht="15.75">
      <c r="A79" s="338">
        <v>6</v>
      </c>
      <c r="B79" s="338" t="s">
        <v>1</v>
      </c>
      <c r="C79" s="258">
        <v>7</v>
      </c>
      <c r="D79" s="328" t="s">
        <v>57</v>
      </c>
      <c r="E79" s="258" t="s">
        <v>9</v>
      </c>
      <c r="F79" s="431">
        <f t="array" ref="F79">MAX((IF(MNU_CODIGO_ALIMENTO_ENTREGA=CONCATENATE($C79,"_","P_"),MNU_GRAMAJE_REQUERIDO_TIPOA,"")))</f>
        <v>100</v>
      </c>
      <c r="G79" s="259">
        <f t="shared" si="56"/>
        <v>57750</v>
      </c>
      <c r="H79" s="259">
        <f t="shared" si="57"/>
        <v>33108</v>
      </c>
      <c r="I79" s="259">
        <f t="shared" si="58"/>
        <v>90858</v>
      </c>
      <c r="J79" s="260">
        <f t="shared" si="59"/>
        <v>6468000</v>
      </c>
      <c r="K79" s="260">
        <f t="shared" si="60"/>
        <v>3708096</v>
      </c>
      <c r="L79" s="260">
        <f t="shared" si="61"/>
        <v>10176096</v>
      </c>
      <c r="M79" s="432">
        <f t="array" ref="M79">MAX((IF(MNU_CODIGO_ALIMENTO_ENTREGA=CONCATENATE($C79,"_","P_"),MNU_GRAMAJE_REQUERIDO_TIPOB,"")))</f>
        <v>100</v>
      </c>
      <c r="N79" s="348">
        <f t="shared" si="62"/>
        <v>43434</v>
      </c>
      <c r="O79" s="348">
        <f t="shared" si="63"/>
        <v>17743</v>
      </c>
      <c r="P79" s="348">
        <f t="shared" si="64"/>
        <v>61177</v>
      </c>
      <c r="Q79" s="349">
        <f t="shared" si="65"/>
        <v>4864608</v>
      </c>
      <c r="R79" s="349">
        <f t="shared" si="66"/>
        <v>1987216</v>
      </c>
      <c r="S79" s="349">
        <f t="shared" si="67"/>
        <v>6851824</v>
      </c>
      <c r="T79" s="353">
        <f t="array" ref="T79">MAX((IF(MNU_CODIGO_ALIMENTO_ENTREGA=CONCATENATE($C79,"_","P_"),MNU_GRAMAJE_REQUERIDO_TIPOC,"")))</f>
        <v>100</v>
      </c>
      <c r="U79" s="259">
        <f t="shared" si="68"/>
        <v>62064</v>
      </c>
      <c r="V79" s="259">
        <f t="shared" si="69"/>
        <v>22165</v>
      </c>
      <c r="W79" s="259">
        <f t="shared" si="70"/>
        <v>84229</v>
      </c>
      <c r="X79" s="260">
        <f t="shared" si="71"/>
        <v>6951168</v>
      </c>
      <c r="Y79" s="260">
        <f t="shared" si="72"/>
        <v>2482480</v>
      </c>
      <c r="Z79" s="260">
        <f t="shared" si="73"/>
        <v>9433648</v>
      </c>
      <c r="AA79" s="258">
        <f t="array" ref="AA79">MAX((IF(MNU_CODIGO_ALIMENTO_ENTREGA=CONCATENATE($C79,"_","P_"),MNU_GRAMAJE_REQUERIDO_TIPOM,"")))</f>
        <v>100</v>
      </c>
      <c r="AB79" s="261">
        <f t="shared" si="74"/>
        <v>0</v>
      </c>
      <c r="AC79" s="261">
        <v>0</v>
      </c>
      <c r="AD79" s="261">
        <f t="shared" si="75"/>
        <v>0</v>
      </c>
      <c r="AE79" s="262">
        <f t="shared" si="76"/>
        <v>0</v>
      </c>
      <c r="AF79" s="262">
        <v>0</v>
      </c>
      <c r="AG79" s="262">
        <f t="shared" si="77"/>
        <v>0</v>
      </c>
      <c r="AH79" s="353">
        <f t="array" ref="AH79">MAX((IF(MNU_CODIGO_ALIMENTO_ENTREGA=CONCATENATE($C79,"_","P_"),MNU_GRAMAJE_REQUERIDO_TIPOH,"")))</f>
        <v>100</v>
      </c>
      <c r="AI79" s="259">
        <f t="shared" si="78"/>
        <v>0</v>
      </c>
      <c r="AJ79" s="259">
        <v>0</v>
      </c>
      <c r="AK79" s="259">
        <f t="shared" si="79"/>
        <v>0</v>
      </c>
      <c r="AL79" s="260">
        <f t="shared" si="80"/>
        <v>0</v>
      </c>
      <c r="AM79" s="260">
        <v>0</v>
      </c>
      <c r="AN79" s="260">
        <f t="shared" si="81"/>
        <v>0</v>
      </c>
      <c r="AO79" s="457">
        <f t="shared" si="82"/>
        <v>236264</v>
      </c>
      <c r="AP79" s="456">
        <f t="shared" si="83"/>
        <v>26461568</v>
      </c>
      <c r="AQ79" s="263" t="e">
        <f>#REF!+AH79+AA79+T79+M79</f>
        <v>#REF!</v>
      </c>
      <c r="AR79" s="263">
        <f t="shared" si="42"/>
        <v>26567066</v>
      </c>
      <c r="AS79" s="263" t="e">
        <f t="shared" si="43"/>
        <v>#REF!</v>
      </c>
      <c r="AT79" s="263">
        <f t="shared" si="44"/>
        <v>26712472</v>
      </c>
      <c r="AU79" s="263" t="e">
        <f t="shared" si="45"/>
        <v>#REF!</v>
      </c>
      <c r="AV79" s="263">
        <f t="shared" si="46"/>
        <v>31182168</v>
      </c>
      <c r="AW79" s="263" t="e">
        <f t="shared" si="47"/>
        <v>#REF!</v>
      </c>
      <c r="AX79" s="263" t="e">
        <f>AV79+#REF!+AH79+AA79+T79</f>
        <v>#REF!</v>
      </c>
      <c r="AY79" s="263" t="e">
        <f t="shared" si="48"/>
        <v>#REF!</v>
      </c>
      <c r="AZ79" s="263" t="e">
        <f t="shared" si="49"/>
        <v>#REF!</v>
      </c>
      <c r="BA79" s="263" t="e">
        <f t="shared" si="50"/>
        <v>#REF!</v>
      </c>
      <c r="BB79" s="263" t="e">
        <f t="shared" si="51"/>
        <v>#REF!</v>
      </c>
      <c r="BC79" s="263" t="e">
        <f t="shared" si="52"/>
        <v>#REF!</v>
      </c>
      <c r="BD79" s="263" t="e">
        <f t="shared" si="53"/>
        <v>#REF!</v>
      </c>
      <c r="BE79" s="263" t="e">
        <f>BC79+AV79+#REF!+AH79+AA79</f>
        <v>#REF!</v>
      </c>
      <c r="BF79" s="263" t="e">
        <f t="shared" si="54"/>
        <v>#REF!</v>
      </c>
      <c r="BG79" s="263" t="e">
        <f t="shared" si="55"/>
        <v>#REF!</v>
      </c>
    </row>
    <row r="80" spans="1:59" ht="15.75">
      <c r="A80" s="338">
        <v>6</v>
      </c>
      <c r="B80" s="338" t="s">
        <v>1</v>
      </c>
      <c r="C80" s="258">
        <v>8</v>
      </c>
      <c r="D80" s="328" t="s">
        <v>55</v>
      </c>
      <c r="E80" s="258" t="s">
        <v>9</v>
      </c>
      <c r="F80" s="431">
        <f t="array" ref="F80">MAX((IF(MNU_CODIGO_ALIMENTO_ENTREGA=CONCATENATE($C80,"_","P_"),MNU_GRAMAJE_REQUERIDO_TIPOA,"")))</f>
        <v>100</v>
      </c>
      <c r="G80" s="259">
        <f t="shared" si="56"/>
        <v>26250</v>
      </c>
      <c r="H80" s="259">
        <f t="shared" si="57"/>
        <v>11748</v>
      </c>
      <c r="I80" s="259">
        <f t="shared" si="58"/>
        <v>37998</v>
      </c>
      <c r="J80" s="260">
        <f t="shared" si="59"/>
        <v>3701250</v>
      </c>
      <c r="K80" s="260">
        <f t="shared" si="60"/>
        <v>1656468</v>
      </c>
      <c r="L80" s="260">
        <f t="shared" si="61"/>
        <v>5357718</v>
      </c>
      <c r="M80" s="432">
        <f t="array" ref="M80">MAX((IF(MNU_CODIGO_ALIMENTO_ENTREGA=CONCATENATE($C80,"_","P_"),MNU_GRAMAJE_REQUERIDO_TIPOB,"")))</f>
        <v>100</v>
      </c>
      <c r="N80" s="348">
        <f t="shared" si="62"/>
        <v>38608</v>
      </c>
      <c r="O80" s="348">
        <f t="shared" si="63"/>
        <v>17743</v>
      </c>
      <c r="P80" s="348">
        <f t="shared" si="64"/>
        <v>56351</v>
      </c>
      <c r="Q80" s="349">
        <f t="shared" si="65"/>
        <v>5443728</v>
      </c>
      <c r="R80" s="349">
        <f t="shared" si="66"/>
        <v>2501763</v>
      </c>
      <c r="S80" s="349">
        <f t="shared" si="67"/>
        <v>7945491</v>
      </c>
      <c r="T80" s="353">
        <f t="array" ref="T80">MAX((IF(MNU_CODIGO_ALIMENTO_ENTREGA=CONCATENATE($C80,"_","P_"),MNU_GRAMAJE_REQUERIDO_TIPOC,"")))</f>
        <v>100</v>
      </c>
      <c r="U80" s="259">
        <f t="shared" si="68"/>
        <v>55168</v>
      </c>
      <c r="V80" s="259">
        <f t="shared" si="69"/>
        <v>22165</v>
      </c>
      <c r="W80" s="259">
        <f t="shared" si="70"/>
        <v>77333</v>
      </c>
      <c r="X80" s="260">
        <f t="shared" si="71"/>
        <v>7778688</v>
      </c>
      <c r="Y80" s="260">
        <f t="shared" si="72"/>
        <v>3125265</v>
      </c>
      <c r="Z80" s="260">
        <f t="shared" si="73"/>
        <v>10903953</v>
      </c>
      <c r="AA80" s="258">
        <f t="array" ref="AA80">MAX((IF(MNU_CODIGO_ALIMENTO_ENTREGA=CONCATENATE($C80,"_","P_"),MNU_GRAMAJE_REQUERIDO_TIPOM,"")))</f>
        <v>100</v>
      </c>
      <c r="AB80" s="261">
        <f t="shared" si="74"/>
        <v>0</v>
      </c>
      <c r="AC80" s="261">
        <v>0</v>
      </c>
      <c r="AD80" s="261">
        <f t="shared" si="75"/>
        <v>0</v>
      </c>
      <c r="AE80" s="262">
        <f t="shared" si="76"/>
        <v>0</v>
      </c>
      <c r="AF80" s="262">
        <v>0</v>
      </c>
      <c r="AG80" s="262">
        <f t="shared" si="77"/>
        <v>0</v>
      </c>
      <c r="AH80" s="353">
        <f t="array" ref="AH80">MAX((IF(MNU_CODIGO_ALIMENTO_ENTREGA=CONCATENATE($C80,"_","P_"),MNU_GRAMAJE_REQUERIDO_TIPOH,"")))</f>
        <v>100</v>
      </c>
      <c r="AI80" s="259">
        <f t="shared" si="78"/>
        <v>0</v>
      </c>
      <c r="AJ80" s="259">
        <v>0</v>
      </c>
      <c r="AK80" s="259">
        <f t="shared" si="79"/>
        <v>0</v>
      </c>
      <c r="AL80" s="260">
        <f t="shared" si="80"/>
        <v>0</v>
      </c>
      <c r="AM80" s="260">
        <v>0</v>
      </c>
      <c r="AN80" s="260">
        <f t="shared" si="81"/>
        <v>0</v>
      </c>
      <c r="AO80" s="457">
        <f t="shared" si="82"/>
        <v>171682</v>
      </c>
      <c r="AP80" s="456">
        <f t="shared" si="83"/>
        <v>24207162</v>
      </c>
      <c r="AQ80" s="263" t="e">
        <f>#REF!+AH80+AA80+T80+M80</f>
        <v>#REF!</v>
      </c>
      <c r="AR80" s="263">
        <f t="shared" si="42"/>
        <v>24300938</v>
      </c>
      <c r="AS80" s="263" t="e">
        <f t="shared" si="43"/>
        <v>#REF!</v>
      </c>
      <c r="AT80" s="263">
        <f t="shared" si="44"/>
        <v>24434622</v>
      </c>
      <c r="AU80" s="263" t="e">
        <f t="shared" si="45"/>
        <v>#REF!</v>
      </c>
      <c r="AV80" s="263">
        <f t="shared" si="46"/>
        <v>30061650</v>
      </c>
      <c r="AW80" s="263" t="e">
        <f t="shared" si="47"/>
        <v>#REF!</v>
      </c>
      <c r="AX80" s="263" t="e">
        <f>AV80+#REF!+AH80+AA80+T80</f>
        <v>#REF!</v>
      </c>
      <c r="AY80" s="263" t="e">
        <f t="shared" si="48"/>
        <v>#REF!</v>
      </c>
      <c r="AZ80" s="263" t="e">
        <f t="shared" si="49"/>
        <v>#REF!</v>
      </c>
      <c r="BA80" s="263" t="e">
        <f t="shared" si="50"/>
        <v>#REF!</v>
      </c>
      <c r="BB80" s="263" t="e">
        <f t="shared" si="51"/>
        <v>#REF!</v>
      </c>
      <c r="BC80" s="263" t="e">
        <f t="shared" si="52"/>
        <v>#REF!</v>
      </c>
      <c r="BD80" s="263" t="e">
        <f t="shared" si="53"/>
        <v>#REF!</v>
      </c>
      <c r="BE80" s="263" t="e">
        <f>BC80+AV80+#REF!+AH80+AA80</f>
        <v>#REF!</v>
      </c>
      <c r="BF80" s="263" t="e">
        <f t="shared" si="54"/>
        <v>#REF!</v>
      </c>
      <c r="BG80" s="263" t="e">
        <f t="shared" si="55"/>
        <v>#REF!</v>
      </c>
    </row>
    <row r="81" spans="1:59" ht="15.75">
      <c r="A81" s="338">
        <v>6</v>
      </c>
      <c r="B81" s="338" t="s">
        <v>1</v>
      </c>
      <c r="C81" s="258">
        <v>17</v>
      </c>
      <c r="D81" s="328" t="s">
        <v>53</v>
      </c>
      <c r="E81" s="258" t="s">
        <v>9</v>
      </c>
      <c r="F81" s="431">
        <f t="array" ref="F81">MAX((IF(MNU_CODIGO_ALIMENTO_ENTREGA=CONCATENATE($C81,"_","P_"),MNU_GRAMAJE_REQUERIDO_TIPOA,"")))</f>
        <v>0</v>
      </c>
      <c r="G81" s="259">
        <f t="shared" si="56"/>
        <v>0</v>
      </c>
      <c r="H81" s="259">
        <f t="shared" si="57"/>
        <v>0</v>
      </c>
      <c r="I81" s="259">
        <f t="shared" si="58"/>
        <v>0</v>
      </c>
      <c r="J81" s="260">
        <f t="shared" si="59"/>
        <v>0</v>
      </c>
      <c r="K81" s="260">
        <f t="shared" si="60"/>
        <v>0</v>
      </c>
      <c r="L81" s="260">
        <f t="shared" si="61"/>
        <v>0</v>
      </c>
      <c r="M81" s="432">
        <f t="array" ref="M81">MAX((IF(MNU_CODIGO_ALIMENTO_ENTREGA=CONCATENATE($C81,"_","P_"),MNU_GRAMAJE_REQUERIDO_TIPOB,"")))</f>
        <v>100</v>
      </c>
      <c r="N81" s="348">
        <f t="shared" si="62"/>
        <v>101346</v>
      </c>
      <c r="O81" s="348">
        <f t="shared" si="63"/>
        <v>37099</v>
      </c>
      <c r="P81" s="348">
        <f t="shared" si="64"/>
        <v>138445</v>
      </c>
      <c r="Q81" s="349">
        <f t="shared" si="65"/>
        <v>24019002</v>
      </c>
      <c r="R81" s="349">
        <f t="shared" si="66"/>
        <v>8792463</v>
      </c>
      <c r="S81" s="349">
        <f t="shared" si="67"/>
        <v>32811465</v>
      </c>
      <c r="T81" s="353">
        <f t="array" ref="T81">MAX((IF(MNU_CODIGO_ALIMENTO_ENTREGA=CONCATENATE($C81,"_","P_"),MNU_GRAMAJE_REQUERIDO_TIPOC,"")))</f>
        <v>100</v>
      </c>
      <c r="U81" s="259">
        <f t="shared" si="68"/>
        <v>144816</v>
      </c>
      <c r="V81" s="259">
        <f t="shared" si="69"/>
        <v>46345</v>
      </c>
      <c r="W81" s="259">
        <f t="shared" si="70"/>
        <v>191161</v>
      </c>
      <c r="X81" s="260">
        <f t="shared" si="71"/>
        <v>34321392</v>
      </c>
      <c r="Y81" s="260">
        <f t="shared" si="72"/>
        <v>10983765</v>
      </c>
      <c r="Z81" s="260">
        <f t="shared" si="73"/>
        <v>45305157</v>
      </c>
      <c r="AA81" s="258">
        <f t="array" ref="AA81">MAX((IF(MNU_CODIGO_ALIMENTO_ENTREGA=CONCATENATE($C81,"_","P_"),MNU_GRAMAJE_REQUERIDO_TIPOM,"")))</f>
        <v>100</v>
      </c>
      <c r="AB81" s="261">
        <f t="shared" si="74"/>
        <v>0</v>
      </c>
      <c r="AC81" s="261">
        <v>0</v>
      </c>
      <c r="AD81" s="261">
        <f t="shared" si="75"/>
        <v>0</v>
      </c>
      <c r="AE81" s="262">
        <f t="shared" si="76"/>
        <v>0</v>
      </c>
      <c r="AF81" s="262">
        <v>0</v>
      </c>
      <c r="AG81" s="262">
        <f t="shared" si="77"/>
        <v>0</v>
      </c>
      <c r="AH81" s="353">
        <f t="array" ref="AH81">MAX((IF(MNU_CODIGO_ALIMENTO_ENTREGA=CONCATENATE($C81,"_","P_"),MNU_GRAMAJE_REQUERIDO_TIPOH,"")))</f>
        <v>100</v>
      </c>
      <c r="AI81" s="259">
        <f t="shared" si="78"/>
        <v>0</v>
      </c>
      <c r="AJ81" s="259">
        <v>0</v>
      </c>
      <c r="AK81" s="259">
        <f t="shared" si="79"/>
        <v>0</v>
      </c>
      <c r="AL81" s="260">
        <f t="shared" si="80"/>
        <v>0</v>
      </c>
      <c r="AM81" s="260">
        <v>0</v>
      </c>
      <c r="AN81" s="260">
        <f t="shared" si="81"/>
        <v>0</v>
      </c>
      <c r="AO81" s="457">
        <f t="shared" si="82"/>
        <v>329606</v>
      </c>
      <c r="AP81" s="456">
        <f t="shared" si="83"/>
        <v>78116622</v>
      </c>
      <c r="AQ81" s="263" t="e">
        <f>#REF!+AH81+AA81+T81+M81</f>
        <v>#REF!</v>
      </c>
      <c r="AR81" s="263">
        <f t="shared" si="42"/>
        <v>78362784</v>
      </c>
      <c r="AS81" s="263" t="e">
        <f t="shared" si="43"/>
        <v>#REF!</v>
      </c>
      <c r="AT81" s="263">
        <f t="shared" si="44"/>
        <v>78692390</v>
      </c>
      <c r="AU81" s="263" t="e">
        <f t="shared" si="45"/>
        <v>#REF!</v>
      </c>
      <c r="AV81" s="263">
        <f t="shared" si="46"/>
        <v>98468618</v>
      </c>
      <c r="AW81" s="263" t="e">
        <f t="shared" si="47"/>
        <v>#REF!</v>
      </c>
      <c r="AX81" s="263" t="e">
        <f>AV81+#REF!+AH81+AA81+T81</f>
        <v>#REF!</v>
      </c>
      <c r="AY81" s="263" t="e">
        <f t="shared" si="48"/>
        <v>#REF!</v>
      </c>
      <c r="AZ81" s="263" t="e">
        <f t="shared" si="49"/>
        <v>#REF!</v>
      </c>
      <c r="BA81" s="263" t="e">
        <f t="shared" si="50"/>
        <v>#REF!</v>
      </c>
      <c r="BB81" s="263" t="e">
        <f t="shared" si="51"/>
        <v>#REF!</v>
      </c>
      <c r="BC81" s="263" t="e">
        <f t="shared" si="52"/>
        <v>#REF!</v>
      </c>
      <c r="BD81" s="263" t="e">
        <f t="shared" si="53"/>
        <v>#REF!</v>
      </c>
      <c r="BE81" s="263" t="e">
        <f>BC81+AV81+#REF!+AH81+AA81</f>
        <v>#REF!</v>
      </c>
      <c r="BF81" s="263" t="e">
        <f t="shared" si="54"/>
        <v>#REF!</v>
      </c>
      <c r="BG81" s="263" t="e">
        <f t="shared" si="55"/>
        <v>#REF!</v>
      </c>
    </row>
    <row r="82" spans="1:59" ht="15.75">
      <c r="A82" s="338">
        <v>6</v>
      </c>
      <c r="B82" s="338" t="s">
        <v>1</v>
      </c>
      <c r="C82" s="258">
        <v>22</v>
      </c>
      <c r="D82" s="328" t="s">
        <v>51</v>
      </c>
      <c r="E82" s="258" t="s">
        <v>9</v>
      </c>
      <c r="F82" s="431">
        <f t="array" ref="F82">MAX((IF(MNU_CODIGO_ALIMENTO_ENTREGA=CONCATENATE($C82,"_","P_"),MNU_GRAMAJE_REQUERIDO_TIPOA,"")))</f>
        <v>0</v>
      </c>
      <c r="G82" s="259">
        <f t="shared" si="56"/>
        <v>0</v>
      </c>
      <c r="H82" s="259">
        <f t="shared" si="57"/>
        <v>0</v>
      </c>
      <c r="I82" s="259">
        <f t="shared" si="58"/>
        <v>0</v>
      </c>
      <c r="J82" s="260">
        <f t="shared" si="59"/>
        <v>0</v>
      </c>
      <c r="K82" s="260">
        <f t="shared" si="60"/>
        <v>0</v>
      </c>
      <c r="L82" s="260">
        <f t="shared" si="61"/>
        <v>0</v>
      </c>
      <c r="M82" s="432">
        <f t="array" ref="M82">MAX((IF(MNU_CODIGO_ALIMENTO_ENTREGA=CONCATENATE($C82,"_","P_"),MNU_GRAMAJE_REQUERIDO_TIPOB,"")))</f>
        <v>100</v>
      </c>
      <c r="N82" s="348">
        <f t="shared" si="62"/>
        <v>96520</v>
      </c>
      <c r="O82" s="348">
        <f t="shared" si="63"/>
        <v>37099</v>
      </c>
      <c r="P82" s="348">
        <f t="shared" si="64"/>
        <v>133619</v>
      </c>
      <c r="Q82" s="349">
        <f t="shared" si="65"/>
        <v>53182520</v>
      </c>
      <c r="R82" s="349">
        <f t="shared" si="66"/>
        <v>20441549</v>
      </c>
      <c r="S82" s="349">
        <f t="shared" si="67"/>
        <v>73624069</v>
      </c>
      <c r="T82" s="353">
        <f t="array" ref="T82">MAX((IF(MNU_CODIGO_ALIMENTO_ENTREGA=CONCATENATE($C82,"_","P_"),MNU_GRAMAJE_REQUERIDO_TIPOC,"")))</f>
        <v>100</v>
      </c>
      <c r="U82" s="259">
        <f t="shared" si="68"/>
        <v>137920</v>
      </c>
      <c r="V82" s="259">
        <f t="shared" si="69"/>
        <v>46345</v>
      </c>
      <c r="W82" s="259">
        <f t="shared" si="70"/>
        <v>184265</v>
      </c>
      <c r="X82" s="260">
        <f t="shared" si="71"/>
        <v>75993920</v>
      </c>
      <c r="Y82" s="260">
        <f t="shared" si="72"/>
        <v>25536095</v>
      </c>
      <c r="Z82" s="260">
        <f t="shared" si="73"/>
        <v>101530015</v>
      </c>
      <c r="AA82" s="258">
        <f t="array" ref="AA82">MAX((IF(MNU_CODIGO_ALIMENTO_ENTREGA=CONCATENATE($C82,"_","P_"),MNU_GRAMAJE_REQUERIDO_TIPOM,"")))</f>
        <v>100</v>
      </c>
      <c r="AB82" s="261">
        <f t="shared" si="74"/>
        <v>0</v>
      </c>
      <c r="AC82" s="261">
        <v>0</v>
      </c>
      <c r="AD82" s="261">
        <f t="shared" si="75"/>
        <v>0</v>
      </c>
      <c r="AE82" s="262">
        <f t="shared" si="76"/>
        <v>0</v>
      </c>
      <c r="AF82" s="262">
        <v>0</v>
      </c>
      <c r="AG82" s="262">
        <f t="shared" si="77"/>
        <v>0</v>
      </c>
      <c r="AH82" s="353">
        <f t="array" ref="AH82">MAX((IF(MNU_CODIGO_ALIMENTO_ENTREGA=CONCATENATE($C82,"_","P_"),MNU_GRAMAJE_REQUERIDO_TIPOH,"")))</f>
        <v>100</v>
      </c>
      <c r="AI82" s="259">
        <f t="shared" si="78"/>
        <v>0</v>
      </c>
      <c r="AJ82" s="259">
        <v>0</v>
      </c>
      <c r="AK82" s="259">
        <f t="shared" si="79"/>
        <v>0</v>
      </c>
      <c r="AL82" s="260">
        <f t="shared" si="80"/>
        <v>0</v>
      </c>
      <c r="AM82" s="260">
        <v>0</v>
      </c>
      <c r="AN82" s="260">
        <f t="shared" si="81"/>
        <v>0</v>
      </c>
      <c r="AO82" s="457">
        <f t="shared" si="82"/>
        <v>317884</v>
      </c>
      <c r="AP82" s="456">
        <f t="shared" si="83"/>
        <v>175154084</v>
      </c>
      <c r="AQ82" s="263" t="e">
        <f>#REF!+AH82+AA82+T82+M82</f>
        <v>#REF!</v>
      </c>
      <c r="AR82" s="263">
        <f t="shared" si="42"/>
        <v>175388524</v>
      </c>
      <c r="AS82" s="263" t="e">
        <f t="shared" si="43"/>
        <v>#REF!</v>
      </c>
      <c r="AT82" s="263">
        <f t="shared" si="44"/>
        <v>175706408</v>
      </c>
      <c r="AU82" s="263" t="e">
        <f t="shared" si="45"/>
        <v>#REF!</v>
      </c>
      <c r="AV82" s="263">
        <f t="shared" si="46"/>
        <v>221684052</v>
      </c>
      <c r="AW82" s="263" t="e">
        <f t="shared" si="47"/>
        <v>#REF!</v>
      </c>
      <c r="AX82" s="263" t="e">
        <f>AV82+#REF!+AH82+AA82+T82</f>
        <v>#REF!</v>
      </c>
      <c r="AY82" s="263" t="e">
        <f t="shared" si="48"/>
        <v>#REF!</v>
      </c>
      <c r="AZ82" s="263" t="e">
        <f t="shared" si="49"/>
        <v>#REF!</v>
      </c>
      <c r="BA82" s="263" t="e">
        <f t="shared" si="50"/>
        <v>#REF!</v>
      </c>
      <c r="BB82" s="263" t="e">
        <f t="shared" si="51"/>
        <v>#REF!</v>
      </c>
      <c r="BC82" s="263" t="e">
        <f t="shared" si="52"/>
        <v>#REF!</v>
      </c>
      <c r="BD82" s="263" t="e">
        <f t="shared" si="53"/>
        <v>#REF!</v>
      </c>
      <c r="BE82" s="263" t="e">
        <f>BC82+AV82+#REF!+AH82+AA82</f>
        <v>#REF!</v>
      </c>
      <c r="BF82" s="263" t="e">
        <f t="shared" si="54"/>
        <v>#REF!</v>
      </c>
      <c r="BG82" s="263" t="e">
        <f t="shared" si="55"/>
        <v>#REF!</v>
      </c>
    </row>
    <row r="83" spans="1:59" ht="15.75">
      <c r="A83" s="338">
        <v>6</v>
      </c>
      <c r="B83" s="338" t="s">
        <v>1</v>
      </c>
      <c r="C83" s="258">
        <v>33</v>
      </c>
      <c r="D83" s="328" t="s">
        <v>59</v>
      </c>
      <c r="E83" s="258" t="s">
        <v>48</v>
      </c>
      <c r="F83" s="431">
        <v>1</v>
      </c>
      <c r="G83" s="259">
        <f t="shared" si="56"/>
        <v>70875</v>
      </c>
      <c r="H83" s="259">
        <f t="shared" si="57"/>
        <v>30972</v>
      </c>
      <c r="I83" s="259">
        <f t="shared" si="58"/>
        <v>101847</v>
      </c>
      <c r="J83" s="260">
        <f t="shared" si="59"/>
        <v>20057625</v>
      </c>
      <c r="K83" s="260">
        <f t="shared" si="60"/>
        <v>8765076</v>
      </c>
      <c r="L83" s="260">
        <f t="shared" si="61"/>
        <v>28822701</v>
      </c>
      <c r="M83" s="432">
        <v>1</v>
      </c>
      <c r="N83" s="348">
        <f t="shared" si="62"/>
        <v>86868</v>
      </c>
      <c r="O83" s="348">
        <f t="shared" si="63"/>
        <v>37099</v>
      </c>
      <c r="P83" s="348">
        <f t="shared" si="64"/>
        <v>123967</v>
      </c>
      <c r="Q83" s="349">
        <f t="shared" si="65"/>
        <v>24583644</v>
      </c>
      <c r="R83" s="349">
        <f t="shared" si="66"/>
        <v>10499017</v>
      </c>
      <c r="S83" s="349">
        <f t="shared" si="67"/>
        <v>35082661</v>
      </c>
      <c r="T83" s="431">
        <v>1</v>
      </c>
      <c r="U83" s="259">
        <f t="shared" si="68"/>
        <v>124128</v>
      </c>
      <c r="V83" s="259">
        <f t="shared" si="69"/>
        <v>46345</v>
      </c>
      <c r="W83" s="259">
        <f t="shared" si="70"/>
        <v>170473</v>
      </c>
      <c r="X83" s="260">
        <f t="shared" si="71"/>
        <v>35128224</v>
      </c>
      <c r="Y83" s="260">
        <f t="shared" si="72"/>
        <v>13115635</v>
      </c>
      <c r="Z83" s="260">
        <f t="shared" si="73"/>
        <v>48243859</v>
      </c>
      <c r="AA83" s="258">
        <v>1</v>
      </c>
      <c r="AB83" s="261">
        <f t="shared" si="74"/>
        <v>0</v>
      </c>
      <c r="AC83" s="261">
        <v>0</v>
      </c>
      <c r="AD83" s="261">
        <f t="shared" si="75"/>
        <v>0</v>
      </c>
      <c r="AE83" s="262">
        <f t="shared" si="76"/>
        <v>0</v>
      </c>
      <c r="AF83" s="262">
        <v>0</v>
      </c>
      <c r="AG83" s="262">
        <f t="shared" si="77"/>
        <v>0</v>
      </c>
      <c r="AH83" s="353">
        <v>1</v>
      </c>
      <c r="AI83" s="259">
        <f t="shared" si="78"/>
        <v>0</v>
      </c>
      <c r="AJ83" s="259">
        <v>0</v>
      </c>
      <c r="AK83" s="259">
        <f t="shared" si="79"/>
        <v>0</v>
      </c>
      <c r="AL83" s="260">
        <f t="shared" si="80"/>
        <v>0</v>
      </c>
      <c r="AM83" s="260">
        <v>0</v>
      </c>
      <c r="AN83" s="260">
        <f t="shared" si="81"/>
        <v>0</v>
      </c>
      <c r="AO83" s="457">
        <f t="shared" si="82"/>
        <v>396287</v>
      </c>
      <c r="AP83" s="456">
        <f t="shared" si="83"/>
        <v>112149221</v>
      </c>
      <c r="AQ83" s="263" t="e">
        <f>#REF!+AH83+AA83+T83+M83</f>
        <v>#REF!</v>
      </c>
      <c r="AR83" s="263">
        <f t="shared" si="42"/>
        <v>112360217</v>
      </c>
      <c r="AS83" s="263" t="e">
        <f t="shared" si="43"/>
        <v>#REF!</v>
      </c>
      <c r="AT83" s="263">
        <f t="shared" si="44"/>
        <v>112654657</v>
      </c>
      <c r="AU83" s="263" t="e">
        <f t="shared" si="45"/>
        <v>#REF!</v>
      </c>
      <c r="AV83" s="263">
        <f t="shared" si="46"/>
        <v>136269309</v>
      </c>
      <c r="AW83" s="263" t="e">
        <f t="shared" si="47"/>
        <v>#REF!</v>
      </c>
      <c r="AX83" s="263" t="e">
        <f>AV83+#REF!+AH83+AA83+T83</f>
        <v>#REF!</v>
      </c>
      <c r="AY83" s="263" t="e">
        <f t="shared" si="48"/>
        <v>#REF!</v>
      </c>
      <c r="AZ83" s="263" t="e">
        <f t="shared" si="49"/>
        <v>#REF!</v>
      </c>
      <c r="BA83" s="263" t="e">
        <f t="shared" si="50"/>
        <v>#REF!</v>
      </c>
      <c r="BB83" s="263" t="e">
        <f t="shared" si="51"/>
        <v>#REF!</v>
      </c>
      <c r="BC83" s="263" t="e">
        <f t="shared" si="52"/>
        <v>#REF!</v>
      </c>
      <c r="BD83" s="263" t="e">
        <f t="shared" si="53"/>
        <v>#REF!</v>
      </c>
      <c r="BE83" s="263" t="e">
        <f>BC83+AV83+#REF!+AH83+AA83</f>
        <v>#REF!</v>
      </c>
      <c r="BF83" s="263" t="e">
        <f t="shared" si="54"/>
        <v>#REF!</v>
      </c>
      <c r="BG83" s="263" t="e">
        <f t="shared" si="55"/>
        <v>#REF!</v>
      </c>
    </row>
    <row r="84" spans="1:59" ht="15.75">
      <c r="A84" s="338">
        <v>6</v>
      </c>
      <c r="B84" s="338" t="s">
        <v>1</v>
      </c>
      <c r="C84" s="258">
        <v>36</v>
      </c>
      <c r="D84" s="328" t="s">
        <v>1340</v>
      </c>
      <c r="E84" s="258" t="s">
        <v>9</v>
      </c>
      <c r="F84" s="431">
        <f t="array" ref="F84">MAX((IF(MNU_CODIGO_ALIMENTO_ENTREGA=CONCATENATE($C84,"_","P_"),MNU_GRAMAJE_REQUERIDO_TIPOA,"")))</f>
        <v>20</v>
      </c>
      <c r="G84" s="259">
        <f t="shared" si="56"/>
        <v>18375</v>
      </c>
      <c r="H84" s="259">
        <f t="shared" si="57"/>
        <v>8544</v>
      </c>
      <c r="I84" s="259">
        <f t="shared" si="58"/>
        <v>26919</v>
      </c>
      <c r="J84" s="260">
        <f t="shared" si="59"/>
        <v>2425500</v>
      </c>
      <c r="K84" s="260">
        <f t="shared" si="60"/>
        <v>1127808</v>
      </c>
      <c r="L84" s="260">
        <f t="shared" si="61"/>
        <v>3553308</v>
      </c>
      <c r="M84" s="432">
        <f t="array" ref="M84">MAX((IF(MNU_CODIGO_ALIMENTO_ENTREGA=CONCATENATE($C84,"_","P_"),MNU_GRAMAJE_REQUERIDO_TIPOB,"")))</f>
        <v>40</v>
      </c>
      <c r="N84" s="348">
        <f t="shared" si="62"/>
        <v>33782</v>
      </c>
      <c r="O84" s="348">
        <f t="shared" si="63"/>
        <v>12904</v>
      </c>
      <c r="P84" s="348">
        <f t="shared" si="64"/>
        <v>46686</v>
      </c>
      <c r="Q84" s="349">
        <f t="shared" si="65"/>
        <v>8952230</v>
      </c>
      <c r="R84" s="349">
        <f t="shared" si="66"/>
        <v>3419560</v>
      </c>
      <c r="S84" s="349">
        <f t="shared" si="67"/>
        <v>12371790</v>
      </c>
      <c r="T84" s="353">
        <f t="array" ref="T84">MAX((IF(MNU_CODIGO_ALIMENTO_ENTREGA=CONCATENATE($C84,"_","P_"),MNU_GRAMAJE_REQUERIDO_TIPOC,"")))</f>
        <v>40</v>
      </c>
      <c r="U84" s="259">
        <f t="shared" si="68"/>
        <v>48272</v>
      </c>
      <c r="V84" s="259">
        <f t="shared" si="69"/>
        <v>16120</v>
      </c>
      <c r="W84" s="259">
        <f t="shared" si="70"/>
        <v>64392</v>
      </c>
      <c r="X84" s="260">
        <f t="shared" si="71"/>
        <v>12792080</v>
      </c>
      <c r="Y84" s="260">
        <f t="shared" si="72"/>
        <v>4271800</v>
      </c>
      <c r="Z84" s="260">
        <f t="shared" si="73"/>
        <v>17063880</v>
      </c>
      <c r="AA84" s="258">
        <f t="array" ref="AA84">MAX((IF(MNU_CODIGO_ALIMENTO_ENTREGA=CONCATENATE($C84,"_","P_"),MNU_GRAMAJE_REQUERIDO_TIPOM,"")))</f>
        <v>40</v>
      </c>
      <c r="AB84" s="261">
        <f t="shared" si="74"/>
        <v>0</v>
      </c>
      <c r="AC84" s="261">
        <v>0</v>
      </c>
      <c r="AD84" s="261">
        <f t="shared" si="75"/>
        <v>0</v>
      </c>
      <c r="AE84" s="262">
        <f t="shared" si="76"/>
        <v>0</v>
      </c>
      <c r="AF84" s="262">
        <v>0</v>
      </c>
      <c r="AG84" s="262">
        <f t="shared" si="77"/>
        <v>0</v>
      </c>
      <c r="AH84" s="353">
        <f t="array" ref="AH84">MAX((IF(MNU_CODIGO_ALIMENTO_ENTREGA=CONCATENATE($C84,"_","P_"),MNU_GRAMAJE_REQUERIDO_TIPOH,"")))</f>
        <v>40</v>
      </c>
      <c r="AI84" s="259">
        <f t="shared" si="78"/>
        <v>0</v>
      </c>
      <c r="AJ84" s="259">
        <v>0</v>
      </c>
      <c r="AK84" s="259">
        <f t="shared" si="79"/>
        <v>0</v>
      </c>
      <c r="AL84" s="260">
        <f t="shared" si="80"/>
        <v>0</v>
      </c>
      <c r="AM84" s="260">
        <v>0</v>
      </c>
      <c r="AN84" s="260">
        <f t="shared" si="81"/>
        <v>0</v>
      </c>
      <c r="AO84" s="457">
        <f t="shared" si="82"/>
        <v>137997</v>
      </c>
      <c r="AP84" s="456">
        <f t="shared" si="83"/>
        <v>32988978</v>
      </c>
      <c r="AQ84" s="263" t="e">
        <f>#REF!+AH84+AA84+T84+M84</f>
        <v>#REF!</v>
      </c>
      <c r="AR84" s="263">
        <f t="shared" si="42"/>
        <v>33071032</v>
      </c>
      <c r="AS84" s="263" t="e">
        <f t="shared" si="43"/>
        <v>#REF!</v>
      </c>
      <c r="AT84" s="263">
        <f t="shared" si="44"/>
        <v>33182110</v>
      </c>
      <c r="AU84" s="263" t="e">
        <f t="shared" si="45"/>
        <v>#REF!</v>
      </c>
      <c r="AV84" s="263">
        <f t="shared" si="46"/>
        <v>40873470</v>
      </c>
      <c r="AW84" s="263" t="e">
        <f t="shared" si="47"/>
        <v>#REF!</v>
      </c>
      <c r="AX84" s="263" t="e">
        <f>AV84+#REF!+AH84+AA84+T84</f>
        <v>#REF!</v>
      </c>
      <c r="AY84" s="263" t="e">
        <f t="shared" si="48"/>
        <v>#REF!</v>
      </c>
      <c r="AZ84" s="263" t="e">
        <f t="shared" si="49"/>
        <v>#REF!</v>
      </c>
      <c r="BA84" s="263" t="e">
        <f t="shared" si="50"/>
        <v>#REF!</v>
      </c>
      <c r="BB84" s="263" t="e">
        <f t="shared" si="51"/>
        <v>#REF!</v>
      </c>
      <c r="BC84" s="263" t="e">
        <f t="shared" si="52"/>
        <v>#REF!</v>
      </c>
      <c r="BD84" s="263" t="e">
        <f t="shared" si="53"/>
        <v>#REF!</v>
      </c>
      <c r="BE84" s="263" t="e">
        <f>BC84+AV84+#REF!+AH84+AA84</f>
        <v>#REF!</v>
      </c>
      <c r="BF84" s="263" t="e">
        <f t="shared" si="54"/>
        <v>#REF!</v>
      </c>
      <c r="BG84" s="263" t="e">
        <f t="shared" si="55"/>
        <v>#REF!</v>
      </c>
    </row>
    <row r="85" spans="1:59" ht="15.75">
      <c r="A85" s="338">
        <v>6</v>
      </c>
      <c r="B85" s="338" t="s">
        <v>1</v>
      </c>
      <c r="C85" s="258">
        <v>42</v>
      </c>
      <c r="D85" s="328" t="s">
        <v>61</v>
      </c>
      <c r="E85" s="258" t="s">
        <v>9</v>
      </c>
      <c r="F85" s="431">
        <f t="array" ref="F85">MAX((IF(MNU_CODIGO_ALIMENTO_ENTREGA=CONCATENATE($C85,"_","P_"),MNU_GRAMAJE_REQUERIDO_TIPOA,"")))</f>
        <v>100</v>
      </c>
      <c r="G85" s="259">
        <f t="shared" si="56"/>
        <v>60375</v>
      </c>
      <c r="H85" s="259">
        <f t="shared" si="57"/>
        <v>38448</v>
      </c>
      <c r="I85" s="259">
        <f t="shared" si="58"/>
        <v>98823</v>
      </c>
      <c r="J85" s="260">
        <f t="shared" si="59"/>
        <v>12316500</v>
      </c>
      <c r="K85" s="260">
        <f t="shared" si="60"/>
        <v>7843392</v>
      </c>
      <c r="L85" s="260">
        <f t="shared" si="61"/>
        <v>20159892</v>
      </c>
      <c r="M85" s="432">
        <f t="array" ref="M85">MAX((IF(MNU_CODIGO_ALIMENTO_ENTREGA=CONCATENATE($C85,"_","P_"),MNU_GRAMAJE_REQUERIDO_TIPOB,"")))</f>
        <v>100</v>
      </c>
      <c r="N85" s="348">
        <f t="shared" si="62"/>
        <v>91694</v>
      </c>
      <c r="O85" s="348">
        <f t="shared" si="63"/>
        <v>30647</v>
      </c>
      <c r="P85" s="348">
        <f t="shared" si="64"/>
        <v>122341</v>
      </c>
      <c r="Q85" s="349">
        <f t="shared" si="65"/>
        <v>18705576</v>
      </c>
      <c r="R85" s="349">
        <f t="shared" si="66"/>
        <v>6251988</v>
      </c>
      <c r="S85" s="349">
        <f t="shared" si="67"/>
        <v>24957564</v>
      </c>
      <c r="T85" s="353">
        <f t="array" ref="T85">MAX((IF(MNU_CODIGO_ALIMENTO_ENTREGA=CONCATENATE($C85,"_","P_"),MNU_GRAMAJE_REQUERIDO_TIPOC,"")))</f>
        <v>100</v>
      </c>
      <c r="U85" s="259">
        <f t="shared" si="68"/>
        <v>131024</v>
      </c>
      <c r="V85" s="259">
        <f t="shared" si="69"/>
        <v>38285</v>
      </c>
      <c r="W85" s="259">
        <f t="shared" si="70"/>
        <v>169309</v>
      </c>
      <c r="X85" s="260">
        <f t="shared" si="71"/>
        <v>26728896</v>
      </c>
      <c r="Y85" s="260">
        <f t="shared" si="72"/>
        <v>7810140</v>
      </c>
      <c r="Z85" s="260">
        <f t="shared" si="73"/>
        <v>34539036</v>
      </c>
      <c r="AA85" s="258">
        <f t="array" ref="AA85">MAX((IF(MNU_CODIGO_ALIMENTO_ENTREGA=CONCATENATE($C85,"_","P_"),MNU_GRAMAJE_REQUERIDO_TIPOM,"")))</f>
        <v>100</v>
      </c>
      <c r="AB85" s="261">
        <f t="shared" si="74"/>
        <v>0</v>
      </c>
      <c r="AC85" s="261">
        <v>0</v>
      </c>
      <c r="AD85" s="261">
        <f t="shared" si="75"/>
        <v>0</v>
      </c>
      <c r="AE85" s="262">
        <f t="shared" si="76"/>
        <v>0</v>
      </c>
      <c r="AF85" s="262">
        <v>0</v>
      </c>
      <c r="AG85" s="262">
        <f t="shared" si="77"/>
        <v>0</v>
      </c>
      <c r="AH85" s="353">
        <f t="array" ref="AH85">MAX((IF(MNU_CODIGO_ALIMENTO_ENTREGA=CONCATENATE($C85,"_","P_"),MNU_GRAMAJE_REQUERIDO_TIPOH,"")))</f>
        <v>100</v>
      </c>
      <c r="AI85" s="259">
        <f t="shared" si="78"/>
        <v>0</v>
      </c>
      <c r="AJ85" s="259">
        <v>0</v>
      </c>
      <c r="AK85" s="259">
        <f t="shared" si="79"/>
        <v>0</v>
      </c>
      <c r="AL85" s="260">
        <f t="shared" si="80"/>
        <v>0</v>
      </c>
      <c r="AM85" s="260">
        <v>0</v>
      </c>
      <c r="AN85" s="260">
        <f t="shared" si="81"/>
        <v>0</v>
      </c>
      <c r="AO85" s="457">
        <f t="shared" si="82"/>
        <v>390473</v>
      </c>
      <c r="AP85" s="456">
        <f t="shared" si="83"/>
        <v>79656492</v>
      </c>
      <c r="AQ85" s="263" t="e">
        <f>#REF!+AH85+AA85+T85+M85</f>
        <v>#REF!</v>
      </c>
      <c r="AR85" s="263">
        <f t="shared" si="42"/>
        <v>79879210</v>
      </c>
      <c r="AS85" s="263" t="e">
        <f t="shared" si="43"/>
        <v>#REF!</v>
      </c>
      <c r="AT85" s="263">
        <f t="shared" si="44"/>
        <v>80170860</v>
      </c>
      <c r="AU85" s="263" t="e">
        <f t="shared" si="45"/>
        <v>#REF!</v>
      </c>
      <c r="AV85" s="263">
        <f t="shared" si="46"/>
        <v>94232988</v>
      </c>
      <c r="AW85" s="263" t="e">
        <f t="shared" si="47"/>
        <v>#REF!</v>
      </c>
      <c r="AX85" s="263" t="e">
        <f>AV85+#REF!+AH85+AA85+T85</f>
        <v>#REF!</v>
      </c>
      <c r="AY85" s="263" t="e">
        <f t="shared" si="48"/>
        <v>#REF!</v>
      </c>
      <c r="AZ85" s="263" t="e">
        <f t="shared" si="49"/>
        <v>#REF!</v>
      </c>
      <c r="BA85" s="263" t="e">
        <f t="shared" si="50"/>
        <v>#REF!</v>
      </c>
      <c r="BB85" s="263" t="e">
        <f t="shared" si="51"/>
        <v>#REF!</v>
      </c>
      <c r="BC85" s="263" t="e">
        <f t="shared" si="52"/>
        <v>#REF!</v>
      </c>
      <c r="BD85" s="263" t="e">
        <f t="shared" si="53"/>
        <v>#REF!</v>
      </c>
      <c r="BE85" s="263" t="e">
        <f>BC85+AV85+#REF!+AH85+AA85</f>
        <v>#REF!</v>
      </c>
      <c r="BF85" s="263" t="e">
        <f t="shared" si="54"/>
        <v>#REF!</v>
      </c>
      <c r="BG85" s="263" t="e">
        <f t="shared" si="55"/>
        <v>#REF!</v>
      </c>
    </row>
    <row r="86" spans="1:59" ht="15.75">
      <c r="A86" s="338">
        <v>6</v>
      </c>
      <c r="B86" s="338" t="s">
        <v>1</v>
      </c>
      <c r="C86" s="258">
        <v>43</v>
      </c>
      <c r="D86" s="328" t="s">
        <v>62</v>
      </c>
      <c r="E86" s="258" t="s">
        <v>9</v>
      </c>
      <c r="F86" s="431">
        <f t="array" ref="F86">MAX((IF(MNU_CODIGO_ALIMENTO_ENTREGA=CONCATENATE($C86,"_","P_"),MNU_GRAMAJE_REQUERIDO_TIPOA,"")))</f>
        <v>100</v>
      </c>
      <c r="G86" s="259">
        <f t="shared" si="56"/>
        <v>63000</v>
      </c>
      <c r="H86" s="259">
        <f t="shared" si="57"/>
        <v>30972</v>
      </c>
      <c r="I86" s="259">
        <f t="shared" si="58"/>
        <v>93972</v>
      </c>
      <c r="J86" s="260">
        <f t="shared" si="59"/>
        <v>11214000</v>
      </c>
      <c r="K86" s="260">
        <f t="shared" si="60"/>
        <v>5513016</v>
      </c>
      <c r="L86" s="260">
        <f t="shared" si="61"/>
        <v>16727016</v>
      </c>
      <c r="M86" s="432">
        <f t="array" ref="M86">MAX((IF(MNU_CODIGO_ALIMENTO_ENTREGA=CONCATENATE($C86,"_","P_"),MNU_GRAMAJE_REQUERIDO_TIPOB,"")))</f>
        <v>100</v>
      </c>
      <c r="N86" s="348">
        <f t="shared" si="62"/>
        <v>82042</v>
      </c>
      <c r="O86" s="348">
        <f t="shared" si="63"/>
        <v>37099</v>
      </c>
      <c r="P86" s="348">
        <f t="shared" si="64"/>
        <v>119141</v>
      </c>
      <c r="Q86" s="349">
        <f t="shared" si="65"/>
        <v>14603476</v>
      </c>
      <c r="R86" s="349">
        <f t="shared" si="66"/>
        <v>6603622</v>
      </c>
      <c r="S86" s="349">
        <f t="shared" si="67"/>
        <v>21207098</v>
      </c>
      <c r="T86" s="353">
        <f t="array" ref="T86">MAX((IF(MNU_CODIGO_ALIMENTO_ENTREGA=CONCATENATE($C86,"_","P_"),MNU_GRAMAJE_REQUERIDO_TIPOC,"")))</f>
        <v>100</v>
      </c>
      <c r="U86" s="259">
        <f t="shared" si="68"/>
        <v>117232</v>
      </c>
      <c r="V86" s="259">
        <f t="shared" si="69"/>
        <v>46345</v>
      </c>
      <c r="W86" s="259">
        <f t="shared" si="70"/>
        <v>163577</v>
      </c>
      <c r="X86" s="260">
        <f t="shared" si="71"/>
        <v>20867296</v>
      </c>
      <c r="Y86" s="260">
        <f t="shared" si="72"/>
        <v>8249410</v>
      </c>
      <c r="Z86" s="260">
        <f t="shared" si="73"/>
        <v>29116706</v>
      </c>
      <c r="AA86" s="258">
        <f t="array" ref="AA86">MAX((IF(MNU_CODIGO_ALIMENTO_ENTREGA=CONCATENATE($C86,"_","P_"),MNU_GRAMAJE_REQUERIDO_TIPOM,"")))</f>
        <v>100</v>
      </c>
      <c r="AB86" s="261">
        <f t="shared" si="74"/>
        <v>0</v>
      </c>
      <c r="AC86" s="261">
        <v>0</v>
      </c>
      <c r="AD86" s="261">
        <f t="shared" si="75"/>
        <v>0</v>
      </c>
      <c r="AE86" s="262">
        <f t="shared" si="76"/>
        <v>0</v>
      </c>
      <c r="AF86" s="262">
        <v>0</v>
      </c>
      <c r="AG86" s="262">
        <f t="shared" si="77"/>
        <v>0</v>
      </c>
      <c r="AH86" s="353">
        <f t="array" ref="AH86">MAX((IF(MNU_CODIGO_ALIMENTO_ENTREGA=CONCATENATE($C86,"_","P_"),MNU_GRAMAJE_REQUERIDO_TIPOH,"")))</f>
        <v>100</v>
      </c>
      <c r="AI86" s="259">
        <f t="shared" si="78"/>
        <v>0</v>
      </c>
      <c r="AJ86" s="259">
        <v>0</v>
      </c>
      <c r="AK86" s="259">
        <f t="shared" si="79"/>
        <v>0</v>
      </c>
      <c r="AL86" s="260">
        <f t="shared" si="80"/>
        <v>0</v>
      </c>
      <c r="AM86" s="260">
        <v>0</v>
      </c>
      <c r="AN86" s="260">
        <f t="shared" si="81"/>
        <v>0</v>
      </c>
      <c r="AO86" s="457">
        <f t="shared" si="82"/>
        <v>376690</v>
      </c>
      <c r="AP86" s="456">
        <f t="shared" si="83"/>
        <v>67050820</v>
      </c>
      <c r="AQ86" s="263" t="e">
        <f>#REF!+AH86+AA86+T86+M86</f>
        <v>#REF!</v>
      </c>
      <c r="AR86" s="263">
        <f t="shared" si="42"/>
        <v>67250094</v>
      </c>
      <c r="AS86" s="263" t="e">
        <f t="shared" si="43"/>
        <v>#REF!</v>
      </c>
      <c r="AT86" s="263">
        <f t="shared" si="44"/>
        <v>67532812</v>
      </c>
      <c r="AU86" s="263" t="e">
        <f t="shared" si="45"/>
        <v>#REF!</v>
      </c>
      <c r="AV86" s="263">
        <f t="shared" si="46"/>
        <v>82385844</v>
      </c>
      <c r="AW86" s="263" t="e">
        <f t="shared" si="47"/>
        <v>#REF!</v>
      </c>
      <c r="AX86" s="263" t="e">
        <f>AV86+#REF!+AH86+AA86+T86</f>
        <v>#REF!</v>
      </c>
      <c r="AY86" s="263" t="e">
        <f t="shared" si="48"/>
        <v>#REF!</v>
      </c>
      <c r="AZ86" s="263" t="e">
        <f t="shared" si="49"/>
        <v>#REF!</v>
      </c>
      <c r="BA86" s="263" t="e">
        <f t="shared" si="50"/>
        <v>#REF!</v>
      </c>
      <c r="BB86" s="263" t="e">
        <f t="shared" si="51"/>
        <v>#REF!</v>
      </c>
      <c r="BC86" s="263" t="e">
        <f t="shared" si="52"/>
        <v>#REF!</v>
      </c>
      <c r="BD86" s="263" t="e">
        <f t="shared" si="53"/>
        <v>#REF!</v>
      </c>
      <c r="BE86" s="263" t="e">
        <f>BC86+AV86+#REF!+AH86+AA86</f>
        <v>#REF!</v>
      </c>
      <c r="BF86" s="263" t="e">
        <f t="shared" si="54"/>
        <v>#REF!</v>
      </c>
      <c r="BG86" s="263" t="e">
        <f t="shared" si="55"/>
        <v>#REF!</v>
      </c>
    </row>
    <row r="87" spans="1:59" ht="15.75">
      <c r="A87" s="338">
        <v>6</v>
      </c>
      <c r="B87" s="338" t="s">
        <v>1</v>
      </c>
      <c r="C87" s="258">
        <v>46</v>
      </c>
      <c r="D87" s="328" t="s">
        <v>64</v>
      </c>
      <c r="E87" s="258" t="s">
        <v>9</v>
      </c>
      <c r="F87" s="431">
        <f t="array" ref="F87">MAX((IF(MNU_CODIGO_ALIMENTO_ENTREGA=CONCATENATE($C87,"_","P_"),MNU_GRAMAJE_REQUERIDO_TIPOA,"")))</f>
        <v>100</v>
      </c>
      <c r="G87" s="259">
        <f t="shared" si="56"/>
        <v>78750</v>
      </c>
      <c r="H87" s="259">
        <f t="shared" si="57"/>
        <v>30972</v>
      </c>
      <c r="I87" s="259">
        <f t="shared" si="58"/>
        <v>109722</v>
      </c>
      <c r="J87" s="260">
        <f t="shared" si="59"/>
        <v>32917500</v>
      </c>
      <c r="K87" s="260">
        <f t="shared" si="60"/>
        <v>12946296</v>
      </c>
      <c r="L87" s="260">
        <f t="shared" si="61"/>
        <v>45863796</v>
      </c>
      <c r="M87" s="432">
        <f t="array" ref="M87">MAX((IF(MNU_CODIGO_ALIMENTO_ENTREGA=CONCATENATE($C87,"_","P_"),MNU_GRAMAJE_REQUERIDO_TIPOB,"")))</f>
        <v>100</v>
      </c>
      <c r="N87" s="348">
        <f t="shared" si="62"/>
        <v>101346</v>
      </c>
      <c r="O87" s="348">
        <f t="shared" si="63"/>
        <v>38712</v>
      </c>
      <c r="P87" s="348">
        <f t="shared" si="64"/>
        <v>140058</v>
      </c>
      <c r="Q87" s="349">
        <f t="shared" si="65"/>
        <v>42362628</v>
      </c>
      <c r="R87" s="349">
        <f t="shared" si="66"/>
        <v>16181616</v>
      </c>
      <c r="S87" s="349">
        <f t="shared" si="67"/>
        <v>58544244</v>
      </c>
      <c r="T87" s="353">
        <f t="array" ref="T87">MAX((IF(MNU_CODIGO_ALIMENTO_ENTREGA=CONCATENATE($C87,"_","P_"),MNU_GRAMAJE_REQUERIDO_TIPOC,"")))</f>
        <v>100</v>
      </c>
      <c r="U87" s="259">
        <f t="shared" si="68"/>
        <v>144816</v>
      </c>
      <c r="V87" s="259">
        <f t="shared" si="69"/>
        <v>48360</v>
      </c>
      <c r="W87" s="259">
        <f t="shared" si="70"/>
        <v>193176</v>
      </c>
      <c r="X87" s="260">
        <f t="shared" si="71"/>
        <v>60533088</v>
      </c>
      <c r="Y87" s="260">
        <f t="shared" si="72"/>
        <v>20214480</v>
      </c>
      <c r="Z87" s="260">
        <f t="shared" si="73"/>
        <v>80747568</v>
      </c>
      <c r="AA87" s="258">
        <f t="array" ref="AA87">MAX((IF(MNU_CODIGO_ALIMENTO_ENTREGA=CONCATENATE($C87,"_","P_"),MNU_GRAMAJE_REQUERIDO_TIPOM,"")))</f>
        <v>100</v>
      </c>
      <c r="AB87" s="261">
        <f t="shared" si="74"/>
        <v>0</v>
      </c>
      <c r="AC87" s="261">
        <v>0</v>
      </c>
      <c r="AD87" s="261">
        <f t="shared" si="75"/>
        <v>0</v>
      </c>
      <c r="AE87" s="262">
        <f t="shared" si="76"/>
        <v>0</v>
      </c>
      <c r="AF87" s="262">
        <v>0</v>
      </c>
      <c r="AG87" s="262">
        <f t="shared" si="77"/>
        <v>0</v>
      </c>
      <c r="AH87" s="353">
        <f t="array" ref="AH87">MAX((IF(MNU_CODIGO_ALIMENTO_ENTREGA=CONCATENATE($C87,"_","P_"),MNU_GRAMAJE_REQUERIDO_TIPOH,"")))</f>
        <v>100</v>
      </c>
      <c r="AI87" s="259">
        <f t="shared" si="78"/>
        <v>0</v>
      </c>
      <c r="AJ87" s="259">
        <v>0</v>
      </c>
      <c r="AK87" s="259">
        <f t="shared" si="79"/>
        <v>0</v>
      </c>
      <c r="AL87" s="260">
        <f t="shared" si="80"/>
        <v>0</v>
      </c>
      <c r="AM87" s="260">
        <v>0</v>
      </c>
      <c r="AN87" s="260">
        <f t="shared" si="81"/>
        <v>0</v>
      </c>
      <c r="AO87" s="457">
        <f t="shared" si="82"/>
        <v>442956</v>
      </c>
      <c r="AP87" s="456">
        <f t="shared" si="83"/>
        <v>185155608</v>
      </c>
      <c r="AQ87" s="263" t="e">
        <f>#REF!+AH87+AA87+T87+M87</f>
        <v>#REF!</v>
      </c>
      <c r="AR87" s="263">
        <f t="shared" si="42"/>
        <v>185401770</v>
      </c>
      <c r="AS87" s="263" t="e">
        <f t="shared" si="43"/>
        <v>#REF!</v>
      </c>
      <c r="AT87" s="263">
        <f t="shared" si="44"/>
        <v>185735004</v>
      </c>
      <c r="AU87" s="263" t="e">
        <f t="shared" si="45"/>
        <v>#REF!</v>
      </c>
      <c r="AV87" s="263">
        <f t="shared" si="46"/>
        <v>222131100</v>
      </c>
      <c r="AW87" s="263" t="e">
        <f t="shared" si="47"/>
        <v>#REF!</v>
      </c>
      <c r="AX87" s="263" t="e">
        <f>AV87+#REF!+AH87+AA87+T87</f>
        <v>#REF!</v>
      </c>
      <c r="AY87" s="263" t="e">
        <f t="shared" si="48"/>
        <v>#REF!</v>
      </c>
      <c r="AZ87" s="263" t="e">
        <f t="shared" si="49"/>
        <v>#REF!</v>
      </c>
      <c r="BA87" s="263" t="e">
        <f t="shared" si="50"/>
        <v>#REF!</v>
      </c>
      <c r="BB87" s="263" t="e">
        <f t="shared" si="51"/>
        <v>#REF!</v>
      </c>
      <c r="BC87" s="263" t="e">
        <f t="shared" si="52"/>
        <v>#REF!</v>
      </c>
      <c r="BD87" s="263" t="e">
        <f t="shared" si="53"/>
        <v>#REF!</v>
      </c>
      <c r="BE87" s="263" t="e">
        <f>BC87+AV87+#REF!+AH87+AA87</f>
        <v>#REF!</v>
      </c>
      <c r="BF87" s="263" t="e">
        <f t="shared" si="54"/>
        <v>#REF!</v>
      </c>
      <c r="BG87" s="263" t="e">
        <f t="shared" si="55"/>
        <v>#REF!</v>
      </c>
    </row>
    <row r="88" spans="1:59" ht="15.75">
      <c r="A88" s="338">
        <v>6</v>
      </c>
      <c r="B88" s="338" t="s">
        <v>1</v>
      </c>
      <c r="C88" s="258">
        <v>58</v>
      </c>
      <c r="D88" s="328" t="s">
        <v>67</v>
      </c>
      <c r="E88" s="258" t="s">
        <v>9</v>
      </c>
      <c r="F88" s="431">
        <f t="array" ref="F88">MAX((IF(MNU_CODIGO_ALIMENTO_ENTREGA=CONCATENATE($C88,"_","P_"),MNU_GRAMAJE_REQUERIDO_TIPOA,"")))</f>
        <v>100</v>
      </c>
      <c r="G88" s="259">
        <f t="shared" si="56"/>
        <v>63000</v>
      </c>
      <c r="H88" s="259">
        <f t="shared" si="57"/>
        <v>29904</v>
      </c>
      <c r="I88" s="259">
        <f t="shared" si="58"/>
        <v>92904</v>
      </c>
      <c r="J88" s="260">
        <f t="shared" si="59"/>
        <v>10206000</v>
      </c>
      <c r="K88" s="260">
        <f t="shared" si="60"/>
        <v>4844448</v>
      </c>
      <c r="L88" s="260">
        <f t="shared" si="61"/>
        <v>15050448</v>
      </c>
      <c r="M88" s="432">
        <f t="array" ref="M88">MAX((IF(MNU_CODIGO_ALIMENTO_ENTREGA=CONCATENATE($C88,"_","P_"),MNU_GRAMAJE_REQUERIDO_TIPOB,"")))</f>
        <v>100</v>
      </c>
      <c r="N88" s="348">
        <f t="shared" si="62"/>
        <v>110998</v>
      </c>
      <c r="O88" s="348">
        <f t="shared" si="63"/>
        <v>37099</v>
      </c>
      <c r="P88" s="348">
        <f t="shared" si="64"/>
        <v>148097</v>
      </c>
      <c r="Q88" s="349">
        <f t="shared" si="65"/>
        <v>17981676</v>
      </c>
      <c r="R88" s="349">
        <f t="shared" si="66"/>
        <v>6010038</v>
      </c>
      <c r="S88" s="349">
        <f t="shared" si="67"/>
        <v>23991714</v>
      </c>
      <c r="T88" s="353">
        <f t="array" ref="T88">MAX((IF(MNU_CODIGO_ALIMENTO_ENTREGA=CONCATENATE($C88,"_","P_"),MNU_GRAMAJE_REQUERIDO_TIPOC,"")))</f>
        <v>100</v>
      </c>
      <c r="U88" s="259">
        <f t="shared" si="68"/>
        <v>158608</v>
      </c>
      <c r="V88" s="259">
        <f t="shared" si="69"/>
        <v>46345</v>
      </c>
      <c r="W88" s="259">
        <f t="shared" si="70"/>
        <v>204953</v>
      </c>
      <c r="X88" s="260">
        <f t="shared" si="71"/>
        <v>25694496</v>
      </c>
      <c r="Y88" s="260">
        <f t="shared" si="72"/>
        <v>7507890</v>
      </c>
      <c r="Z88" s="260">
        <f t="shared" si="73"/>
        <v>33202386</v>
      </c>
      <c r="AA88" s="258">
        <f t="array" ref="AA88">MAX((IF(MNU_CODIGO_ALIMENTO_ENTREGA=CONCATENATE($C88,"_","P_"),MNU_GRAMAJE_REQUERIDO_TIPOM,"")))</f>
        <v>100</v>
      </c>
      <c r="AB88" s="261">
        <f t="shared" si="74"/>
        <v>0</v>
      </c>
      <c r="AC88" s="261">
        <v>0</v>
      </c>
      <c r="AD88" s="261">
        <f t="shared" si="75"/>
        <v>0</v>
      </c>
      <c r="AE88" s="262">
        <f t="shared" si="76"/>
        <v>0</v>
      </c>
      <c r="AF88" s="262">
        <v>0</v>
      </c>
      <c r="AG88" s="262">
        <f t="shared" si="77"/>
        <v>0</v>
      </c>
      <c r="AH88" s="353">
        <f t="array" ref="AH88">MAX((IF(MNU_CODIGO_ALIMENTO_ENTREGA=CONCATENATE($C88,"_","P_"),MNU_GRAMAJE_REQUERIDO_TIPOH,"")))</f>
        <v>100</v>
      </c>
      <c r="AI88" s="259">
        <f t="shared" si="78"/>
        <v>0</v>
      </c>
      <c r="AJ88" s="259">
        <v>0</v>
      </c>
      <c r="AK88" s="259">
        <f t="shared" si="79"/>
        <v>0</v>
      </c>
      <c r="AL88" s="260">
        <f t="shared" si="80"/>
        <v>0</v>
      </c>
      <c r="AM88" s="260">
        <v>0</v>
      </c>
      <c r="AN88" s="260">
        <f t="shared" si="81"/>
        <v>0</v>
      </c>
      <c r="AO88" s="457">
        <f t="shared" si="82"/>
        <v>445954</v>
      </c>
      <c r="AP88" s="456">
        <f t="shared" si="83"/>
        <v>72244548</v>
      </c>
      <c r="AQ88" s="263" t="e">
        <f>#REF!+AH88+AA88+T88+M88</f>
        <v>#REF!</v>
      </c>
      <c r="AR88" s="263">
        <f t="shared" si="42"/>
        <v>72514154</v>
      </c>
      <c r="AS88" s="263" t="e">
        <f t="shared" si="43"/>
        <v>#REF!</v>
      </c>
      <c r="AT88" s="263">
        <f t="shared" si="44"/>
        <v>72867204</v>
      </c>
      <c r="AU88" s="263" t="e">
        <f t="shared" si="45"/>
        <v>#REF!</v>
      </c>
      <c r="AV88" s="263">
        <f t="shared" si="46"/>
        <v>86385132</v>
      </c>
      <c r="AW88" s="263" t="e">
        <f t="shared" si="47"/>
        <v>#REF!</v>
      </c>
      <c r="AX88" s="263" t="e">
        <f>AV88+#REF!+AH88+AA88+T88</f>
        <v>#REF!</v>
      </c>
      <c r="AY88" s="263" t="e">
        <f t="shared" si="48"/>
        <v>#REF!</v>
      </c>
      <c r="AZ88" s="263" t="e">
        <f t="shared" si="49"/>
        <v>#REF!</v>
      </c>
      <c r="BA88" s="263" t="e">
        <f t="shared" si="50"/>
        <v>#REF!</v>
      </c>
      <c r="BB88" s="263" t="e">
        <f t="shared" si="51"/>
        <v>#REF!</v>
      </c>
      <c r="BC88" s="263" t="e">
        <f t="shared" si="52"/>
        <v>#REF!</v>
      </c>
      <c r="BD88" s="263" t="e">
        <f t="shared" si="53"/>
        <v>#REF!</v>
      </c>
      <c r="BE88" s="263" t="e">
        <f>BC88+AV88+#REF!+AH88+AA88</f>
        <v>#REF!</v>
      </c>
      <c r="BF88" s="263" t="e">
        <f t="shared" si="54"/>
        <v>#REF!</v>
      </c>
      <c r="BG88" s="263" t="e">
        <f t="shared" si="55"/>
        <v>#REF!</v>
      </c>
    </row>
    <row r="89" spans="1:59" ht="15.75">
      <c r="A89" s="338">
        <v>6</v>
      </c>
      <c r="B89" s="338" t="s">
        <v>1</v>
      </c>
      <c r="C89" s="258">
        <v>59</v>
      </c>
      <c r="D89" s="328" t="s">
        <v>99</v>
      </c>
      <c r="E89" s="258" t="s">
        <v>9</v>
      </c>
      <c r="F89" s="431">
        <f t="array" ref="F89">MAX((IF(MNU_CODIGO_ALIMENTO_ENTREGA=CONCATENATE($C89,"_","P_"),MNU_GRAMAJE_REQUERIDO_TIPOA,"")))</f>
        <v>0</v>
      </c>
      <c r="G89" s="259">
        <f t="shared" si="56"/>
        <v>0</v>
      </c>
      <c r="H89" s="259">
        <f t="shared" si="57"/>
        <v>0</v>
      </c>
      <c r="I89" s="259">
        <f t="shared" si="58"/>
        <v>0</v>
      </c>
      <c r="J89" s="260">
        <f t="shared" si="59"/>
        <v>0</v>
      </c>
      <c r="K89" s="260">
        <f t="shared" si="60"/>
        <v>0</v>
      </c>
      <c r="L89" s="260">
        <f t="shared" si="61"/>
        <v>0</v>
      </c>
      <c r="M89" s="432">
        <f t="array" ref="M89">MAX((IF(MNU_CODIGO_ALIMENTO_ENTREGA=CONCATENATE($C89,"_","P_"),MNU_GRAMAJE_REQUERIDO_TIPOB,"")))</f>
        <v>100</v>
      </c>
      <c r="N89" s="348">
        <f t="shared" si="62"/>
        <v>38608</v>
      </c>
      <c r="O89" s="348">
        <f t="shared" si="63"/>
        <v>17743</v>
      </c>
      <c r="P89" s="348">
        <f t="shared" si="64"/>
        <v>56351</v>
      </c>
      <c r="Q89" s="349">
        <f t="shared" si="65"/>
        <v>11582400</v>
      </c>
      <c r="R89" s="349">
        <f t="shared" si="66"/>
        <v>5322900</v>
      </c>
      <c r="S89" s="349">
        <f t="shared" si="67"/>
        <v>16905300</v>
      </c>
      <c r="T89" s="353">
        <f t="array" ref="T89">MAX((IF(MNU_CODIGO_ALIMENTO_ENTREGA=CONCATENATE($C89,"_","P_"),MNU_GRAMAJE_REQUERIDO_TIPOC,"")))</f>
        <v>100</v>
      </c>
      <c r="U89" s="259">
        <f t="shared" si="68"/>
        <v>55168</v>
      </c>
      <c r="V89" s="259">
        <f t="shared" si="69"/>
        <v>22165</v>
      </c>
      <c r="W89" s="259">
        <f t="shared" si="70"/>
        <v>77333</v>
      </c>
      <c r="X89" s="260">
        <f t="shared" si="71"/>
        <v>16550400</v>
      </c>
      <c r="Y89" s="260">
        <f t="shared" si="72"/>
        <v>6649500</v>
      </c>
      <c r="Z89" s="260">
        <f t="shared" si="73"/>
        <v>23199900</v>
      </c>
      <c r="AA89" s="258">
        <f t="array" ref="AA89">MAX((IF(MNU_CODIGO_ALIMENTO_ENTREGA=CONCATENATE($C89,"_","P_"),MNU_GRAMAJE_REQUERIDO_TIPOM,"")))</f>
        <v>100</v>
      </c>
      <c r="AB89" s="261">
        <f t="shared" si="74"/>
        <v>0</v>
      </c>
      <c r="AC89" s="261">
        <v>0</v>
      </c>
      <c r="AD89" s="261">
        <f t="shared" si="75"/>
        <v>0</v>
      </c>
      <c r="AE89" s="262">
        <f t="shared" si="76"/>
        <v>0</v>
      </c>
      <c r="AF89" s="262">
        <v>0</v>
      </c>
      <c r="AG89" s="262">
        <f t="shared" si="77"/>
        <v>0</v>
      </c>
      <c r="AH89" s="353">
        <f t="array" ref="AH89">MAX((IF(MNU_CODIGO_ALIMENTO_ENTREGA=CONCATENATE($C89,"_","P_"),MNU_GRAMAJE_REQUERIDO_TIPOH,"")))</f>
        <v>100</v>
      </c>
      <c r="AI89" s="259">
        <f t="shared" si="78"/>
        <v>0</v>
      </c>
      <c r="AJ89" s="259">
        <v>0</v>
      </c>
      <c r="AK89" s="259">
        <f t="shared" si="79"/>
        <v>0</v>
      </c>
      <c r="AL89" s="260">
        <f t="shared" si="80"/>
        <v>0</v>
      </c>
      <c r="AM89" s="260">
        <v>0</v>
      </c>
      <c r="AN89" s="260">
        <f t="shared" si="81"/>
        <v>0</v>
      </c>
      <c r="AO89" s="457">
        <f t="shared" si="82"/>
        <v>133684</v>
      </c>
      <c r="AP89" s="456">
        <f t="shared" si="83"/>
        <v>40105200</v>
      </c>
      <c r="AQ89" s="263" t="e">
        <f>#REF!+AH89+AA89+T89+M89</f>
        <v>#REF!</v>
      </c>
      <c r="AR89" s="263">
        <f t="shared" si="42"/>
        <v>40198976</v>
      </c>
      <c r="AS89" s="263" t="e">
        <f t="shared" si="43"/>
        <v>#REF!</v>
      </c>
      <c r="AT89" s="263">
        <f t="shared" si="44"/>
        <v>40332660</v>
      </c>
      <c r="AU89" s="263" t="e">
        <f t="shared" si="45"/>
        <v>#REF!</v>
      </c>
      <c r="AV89" s="263">
        <f t="shared" si="46"/>
        <v>52305060</v>
      </c>
      <c r="AW89" s="263" t="e">
        <f t="shared" si="47"/>
        <v>#REF!</v>
      </c>
      <c r="AX89" s="263" t="e">
        <f>AV89+#REF!+AH89+AA89+T89</f>
        <v>#REF!</v>
      </c>
      <c r="AY89" s="263" t="e">
        <f t="shared" si="48"/>
        <v>#REF!</v>
      </c>
      <c r="AZ89" s="263" t="e">
        <f t="shared" si="49"/>
        <v>#REF!</v>
      </c>
      <c r="BA89" s="263" t="e">
        <f t="shared" si="50"/>
        <v>#REF!</v>
      </c>
      <c r="BB89" s="263" t="e">
        <f t="shared" si="51"/>
        <v>#REF!</v>
      </c>
      <c r="BC89" s="263" t="e">
        <f t="shared" si="52"/>
        <v>#REF!</v>
      </c>
      <c r="BD89" s="263" t="e">
        <f t="shared" si="53"/>
        <v>#REF!</v>
      </c>
      <c r="BE89" s="263" t="e">
        <f>BC89+AV89+#REF!+AH89+AA89</f>
        <v>#REF!</v>
      </c>
      <c r="BF89" s="263" t="e">
        <f t="shared" si="54"/>
        <v>#REF!</v>
      </c>
      <c r="BG89" s="263" t="e">
        <f t="shared" si="55"/>
        <v>#REF!</v>
      </c>
    </row>
    <row r="90" spans="1:59" ht="15.75">
      <c r="A90" s="338">
        <v>6</v>
      </c>
      <c r="B90" s="338" t="s">
        <v>1</v>
      </c>
      <c r="C90" s="258">
        <v>69</v>
      </c>
      <c r="D90" s="328" t="s">
        <v>70</v>
      </c>
      <c r="E90" s="258" t="s">
        <v>9</v>
      </c>
      <c r="F90" s="431">
        <f t="array" ref="F90">MAX((IF(MNU_CODIGO_ALIMENTO_ENTREGA=CONCATENATE($C90,"_","P_"),MNU_GRAMAJE_REQUERIDO_TIPOA,"")))</f>
        <v>100</v>
      </c>
      <c r="G90" s="259">
        <f t="shared" si="56"/>
        <v>78750</v>
      </c>
      <c r="H90" s="259">
        <f t="shared" si="57"/>
        <v>19224</v>
      </c>
      <c r="I90" s="259">
        <f t="shared" si="58"/>
        <v>97974</v>
      </c>
      <c r="J90" s="260">
        <f t="shared" si="59"/>
        <v>25200000</v>
      </c>
      <c r="K90" s="260">
        <f t="shared" si="60"/>
        <v>6151680</v>
      </c>
      <c r="L90" s="260">
        <f t="shared" si="61"/>
        <v>31351680</v>
      </c>
      <c r="M90" s="432">
        <f t="array" ref="M90">MAX((IF(MNU_CODIGO_ALIMENTO_ENTREGA=CONCATENATE($C90,"_","P_"),MNU_GRAMAJE_REQUERIDO_TIPOB,"")))</f>
        <v>100</v>
      </c>
      <c r="N90" s="348">
        <f t="shared" si="62"/>
        <v>77216</v>
      </c>
      <c r="O90" s="348">
        <f t="shared" si="63"/>
        <v>19356</v>
      </c>
      <c r="P90" s="348">
        <f t="shared" si="64"/>
        <v>96572</v>
      </c>
      <c r="Q90" s="349">
        <f t="shared" si="65"/>
        <v>24709120</v>
      </c>
      <c r="R90" s="349">
        <f t="shared" si="66"/>
        <v>6193920</v>
      </c>
      <c r="S90" s="349">
        <f t="shared" si="67"/>
        <v>30903040</v>
      </c>
      <c r="T90" s="353">
        <f t="array" ref="T90">MAX((IF(MNU_CODIGO_ALIMENTO_ENTREGA=CONCATENATE($C90,"_","P_"),MNU_GRAMAJE_REQUERIDO_TIPOC,"")))</f>
        <v>100</v>
      </c>
      <c r="U90" s="259">
        <f t="shared" si="68"/>
        <v>110336</v>
      </c>
      <c r="V90" s="259">
        <f t="shared" si="69"/>
        <v>24180</v>
      </c>
      <c r="W90" s="259">
        <f t="shared" si="70"/>
        <v>134516</v>
      </c>
      <c r="X90" s="260">
        <f t="shared" si="71"/>
        <v>35307520</v>
      </c>
      <c r="Y90" s="260">
        <f t="shared" si="72"/>
        <v>7737600</v>
      </c>
      <c r="Z90" s="260">
        <f t="shared" si="73"/>
        <v>43045120</v>
      </c>
      <c r="AA90" s="258">
        <f t="array" ref="AA90">MAX((IF(MNU_CODIGO_ALIMENTO_ENTREGA=CONCATENATE($C90,"_","P_"),MNU_GRAMAJE_REQUERIDO_TIPOM,"")))</f>
        <v>100</v>
      </c>
      <c r="AB90" s="261">
        <f t="shared" si="74"/>
        <v>0</v>
      </c>
      <c r="AC90" s="261">
        <v>0</v>
      </c>
      <c r="AD90" s="261">
        <f t="shared" si="75"/>
        <v>0</v>
      </c>
      <c r="AE90" s="262">
        <f t="shared" si="76"/>
        <v>0</v>
      </c>
      <c r="AF90" s="262">
        <v>0</v>
      </c>
      <c r="AG90" s="262">
        <f t="shared" si="77"/>
        <v>0</v>
      </c>
      <c r="AH90" s="353">
        <f t="array" ref="AH90">MAX((IF(MNU_CODIGO_ALIMENTO_ENTREGA=CONCATENATE($C90,"_","P_"),MNU_GRAMAJE_REQUERIDO_TIPOH,"")))</f>
        <v>100</v>
      </c>
      <c r="AI90" s="259">
        <f t="shared" si="78"/>
        <v>0</v>
      </c>
      <c r="AJ90" s="259">
        <v>0</v>
      </c>
      <c r="AK90" s="259">
        <f t="shared" si="79"/>
        <v>0</v>
      </c>
      <c r="AL90" s="260">
        <f t="shared" si="80"/>
        <v>0</v>
      </c>
      <c r="AM90" s="260">
        <v>0</v>
      </c>
      <c r="AN90" s="260">
        <f t="shared" si="81"/>
        <v>0</v>
      </c>
      <c r="AO90" s="457">
        <f t="shared" si="82"/>
        <v>329062</v>
      </c>
      <c r="AP90" s="456">
        <f t="shared" si="83"/>
        <v>105299840</v>
      </c>
      <c r="AQ90" s="263" t="e">
        <f>#REF!+AH90+AA90+T90+M90</f>
        <v>#REF!</v>
      </c>
      <c r="AR90" s="263">
        <f t="shared" si="42"/>
        <v>105487392</v>
      </c>
      <c r="AS90" s="263" t="e">
        <f t="shared" si="43"/>
        <v>#REF!</v>
      </c>
      <c r="AT90" s="263">
        <f t="shared" si="44"/>
        <v>105718480</v>
      </c>
      <c r="AU90" s="263" t="e">
        <f t="shared" si="45"/>
        <v>#REF!</v>
      </c>
      <c r="AV90" s="263">
        <f t="shared" si="46"/>
        <v>119650000</v>
      </c>
      <c r="AW90" s="263" t="e">
        <f t="shared" si="47"/>
        <v>#REF!</v>
      </c>
      <c r="AX90" s="263" t="e">
        <f>AV90+#REF!+AH90+AA90+T90</f>
        <v>#REF!</v>
      </c>
      <c r="AY90" s="263" t="e">
        <f t="shared" si="48"/>
        <v>#REF!</v>
      </c>
      <c r="AZ90" s="263" t="e">
        <f t="shared" si="49"/>
        <v>#REF!</v>
      </c>
      <c r="BA90" s="263" t="e">
        <f t="shared" si="50"/>
        <v>#REF!</v>
      </c>
      <c r="BB90" s="263" t="e">
        <f t="shared" si="51"/>
        <v>#REF!</v>
      </c>
      <c r="BC90" s="263" t="e">
        <f t="shared" si="52"/>
        <v>#REF!</v>
      </c>
      <c r="BD90" s="263" t="e">
        <f t="shared" si="53"/>
        <v>#REF!</v>
      </c>
      <c r="BE90" s="263" t="e">
        <f>BC90+AV90+#REF!+AH90+AA90</f>
        <v>#REF!</v>
      </c>
      <c r="BF90" s="263" t="e">
        <f t="shared" si="54"/>
        <v>#REF!</v>
      </c>
      <c r="BG90" s="263" t="e">
        <f t="shared" si="55"/>
        <v>#REF!</v>
      </c>
    </row>
    <row r="91" spans="1:59" ht="15.75">
      <c r="A91" s="338">
        <v>6</v>
      </c>
      <c r="B91" s="338" t="s">
        <v>1</v>
      </c>
      <c r="C91" s="258">
        <v>70</v>
      </c>
      <c r="D91" s="328" t="s">
        <v>71</v>
      </c>
      <c r="E91" s="258" t="s">
        <v>9</v>
      </c>
      <c r="F91" s="431">
        <f t="array" ref="F91">MAX((IF(MNU_CODIGO_ALIMENTO_ENTREGA=CONCATENATE($C91,"_","P_"),MNU_GRAMAJE_REQUERIDO_TIPOA,"")))</f>
        <v>0</v>
      </c>
      <c r="G91" s="259">
        <f t="shared" si="56"/>
        <v>0</v>
      </c>
      <c r="H91" s="259">
        <f t="shared" si="57"/>
        <v>0</v>
      </c>
      <c r="I91" s="259">
        <f t="shared" si="58"/>
        <v>0</v>
      </c>
      <c r="J91" s="260">
        <f t="shared" si="59"/>
        <v>0</v>
      </c>
      <c r="K91" s="260">
        <f t="shared" si="60"/>
        <v>0</v>
      </c>
      <c r="L91" s="260">
        <f t="shared" si="61"/>
        <v>0</v>
      </c>
      <c r="M91" s="432">
        <f t="array" ref="M91">MAX((IF(MNU_CODIGO_ALIMENTO_ENTREGA=CONCATENATE($C91,"_","P_"),MNU_GRAMAJE_REQUERIDO_TIPOB,"")))</f>
        <v>100</v>
      </c>
      <c r="N91" s="348">
        <f t="shared" si="62"/>
        <v>48260</v>
      </c>
      <c r="O91" s="348">
        <f t="shared" si="63"/>
        <v>12904</v>
      </c>
      <c r="P91" s="348">
        <f t="shared" si="64"/>
        <v>61164</v>
      </c>
      <c r="Q91" s="349">
        <f t="shared" si="65"/>
        <v>22006560</v>
      </c>
      <c r="R91" s="349">
        <f t="shared" si="66"/>
        <v>5884224</v>
      </c>
      <c r="S91" s="349">
        <f t="shared" si="67"/>
        <v>27890784</v>
      </c>
      <c r="T91" s="353">
        <f t="array" ref="T91">MAX((IF(MNU_CODIGO_ALIMENTO_ENTREGA=CONCATENATE($C91,"_","P_"),MNU_GRAMAJE_REQUERIDO_TIPOC,"")))</f>
        <v>100</v>
      </c>
      <c r="U91" s="259">
        <f t="shared" si="68"/>
        <v>68960</v>
      </c>
      <c r="V91" s="259">
        <f t="shared" si="69"/>
        <v>16120</v>
      </c>
      <c r="W91" s="259">
        <f t="shared" si="70"/>
        <v>85080</v>
      </c>
      <c r="X91" s="260">
        <f t="shared" si="71"/>
        <v>31445760</v>
      </c>
      <c r="Y91" s="260">
        <f t="shared" si="72"/>
        <v>7350720</v>
      </c>
      <c r="Z91" s="260">
        <f t="shared" si="73"/>
        <v>38796480</v>
      </c>
      <c r="AA91" s="258">
        <f t="array" ref="AA91">MAX((IF(MNU_CODIGO_ALIMENTO_ENTREGA=CONCATENATE($C91,"_","P_"),MNU_GRAMAJE_REQUERIDO_TIPOM,"")))</f>
        <v>100</v>
      </c>
      <c r="AB91" s="261">
        <f t="shared" si="74"/>
        <v>0</v>
      </c>
      <c r="AC91" s="261">
        <v>0</v>
      </c>
      <c r="AD91" s="261">
        <f t="shared" si="75"/>
        <v>0</v>
      </c>
      <c r="AE91" s="262">
        <f t="shared" si="76"/>
        <v>0</v>
      </c>
      <c r="AF91" s="262">
        <v>0</v>
      </c>
      <c r="AG91" s="262">
        <f t="shared" si="77"/>
        <v>0</v>
      </c>
      <c r="AH91" s="353">
        <f t="array" ref="AH91">MAX((IF(MNU_CODIGO_ALIMENTO_ENTREGA=CONCATENATE($C91,"_","P_"),MNU_GRAMAJE_REQUERIDO_TIPOH,"")))</f>
        <v>100</v>
      </c>
      <c r="AI91" s="259">
        <f t="shared" si="78"/>
        <v>0</v>
      </c>
      <c r="AJ91" s="259">
        <v>0</v>
      </c>
      <c r="AK91" s="259">
        <f t="shared" si="79"/>
        <v>0</v>
      </c>
      <c r="AL91" s="260">
        <f t="shared" si="80"/>
        <v>0</v>
      </c>
      <c r="AM91" s="260">
        <v>0</v>
      </c>
      <c r="AN91" s="260">
        <f t="shared" si="81"/>
        <v>0</v>
      </c>
      <c r="AO91" s="457">
        <f t="shared" si="82"/>
        <v>146244</v>
      </c>
      <c r="AP91" s="456">
        <f t="shared" si="83"/>
        <v>66687264</v>
      </c>
      <c r="AQ91" s="263" t="e">
        <f>#REF!+AH91+AA91+T91+M91</f>
        <v>#REF!</v>
      </c>
      <c r="AR91" s="263">
        <f t="shared" si="42"/>
        <v>66804484</v>
      </c>
      <c r="AS91" s="263" t="e">
        <f t="shared" si="43"/>
        <v>#REF!</v>
      </c>
      <c r="AT91" s="263">
        <f t="shared" si="44"/>
        <v>66950728</v>
      </c>
      <c r="AU91" s="263" t="e">
        <f t="shared" si="45"/>
        <v>#REF!</v>
      </c>
      <c r="AV91" s="263">
        <f t="shared" si="46"/>
        <v>80185672</v>
      </c>
      <c r="AW91" s="263" t="e">
        <f t="shared" si="47"/>
        <v>#REF!</v>
      </c>
      <c r="AX91" s="263" t="e">
        <f>AV91+#REF!+AH91+AA91+T91</f>
        <v>#REF!</v>
      </c>
      <c r="AY91" s="263" t="e">
        <f t="shared" si="48"/>
        <v>#REF!</v>
      </c>
      <c r="AZ91" s="263" t="e">
        <f t="shared" si="49"/>
        <v>#REF!</v>
      </c>
      <c r="BA91" s="263" t="e">
        <f t="shared" si="50"/>
        <v>#REF!</v>
      </c>
      <c r="BB91" s="263" t="e">
        <f t="shared" si="51"/>
        <v>#REF!</v>
      </c>
      <c r="BC91" s="263" t="e">
        <f t="shared" si="52"/>
        <v>#REF!</v>
      </c>
      <c r="BD91" s="263" t="e">
        <f t="shared" si="53"/>
        <v>#REF!</v>
      </c>
      <c r="BE91" s="263" t="e">
        <f>BC91+AV91+#REF!+AH91+AA91</f>
        <v>#REF!</v>
      </c>
      <c r="BF91" s="263" t="e">
        <f t="shared" si="54"/>
        <v>#REF!</v>
      </c>
      <c r="BG91" s="263" t="e">
        <f t="shared" si="55"/>
        <v>#REF!</v>
      </c>
    </row>
    <row r="92" spans="1:59" ht="15.75">
      <c r="A92" s="338">
        <v>7</v>
      </c>
      <c r="B92" s="338" t="s">
        <v>1</v>
      </c>
      <c r="C92" s="258">
        <v>7</v>
      </c>
      <c r="D92" s="328" t="s">
        <v>57</v>
      </c>
      <c r="E92" s="258" t="s">
        <v>9</v>
      </c>
      <c r="F92" s="431">
        <f t="array" ref="F92">MAX((IF(MNU_CODIGO_ALIMENTO_ENTREGA=CONCATENATE($C92,"_","P_"),MNU_GRAMAJE_REQUERIDO_TIPOA,"")))</f>
        <v>100</v>
      </c>
      <c r="G92" s="259">
        <f t="shared" si="56"/>
        <v>119328</v>
      </c>
      <c r="H92" s="259">
        <f t="shared" si="57"/>
        <v>30194</v>
      </c>
      <c r="I92" s="259">
        <f t="shared" si="58"/>
        <v>149522</v>
      </c>
      <c r="J92" s="260">
        <f t="shared" si="59"/>
        <v>13364736</v>
      </c>
      <c r="K92" s="260">
        <f t="shared" si="60"/>
        <v>3381728</v>
      </c>
      <c r="L92" s="260">
        <f t="shared" si="61"/>
        <v>16746464</v>
      </c>
      <c r="M92" s="432">
        <f t="array" ref="M92">MAX((IF(MNU_CODIGO_ALIMENTO_ENTREGA=CONCATENATE($C92,"_","P_"),MNU_GRAMAJE_REQUERIDO_TIPOB,"")))</f>
        <v>100</v>
      </c>
      <c r="N92" s="348">
        <f t="shared" si="62"/>
        <v>72162</v>
      </c>
      <c r="O92" s="348">
        <f t="shared" si="63"/>
        <v>12650</v>
      </c>
      <c r="P92" s="348">
        <f t="shared" si="64"/>
        <v>84812</v>
      </c>
      <c r="Q92" s="349">
        <f t="shared" si="65"/>
        <v>8082144</v>
      </c>
      <c r="R92" s="349">
        <f t="shared" si="66"/>
        <v>1416800</v>
      </c>
      <c r="S92" s="349">
        <f t="shared" si="67"/>
        <v>9498944</v>
      </c>
      <c r="T92" s="353">
        <f t="array" ref="T92">MAX((IF(MNU_CODIGO_ALIMENTO_ENTREGA=CONCATENATE($C92,"_","P_"),MNU_GRAMAJE_REQUERIDO_TIPOC,"")))</f>
        <v>100</v>
      </c>
      <c r="U92" s="259">
        <f t="shared" si="68"/>
        <v>88326</v>
      </c>
      <c r="V92" s="259">
        <f t="shared" si="69"/>
        <v>23287</v>
      </c>
      <c r="W92" s="259">
        <f t="shared" si="70"/>
        <v>111613</v>
      </c>
      <c r="X92" s="260">
        <f t="shared" si="71"/>
        <v>9892512</v>
      </c>
      <c r="Y92" s="260">
        <f t="shared" si="72"/>
        <v>2608144</v>
      </c>
      <c r="Z92" s="260">
        <f t="shared" si="73"/>
        <v>12500656</v>
      </c>
      <c r="AA92" s="258">
        <f t="array" ref="AA92">MAX((IF(MNU_CODIGO_ALIMENTO_ENTREGA=CONCATENATE($C92,"_","P_"),MNU_GRAMAJE_REQUERIDO_TIPOM,"")))</f>
        <v>100</v>
      </c>
      <c r="AB92" s="261">
        <f t="shared" si="74"/>
        <v>1476</v>
      </c>
      <c r="AC92" s="261">
        <v>0</v>
      </c>
      <c r="AD92" s="261">
        <f t="shared" si="75"/>
        <v>1476</v>
      </c>
      <c r="AE92" s="262">
        <f t="shared" si="76"/>
        <v>165312</v>
      </c>
      <c r="AF92" s="262">
        <v>0</v>
      </c>
      <c r="AG92" s="262">
        <f t="shared" si="77"/>
        <v>165312</v>
      </c>
      <c r="AH92" s="353">
        <f t="array" ref="AH92">MAX((IF(MNU_CODIGO_ALIMENTO_ENTREGA=CONCATENATE($C92,"_","P_"),MNU_GRAMAJE_REQUERIDO_TIPOH,"")))</f>
        <v>100</v>
      </c>
      <c r="AI92" s="259">
        <f t="shared" si="78"/>
        <v>1440</v>
      </c>
      <c r="AJ92" s="259">
        <v>0</v>
      </c>
      <c r="AK92" s="259">
        <f t="shared" si="79"/>
        <v>1440</v>
      </c>
      <c r="AL92" s="260">
        <f t="shared" si="80"/>
        <v>161280</v>
      </c>
      <c r="AM92" s="260">
        <v>0</v>
      </c>
      <c r="AN92" s="260">
        <f t="shared" si="81"/>
        <v>161280</v>
      </c>
      <c r="AO92" s="457">
        <f t="shared" si="82"/>
        <v>348863</v>
      </c>
      <c r="AP92" s="456">
        <f t="shared" si="83"/>
        <v>39072656</v>
      </c>
      <c r="AQ92" s="263" t="e">
        <f>#REF!+AH92+AA92+T92+M92</f>
        <v>#REF!</v>
      </c>
      <c r="AR92" s="263">
        <f t="shared" si="42"/>
        <v>39236060</v>
      </c>
      <c r="AS92" s="263" t="e">
        <f t="shared" si="43"/>
        <v>#REF!</v>
      </c>
      <c r="AT92" s="263">
        <f t="shared" si="44"/>
        <v>39435401</v>
      </c>
      <c r="AU92" s="263" t="e">
        <f t="shared" si="45"/>
        <v>#REF!</v>
      </c>
      <c r="AV92" s="263">
        <f t="shared" si="46"/>
        <v>43460345</v>
      </c>
      <c r="AW92" s="263" t="e">
        <f t="shared" si="47"/>
        <v>#REF!</v>
      </c>
      <c r="AX92" s="263" t="e">
        <f>AV92+#REF!+AH92+AA92+T92</f>
        <v>#REF!</v>
      </c>
      <c r="AY92" s="263" t="e">
        <f t="shared" si="48"/>
        <v>#REF!</v>
      </c>
      <c r="AZ92" s="263" t="e">
        <f t="shared" si="49"/>
        <v>#REF!</v>
      </c>
      <c r="BA92" s="263" t="e">
        <f t="shared" si="50"/>
        <v>#REF!</v>
      </c>
      <c r="BB92" s="263" t="e">
        <f t="shared" si="51"/>
        <v>#REF!</v>
      </c>
      <c r="BC92" s="263" t="e">
        <f t="shared" si="52"/>
        <v>#REF!</v>
      </c>
      <c r="BD92" s="263" t="e">
        <f t="shared" si="53"/>
        <v>#REF!</v>
      </c>
      <c r="BE92" s="263" t="e">
        <f>BC92+AV92+#REF!+AH92+AA92</f>
        <v>#REF!</v>
      </c>
      <c r="BF92" s="263" t="e">
        <f t="shared" si="54"/>
        <v>#REF!</v>
      </c>
      <c r="BG92" s="263" t="e">
        <f t="shared" si="55"/>
        <v>#REF!</v>
      </c>
    </row>
    <row r="93" spans="1:59" ht="15.75">
      <c r="A93" s="338">
        <v>7</v>
      </c>
      <c r="B93" s="338" t="s">
        <v>1</v>
      </c>
      <c r="C93" s="258">
        <v>8</v>
      </c>
      <c r="D93" s="328" t="s">
        <v>55</v>
      </c>
      <c r="E93" s="258" t="s">
        <v>9</v>
      </c>
      <c r="F93" s="431">
        <f t="array" ref="F93">MAX((IF(MNU_CODIGO_ALIMENTO_ENTREGA=CONCATENATE($C93,"_","P_"),MNU_GRAMAJE_REQUERIDO_TIPOA,"")))</f>
        <v>100</v>
      </c>
      <c r="G93" s="259">
        <f t="shared" si="56"/>
        <v>54240</v>
      </c>
      <c r="H93" s="259">
        <f t="shared" si="57"/>
        <v>10714</v>
      </c>
      <c r="I93" s="259">
        <f t="shared" si="58"/>
        <v>64954</v>
      </c>
      <c r="J93" s="260">
        <f t="shared" si="59"/>
        <v>7647840</v>
      </c>
      <c r="K93" s="260">
        <f t="shared" si="60"/>
        <v>1510674</v>
      </c>
      <c r="L93" s="260">
        <f t="shared" si="61"/>
        <v>9158514</v>
      </c>
      <c r="M93" s="432">
        <f t="array" ref="M93">MAX((IF(MNU_CODIGO_ALIMENTO_ENTREGA=CONCATENATE($C93,"_","P_"),MNU_GRAMAJE_REQUERIDO_TIPOB,"")))</f>
        <v>100</v>
      </c>
      <c r="N93" s="348">
        <f t="shared" si="62"/>
        <v>64144</v>
      </c>
      <c r="O93" s="348">
        <f t="shared" si="63"/>
        <v>12650</v>
      </c>
      <c r="P93" s="348">
        <f t="shared" si="64"/>
        <v>76794</v>
      </c>
      <c r="Q93" s="349">
        <f t="shared" si="65"/>
        <v>9044304</v>
      </c>
      <c r="R93" s="349">
        <f t="shared" si="66"/>
        <v>1783650</v>
      </c>
      <c r="S93" s="349">
        <f t="shared" si="67"/>
        <v>10827954</v>
      </c>
      <c r="T93" s="353">
        <f t="array" ref="T93">MAX((IF(MNU_CODIGO_ALIMENTO_ENTREGA=CONCATENATE($C93,"_","P_"),MNU_GRAMAJE_REQUERIDO_TIPOC,"")))</f>
        <v>100</v>
      </c>
      <c r="U93" s="259">
        <f t="shared" si="68"/>
        <v>78512</v>
      </c>
      <c r="V93" s="259">
        <f t="shared" si="69"/>
        <v>23287</v>
      </c>
      <c r="W93" s="259">
        <f t="shared" si="70"/>
        <v>101799</v>
      </c>
      <c r="X93" s="260">
        <f t="shared" si="71"/>
        <v>11070192</v>
      </c>
      <c r="Y93" s="260">
        <f t="shared" si="72"/>
        <v>3283467</v>
      </c>
      <c r="Z93" s="260">
        <f t="shared" si="73"/>
        <v>14353659</v>
      </c>
      <c r="AA93" s="258">
        <f t="array" ref="AA93">MAX((IF(MNU_CODIGO_ALIMENTO_ENTREGA=CONCATENATE($C93,"_","P_"),MNU_GRAMAJE_REQUERIDO_TIPOM,"")))</f>
        <v>100</v>
      </c>
      <c r="AB93" s="261">
        <f t="shared" si="74"/>
        <v>1312</v>
      </c>
      <c r="AC93" s="261">
        <v>0</v>
      </c>
      <c r="AD93" s="261">
        <f t="shared" si="75"/>
        <v>1312</v>
      </c>
      <c r="AE93" s="262">
        <f t="shared" si="76"/>
        <v>184992</v>
      </c>
      <c r="AF93" s="262">
        <v>0</v>
      </c>
      <c r="AG93" s="262">
        <f t="shared" si="77"/>
        <v>184992</v>
      </c>
      <c r="AH93" s="353">
        <f t="array" ref="AH93">MAX((IF(MNU_CODIGO_ALIMENTO_ENTREGA=CONCATENATE($C93,"_","P_"),MNU_GRAMAJE_REQUERIDO_TIPOH,"")))</f>
        <v>100</v>
      </c>
      <c r="AI93" s="259">
        <f t="shared" si="78"/>
        <v>1280</v>
      </c>
      <c r="AJ93" s="259">
        <v>0</v>
      </c>
      <c r="AK93" s="259">
        <f t="shared" si="79"/>
        <v>1280</v>
      </c>
      <c r="AL93" s="260">
        <f t="shared" si="80"/>
        <v>180480</v>
      </c>
      <c r="AM93" s="260">
        <v>0</v>
      </c>
      <c r="AN93" s="260">
        <f t="shared" si="81"/>
        <v>180480</v>
      </c>
      <c r="AO93" s="457">
        <f t="shared" si="82"/>
        <v>246139</v>
      </c>
      <c r="AP93" s="456">
        <f t="shared" si="83"/>
        <v>34705599</v>
      </c>
      <c r="AQ93" s="263" t="e">
        <f>#REF!+AH93+AA93+T93+M93</f>
        <v>#REF!</v>
      </c>
      <c r="AR93" s="263">
        <f t="shared" si="42"/>
        <v>34850847</v>
      </c>
      <c r="AS93" s="263" t="e">
        <f t="shared" si="43"/>
        <v>#REF!</v>
      </c>
      <c r="AT93" s="263">
        <f t="shared" si="44"/>
        <v>35032032</v>
      </c>
      <c r="AU93" s="263" t="e">
        <f t="shared" si="45"/>
        <v>#REF!</v>
      </c>
      <c r="AV93" s="263">
        <f t="shared" si="46"/>
        <v>40099149</v>
      </c>
      <c r="AW93" s="263" t="e">
        <f t="shared" si="47"/>
        <v>#REF!</v>
      </c>
      <c r="AX93" s="263" t="e">
        <f>AV93+#REF!+AH93+AA93+T93</f>
        <v>#REF!</v>
      </c>
      <c r="AY93" s="263" t="e">
        <f t="shared" si="48"/>
        <v>#REF!</v>
      </c>
      <c r="AZ93" s="263" t="e">
        <f t="shared" si="49"/>
        <v>#REF!</v>
      </c>
      <c r="BA93" s="263" t="e">
        <f t="shared" si="50"/>
        <v>#REF!</v>
      </c>
      <c r="BB93" s="263" t="e">
        <f t="shared" si="51"/>
        <v>#REF!</v>
      </c>
      <c r="BC93" s="263" t="e">
        <f t="shared" si="52"/>
        <v>#REF!</v>
      </c>
      <c r="BD93" s="263" t="e">
        <f t="shared" si="53"/>
        <v>#REF!</v>
      </c>
      <c r="BE93" s="263" t="e">
        <f>BC93+AV93+#REF!+AH93+AA93</f>
        <v>#REF!</v>
      </c>
      <c r="BF93" s="263" t="e">
        <f t="shared" si="54"/>
        <v>#REF!</v>
      </c>
      <c r="BG93" s="263" t="e">
        <f t="shared" si="55"/>
        <v>#REF!</v>
      </c>
    </row>
    <row r="94" spans="1:59" ht="15.75">
      <c r="A94" s="338">
        <v>7</v>
      </c>
      <c r="B94" s="338" t="s">
        <v>1</v>
      </c>
      <c r="C94" s="258">
        <v>17</v>
      </c>
      <c r="D94" s="328" t="s">
        <v>53</v>
      </c>
      <c r="E94" s="258" t="s">
        <v>9</v>
      </c>
      <c r="F94" s="431">
        <f t="array" ref="F94">MAX((IF(MNU_CODIGO_ALIMENTO_ENTREGA=CONCATENATE($C94,"_","P_"),MNU_GRAMAJE_REQUERIDO_TIPOA,"")))</f>
        <v>0</v>
      </c>
      <c r="G94" s="259">
        <f t="shared" si="56"/>
        <v>0</v>
      </c>
      <c r="H94" s="259">
        <f t="shared" si="57"/>
        <v>0</v>
      </c>
      <c r="I94" s="259">
        <f t="shared" si="58"/>
        <v>0</v>
      </c>
      <c r="J94" s="260">
        <f t="shared" si="59"/>
        <v>0</v>
      </c>
      <c r="K94" s="260">
        <f t="shared" si="60"/>
        <v>0</v>
      </c>
      <c r="L94" s="260">
        <f t="shared" si="61"/>
        <v>0</v>
      </c>
      <c r="M94" s="432">
        <f t="array" ref="M94">MAX((IF(MNU_CODIGO_ALIMENTO_ENTREGA=CONCATENATE($C94,"_","P_"),MNU_GRAMAJE_REQUERIDO_TIPOB,"")))</f>
        <v>100</v>
      </c>
      <c r="N94" s="348">
        <f t="shared" si="62"/>
        <v>168378</v>
      </c>
      <c r="O94" s="348">
        <f t="shared" si="63"/>
        <v>26450</v>
      </c>
      <c r="P94" s="348">
        <f t="shared" si="64"/>
        <v>194828</v>
      </c>
      <c r="Q94" s="349">
        <f t="shared" si="65"/>
        <v>39905586</v>
      </c>
      <c r="R94" s="349">
        <f t="shared" si="66"/>
        <v>6268650</v>
      </c>
      <c r="S94" s="349">
        <f t="shared" si="67"/>
        <v>46174236</v>
      </c>
      <c r="T94" s="353">
        <f t="array" ref="T94">MAX((IF(MNU_CODIGO_ALIMENTO_ENTREGA=CONCATENATE($C94,"_","P_"),MNU_GRAMAJE_REQUERIDO_TIPOC,"")))</f>
        <v>100</v>
      </c>
      <c r="U94" s="259">
        <f t="shared" si="68"/>
        <v>206094</v>
      </c>
      <c r="V94" s="259">
        <f t="shared" si="69"/>
        <v>48691</v>
      </c>
      <c r="W94" s="259">
        <f t="shared" si="70"/>
        <v>254785</v>
      </c>
      <c r="X94" s="260">
        <f t="shared" si="71"/>
        <v>48844278</v>
      </c>
      <c r="Y94" s="260">
        <f t="shared" si="72"/>
        <v>11539767</v>
      </c>
      <c r="Z94" s="260">
        <f t="shared" si="73"/>
        <v>60384045</v>
      </c>
      <c r="AA94" s="258">
        <f t="array" ref="AA94">MAX((IF(MNU_CODIGO_ALIMENTO_ENTREGA=CONCATENATE($C94,"_","P_"),MNU_GRAMAJE_REQUERIDO_TIPOM,"")))</f>
        <v>100</v>
      </c>
      <c r="AB94" s="261">
        <f t="shared" si="74"/>
        <v>3444</v>
      </c>
      <c r="AC94" s="261">
        <v>0</v>
      </c>
      <c r="AD94" s="261">
        <f t="shared" si="75"/>
        <v>3444</v>
      </c>
      <c r="AE94" s="262">
        <f t="shared" si="76"/>
        <v>816228</v>
      </c>
      <c r="AF94" s="262">
        <v>0</v>
      </c>
      <c r="AG94" s="262">
        <f t="shared" si="77"/>
        <v>816228</v>
      </c>
      <c r="AH94" s="353">
        <f t="array" ref="AH94">MAX((IF(MNU_CODIGO_ALIMENTO_ENTREGA=CONCATENATE($C94,"_","P_"),MNU_GRAMAJE_REQUERIDO_TIPOH,"")))</f>
        <v>100</v>
      </c>
      <c r="AI94" s="259">
        <f t="shared" si="78"/>
        <v>3360</v>
      </c>
      <c r="AJ94" s="259">
        <v>0</v>
      </c>
      <c r="AK94" s="259">
        <f t="shared" si="79"/>
        <v>3360</v>
      </c>
      <c r="AL94" s="260">
        <f t="shared" si="80"/>
        <v>796320</v>
      </c>
      <c r="AM94" s="260">
        <v>0</v>
      </c>
      <c r="AN94" s="260">
        <f t="shared" si="81"/>
        <v>796320</v>
      </c>
      <c r="AO94" s="457">
        <f t="shared" si="82"/>
        <v>456417</v>
      </c>
      <c r="AP94" s="456">
        <f t="shared" si="83"/>
        <v>108170829</v>
      </c>
      <c r="AQ94" s="263" t="e">
        <f>#REF!+AH94+AA94+T94+M94</f>
        <v>#REF!</v>
      </c>
      <c r="AR94" s="263">
        <f t="shared" si="42"/>
        <v>108552105</v>
      </c>
      <c r="AS94" s="263" t="e">
        <f t="shared" si="43"/>
        <v>#REF!</v>
      </c>
      <c r="AT94" s="263">
        <f t="shared" si="44"/>
        <v>109008522</v>
      </c>
      <c r="AU94" s="263" t="e">
        <f t="shared" si="45"/>
        <v>#REF!</v>
      </c>
      <c r="AV94" s="263">
        <f t="shared" si="46"/>
        <v>126816939</v>
      </c>
      <c r="AW94" s="263" t="e">
        <f t="shared" si="47"/>
        <v>#REF!</v>
      </c>
      <c r="AX94" s="263" t="e">
        <f>AV94+#REF!+AH94+AA94+T94</f>
        <v>#REF!</v>
      </c>
      <c r="AY94" s="263" t="e">
        <f t="shared" si="48"/>
        <v>#REF!</v>
      </c>
      <c r="AZ94" s="263" t="e">
        <f t="shared" si="49"/>
        <v>#REF!</v>
      </c>
      <c r="BA94" s="263" t="e">
        <f t="shared" si="50"/>
        <v>#REF!</v>
      </c>
      <c r="BB94" s="263" t="e">
        <f t="shared" si="51"/>
        <v>#REF!</v>
      </c>
      <c r="BC94" s="263" t="e">
        <f t="shared" si="52"/>
        <v>#REF!</v>
      </c>
      <c r="BD94" s="263" t="e">
        <f t="shared" si="53"/>
        <v>#REF!</v>
      </c>
      <c r="BE94" s="263" t="e">
        <f>BC94+AV94+#REF!+AH94+AA94</f>
        <v>#REF!</v>
      </c>
      <c r="BF94" s="263" t="e">
        <f t="shared" si="54"/>
        <v>#REF!</v>
      </c>
      <c r="BG94" s="263" t="e">
        <f t="shared" si="55"/>
        <v>#REF!</v>
      </c>
    </row>
    <row r="95" spans="1:59" ht="15.75">
      <c r="A95" s="338">
        <v>7</v>
      </c>
      <c r="B95" s="338" t="s">
        <v>1</v>
      </c>
      <c r="C95" s="258">
        <v>22</v>
      </c>
      <c r="D95" s="328" t="s">
        <v>51</v>
      </c>
      <c r="E95" s="258" t="s">
        <v>9</v>
      </c>
      <c r="F95" s="431">
        <f t="array" ref="F95">MAX((IF(MNU_CODIGO_ALIMENTO_ENTREGA=CONCATENATE($C95,"_","P_"),MNU_GRAMAJE_REQUERIDO_TIPOA,"")))</f>
        <v>0</v>
      </c>
      <c r="G95" s="259">
        <f t="shared" si="56"/>
        <v>0</v>
      </c>
      <c r="H95" s="259">
        <f t="shared" si="57"/>
        <v>0</v>
      </c>
      <c r="I95" s="259">
        <f t="shared" si="58"/>
        <v>0</v>
      </c>
      <c r="J95" s="260">
        <f t="shared" si="59"/>
        <v>0</v>
      </c>
      <c r="K95" s="260">
        <f t="shared" si="60"/>
        <v>0</v>
      </c>
      <c r="L95" s="260">
        <f t="shared" si="61"/>
        <v>0</v>
      </c>
      <c r="M95" s="432">
        <f t="array" ref="M95">MAX((IF(MNU_CODIGO_ALIMENTO_ENTREGA=CONCATENATE($C95,"_","P_"),MNU_GRAMAJE_REQUERIDO_TIPOB,"")))</f>
        <v>100</v>
      </c>
      <c r="N95" s="348">
        <f t="shared" si="62"/>
        <v>160360</v>
      </c>
      <c r="O95" s="348">
        <f t="shared" si="63"/>
        <v>26450</v>
      </c>
      <c r="P95" s="348">
        <f t="shared" si="64"/>
        <v>186810</v>
      </c>
      <c r="Q95" s="349">
        <f t="shared" si="65"/>
        <v>88358360</v>
      </c>
      <c r="R95" s="349">
        <f t="shared" si="66"/>
        <v>14573950</v>
      </c>
      <c r="S95" s="349">
        <f t="shared" si="67"/>
        <v>102932310</v>
      </c>
      <c r="T95" s="353">
        <f t="array" ref="T95">MAX((IF(MNU_CODIGO_ALIMENTO_ENTREGA=CONCATENATE($C95,"_","P_"),MNU_GRAMAJE_REQUERIDO_TIPOC,"")))</f>
        <v>100</v>
      </c>
      <c r="U95" s="259">
        <f t="shared" si="68"/>
        <v>196280</v>
      </c>
      <c r="V95" s="259">
        <f t="shared" si="69"/>
        <v>48691</v>
      </c>
      <c r="W95" s="259">
        <f t="shared" si="70"/>
        <v>244971</v>
      </c>
      <c r="X95" s="260">
        <f t="shared" si="71"/>
        <v>108150280</v>
      </c>
      <c r="Y95" s="260">
        <f t="shared" si="72"/>
        <v>26828741</v>
      </c>
      <c r="Z95" s="260">
        <f t="shared" si="73"/>
        <v>134979021</v>
      </c>
      <c r="AA95" s="258">
        <f t="array" ref="AA95">MAX((IF(MNU_CODIGO_ALIMENTO_ENTREGA=CONCATENATE($C95,"_","P_"),MNU_GRAMAJE_REQUERIDO_TIPOM,"")))</f>
        <v>100</v>
      </c>
      <c r="AB95" s="261">
        <f t="shared" si="74"/>
        <v>3280</v>
      </c>
      <c r="AC95" s="261">
        <v>0</v>
      </c>
      <c r="AD95" s="261">
        <f t="shared" si="75"/>
        <v>3280</v>
      </c>
      <c r="AE95" s="262">
        <f t="shared" si="76"/>
        <v>1807280</v>
      </c>
      <c r="AF95" s="262">
        <v>0</v>
      </c>
      <c r="AG95" s="262">
        <f t="shared" si="77"/>
        <v>1807280</v>
      </c>
      <c r="AH95" s="353">
        <f t="array" ref="AH95">MAX((IF(MNU_CODIGO_ALIMENTO_ENTREGA=CONCATENATE($C95,"_","P_"),MNU_GRAMAJE_REQUERIDO_TIPOH,"")))</f>
        <v>100</v>
      </c>
      <c r="AI95" s="259">
        <f t="shared" si="78"/>
        <v>3200</v>
      </c>
      <c r="AJ95" s="259">
        <v>0</v>
      </c>
      <c r="AK95" s="259">
        <f t="shared" si="79"/>
        <v>3200</v>
      </c>
      <c r="AL95" s="260">
        <f t="shared" si="80"/>
        <v>1763200</v>
      </c>
      <c r="AM95" s="260">
        <v>0</v>
      </c>
      <c r="AN95" s="260">
        <f t="shared" si="81"/>
        <v>1763200</v>
      </c>
      <c r="AO95" s="457">
        <f t="shared" si="82"/>
        <v>438261</v>
      </c>
      <c r="AP95" s="456">
        <f t="shared" si="83"/>
        <v>241481811</v>
      </c>
      <c r="AQ95" s="263" t="e">
        <f>#REF!+AH95+AA95+T95+M95</f>
        <v>#REF!</v>
      </c>
      <c r="AR95" s="263">
        <f t="shared" si="42"/>
        <v>241844931</v>
      </c>
      <c r="AS95" s="263" t="e">
        <f t="shared" si="43"/>
        <v>#REF!</v>
      </c>
      <c r="AT95" s="263">
        <f t="shared" si="44"/>
        <v>242283192</v>
      </c>
      <c r="AU95" s="263" t="e">
        <f t="shared" si="45"/>
        <v>#REF!</v>
      </c>
      <c r="AV95" s="263">
        <f t="shared" si="46"/>
        <v>283685883</v>
      </c>
      <c r="AW95" s="263" t="e">
        <f t="shared" si="47"/>
        <v>#REF!</v>
      </c>
      <c r="AX95" s="263" t="e">
        <f>AV95+#REF!+AH95+AA95+T95</f>
        <v>#REF!</v>
      </c>
      <c r="AY95" s="263" t="e">
        <f t="shared" si="48"/>
        <v>#REF!</v>
      </c>
      <c r="AZ95" s="263" t="e">
        <f t="shared" si="49"/>
        <v>#REF!</v>
      </c>
      <c r="BA95" s="263" t="e">
        <f t="shared" si="50"/>
        <v>#REF!</v>
      </c>
      <c r="BB95" s="263" t="e">
        <f t="shared" si="51"/>
        <v>#REF!</v>
      </c>
      <c r="BC95" s="263" t="e">
        <f t="shared" si="52"/>
        <v>#REF!</v>
      </c>
      <c r="BD95" s="263" t="e">
        <f t="shared" si="53"/>
        <v>#REF!</v>
      </c>
      <c r="BE95" s="263" t="e">
        <f>BC95+AV95+#REF!+AH95+AA95</f>
        <v>#REF!</v>
      </c>
      <c r="BF95" s="263" t="e">
        <f t="shared" si="54"/>
        <v>#REF!</v>
      </c>
      <c r="BG95" s="263" t="e">
        <f t="shared" si="55"/>
        <v>#REF!</v>
      </c>
    </row>
    <row r="96" spans="1:59" ht="15.75">
      <c r="A96" s="338">
        <v>7</v>
      </c>
      <c r="B96" s="338" t="s">
        <v>1</v>
      </c>
      <c r="C96" s="258">
        <v>33</v>
      </c>
      <c r="D96" s="328" t="s">
        <v>59</v>
      </c>
      <c r="E96" s="258" t="s">
        <v>48</v>
      </c>
      <c r="F96" s="431">
        <v>1</v>
      </c>
      <c r="G96" s="259">
        <f t="shared" si="56"/>
        <v>146448</v>
      </c>
      <c r="H96" s="259">
        <f t="shared" si="57"/>
        <v>28246</v>
      </c>
      <c r="I96" s="259">
        <f t="shared" si="58"/>
        <v>174694</v>
      </c>
      <c r="J96" s="260">
        <f t="shared" si="59"/>
        <v>41444784</v>
      </c>
      <c r="K96" s="260">
        <f t="shared" si="60"/>
        <v>7993618</v>
      </c>
      <c r="L96" s="260">
        <f t="shared" si="61"/>
        <v>49438402</v>
      </c>
      <c r="M96" s="432">
        <v>1</v>
      </c>
      <c r="N96" s="348">
        <f t="shared" si="62"/>
        <v>144324</v>
      </c>
      <c r="O96" s="348">
        <f t="shared" si="63"/>
        <v>26450</v>
      </c>
      <c r="P96" s="348">
        <f t="shared" si="64"/>
        <v>170774</v>
      </c>
      <c r="Q96" s="349">
        <f t="shared" si="65"/>
        <v>40843692</v>
      </c>
      <c r="R96" s="349">
        <f t="shared" si="66"/>
        <v>7485350</v>
      </c>
      <c r="S96" s="349">
        <f t="shared" si="67"/>
        <v>48329042</v>
      </c>
      <c r="T96" s="431">
        <v>1</v>
      </c>
      <c r="U96" s="259">
        <f t="shared" si="68"/>
        <v>176652</v>
      </c>
      <c r="V96" s="259">
        <f t="shared" si="69"/>
        <v>48691</v>
      </c>
      <c r="W96" s="259">
        <f t="shared" si="70"/>
        <v>225343</v>
      </c>
      <c r="X96" s="260">
        <f t="shared" si="71"/>
        <v>49992516</v>
      </c>
      <c r="Y96" s="260">
        <f t="shared" si="72"/>
        <v>13779553</v>
      </c>
      <c r="Z96" s="260">
        <f t="shared" si="73"/>
        <v>63772069</v>
      </c>
      <c r="AA96" s="258">
        <v>1</v>
      </c>
      <c r="AB96" s="261">
        <f t="shared" si="74"/>
        <v>2952</v>
      </c>
      <c r="AC96" s="261">
        <v>0</v>
      </c>
      <c r="AD96" s="261">
        <f t="shared" si="75"/>
        <v>2952</v>
      </c>
      <c r="AE96" s="262">
        <f t="shared" si="76"/>
        <v>835416</v>
      </c>
      <c r="AF96" s="262">
        <v>0</v>
      </c>
      <c r="AG96" s="262">
        <f t="shared" si="77"/>
        <v>835416</v>
      </c>
      <c r="AH96" s="353">
        <v>1</v>
      </c>
      <c r="AI96" s="259">
        <f t="shared" si="78"/>
        <v>2880</v>
      </c>
      <c r="AJ96" s="259">
        <v>0</v>
      </c>
      <c r="AK96" s="259">
        <f t="shared" si="79"/>
        <v>2880</v>
      </c>
      <c r="AL96" s="260">
        <f t="shared" si="80"/>
        <v>815040</v>
      </c>
      <c r="AM96" s="260">
        <v>0</v>
      </c>
      <c r="AN96" s="260">
        <f t="shared" si="81"/>
        <v>815040</v>
      </c>
      <c r="AO96" s="457">
        <f t="shared" si="82"/>
        <v>576643</v>
      </c>
      <c r="AP96" s="456">
        <f t="shared" si="83"/>
        <v>163189969</v>
      </c>
      <c r="AQ96" s="263" t="e">
        <f>#REF!+AH96+AA96+T96+M96</f>
        <v>#REF!</v>
      </c>
      <c r="AR96" s="263">
        <f t="shared" si="42"/>
        <v>163516777</v>
      </c>
      <c r="AS96" s="263" t="e">
        <f t="shared" si="43"/>
        <v>#REF!</v>
      </c>
      <c r="AT96" s="263">
        <f t="shared" si="44"/>
        <v>163918726</v>
      </c>
      <c r="AU96" s="263" t="e">
        <f t="shared" si="45"/>
        <v>#REF!</v>
      </c>
      <c r="AV96" s="263">
        <f t="shared" si="46"/>
        <v>185183629</v>
      </c>
      <c r="AW96" s="263" t="e">
        <f t="shared" si="47"/>
        <v>#REF!</v>
      </c>
      <c r="AX96" s="263" t="e">
        <f>AV96+#REF!+AH96+AA96+T96</f>
        <v>#REF!</v>
      </c>
      <c r="AY96" s="263" t="e">
        <f t="shared" si="48"/>
        <v>#REF!</v>
      </c>
      <c r="AZ96" s="263" t="e">
        <f t="shared" si="49"/>
        <v>#REF!</v>
      </c>
      <c r="BA96" s="263" t="e">
        <f t="shared" si="50"/>
        <v>#REF!</v>
      </c>
      <c r="BB96" s="263" t="e">
        <f t="shared" si="51"/>
        <v>#REF!</v>
      </c>
      <c r="BC96" s="263" t="e">
        <f t="shared" si="52"/>
        <v>#REF!</v>
      </c>
      <c r="BD96" s="263" t="e">
        <f t="shared" si="53"/>
        <v>#REF!</v>
      </c>
      <c r="BE96" s="263" t="e">
        <f>BC96+AV96+#REF!+AH96+AA96</f>
        <v>#REF!</v>
      </c>
      <c r="BF96" s="263" t="e">
        <f t="shared" si="54"/>
        <v>#REF!</v>
      </c>
      <c r="BG96" s="263" t="e">
        <f t="shared" si="55"/>
        <v>#REF!</v>
      </c>
    </row>
    <row r="97" spans="1:59" ht="15.75">
      <c r="A97" s="338">
        <v>7</v>
      </c>
      <c r="B97" s="338" t="s">
        <v>1</v>
      </c>
      <c r="C97" s="258">
        <v>36</v>
      </c>
      <c r="D97" s="328" t="s">
        <v>1340</v>
      </c>
      <c r="E97" s="258" t="s">
        <v>9</v>
      </c>
      <c r="F97" s="431">
        <f t="array" ref="F97">MAX((IF(MNU_CODIGO_ALIMENTO_ENTREGA=CONCATENATE($C97,"_","P_"),MNU_GRAMAJE_REQUERIDO_TIPOA,"")))</f>
        <v>20</v>
      </c>
      <c r="G97" s="259">
        <f t="shared" si="56"/>
        <v>37968</v>
      </c>
      <c r="H97" s="259">
        <f t="shared" si="57"/>
        <v>7792</v>
      </c>
      <c r="I97" s="259">
        <f t="shared" si="58"/>
        <v>45760</v>
      </c>
      <c r="J97" s="260">
        <f t="shared" si="59"/>
        <v>5011776</v>
      </c>
      <c r="K97" s="260">
        <f t="shared" si="60"/>
        <v>1028544</v>
      </c>
      <c r="L97" s="260">
        <f t="shared" si="61"/>
        <v>6040320</v>
      </c>
      <c r="M97" s="432">
        <f t="array" ref="M97">MAX((IF(MNU_CODIGO_ALIMENTO_ENTREGA=CONCATENATE($C97,"_","P_"),MNU_GRAMAJE_REQUERIDO_TIPOB,"")))</f>
        <v>40</v>
      </c>
      <c r="N97" s="348">
        <f t="shared" si="62"/>
        <v>56126</v>
      </c>
      <c r="O97" s="348">
        <f t="shared" si="63"/>
        <v>9200</v>
      </c>
      <c r="P97" s="348">
        <f t="shared" si="64"/>
        <v>65326</v>
      </c>
      <c r="Q97" s="349">
        <f t="shared" si="65"/>
        <v>14873390</v>
      </c>
      <c r="R97" s="349">
        <f t="shared" si="66"/>
        <v>2438000</v>
      </c>
      <c r="S97" s="349">
        <f t="shared" si="67"/>
        <v>17311390</v>
      </c>
      <c r="T97" s="353">
        <f t="array" ref="T97">MAX((IF(MNU_CODIGO_ALIMENTO_ENTREGA=CONCATENATE($C97,"_","P_"),MNU_GRAMAJE_REQUERIDO_TIPOC,"")))</f>
        <v>40</v>
      </c>
      <c r="U97" s="259">
        <f t="shared" si="68"/>
        <v>68698</v>
      </c>
      <c r="V97" s="259">
        <f t="shared" si="69"/>
        <v>16936</v>
      </c>
      <c r="W97" s="259">
        <f t="shared" si="70"/>
        <v>85634</v>
      </c>
      <c r="X97" s="260">
        <f t="shared" si="71"/>
        <v>18204970</v>
      </c>
      <c r="Y97" s="260">
        <f t="shared" si="72"/>
        <v>4488040</v>
      </c>
      <c r="Z97" s="260">
        <f t="shared" si="73"/>
        <v>22693010</v>
      </c>
      <c r="AA97" s="258">
        <f t="array" ref="AA97">MAX((IF(MNU_CODIGO_ALIMENTO_ENTREGA=CONCATENATE($C97,"_","P_"),MNU_GRAMAJE_REQUERIDO_TIPOM,"")))</f>
        <v>40</v>
      </c>
      <c r="AB97" s="261">
        <f t="shared" si="74"/>
        <v>1148</v>
      </c>
      <c r="AC97" s="261">
        <v>0</v>
      </c>
      <c r="AD97" s="261">
        <f t="shared" si="75"/>
        <v>1148</v>
      </c>
      <c r="AE97" s="262">
        <f t="shared" si="76"/>
        <v>304220</v>
      </c>
      <c r="AF97" s="262">
        <v>0</v>
      </c>
      <c r="AG97" s="262">
        <f t="shared" si="77"/>
        <v>304220</v>
      </c>
      <c r="AH97" s="353">
        <f t="array" ref="AH97">MAX((IF(MNU_CODIGO_ALIMENTO_ENTREGA=CONCATENATE($C97,"_","P_"),MNU_GRAMAJE_REQUERIDO_TIPOH,"")))</f>
        <v>40</v>
      </c>
      <c r="AI97" s="259">
        <f t="shared" si="78"/>
        <v>1120</v>
      </c>
      <c r="AJ97" s="259">
        <v>0</v>
      </c>
      <c r="AK97" s="259">
        <f t="shared" si="79"/>
        <v>1120</v>
      </c>
      <c r="AL97" s="260">
        <f t="shared" si="80"/>
        <v>296800</v>
      </c>
      <c r="AM97" s="260">
        <v>0</v>
      </c>
      <c r="AN97" s="260">
        <f t="shared" si="81"/>
        <v>296800</v>
      </c>
      <c r="AO97" s="457">
        <f t="shared" si="82"/>
        <v>198988</v>
      </c>
      <c r="AP97" s="456">
        <f t="shared" si="83"/>
        <v>46645740</v>
      </c>
      <c r="AQ97" s="263" t="e">
        <f>#REF!+AH97+AA97+T97+M97</f>
        <v>#REF!</v>
      </c>
      <c r="AR97" s="263">
        <f t="shared" si="42"/>
        <v>46772832</v>
      </c>
      <c r="AS97" s="263" t="e">
        <f t="shared" si="43"/>
        <v>#REF!</v>
      </c>
      <c r="AT97" s="263">
        <f t="shared" si="44"/>
        <v>46926060</v>
      </c>
      <c r="AU97" s="263" t="e">
        <f t="shared" si="45"/>
        <v>#REF!</v>
      </c>
      <c r="AV97" s="263">
        <f t="shared" si="46"/>
        <v>53852100</v>
      </c>
      <c r="AW97" s="263" t="e">
        <f t="shared" si="47"/>
        <v>#REF!</v>
      </c>
      <c r="AX97" s="263" t="e">
        <f>AV97+#REF!+AH97+AA97+T97</f>
        <v>#REF!</v>
      </c>
      <c r="AY97" s="263" t="e">
        <f t="shared" si="48"/>
        <v>#REF!</v>
      </c>
      <c r="AZ97" s="263" t="e">
        <f t="shared" si="49"/>
        <v>#REF!</v>
      </c>
      <c r="BA97" s="263" t="e">
        <f t="shared" si="50"/>
        <v>#REF!</v>
      </c>
      <c r="BB97" s="263" t="e">
        <f t="shared" si="51"/>
        <v>#REF!</v>
      </c>
      <c r="BC97" s="263" t="e">
        <f t="shared" si="52"/>
        <v>#REF!</v>
      </c>
      <c r="BD97" s="263" t="e">
        <f t="shared" si="53"/>
        <v>#REF!</v>
      </c>
      <c r="BE97" s="263" t="e">
        <f>BC97+AV97+#REF!+AH97+AA97</f>
        <v>#REF!</v>
      </c>
      <c r="BF97" s="263" t="e">
        <f t="shared" si="54"/>
        <v>#REF!</v>
      </c>
      <c r="BG97" s="263" t="e">
        <f t="shared" si="55"/>
        <v>#REF!</v>
      </c>
    </row>
    <row r="98" spans="1:59" ht="15.75">
      <c r="A98" s="338">
        <v>7</v>
      </c>
      <c r="B98" s="338" t="s">
        <v>1</v>
      </c>
      <c r="C98" s="258">
        <v>42</v>
      </c>
      <c r="D98" s="328" t="s">
        <v>61</v>
      </c>
      <c r="E98" s="258" t="s">
        <v>9</v>
      </c>
      <c r="F98" s="431">
        <f t="array" ref="F98">MAX((IF(MNU_CODIGO_ALIMENTO_ENTREGA=CONCATENATE($C98,"_","P_"),MNU_GRAMAJE_REQUERIDO_TIPOA,"")))</f>
        <v>100</v>
      </c>
      <c r="G98" s="259">
        <f t="shared" si="56"/>
        <v>124752</v>
      </c>
      <c r="H98" s="259">
        <f t="shared" si="57"/>
        <v>35064</v>
      </c>
      <c r="I98" s="259">
        <f t="shared" si="58"/>
        <v>159816</v>
      </c>
      <c r="J98" s="260">
        <f t="shared" si="59"/>
        <v>25449408</v>
      </c>
      <c r="K98" s="260">
        <f t="shared" si="60"/>
        <v>7153056</v>
      </c>
      <c r="L98" s="260">
        <f t="shared" si="61"/>
        <v>32602464</v>
      </c>
      <c r="M98" s="432">
        <f t="array" ref="M98">MAX((IF(MNU_CODIGO_ALIMENTO_ENTREGA=CONCATENATE($C98,"_","P_"),MNU_GRAMAJE_REQUERIDO_TIPOB,"")))</f>
        <v>100</v>
      </c>
      <c r="N98" s="348">
        <f t="shared" si="62"/>
        <v>152342</v>
      </c>
      <c r="O98" s="348">
        <f t="shared" si="63"/>
        <v>21850</v>
      </c>
      <c r="P98" s="348">
        <f t="shared" si="64"/>
        <v>174192</v>
      </c>
      <c r="Q98" s="349">
        <f t="shared" si="65"/>
        <v>31077768</v>
      </c>
      <c r="R98" s="349">
        <f t="shared" si="66"/>
        <v>4457400</v>
      </c>
      <c r="S98" s="349">
        <f t="shared" si="67"/>
        <v>35535168</v>
      </c>
      <c r="T98" s="353">
        <f t="array" ref="T98">MAX((IF(MNU_CODIGO_ALIMENTO_ENTREGA=CONCATENATE($C98,"_","P_"),MNU_GRAMAJE_REQUERIDO_TIPOC,"")))</f>
        <v>100</v>
      </c>
      <c r="U98" s="259">
        <f t="shared" si="68"/>
        <v>186466</v>
      </c>
      <c r="V98" s="259">
        <f t="shared" si="69"/>
        <v>40223</v>
      </c>
      <c r="W98" s="259">
        <f t="shared" si="70"/>
        <v>226689</v>
      </c>
      <c r="X98" s="260">
        <f t="shared" si="71"/>
        <v>38039064</v>
      </c>
      <c r="Y98" s="260">
        <f t="shared" si="72"/>
        <v>8205492</v>
      </c>
      <c r="Z98" s="260">
        <f t="shared" si="73"/>
        <v>46244556</v>
      </c>
      <c r="AA98" s="258">
        <f t="array" ref="AA98">MAX((IF(MNU_CODIGO_ALIMENTO_ENTREGA=CONCATENATE($C98,"_","P_"),MNU_GRAMAJE_REQUERIDO_TIPOM,"")))</f>
        <v>100</v>
      </c>
      <c r="AB98" s="261">
        <f t="shared" si="74"/>
        <v>3116</v>
      </c>
      <c r="AC98" s="261">
        <v>0</v>
      </c>
      <c r="AD98" s="261">
        <f t="shared" si="75"/>
        <v>3116</v>
      </c>
      <c r="AE98" s="262">
        <f t="shared" si="76"/>
        <v>635664</v>
      </c>
      <c r="AF98" s="262">
        <v>0</v>
      </c>
      <c r="AG98" s="262">
        <f t="shared" si="77"/>
        <v>635664</v>
      </c>
      <c r="AH98" s="353">
        <f t="array" ref="AH98">MAX((IF(MNU_CODIGO_ALIMENTO_ENTREGA=CONCATENATE($C98,"_","P_"),MNU_GRAMAJE_REQUERIDO_TIPOH,"")))</f>
        <v>100</v>
      </c>
      <c r="AI98" s="259">
        <f t="shared" si="78"/>
        <v>3040</v>
      </c>
      <c r="AJ98" s="259">
        <v>0</v>
      </c>
      <c r="AK98" s="259">
        <f t="shared" si="79"/>
        <v>3040</v>
      </c>
      <c r="AL98" s="260">
        <f t="shared" si="80"/>
        <v>620160</v>
      </c>
      <c r="AM98" s="260">
        <v>0</v>
      </c>
      <c r="AN98" s="260">
        <f t="shared" si="81"/>
        <v>620160</v>
      </c>
      <c r="AO98" s="457">
        <f t="shared" si="82"/>
        <v>566853</v>
      </c>
      <c r="AP98" s="456">
        <f t="shared" si="83"/>
        <v>115638012</v>
      </c>
      <c r="AQ98" s="263" t="e">
        <f>#REF!+AH98+AA98+T98+M98</f>
        <v>#REF!</v>
      </c>
      <c r="AR98" s="263">
        <f t="shared" si="42"/>
        <v>115982976</v>
      </c>
      <c r="AS98" s="263" t="e">
        <f t="shared" si="43"/>
        <v>#REF!</v>
      </c>
      <c r="AT98" s="263">
        <f t="shared" si="44"/>
        <v>116390013</v>
      </c>
      <c r="AU98" s="263" t="e">
        <f t="shared" si="45"/>
        <v>#REF!</v>
      </c>
      <c r="AV98" s="263">
        <f t="shared" si="46"/>
        <v>129052905</v>
      </c>
      <c r="AW98" s="263" t="e">
        <f t="shared" si="47"/>
        <v>#REF!</v>
      </c>
      <c r="AX98" s="263" t="e">
        <f>AV98+#REF!+AH98+AA98+T98</f>
        <v>#REF!</v>
      </c>
      <c r="AY98" s="263" t="e">
        <f t="shared" si="48"/>
        <v>#REF!</v>
      </c>
      <c r="AZ98" s="263" t="e">
        <f t="shared" si="49"/>
        <v>#REF!</v>
      </c>
      <c r="BA98" s="263" t="e">
        <f t="shared" si="50"/>
        <v>#REF!</v>
      </c>
      <c r="BB98" s="263" t="e">
        <f t="shared" si="51"/>
        <v>#REF!</v>
      </c>
      <c r="BC98" s="263" t="e">
        <f t="shared" si="52"/>
        <v>#REF!</v>
      </c>
      <c r="BD98" s="263" t="e">
        <f t="shared" si="53"/>
        <v>#REF!</v>
      </c>
      <c r="BE98" s="263" t="e">
        <f>BC98+AV98+#REF!+AH98+AA98</f>
        <v>#REF!</v>
      </c>
      <c r="BF98" s="263" t="e">
        <f t="shared" si="54"/>
        <v>#REF!</v>
      </c>
      <c r="BG98" s="263" t="e">
        <f t="shared" si="55"/>
        <v>#REF!</v>
      </c>
    </row>
    <row r="99" spans="1:59" ht="15.75">
      <c r="A99" s="338">
        <v>7</v>
      </c>
      <c r="B99" s="338" t="s">
        <v>1</v>
      </c>
      <c r="C99" s="258">
        <v>43</v>
      </c>
      <c r="D99" s="328" t="s">
        <v>62</v>
      </c>
      <c r="E99" s="258" t="s">
        <v>9</v>
      </c>
      <c r="F99" s="431">
        <f t="array" ref="F99">MAX((IF(MNU_CODIGO_ALIMENTO_ENTREGA=CONCATENATE($C99,"_","P_"),MNU_GRAMAJE_REQUERIDO_TIPOA,"")))</f>
        <v>100</v>
      </c>
      <c r="G99" s="259">
        <f t="shared" si="56"/>
        <v>130176</v>
      </c>
      <c r="H99" s="259">
        <f t="shared" si="57"/>
        <v>28246</v>
      </c>
      <c r="I99" s="259">
        <f t="shared" si="58"/>
        <v>158422</v>
      </c>
      <c r="J99" s="260">
        <f t="shared" si="59"/>
        <v>23171328</v>
      </c>
      <c r="K99" s="260">
        <f t="shared" si="60"/>
        <v>5027788</v>
      </c>
      <c r="L99" s="260">
        <f t="shared" si="61"/>
        <v>28199116</v>
      </c>
      <c r="M99" s="432">
        <f t="array" ref="M99">MAX((IF(MNU_CODIGO_ALIMENTO_ENTREGA=CONCATENATE($C99,"_","P_"),MNU_GRAMAJE_REQUERIDO_TIPOB,"")))</f>
        <v>100</v>
      </c>
      <c r="N99" s="348">
        <f t="shared" si="62"/>
        <v>136306</v>
      </c>
      <c r="O99" s="348">
        <f t="shared" si="63"/>
        <v>26450</v>
      </c>
      <c r="P99" s="348">
        <f t="shared" si="64"/>
        <v>162756</v>
      </c>
      <c r="Q99" s="349">
        <f t="shared" si="65"/>
        <v>24262468</v>
      </c>
      <c r="R99" s="349">
        <f t="shared" si="66"/>
        <v>4708100</v>
      </c>
      <c r="S99" s="349">
        <f t="shared" si="67"/>
        <v>28970568</v>
      </c>
      <c r="T99" s="353">
        <f t="array" ref="T99">MAX((IF(MNU_CODIGO_ALIMENTO_ENTREGA=CONCATENATE($C99,"_","P_"),MNU_GRAMAJE_REQUERIDO_TIPOC,"")))</f>
        <v>100</v>
      </c>
      <c r="U99" s="259">
        <f t="shared" si="68"/>
        <v>166838</v>
      </c>
      <c r="V99" s="259">
        <f t="shared" si="69"/>
        <v>48691</v>
      </c>
      <c r="W99" s="259">
        <f t="shared" si="70"/>
        <v>215529</v>
      </c>
      <c r="X99" s="260">
        <f t="shared" si="71"/>
        <v>29697164</v>
      </c>
      <c r="Y99" s="260">
        <f t="shared" si="72"/>
        <v>8666998</v>
      </c>
      <c r="Z99" s="260">
        <f t="shared" si="73"/>
        <v>38364162</v>
      </c>
      <c r="AA99" s="258">
        <f t="array" ref="AA99">MAX((IF(MNU_CODIGO_ALIMENTO_ENTREGA=CONCATENATE($C99,"_","P_"),MNU_GRAMAJE_REQUERIDO_TIPOM,"")))</f>
        <v>100</v>
      </c>
      <c r="AB99" s="261">
        <f t="shared" si="74"/>
        <v>2788</v>
      </c>
      <c r="AC99" s="261">
        <v>0</v>
      </c>
      <c r="AD99" s="261">
        <f t="shared" si="75"/>
        <v>2788</v>
      </c>
      <c r="AE99" s="262">
        <f t="shared" si="76"/>
        <v>496264</v>
      </c>
      <c r="AF99" s="262">
        <v>0</v>
      </c>
      <c r="AG99" s="262">
        <f t="shared" si="77"/>
        <v>496264</v>
      </c>
      <c r="AH99" s="353">
        <f t="array" ref="AH99">MAX((IF(MNU_CODIGO_ALIMENTO_ENTREGA=CONCATENATE($C99,"_","P_"),MNU_GRAMAJE_REQUERIDO_TIPOH,"")))</f>
        <v>100</v>
      </c>
      <c r="AI99" s="259">
        <f t="shared" si="78"/>
        <v>2720</v>
      </c>
      <c r="AJ99" s="259">
        <v>0</v>
      </c>
      <c r="AK99" s="259">
        <f t="shared" si="79"/>
        <v>2720</v>
      </c>
      <c r="AL99" s="260">
        <f t="shared" si="80"/>
        <v>484160</v>
      </c>
      <c r="AM99" s="260">
        <v>0</v>
      </c>
      <c r="AN99" s="260">
        <f t="shared" si="81"/>
        <v>484160</v>
      </c>
      <c r="AO99" s="457">
        <f t="shared" si="82"/>
        <v>542215</v>
      </c>
      <c r="AP99" s="456">
        <f t="shared" si="83"/>
        <v>96514270</v>
      </c>
      <c r="AQ99" s="263" t="e">
        <f>#REF!+AH99+AA99+T99+M99</f>
        <v>#REF!</v>
      </c>
      <c r="AR99" s="263">
        <f t="shared" si="42"/>
        <v>96822922</v>
      </c>
      <c r="AS99" s="263" t="e">
        <f t="shared" si="43"/>
        <v>#REF!</v>
      </c>
      <c r="AT99" s="263">
        <f t="shared" si="44"/>
        <v>97206715</v>
      </c>
      <c r="AU99" s="263" t="e">
        <f t="shared" si="45"/>
        <v>#REF!</v>
      </c>
      <c r="AV99" s="263">
        <f t="shared" si="46"/>
        <v>110581813</v>
      </c>
      <c r="AW99" s="263" t="e">
        <f t="shared" si="47"/>
        <v>#REF!</v>
      </c>
      <c r="AX99" s="263" t="e">
        <f>AV99+#REF!+AH99+AA99+T99</f>
        <v>#REF!</v>
      </c>
      <c r="AY99" s="263" t="e">
        <f t="shared" si="48"/>
        <v>#REF!</v>
      </c>
      <c r="AZ99" s="263" t="e">
        <f t="shared" si="49"/>
        <v>#REF!</v>
      </c>
      <c r="BA99" s="263" t="e">
        <f t="shared" si="50"/>
        <v>#REF!</v>
      </c>
      <c r="BB99" s="263" t="e">
        <f t="shared" si="51"/>
        <v>#REF!</v>
      </c>
      <c r="BC99" s="263" t="e">
        <f t="shared" si="52"/>
        <v>#REF!</v>
      </c>
      <c r="BD99" s="263" t="e">
        <f t="shared" si="53"/>
        <v>#REF!</v>
      </c>
      <c r="BE99" s="263" t="e">
        <f>BC99+AV99+#REF!+AH99+AA99</f>
        <v>#REF!</v>
      </c>
      <c r="BF99" s="263" t="e">
        <f t="shared" si="54"/>
        <v>#REF!</v>
      </c>
      <c r="BG99" s="263" t="e">
        <f t="shared" si="55"/>
        <v>#REF!</v>
      </c>
    </row>
    <row r="100" spans="1:59" ht="15.75">
      <c r="A100" s="338">
        <v>7</v>
      </c>
      <c r="B100" s="338" t="s">
        <v>1</v>
      </c>
      <c r="C100" s="258">
        <v>46</v>
      </c>
      <c r="D100" s="328" t="s">
        <v>64</v>
      </c>
      <c r="E100" s="258" t="s">
        <v>9</v>
      </c>
      <c r="F100" s="431">
        <f t="array" ref="F100">MAX((IF(MNU_CODIGO_ALIMENTO_ENTREGA=CONCATENATE($C100,"_","P_"),MNU_GRAMAJE_REQUERIDO_TIPOA,"")))</f>
        <v>100</v>
      </c>
      <c r="G100" s="259">
        <f t="shared" si="56"/>
        <v>162720</v>
      </c>
      <c r="H100" s="259">
        <f t="shared" si="57"/>
        <v>28246</v>
      </c>
      <c r="I100" s="259">
        <f t="shared" si="58"/>
        <v>190966</v>
      </c>
      <c r="J100" s="260">
        <f t="shared" si="59"/>
        <v>68016960</v>
      </c>
      <c r="K100" s="260">
        <f t="shared" si="60"/>
        <v>11806828</v>
      </c>
      <c r="L100" s="260">
        <f t="shared" si="61"/>
        <v>79823788</v>
      </c>
      <c r="M100" s="432">
        <f t="array" ref="M100">MAX((IF(MNU_CODIGO_ALIMENTO_ENTREGA=CONCATENATE($C100,"_","P_"),MNU_GRAMAJE_REQUERIDO_TIPOB,"")))</f>
        <v>100</v>
      </c>
      <c r="N100" s="348">
        <f t="shared" si="62"/>
        <v>168378</v>
      </c>
      <c r="O100" s="348">
        <f t="shared" si="63"/>
        <v>27600</v>
      </c>
      <c r="P100" s="348">
        <f t="shared" si="64"/>
        <v>195978</v>
      </c>
      <c r="Q100" s="349">
        <f t="shared" si="65"/>
        <v>70382004</v>
      </c>
      <c r="R100" s="349">
        <f t="shared" si="66"/>
        <v>11536800</v>
      </c>
      <c r="S100" s="349">
        <f t="shared" si="67"/>
        <v>81918804</v>
      </c>
      <c r="T100" s="353">
        <f t="array" ref="T100">MAX((IF(MNU_CODIGO_ALIMENTO_ENTREGA=CONCATENATE($C100,"_","P_"),MNU_GRAMAJE_REQUERIDO_TIPOC,"")))</f>
        <v>100</v>
      </c>
      <c r="U100" s="259">
        <f t="shared" si="68"/>
        <v>206094</v>
      </c>
      <c r="V100" s="259">
        <f t="shared" si="69"/>
        <v>50808</v>
      </c>
      <c r="W100" s="259">
        <f t="shared" si="70"/>
        <v>256902</v>
      </c>
      <c r="X100" s="260">
        <f t="shared" si="71"/>
        <v>86147292</v>
      </c>
      <c r="Y100" s="260">
        <f t="shared" si="72"/>
        <v>21237744</v>
      </c>
      <c r="Z100" s="260">
        <f t="shared" si="73"/>
        <v>107385036</v>
      </c>
      <c r="AA100" s="258">
        <f t="array" ref="AA100">MAX((IF(MNU_CODIGO_ALIMENTO_ENTREGA=CONCATENATE($C100,"_","P_"),MNU_GRAMAJE_REQUERIDO_TIPOM,"")))</f>
        <v>100</v>
      </c>
      <c r="AB100" s="261">
        <f t="shared" si="74"/>
        <v>3444</v>
      </c>
      <c r="AC100" s="261">
        <v>0</v>
      </c>
      <c r="AD100" s="261">
        <f t="shared" si="75"/>
        <v>3444</v>
      </c>
      <c r="AE100" s="262">
        <f t="shared" si="76"/>
        <v>1439592</v>
      </c>
      <c r="AF100" s="262">
        <v>0</v>
      </c>
      <c r="AG100" s="262">
        <f t="shared" si="77"/>
        <v>1439592</v>
      </c>
      <c r="AH100" s="353">
        <f t="array" ref="AH100">MAX((IF(MNU_CODIGO_ALIMENTO_ENTREGA=CONCATENATE($C100,"_","P_"),MNU_GRAMAJE_REQUERIDO_TIPOH,"")))</f>
        <v>100</v>
      </c>
      <c r="AI100" s="259">
        <f t="shared" si="78"/>
        <v>3360</v>
      </c>
      <c r="AJ100" s="259">
        <v>0</v>
      </c>
      <c r="AK100" s="259">
        <f t="shared" si="79"/>
        <v>3360</v>
      </c>
      <c r="AL100" s="260">
        <f t="shared" si="80"/>
        <v>1404480</v>
      </c>
      <c r="AM100" s="260">
        <v>0</v>
      </c>
      <c r="AN100" s="260">
        <f t="shared" si="81"/>
        <v>1404480</v>
      </c>
      <c r="AO100" s="457">
        <f t="shared" si="82"/>
        <v>650650</v>
      </c>
      <c r="AP100" s="456">
        <f t="shared" si="83"/>
        <v>271971700</v>
      </c>
      <c r="AQ100" s="263" t="e">
        <f>#REF!+AH100+AA100+T100+M100</f>
        <v>#REF!</v>
      </c>
      <c r="AR100" s="263">
        <f t="shared" si="42"/>
        <v>272352976</v>
      </c>
      <c r="AS100" s="263" t="e">
        <f t="shared" si="43"/>
        <v>#REF!</v>
      </c>
      <c r="AT100" s="263">
        <f t="shared" si="44"/>
        <v>272812660</v>
      </c>
      <c r="AU100" s="263" t="e">
        <f t="shared" si="45"/>
        <v>#REF!</v>
      </c>
      <c r="AV100" s="263">
        <f t="shared" si="46"/>
        <v>305587204</v>
      </c>
      <c r="AW100" s="263" t="e">
        <f t="shared" si="47"/>
        <v>#REF!</v>
      </c>
      <c r="AX100" s="263" t="e">
        <f>AV100+#REF!+AH100+AA100+T100</f>
        <v>#REF!</v>
      </c>
      <c r="AY100" s="263" t="e">
        <f t="shared" si="48"/>
        <v>#REF!</v>
      </c>
      <c r="AZ100" s="263" t="e">
        <f t="shared" si="49"/>
        <v>#REF!</v>
      </c>
      <c r="BA100" s="263" t="e">
        <f t="shared" si="50"/>
        <v>#REF!</v>
      </c>
      <c r="BB100" s="263" t="e">
        <f t="shared" si="51"/>
        <v>#REF!</v>
      </c>
      <c r="BC100" s="263" t="e">
        <f t="shared" si="52"/>
        <v>#REF!</v>
      </c>
      <c r="BD100" s="263" t="e">
        <f t="shared" si="53"/>
        <v>#REF!</v>
      </c>
      <c r="BE100" s="263" t="e">
        <f>BC100+AV100+#REF!+AH100+AA100</f>
        <v>#REF!</v>
      </c>
      <c r="BF100" s="263" t="e">
        <f t="shared" si="54"/>
        <v>#REF!</v>
      </c>
      <c r="BG100" s="263" t="e">
        <f t="shared" si="55"/>
        <v>#REF!</v>
      </c>
    </row>
    <row r="101" spans="1:59" ht="15.75">
      <c r="A101" s="338">
        <v>7</v>
      </c>
      <c r="B101" s="338" t="s">
        <v>1</v>
      </c>
      <c r="C101" s="258">
        <v>58</v>
      </c>
      <c r="D101" s="328" t="s">
        <v>67</v>
      </c>
      <c r="E101" s="258" t="s">
        <v>9</v>
      </c>
      <c r="F101" s="431">
        <f t="array" ref="F101">MAX((IF(MNU_CODIGO_ALIMENTO_ENTREGA=CONCATENATE($C101,"_","P_"),MNU_GRAMAJE_REQUERIDO_TIPOA,"")))</f>
        <v>100</v>
      </c>
      <c r="G101" s="259">
        <f t="shared" si="56"/>
        <v>130176</v>
      </c>
      <c r="H101" s="259">
        <f t="shared" si="57"/>
        <v>27272</v>
      </c>
      <c r="I101" s="259">
        <f t="shared" si="58"/>
        <v>157448</v>
      </c>
      <c r="J101" s="260">
        <f t="shared" si="59"/>
        <v>21088512</v>
      </c>
      <c r="K101" s="260">
        <f t="shared" si="60"/>
        <v>4418064</v>
      </c>
      <c r="L101" s="260">
        <f t="shared" si="61"/>
        <v>25506576</v>
      </c>
      <c r="M101" s="432">
        <f t="array" ref="M101">MAX((IF(MNU_CODIGO_ALIMENTO_ENTREGA=CONCATENATE($C101,"_","P_"),MNU_GRAMAJE_REQUERIDO_TIPOB,"")))</f>
        <v>100</v>
      </c>
      <c r="N101" s="348">
        <f t="shared" si="62"/>
        <v>184414</v>
      </c>
      <c r="O101" s="348">
        <f t="shared" si="63"/>
        <v>26450</v>
      </c>
      <c r="P101" s="348">
        <f t="shared" si="64"/>
        <v>210864</v>
      </c>
      <c r="Q101" s="349">
        <f t="shared" si="65"/>
        <v>29875068</v>
      </c>
      <c r="R101" s="349">
        <f t="shared" si="66"/>
        <v>4284900</v>
      </c>
      <c r="S101" s="349">
        <f t="shared" si="67"/>
        <v>34159968</v>
      </c>
      <c r="T101" s="353">
        <f t="array" ref="T101">MAX((IF(MNU_CODIGO_ALIMENTO_ENTREGA=CONCATENATE($C101,"_","P_"),MNU_GRAMAJE_REQUERIDO_TIPOC,"")))</f>
        <v>100</v>
      </c>
      <c r="U101" s="259">
        <f t="shared" si="68"/>
        <v>225722</v>
      </c>
      <c r="V101" s="259">
        <f t="shared" si="69"/>
        <v>48691</v>
      </c>
      <c r="W101" s="259">
        <f t="shared" si="70"/>
        <v>274413</v>
      </c>
      <c r="X101" s="260">
        <f t="shared" si="71"/>
        <v>36566964</v>
      </c>
      <c r="Y101" s="260">
        <f t="shared" si="72"/>
        <v>7887942</v>
      </c>
      <c r="Z101" s="260">
        <f t="shared" si="73"/>
        <v>44454906</v>
      </c>
      <c r="AA101" s="258">
        <f t="array" ref="AA101">MAX((IF(MNU_CODIGO_ALIMENTO_ENTREGA=CONCATENATE($C101,"_","P_"),MNU_GRAMAJE_REQUERIDO_TIPOM,"")))</f>
        <v>100</v>
      </c>
      <c r="AB101" s="261">
        <f t="shared" si="74"/>
        <v>3772</v>
      </c>
      <c r="AC101" s="261">
        <v>0</v>
      </c>
      <c r="AD101" s="261">
        <f t="shared" si="75"/>
        <v>3772</v>
      </c>
      <c r="AE101" s="262">
        <f t="shared" si="76"/>
        <v>611064</v>
      </c>
      <c r="AF101" s="262">
        <v>0</v>
      </c>
      <c r="AG101" s="262">
        <f t="shared" si="77"/>
        <v>611064</v>
      </c>
      <c r="AH101" s="353">
        <f t="array" ref="AH101">MAX((IF(MNU_CODIGO_ALIMENTO_ENTREGA=CONCATENATE($C101,"_","P_"),MNU_GRAMAJE_REQUERIDO_TIPOH,"")))</f>
        <v>100</v>
      </c>
      <c r="AI101" s="259">
        <f t="shared" si="78"/>
        <v>3680</v>
      </c>
      <c r="AJ101" s="259">
        <v>0</v>
      </c>
      <c r="AK101" s="259">
        <f t="shared" si="79"/>
        <v>3680</v>
      </c>
      <c r="AL101" s="260">
        <f t="shared" si="80"/>
        <v>596160</v>
      </c>
      <c r="AM101" s="260">
        <v>0</v>
      </c>
      <c r="AN101" s="260">
        <f t="shared" si="81"/>
        <v>596160</v>
      </c>
      <c r="AO101" s="457">
        <f t="shared" si="82"/>
        <v>650177</v>
      </c>
      <c r="AP101" s="456">
        <f t="shared" si="83"/>
        <v>105328674</v>
      </c>
      <c r="AQ101" s="263" t="e">
        <f>#REF!+AH101+AA101+T101+M101</f>
        <v>#REF!</v>
      </c>
      <c r="AR101" s="263">
        <f t="shared" si="42"/>
        <v>105746262</v>
      </c>
      <c r="AS101" s="263" t="e">
        <f t="shared" si="43"/>
        <v>#REF!</v>
      </c>
      <c r="AT101" s="263">
        <f t="shared" si="44"/>
        <v>106238991</v>
      </c>
      <c r="AU101" s="263" t="e">
        <f t="shared" si="45"/>
        <v>#REF!</v>
      </c>
      <c r="AV101" s="263">
        <f t="shared" si="46"/>
        <v>118411833</v>
      </c>
      <c r="AW101" s="263" t="e">
        <f t="shared" si="47"/>
        <v>#REF!</v>
      </c>
      <c r="AX101" s="263" t="e">
        <f>AV101+#REF!+AH101+AA101+T101</f>
        <v>#REF!</v>
      </c>
      <c r="AY101" s="263" t="e">
        <f t="shared" si="48"/>
        <v>#REF!</v>
      </c>
      <c r="AZ101" s="263" t="e">
        <f t="shared" si="49"/>
        <v>#REF!</v>
      </c>
      <c r="BA101" s="263" t="e">
        <f t="shared" si="50"/>
        <v>#REF!</v>
      </c>
      <c r="BB101" s="263" t="e">
        <f t="shared" si="51"/>
        <v>#REF!</v>
      </c>
      <c r="BC101" s="263" t="e">
        <f t="shared" si="52"/>
        <v>#REF!</v>
      </c>
      <c r="BD101" s="263" t="e">
        <f t="shared" si="53"/>
        <v>#REF!</v>
      </c>
      <c r="BE101" s="263" t="e">
        <f>BC101+AV101+#REF!+AH101+AA101</f>
        <v>#REF!</v>
      </c>
      <c r="BF101" s="263" t="e">
        <f t="shared" si="54"/>
        <v>#REF!</v>
      </c>
      <c r="BG101" s="263" t="e">
        <f t="shared" si="55"/>
        <v>#REF!</v>
      </c>
    </row>
    <row r="102" spans="1:59" ht="15.75">
      <c r="A102" s="338">
        <v>7</v>
      </c>
      <c r="B102" s="338" t="s">
        <v>1</v>
      </c>
      <c r="C102" s="258">
        <v>59</v>
      </c>
      <c r="D102" s="328" t="s">
        <v>99</v>
      </c>
      <c r="E102" s="258" t="s">
        <v>9</v>
      </c>
      <c r="F102" s="431">
        <f t="array" ref="F102">MAX((IF(MNU_CODIGO_ALIMENTO_ENTREGA=CONCATENATE($C102,"_","P_"),MNU_GRAMAJE_REQUERIDO_TIPOA,"")))</f>
        <v>0</v>
      </c>
      <c r="G102" s="259">
        <f t="shared" si="56"/>
        <v>0</v>
      </c>
      <c r="H102" s="259">
        <f t="shared" si="57"/>
        <v>0</v>
      </c>
      <c r="I102" s="259">
        <f t="shared" si="58"/>
        <v>0</v>
      </c>
      <c r="J102" s="260">
        <f t="shared" si="59"/>
        <v>0</v>
      </c>
      <c r="K102" s="260">
        <f t="shared" si="60"/>
        <v>0</v>
      </c>
      <c r="L102" s="260">
        <f t="shared" si="61"/>
        <v>0</v>
      </c>
      <c r="M102" s="432">
        <f t="array" ref="M102">MAX((IF(MNU_CODIGO_ALIMENTO_ENTREGA=CONCATENATE($C102,"_","P_"),MNU_GRAMAJE_REQUERIDO_TIPOB,"")))</f>
        <v>100</v>
      </c>
      <c r="N102" s="348">
        <f t="shared" si="62"/>
        <v>64144</v>
      </c>
      <c r="O102" s="348">
        <f t="shared" si="63"/>
        <v>12650</v>
      </c>
      <c r="P102" s="348">
        <f t="shared" si="64"/>
        <v>76794</v>
      </c>
      <c r="Q102" s="349">
        <f t="shared" si="65"/>
        <v>19243200</v>
      </c>
      <c r="R102" s="349">
        <f t="shared" si="66"/>
        <v>3795000</v>
      </c>
      <c r="S102" s="349">
        <f t="shared" si="67"/>
        <v>23038200</v>
      </c>
      <c r="T102" s="353">
        <f t="array" ref="T102">MAX((IF(MNU_CODIGO_ALIMENTO_ENTREGA=CONCATENATE($C102,"_","P_"),MNU_GRAMAJE_REQUERIDO_TIPOC,"")))</f>
        <v>100</v>
      </c>
      <c r="U102" s="259">
        <f t="shared" si="68"/>
        <v>78512</v>
      </c>
      <c r="V102" s="259">
        <f t="shared" si="69"/>
        <v>23287</v>
      </c>
      <c r="W102" s="259">
        <f t="shared" si="70"/>
        <v>101799</v>
      </c>
      <c r="X102" s="260">
        <f t="shared" si="71"/>
        <v>23553600</v>
      </c>
      <c r="Y102" s="260">
        <f t="shared" si="72"/>
        <v>6986100</v>
      </c>
      <c r="Z102" s="260">
        <f t="shared" si="73"/>
        <v>30539700</v>
      </c>
      <c r="AA102" s="258">
        <f t="array" ref="AA102">MAX((IF(MNU_CODIGO_ALIMENTO_ENTREGA=CONCATENATE($C102,"_","P_"),MNU_GRAMAJE_REQUERIDO_TIPOM,"")))</f>
        <v>100</v>
      </c>
      <c r="AB102" s="261">
        <f t="shared" si="74"/>
        <v>1312</v>
      </c>
      <c r="AC102" s="261">
        <v>0</v>
      </c>
      <c r="AD102" s="261">
        <f t="shared" si="75"/>
        <v>1312</v>
      </c>
      <c r="AE102" s="262">
        <f t="shared" si="76"/>
        <v>393600</v>
      </c>
      <c r="AF102" s="262">
        <v>0</v>
      </c>
      <c r="AG102" s="262">
        <f t="shared" si="77"/>
        <v>393600</v>
      </c>
      <c r="AH102" s="353">
        <f t="array" ref="AH102">MAX((IF(MNU_CODIGO_ALIMENTO_ENTREGA=CONCATENATE($C102,"_","P_"),MNU_GRAMAJE_REQUERIDO_TIPOH,"")))</f>
        <v>100</v>
      </c>
      <c r="AI102" s="259">
        <f t="shared" si="78"/>
        <v>1280</v>
      </c>
      <c r="AJ102" s="259">
        <v>0</v>
      </c>
      <c r="AK102" s="259">
        <f t="shared" si="79"/>
        <v>1280</v>
      </c>
      <c r="AL102" s="260">
        <f t="shared" si="80"/>
        <v>384000</v>
      </c>
      <c r="AM102" s="260">
        <v>0</v>
      </c>
      <c r="AN102" s="260">
        <f t="shared" si="81"/>
        <v>384000</v>
      </c>
      <c r="AO102" s="457">
        <f t="shared" si="82"/>
        <v>181185</v>
      </c>
      <c r="AP102" s="456">
        <f t="shared" si="83"/>
        <v>54355500</v>
      </c>
      <c r="AQ102" s="263" t="e">
        <f>#REF!+AH102+AA102+T102+M102</f>
        <v>#REF!</v>
      </c>
      <c r="AR102" s="263">
        <f t="shared" si="42"/>
        <v>54500748</v>
      </c>
      <c r="AS102" s="263" t="e">
        <f t="shared" si="43"/>
        <v>#REF!</v>
      </c>
      <c r="AT102" s="263">
        <f t="shared" si="44"/>
        <v>54681933</v>
      </c>
      <c r="AU102" s="263" t="e">
        <f t="shared" si="45"/>
        <v>#REF!</v>
      </c>
      <c r="AV102" s="263">
        <f t="shared" si="46"/>
        <v>65463033</v>
      </c>
      <c r="AW102" s="263" t="e">
        <f t="shared" si="47"/>
        <v>#REF!</v>
      </c>
      <c r="AX102" s="263" t="e">
        <f>AV102+#REF!+AH102+AA102+T102</f>
        <v>#REF!</v>
      </c>
      <c r="AY102" s="263" t="e">
        <f t="shared" si="48"/>
        <v>#REF!</v>
      </c>
      <c r="AZ102" s="263" t="e">
        <f t="shared" si="49"/>
        <v>#REF!</v>
      </c>
      <c r="BA102" s="263" t="e">
        <f t="shared" si="50"/>
        <v>#REF!</v>
      </c>
      <c r="BB102" s="263" t="e">
        <f t="shared" si="51"/>
        <v>#REF!</v>
      </c>
      <c r="BC102" s="263" t="e">
        <f t="shared" si="52"/>
        <v>#REF!</v>
      </c>
      <c r="BD102" s="263" t="e">
        <f t="shared" si="53"/>
        <v>#REF!</v>
      </c>
      <c r="BE102" s="263" t="e">
        <f>BC102+AV102+#REF!+AH102+AA102</f>
        <v>#REF!</v>
      </c>
      <c r="BF102" s="263" t="e">
        <f t="shared" si="54"/>
        <v>#REF!</v>
      </c>
      <c r="BG102" s="263" t="e">
        <f t="shared" si="55"/>
        <v>#REF!</v>
      </c>
    </row>
    <row r="103" spans="1:59" ht="15.75">
      <c r="A103" s="338">
        <v>7</v>
      </c>
      <c r="B103" s="338" t="s">
        <v>1</v>
      </c>
      <c r="C103" s="258">
        <v>69</v>
      </c>
      <c r="D103" s="328" t="s">
        <v>70</v>
      </c>
      <c r="E103" s="258" t="s">
        <v>9</v>
      </c>
      <c r="F103" s="431">
        <f t="array" ref="F103">MAX((IF(MNU_CODIGO_ALIMENTO_ENTREGA=CONCATENATE($C103,"_","P_"),MNU_GRAMAJE_REQUERIDO_TIPOA,"")))</f>
        <v>100</v>
      </c>
      <c r="G103" s="259">
        <f t="shared" si="56"/>
        <v>162720</v>
      </c>
      <c r="H103" s="259">
        <f t="shared" si="57"/>
        <v>17532</v>
      </c>
      <c r="I103" s="259">
        <f t="shared" si="58"/>
        <v>180252</v>
      </c>
      <c r="J103" s="260">
        <f t="shared" si="59"/>
        <v>52070400</v>
      </c>
      <c r="K103" s="260">
        <f t="shared" si="60"/>
        <v>5610240</v>
      </c>
      <c r="L103" s="260">
        <f t="shared" si="61"/>
        <v>57680640</v>
      </c>
      <c r="M103" s="432">
        <f t="array" ref="M103">MAX((IF(MNU_CODIGO_ALIMENTO_ENTREGA=CONCATENATE($C103,"_","P_"),MNU_GRAMAJE_REQUERIDO_TIPOB,"")))</f>
        <v>100</v>
      </c>
      <c r="N103" s="348">
        <f t="shared" si="62"/>
        <v>128288</v>
      </c>
      <c r="O103" s="348">
        <f t="shared" si="63"/>
        <v>13800</v>
      </c>
      <c r="P103" s="348">
        <f t="shared" si="64"/>
        <v>142088</v>
      </c>
      <c r="Q103" s="349">
        <f t="shared" si="65"/>
        <v>41052160</v>
      </c>
      <c r="R103" s="349">
        <f t="shared" si="66"/>
        <v>4416000</v>
      </c>
      <c r="S103" s="349">
        <f t="shared" si="67"/>
        <v>45468160</v>
      </c>
      <c r="T103" s="353">
        <f t="array" ref="T103">MAX((IF(MNU_CODIGO_ALIMENTO_ENTREGA=CONCATENATE($C103,"_","P_"),MNU_GRAMAJE_REQUERIDO_TIPOC,"")))</f>
        <v>100</v>
      </c>
      <c r="U103" s="259">
        <f t="shared" si="68"/>
        <v>157024</v>
      </c>
      <c r="V103" s="259">
        <f t="shared" si="69"/>
        <v>25404</v>
      </c>
      <c r="W103" s="259">
        <f t="shared" si="70"/>
        <v>182428</v>
      </c>
      <c r="X103" s="260">
        <f t="shared" si="71"/>
        <v>50247680</v>
      </c>
      <c r="Y103" s="260">
        <f t="shared" si="72"/>
        <v>8129280</v>
      </c>
      <c r="Z103" s="260">
        <f t="shared" si="73"/>
        <v>58376960</v>
      </c>
      <c r="AA103" s="258">
        <f t="array" ref="AA103">MAX((IF(MNU_CODIGO_ALIMENTO_ENTREGA=CONCATENATE($C103,"_","P_"),MNU_GRAMAJE_REQUERIDO_TIPOM,"")))</f>
        <v>100</v>
      </c>
      <c r="AB103" s="261">
        <f t="shared" si="74"/>
        <v>2624</v>
      </c>
      <c r="AC103" s="261">
        <v>0</v>
      </c>
      <c r="AD103" s="261">
        <f t="shared" si="75"/>
        <v>2624</v>
      </c>
      <c r="AE103" s="262">
        <f t="shared" si="76"/>
        <v>839680</v>
      </c>
      <c r="AF103" s="262">
        <v>0</v>
      </c>
      <c r="AG103" s="262">
        <f t="shared" si="77"/>
        <v>839680</v>
      </c>
      <c r="AH103" s="353">
        <f t="array" ref="AH103">MAX((IF(MNU_CODIGO_ALIMENTO_ENTREGA=CONCATENATE($C103,"_","P_"),MNU_GRAMAJE_REQUERIDO_TIPOH,"")))</f>
        <v>100</v>
      </c>
      <c r="AI103" s="259">
        <f t="shared" si="78"/>
        <v>2560</v>
      </c>
      <c r="AJ103" s="259">
        <v>0</v>
      </c>
      <c r="AK103" s="259">
        <f t="shared" si="79"/>
        <v>2560</v>
      </c>
      <c r="AL103" s="260">
        <f t="shared" si="80"/>
        <v>819200</v>
      </c>
      <c r="AM103" s="260">
        <v>0</v>
      </c>
      <c r="AN103" s="260">
        <f t="shared" si="81"/>
        <v>819200</v>
      </c>
      <c r="AO103" s="457">
        <f t="shared" si="82"/>
        <v>509952</v>
      </c>
      <c r="AP103" s="456">
        <f t="shared" si="83"/>
        <v>163184640</v>
      </c>
      <c r="AQ103" s="263" t="e">
        <f>#REF!+AH103+AA103+T103+M103</f>
        <v>#REF!</v>
      </c>
      <c r="AR103" s="263">
        <f t="shared" si="42"/>
        <v>163475136</v>
      </c>
      <c r="AS103" s="263" t="e">
        <f t="shared" si="43"/>
        <v>#REF!</v>
      </c>
      <c r="AT103" s="263">
        <f t="shared" si="44"/>
        <v>163804836</v>
      </c>
      <c r="AU103" s="263" t="e">
        <f t="shared" si="45"/>
        <v>#REF!</v>
      </c>
      <c r="AV103" s="263">
        <f t="shared" si="46"/>
        <v>176350116</v>
      </c>
      <c r="AW103" s="263" t="e">
        <f t="shared" si="47"/>
        <v>#REF!</v>
      </c>
      <c r="AX103" s="263" t="e">
        <f>AV103+#REF!+AH103+AA103+T103</f>
        <v>#REF!</v>
      </c>
      <c r="AY103" s="263" t="e">
        <f t="shared" si="48"/>
        <v>#REF!</v>
      </c>
      <c r="AZ103" s="263" t="e">
        <f t="shared" si="49"/>
        <v>#REF!</v>
      </c>
      <c r="BA103" s="263" t="e">
        <f t="shared" si="50"/>
        <v>#REF!</v>
      </c>
      <c r="BB103" s="263" t="e">
        <f t="shared" si="51"/>
        <v>#REF!</v>
      </c>
      <c r="BC103" s="263" t="e">
        <f t="shared" si="52"/>
        <v>#REF!</v>
      </c>
      <c r="BD103" s="263" t="e">
        <f t="shared" si="53"/>
        <v>#REF!</v>
      </c>
      <c r="BE103" s="263" t="e">
        <f>BC103+AV103+#REF!+AH103+AA103</f>
        <v>#REF!</v>
      </c>
      <c r="BF103" s="263" t="e">
        <f t="shared" si="54"/>
        <v>#REF!</v>
      </c>
      <c r="BG103" s="263" t="e">
        <f t="shared" si="55"/>
        <v>#REF!</v>
      </c>
    </row>
    <row r="104" spans="1:59" ht="15.75">
      <c r="A104" s="338">
        <v>7</v>
      </c>
      <c r="B104" s="338" t="s">
        <v>1</v>
      </c>
      <c r="C104" s="258">
        <v>70</v>
      </c>
      <c r="D104" s="328" t="s">
        <v>71</v>
      </c>
      <c r="E104" s="258" t="s">
        <v>9</v>
      </c>
      <c r="F104" s="431">
        <f t="array" ref="F104">MAX((IF(MNU_CODIGO_ALIMENTO_ENTREGA=CONCATENATE($C104,"_","P_"),MNU_GRAMAJE_REQUERIDO_TIPOA,"")))</f>
        <v>0</v>
      </c>
      <c r="G104" s="259">
        <f t="shared" si="56"/>
        <v>0</v>
      </c>
      <c r="H104" s="259">
        <f t="shared" si="57"/>
        <v>0</v>
      </c>
      <c r="I104" s="259">
        <f t="shared" si="58"/>
        <v>0</v>
      </c>
      <c r="J104" s="260">
        <f t="shared" si="59"/>
        <v>0</v>
      </c>
      <c r="K104" s="260">
        <f t="shared" si="60"/>
        <v>0</v>
      </c>
      <c r="L104" s="260">
        <f t="shared" si="61"/>
        <v>0</v>
      </c>
      <c r="M104" s="432">
        <f t="array" ref="M104">MAX((IF(MNU_CODIGO_ALIMENTO_ENTREGA=CONCATENATE($C104,"_","P_"),MNU_GRAMAJE_REQUERIDO_TIPOB,"")))</f>
        <v>100</v>
      </c>
      <c r="N104" s="348">
        <f t="shared" si="62"/>
        <v>80180</v>
      </c>
      <c r="O104" s="348">
        <f t="shared" si="63"/>
        <v>9200</v>
      </c>
      <c r="P104" s="348">
        <f t="shared" si="64"/>
        <v>89380</v>
      </c>
      <c r="Q104" s="349">
        <f t="shared" si="65"/>
        <v>36562080</v>
      </c>
      <c r="R104" s="349">
        <f t="shared" si="66"/>
        <v>4195200</v>
      </c>
      <c r="S104" s="349">
        <f t="shared" si="67"/>
        <v>40757280</v>
      </c>
      <c r="T104" s="353">
        <f t="array" ref="T104">MAX((IF(MNU_CODIGO_ALIMENTO_ENTREGA=CONCATENATE($C104,"_","P_"),MNU_GRAMAJE_REQUERIDO_TIPOC,"")))</f>
        <v>100</v>
      </c>
      <c r="U104" s="259">
        <f t="shared" si="68"/>
        <v>98140</v>
      </c>
      <c r="V104" s="259">
        <f t="shared" si="69"/>
        <v>16936</v>
      </c>
      <c r="W104" s="259">
        <f t="shared" si="70"/>
        <v>115076</v>
      </c>
      <c r="X104" s="260">
        <f t="shared" si="71"/>
        <v>44751840</v>
      </c>
      <c r="Y104" s="260">
        <f t="shared" si="72"/>
        <v>7722816</v>
      </c>
      <c r="Z104" s="260">
        <f t="shared" si="73"/>
        <v>52474656</v>
      </c>
      <c r="AA104" s="258">
        <f t="array" ref="AA104">MAX((IF(MNU_CODIGO_ALIMENTO_ENTREGA=CONCATENATE($C104,"_","P_"),MNU_GRAMAJE_REQUERIDO_TIPOM,"")))</f>
        <v>100</v>
      </c>
      <c r="AB104" s="261">
        <f t="shared" si="74"/>
        <v>1640</v>
      </c>
      <c r="AC104" s="261">
        <v>0</v>
      </c>
      <c r="AD104" s="261">
        <f t="shared" si="75"/>
        <v>1640</v>
      </c>
      <c r="AE104" s="262">
        <f t="shared" si="76"/>
        <v>747840</v>
      </c>
      <c r="AF104" s="262">
        <v>0</v>
      </c>
      <c r="AG104" s="262">
        <f t="shared" si="77"/>
        <v>747840</v>
      </c>
      <c r="AH104" s="353">
        <f t="array" ref="AH104">MAX((IF(MNU_CODIGO_ALIMENTO_ENTREGA=CONCATENATE($C104,"_","P_"),MNU_GRAMAJE_REQUERIDO_TIPOH,"")))</f>
        <v>100</v>
      </c>
      <c r="AI104" s="259">
        <f t="shared" si="78"/>
        <v>1600</v>
      </c>
      <c r="AJ104" s="259">
        <v>0</v>
      </c>
      <c r="AK104" s="259">
        <f t="shared" si="79"/>
        <v>1600</v>
      </c>
      <c r="AL104" s="260">
        <f t="shared" si="80"/>
        <v>729600</v>
      </c>
      <c r="AM104" s="260">
        <v>0</v>
      </c>
      <c r="AN104" s="260">
        <f t="shared" si="81"/>
        <v>729600</v>
      </c>
      <c r="AO104" s="457">
        <f t="shared" si="82"/>
        <v>207696</v>
      </c>
      <c r="AP104" s="456">
        <f t="shared" si="83"/>
        <v>94709376</v>
      </c>
      <c r="AQ104" s="263" t="e">
        <f>#REF!+AH104+AA104+T104+M104</f>
        <v>#REF!</v>
      </c>
      <c r="AR104" s="263">
        <f t="shared" si="42"/>
        <v>94890936</v>
      </c>
      <c r="AS104" s="263" t="e">
        <f t="shared" si="43"/>
        <v>#REF!</v>
      </c>
      <c r="AT104" s="263">
        <f t="shared" si="44"/>
        <v>95098632</v>
      </c>
      <c r="AU104" s="263" t="e">
        <f t="shared" si="45"/>
        <v>#REF!</v>
      </c>
      <c r="AV104" s="263">
        <f t="shared" si="46"/>
        <v>107016648</v>
      </c>
      <c r="AW104" s="263" t="e">
        <f t="shared" si="47"/>
        <v>#REF!</v>
      </c>
      <c r="AX104" s="263" t="e">
        <f>AV104+#REF!+AH104+AA104+T104</f>
        <v>#REF!</v>
      </c>
      <c r="AY104" s="263" t="e">
        <f t="shared" si="48"/>
        <v>#REF!</v>
      </c>
      <c r="AZ104" s="263" t="e">
        <f t="shared" si="49"/>
        <v>#REF!</v>
      </c>
      <c r="BA104" s="263" t="e">
        <f t="shared" si="50"/>
        <v>#REF!</v>
      </c>
      <c r="BB104" s="263" t="e">
        <f t="shared" si="51"/>
        <v>#REF!</v>
      </c>
      <c r="BC104" s="263" t="e">
        <f t="shared" si="52"/>
        <v>#REF!</v>
      </c>
      <c r="BD104" s="263" t="e">
        <f t="shared" si="53"/>
        <v>#REF!</v>
      </c>
      <c r="BE104" s="263" t="e">
        <f>BC104+AV104+#REF!+AH104+AA104</f>
        <v>#REF!</v>
      </c>
      <c r="BF104" s="263" t="e">
        <f t="shared" si="54"/>
        <v>#REF!</v>
      </c>
      <c r="BG104" s="263" t="e">
        <f t="shared" si="55"/>
        <v>#REF!</v>
      </c>
    </row>
    <row r="105" spans="1:59" ht="15.75">
      <c r="A105" s="338">
        <v>8</v>
      </c>
      <c r="B105" s="338" t="s">
        <v>1</v>
      </c>
      <c r="C105" s="258">
        <v>7</v>
      </c>
      <c r="D105" s="328" t="s">
        <v>57</v>
      </c>
      <c r="E105" s="258" t="s">
        <v>9</v>
      </c>
      <c r="F105" s="431">
        <f t="array" ref="F105">MAX((IF(MNU_CODIGO_ALIMENTO_ENTREGA=CONCATENATE($C105,"_","P_"),MNU_GRAMAJE_REQUERIDO_TIPOA,"")))</f>
        <v>100</v>
      </c>
      <c r="G105" s="259">
        <f t="shared" si="56"/>
        <v>85910</v>
      </c>
      <c r="H105" s="259">
        <f t="shared" si="57"/>
        <v>49104</v>
      </c>
      <c r="I105" s="259">
        <f t="shared" si="58"/>
        <v>135014</v>
      </c>
      <c r="J105" s="260">
        <f t="shared" si="59"/>
        <v>9621920</v>
      </c>
      <c r="K105" s="260">
        <f t="shared" si="60"/>
        <v>5499648</v>
      </c>
      <c r="L105" s="260">
        <f t="shared" si="61"/>
        <v>15121568</v>
      </c>
      <c r="M105" s="432">
        <f t="array" ref="M105">MAX((IF(MNU_CODIGO_ALIMENTO_ENTREGA=CONCATENATE($C105,"_","P_"),MNU_GRAMAJE_REQUERIDO_TIPOB,"")))</f>
        <v>100</v>
      </c>
      <c r="N105" s="348">
        <f t="shared" si="62"/>
        <v>48123</v>
      </c>
      <c r="O105" s="348">
        <f t="shared" si="63"/>
        <v>34452</v>
      </c>
      <c r="P105" s="348">
        <f t="shared" si="64"/>
        <v>82575</v>
      </c>
      <c r="Q105" s="349">
        <f t="shared" si="65"/>
        <v>5389776</v>
      </c>
      <c r="R105" s="349">
        <f t="shared" si="66"/>
        <v>3858624</v>
      </c>
      <c r="S105" s="349">
        <f t="shared" si="67"/>
        <v>9248400</v>
      </c>
      <c r="T105" s="353">
        <f t="array" ref="T105">MAX((IF(MNU_CODIGO_ALIMENTO_ENTREGA=CONCATENATE($C105,"_","P_"),MNU_GRAMAJE_REQUERIDO_TIPOC,"")))</f>
        <v>100</v>
      </c>
      <c r="U105" s="259">
        <f t="shared" si="68"/>
        <v>49617</v>
      </c>
      <c r="V105" s="259">
        <f t="shared" si="69"/>
        <v>34980</v>
      </c>
      <c r="W105" s="259">
        <f t="shared" si="70"/>
        <v>84597</v>
      </c>
      <c r="X105" s="260">
        <f t="shared" si="71"/>
        <v>5557104</v>
      </c>
      <c r="Y105" s="260">
        <f t="shared" si="72"/>
        <v>3917760</v>
      </c>
      <c r="Z105" s="260">
        <f t="shared" si="73"/>
        <v>9474864</v>
      </c>
      <c r="AA105" s="258">
        <f t="array" ref="AA105">MAX((IF(MNU_CODIGO_ALIMENTO_ENTREGA=CONCATENATE($C105,"_","P_"),MNU_GRAMAJE_REQUERIDO_TIPOM,"")))</f>
        <v>100</v>
      </c>
      <c r="AB105" s="261">
        <f t="shared" si="74"/>
        <v>2115</v>
      </c>
      <c r="AC105" s="261">
        <v>0</v>
      </c>
      <c r="AD105" s="261">
        <f t="shared" si="75"/>
        <v>2115</v>
      </c>
      <c r="AE105" s="262">
        <f t="shared" si="76"/>
        <v>236880</v>
      </c>
      <c r="AF105" s="262">
        <v>0</v>
      </c>
      <c r="AG105" s="262">
        <f t="shared" si="77"/>
        <v>236880</v>
      </c>
      <c r="AH105" s="353">
        <f t="array" ref="AH105">MAX((IF(MNU_CODIGO_ALIMENTO_ENTREGA=CONCATENATE($C105,"_","P_"),MNU_GRAMAJE_REQUERIDO_TIPOH,"")))</f>
        <v>100</v>
      </c>
      <c r="AI105" s="259">
        <f t="shared" si="78"/>
        <v>2187</v>
      </c>
      <c r="AJ105" s="259">
        <v>0</v>
      </c>
      <c r="AK105" s="259">
        <f t="shared" si="79"/>
        <v>2187</v>
      </c>
      <c r="AL105" s="260">
        <f t="shared" si="80"/>
        <v>244944</v>
      </c>
      <c r="AM105" s="260">
        <v>0</v>
      </c>
      <c r="AN105" s="260">
        <f t="shared" si="81"/>
        <v>244944</v>
      </c>
      <c r="AO105" s="457">
        <f t="shared" si="82"/>
        <v>306488</v>
      </c>
      <c r="AP105" s="456">
        <f t="shared" si="83"/>
        <v>34326656</v>
      </c>
      <c r="AQ105" s="263" t="e">
        <f>#REF!+AH105+AA105+T105+M105</f>
        <v>#REF!</v>
      </c>
      <c r="AR105" s="263">
        <f t="shared" ref="AR105:AR168" si="84">AP105+AI105+AB105+U105+N105</f>
        <v>34428698</v>
      </c>
      <c r="AS105" s="263" t="e">
        <f t="shared" ref="AS105:AS168" si="85">AQ105+AJ105+AC105+V105+O105</f>
        <v>#REF!</v>
      </c>
      <c r="AT105" s="263">
        <f t="shared" ref="AT105:AT168" si="86">AR105+AK105+AD105+W105+P105</f>
        <v>34600172</v>
      </c>
      <c r="AU105" s="263" t="e">
        <f t="shared" ref="AU105:AU168" si="87">AS105+AL105+AE105+X105+Q105</f>
        <v>#REF!</v>
      </c>
      <c r="AV105" s="263">
        <f t="shared" ref="AV105:AV168" si="88">AT105+AM105+AF105+Y105+R105</f>
        <v>42376556</v>
      </c>
      <c r="AW105" s="263" t="e">
        <f t="shared" ref="AW105:AW168" si="89">AU105+AN105+AG105+Z105+S105</f>
        <v>#REF!</v>
      </c>
      <c r="AX105" s="263" t="e">
        <f>AV105+#REF!+AH105+AA105+T105</f>
        <v>#REF!</v>
      </c>
      <c r="AY105" s="263" t="e">
        <f t="shared" ref="AY105:AY168" si="90">AW105+AP105+AI105+AB105+U105</f>
        <v>#REF!</v>
      </c>
      <c r="AZ105" s="263" t="e">
        <f t="shared" ref="AZ105:AZ168" si="91">AX105+AQ105+AJ105+AC105+V105</f>
        <v>#REF!</v>
      </c>
      <c r="BA105" s="263" t="e">
        <f t="shared" ref="BA105:BA168" si="92">AY105+AR105+AK105+AD105+W105</f>
        <v>#REF!</v>
      </c>
      <c r="BB105" s="263" t="e">
        <f t="shared" ref="BB105:BB168" si="93">AZ105+AS105+AL105+AE105+X105</f>
        <v>#REF!</v>
      </c>
      <c r="BC105" s="263" t="e">
        <f t="shared" ref="BC105:BC168" si="94">BA105+AT105+AM105+AF105+Y105</f>
        <v>#REF!</v>
      </c>
      <c r="BD105" s="263" t="e">
        <f t="shared" ref="BD105:BD168" si="95">BB105+AU105+AN105+AG105+Z105</f>
        <v>#REF!</v>
      </c>
      <c r="BE105" s="263" t="e">
        <f>BC105+AV105+#REF!+AH105+AA105</f>
        <v>#REF!</v>
      </c>
      <c r="BF105" s="263" t="e">
        <f t="shared" ref="BF105:BF168" si="96">BD105+AW105+AP105+AI105+AB105</f>
        <v>#REF!</v>
      </c>
      <c r="BG105" s="263" t="e">
        <f t="shared" ref="BG105:BG168" si="97">BE105+AX105+AQ105+AJ105+AC105</f>
        <v>#REF!</v>
      </c>
    </row>
    <row r="106" spans="1:59" ht="15.75">
      <c r="A106" s="338">
        <v>8</v>
      </c>
      <c r="B106" s="338" t="s">
        <v>1</v>
      </c>
      <c r="C106" s="258">
        <v>8</v>
      </c>
      <c r="D106" s="328" t="s">
        <v>55</v>
      </c>
      <c r="E106" s="258" t="s">
        <v>9</v>
      </c>
      <c r="F106" s="431">
        <f t="array" ref="F106">MAX((IF(MNU_CODIGO_ALIMENTO_ENTREGA=CONCATENATE($C106,"_","P_"),MNU_GRAMAJE_REQUERIDO_TIPOA,"")))</f>
        <v>100</v>
      </c>
      <c r="G106" s="259">
        <f t="shared" si="56"/>
        <v>39050</v>
      </c>
      <c r="H106" s="259">
        <f t="shared" si="57"/>
        <v>17424</v>
      </c>
      <c r="I106" s="259">
        <f t="shared" si="58"/>
        <v>56474</v>
      </c>
      <c r="J106" s="260">
        <f t="shared" si="59"/>
        <v>5506050</v>
      </c>
      <c r="K106" s="260">
        <f t="shared" si="60"/>
        <v>2456784</v>
      </c>
      <c r="L106" s="260">
        <f t="shared" si="61"/>
        <v>7962834</v>
      </c>
      <c r="M106" s="432">
        <f t="array" ref="M106">MAX((IF(MNU_CODIGO_ALIMENTO_ENTREGA=CONCATENATE($C106,"_","P_"),MNU_GRAMAJE_REQUERIDO_TIPOB,"")))</f>
        <v>100</v>
      </c>
      <c r="N106" s="348">
        <f t="shared" si="62"/>
        <v>42776</v>
      </c>
      <c r="O106" s="348">
        <f t="shared" si="63"/>
        <v>34452</v>
      </c>
      <c r="P106" s="348">
        <f t="shared" si="64"/>
        <v>77228</v>
      </c>
      <c r="Q106" s="349">
        <f t="shared" si="65"/>
        <v>6031416</v>
      </c>
      <c r="R106" s="349">
        <f t="shared" si="66"/>
        <v>4857732</v>
      </c>
      <c r="S106" s="349">
        <f t="shared" si="67"/>
        <v>10889148</v>
      </c>
      <c r="T106" s="353">
        <f t="array" ref="T106">MAX((IF(MNU_CODIGO_ALIMENTO_ENTREGA=CONCATENATE($C106,"_","P_"),MNU_GRAMAJE_REQUERIDO_TIPOC,"")))</f>
        <v>100</v>
      </c>
      <c r="U106" s="259">
        <f t="shared" si="68"/>
        <v>44104</v>
      </c>
      <c r="V106" s="259">
        <f t="shared" si="69"/>
        <v>34980</v>
      </c>
      <c r="W106" s="259">
        <f t="shared" si="70"/>
        <v>79084</v>
      </c>
      <c r="X106" s="260">
        <f t="shared" si="71"/>
        <v>6218664</v>
      </c>
      <c r="Y106" s="260">
        <f t="shared" si="72"/>
        <v>4932180</v>
      </c>
      <c r="Z106" s="260">
        <f t="shared" si="73"/>
        <v>11150844</v>
      </c>
      <c r="AA106" s="258">
        <f t="array" ref="AA106">MAX((IF(MNU_CODIGO_ALIMENTO_ENTREGA=CONCATENATE($C106,"_","P_"),MNU_GRAMAJE_REQUERIDO_TIPOM,"")))</f>
        <v>100</v>
      </c>
      <c r="AB106" s="261">
        <f t="shared" si="74"/>
        <v>1880</v>
      </c>
      <c r="AC106" s="261">
        <v>0</v>
      </c>
      <c r="AD106" s="261">
        <f t="shared" si="75"/>
        <v>1880</v>
      </c>
      <c r="AE106" s="262">
        <f t="shared" si="76"/>
        <v>265080</v>
      </c>
      <c r="AF106" s="262">
        <v>0</v>
      </c>
      <c r="AG106" s="262">
        <f t="shared" si="77"/>
        <v>265080</v>
      </c>
      <c r="AH106" s="353">
        <f t="array" ref="AH106">MAX((IF(MNU_CODIGO_ALIMENTO_ENTREGA=CONCATENATE($C106,"_","P_"),MNU_GRAMAJE_REQUERIDO_TIPOH,"")))</f>
        <v>100</v>
      </c>
      <c r="AI106" s="259">
        <f t="shared" si="78"/>
        <v>1944</v>
      </c>
      <c r="AJ106" s="259">
        <v>0</v>
      </c>
      <c r="AK106" s="259">
        <f t="shared" si="79"/>
        <v>1944</v>
      </c>
      <c r="AL106" s="260">
        <f t="shared" si="80"/>
        <v>274104</v>
      </c>
      <c r="AM106" s="260">
        <v>0</v>
      </c>
      <c r="AN106" s="260">
        <f t="shared" si="81"/>
        <v>274104</v>
      </c>
      <c r="AO106" s="457">
        <f t="shared" si="82"/>
        <v>216610</v>
      </c>
      <c r="AP106" s="456">
        <f t="shared" si="83"/>
        <v>30542010</v>
      </c>
      <c r="AQ106" s="263" t="e">
        <f>#REF!+AH106+AA106+T106+M106</f>
        <v>#REF!</v>
      </c>
      <c r="AR106" s="263">
        <f t="shared" si="84"/>
        <v>30632714</v>
      </c>
      <c r="AS106" s="263" t="e">
        <f t="shared" si="85"/>
        <v>#REF!</v>
      </c>
      <c r="AT106" s="263">
        <f t="shared" si="86"/>
        <v>30792850</v>
      </c>
      <c r="AU106" s="263" t="e">
        <f t="shared" si="87"/>
        <v>#REF!</v>
      </c>
      <c r="AV106" s="263">
        <f t="shared" si="88"/>
        <v>40582762</v>
      </c>
      <c r="AW106" s="263" t="e">
        <f t="shared" si="89"/>
        <v>#REF!</v>
      </c>
      <c r="AX106" s="263" t="e">
        <f>AV106+#REF!+AH106+AA106+T106</f>
        <v>#REF!</v>
      </c>
      <c r="AY106" s="263" t="e">
        <f t="shared" si="90"/>
        <v>#REF!</v>
      </c>
      <c r="AZ106" s="263" t="e">
        <f t="shared" si="91"/>
        <v>#REF!</v>
      </c>
      <c r="BA106" s="263" t="e">
        <f t="shared" si="92"/>
        <v>#REF!</v>
      </c>
      <c r="BB106" s="263" t="e">
        <f t="shared" si="93"/>
        <v>#REF!</v>
      </c>
      <c r="BC106" s="263" t="e">
        <f t="shared" si="94"/>
        <v>#REF!</v>
      </c>
      <c r="BD106" s="263" t="e">
        <f t="shared" si="95"/>
        <v>#REF!</v>
      </c>
      <c r="BE106" s="263" t="e">
        <f>BC106+AV106+#REF!+AH106+AA106</f>
        <v>#REF!</v>
      </c>
      <c r="BF106" s="263" t="e">
        <f t="shared" si="96"/>
        <v>#REF!</v>
      </c>
      <c r="BG106" s="263" t="e">
        <f t="shared" si="97"/>
        <v>#REF!</v>
      </c>
    </row>
    <row r="107" spans="1:59" ht="15.75">
      <c r="A107" s="338">
        <v>8</v>
      </c>
      <c r="B107" s="338" t="s">
        <v>1</v>
      </c>
      <c r="C107" s="258">
        <v>17</v>
      </c>
      <c r="D107" s="328" t="s">
        <v>53</v>
      </c>
      <c r="E107" s="258" t="s">
        <v>9</v>
      </c>
      <c r="F107" s="431">
        <f t="array" ref="F107">MAX((IF(MNU_CODIGO_ALIMENTO_ENTREGA=CONCATENATE($C107,"_","P_"),MNU_GRAMAJE_REQUERIDO_TIPOA,"")))</f>
        <v>0</v>
      </c>
      <c r="G107" s="259">
        <f t="shared" si="56"/>
        <v>0</v>
      </c>
      <c r="H107" s="259">
        <f t="shared" si="57"/>
        <v>0</v>
      </c>
      <c r="I107" s="259">
        <f t="shared" si="58"/>
        <v>0</v>
      </c>
      <c r="J107" s="260">
        <f t="shared" si="59"/>
        <v>0</v>
      </c>
      <c r="K107" s="260">
        <f t="shared" si="60"/>
        <v>0</v>
      </c>
      <c r="L107" s="260">
        <f t="shared" si="61"/>
        <v>0</v>
      </c>
      <c r="M107" s="432">
        <f t="array" ref="M107">MAX((IF(MNU_CODIGO_ALIMENTO_ENTREGA=CONCATENATE($C107,"_","P_"),MNU_GRAMAJE_REQUERIDO_TIPOB,"")))</f>
        <v>100</v>
      </c>
      <c r="N107" s="348">
        <f t="shared" si="62"/>
        <v>112287</v>
      </c>
      <c r="O107" s="348">
        <f t="shared" si="63"/>
        <v>72036</v>
      </c>
      <c r="P107" s="348">
        <f t="shared" si="64"/>
        <v>184323</v>
      </c>
      <c r="Q107" s="349">
        <f t="shared" si="65"/>
        <v>26612019</v>
      </c>
      <c r="R107" s="349">
        <f t="shared" si="66"/>
        <v>17072532</v>
      </c>
      <c r="S107" s="349">
        <f t="shared" si="67"/>
        <v>43684551</v>
      </c>
      <c r="T107" s="353">
        <f t="array" ref="T107">MAX((IF(MNU_CODIGO_ALIMENTO_ENTREGA=CONCATENATE($C107,"_","P_"),MNU_GRAMAJE_REQUERIDO_TIPOC,"")))</f>
        <v>100</v>
      </c>
      <c r="U107" s="259">
        <f t="shared" si="68"/>
        <v>115773</v>
      </c>
      <c r="V107" s="259">
        <f t="shared" si="69"/>
        <v>73140</v>
      </c>
      <c r="W107" s="259">
        <f t="shared" si="70"/>
        <v>188913</v>
      </c>
      <c r="X107" s="260">
        <f t="shared" si="71"/>
        <v>27438201</v>
      </c>
      <c r="Y107" s="260">
        <f t="shared" si="72"/>
        <v>17334180</v>
      </c>
      <c r="Z107" s="260">
        <f t="shared" si="73"/>
        <v>44772381</v>
      </c>
      <c r="AA107" s="258">
        <f t="array" ref="AA107">MAX((IF(MNU_CODIGO_ALIMENTO_ENTREGA=CONCATENATE($C107,"_","P_"),MNU_GRAMAJE_REQUERIDO_TIPOM,"")))</f>
        <v>100</v>
      </c>
      <c r="AB107" s="261">
        <f t="shared" si="74"/>
        <v>4935</v>
      </c>
      <c r="AC107" s="261">
        <v>0</v>
      </c>
      <c r="AD107" s="261">
        <f t="shared" si="75"/>
        <v>4935</v>
      </c>
      <c r="AE107" s="262">
        <f t="shared" si="76"/>
        <v>1169595</v>
      </c>
      <c r="AF107" s="262">
        <v>0</v>
      </c>
      <c r="AG107" s="262">
        <f t="shared" si="77"/>
        <v>1169595</v>
      </c>
      <c r="AH107" s="353">
        <f t="array" ref="AH107">MAX((IF(MNU_CODIGO_ALIMENTO_ENTREGA=CONCATENATE($C107,"_","P_"),MNU_GRAMAJE_REQUERIDO_TIPOH,"")))</f>
        <v>100</v>
      </c>
      <c r="AI107" s="259">
        <f t="shared" si="78"/>
        <v>5103</v>
      </c>
      <c r="AJ107" s="259">
        <v>0</v>
      </c>
      <c r="AK107" s="259">
        <f t="shared" si="79"/>
        <v>5103</v>
      </c>
      <c r="AL107" s="260">
        <f t="shared" si="80"/>
        <v>1209411</v>
      </c>
      <c r="AM107" s="260">
        <v>0</v>
      </c>
      <c r="AN107" s="260">
        <f t="shared" si="81"/>
        <v>1209411</v>
      </c>
      <c r="AO107" s="457">
        <f t="shared" si="82"/>
        <v>383274</v>
      </c>
      <c r="AP107" s="456">
        <f t="shared" si="83"/>
        <v>90835938</v>
      </c>
      <c r="AQ107" s="263" t="e">
        <f>#REF!+AH107+AA107+T107+M107</f>
        <v>#REF!</v>
      </c>
      <c r="AR107" s="263">
        <f t="shared" si="84"/>
        <v>91074036</v>
      </c>
      <c r="AS107" s="263" t="e">
        <f t="shared" si="85"/>
        <v>#REF!</v>
      </c>
      <c r="AT107" s="263">
        <f t="shared" si="86"/>
        <v>91457310</v>
      </c>
      <c r="AU107" s="263" t="e">
        <f t="shared" si="87"/>
        <v>#REF!</v>
      </c>
      <c r="AV107" s="263">
        <f t="shared" si="88"/>
        <v>125864022</v>
      </c>
      <c r="AW107" s="263" t="e">
        <f t="shared" si="89"/>
        <v>#REF!</v>
      </c>
      <c r="AX107" s="263" t="e">
        <f>AV107+#REF!+AH107+AA107+T107</f>
        <v>#REF!</v>
      </c>
      <c r="AY107" s="263" t="e">
        <f t="shared" si="90"/>
        <v>#REF!</v>
      </c>
      <c r="AZ107" s="263" t="e">
        <f t="shared" si="91"/>
        <v>#REF!</v>
      </c>
      <c r="BA107" s="263" t="e">
        <f t="shared" si="92"/>
        <v>#REF!</v>
      </c>
      <c r="BB107" s="263" t="e">
        <f t="shared" si="93"/>
        <v>#REF!</v>
      </c>
      <c r="BC107" s="263" t="e">
        <f t="shared" si="94"/>
        <v>#REF!</v>
      </c>
      <c r="BD107" s="263" t="e">
        <f t="shared" si="95"/>
        <v>#REF!</v>
      </c>
      <c r="BE107" s="263" t="e">
        <f>BC107+AV107+#REF!+AH107+AA107</f>
        <v>#REF!</v>
      </c>
      <c r="BF107" s="263" t="e">
        <f t="shared" si="96"/>
        <v>#REF!</v>
      </c>
      <c r="BG107" s="263" t="e">
        <f t="shared" si="97"/>
        <v>#REF!</v>
      </c>
    </row>
    <row r="108" spans="1:59" ht="15.75">
      <c r="A108" s="338">
        <v>8</v>
      </c>
      <c r="B108" s="338" t="s">
        <v>1</v>
      </c>
      <c r="C108" s="258">
        <v>22</v>
      </c>
      <c r="D108" s="328" t="s">
        <v>51</v>
      </c>
      <c r="E108" s="258" t="s">
        <v>9</v>
      </c>
      <c r="F108" s="431">
        <f t="array" ref="F108">MAX((IF(MNU_CODIGO_ALIMENTO_ENTREGA=CONCATENATE($C108,"_","P_"),MNU_GRAMAJE_REQUERIDO_TIPOA,"")))</f>
        <v>0</v>
      </c>
      <c r="G108" s="259">
        <f t="shared" ref="G108:G171" si="98">SUMIF(COSTPE_G_ALIMENTO_GRUPO,CONCATENATE($C108,"_",$A108),COSTPE_G_VOLUMEN_TOTAL_TIPOA)</f>
        <v>0</v>
      </c>
      <c r="H108" s="259">
        <f t="shared" ref="H108:H171" si="99">SUMIF(COSTSE_G_ALIMENTO_GRUPO,CONCATENATE($C108,"_",$A108),COSTSE_G_VOLUMEN_TOTAL_TIPOA)</f>
        <v>0</v>
      </c>
      <c r="I108" s="259">
        <f t="shared" ref="I108:I171" si="100">G108+H108</f>
        <v>0</v>
      </c>
      <c r="J108" s="260">
        <f t="shared" ref="J108:J171" si="101">SUMIF(COSTPE_G_ALIMENTO_GRUPO,CONCATENATE($C108,"_",$A108),COSTPE_G_VALOR_TOTAL_TIPOA)</f>
        <v>0</v>
      </c>
      <c r="K108" s="260">
        <f t="shared" ref="K108:K171" si="102">SUMIF(COSTSE_G_ALIMENTO_GRUPO,CONCATENATE($C108,"_",$A108),COSTSE_G_VALOR_TOTAL_TIPOA)</f>
        <v>0</v>
      </c>
      <c r="L108" s="260">
        <f t="shared" ref="L108:L171" si="103">J108+K108</f>
        <v>0</v>
      </c>
      <c r="M108" s="432">
        <f t="array" ref="M108">MAX((IF(MNU_CODIGO_ALIMENTO_ENTREGA=CONCATENATE($C108,"_","P_"),MNU_GRAMAJE_REQUERIDO_TIPOB,"")))</f>
        <v>100</v>
      </c>
      <c r="N108" s="348">
        <f t="shared" ref="N108:N171" si="104">SUMIF(COSTPE_G_ALIMENTO_GRUPO,CONCATENATE($C108,"_",$A108),COSTPE_G_VOLUMEN_TOTAL_TIPOB)</f>
        <v>106940</v>
      </c>
      <c r="O108" s="348">
        <f t="shared" ref="O108:O171" si="105">SUMIF(COSTSE_G_ALIMENTO_GRUPO,CONCATENATE($C108,"_",$A108),COSTSE_G_VOLUMEN_TOTAL_TIPOB)</f>
        <v>72036</v>
      </c>
      <c r="P108" s="348">
        <f t="shared" ref="P108:P171" si="106">N108+O108</f>
        <v>178976</v>
      </c>
      <c r="Q108" s="349">
        <f t="shared" ref="Q108:Q171" si="107">SUMIF(COSTPE_G_ALIMENTO_GRUPO,CONCATENATE($C108,"_",$A108),COSTPE_G_VALOR_TOTAL_TIPOB)</f>
        <v>58923940</v>
      </c>
      <c r="R108" s="349">
        <f t="shared" ref="R108:R171" si="108">SUMIF(COSTSE_G_ALIMENTO_GRUPO,CONCATENATE($C108,"_",$A108),COSTSE_G_VALOR_TOTAL_TIPOB)</f>
        <v>39691836</v>
      </c>
      <c r="S108" s="349">
        <f t="shared" ref="S108:S171" si="109">Q108+R108</f>
        <v>98615776</v>
      </c>
      <c r="T108" s="353">
        <f t="array" ref="T108">MAX((IF(MNU_CODIGO_ALIMENTO_ENTREGA=CONCATENATE($C108,"_","P_"),MNU_GRAMAJE_REQUERIDO_TIPOC,"")))</f>
        <v>100</v>
      </c>
      <c r="U108" s="259">
        <f t="shared" ref="U108:U171" si="110">SUMIF(COSTPE_G_ALIMENTO_GRUPO,CONCATENATE($C108,"_",$A108),COSTPE_G_VOLUMEN_TOTAL_TIPOC)</f>
        <v>110260</v>
      </c>
      <c r="V108" s="259">
        <f t="shared" ref="V108:V171" si="111">SUMIF(COSTSE_G_ALIMENTO_GRUPO,CONCATENATE($C108,"_",$A108),COSTSE_G_VOLUMEN_TOTAL_TIPOC)</f>
        <v>73140</v>
      </c>
      <c r="W108" s="259">
        <f t="shared" ref="W108:W171" si="112">U108+V108</f>
        <v>183400</v>
      </c>
      <c r="X108" s="260">
        <f t="shared" ref="X108:X171" si="113">SUMIF(COSTPE_G_ALIMENTO_GRUPO,CONCATENATE($C108,"_",$A108),COSTPE_G_VALOR_TOTAL_TIPOC)</f>
        <v>60753260</v>
      </c>
      <c r="Y108" s="260">
        <f t="shared" ref="Y108:Y171" si="114">SUMIF(COSTSE_G_ALIMENTO_GRUPO,CONCATENATE($C108,"_",$A108),COSTSE_G_VALOR_TOTAL_TIPOC)</f>
        <v>40300140</v>
      </c>
      <c r="Z108" s="260">
        <f t="shared" ref="Z108:Z171" si="115">X108+Y108</f>
        <v>101053400</v>
      </c>
      <c r="AA108" s="258">
        <f t="array" ref="AA108">MAX((IF(MNU_CODIGO_ALIMENTO_ENTREGA=CONCATENATE($C108,"_","P_"),MNU_GRAMAJE_REQUERIDO_TIPOM,"")))</f>
        <v>100</v>
      </c>
      <c r="AB108" s="261">
        <f t="shared" ref="AB108:AB171" si="116">SUMIF(COSTPE_G_ALIMENTO_GRUPO,CONCATENATE($C108,"_",$A108),COSTPE_G_VOLUMEN_TOTAL_TIPOM)</f>
        <v>4700</v>
      </c>
      <c r="AC108" s="261">
        <v>0</v>
      </c>
      <c r="AD108" s="261">
        <f t="shared" ref="AD108:AD171" si="117">AB108+AC108</f>
        <v>4700</v>
      </c>
      <c r="AE108" s="262">
        <f t="shared" ref="AE108:AE171" si="118">SUMIF(COSTPE_G_ALIMENTO_GRUPO,CONCATENATE($C108,"_",$A108),COSTPE_G_VALOR_TOTAL_TIPOM)</f>
        <v>2589700</v>
      </c>
      <c r="AF108" s="262">
        <v>0</v>
      </c>
      <c r="AG108" s="262">
        <f t="shared" ref="AG108:AG171" si="119">AE108+AF108</f>
        <v>2589700</v>
      </c>
      <c r="AH108" s="353">
        <f t="array" ref="AH108">MAX((IF(MNU_CODIGO_ALIMENTO_ENTREGA=CONCATENATE($C108,"_","P_"),MNU_GRAMAJE_REQUERIDO_TIPOH,"")))</f>
        <v>100</v>
      </c>
      <c r="AI108" s="259">
        <f t="shared" ref="AI108:AI171" si="120">SUMIF(COSTPE_G_ALIMENTO_GRUPO,CONCATENATE($C108,"_",$A108),COSTPE_G_VOLUMEN_TOTAL_TIPOH)</f>
        <v>4860</v>
      </c>
      <c r="AJ108" s="259">
        <v>0</v>
      </c>
      <c r="AK108" s="259">
        <f t="shared" ref="AK108:AK171" si="121">AI108+AJ108</f>
        <v>4860</v>
      </c>
      <c r="AL108" s="260">
        <f t="shared" ref="AL108:AL171" si="122">SUMIF(COSTPE_G_ALIMENTO_GRUPO,CONCATENATE($C108,"_",$A108),COSTPE_G_VALOR_TOTAL_TIPOH)</f>
        <v>2677860</v>
      </c>
      <c r="AM108" s="260">
        <v>0</v>
      </c>
      <c r="AN108" s="260">
        <f t="shared" ref="AN108:AN171" si="123">AL108+AM108</f>
        <v>2677860</v>
      </c>
      <c r="AO108" s="457">
        <f t="shared" ref="AO108:AO171" si="124">AK108+AD108+W108+P108+I108</f>
        <v>371936</v>
      </c>
      <c r="AP108" s="456">
        <f t="shared" ref="AP108:AP171" si="125">AN108+AG108+Z108+S108+L108</f>
        <v>204936736</v>
      </c>
      <c r="AQ108" s="263" t="e">
        <f>#REF!+AH108+AA108+T108+M108</f>
        <v>#REF!</v>
      </c>
      <c r="AR108" s="263">
        <f t="shared" si="84"/>
        <v>205163496</v>
      </c>
      <c r="AS108" s="263" t="e">
        <f t="shared" si="85"/>
        <v>#REF!</v>
      </c>
      <c r="AT108" s="263">
        <f t="shared" si="86"/>
        <v>205535432</v>
      </c>
      <c r="AU108" s="263" t="e">
        <f t="shared" si="87"/>
        <v>#REF!</v>
      </c>
      <c r="AV108" s="263">
        <f t="shared" si="88"/>
        <v>285527408</v>
      </c>
      <c r="AW108" s="263" t="e">
        <f t="shared" si="89"/>
        <v>#REF!</v>
      </c>
      <c r="AX108" s="263" t="e">
        <f>AV108+#REF!+AH108+AA108+T108</f>
        <v>#REF!</v>
      </c>
      <c r="AY108" s="263" t="e">
        <f t="shared" si="90"/>
        <v>#REF!</v>
      </c>
      <c r="AZ108" s="263" t="e">
        <f t="shared" si="91"/>
        <v>#REF!</v>
      </c>
      <c r="BA108" s="263" t="e">
        <f t="shared" si="92"/>
        <v>#REF!</v>
      </c>
      <c r="BB108" s="263" t="e">
        <f t="shared" si="93"/>
        <v>#REF!</v>
      </c>
      <c r="BC108" s="263" t="e">
        <f t="shared" si="94"/>
        <v>#REF!</v>
      </c>
      <c r="BD108" s="263" t="e">
        <f t="shared" si="95"/>
        <v>#REF!</v>
      </c>
      <c r="BE108" s="263" t="e">
        <f>BC108+AV108+#REF!+AH108+AA108</f>
        <v>#REF!</v>
      </c>
      <c r="BF108" s="263" t="e">
        <f t="shared" si="96"/>
        <v>#REF!</v>
      </c>
      <c r="BG108" s="263" t="e">
        <f t="shared" si="97"/>
        <v>#REF!</v>
      </c>
    </row>
    <row r="109" spans="1:59" ht="15.75">
      <c r="A109" s="338">
        <v>8</v>
      </c>
      <c r="B109" s="338" t="s">
        <v>1</v>
      </c>
      <c r="C109" s="258">
        <v>33</v>
      </c>
      <c r="D109" s="328" t="s">
        <v>59</v>
      </c>
      <c r="E109" s="258" t="s">
        <v>48</v>
      </c>
      <c r="F109" s="431">
        <v>1</v>
      </c>
      <c r="G109" s="259">
        <f t="shared" si="98"/>
        <v>105435</v>
      </c>
      <c r="H109" s="259">
        <f t="shared" si="99"/>
        <v>45936</v>
      </c>
      <c r="I109" s="259">
        <f t="shared" si="100"/>
        <v>151371</v>
      </c>
      <c r="J109" s="260">
        <f t="shared" si="101"/>
        <v>29838105</v>
      </c>
      <c r="K109" s="260">
        <f t="shared" si="102"/>
        <v>12999888</v>
      </c>
      <c r="L109" s="260">
        <f t="shared" si="103"/>
        <v>42837993</v>
      </c>
      <c r="M109" s="432">
        <v>1</v>
      </c>
      <c r="N109" s="348">
        <f t="shared" si="104"/>
        <v>96246</v>
      </c>
      <c r="O109" s="348">
        <f t="shared" si="105"/>
        <v>72036</v>
      </c>
      <c r="P109" s="348">
        <f t="shared" si="106"/>
        <v>168282</v>
      </c>
      <c r="Q109" s="349">
        <f t="shared" si="107"/>
        <v>27237618</v>
      </c>
      <c r="R109" s="349">
        <f t="shared" si="108"/>
        <v>20386188</v>
      </c>
      <c r="S109" s="349">
        <f t="shared" si="109"/>
        <v>47623806</v>
      </c>
      <c r="T109" s="431">
        <v>1</v>
      </c>
      <c r="U109" s="259">
        <f t="shared" si="110"/>
        <v>99234</v>
      </c>
      <c r="V109" s="259">
        <f t="shared" si="111"/>
        <v>73140</v>
      </c>
      <c r="W109" s="259">
        <f t="shared" si="112"/>
        <v>172374</v>
      </c>
      <c r="X109" s="260">
        <f t="shared" si="113"/>
        <v>28083222</v>
      </c>
      <c r="Y109" s="260">
        <f t="shared" si="114"/>
        <v>20698620</v>
      </c>
      <c r="Z109" s="260">
        <f t="shared" si="115"/>
        <v>48781842</v>
      </c>
      <c r="AA109" s="258">
        <v>1</v>
      </c>
      <c r="AB109" s="261">
        <f t="shared" si="116"/>
        <v>4230</v>
      </c>
      <c r="AC109" s="261">
        <v>0</v>
      </c>
      <c r="AD109" s="261">
        <f t="shared" si="117"/>
        <v>4230</v>
      </c>
      <c r="AE109" s="262">
        <f t="shared" si="118"/>
        <v>1197090</v>
      </c>
      <c r="AF109" s="262">
        <v>0</v>
      </c>
      <c r="AG109" s="262">
        <f t="shared" si="119"/>
        <v>1197090</v>
      </c>
      <c r="AH109" s="353">
        <v>1</v>
      </c>
      <c r="AI109" s="259">
        <f t="shared" si="120"/>
        <v>4374</v>
      </c>
      <c r="AJ109" s="259">
        <v>0</v>
      </c>
      <c r="AK109" s="259">
        <f t="shared" si="121"/>
        <v>4374</v>
      </c>
      <c r="AL109" s="260">
        <f t="shared" si="122"/>
        <v>1237842</v>
      </c>
      <c r="AM109" s="260">
        <v>0</v>
      </c>
      <c r="AN109" s="260">
        <f t="shared" si="123"/>
        <v>1237842</v>
      </c>
      <c r="AO109" s="457">
        <f t="shared" si="124"/>
        <v>500631</v>
      </c>
      <c r="AP109" s="456">
        <f t="shared" si="125"/>
        <v>141678573</v>
      </c>
      <c r="AQ109" s="263" t="e">
        <f>#REF!+AH109+AA109+T109+M109</f>
        <v>#REF!</v>
      </c>
      <c r="AR109" s="263">
        <f t="shared" si="84"/>
        <v>141882657</v>
      </c>
      <c r="AS109" s="263" t="e">
        <f t="shared" si="85"/>
        <v>#REF!</v>
      </c>
      <c r="AT109" s="263">
        <f t="shared" si="86"/>
        <v>142231917</v>
      </c>
      <c r="AU109" s="263" t="e">
        <f t="shared" si="87"/>
        <v>#REF!</v>
      </c>
      <c r="AV109" s="263">
        <f t="shared" si="88"/>
        <v>183316725</v>
      </c>
      <c r="AW109" s="263" t="e">
        <f t="shared" si="89"/>
        <v>#REF!</v>
      </c>
      <c r="AX109" s="263" t="e">
        <f>AV109+#REF!+AH109+AA109+T109</f>
        <v>#REF!</v>
      </c>
      <c r="AY109" s="263" t="e">
        <f t="shared" si="90"/>
        <v>#REF!</v>
      </c>
      <c r="AZ109" s="263" t="e">
        <f t="shared" si="91"/>
        <v>#REF!</v>
      </c>
      <c r="BA109" s="263" t="e">
        <f t="shared" si="92"/>
        <v>#REF!</v>
      </c>
      <c r="BB109" s="263" t="e">
        <f t="shared" si="93"/>
        <v>#REF!</v>
      </c>
      <c r="BC109" s="263" t="e">
        <f t="shared" si="94"/>
        <v>#REF!</v>
      </c>
      <c r="BD109" s="263" t="e">
        <f t="shared" si="95"/>
        <v>#REF!</v>
      </c>
      <c r="BE109" s="263" t="e">
        <f>BC109+AV109+#REF!+AH109+AA109</f>
        <v>#REF!</v>
      </c>
      <c r="BF109" s="263" t="e">
        <f t="shared" si="96"/>
        <v>#REF!</v>
      </c>
      <c r="BG109" s="263" t="e">
        <f t="shared" si="97"/>
        <v>#REF!</v>
      </c>
    </row>
    <row r="110" spans="1:59" ht="15.75">
      <c r="A110" s="338">
        <v>8</v>
      </c>
      <c r="B110" s="338" t="s">
        <v>1</v>
      </c>
      <c r="C110" s="258">
        <v>36</v>
      </c>
      <c r="D110" s="328" t="s">
        <v>1340</v>
      </c>
      <c r="E110" s="258" t="s">
        <v>9</v>
      </c>
      <c r="F110" s="431">
        <f t="array" ref="F110">MAX((IF(MNU_CODIGO_ALIMENTO_ENTREGA=CONCATENATE($C110,"_","P_"),MNU_GRAMAJE_REQUERIDO_TIPOA,"")))</f>
        <v>20</v>
      </c>
      <c r="G110" s="259">
        <f t="shared" si="98"/>
        <v>27335</v>
      </c>
      <c r="H110" s="259">
        <f t="shared" si="99"/>
        <v>12672</v>
      </c>
      <c r="I110" s="259">
        <f t="shared" si="100"/>
        <v>40007</v>
      </c>
      <c r="J110" s="260">
        <f t="shared" si="101"/>
        <v>3608220</v>
      </c>
      <c r="K110" s="260">
        <f t="shared" si="102"/>
        <v>1672704</v>
      </c>
      <c r="L110" s="260">
        <f t="shared" si="103"/>
        <v>5280924</v>
      </c>
      <c r="M110" s="432">
        <f t="array" ref="M110">MAX((IF(MNU_CODIGO_ALIMENTO_ENTREGA=CONCATENATE($C110,"_","P_"),MNU_GRAMAJE_REQUERIDO_TIPOB,"")))</f>
        <v>40</v>
      </c>
      <c r="N110" s="348">
        <f t="shared" si="104"/>
        <v>37429</v>
      </c>
      <c r="O110" s="348">
        <f t="shared" si="105"/>
        <v>25056</v>
      </c>
      <c r="P110" s="348">
        <f t="shared" si="106"/>
        <v>62485</v>
      </c>
      <c r="Q110" s="349">
        <f t="shared" si="107"/>
        <v>9918685</v>
      </c>
      <c r="R110" s="349">
        <f t="shared" si="108"/>
        <v>6639840</v>
      </c>
      <c r="S110" s="349">
        <f t="shared" si="109"/>
        <v>16558525</v>
      </c>
      <c r="T110" s="353">
        <f t="array" ref="T110">MAX((IF(MNU_CODIGO_ALIMENTO_ENTREGA=CONCATENATE($C110,"_","P_"),MNU_GRAMAJE_REQUERIDO_TIPOC,"")))</f>
        <v>40</v>
      </c>
      <c r="U110" s="259">
        <f t="shared" si="110"/>
        <v>38591</v>
      </c>
      <c r="V110" s="259">
        <f t="shared" si="111"/>
        <v>25440</v>
      </c>
      <c r="W110" s="259">
        <f t="shared" si="112"/>
        <v>64031</v>
      </c>
      <c r="X110" s="260">
        <f t="shared" si="113"/>
        <v>10226615</v>
      </c>
      <c r="Y110" s="260">
        <f t="shared" si="114"/>
        <v>6741600</v>
      </c>
      <c r="Z110" s="260">
        <f t="shared" si="115"/>
        <v>16968215</v>
      </c>
      <c r="AA110" s="258">
        <f t="array" ref="AA110">MAX((IF(MNU_CODIGO_ALIMENTO_ENTREGA=CONCATENATE($C110,"_","P_"),MNU_GRAMAJE_REQUERIDO_TIPOM,"")))</f>
        <v>40</v>
      </c>
      <c r="AB110" s="261">
        <f t="shared" si="116"/>
        <v>1645</v>
      </c>
      <c r="AC110" s="261">
        <v>0</v>
      </c>
      <c r="AD110" s="261">
        <f t="shared" si="117"/>
        <v>1645</v>
      </c>
      <c r="AE110" s="262">
        <f t="shared" si="118"/>
        <v>435925</v>
      </c>
      <c r="AF110" s="262">
        <v>0</v>
      </c>
      <c r="AG110" s="262">
        <f t="shared" si="119"/>
        <v>435925</v>
      </c>
      <c r="AH110" s="353">
        <f t="array" ref="AH110">MAX((IF(MNU_CODIGO_ALIMENTO_ENTREGA=CONCATENATE($C110,"_","P_"),MNU_GRAMAJE_REQUERIDO_TIPOH,"")))</f>
        <v>40</v>
      </c>
      <c r="AI110" s="259">
        <f t="shared" si="120"/>
        <v>1701</v>
      </c>
      <c r="AJ110" s="259">
        <v>0</v>
      </c>
      <c r="AK110" s="259">
        <f t="shared" si="121"/>
        <v>1701</v>
      </c>
      <c r="AL110" s="260">
        <f t="shared" si="122"/>
        <v>450765</v>
      </c>
      <c r="AM110" s="260">
        <v>0</v>
      </c>
      <c r="AN110" s="260">
        <f t="shared" si="123"/>
        <v>450765</v>
      </c>
      <c r="AO110" s="457">
        <f t="shared" si="124"/>
        <v>169869</v>
      </c>
      <c r="AP110" s="456">
        <f t="shared" si="125"/>
        <v>39694354</v>
      </c>
      <c r="AQ110" s="263" t="e">
        <f>#REF!+AH110+AA110+T110+M110</f>
        <v>#REF!</v>
      </c>
      <c r="AR110" s="263">
        <f t="shared" si="84"/>
        <v>39773720</v>
      </c>
      <c r="AS110" s="263" t="e">
        <f t="shared" si="85"/>
        <v>#REF!</v>
      </c>
      <c r="AT110" s="263">
        <f t="shared" si="86"/>
        <v>39903582</v>
      </c>
      <c r="AU110" s="263" t="e">
        <f t="shared" si="87"/>
        <v>#REF!</v>
      </c>
      <c r="AV110" s="263">
        <f t="shared" si="88"/>
        <v>53285022</v>
      </c>
      <c r="AW110" s="263" t="e">
        <f t="shared" si="89"/>
        <v>#REF!</v>
      </c>
      <c r="AX110" s="263" t="e">
        <f>AV110+#REF!+AH110+AA110+T110</f>
        <v>#REF!</v>
      </c>
      <c r="AY110" s="263" t="e">
        <f t="shared" si="90"/>
        <v>#REF!</v>
      </c>
      <c r="AZ110" s="263" t="e">
        <f t="shared" si="91"/>
        <v>#REF!</v>
      </c>
      <c r="BA110" s="263" t="e">
        <f t="shared" si="92"/>
        <v>#REF!</v>
      </c>
      <c r="BB110" s="263" t="e">
        <f t="shared" si="93"/>
        <v>#REF!</v>
      </c>
      <c r="BC110" s="263" t="e">
        <f t="shared" si="94"/>
        <v>#REF!</v>
      </c>
      <c r="BD110" s="263" t="e">
        <f t="shared" si="95"/>
        <v>#REF!</v>
      </c>
      <c r="BE110" s="263" t="e">
        <f>BC110+AV110+#REF!+AH110+AA110</f>
        <v>#REF!</v>
      </c>
      <c r="BF110" s="263" t="e">
        <f t="shared" si="96"/>
        <v>#REF!</v>
      </c>
      <c r="BG110" s="263" t="e">
        <f t="shared" si="97"/>
        <v>#REF!</v>
      </c>
    </row>
    <row r="111" spans="1:59" ht="15.75">
      <c r="A111" s="338">
        <v>8</v>
      </c>
      <c r="B111" s="338" t="s">
        <v>1</v>
      </c>
      <c r="C111" s="258">
        <v>42</v>
      </c>
      <c r="D111" s="328" t="s">
        <v>61</v>
      </c>
      <c r="E111" s="258" t="s">
        <v>9</v>
      </c>
      <c r="F111" s="431">
        <f t="array" ref="F111">MAX((IF(MNU_CODIGO_ALIMENTO_ENTREGA=CONCATENATE($C111,"_","P_"),MNU_GRAMAJE_REQUERIDO_TIPOA,"")))</f>
        <v>100</v>
      </c>
      <c r="G111" s="259">
        <f t="shared" si="98"/>
        <v>89815</v>
      </c>
      <c r="H111" s="259">
        <f t="shared" si="99"/>
        <v>57024</v>
      </c>
      <c r="I111" s="259">
        <f t="shared" si="100"/>
        <v>146839</v>
      </c>
      <c r="J111" s="260">
        <f t="shared" si="101"/>
        <v>18322260</v>
      </c>
      <c r="K111" s="260">
        <f t="shared" si="102"/>
        <v>11632896</v>
      </c>
      <c r="L111" s="260">
        <f t="shared" si="103"/>
        <v>29955156</v>
      </c>
      <c r="M111" s="432">
        <f t="array" ref="M111">MAX((IF(MNU_CODIGO_ALIMENTO_ENTREGA=CONCATENATE($C111,"_","P_"),MNU_GRAMAJE_REQUERIDO_TIPOB,"")))</f>
        <v>100</v>
      </c>
      <c r="N111" s="348">
        <f t="shared" si="104"/>
        <v>101593</v>
      </c>
      <c r="O111" s="348">
        <f t="shared" si="105"/>
        <v>59508</v>
      </c>
      <c r="P111" s="348">
        <f t="shared" si="106"/>
        <v>161101</v>
      </c>
      <c r="Q111" s="349">
        <f t="shared" si="107"/>
        <v>20724972</v>
      </c>
      <c r="R111" s="349">
        <f t="shared" si="108"/>
        <v>12139632</v>
      </c>
      <c r="S111" s="349">
        <f t="shared" si="109"/>
        <v>32864604</v>
      </c>
      <c r="T111" s="353">
        <f t="array" ref="T111">MAX((IF(MNU_CODIGO_ALIMENTO_ENTREGA=CONCATENATE($C111,"_","P_"),MNU_GRAMAJE_REQUERIDO_TIPOC,"")))</f>
        <v>100</v>
      </c>
      <c r="U111" s="259">
        <f t="shared" si="110"/>
        <v>104747</v>
      </c>
      <c r="V111" s="259">
        <f t="shared" si="111"/>
        <v>60420</v>
      </c>
      <c r="W111" s="259">
        <f t="shared" si="112"/>
        <v>165167</v>
      </c>
      <c r="X111" s="260">
        <f t="shared" si="113"/>
        <v>21368388</v>
      </c>
      <c r="Y111" s="260">
        <f t="shared" si="114"/>
        <v>12325680</v>
      </c>
      <c r="Z111" s="260">
        <f t="shared" si="115"/>
        <v>33694068</v>
      </c>
      <c r="AA111" s="258">
        <f t="array" ref="AA111">MAX((IF(MNU_CODIGO_ALIMENTO_ENTREGA=CONCATENATE($C111,"_","P_"),MNU_GRAMAJE_REQUERIDO_TIPOM,"")))</f>
        <v>100</v>
      </c>
      <c r="AB111" s="261">
        <f t="shared" si="116"/>
        <v>4465</v>
      </c>
      <c r="AC111" s="261">
        <v>0</v>
      </c>
      <c r="AD111" s="261">
        <f t="shared" si="117"/>
        <v>4465</v>
      </c>
      <c r="AE111" s="262">
        <f t="shared" si="118"/>
        <v>910860</v>
      </c>
      <c r="AF111" s="262">
        <v>0</v>
      </c>
      <c r="AG111" s="262">
        <f t="shared" si="119"/>
        <v>910860</v>
      </c>
      <c r="AH111" s="353">
        <f t="array" ref="AH111">MAX((IF(MNU_CODIGO_ALIMENTO_ENTREGA=CONCATENATE($C111,"_","P_"),MNU_GRAMAJE_REQUERIDO_TIPOH,"")))</f>
        <v>100</v>
      </c>
      <c r="AI111" s="259">
        <f t="shared" si="120"/>
        <v>4617</v>
      </c>
      <c r="AJ111" s="259">
        <v>0</v>
      </c>
      <c r="AK111" s="259">
        <f t="shared" si="121"/>
        <v>4617</v>
      </c>
      <c r="AL111" s="260">
        <f t="shared" si="122"/>
        <v>941868</v>
      </c>
      <c r="AM111" s="260">
        <v>0</v>
      </c>
      <c r="AN111" s="260">
        <f t="shared" si="123"/>
        <v>941868</v>
      </c>
      <c r="AO111" s="457">
        <f t="shared" si="124"/>
        <v>482189</v>
      </c>
      <c r="AP111" s="456">
        <f t="shared" si="125"/>
        <v>98366556</v>
      </c>
      <c r="AQ111" s="263" t="e">
        <f>#REF!+AH111+AA111+T111+M111</f>
        <v>#REF!</v>
      </c>
      <c r="AR111" s="263">
        <f t="shared" si="84"/>
        <v>98581978</v>
      </c>
      <c r="AS111" s="263" t="e">
        <f t="shared" si="85"/>
        <v>#REF!</v>
      </c>
      <c r="AT111" s="263">
        <f t="shared" si="86"/>
        <v>98917328</v>
      </c>
      <c r="AU111" s="263" t="e">
        <f t="shared" si="87"/>
        <v>#REF!</v>
      </c>
      <c r="AV111" s="263">
        <f t="shared" si="88"/>
        <v>123382640</v>
      </c>
      <c r="AW111" s="263" t="e">
        <f t="shared" si="89"/>
        <v>#REF!</v>
      </c>
      <c r="AX111" s="263" t="e">
        <f>AV111+#REF!+AH111+AA111+T111</f>
        <v>#REF!</v>
      </c>
      <c r="AY111" s="263" t="e">
        <f t="shared" si="90"/>
        <v>#REF!</v>
      </c>
      <c r="AZ111" s="263" t="e">
        <f t="shared" si="91"/>
        <v>#REF!</v>
      </c>
      <c r="BA111" s="263" t="e">
        <f t="shared" si="92"/>
        <v>#REF!</v>
      </c>
      <c r="BB111" s="263" t="e">
        <f t="shared" si="93"/>
        <v>#REF!</v>
      </c>
      <c r="BC111" s="263" t="e">
        <f t="shared" si="94"/>
        <v>#REF!</v>
      </c>
      <c r="BD111" s="263" t="e">
        <f t="shared" si="95"/>
        <v>#REF!</v>
      </c>
      <c r="BE111" s="263" t="e">
        <f>BC111+AV111+#REF!+AH111+AA111</f>
        <v>#REF!</v>
      </c>
      <c r="BF111" s="263" t="e">
        <f t="shared" si="96"/>
        <v>#REF!</v>
      </c>
      <c r="BG111" s="263" t="e">
        <f t="shared" si="97"/>
        <v>#REF!</v>
      </c>
    </row>
    <row r="112" spans="1:59" ht="15.75">
      <c r="A112" s="338">
        <v>8</v>
      </c>
      <c r="B112" s="338" t="s">
        <v>1</v>
      </c>
      <c r="C112" s="258">
        <v>43</v>
      </c>
      <c r="D112" s="328" t="s">
        <v>62</v>
      </c>
      <c r="E112" s="258" t="s">
        <v>9</v>
      </c>
      <c r="F112" s="431">
        <f t="array" ref="F112">MAX((IF(MNU_CODIGO_ALIMENTO_ENTREGA=CONCATENATE($C112,"_","P_"),MNU_GRAMAJE_REQUERIDO_TIPOA,"")))</f>
        <v>100</v>
      </c>
      <c r="G112" s="259">
        <f t="shared" si="98"/>
        <v>93720</v>
      </c>
      <c r="H112" s="259">
        <f t="shared" si="99"/>
        <v>45936</v>
      </c>
      <c r="I112" s="259">
        <f t="shared" si="100"/>
        <v>139656</v>
      </c>
      <c r="J112" s="260">
        <f t="shared" si="101"/>
        <v>16682160</v>
      </c>
      <c r="K112" s="260">
        <f t="shared" si="102"/>
        <v>8176608</v>
      </c>
      <c r="L112" s="260">
        <f t="shared" si="103"/>
        <v>24858768</v>
      </c>
      <c r="M112" s="432">
        <f t="array" ref="M112">MAX((IF(MNU_CODIGO_ALIMENTO_ENTREGA=CONCATENATE($C112,"_","P_"),MNU_GRAMAJE_REQUERIDO_TIPOB,"")))</f>
        <v>100</v>
      </c>
      <c r="N112" s="348">
        <f t="shared" si="104"/>
        <v>90899</v>
      </c>
      <c r="O112" s="348">
        <f t="shared" si="105"/>
        <v>72036</v>
      </c>
      <c r="P112" s="348">
        <f t="shared" si="106"/>
        <v>162935</v>
      </c>
      <c r="Q112" s="349">
        <f t="shared" si="107"/>
        <v>16180022</v>
      </c>
      <c r="R112" s="349">
        <f t="shared" si="108"/>
        <v>12822408</v>
      </c>
      <c r="S112" s="349">
        <f t="shared" si="109"/>
        <v>29002430</v>
      </c>
      <c r="T112" s="353">
        <f t="array" ref="T112">MAX((IF(MNU_CODIGO_ALIMENTO_ENTREGA=CONCATENATE($C112,"_","P_"),MNU_GRAMAJE_REQUERIDO_TIPOC,"")))</f>
        <v>100</v>
      </c>
      <c r="U112" s="259">
        <f t="shared" si="110"/>
        <v>93721</v>
      </c>
      <c r="V112" s="259">
        <f t="shared" si="111"/>
        <v>73140</v>
      </c>
      <c r="W112" s="259">
        <f t="shared" si="112"/>
        <v>166861</v>
      </c>
      <c r="X112" s="260">
        <f t="shared" si="113"/>
        <v>16682338</v>
      </c>
      <c r="Y112" s="260">
        <f t="shared" si="114"/>
        <v>13018920</v>
      </c>
      <c r="Z112" s="260">
        <f t="shared" si="115"/>
        <v>29701258</v>
      </c>
      <c r="AA112" s="258">
        <f t="array" ref="AA112">MAX((IF(MNU_CODIGO_ALIMENTO_ENTREGA=CONCATENATE($C112,"_","P_"),MNU_GRAMAJE_REQUERIDO_TIPOM,"")))</f>
        <v>100</v>
      </c>
      <c r="AB112" s="261">
        <f t="shared" si="116"/>
        <v>3995</v>
      </c>
      <c r="AC112" s="261">
        <v>0</v>
      </c>
      <c r="AD112" s="261">
        <f t="shared" si="117"/>
        <v>3995</v>
      </c>
      <c r="AE112" s="262">
        <f t="shared" si="118"/>
        <v>711110</v>
      </c>
      <c r="AF112" s="262">
        <v>0</v>
      </c>
      <c r="AG112" s="262">
        <f t="shared" si="119"/>
        <v>711110</v>
      </c>
      <c r="AH112" s="353">
        <f t="array" ref="AH112">MAX((IF(MNU_CODIGO_ALIMENTO_ENTREGA=CONCATENATE($C112,"_","P_"),MNU_GRAMAJE_REQUERIDO_TIPOH,"")))</f>
        <v>100</v>
      </c>
      <c r="AI112" s="259">
        <f t="shared" si="120"/>
        <v>4131</v>
      </c>
      <c r="AJ112" s="259">
        <v>0</v>
      </c>
      <c r="AK112" s="259">
        <f t="shared" si="121"/>
        <v>4131</v>
      </c>
      <c r="AL112" s="260">
        <f t="shared" si="122"/>
        <v>735318</v>
      </c>
      <c r="AM112" s="260">
        <v>0</v>
      </c>
      <c r="AN112" s="260">
        <f t="shared" si="123"/>
        <v>735318</v>
      </c>
      <c r="AO112" s="457">
        <f t="shared" si="124"/>
        <v>477578</v>
      </c>
      <c r="AP112" s="456">
        <f t="shared" si="125"/>
        <v>85008884</v>
      </c>
      <c r="AQ112" s="263" t="e">
        <f>#REF!+AH112+AA112+T112+M112</f>
        <v>#REF!</v>
      </c>
      <c r="AR112" s="263">
        <f t="shared" si="84"/>
        <v>85201630</v>
      </c>
      <c r="AS112" s="263" t="e">
        <f t="shared" si="85"/>
        <v>#REF!</v>
      </c>
      <c r="AT112" s="263">
        <f t="shared" si="86"/>
        <v>85539552</v>
      </c>
      <c r="AU112" s="263" t="e">
        <f t="shared" si="87"/>
        <v>#REF!</v>
      </c>
      <c r="AV112" s="263">
        <f t="shared" si="88"/>
        <v>111380880</v>
      </c>
      <c r="AW112" s="263" t="e">
        <f t="shared" si="89"/>
        <v>#REF!</v>
      </c>
      <c r="AX112" s="263" t="e">
        <f>AV112+#REF!+AH112+AA112+T112</f>
        <v>#REF!</v>
      </c>
      <c r="AY112" s="263" t="e">
        <f t="shared" si="90"/>
        <v>#REF!</v>
      </c>
      <c r="AZ112" s="263" t="e">
        <f t="shared" si="91"/>
        <v>#REF!</v>
      </c>
      <c r="BA112" s="263" t="e">
        <f t="shared" si="92"/>
        <v>#REF!</v>
      </c>
      <c r="BB112" s="263" t="e">
        <f t="shared" si="93"/>
        <v>#REF!</v>
      </c>
      <c r="BC112" s="263" t="e">
        <f t="shared" si="94"/>
        <v>#REF!</v>
      </c>
      <c r="BD112" s="263" t="e">
        <f t="shared" si="95"/>
        <v>#REF!</v>
      </c>
      <c r="BE112" s="263" t="e">
        <f>BC112+AV112+#REF!+AH112+AA112</f>
        <v>#REF!</v>
      </c>
      <c r="BF112" s="263" t="e">
        <f t="shared" si="96"/>
        <v>#REF!</v>
      </c>
      <c r="BG112" s="263" t="e">
        <f t="shared" si="97"/>
        <v>#REF!</v>
      </c>
    </row>
    <row r="113" spans="1:59" ht="15.75">
      <c r="A113" s="338">
        <v>8</v>
      </c>
      <c r="B113" s="338" t="s">
        <v>1</v>
      </c>
      <c r="C113" s="258">
        <v>46</v>
      </c>
      <c r="D113" s="328" t="s">
        <v>64</v>
      </c>
      <c r="E113" s="258" t="s">
        <v>9</v>
      </c>
      <c r="F113" s="431">
        <f t="array" ref="F113">MAX((IF(MNU_CODIGO_ALIMENTO_ENTREGA=CONCATENATE($C113,"_","P_"),MNU_GRAMAJE_REQUERIDO_TIPOA,"")))</f>
        <v>100</v>
      </c>
      <c r="G113" s="259">
        <f t="shared" si="98"/>
        <v>117150</v>
      </c>
      <c r="H113" s="259">
        <f t="shared" si="99"/>
        <v>45936</v>
      </c>
      <c r="I113" s="259">
        <f t="shared" si="100"/>
        <v>163086</v>
      </c>
      <c r="J113" s="260">
        <f t="shared" si="101"/>
        <v>48968700</v>
      </c>
      <c r="K113" s="260">
        <f t="shared" si="102"/>
        <v>19201248</v>
      </c>
      <c r="L113" s="260">
        <f t="shared" si="103"/>
        <v>68169948</v>
      </c>
      <c r="M113" s="432">
        <f t="array" ref="M113">MAX((IF(MNU_CODIGO_ALIMENTO_ENTREGA=CONCATENATE($C113,"_","P_"),MNU_GRAMAJE_REQUERIDO_TIPOB,"")))</f>
        <v>100</v>
      </c>
      <c r="N113" s="348">
        <f t="shared" si="104"/>
        <v>112287</v>
      </c>
      <c r="O113" s="348">
        <f t="shared" si="105"/>
        <v>75168</v>
      </c>
      <c r="P113" s="348">
        <f t="shared" si="106"/>
        <v>187455</v>
      </c>
      <c r="Q113" s="349">
        <f t="shared" si="107"/>
        <v>46935966</v>
      </c>
      <c r="R113" s="349">
        <f t="shared" si="108"/>
        <v>31420224</v>
      </c>
      <c r="S113" s="349">
        <f t="shared" si="109"/>
        <v>78356190</v>
      </c>
      <c r="T113" s="353">
        <f t="array" ref="T113">MAX((IF(MNU_CODIGO_ALIMENTO_ENTREGA=CONCATENATE($C113,"_","P_"),MNU_GRAMAJE_REQUERIDO_TIPOC,"")))</f>
        <v>100</v>
      </c>
      <c r="U113" s="259">
        <f t="shared" si="110"/>
        <v>115773</v>
      </c>
      <c r="V113" s="259">
        <f t="shared" si="111"/>
        <v>76320</v>
      </c>
      <c r="W113" s="259">
        <f t="shared" si="112"/>
        <v>192093</v>
      </c>
      <c r="X113" s="260">
        <f t="shared" si="113"/>
        <v>48393114</v>
      </c>
      <c r="Y113" s="260">
        <f t="shared" si="114"/>
        <v>31901760</v>
      </c>
      <c r="Z113" s="260">
        <f t="shared" si="115"/>
        <v>80294874</v>
      </c>
      <c r="AA113" s="258">
        <f t="array" ref="AA113">MAX((IF(MNU_CODIGO_ALIMENTO_ENTREGA=CONCATENATE($C113,"_","P_"),MNU_GRAMAJE_REQUERIDO_TIPOM,"")))</f>
        <v>100</v>
      </c>
      <c r="AB113" s="261">
        <f t="shared" si="116"/>
        <v>4935</v>
      </c>
      <c r="AC113" s="261">
        <v>0</v>
      </c>
      <c r="AD113" s="261">
        <f t="shared" si="117"/>
        <v>4935</v>
      </c>
      <c r="AE113" s="262">
        <f t="shared" si="118"/>
        <v>2062830</v>
      </c>
      <c r="AF113" s="262">
        <v>0</v>
      </c>
      <c r="AG113" s="262">
        <f t="shared" si="119"/>
        <v>2062830</v>
      </c>
      <c r="AH113" s="353">
        <f t="array" ref="AH113">MAX((IF(MNU_CODIGO_ALIMENTO_ENTREGA=CONCATENATE($C113,"_","P_"),MNU_GRAMAJE_REQUERIDO_TIPOH,"")))</f>
        <v>100</v>
      </c>
      <c r="AI113" s="259">
        <f t="shared" si="120"/>
        <v>5103</v>
      </c>
      <c r="AJ113" s="259">
        <v>0</v>
      </c>
      <c r="AK113" s="259">
        <f t="shared" si="121"/>
        <v>5103</v>
      </c>
      <c r="AL113" s="260">
        <f t="shared" si="122"/>
        <v>2133054</v>
      </c>
      <c r="AM113" s="260">
        <v>0</v>
      </c>
      <c r="AN113" s="260">
        <f t="shared" si="123"/>
        <v>2133054</v>
      </c>
      <c r="AO113" s="457">
        <f t="shared" si="124"/>
        <v>552672</v>
      </c>
      <c r="AP113" s="456">
        <f t="shared" si="125"/>
        <v>231016896</v>
      </c>
      <c r="AQ113" s="263" t="e">
        <f>#REF!+AH113+AA113+T113+M113</f>
        <v>#REF!</v>
      </c>
      <c r="AR113" s="263">
        <f t="shared" si="84"/>
        <v>231254994</v>
      </c>
      <c r="AS113" s="263" t="e">
        <f t="shared" si="85"/>
        <v>#REF!</v>
      </c>
      <c r="AT113" s="263">
        <f t="shared" si="86"/>
        <v>231644580</v>
      </c>
      <c r="AU113" s="263" t="e">
        <f t="shared" si="87"/>
        <v>#REF!</v>
      </c>
      <c r="AV113" s="263">
        <f t="shared" si="88"/>
        <v>294966564</v>
      </c>
      <c r="AW113" s="263" t="e">
        <f t="shared" si="89"/>
        <v>#REF!</v>
      </c>
      <c r="AX113" s="263" t="e">
        <f>AV113+#REF!+AH113+AA113+T113</f>
        <v>#REF!</v>
      </c>
      <c r="AY113" s="263" t="e">
        <f t="shared" si="90"/>
        <v>#REF!</v>
      </c>
      <c r="AZ113" s="263" t="e">
        <f t="shared" si="91"/>
        <v>#REF!</v>
      </c>
      <c r="BA113" s="263" t="e">
        <f t="shared" si="92"/>
        <v>#REF!</v>
      </c>
      <c r="BB113" s="263" t="e">
        <f t="shared" si="93"/>
        <v>#REF!</v>
      </c>
      <c r="BC113" s="263" t="e">
        <f t="shared" si="94"/>
        <v>#REF!</v>
      </c>
      <c r="BD113" s="263" t="e">
        <f t="shared" si="95"/>
        <v>#REF!</v>
      </c>
      <c r="BE113" s="263" t="e">
        <f>BC113+AV113+#REF!+AH113+AA113</f>
        <v>#REF!</v>
      </c>
      <c r="BF113" s="263" t="e">
        <f t="shared" si="96"/>
        <v>#REF!</v>
      </c>
      <c r="BG113" s="263" t="e">
        <f t="shared" si="97"/>
        <v>#REF!</v>
      </c>
    </row>
    <row r="114" spans="1:59" ht="15.75">
      <c r="A114" s="338">
        <v>8</v>
      </c>
      <c r="B114" s="338" t="s">
        <v>1</v>
      </c>
      <c r="C114" s="258">
        <v>58</v>
      </c>
      <c r="D114" s="328" t="s">
        <v>67</v>
      </c>
      <c r="E114" s="258" t="s">
        <v>9</v>
      </c>
      <c r="F114" s="431">
        <f t="array" ref="F114">MAX((IF(MNU_CODIGO_ALIMENTO_ENTREGA=CONCATENATE($C114,"_","P_"),MNU_GRAMAJE_REQUERIDO_TIPOA,"")))</f>
        <v>100</v>
      </c>
      <c r="G114" s="259">
        <f t="shared" si="98"/>
        <v>93720</v>
      </c>
      <c r="H114" s="259">
        <f t="shared" si="99"/>
        <v>44352</v>
      </c>
      <c r="I114" s="259">
        <f t="shared" si="100"/>
        <v>138072</v>
      </c>
      <c r="J114" s="260">
        <f t="shared" si="101"/>
        <v>15182640</v>
      </c>
      <c r="K114" s="260">
        <f t="shared" si="102"/>
        <v>7185024</v>
      </c>
      <c r="L114" s="260">
        <f t="shared" si="103"/>
        <v>22367664</v>
      </c>
      <c r="M114" s="432">
        <f t="array" ref="M114">MAX((IF(MNU_CODIGO_ALIMENTO_ENTREGA=CONCATENATE($C114,"_","P_"),MNU_GRAMAJE_REQUERIDO_TIPOB,"")))</f>
        <v>100</v>
      </c>
      <c r="N114" s="348">
        <f t="shared" si="104"/>
        <v>122981</v>
      </c>
      <c r="O114" s="348">
        <f t="shared" si="105"/>
        <v>72036</v>
      </c>
      <c r="P114" s="348">
        <f t="shared" si="106"/>
        <v>195017</v>
      </c>
      <c r="Q114" s="349">
        <f t="shared" si="107"/>
        <v>19922922</v>
      </c>
      <c r="R114" s="349">
        <f t="shared" si="108"/>
        <v>11669832</v>
      </c>
      <c r="S114" s="349">
        <f t="shared" si="109"/>
        <v>31592754</v>
      </c>
      <c r="T114" s="353">
        <f t="array" ref="T114">MAX((IF(MNU_CODIGO_ALIMENTO_ENTREGA=CONCATENATE($C114,"_","P_"),MNU_GRAMAJE_REQUERIDO_TIPOC,"")))</f>
        <v>100</v>
      </c>
      <c r="U114" s="259">
        <f t="shared" si="110"/>
        <v>126799</v>
      </c>
      <c r="V114" s="259">
        <f t="shared" si="111"/>
        <v>73140</v>
      </c>
      <c r="W114" s="259">
        <f t="shared" si="112"/>
        <v>199939</v>
      </c>
      <c r="X114" s="260">
        <f t="shared" si="113"/>
        <v>20541438</v>
      </c>
      <c r="Y114" s="260">
        <f t="shared" si="114"/>
        <v>11848680</v>
      </c>
      <c r="Z114" s="260">
        <f t="shared" si="115"/>
        <v>32390118</v>
      </c>
      <c r="AA114" s="258">
        <f t="array" ref="AA114">MAX((IF(MNU_CODIGO_ALIMENTO_ENTREGA=CONCATENATE($C114,"_","P_"),MNU_GRAMAJE_REQUERIDO_TIPOM,"")))</f>
        <v>100</v>
      </c>
      <c r="AB114" s="261">
        <f t="shared" si="116"/>
        <v>5405</v>
      </c>
      <c r="AC114" s="261">
        <v>0</v>
      </c>
      <c r="AD114" s="261">
        <f t="shared" si="117"/>
        <v>5405</v>
      </c>
      <c r="AE114" s="262">
        <f t="shared" si="118"/>
        <v>875610</v>
      </c>
      <c r="AF114" s="262">
        <v>0</v>
      </c>
      <c r="AG114" s="262">
        <f t="shared" si="119"/>
        <v>875610</v>
      </c>
      <c r="AH114" s="353">
        <f t="array" ref="AH114">MAX((IF(MNU_CODIGO_ALIMENTO_ENTREGA=CONCATENATE($C114,"_","P_"),MNU_GRAMAJE_REQUERIDO_TIPOH,"")))</f>
        <v>100</v>
      </c>
      <c r="AI114" s="259">
        <f t="shared" si="120"/>
        <v>5589</v>
      </c>
      <c r="AJ114" s="259">
        <v>0</v>
      </c>
      <c r="AK114" s="259">
        <f t="shared" si="121"/>
        <v>5589</v>
      </c>
      <c r="AL114" s="260">
        <f t="shared" si="122"/>
        <v>905418</v>
      </c>
      <c r="AM114" s="260">
        <v>0</v>
      </c>
      <c r="AN114" s="260">
        <f t="shared" si="123"/>
        <v>905418</v>
      </c>
      <c r="AO114" s="457">
        <f t="shared" si="124"/>
        <v>544022</v>
      </c>
      <c r="AP114" s="456">
        <f t="shared" si="125"/>
        <v>88131564</v>
      </c>
      <c r="AQ114" s="263" t="e">
        <f>#REF!+AH114+AA114+T114+M114</f>
        <v>#REF!</v>
      </c>
      <c r="AR114" s="263">
        <f t="shared" si="84"/>
        <v>88392338</v>
      </c>
      <c r="AS114" s="263" t="e">
        <f t="shared" si="85"/>
        <v>#REF!</v>
      </c>
      <c r="AT114" s="263">
        <f t="shared" si="86"/>
        <v>88798288</v>
      </c>
      <c r="AU114" s="263" t="e">
        <f t="shared" si="87"/>
        <v>#REF!</v>
      </c>
      <c r="AV114" s="263">
        <f t="shared" si="88"/>
        <v>112316800</v>
      </c>
      <c r="AW114" s="263" t="e">
        <f t="shared" si="89"/>
        <v>#REF!</v>
      </c>
      <c r="AX114" s="263" t="e">
        <f>AV114+#REF!+AH114+AA114+T114</f>
        <v>#REF!</v>
      </c>
      <c r="AY114" s="263" t="e">
        <f t="shared" si="90"/>
        <v>#REF!</v>
      </c>
      <c r="AZ114" s="263" t="e">
        <f t="shared" si="91"/>
        <v>#REF!</v>
      </c>
      <c r="BA114" s="263" t="e">
        <f t="shared" si="92"/>
        <v>#REF!</v>
      </c>
      <c r="BB114" s="263" t="e">
        <f t="shared" si="93"/>
        <v>#REF!</v>
      </c>
      <c r="BC114" s="263" t="e">
        <f t="shared" si="94"/>
        <v>#REF!</v>
      </c>
      <c r="BD114" s="263" t="e">
        <f t="shared" si="95"/>
        <v>#REF!</v>
      </c>
      <c r="BE114" s="263" t="e">
        <f>BC114+AV114+#REF!+AH114+AA114</f>
        <v>#REF!</v>
      </c>
      <c r="BF114" s="263" t="e">
        <f t="shared" si="96"/>
        <v>#REF!</v>
      </c>
      <c r="BG114" s="263" t="e">
        <f t="shared" si="97"/>
        <v>#REF!</v>
      </c>
    </row>
    <row r="115" spans="1:59" ht="15.75">
      <c r="A115" s="338">
        <v>8</v>
      </c>
      <c r="B115" s="338" t="s">
        <v>1</v>
      </c>
      <c r="C115" s="258">
        <v>59</v>
      </c>
      <c r="D115" s="328" t="s">
        <v>99</v>
      </c>
      <c r="E115" s="258" t="s">
        <v>9</v>
      </c>
      <c r="F115" s="431">
        <f t="array" ref="F115">MAX((IF(MNU_CODIGO_ALIMENTO_ENTREGA=CONCATENATE($C115,"_","P_"),MNU_GRAMAJE_REQUERIDO_TIPOA,"")))</f>
        <v>0</v>
      </c>
      <c r="G115" s="259">
        <f t="shared" si="98"/>
        <v>0</v>
      </c>
      <c r="H115" s="259">
        <f t="shared" si="99"/>
        <v>0</v>
      </c>
      <c r="I115" s="259">
        <f t="shared" si="100"/>
        <v>0</v>
      </c>
      <c r="J115" s="260">
        <f t="shared" si="101"/>
        <v>0</v>
      </c>
      <c r="K115" s="260">
        <f t="shared" si="102"/>
        <v>0</v>
      </c>
      <c r="L115" s="260">
        <f t="shared" si="103"/>
        <v>0</v>
      </c>
      <c r="M115" s="432">
        <f t="array" ref="M115">MAX((IF(MNU_CODIGO_ALIMENTO_ENTREGA=CONCATENATE($C115,"_","P_"),MNU_GRAMAJE_REQUERIDO_TIPOB,"")))</f>
        <v>100</v>
      </c>
      <c r="N115" s="348">
        <f t="shared" si="104"/>
        <v>42776</v>
      </c>
      <c r="O115" s="348">
        <f t="shared" si="105"/>
        <v>34452</v>
      </c>
      <c r="P115" s="348">
        <f t="shared" si="106"/>
        <v>77228</v>
      </c>
      <c r="Q115" s="349">
        <f t="shared" si="107"/>
        <v>12832800</v>
      </c>
      <c r="R115" s="349">
        <f t="shared" si="108"/>
        <v>10335600</v>
      </c>
      <c r="S115" s="349">
        <f t="shared" si="109"/>
        <v>23168400</v>
      </c>
      <c r="T115" s="353">
        <f t="array" ref="T115">MAX((IF(MNU_CODIGO_ALIMENTO_ENTREGA=CONCATENATE($C115,"_","P_"),MNU_GRAMAJE_REQUERIDO_TIPOC,"")))</f>
        <v>100</v>
      </c>
      <c r="U115" s="259">
        <f t="shared" si="110"/>
        <v>44104</v>
      </c>
      <c r="V115" s="259">
        <f t="shared" si="111"/>
        <v>34980</v>
      </c>
      <c r="W115" s="259">
        <f t="shared" si="112"/>
        <v>79084</v>
      </c>
      <c r="X115" s="260">
        <f t="shared" si="113"/>
        <v>13231200</v>
      </c>
      <c r="Y115" s="260">
        <f t="shared" si="114"/>
        <v>10494000</v>
      </c>
      <c r="Z115" s="260">
        <f t="shared" si="115"/>
        <v>23725200</v>
      </c>
      <c r="AA115" s="258">
        <f t="array" ref="AA115">MAX((IF(MNU_CODIGO_ALIMENTO_ENTREGA=CONCATENATE($C115,"_","P_"),MNU_GRAMAJE_REQUERIDO_TIPOM,"")))</f>
        <v>100</v>
      </c>
      <c r="AB115" s="261">
        <f t="shared" si="116"/>
        <v>1880</v>
      </c>
      <c r="AC115" s="261">
        <v>0</v>
      </c>
      <c r="AD115" s="261">
        <f t="shared" si="117"/>
        <v>1880</v>
      </c>
      <c r="AE115" s="262">
        <f t="shared" si="118"/>
        <v>564000</v>
      </c>
      <c r="AF115" s="262">
        <v>0</v>
      </c>
      <c r="AG115" s="262">
        <f t="shared" si="119"/>
        <v>564000</v>
      </c>
      <c r="AH115" s="353">
        <f t="array" ref="AH115">MAX((IF(MNU_CODIGO_ALIMENTO_ENTREGA=CONCATENATE($C115,"_","P_"),MNU_GRAMAJE_REQUERIDO_TIPOH,"")))</f>
        <v>100</v>
      </c>
      <c r="AI115" s="259">
        <f t="shared" si="120"/>
        <v>1944</v>
      </c>
      <c r="AJ115" s="259">
        <v>0</v>
      </c>
      <c r="AK115" s="259">
        <f t="shared" si="121"/>
        <v>1944</v>
      </c>
      <c r="AL115" s="260">
        <f t="shared" si="122"/>
        <v>583200</v>
      </c>
      <c r="AM115" s="260">
        <v>0</v>
      </c>
      <c r="AN115" s="260">
        <f t="shared" si="123"/>
        <v>583200</v>
      </c>
      <c r="AO115" s="457">
        <f t="shared" si="124"/>
        <v>160136</v>
      </c>
      <c r="AP115" s="456">
        <f t="shared" si="125"/>
        <v>48040800</v>
      </c>
      <c r="AQ115" s="263" t="e">
        <f>#REF!+AH115+AA115+T115+M115</f>
        <v>#REF!</v>
      </c>
      <c r="AR115" s="263">
        <f t="shared" si="84"/>
        <v>48131504</v>
      </c>
      <c r="AS115" s="263" t="e">
        <f t="shared" si="85"/>
        <v>#REF!</v>
      </c>
      <c r="AT115" s="263">
        <f t="shared" si="86"/>
        <v>48291640</v>
      </c>
      <c r="AU115" s="263" t="e">
        <f t="shared" si="87"/>
        <v>#REF!</v>
      </c>
      <c r="AV115" s="263">
        <f t="shared" si="88"/>
        <v>69121240</v>
      </c>
      <c r="AW115" s="263" t="e">
        <f t="shared" si="89"/>
        <v>#REF!</v>
      </c>
      <c r="AX115" s="263" t="e">
        <f>AV115+#REF!+AH115+AA115+T115</f>
        <v>#REF!</v>
      </c>
      <c r="AY115" s="263" t="e">
        <f t="shared" si="90"/>
        <v>#REF!</v>
      </c>
      <c r="AZ115" s="263" t="e">
        <f t="shared" si="91"/>
        <v>#REF!</v>
      </c>
      <c r="BA115" s="263" t="e">
        <f t="shared" si="92"/>
        <v>#REF!</v>
      </c>
      <c r="BB115" s="263" t="e">
        <f t="shared" si="93"/>
        <v>#REF!</v>
      </c>
      <c r="BC115" s="263" t="e">
        <f t="shared" si="94"/>
        <v>#REF!</v>
      </c>
      <c r="BD115" s="263" t="e">
        <f t="shared" si="95"/>
        <v>#REF!</v>
      </c>
      <c r="BE115" s="263" t="e">
        <f>BC115+AV115+#REF!+AH115+AA115</f>
        <v>#REF!</v>
      </c>
      <c r="BF115" s="263" t="e">
        <f t="shared" si="96"/>
        <v>#REF!</v>
      </c>
      <c r="BG115" s="263" t="e">
        <f t="shared" si="97"/>
        <v>#REF!</v>
      </c>
    </row>
    <row r="116" spans="1:59" ht="15.75">
      <c r="A116" s="338">
        <v>8</v>
      </c>
      <c r="B116" s="338" t="s">
        <v>1</v>
      </c>
      <c r="C116" s="258">
        <v>69</v>
      </c>
      <c r="D116" s="328" t="s">
        <v>70</v>
      </c>
      <c r="E116" s="258" t="s">
        <v>9</v>
      </c>
      <c r="F116" s="431">
        <f t="array" ref="F116">MAX((IF(MNU_CODIGO_ALIMENTO_ENTREGA=CONCATENATE($C116,"_","P_"),MNU_GRAMAJE_REQUERIDO_TIPOA,"")))</f>
        <v>100</v>
      </c>
      <c r="G116" s="259">
        <f t="shared" si="98"/>
        <v>117150</v>
      </c>
      <c r="H116" s="259">
        <f t="shared" si="99"/>
        <v>28512</v>
      </c>
      <c r="I116" s="259">
        <f t="shared" si="100"/>
        <v>145662</v>
      </c>
      <c r="J116" s="260">
        <f t="shared" si="101"/>
        <v>37488000</v>
      </c>
      <c r="K116" s="260">
        <f t="shared" si="102"/>
        <v>9123840</v>
      </c>
      <c r="L116" s="260">
        <f t="shared" si="103"/>
        <v>46611840</v>
      </c>
      <c r="M116" s="432">
        <f t="array" ref="M116">MAX((IF(MNU_CODIGO_ALIMENTO_ENTREGA=CONCATENATE($C116,"_","P_"),MNU_GRAMAJE_REQUERIDO_TIPOB,"")))</f>
        <v>100</v>
      </c>
      <c r="N116" s="348">
        <f t="shared" si="104"/>
        <v>85552</v>
      </c>
      <c r="O116" s="348">
        <f t="shared" si="105"/>
        <v>37584</v>
      </c>
      <c r="P116" s="348">
        <f t="shared" si="106"/>
        <v>123136</v>
      </c>
      <c r="Q116" s="349">
        <f t="shared" si="107"/>
        <v>27376640</v>
      </c>
      <c r="R116" s="349">
        <f t="shared" si="108"/>
        <v>12026880</v>
      </c>
      <c r="S116" s="349">
        <f t="shared" si="109"/>
        <v>39403520</v>
      </c>
      <c r="T116" s="353">
        <f t="array" ref="T116">MAX((IF(MNU_CODIGO_ALIMENTO_ENTREGA=CONCATENATE($C116,"_","P_"),MNU_GRAMAJE_REQUERIDO_TIPOC,"")))</f>
        <v>100</v>
      </c>
      <c r="U116" s="259">
        <f t="shared" si="110"/>
        <v>88208</v>
      </c>
      <c r="V116" s="259">
        <f t="shared" si="111"/>
        <v>38160</v>
      </c>
      <c r="W116" s="259">
        <f t="shared" si="112"/>
        <v>126368</v>
      </c>
      <c r="X116" s="260">
        <f t="shared" si="113"/>
        <v>28226560</v>
      </c>
      <c r="Y116" s="260">
        <f t="shared" si="114"/>
        <v>12211200</v>
      </c>
      <c r="Z116" s="260">
        <f t="shared" si="115"/>
        <v>40437760</v>
      </c>
      <c r="AA116" s="258">
        <f t="array" ref="AA116">MAX((IF(MNU_CODIGO_ALIMENTO_ENTREGA=CONCATENATE($C116,"_","P_"),MNU_GRAMAJE_REQUERIDO_TIPOM,"")))</f>
        <v>100</v>
      </c>
      <c r="AB116" s="261">
        <f t="shared" si="116"/>
        <v>3760</v>
      </c>
      <c r="AC116" s="261">
        <v>0</v>
      </c>
      <c r="AD116" s="261">
        <f t="shared" si="117"/>
        <v>3760</v>
      </c>
      <c r="AE116" s="262">
        <f t="shared" si="118"/>
        <v>1203200</v>
      </c>
      <c r="AF116" s="262">
        <v>0</v>
      </c>
      <c r="AG116" s="262">
        <f t="shared" si="119"/>
        <v>1203200</v>
      </c>
      <c r="AH116" s="353">
        <f t="array" ref="AH116">MAX((IF(MNU_CODIGO_ALIMENTO_ENTREGA=CONCATENATE($C116,"_","P_"),MNU_GRAMAJE_REQUERIDO_TIPOH,"")))</f>
        <v>100</v>
      </c>
      <c r="AI116" s="259">
        <f t="shared" si="120"/>
        <v>3888</v>
      </c>
      <c r="AJ116" s="259">
        <v>0</v>
      </c>
      <c r="AK116" s="259">
        <f t="shared" si="121"/>
        <v>3888</v>
      </c>
      <c r="AL116" s="260">
        <f t="shared" si="122"/>
        <v>1244160</v>
      </c>
      <c r="AM116" s="260">
        <v>0</v>
      </c>
      <c r="AN116" s="260">
        <f t="shared" si="123"/>
        <v>1244160</v>
      </c>
      <c r="AO116" s="457">
        <f t="shared" si="124"/>
        <v>402814</v>
      </c>
      <c r="AP116" s="456">
        <f t="shared" si="125"/>
        <v>128900480</v>
      </c>
      <c r="AQ116" s="263" t="e">
        <f>#REF!+AH116+AA116+T116+M116</f>
        <v>#REF!</v>
      </c>
      <c r="AR116" s="263">
        <f t="shared" si="84"/>
        <v>129081888</v>
      </c>
      <c r="AS116" s="263" t="e">
        <f t="shared" si="85"/>
        <v>#REF!</v>
      </c>
      <c r="AT116" s="263">
        <f t="shared" si="86"/>
        <v>129339040</v>
      </c>
      <c r="AU116" s="263" t="e">
        <f t="shared" si="87"/>
        <v>#REF!</v>
      </c>
      <c r="AV116" s="263">
        <f t="shared" si="88"/>
        <v>153577120</v>
      </c>
      <c r="AW116" s="263" t="e">
        <f t="shared" si="89"/>
        <v>#REF!</v>
      </c>
      <c r="AX116" s="263" t="e">
        <f>AV116+#REF!+AH116+AA116+T116</f>
        <v>#REF!</v>
      </c>
      <c r="AY116" s="263" t="e">
        <f t="shared" si="90"/>
        <v>#REF!</v>
      </c>
      <c r="AZ116" s="263" t="e">
        <f t="shared" si="91"/>
        <v>#REF!</v>
      </c>
      <c r="BA116" s="263" t="e">
        <f t="shared" si="92"/>
        <v>#REF!</v>
      </c>
      <c r="BB116" s="263" t="e">
        <f t="shared" si="93"/>
        <v>#REF!</v>
      </c>
      <c r="BC116" s="263" t="e">
        <f t="shared" si="94"/>
        <v>#REF!</v>
      </c>
      <c r="BD116" s="263" t="e">
        <f t="shared" si="95"/>
        <v>#REF!</v>
      </c>
      <c r="BE116" s="263" t="e">
        <f>BC116+AV116+#REF!+AH116+AA116</f>
        <v>#REF!</v>
      </c>
      <c r="BF116" s="263" t="e">
        <f t="shared" si="96"/>
        <v>#REF!</v>
      </c>
      <c r="BG116" s="263" t="e">
        <f t="shared" si="97"/>
        <v>#REF!</v>
      </c>
    </row>
    <row r="117" spans="1:59" ht="15.75">
      <c r="A117" s="338">
        <v>8</v>
      </c>
      <c r="B117" s="338" t="s">
        <v>1</v>
      </c>
      <c r="C117" s="258">
        <v>70</v>
      </c>
      <c r="D117" s="328" t="s">
        <v>71</v>
      </c>
      <c r="E117" s="258" t="s">
        <v>9</v>
      </c>
      <c r="F117" s="431">
        <f t="array" ref="F117">MAX((IF(MNU_CODIGO_ALIMENTO_ENTREGA=CONCATENATE($C117,"_","P_"),MNU_GRAMAJE_REQUERIDO_TIPOA,"")))</f>
        <v>0</v>
      </c>
      <c r="G117" s="259">
        <f t="shared" si="98"/>
        <v>0</v>
      </c>
      <c r="H117" s="259">
        <f t="shared" si="99"/>
        <v>0</v>
      </c>
      <c r="I117" s="259">
        <f t="shared" si="100"/>
        <v>0</v>
      </c>
      <c r="J117" s="260">
        <f t="shared" si="101"/>
        <v>0</v>
      </c>
      <c r="K117" s="260">
        <f t="shared" si="102"/>
        <v>0</v>
      </c>
      <c r="L117" s="260">
        <f t="shared" si="103"/>
        <v>0</v>
      </c>
      <c r="M117" s="432">
        <f t="array" ref="M117">MAX((IF(MNU_CODIGO_ALIMENTO_ENTREGA=CONCATENATE($C117,"_","P_"),MNU_GRAMAJE_REQUERIDO_TIPOB,"")))</f>
        <v>100</v>
      </c>
      <c r="N117" s="348">
        <f t="shared" si="104"/>
        <v>53470</v>
      </c>
      <c r="O117" s="348">
        <f t="shared" si="105"/>
        <v>25056</v>
      </c>
      <c r="P117" s="348">
        <f t="shared" si="106"/>
        <v>78526</v>
      </c>
      <c r="Q117" s="349">
        <f t="shared" si="107"/>
        <v>24382320</v>
      </c>
      <c r="R117" s="349">
        <f t="shared" si="108"/>
        <v>11425536</v>
      </c>
      <c r="S117" s="349">
        <f t="shared" si="109"/>
        <v>35807856</v>
      </c>
      <c r="T117" s="353">
        <f t="array" ref="T117">MAX((IF(MNU_CODIGO_ALIMENTO_ENTREGA=CONCATENATE($C117,"_","P_"),MNU_GRAMAJE_REQUERIDO_TIPOC,"")))</f>
        <v>100</v>
      </c>
      <c r="U117" s="259">
        <f t="shared" si="110"/>
        <v>55130</v>
      </c>
      <c r="V117" s="259">
        <f t="shared" si="111"/>
        <v>25440</v>
      </c>
      <c r="W117" s="259">
        <f t="shared" si="112"/>
        <v>80570</v>
      </c>
      <c r="X117" s="260">
        <f t="shared" si="113"/>
        <v>25139280</v>
      </c>
      <c r="Y117" s="260">
        <f t="shared" si="114"/>
        <v>11600640</v>
      </c>
      <c r="Z117" s="260">
        <f t="shared" si="115"/>
        <v>36739920</v>
      </c>
      <c r="AA117" s="258">
        <f t="array" ref="AA117">MAX((IF(MNU_CODIGO_ALIMENTO_ENTREGA=CONCATENATE($C117,"_","P_"),MNU_GRAMAJE_REQUERIDO_TIPOM,"")))</f>
        <v>100</v>
      </c>
      <c r="AB117" s="261">
        <f t="shared" si="116"/>
        <v>2350</v>
      </c>
      <c r="AC117" s="261">
        <v>0</v>
      </c>
      <c r="AD117" s="261">
        <f t="shared" si="117"/>
        <v>2350</v>
      </c>
      <c r="AE117" s="262">
        <f t="shared" si="118"/>
        <v>1071600</v>
      </c>
      <c r="AF117" s="262">
        <v>0</v>
      </c>
      <c r="AG117" s="262">
        <f t="shared" si="119"/>
        <v>1071600</v>
      </c>
      <c r="AH117" s="353">
        <f t="array" ref="AH117">MAX((IF(MNU_CODIGO_ALIMENTO_ENTREGA=CONCATENATE($C117,"_","P_"),MNU_GRAMAJE_REQUERIDO_TIPOH,"")))</f>
        <v>100</v>
      </c>
      <c r="AI117" s="259">
        <f t="shared" si="120"/>
        <v>2430</v>
      </c>
      <c r="AJ117" s="259">
        <v>0</v>
      </c>
      <c r="AK117" s="259">
        <f t="shared" si="121"/>
        <v>2430</v>
      </c>
      <c r="AL117" s="260">
        <f t="shared" si="122"/>
        <v>1108080</v>
      </c>
      <c r="AM117" s="260">
        <v>0</v>
      </c>
      <c r="AN117" s="260">
        <f t="shared" si="123"/>
        <v>1108080</v>
      </c>
      <c r="AO117" s="457">
        <f t="shared" si="124"/>
        <v>163876</v>
      </c>
      <c r="AP117" s="456">
        <f t="shared" si="125"/>
        <v>74727456</v>
      </c>
      <c r="AQ117" s="263" t="e">
        <f>#REF!+AH117+AA117+T117+M117</f>
        <v>#REF!</v>
      </c>
      <c r="AR117" s="263">
        <f t="shared" si="84"/>
        <v>74840836</v>
      </c>
      <c r="AS117" s="263" t="e">
        <f t="shared" si="85"/>
        <v>#REF!</v>
      </c>
      <c r="AT117" s="263">
        <f t="shared" si="86"/>
        <v>75004712</v>
      </c>
      <c r="AU117" s="263" t="e">
        <f t="shared" si="87"/>
        <v>#REF!</v>
      </c>
      <c r="AV117" s="263">
        <f t="shared" si="88"/>
        <v>98030888</v>
      </c>
      <c r="AW117" s="263" t="e">
        <f t="shared" si="89"/>
        <v>#REF!</v>
      </c>
      <c r="AX117" s="263" t="e">
        <f>AV117+#REF!+AH117+AA117+T117</f>
        <v>#REF!</v>
      </c>
      <c r="AY117" s="263" t="e">
        <f t="shared" si="90"/>
        <v>#REF!</v>
      </c>
      <c r="AZ117" s="263" t="e">
        <f t="shared" si="91"/>
        <v>#REF!</v>
      </c>
      <c r="BA117" s="263" t="e">
        <f t="shared" si="92"/>
        <v>#REF!</v>
      </c>
      <c r="BB117" s="263" t="e">
        <f t="shared" si="93"/>
        <v>#REF!</v>
      </c>
      <c r="BC117" s="263" t="e">
        <f t="shared" si="94"/>
        <v>#REF!</v>
      </c>
      <c r="BD117" s="263" t="e">
        <f t="shared" si="95"/>
        <v>#REF!</v>
      </c>
      <c r="BE117" s="263" t="e">
        <f>BC117+AV117+#REF!+AH117+AA117</f>
        <v>#REF!</v>
      </c>
      <c r="BF117" s="263" t="e">
        <f t="shared" si="96"/>
        <v>#REF!</v>
      </c>
      <c r="BG117" s="263" t="e">
        <f t="shared" si="97"/>
        <v>#REF!</v>
      </c>
    </row>
    <row r="118" spans="1:59" ht="15.75">
      <c r="A118" s="338">
        <v>9</v>
      </c>
      <c r="B118" s="338" t="s">
        <v>1</v>
      </c>
      <c r="C118" s="258">
        <v>7</v>
      </c>
      <c r="D118" s="328" t="s">
        <v>57</v>
      </c>
      <c r="E118" s="258" t="s">
        <v>9</v>
      </c>
      <c r="F118" s="431">
        <f t="array" ref="F118">MAX((IF(MNU_CODIGO_ALIMENTO_ENTREGA=CONCATENATE($C118,"_","P_"),MNU_GRAMAJE_REQUERIDO_TIPOA,"")))</f>
        <v>100</v>
      </c>
      <c r="G118" s="259">
        <f t="shared" si="98"/>
        <v>117722</v>
      </c>
      <c r="H118" s="259">
        <f t="shared" si="99"/>
        <v>24273</v>
      </c>
      <c r="I118" s="259">
        <f t="shared" si="100"/>
        <v>141995</v>
      </c>
      <c r="J118" s="260">
        <f t="shared" si="101"/>
        <v>13184864</v>
      </c>
      <c r="K118" s="260">
        <f t="shared" si="102"/>
        <v>2718576</v>
      </c>
      <c r="L118" s="260">
        <f t="shared" si="103"/>
        <v>15903440</v>
      </c>
      <c r="M118" s="432">
        <f t="array" ref="M118">MAX((IF(MNU_CODIGO_ALIMENTO_ENTREGA=CONCATENATE($C118,"_","P_"),MNU_GRAMAJE_REQUERIDO_TIPOB,"")))</f>
        <v>100</v>
      </c>
      <c r="N118" s="348">
        <f t="shared" si="104"/>
        <v>65052</v>
      </c>
      <c r="O118" s="348">
        <f t="shared" si="105"/>
        <v>18535</v>
      </c>
      <c r="P118" s="348">
        <f t="shared" si="106"/>
        <v>83587</v>
      </c>
      <c r="Q118" s="349">
        <f t="shared" si="107"/>
        <v>7285824</v>
      </c>
      <c r="R118" s="349">
        <f t="shared" si="108"/>
        <v>2075920</v>
      </c>
      <c r="S118" s="349">
        <f t="shared" si="109"/>
        <v>9361744</v>
      </c>
      <c r="T118" s="353">
        <f t="array" ref="T118">MAX((IF(MNU_CODIGO_ALIMENTO_ENTREGA=CONCATENATE($C118,"_","P_"),MNU_GRAMAJE_REQUERIDO_TIPOC,"")))</f>
        <v>100</v>
      </c>
      <c r="U118" s="259">
        <f t="shared" si="110"/>
        <v>64404</v>
      </c>
      <c r="V118" s="259">
        <f t="shared" si="111"/>
        <v>32626</v>
      </c>
      <c r="W118" s="259">
        <f t="shared" si="112"/>
        <v>97030</v>
      </c>
      <c r="X118" s="260">
        <f t="shared" si="113"/>
        <v>7213248</v>
      </c>
      <c r="Y118" s="260">
        <f t="shared" si="114"/>
        <v>3654112</v>
      </c>
      <c r="Z118" s="260">
        <f t="shared" si="115"/>
        <v>10867360</v>
      </c>
      <c r="AA118" s="258">
        <f t="array" ref="AA118">MAX((IF(MNU_CODIGO_ALIMENTO_ENTREGA=CONCATENATE($C118,"_","P_"),MNU_GRAMAJE_REQUERIDO_TIPOM,"")))</f>
        <v>100</v>
      </c>
      <c r="AB118" s="261">
        <f t="shared" si="116"/>
        <v>3339</v>
      </c>
      <c r="AC118" s="261">
        <v>0</v>
      </c>
      <c r="AD118" s="261">
        <f t="shared" si="117"/>
        <v>3339</v>
      </c>
      <c r="AE118" s="262">
        <f t="shared" si="118"/>
        <v>373968</v>
      </c>
      <c r="AF118" s="262">
        <v>0</v>
      </c>
      <c r="AG118" s="262">
        <f t="shared" si="119"/>
        <v>373968</v>
      </c>
      <c r="AH118" s="353">
        <f t="array" ref="AH118">MAX((IF(MNU_CODIGO_ALIMENTO_ENTREGA=CONCATENATE($C118,"_","P_"),MNU_GRAMAJE_REQUERIDO_TIPOH,"")))</f>
        <v>100</v>
      </c>
      <c r="AI118" s="259">
        <f t="shared" si="120"/>
        <v>3771</v>
      </c>
      <c r="AJ118" s="259">
        <v>0</v>
      </c>
      <c r="AK118" s="259">
        <f t="shared" si="121"/>
        <v>3771</v>
      </c>
      <c r="AL118" s="260">
        <f t="shared" si="122"/>
        <v>422352</v>
      </c>
      <c r="AM118" s="260">
        <v>0</v>
      </c>
      <c r="AN118" s="260">
        <f t="shared" si="123"/>
        <v>422352</v>
      </c>
      <c r="AO118" s="457">
        <f t="shared" si="124"/>
        <v>329722</v>
      </c>
      <c r="AP118" s="456">
        <f t="shared" si="125"/>
        <v>36928864</v>
      </c>
      <c r="AQ118" s="263" t="e">
        <f>#REF!+AH118+AA118+T118+M118</f>
        <v>#REF!</v>
      </c>
      <c r="AR118" s="263">
        <f t="shared" si="84"/>
        <v>37065430</v>
      </c>
      <c r="AS118" s="263" t="e">
        <f t="shared" si="85"/>
        <v>#REF!</v>
      </c>
      <c r="AT118" s="263">
        <f t="shared" si="86"/>
        <v>37253157</v>
      </c>
      <c r="AU118" s="263" t="e">
        <f t="shared" si="87"/>
        <v>#REF!</v>
      </c>
      <c r="AV118" s="263">
        <f t="shared" si="88"/>
        <v>42983189</v>
      </c>
      <c r="AW118" s="263" t="e">
        <f t="shared" si="89"/>
        <v>#REF!</v>
      </c>
      <c r="AX118" s="263" t="e">
        <f>AV118+#REF!+AH118+AA118+T118</f>
        <v>#REF!</v>
      </c>
      <c r="AY118" s="263" t="e">
        <f t="shared" si="90"/>
        <v>#REF!</v>
      </c>
      <c r="AZ118" s="263" t="e">
        <f t="shared" si="91"/>
        <v>#REF!</v>
      </c>
      <c r="BA118" s="263" t="e">
        <f t="shared" si="92"/>
        <v>#REF!</v>
      </c>
      <c r="BB118" s="263" t="e">
        <f t="shared" si="93"/>
        <v>#REF!</v>
      </c>
      <c r="BC118" s="263" t="e">
        <f t="shared" si="94"/>
        <v>#REF!</v>
      </c>
      <c r="BD118" s="263" t="e">
        <f t="shared" si="95"/>
        <v>#REF!</v>
      </c>
      <c r="BE118" s="263" t="e">
        <f>BC118+AV118+#REF!+AH118+AA118</f>
        <v>#REF!</v>
      </c>
      <c r="BF118" s="263" t="e">
        <f t="shared" si="96"/>
        <v>#REF!</v>
      </c>
      <c r="BG118" s="263" t="e">
        <f t="shared" si="97"/>
        <v>#REF!</v>
      </c>
    </row>
    <row r="119" spans="1:59" ht="15.75">
      <c r="A119" s="338">
        <v>9</v>
      </c>
      <c r="B119" s="338" t="s">
        <v>1</v>
      </c>
      <c r="C119" s="258">
        <v>8</v>
      </c>
      <c r="D119" s="328" t="s">
        <v>55</v>
      </c>
      <c r="E119" s="258" t="s">
        <v>9</v>
      </c>
      <c r="F119" s="431">
        <f t="array" ref="F119">MAX((IF(MNU_CODIGO_ALIMENTO_ENTREGA=CONCATENATE($C119,"_","P_"),MNU_GRAMAJE_REQUERIDO_TIPOA,"")))</f>
        <v>100</v>
      </c>
      <c r="G119" s="259">
        <f t="shared" si="98"/>
        <v>53510</v>
      </c>
      <c r="H119" s="259">
        <f t="shared" si="99"/>
        <v>8613</v>
      </c>
      <c r="I119" s="259">
        <f t="shared" si="100"/>
        <v>62123</v>
      </c>
      <c r="J119" s="260">
        <f t="shared" si="101"/>
        <v>7544910</v>
      </c>
      <c r="K119" s="260">
        <f t="shared" si="102"/>
        <v>1214433</v>
      </c>
      <c r="L119" s="260">
        <f t="shared" si="103"/>
        <v>8759343</v>
      </c>
      <c r="M119" s="432">
        <f t="array" ref="M119">MAX((IF(MNU_CODIGO_ALIMENTO_ENTREGA=CONCATENATE($C119,"_","P_"),MNU_GRAMAJE_REQUERIDO_TIPOB,"")))</f>
        <v>100</v>
      </c>
      <c r="N119" s="348">
        <f t="shared" si="104"/>
        <v>57824</v>
      </c>
      <c r="O119" s="348">
        <f t="shared" si="105"/>
        <v>18535</v>
      </c>
      <c r="P119" s="348">
        <f t="shared" si="106"/>
        <v>76359</v>
      </c>
      <c r="Q119" s="349">
        <f t="shared" si="107"/>
        <v>8153184</v>
      </c>
      <c r="R119" s="349">
        <f t="shared" si="108"/>
        <v>2613435</v>
      </c>
      <c r="S119" s="349">
        <f t="shared" si="109"/>
        <v>10766619</v>
      </c>
      <c r="T119" s="353">
        <f t="array" ref="T119">MAX((IF(MNU_CODIGO_ALIMENTO_ENTREGA=CONCATENATE($C119,"_","P_"),MNU_GRAMAJE_REQUERIDO_TIPOC,"")))</f>
        <v>100</v>
      </c>
      <c r="U119" s="259">
        <f t="shared" si="110"/>
        <v>57248</v>
      </c>
      <c r="V119" s="259">
        <f t="shared" si="111"/>
        <v>32626</v>
      </c>
      <c r="W119" s="259">
        <f t="shared" si="112"/>
        <v>89874</v>
      </c>
      <c r="X119" s="260">
        <f t="shared" si="113"/>
        <v>8071968</v>
      </c>
      <c r="Y119" s="260">
        <f t="shared" si="114"/>
        <v>4600266</v>
      </c>
      <c r="Z119" s="260">
        <f t="shared" si="115"/>
        <v>12672234</v>
      </c>
      <c r="AA119" s="258">
        <f t="array" ref="AA119">MAX((IF(MNU_CODIGO_ALIMENTO_ENTREGA=CONCATENATE($C119,"_","P_"),MNU_GRAMAJE_REQUERIDO_TIPOM,"")))</f>
        <v>100</v>
      </c>
      <c r="AB119" s="261">
        <f t="shared" si="116"/>
        <v>2968</v>
      </c>
      <c r="AC119" s="261">
        <v>0</v>
      </c>
      <c r="AD119" s="261">
        <f t="shared" si="117"/>
        <v>2968</v>
      </c>
      <c r="AE119" s="262">
        <f t="shared" si="118"/>
        <v>418488</v>
      </c>
      <c r="AF119" s="262">
        <v>0</v>
      </c>
      <c r="AG119" s="262">
        <f t="shared" si="119"/>
        <v>418488</v>
      </c>
      <c r="AH119" s="353">
        <f t="array" ref="AH119">MAX((IF(MNU_CODIGO_ALIMENTO_ENTREGA=CONCATENATE($C119,"_","P_"),MNU_GRAMAJE_REQUERIDO_TIPOH,"")))</f>
        <v>100</v>
      </c>
      <c r="AI119" s="259">
        <f t="shared" si="120"/>
        <v>3352</v>
      </c>
      <c r="AJ119" s="259">
        <v>0</v>
      </c>
      <c r="AK119" s="259">
        <f t="shared" si="121"/>
        <v>3352</v>
      </c>
      <c r="AL119" s="260">
        <f t="shared" si="122"/>
        <v>472632</v>
      </c>
      <c r="AM119" s="260">
        <v>0</v>
      </c>
      <c r="AN119" s="260">
        <f t="shared" si="123"/>
        <v>472632</v>
      </c>
      <c r="AO119" s="457">
        <f t="shared" si="124"/>
        <v>234676</v>
      </c>
      <c r="AP119" s="456">
        <f t="shared" si="125"/>
        <v>33089316</v>
      </c>
      <c r="AQ119" s="263" t="e">
        <f>#REF!+AH119+AA119+T119+M119</f>
        <v>#REF!</v>
      </c>
      <c r="AR119" s="263">
        <f t="shared" si="84"/>
        <v>33210708</v>
      </c>
      <c r="AS119" s="263" t="e">
        <f t="shared" si="85"/>
        <v>#REF!</v>
      </c>
      <c r="AT119" s="263">
        <f t="shared" si="86"/>
        <v>33383261</v>
      </c>
      <c r="AU119" s="263" t="e">
        <f t="shared" si="87"/>
        <v>#REF!</v>
      </c>
      <c r="AV119" s="263">
        <f t="shared" si="88"/>
        <v>40596962</v>
      </c>
      <c r="AW119" s="263" t="e">
        <f t="shared" si="89"/>
        <v>#REF!</v>
      </c>
      <c r="AX119" s="263" t="e">
        <f>AV119+#REF!+AH119+AA119+T119</f>
        <v>#REF!</v>
      </c>
      <c r="AY119" s="263" t="e">
        <f t="shared" si="90"/>
        <v>#REF!</v>
      </c>
      <c r="AZ119" s="263" t="e">
        <f t="shared" si="91"/>
        <v>#REF!</v>
      </c>
      <c r="BA119" s="263" t="e">
        <f t="shared" si="92"/>
        <v>#REF!</v>
      </c>
      <c r="BB119" s="263" t="e">
        <f t="shared" si="93"/>
        <v>#REF!</v>
      </c>
      <c r="BC119" s="263" t="e">
        <f t="shared" si="94"/>
        <v>#REF!</v>
      </c>
      <c r="BD119" s="263" t="e">
        <f t="shared" si="95"/>
        <v>#REF!</v>
      </c>
      <c r="BE119" s="263" t="e">
        <f>BC119+AV119+#REF!+AH119+AA119</f>
        <v>#REF!</v>
      </c>
      <c r="BF119" s="263" t="e">
        <f t="shared" si="96"/>
        <v>#REF!</v>
      </c>
      <c r="BG119" s="263" t="e">
        <f t="shared" si="97"/>
        <v>#REF!</v>
      </c>
    </row>
    <row r="120" spans="1:59" ht="15.75">
      <c r="A120" s="338">
        <v>9</v>
      </c>
      <c r="B120" s="338" t="s">
        <v>1</v>
      </c>
      <c r="C120" s="258">
        <v>17</v>
      </c>
      <c r="D120" s="328" t="s">
        <v>53</v>
      </c>
      <c r="E120" s="258" t="s">
        <v>9</v>
      </c>
      <c r="F120" s="431">
        <f t="array" ref="F120">MAX((IF(MNU_CODIGO_ALIMENTO_ENTREGA=CONCATENATE($C120,"_","P_"),MNU_GRAMAJE_REQUERIDO_TIPOA,"")))</f>
        <v>0</v>
      </c>
      <c r="G120" s="259">
        <f t="shared" si="98"/>
        <v>0</v>
      </c>
      <c r="H120" s="259">
        <f t="shared" si="99"/>
        <v>0</v>
      </c>
      <c r="I120" s="259">
        <f t="shared" si="100"/>
        <v>0</v>
      </c>
      <c r="J120" s="260">
        <f t="shared" si="101"/>
        <v>0</v>
      </c>
      <c r="K120" s="260">
        <f t="shared" si="102"/>
        <v>0</v>
      </c>
      <c r="L120" s="260">
        <f t="shared" si="103"/>
        <v>0</v>
      </c>
      <c r="M120" s="432">
        <f t="array" ref="M120">MAX((IF(MNU_CODIGO_ALIMENTO_ENTREGA=CONCATENATE($C120,"_","P_"),MNU_GRAMAJE_REQUERIDO_TIPOB,"")))</f>
        <v>100</v>
      </c>
      <c r="N120" s="348">
        <f t="shared" si="104"/>
        <v>151788</v>
      </c>
      <c r="O120" s="348">
        <f t="shared" si="105"/>
        <v>38755</v>
      </c>
      <c r="P120" s="348">
        <f t="shared" si="106"/>
        <v>190543</v>
      </c>
      <c r="Q120" s="349">
        <f t="shared" si="107"/>
        <v>35973756</v>
      </c>
      <c r="R120" s="349">
        <f t="shared" si="108"/>
        <v>9184935</v>
      </c>
      <c r="S120" s="349">
        <f t="shared" si="109"/>
        <v>45158691</v>
      </c>
      <c r="T120" s="353">
        <f t="array" ref="T120">MAX((IF(MNU_CODIGO_ALIMENTO_ENTREGA=CONCATENATE($C120,"_","P_"),MNU_GRAMAJE_REQUERIDO_TIPOC,"")))</f>
        <v>100</v>
      </c>
      <c r="U120" s="259">
        <f t="shared" si="110"/>
        <v>150276</v>
      </c>
      <c r="V120" s="259">
        <f t="shared" si="111"/>
        <v>68362</v>
      </c>
      <c r="W120" s="259">
        <f t="shared" si="112"/>
        <v>218638</v>
      </c>
      <c r="X120" s="260">
        <f t="shared" si="113"/>
        <v>35615412</v>
      </c>
      <c r="Y120" s="260">
        <f t="shared" si="114"/>
        <v>16201794</v>
      </c>
      <c r="Z120" s="260">
        <f t="shared" si="115"/>
        <v>51817206</v>
      </c>
      <c r="AA120" s="258">
        <f t="array" ref="AA120">MAX((IF(MNU_CODIGO_ALIMENTO_ENTREGA=CONCATENATE($C120,"_","P_"),MNU_GRAMAJE_REQUERIDO_TIPOM,"")))</f>
        <v>100</v>
      </c>
      <c r="AB120" s="261">
        <f t="shared" si="116"/>
        <v>7791</v>
      </c>
      <c r="AC120" s="261">
        <v>0</v>
      </c>
      <c r="AD120" s="261">
        <f t="shared" si="117"/>
        <v>7791</v>
      </c>
      <c r="AE120" s="262">
        <f t="shared" si="118"/>
        <v>1846467</v>
      </c>
      <c r="AF120" s="262">
        <v>0</v>
      </c>
      <c r="AG120" s="262">
        <f t="shared" si="119"/>
        <v>1846467</v>
      </c>
      <c r="AH120" s="353">
        <f t="array" ref="AH120">MAX((IF(MNU_CODIGO_ALIMENTO_ENTREGA=CONCATENATE($C120,"_","P_"),MNU_GRAMAJE_REQUERIDO_TIPOH,"")))</f>
        <v>100</v>
      </c>
      <c r="AI120" s="259">
        <f t="shared" si="120"/>
        <v>8799</v>
      </c>
      <c r="AJ120" s="259">
        <v>0</v>
      </c>
      <c r="AK120" s="259">
        <f t="shared" si="121"/>
        <v>8799</v>
      </c>
      <c r="AL120" s="260">
        <f t="shared" si="122"/>
        <v>2085363</v>
      </c>
      <c r="AM120" s="260">
        <v>0</v>
      </c>
      <c r="AN120" s="260">
        <f t="shared" si="123"/>
        <v>2085363</v>
      </c>
      <c r="AO120" s="457">
        <f t="shared" si="124"/>
        <v>425771</v>
      </c>
      <c r="AP120" s="456">
        <f t="shared" si="125"/>
        <v>100907727</v>
      </c>
      <c r="AQ120" s="263" t="e">
        <f>#REF!+AH120+AA120+T120+M120</f>
        <v>#REF!</v>
      </c>
      <c r="AR120" s="263">
        <f t="shared" si="84"/>
        <v>101226381</v>
      </c>
      <c r="AS120" s="263" t="e">
        <f t="shared" si="85"/>
        <v>#REF!</v>
      </c>
      <c r="AT120" s="263">
        <f t="shared" si="86"/>
        <v>101652152</v>
      </c>
      <c r="AU120" s="263" t="e">
        <f t="shared" si="87"/>
        <v>#REF!</v>
      </c>
      <c r="AV120" s="263">
        <f t="shared" si="88"/>
        <v>127038881</v>
      </c>
      <c r="AW120" s="263" t="e">
        <f t="shared" si="89"/>
        <v>#REF!</v>
      </c>
      <c r="AX120" s="263" t="e">
        <f>AV120+#REF!+AH120+AA120+T120</f>
        <v>#REF!</v>
      </c>
      <c r="AY120" s="263" t="e">
        <f t="shared" si="90"/>
        <v>#REF!</v>
      </c>
      <c r="AZ120" s="263" t="e">
        <f t="shared" si="91"/>
        <v>#REF!</v>
      </c>
      <c r="BA120" s="263" t="e">
        <f t="shared" si="92"/>
        <v>#REF!</v>
      </c>
      <c r="BB120" s="263" t="e">
        <f t="shared" si="93"/>
        <v>#REF!</v>
      </c>
      <c r="BC120" s="263" t="e">
        <f t="shared" si="94"/>
        <v>#REF!</v>
      </c>
      <c r="BD120" s="263" t="e">
        <f t="shared" si="95"/>
        <v>#REF!</v>
      </c>
      <c r="BE120" s="263" t="e">
        <f>BC120+AV120+#REF!+AH120+AA120</f>
        <v>#REF!</v>
      </c>
      <c r="BF120" s="263" t="e">
        <f t="shared" si="96"/>
        <v>#REF!</v>
      </c>
      <c r="BG120" s="263" t="e">
        <f t="shared" si="97"/>
        <v>#REF!</v>
      </c>
    </row>
    <row r="121" spans="1:59" ht="15.75">
      <c r="A121" s="338">
        <v>9</v>
      </c>
      <c r="B121" s="338" t="s">
        <v>1</v>
      </c>
      <c r="C121" s="258">
        <v>22</v>
      </c>
      <c r="D121" s="328" t="s">
        <v>51</v>
      </c>
      <c r="E121" s="258" t="s">
        <v>9</v>
      </c>
      <c r="F121" s="431">
        <f t="array" ref="F121">MAX((IF(MNU_CODIGO_ALIMENTO_ENTREGA=CONCATENATE($C121,"_","P_"),MNU_GRAMAJE_REQUERIDO_TIPOA,"")))</f>
        <v>0</v>
      </c>
      <c r="G121" s="259">
        <f t="shared" si="98"/>
        <v>0</v>
      </c>
      <c r="H121" s="259">
        <f t="shared" si="99"/>
        <v>0</v>
      </c>
      <c r="I121" s="259">
        <f t="shared" si="100"/>
        <v>0</v>
      </c>
      <c r="J121" s="260">
        <f t="shared" si="101"/>
        <v>0</v>
      </c>
      <c r="K121" s="260">
        <f t="shared" si="102"/>
        <v>0</v>
      </c>
      <c r="L121" s="260">
        <f t="shared" si="103"/>
        <v>0</v>
      </c>
      <c r="M121" s="432">
        <f t="array" ref="M121">MAX((IF(MNU_CODIGO_ALIMENTO_ENTREGA=CONCATENATE($C121,"_","P_"),MNU_GRAMAJE_REQUERIDO_TIPOB,"")))</f>
        <v>100</v>
      </c>
      <c r="N121" s="348">
        <f t="shared" si="104"/>
        <v>144560</v>
      </c>
      <c r="O121" s="348">
        <f t="shared" si="105"/>
        <v>38755</v>
      </c>
      <c r="P121" s="348">
        <f t="shared" si="106"/>
        <v>183315</v>
      </c>
      <c r="Q121" s="349">
        <f t="shared" si="107"/>
        <v>79652560</v>
      </c>
      <c r="R121" s="349">
        <f t="shared" si="108"/>
        <v>21354005</v>
      </c>
      <c r="S121" s="349">
        <f t="shared" si="109"/>
        <v>101006565</v>
      </c>
      <c r="T121" s="353">
        <f t="array" ref="T121">MAX((IF(MNU_CODIGO_ALIMENTO_ENTREGA=CONCATENATE($C121,"_","P_"),MNU_GRAMAJE_REQUERIDO_TIPOC,"")))</f>
        <v>100</v>
      </c>
      <c r="U121" s="259">
        <f t="shared" si="110"/>
        <v>143120</v>
      </c>
      <c r="V121" s="259">
        <f t="shared" si="111"/>
        <v>68362</v>
      </c>
      <c r="W121" s="259">
        <f t="shared" si="112"/>
        <v>211482</v>
      </c>
      <c r="X121" s="260">
        <f t="shared" si="113"/>
        <v>78859120</v>
      </c>
      <c r="Y121" s="260">
        <f t="shared" si="114"/>
        <v>37667462</v>
      </c>
      <c r="Z121" s="260">
        <f t="shared" si="115"/>
        <v>116526582</v>
      </c>
      <c r="AA121" s="258">
        <f t="array" ref="AA121">MAX((IF(MNU_CODIGO_ALIMENTO_ENTREGA=CONCATENATE($C121,"_","P_"),MNU_GRAMAJE_REQUERIDO_TIPOM,"")))</f>
        <v>100</v>
      </c>
      <c r="AB121" s="261">
        <f t="shared" si="116"/>
        <v>7420</v>
      </c>
      <c r="AC121" s="261">
        <v>0</v>
      </c>
      <c r="AD121" s="261">
        <f t="shared" si="117"/>
        <v>7420</v>
      </c>
      <c r="AE121" s="262">
        <f t="shared" si="118"/>
        <v>4088420</v>
      </c>
      <c r="AF121" s="262">
        <v>0</v>
      </c>
      <c r="AG121" s="262">
        <f t="shared" si="119"/>
        <v>4088420</v>
      </c>
      <c r="AH121" s="353">
        <f t="array" ref="AH121">MAX((IF(MNU_CODIGO_ALIMENTO_ENTREGA=CONCATENATE($C121,"_","P_"),MNU_GRAMAJE_REQUERIDO_TIPOH,"")))</f>
        <v>100</v>
      </c>
      <c r="AI121" s="259">
        <f t="shared" si="120"/>
        <v>8380</v>
      </c>
      <c r="AJ121" s="259">
        <v>0</v>
      </c>
      <c r="AK121" s="259">
        <f t="shared" si="121"/>
        <v>8380</v>
      </c>
      <c r="AL121" s="260">
        <f t="shared" si="122"/>
        <v>4617380</v>
      </c>
      <c r="AM121" s="260">
        <v>0</v>
      </c>
      <c r="AN121" s="260">
        <f t="shared" si="123"/>
        <v>4617380</v>
      </c>
      <c r="AO121" s="457">
        <f t="shared" si="124"/>
        <v>410597</v>
      </c>
      <c r="AP121" s="456">
        <f t="shared" si="125"/>
        <v>226238947</v>
      </c>
      <c r="AQ121" s="263" t="e">
        <f>#REF!+AH121+AA121+T121+M121</f>
        <v>#REF!</v>
      </c>
      <c r="AR121" s="263">
        <f t="shared" si="84"/>
        <v>226542427</v>
      </c>
      <c r="AS121" s="263" t="e">
        <f t="shared" si="85"/>
        <v>#REF!</v>
      </c>
      <c r="AT121" s="263">
        <f t="shared" si="86"/>
        <v>226953024</v>
      </c>
      <c r="AU121" s="263" t="e">
        <f t="shared" si="87"/>
        <v>#REF!</v>
      </c>
      <c r="AV121" s="263">
        <f t="shared" si="88"/>
        <v>285974491</v>
      </c>
      <c r="AW121" s="263" t="e">
        <f t="shared" si="89"/>
        <v>#REF!</v>
      </c>
      <c r="AX121" s="263" t="e">
        <f>AV121+#REF!+AH121+AA121+T121</f>
        <v>#REF!</v>
      </c>
      <c r="AY121" s="263" t="e">
        <f t="shared" si="90"/>
        <v>#REF!</v>
      </c>
      <c r="AZ121" s="263" t="e">
        <f t="shared" si="91"/>
        <v>#REF!</v>
      </c>
      <c r="BA121" s="263" t="e">
        <f t="shared" si="92"/>
        <v>#REF!</v>
      </c>
      <c r="BB121" s="263" t="e">
        <f t="shared" si="93"/>
        <v>#REF!</v>
      </c>
      <c r="BC121" s="263" t="e">
        <f t="shared" si="94"/>
        <v>#REF!</v>
      </c>
      <c r="BD121" s="263" t="e">
        <f t="shared" si="95"/>
        <v>#REF!</v>
      </c>
      <c r="BE121" s="263" t="e">
        <f>BC121+AV121+#REF!+AH121+AA121</f>
        <v>#REF!</v>
      </c>
      <c r="BF121" s="263" t="e">
        <f t="shared" si="96"/>
        <v>#REF!</v>
      </c>
      <c r="BG121" s="263" t="e">
        <f t="shared" si="97"/>
        <v>#REF!</v>
      </c>
    </row>
    <row r="122" spans="1:59" ht="15.75">
      <c r="A122" s="338">
        <v>9</v>
      </c>
      <c r="B122" s="338" t="s">
        <v>1</v>
      </c>
      <c r="C122" s="258">
        <v>33</v>
      </c>
      <c r="D122" s="328" t="s">
        <v>59</v>
      </c>
      <c r="E122" s="258" t="s">
        <v>48</v>
      </c>
      <c r="F122" s="431">
        <v>1</v>
      </c>
      <c r="G122" s="259">
        <f t="shared" si="98"/>
        <v>144477</v>
      </c>
      <c r="H122" s="259">
        <f t="shared" si="99"/>
        <v>22707</v>
      </c>
      <c r="I122" s="259">
        <f t="shared" si="100"/>
        <v>167184</v>
      </c>
      <c r="J122" s="260">
        <f t="shared" si="101"/>
        <v>40886991</v>
      </c>
      <c r="K122" s="260">
        <f t="shared" si="102"/>
        <v>6426081</v>
      </c>
      <c r="L122" s="260">
        <f t="shared" si="103"/>
        <v>47313072</v>
      </c>
      <c r="M122" s="432">
        <v>1</v>
      </c>
      <c r="N122" s="348">
        <f t="shared" si="104"/>
        <v>130104</v>
      </c>
      <c r="O122" s="348">
        <f t="shared" si="105"/>
        <v>38755</v>
      </c>
      <c r="P122" s="348">
        <f t="shared" si="106"/>
        <v>168859</v>
      </c>
      <c r="Q122" s="349">
        <f t="shared" si="107"/>
        <v>36819432</v>
      </c>
      <c r="R122" s="349">
        <f t="shared" si="108"/>
        <v>10967665</v>
      </c>
      <c r="S122" s="349">
        <f t="shared" si="109"/>
        <v>47787097</v>
      </c>
      <c r="T122" s="431">
        <v>1</v>
      </c>
      <c r="U122" s="259">
        <f t="shared" si="110"/>
        <v>128808</v>
      </c>
      <c r="V122" s="259">
        <f t="shared" si="111"/>
        <v>68290</v>
      </c>
      <c r="W122" s="259">
        <f t="shared" si="112"/>
        <v>197098</v>
      </c>
      <c r="X122" s="260">
        <f t="shared" si="113"/>
        <v>36452664</v>
      </c>
      <c r="Y122" s="260">
        <f t="shared" si="114"/>
        <v>19326070</v>
      </c>
      <c r="Z122" s="260">
        <f t="shared" si="115"/>
        <v>55778734</v>
      </c>
      <c r="AA122" s="258">
        <v>1</v>
      </c>
      <c r="AB122" s="261">
        <f t="shared" si="116"/>
        <v>6678</v>
      </c>
      <c r="AC122" s="261">
        <v>0</v>
      </c>
      <c r="AD122" s="261">
        <f t="shared" si="117"/>
        <v>6678</v>
      </c>
      <c r="AE122" s="262">
        <f t="shared" si="118"/>
        <v>1889874</v>
      </c>
      <c r="AF122" s="262">
        <v>0</v>
      </c>
      <c r="AG122" s="262">
        <f t="shared" si="119"/>
        <v>1889874</v>
      </c>
      <c r="AH122" s="353">
        <v>1</v>
      </c>
      <c r="AI122" s="259">
        <f t="shared" si="120"/>
        <v>7542</v>
      </c>
      <c r="AJ122" s="259">
        <v>0</v>
      </c>
      <c r="AK122" s="259">
        <f t="shared" si="121"/>
        <v>7542</v>
      </c>
      <c r="AL122" s="260">
        <f t="shared" si="122"/>
        <v>2134386</v>
      </c>
      <c r="AM122" s="260">
        <v>0</v>
      </c>
      <c r="AN122" s="260">
        <f t="shared" si="123"/>
        <v>2134386</v>
      </c>
      <c r="AO122" s="457">
        <f t="shared" si="124"/>
        <v>547361</v>
      </c>
      <c r="AP122" s="456">
        <f t="shared" si="125"/>
        <v>154903163</v>
      </c>
      <c r="AQ122" s="263" t="e">
        <f>#REF!+AH122+AA122+T122+M122</f>
        <v>#REF!</v>
      </c>
      <c r="AR122" s="263">
        <f t="shared" si="84"/>
        <v>155176295</v>
      </c>
      <c r="AS122" s="263" t="e">
        <f t="shared" si="85"/>
        <v>#REF!</v>
      </c>
      <c r="AT122" s="263">
        <f t="shared" si="86"/>
        <v>155556472</v>
      </c>
      <c r="AU122" s="263" t="e">
        <f t="shared" si="87"/>
        <v>#REF!</v>
      </c>
      <c r="AV122" s="263">
        <f t="shared" si="88"/>
        <v>185850207</v>
      </c>
      <c r="AW122" s="263" t="e">
        <f t="shared" si="89"/>
        <v>#REF!</v>
      </c>
      <c r="AX122" s="263" t="e">
        <f>AV122+#REF!+AH122+AA122+T122</f>
        <v>#REF!</v>
      </c>
      <c r="AY122" s="263" t="e">
        <f t="shared" si="90"/>
        <v>#REF!</v>
      </c>
      <c r="AZ122" s="263" t="e">
        <f t="shared" si="91"/>
        <v>#REF!</v>
      </c>
      <c r="BA122" s="263" t="e">
        <f t="shared" si="92"/>
        <v>#REF!</v>
      </c>
      <c r="BB122" s="263" t="e">
        <f t="shared" si="93"/>
        <v>#REF!</v>
      </c>
      <c r="BC122" s="263" t="e">
        <f t="shared" si="94"/>
        <v>#REF!</v>
      </c>
      <c r="BD122" s="263" t="e">
        <f t="shared" si="95"/>
        <v>#REF!</v>
      </c>
      <c r="BE122" s="263" t="e">
        <f>BC122+AV122+#REF!+AH122+AA122</f>
        <v>#REF!</v>
      </c>
      <c r="BF122" s="263" t="e">
        <f t="shared" si="96"/>
        <v>#REF!</v>
      </c>
      <c r="BG122" s="263" t="e">
        <f t="shared" si="97"/>
        <v>#REF!</v>
      </c>
    </row>
    <row r="123" spans="1:59" ht="15.75">
      <c r="A123" s="338">
        <v>9</v>
      </c>
      <c r="B123" s="338" t="s">
        <v>1</v>
      </c>
      <c r="C123" s="258">
        <v>36</v>
      </c>
      <c r="D123" s="328" t="s">
        <v>1340</v>
      </c>
      <c r="E123" s="258" t="s">
        <v>9</v>
      </c>
      <c r="F123" s="431">
        <f t="array" ref="F123">MAX((IF(MNU_CODIGO_ALIMENTO_ENTREGA=CONCATENATE($C123,"_","P_"),MNU_GRAMAJE_REQUERIDO_TIPOA,"")))</f>
        <v>20</v>
      </c>
      <c r="G123" s="259">
        <f t="shared" si="98"/>
        <v>37457</v>
      </c>
      <c r="H123" s="259">
        <f t="shared" si="99"/>
        <v>6264</v>
      </c>
      <c r="I123" s="259">
        <f t="shared" si="100"/>
        <v>43721</v>
      </c>
      <c r="J123" s="260">
        <f t="shared" si="101"/>
        <v>4944324</v>
      </c>
      <c r="K123" s="260">
        <f t="shared" si="102"/>
        <v>826848</v>
      </c>
      <c r="L123" s="260">
        <f t="shared" si="103"/>
        <v>5771172</v>
      </c>
      <c r="M123" s="432">
        <f t="array" ref="M123">MAX((IF(MNU_CODIGO_ALIMENTO_ENTREGA=CONCATENATE($C123,"_","P_"),MNU_GRAMAJE_REQUERIDO_TIPOB,"")))</f>
        <v>40</v>
      </c>
      <c r="N123" s="348">
        <f t="shared" si="104"/>
        <v>50596</v>
      </c>
      <c r="O123" s="348">
        <f t="shared" si="105"/>
        <v>13480</v>
      </c>
      <c r="P123" s="348">
        <f t="shared" si="106"/>
        <v>64076</v>
      </c>
      <c r="Q123" s="349">
        <f t="shared" si="107"/>
        <v>13407940</v>
      </c>
      <c r="R123" s="349">
        <f t="shared" si="108"/>
        <v>3572200</v>
      </c>
      <c r="S123" s="349">
        <f t="shared" si="109"/>
        <v>16980140</v>
      </c>
      <c r="T123" s="353">
        <f t="array" ref="T123">MAX((IF(MNU_CODIGO_ALIMENTO_ENTREGA=CONCATENATE($C123,"_","P_"),MNU_GRAMAJE_REQUERIDO_TIPOC,"")))</f>
        <v>40</v>
      </c>
      <c r="U123" s="259">
        <f t="shared" si="110"/>
        <v>50092</v>
      </c>
      <c r="V123" s="259">
        <f t="shared" si="111"/>
        <v>23728</v>
      </c>
      <c r="W123" s="259">
        <f t="shared" si="112"/>
        <v>73820</v>
      </c>
      <c r="X123" s="260">
        <f t="shared" si="113"/>
        <v>13274380</v>
      </c>
      <c r="Y123" s="260">
        <f t="shared" si="114"/>
        <v>6287920</v>
      </c>
      <c r="Z123" s="260">
        <f t="shared" si="115"/>
        <v>19562300</v>
      </c>
      <c r="AA123" s="258">
        <f t="array" ref="AA123">MAX((IF(MNU_CODIGO_ALIMENTO_ENTREGA=CONCATENATE($C123,"_","P_"),MNU_GRAMAJE_REQUERIDO_TIPOM,"")))</f>
        <v>40</v>
      </c>
      <c r="AB123" s="261">
        <f t="shared" si="116"/>
        <v>2597</v>
      </c>
      <c r="AC123" s="261">
        <v>0</v>
      </c>
      <c r="AD123" s="261">
        <f t="shared" si="117"/>
        <v>2597</v>
      </c>
      <c r="AE123" s="262">
        <f t="shared" si="118"/>
        <v>688205</v>
      </c>
      <c r="AF123" s="262">
        <v>0</v>
      </c>
      <c r="AG123" s="262">
        <f t="shared" si="119"/>
        <v>688205</v>
      </c>
      <c r="AH123" s="353">
        <f t="array" ref="AH123">MAX((IF(MNU_CODIGO_ALIMENTO_ENTREGA=CONCATENATE($C123,"_","P_"),MNU_GRAMAJE_REQUERIDO_TIPOH,"")))</f>
        <v>40</v>
      </c>
      <c r="AI123" s="259">
        <f t="shared" si="120"/>
        <v>2933</v>
      </c>
      <c r="AJ123" s="259">
        <v>0</v>
      </c>
      <c r="AK123" s="259">
        <f t="shared" si="121"/>
        <v>2933</v>
      </c>
      <c r="AL123" s="260">
        <f t="shared" si="122"/>
        <v>777245</v>
      </c>
      <c r="AM123" s="260">
        <v>0</v>
      </c>
      <c r="AN123" s="260">
        <f t="shared" si="123"/>
        <v>777245</v>
      </c>
      <c r="AO123" s="457">
        <f t="shared" si="124"/>
        <v>187147</v>
      </c>
      <c r="AP123" s="456">
        <f t="shared" si="125"/>
        <v>43779062</v>
      </c>
      <c r="AQ123" s="263" t="e">
        <f>#REF!+AH123+AA123+T123+M123</f>
        <v>#REF!</v>
      </c>
      <c r="AR123" s="263">
        <f t="shared" si="84"/>
        <v>43885280</v>
      </c>
      <c r="AS123" s="263" t="e">
        <f t="shared" si="85"/>
        <v>#REF!</v>
      </c>
      <c r="AT123" s="263">
        <f t="shared" si="86"/>
        <v>44028706</v>
      </c>
      <c r="AU123" s="263" t="e">
        <f t="shared" si="87"/>
        <v>#REF!</v>
      </c>
      <c r="AV123" s="263">
        <f t="shared" si="88"/>
        <v>53888826</v>
      </c>
      <c r="AW123" s="263" t="e">
        <f t="shared" si="89"/>
        <v>#REF!</v>
      </c>
      <c r="AX123" s="263" t="e">
        <f>AV123+#REF!+AH123+AA123+T123</f>
        <v>#REF!</v>
      </c>
      <c r="AY123" s="263" t="e">
        <f t="shared" si="90"/>
        <v>#REF!</v>
      </c>
      <c r="AZ123" s="263" t="e">
        <f t="shared" si="91"/>
        <v>#REF!</v>
      </c>
      <c r="BA123" s="263" t="e">
        <f t="shared" si="92"/>
        <v>#REF!</v>
      </c>
      <c r="BB123" s="263" t="e">
        <f t="shared" si="93"/>
        <v>#REF!</v>
      </c>
      <c r="BC123" s="263" t="e">
        <f t="shared" si="94"/>
        <v>#REF!</v>
      </c>
      <c r="BD123" s="263" t="e">
        <f t="shared" si="95"/>
        <v>#REF!</v>
      </c>
      <c r="BE123" s="263" t="e">
        <f>BC123+AV123+#REF!+AH123+AA123</f>
        <v>#REF!</v>
      </c>
      <c r="BF123" s="263" t="e">
        <f t="shared" si="96"/>
        <v>#REF!</v>
      </c>
      <c r="BG123" s="263" t="e">
        <f t="shared" si="97"/>
        <v>#REF!</v>
      </c>
    </row>
    <row r="124" spans="1:59" ht="15.75">
      <c r="A124" s="338">
        <v>9</v>
      </c>
      <c r="B124" s="338" t="s">
        <v>1</v>
      </c>
      <c r="C124" s="258">
        <v>42</v>
      </c>
      <c r="D124" s="328" t="s">
        <v>61</v>
      </c>
      <c r="E124" s="258" t="s">
        <v>9</v>
      </c>
      <c r="F124" s="431">
        <f t="array" ref="F124">MAX((IF(MNU_CODIGO_ALIMENTO_ENTREGA=CONCATENATE($C124,"_","P_"),MNU_GRAMAJE_REQUERIDO_TIPOA,"")))</f>
        <v>100</v>
      </c>
      <c r="G124" s="259">
        <f t="shared" si="98"/>
        <v>123073</v>
      </c>
      <c r="H124" s="259">
        <f t="shared" si="99"/>
        <v>28188</v>
      </c>
      <c r="I124" s="259">
        <f t="shared" si="100"/>
        <v>151261</v>
      </c>
      <c r="J124" s="260">
        <f t="shared" si="101"/>
        <v>25106892</v>
      </c>
      <c r="K124" s="260">
        <f t="shared" si="102"/>
        <v>5750352</v>
      </c>
      <c r="L124" s="260">
        <f t="shared" si="103"/>
        <v>30857244</v>
      </c>
      <c r="M124" s="432">
        <f t="array" ref="M124">MAX((IF(MNU_CODIGO_ALIMENTO_ENTREGA=CONCATENATE($C124,"_","P_"),MNU_GRAMAJE_REQUERIDO_TIPOB,"")))</f>
        <v>100</v>
      </c>
      <c r="N124" s="348">
        <f t="shared" si="104"/>
        <v>137332</v>
      </c>
      <c r="O124" s="348">
        <f t="shared" si="105"/>
        <v>32015</v>
      </c>
      <c r="P124" s="348">
        <f t="shared" si="106"/>
        <v>169347</v>
      </c>
      <c r="Q124" s="349">
        <f t="shared" si="107"/>
        <v>28015728</v>
      </c>
      <c r="R124" s="349">
        <f t="shared" si="108"/>
        <v>6531060</v>
      </c>
      <c r="S124" s="349">
        <f t="shared" si="109"/>
        <v>34546788</v>
      </c>
      <c r="T124" s="353">
        <f t="array" ref="T124">MAX((IF(MNU_CODIGO_ALIMENTO_ENTREGA=CONCATENATE($C124,"_","P_"),MNU_GRAMAJE_REQUERIDO_TIPOC,"")))</f>
        <v>100</v>
      </c>
      <c r="U124" s="259">
        <f t="shared" si="110"/>
        <v>135964</v>
      </c>
      <c r="V124" s="259">
        <f t="shared" si="111"/>
        <v>56642</v>
      </c>
      <c r="W124" s="259">
        <f t="shared" si="112"/>
        <v>192606</v>
      </c>
      <c r="X124" s="260">
        <f t="shared" si="113"/>
        <v>27736656</v>
      </c>
      <c r="Y124" s="260">
        <f t="shared" si="114"/>
        <v>11554968</v>
      </c>
      <c r="Z124" s="260">
        <f t="shared" si="115"/>
        <v>39291624</v>
      </c>
      <c r="AA124" s="258">
        <f t="array" ref="AA124">MAX((IF(MNU_CODIGO_ALIMENTO_ENTREGA=CONCATENATE($C124,"_","P_"),MNU_GRAMAJE_REQUERIDO_TIPOM,"")))</f>
        <v>100</v>
      </c>
      <c r="AB124" s="261">
        <f t="shared" si="116"/>
        <v>7049</v>
      </c>
      <c r="AC124" s="261">
        <v>0</v>
      </c>
      <c r="AD124" s="261">
        <f t="shared" si="117"/>
        <v>7049</v>
      </c>
      <c r="AE124" s="262">
        <f t="shared" si="118"/>
        <v>1437996</v>
      </c>
      <c r="AF124" s="262">
        <v>0</v>
      </c>
      <c r="AG124" s="262">
        <f t="shared" si="119"/>
        <v>1437996</v>
      </c>
      <c r="AH124" s="353">
        <f t="array" ref="AH124">MAX((IF(MNU_CODIGO_ALIMENTO_ENTREGA=CONCATENATE($C124,"_","P_"),MNU_GRAMAJE_REQUERIDO_TIPOH,"")))</f>
        <v>100</v>
      </c>
      <c r="AI124" s="259">
        <f t="shared" si="120"/>
        <v>7961</v>
      </c>
      <c r="AJ124" s="259">
        <v>0</v>
      </c>
      <c r="AK124" s="259">
        <f t="shared" si="121"/>
        <v>7961</v>
      </c>
      <c r="AL124" s="260">
        <f t="shared" si="122"/>
        <v>1624044</v>
      </c>
      <c r="AM124" s="260">
        <v>0</v>
      </c>
      <c r="AN124" s="260">
        <f t="shared" si="123"/>
        <v>1624044</v>
      </c>
      <c r="AO124" s="457">
        <f t="shared" si="124"/>
        <v>528224</v>
      </c>
      <c r="AP124" s="456">
        <f t="shared" si="125"/>
        <v>107757696</v>
      </c>
      <c r="AQ124" s="263" t="e">
        <f>#REF!+AH124+AA124+T124+M124</f>
        <v>#REF!</v>
      </c>
      <c r="AR124" s="263">
        <f t="shared" si="84"/>
        <v>108046002</v>
      </c>
      <c r="AS124" s="263" t="e">
        <f t="shared" si="85"/>
        <v>#REF!</v>
      </c>
      <c r="AT124" s="263">
        <f t="shared" si="86"/>
        <v>108422965</v>
      </c>
      <c r="AU124" s="263" t="e">
        <f t="shared" si="87"/>
        <v>#REF!</v>
      </c>
      <c r="AV124" s="263">
        <f t="shared" si="88"/>
        <v>126508993</v>
      </c>
      <c r="AW124" s="263" t="e">
        <f t="shared" si="89"/>
        <v>#REF!</v>
      </c>
      <c r="AX124" s="263" t="e">
        <f>AV124+#REF!+AH124+AA124+T124</f>
        <v>#REF!</v>
      </c>
      <c r="AY124" s="263" t="e">
        <f t="shared" si="90"/>
        <v>#REF!</v>
      </c>
      <c r="AZ124" s="263" t="e">
        <f t="shared" si="91"/>
        <v>#REF!</v>
      </c>
      <c r="BA124" s="263" t="e">
        <f t="shared" si="92"/>
        <v>#REF!</v>
      </c>
      <c r="BB124" s="263" t="e">
        <f t="shared" si="93"/>
        <v>#REF!</v>
      </c>
      <c r="BC124" s="263" t="e">
        <f t="shared" si="94"/>
        <v>#REF!</v>
      </c>
      <c r="BD124" s="263" t="e">
        <f t="shared" si="95"/>
        <v>#REF!</v>
      </c>
      <c r="BE124" s="263" t="e">
        <f>BC124+AV124+#REF!+AH124+AA124</f>
        <v>#REF!</v>
      </c>
      <c r="BF124" s="263" t="e">
        <f t="shared" si="96"/>
        <v>#REF!</v>
      </c>
      <c r="BG124" s="263" t="e">
        <f t="shared" si="97"/>
        <v>#REF!</v>
      </c>
    </row>
    <row r="125" spans="1:59" ht="15.75">
      <c r="A125" s="338">
        <v>9</v>
      </c>
      <c r="B125" s="338" t="s">
        <v>1</v>
      </c>
      <c r="C125" s="258">
        <v>43</v>
      </c>
      <c r="D125" s="328" t="s">
        <v>62</v>
      </c>
      <c r="E125" s="258" t="s">
        <v>9</v>
      </c>
      <c r="F125" s="431">
        <f t="array" ref="F125">MAX((IF(MNU_CODIGO_ALIMENTO_ENTREGA=CONCATENATE($C125,"_","P_"),MNU_GRAMAJE_REQUERIDO_TIPOA,"")))</f>
        <v>100</v>
      </c>
      <c r="G125" s="259">
        <f t="shared" si="98"/>
        <v>128424</v>
      </c>
      <c r="H125" s="259">
        <f t="shared" si="99"/>
        <v>22707</v>
      </c>
      <c r="I125" s="259">
        <f t="shared" si="100"/>
        <v>151131</v>
      </c>
      <c r="J125" s="260">
        <f t="shared" si="101"/>
        <v>22859472</v>
      </c>
      <c r="K125" s="260">
        <f t="shared" si="102"/>
        <v>4041846</v>
      </c>
      <c r="L125" s="260">
        <f t="shared" si="103"/>
        <v>26901318</v>
      </c>
      <c r="M125" s="432">
        <f t="array" ref="M125">MAX((IF(MNU_CODIGO_ALIMENTO_ENTREGA=CONCATENATE($C125,"_","P_"),MNU_GRAMAJE_REQUERIDO_TIPOB,"")))</f>
        <v>100</v>
      </c>
      <c r="N125" s="348">
        <f t="shared" si="104"/>
        <v>122876</v>
      </c>
      <c r="O125" s="348">
        <f t="shared" si="105"/>
        <v>38755</v>
      </c>
      <c r="P125" s="348">
        <f t="shared" si="106"/>
        <v>161631</v>
      </c>
      <c r="Q125" s="349">
        <f t="shared" si="107"/>
        <v>21871928</v>
      </c>
      <c r="R125" s="349">
        <f t="shared" si="108"/>
        <v>6898390</v>
      </c>
      <c r="S125" s="349">
        <f t="shared" si="109"/>
        <v>28770318</v>
      </c>
      <c r="T125" s="353">
        <f t="array" ref="T125">MAX((IF(MNU_CODIGO_ALIMENTO_ENTREGA=CONCATENATE($C125,"_","P_"),MNU_GRAMAJE_REQUERIDO_TIPOC,"")))</f>
        <v>100</v>
      </c>
      <c r="U125" s="259">
        <f t="shared" si="110"/>
        <v>121652</v>
      </c>
      <c r="V125" s="259">
        <f t="shared" si="111"/>
        <v>68254</v>
      </c>
      <c r="W125" s="259">
        <f t="shared" si="112"/>
        <v>189906</v>
      </c>
      <c r="X125" s="260">
        <f t="shared" si="113"/>
        <v>21654056</v>
      </c>
      <c r="Y125" s="260">
        <f t="shared" si="114"/>
        <v>12149212</v>
      </c>
      <c r="Z125" s="260">
        <f t="shared" si="115"/>
        <v>33803268</v>
      </c>
      <c r="AA125" s="258">
        <f t="array" ref="AA125">MAX((IF(MNU_CODIGO_ALIMENTO_ENTREGA=CONCATENATE($C125,"_","P_"),MNU_GRAMAJE_REQUERIDO_TIPOM,"")))</f>
        <v>100</v>
      </c>
      <c r="AB125" s="261">
        <f t="shared" si="116"/>
        <v>6307</v>
      </c>
      <c r="AC125" s="261">
        <v>0</v>
      </c>
      <c r="AD125" s="261">
        <f t="shared" si="117"/>
        <v>6307</v>
      </c>
      <c r="AE125" s="262">
        <f t="shared" si="118"/>
        <v>1122646</v>
      </c>
      <c r="AF125" s="262">
        <v>0</v>
      </c>
      <c r="AG125" s="262">
        <f t="shared" si="119"/>
        <v>1122646</v>
      </c>
      <c r="AH125" s="353">
        <f t="array" ref="AH125">MAX((IF(MNU_CODIGO_ALIMENTO_ENTREGA=CONCATENATE($C125,"_","P_"),MNU_GRAMAJE_REQUERIDO_TIPOH,"")))</f>
        <v>100</v>
      </c>
      <c r="AI125" s="259">
        <f t="shared" si="120"/>
        <v>7123</v>
      </c>
      <c r="AJ125" s="259">
        <v>0</v>
      </c>
      <c r="AK125" s="259">
        <f t="shared" si="121"/>
        <v>7123</v>
      </c>
      <c r="AL125" s="260">
        <f t="shared" si="122"/>
        <v>1267894</v>
      </c>
      <c r="AM125" s="260">
        <v>0</v>
      </c>
      <c r="AN125" s="260">
        <f t="shared" si="123"/>
        <v>1267894</v>
      </c>
      <c r="AO125" s="457">
        <f t="shared" si="124"/>
        <v>516098</v>
      </c>
      <c r="AP125" s="456">
        <f t="shared" si="125"/>
        <v>91865444</v>
      </c>
      <c r="AQ125" s="263" t="e">
        <f>#REF!+AH125+AA125+T125+M125</f>
        <v>#REF!</v>
      </c>
      <c r="AR125" s="263">
        <f t="shared" si="84"/>
        <v>92123402</v>
      </c>
      <c r="AS125" s="263" t="e">
        <f t="shared" si="85"/>
        <v>#REF!</v>
      </c>
      <c r="AT125" s="263">
        <f t="shared" si="86"/>
        <v>92488369</v>
      </c>
      <c r="AU125" s="263" t="e">
        <f t="shared" si="87"/>
        <v>#REF!</v>
      </c>
      <c r="AV125" s="263">
        <f t="shared" si="88"/>
        <v>111535971</v>
      </c>
      <c r="AW125" s="263" t="e">
        <f t="shared" si="89"/>
        <v>#REF!</v>
      </c>
      <c r="AX125" s="263" t="e">
        <f>AV125+#REF!+AH125+AA125+T125</f>
        <v>#REF!</v>
      </c>
      <c r="AY125" s="263" t="e">
        <f t="shared" si="90"/>
        <v>#REF!</v>
      </c>
      <c r="AZ125" s="263" t="e">
        <f t="shared" si="91"/>
        <v>#REF!</v>
      </c>
      <c r="BA125" s="263" t="e">
        <f t="shared" si="92"/>
        <v>#REF!</v>
      </c>
      <c r="BB125" s="263" t="e">
        <f t="shared" si="93"/>
        <v>#REF!</v>
      </c>
      <c r="BC125" s="263" t="e">
        <f t="shared" si="94"/>
        <v>#REF!</v>
      </c>
      <c r="BD125" s="263" t="e">
        <f t="shared" si="95"/>
        <v>#REF!</v>
      </c>
      <c r="BE125" s="263" t="e">
        <f>BC125+AV125+#REF!+AH125+AA125</f>
        <v>#REF!</v>
      </c>
      <c r="BF125" s="263" t="e">
        <f t="shared" si="96"/>
        <v>#REF!</v>
      </c>
      <c r="BG125" s="263" t="e">
        <f t="shared" si="97"/>
        <v>#REF!</v>
      </c>
    </row>
    <row r="126" spans="1:59" ht="15.75">
      <c r="A126" s="338">
        <v>9</v>
      </c>
      <c r="B126" s="338" t="s">
        <v>1</v>
      </c>
      <c r="C126" s="258">
        <v>46</v>
      </c>
      <c r="D126" s="328" t="s">
        <v>64</v>
      </c>
      <c r="E126" s="258" t="s">
        <v>9</v>
      </c>
      <c r="F126" s="431">
        <f t="array" ref="F126">MAX((IF(MNU_CODIGO_ALIMENTO_ENTREGA=CONCATENATE($C126,"_","P_"),MNU_GRAMAJE_REQUERIDO_TIPOA,"")))</f>
        <v>100</v>
      </c>
      <c r="G126" s="259">
        <f t="shared" si="98"/>
        <v>160530</v>
      </c>
      <c r="H126" s="259">
        <f t="shared" si="99"/>
        <v>22707</v>
      </c>
      <c r="I126" s="259">
        <f t="shared" si="100"/>
        <v>183237</v>
      </c>
      <c r="J126" s="260">
        <f t="shared" si="101"/>
        <v>67101540</v>
      </c>
      <c r="K126" s="260">
        <f t="shared" si="102"/>
        <v>9491526</v>
      </c>
      <c r="L126" s="260">
        <f t="shared" si="103"/>
        <v>76593066</v>
      </c>
      <c r="M126" s="432">
        <f t="array" ref="M126">MAX((IF(MNU_CODIGO_ALIMENTO_ENTREGA=CONCATENATE($C126,"_","P_"),MNU_GRAMAJE_REQUERIDO_TIPOB,"")))</f>
        <v>100</v>
      </c>
      <c r="N126" s="348">
        <f t="shared" si="104"/>
        <v>151788</v>
      </c>
      <c r="O126" s="348">
        <f t="shared" si="105"/>
        <v>40440</v>
      </c>
      <c r="P126" s="348">
        <f t="shared" si="106"/>
        <v>192228</v>
      </c>
      <c r="Q126" s="349">
        <f t="shared" si="107"/>
        <v>63447384</v>
      </c>
      <c r="R126" s="349">
        <f t="shared" si="108"/>
        <v>16903920</v>
      </c>
      <c r="S126" s="349">
        <f t="shared" si="109"/>
        <v>80351304</v>
      </c>
      <c r="T126" s="353">
        <f t="array" ref="T126">MAX((IF(MNU_CODIGO_ALIMENTO_ENTREGA=CONCATENATE($C126,"_","P_"),MNU_GRAMAJE_REQUERIDO_TIPOC,"")))</f>
        <v>100</v>
      </c>
      <c r="U126" s="259">
        <f t="shared" si="110"/>
        <v>150276</v>
      </c>
      <c r="V126" s="259">
        <f t="shared" si="111"/>
        <v>71292</v>
      </c>
      <c r="W126" s="259">
        <f t="shared" si="112"/>
        <v>221568</v>
      </c>
      <c r="X126" s="260">
        <f t="shared" si="113"/>
        <v>62815368</v>
      </c>
      <c r="Y126" s="260">
        <f t="shared" si="114"/>
        <v>29800056</v>
      </c>
      <c r="Z126" s="260">
        <f t="shared" si="115"/>
        <v>92615424</v>
      </c>
      <c r="AA126" s="258">
        <f t="array" ref="AA126">MAX((IF(MNU_CODIGO_ALIMENTO_ENTREGA=CONCATENATE($C126,"_","P_"),MNU_GRAMAJE_REQUERIDO_TIPOM,"")))</f>
        <v>100</v>
      </c>
      <c r="AB126" s="261">
        <f t="shared" si="116"/>
        <v>7791</v>
      </c>
      <c r="AC126" s="261">
        <v>0</v>
      </c>
      <c r="AD126" s="261">
        <f t="shared" si="117"/>
        <v>7791</v>
      </c>
      <c r="AE126" s="262">
        <f t="shared" si="118"/>
        <v>3256638</v>
      </c>
      <c r="AF126" s="262">
        <v>0</v>
      </c>
      <c r="AG126" s="262">
        <f t="shared" si="119"/>
        <v>3256638</v>
      </c>
      <c r="AH126" s="353">
        <f t="array" ref="AH126">MAX((IF(MNU_CODIGO_ALIMENTO_ENTREGA=CONCATENATE($C126,"_","P_"),MNU_GRAMAJE_REQUERIDO_TIPOH,"")))</f>
        <v>100</v>
      </c>
      <c r="AI126" s="259">
        <f t="shared" si="120"/>
        <v>8799</v>
      </c>
      <c r="AJ126" s="259">
        <v>0</v>
      </c>
      <c r="AK126" s="259">
        <f t="shared" si="121"/>
        <v>8799</v>
      </c>
      <c r="AL126" s="260">
        <f t="shared" si="122"/>
        <v>3677982</v>
      </c>
      <c r="AM126" s="260">
        <v>0</v>
      </c>
      <c r="AN126" s="260">
        <f t="shared" si="123"/>
        <v>3677982</v>
      </c>
      <c r="AO126" s="457">
        <f t="shared" si="124"/>
        <v>613623</v>
      </c>
      <c r="AP126" s="456">
        <f t="shared" si="125"/>
        <v>256494414</v>
      </c>
      <c r="AQ126" s="263" t="e">
        <f>#REF!+AH126+AA126+T126+M126</f>
        <v>#REF!</v>
      </c>
      <c r="AR126" s="263">
        <f t="shared" si="84"/>
        <v>256813068</v>
      </c>
      <c r="AS126" s="263" t="e">
        <f t="shared" si="85"/>
        <v>#REF!</v>
      </c>
      <c r="AT126" s="263">
        <f t="shared" si="86"/>
        <v>257243454</v>
      </c>
      <c r="AU126" s="263" t="e">
        <f t="shared" si="87"/>
        <v>#REF!</v>
      </c>
      <c r="AV126" s="263">
        <f t="shared" si="88"/>
        <v>303947430</v>
      </c>
      <c r="AW126" s="263" t="e">
        <f t="shared" si="89"/>
        <v>#REF!</v>
      </c>
      <c r="AX126" s="263" t="e">
        <f>AV126+#REF!+AH126+AA126+T126</f>
        <v>#REF!</v>
      </c>
      <c r="AY126" s="263" t="e">
        <f t="shared" si="90"/>
        <v>#REF!</v>
      </c>
      <c r="AZ126" s="263" t="e">
        <f t="shared" si="91"/>
        <v>#REF!</v>
      </c>
      <c r="BA126" s="263" t="e">
        <f t="shared" si="92"/>
        <v>#REF!</v>
      </c>
      <c r="BB126" s="263" t="e">
        <f t="shared" si="93"/>
        <v>#REF!</v>
      </c>
      <c r="BC126" s="263" t="e">
        <f t="shared" si="94"/>
        <v>#REF!</v>
      </c>
      <c r="BD126" s="263" t="e">
        <f t="shared" si="95"/>
        <v>#REF!</v>
      </c>
      <c r="BE126" s="263" t="e">
        <f>BC126+AV126+#REF!+AH126+AA126</f>
        <v>#REF!</v>
      </c>
      <c r="BF126" s="263" t="e">
        <f t="shared" si="96"/>
        <v>#REF!</v>
      </c>
      <c r="BG126" s="263" t="e">
        <f t="shared" si="97"/>
        <v>#REF!</v>
      </c>
    </row>
    <row r="127" spans="1:59" ht="15.75">
      <c r="A127" s="338">
        <v>9</v>
      </c>
      <c r="B127" s="338" t="s">
        <v>1</v>
      </c>
      <c r="C127" s="258">
        <v>58</v>
      </c>
      <c r="D127" s="328" t="s">
        <v>67</v>
      </c>
      <c r="E127" s="258" t="s">
        <v>9</v>
      </c>
      <c r="F127" s="431">
        <f t="array" ref="F127">MAX((IF(MNU_CODIGO_ALIMENTO_ENTREGA=CONCATENATE($C127,"_","P_"),MNU_GRAMAJE_REQUERIDO_TIPOA,"")))</f>
        <v>100</v>
      </c>
      <c r="G127" s="259">
        <f t="shared" si="98"/>
        <v>128424</v>
      </c>
      <c r="H127" s="259">
        <f t="shared" si="99"/>
        <v>21924</v>
      </c>
      <c r="I127" s="259">
        <f t="shared" si="100"/>
        <v>150348</v>
      </c>
      <c r="J127" s="260">
        <f t="shared" si="101"/>
        <v>20804688</v>
      </c>
      <c r="K127" s="260">
        <f t="shared" si="102"/>
        <v>3551688</v>
      </c>
      <c r="L127" s="260">
        <f t="shared" si="103"/>
        <v>24356376</v>
      </c>
      <c r="M127" s="432">
        <f t="array" ref="M127">MAX((IF(MNU_CODIGO_ALIMENTO_ENTREGA=CONCATENATE($C127,"_","P_"),MNU_GRAMAJE_REQUERIDO_TIPOB,"")))</f>
        <v>100</v>
      </c>
      <c r="N127" s="348">
        <f t="shared" si="104"/>
        <v>166244</v>
      </c>
      <c r="O127" s="348">
        <f t="shared" si="105"/>
        <v>38755</v>
      </c>
      <c r="P127" s="348">
        <f t="shared" si="106"/>
        <v>204999</v>
      </c>
      <c r="Q127" s="349">
        <f t="shared" si="107"/>
        <v>26931528</v>
      </c>
      <c r="R127" s="349">
        <f t="shared" si="108"/>
        <v>6278310</v>
      </c>
      <c r="S127" s="349">
        <f t="shared" si="109"/>
        <v>33209838</v>
      </c>
      <c r="T127" s="353">
        <f t="array" ref="T127">MAX((IF(MNU_CODIGO_ALIMENTO_ENTREGA=CONCATENATE($C127,"_","P_"),MNU_GRAMAJE_REQUERIDO_TIPOC,"")))</f>
        <v>100</v>
      </c>
      <c r="U127" s="259">
        <f t="shared" si="110"/>
        <v>164588</v>
      </c>
      <c r="V127" s="259">
        <f t="shared" si="111"/>
        <v>68326</v>
      </c>
      <c r="W127" s="259">
        <f t="shared" si="112"/>
        <v>232914</v>
      </c>
      <c r="X127" s="260">
        <f t="shared" si="113"/>
        <v>26663256</v>
      </c>
      <c r="Y127" s="260">
        <f t="shared" si="114"/>
        <v>11068812</v>
      </c>
      <c r="Z127" s="260">
        <f t="shared" si="115"/>
        <v>37732068</v>
      </c>
      <c r="AA127" s="258">
        <f t="array" ref="AA127">MAX((IF(MNU_CODIGO_ALIMENTO_ENTREGA=CONCATENATE($C127,"_","P_"),MNU_GRAMAJE_REQUERIDO_TIPOM,"")))</f>
        <v>100</v>
      </c>
      <c r="AB127" s="261">
        <f t="shared" si="116"/>
        <v>8533</v>
      </c>
      <c r="AC127" s="261">
        <v>0</v>
      </c>
      <c r="AD127" s="261">
        <f t="shared" si="117"/>
        <v>8533</v>
      </c>
      <c r="AE127" s="262">
        <f t="shared" si="118"/>
        <v>1382346</v>
      </c>
      <c r="AF127" s="262">
        <v>0</v>
      </c>
      <c r="AG127" s="262">
        <f t="shared" si="119"/>
        <v>1382346</v>
      </c>
      <c r="AH127" s="353">
        <f t="array" ref="AH127">MAX((IF(MNU_CODIGO_ALIMENTO_ENTREGA=CONCATENATE($C127,"_","P_"),MNU_GRAMAJE_REQUERIDO_TIPOH,"")))</f>
        <v>100</v>
      </c>
      <c r="AI127" s="259">
        <f t="shared" si="120"/>
        <v>9637</v>
      </c>
      <c r="AJ127" s="259">
        <v>0</v>
      </c>
      <c r="AK127" s="259">
        <f t="shared" si="121"/>
        <v>9637</v>
      </c>
      <c r="AL127" s="260">
        <f t="shared" si="122"/>
        <v>1561194</v>
      </c>
      <c r="AM127" s="260">
        <v>0</v>
      </c>
      <c r="AN127" s="260">
        <f t="shared" si="123"/>
        <v>1561194</v>
      </c>
      <c r="AO127" s="457">
        <f t="shared" si="124"/>
        <v>606431</v>
      </c>
      <c r="AP127" s="456">
        <f t="shared" si="125"/>
        <v>98241822</v>
      </c>
      <c r="AQ127" s="263" t="e">
        <f>#REF!+AH127+AA127+T127+M127</f>
        <v>#REF!</v>
      </c>
      <c r="AR127" s="263">
        <f t="shared" si="84"/>
        <v>98590824</v>
      </c>
      <c r="AS127" s="263" t="e">
        <f t="shared" si="85"/>
        <v>#REF!</v>
      </c>
      <c r="AT127" s="263">
        <f t="shared" si="86"/>
        <v>99046907</v>
      </c>
      <c r="AU127" s="263" t="e">
        <f t="shared" si="87"/>
        <v>#REF!</v>
      </c>
      <c r="AV127" s="263">
        <f t="shared" si="88"/>
        <v>116394029</v>
      </c>
      <c r="AW127" s="263" t="e">
        <f t="shared" si="89"/>
        <v>#REF!</v>
      </c>
      <c r="AX127" s="263" t="e">
        <f>AV127+#REF!+AH127+AA127+T127</f>
        <v>#REF!</v>
      </c>
      <c r="AY127" s="263" t="e">
        <f t="shared" si="90"/>
        <v>#REF!</v>
      </c>
      <c r="AZ127" s="263" t="e">
        <f t="shared" si="91"/>
        <v>#REF!</v>
      </c>
      <c r="BA127" s="263" t="e">
        <f t="shared" si="92"/>
        <v>#REF!</v>
      </c>
      <c r="BB127" s="263" t="e">
        <f t="shared" si="93"/>
        <v>#REF!</v>
      </c>
      <c r="BC127" s="263" t="e">
        <f t="shared" si="94"/>
        <v>#REF!</v>
      </c>
      <c r="BD127" s="263" t="e">
        <f t="shared" si="95"/>
        <v>#REF!</v>
      </c>
      <c r="BE127" s="263" t="e">
        <f>BC127+AV127+#REF!+AH127+AA127</f>
        <v>#REF!</v>
      </c>
      <c r="BF127" s="263" t="e">
        <f t="shared" si="96"/>
        <v>#REF!</v>
      </c>
      <c r="BG127" s="263" t="e">
        <f t="shared" si="97"/>
        <v>#REF!</v>
      </c>
    </row>
    <row r="128" spans="1:59" ht="15.75">
      <c r="A128" s="338">
        <v>9</v>
      </c>
      <c r="B128" s="338" t="s">
        <v>1</v>
      </c>
      <c r="C128" s="258">
        <v>59</v>
      </c>
      <c r="D128" s="328" t="s">
        <v>99</v>
      </c>
      <c r="E128" s="258" t="s">
        <v>9</v>
      </c>
      <c r="F128" s="431">
        <f t="array" ref="F128">MAX((IF(MNU_CODIGO_ALIMENTO_ENTREGA=CONCATENATE($C128,"_","P_"),MNU_GRAMAJE_REQUERIDO_TIPOA,"")))</f>
        <v>0</v>
      </c>
      <c r="G128" s="259">
        <f t="shared" si="98"/>
        <v>0</v>
      </c>
      <c r="H128" s="259">
        <f t="shared" si="99"/>
        <v>0</v>
      </c>
      <c r="I128" s="259">
        <f t="shared" si="100"/>
        <v>0</v>
      </c>
      <c r="J128" s="260">
        <f t="shared" si="101"/>
        <v>0</v>
      </c>
      <c r="K128" s="260">
        <f t="shared" si="102"/>
        <v>0</v>
      </c>
      <c r="L128" s="260">
        <f t="shared" si="103"/>
        <v>0</v>
      </c>
      <c r="M128" s="432">
        <f t="array" ref="M128">MAX((IF(MNU_CODIGO_ALIMENTO_ENTREGA=CONCATENATE($C128,"_","P_"),MNU_GRAMAJE_REQUERIDO_TIPOB,"")))</f>
        <v>100</v>
      </c>
      <c r="N128" s="348">
        <f t="shared" si="104"/>
        <v>57824</v>
      </c>
      <c r="O128" s="348">
        <f t="shared" si="105"/>
        <v>18535</v>
      </c>
      <c r="P128" s="348">
        <f t="shared" si="106"/>
        <v>76359</v>
      </c>
      <c r="Q128" s="349">
        <f t="shared" si="107"/>
        <v>17347200</v>
      </c>
      <c r="R128" s="349">
        <f t="shared" si="108"/>
        <v>5560500</v>
      </c>
      <c r="S128" s="349">
        <f t="shared" si="109"/>
        <v>22907700</v>
      </c>
      <c r="T128" s="353">
        <f t="array" ref="T128">MAX((IF(MNU_CODIGO_ALIMENTO_ENTREGA=CONCATENATE($C128,"_","P_"),MNU_GRAMAJE_REQUERIDO_TIPOC,"")))</f>
        <v>100</v>
      </c>
      <c r="U128" s="259">
        <f t="shared" si="110"/>
        <v>57248</v>
      </c>
      <c r="V128" s="259">
        <f t="shared" si="111"/>
        <v>32626</v>
      </c>
      <c r="W128" s="259">
        <f t="shared" si="112"/>
        <v>89874</v>
      </c>
      <c r="X128" s="260">
        <f t="shared" si="113"/>
        <v>17174400</v>
      </c>
      <c r="Y128" s="260">
        <f t="shared" si="114"/>
        <v>9787800</v>
      </c>
      <c r="Z128" s="260">
        <f t="shared" si="115"/>
        <v>26962200</v>
      </c>
      <c r="AA128" s="258">
        <f t="array" ref="AA128">MAX((IF(MNU_CODIGO_ALIMENTO_ENTREGA=CONCATENATE($C128,"_","P_"),MNU_GRAMAJE_REQUERIDO_TIPOM,"")))</f>
        <v>100</v>
      </c>
      <c r="AB128" s="261">
        <f t="shared" si="116"/>
        <v>2968</v>
      </c>
      <c r="AC128" s="261">
        <v>0</v>
      </c>
      <c r="AD128" s="261">
        <f t="shared" si="117"/>
        <v>2968</v>
      </c>
      <c r="AE128" s="262">
        <f t="shared" si="118"/>
        <v>890400</v>
      </c>
      <c r="AF128" s="262">
        <v>0</v>
      </c>
      <c r="AG128" s="262">
        <f t="shared" si="119"/>
        <v>890400</v>
      </c>
      <c r="AH128" s="353">
        <f t="array" ref="AH128">MAX((IF(MNU_CODIGO_ALIMENTO_ENTREGA=CONCATENATE($C128,"_","P_"),MNU_GRAMAJE_REQUERIDO_TIPOH,"")))</f>
        <v>100</v>
      </c>
      <c r="AI128" s="259">
        <f t="shared" si="120"/>
        <v>3352</v>
      </c>
      <c r="AJ128" s="259">
        <v>0</v>
      </c>
      <c r="AK128" s="259">
        <f t="shared" si="121"/>
        <v>3352</v>
      </c>
      <c r="AL128" s="260">
        <f t="shared" si="122"/>
        <v>1005600</v>
      </c>
      <c r="AM128" s="260">
        <v>0</v>
      </c>
      <c r="AN128" s="260">
        <f t="shared" si="123"/>
        <v>1005600</v>
      </c>
      <c r="AO128" s="457">
        <f t="shared" si="124"/>
        <v>172553</v>
      </c>
      <c r="AP128" s="456">
        <f t="shared" si="125"/>
        <v>51765900</v>
      </c>
      <c r="AQ128" s="263" t="e">
        <f>#REF!+AH128+AA128+T128+M128</f>
        <v>#REF!</v>
      </c>
      <c r="AR128" s="263">
        <f t="shared" si="84"/>
        <v>51887292</v>
      </c>
      <c r="AS128" s="263" t="e">
        <f t="shared" si="85"/>
        <v>#REF!</v>
      </c>
      <c r="AT128" s="263">
        <f t="shared" si="86"/>
        <v>52059845</v>
      </c>
      <c r="AU128" s="263" t="e">
        <f t="shared" si="87"/>
        <v>#REF!</v>
      </c>
      <c r="AV128" s="263">
        <f t="shared" si="88"/>
        <v>67408145</v>
      </c>
      <c r="AW128" s="263" t="e">
        <f t="shared" si="89"/>
        <v>#REF!</v>
      </c>
      <c r="AX128" s="263" t="e">
        <f>AV128+#REF!+AH128+AA128+T128</f>
        <v>#REF!</v>
      </c>
      <c r="AY128" s="263" t="e">
        <f t="shared" si="90"/>
        <v>#REF!</v>
      </c>
      <c r="AZ128" s="263" t="e">
        <f t="shared" si="91"/>
        <v>#REF!</v>
      </c>
      <c r="BA128" s="263" t="e">
        <f t="shared" si="92"/>
        <v>#REF!</v>
      </c>
      <c r="BB128" s="263" t="e">
        <f t="shared" si="93"/>
        <v>#REF!</v>
      </c>
      <c r="BC128" s="263" t="e">
        <f t="shared" si="94"/>
        <v>#REF!</v>
      </c>
      <c r="BD128" s="263" t="e">
        <f t="shared" si="95"/>
        <v>#REF!</v>
      </c>
      <c r="BE128" s="263" t="e">
        <f>BC128+AV128+#REF!+AH128+AA128</f>
        <v>#REF!</v>
      </c>
      <c r="BF128" s="263" t="e">
        <f t="shared" si="96"/>
        <v>#REF!</v>
      </c>
      <c r="BG128" s="263" t="e">
        <f t="shared" si="97"/>
        <v>#REF!</v>
      </c>
    </row>
    <row r="129" spans="1:59" ht="15.75">
      <c r="A129" s="338">
        <v>9</v>
      </c>
      <c r="B129" s="338" t="s">
        <v>1</v>
      </c>
      <c r="C129" s="258">
        <v>69</v>
      </c>
      <c r="D129" s="328" t="s">
        <v>70</v>
      </c>
      <c r="E129" s="258" t="s">
        <v>9</v>
      </c>
      <c r="F129" s="431">
        <f t="array" ref="F129">MAX((IF(MNU_CODIGO_ALIMENTO_ENTREGA=CONCATENATE($C129,"_","P_"),MNU_GRAMAJE_REQUERIDO_TIPOA,"")))</f>
        <v>100</v>
      </c>
      <c r="G129" s="259">
        <f t="shared" si="98"/>
        <v>160530</v>
      </c>
      <c r="H129" s="259">
        <f t="shared" si="99"/>
        <v>14094</v>
      </c>
      <c r="I129" s="259">
        <f t="shared" si="100"/>
        <v>174624</v>
      </c>
      <c r="J129" s="260">
        <f t="shared" si="101"/>
        <v>51369600</v>
      </c>
      <c r="K129" s="260">
        <f t="shared" si="102"/>
        <v>4510080</v>
      </c>
      <c r="L129" s="260">
        <f t="shared" si="103"/>
        <v>55879680</v>
      </c>
      <c r="M129" s="432">
        <f t="array" ref="M129">MAX((IF(MNU_CODIGO_ALIMENTO_ENTREGA=CONCATENATE($C129,"_","P_"),MNU_GRAMAJE_REQUERIDO_TIPOB,"")))</f>
        <v>100</v>
      </c>
      <c r="N129" s="348">
        <f t="shared" si="104"/>
        <v>115648</v>
      </c>
      <c r="O129" s="348">
        <f t="shared" si="105"/>
        <v>20220</v>
      </c>
      <c r="P129" s="348">
        <f t="shared" si="106"/>
        <v>135868</v>
      </c>
      <c r="Q129" s="349">
        <f t="shared" si="107"/>
        <v>37007360</v>
      </c>
      <c r="R129" s="349">
        <f t="shared" si="108"/>
        <v>6470400</v>
      </c>
      <c r="S129" s="349">
        <f t="shared" si="109"/>
        <v>43477760</v>
      </c>
      <c r="T129" s="353">
        <f t="array" ref="T129">MAX((IF(MNU_CODIGO_ALIMENTO_ENTREGA=CONCATENATE($C129,"_","P_"),MNU_GRAMAJE_REQUERIDO_TIPOC,"")))</f>
        <v>100</v>
      </c>
      <c r="U129" s="259">
        <f t="shared" si="110"/>
        <v>114496</v>
      </c>
      <c r="V129" s="259">
        <f t="shared" si="111"/>
        <v>35664</v>
      </c>
      <c r="W129" s="259">
        <f t="shared" si="112"/>
        <v>150160</v>
      </c>
      <c r="X129" s="260">
        <f t="shared" si="113"/>
        <v>36638720</v>
      </c>
      <c r="Y129" s="260">
        <f t="shared" si="114"/>
        <v>11412480</v>
      </c>
      <c r="Z129" s="260">
        <f t="shared" si="115"/>
        <v>48051200</v>
      </c>
      <c r="AA129" s="258">
        <f t="array" ref="AA129">MAX((IF(MNU_CODIGO_ALIMENTO_ENTREGA=CONCATENATE($C129,"_","P_"),MNU_GRAMAJE_REQUERIDO_TIPOM,"")))</f>
        <v>100</v>
      </c>
      <c r="AB129" s="261">
        <f t="shared" si="116"/>
        <v>5936</v>
      </c>
      <c r="AC129" s="261">
        <v>0</v>
      </c>
      <c r="AD129" s="261">
        <f t="shared" si="117"/>
        <v>5936</v>
      </c>
      <c r="AE129" s="262">
        <f t="shared" si="118"/>
        <v>1899520</v>
      </c>
      <c r="AF129" s="262">
        <v>0</v>
      </c>
      <c r="AG129" s="262">
        <f t="shared" si="119"/>
        <v>1899520</v>
      </c>
      <c r="AH129" s="353">
        <f t="array" ref="AH129">MAX((IF(MNU_CODIGO_ALIMENTO_ENTREGA=CONCATENATE($C129,"_","P_"),MNU_GRAMAJE_REQUERIDO_TIPOH,"")))</f>
        <v>100</v>
      </c>
      <c r="AI129" s="259">
        <f t="shared" si="120"/>
        <v>6704</v>
      </c>
      <c r="AJ129" s="259">
        <v>0</v>
      </c>
      <c r="AK129" s="259">
        <f t="shared" si="121"/>
        <v>6704</v>
      </c>
      <c r="AL129" s="260">
        <f t="shared" si="122"/>
        <v>2145280</v>
      </c>
      <c r="AM129" s="260">
        <v>0</v>
      </c>
      <c r="AN129" s="260">
        <f t="shared" si="123"/>
        <v>2145280</v>
      </c>
      <c r="AO129" s="457">
        <f t="shared" si="124"/>
        <v>473292</v>
      </c>
      <c r="AP129" s="456">
        <f t="shared" si="125"/>
        <v>151453440</v>
      </c>
      <c r="AQ129" s="263" t="e">
        <f>#REF!+AH129+AA129+T129+M129</f>
        <v>#REF!</v>
      </c>
      <c r="AR129" s="263">
        <f t="shared" si="84"/>
        <v>151696224</v>
      </c>
      <c r="AS129" s="263" t="e">
        <f t="shared" si="85"/>
        <v>#REF!</v>
      </c>
      <c r="AT129" s="263">
        <f t="shared" si="86"/>
        <v>151994892</v>
      </c>
      <c r="AU129" s="263" t="e">
        <f t="shared" si="87"/>
        <v>#REF!</v>
      </c>
      <c r="AV129" s="263">
        <f t="shared" si="88"/>
        <v>169877772</v>
      </c>
      <c r="AW129" s="263" t="e">
        <f t="shared" si="89"/>
        <v>#REF!</v>
      </c>
      <c r="AX129" s="263" t="e">
        <f>AV129+#REF!+AH129+AA129+T129</f>
        <v>#REF!</v>
      </c>
      <c r="AY129" s="263" t="e">
        <f t="shared" si="90"/>
        <v>#REF!</v>
      </c>
      <c r="AZ129" s="263" t="e">
        <f t="shared" si="91"/>
        <v>#REF!</v>
      </c>
      <c r="BA129" s="263" t="e">
        <f t="shared" si="92"/>
        <v>#REF!</v>
      </c>
      <c r="BB129" s="263" t="e">
        <f t="shared" si="93"/>
        <v>#REF!</v>
      </c>
      <c r="BC129" s="263" t="e">
        <f t="shared" si="94"/>
        <v>#REF!</v>
      </c>
      <c r="BD129" s="263" t="e">
        <f t="shared" si="95"/>
        <v>#REF!</v>
      </c>
      <c r="BE129" s="263" t="e">
        <f>BC129+AV129+#REF!+AH129+AA129</f>
        <v>#REF!</v>
      </c>
      <c r="BF129" s="263" t="e">
        <f t="shared" si="96"/>
        <v>#REF!</v>
      </c>
      <c r="BG129" s="263" t="e">
        <f t="shared" si="97"/>
        <v>#REF!</v>
      </c>
    </row>
    <row r="130" spans="1:59" ht="15.75">
      <c r="A130" s="338">
        <v>9</v>
      </c>
      <c r="B130" s="338" t="s">
        <v>1</v>
      </c>
      <c r="C130" s="258">
        <v>70</v>
      </c>
      <c r="D130" s="328" t="s">
        <v>71</v>
      </c>
      <c r="E130" s="258" t="s">
        <v>9</v>
      </c>
      <c r="F130" s="431">
        <f t="array" ref="F130">MAX((IF(MNU_CODIGO_ALIMENTO_ENTREGA=CONCATENATE($C130,"_","P_"),MNU_GRAMAJE_REQUERIDO_TIPOA,"")))</f>
        <v>0</v>
      </c>
      <c r="G130" s="259">
        <f t="shared" si="98"/>
        <v>0</v>
      </c>
      <c r="H130" s="259">
        <f t="shared" si="99"/>
        <v>0</v>
      </c>
      <c r="I130" s="259">
        <f t="shared" si="100"/>
        <v>0</v>
      </c>
      <c r="J130" s="260">
        <f t="shared" si="101"/>
        <v>0</v>
      </c>
      <c r="K130" s="260">
        <f t="shared" si="102"/>
        <v>0</v>
      </c>
      <c r="L130" s="260">
        <f t="shared" si="103"/>
        <v>0</v>
      </c>
      <c r="M130" s="432">
        <f t="array" ref="M130">MAX((IF(MNU_CODIGO_ALIMENTO_ENTREGA=CONCATENATE($C130,"_","P_"),MNU_GRAMAJE_REQUERIDO_TIPOB,"")))</f>
        <v>100</v>
      </c>
      <c r="N130" s="348">
        <f t="shared" si="104"/>
        <v>72280</v>
      </c>
      <c r="O130" s="348">
        <f t="shared" si="105"/>
        <v>13480</v>
      </c>
      <c r="P130" s="348">
        <f t="shared" si="106"/>
        <v>85760</v>
      </c>
      <c r="Q130" s="349">
        <f t="shared" si="107"/>
        <v>32959680</v>
      </c>
      <c r="R130" s="349">
        <f t="shared" si="108"/>
        <v>6146880</v>
      </c>
      <c r="S130" s="349">
        <f t="shared" si="109"/>
        <v>39106560</v>
      </c>
      <c r="T130" s="353">
        <f t="array" ref="T130">MAX((IF(MNU_CODIGO_ALIMENTO_ENTREGA=CONCATENATE($C130,"_","P_"),MNU_GRAMAJE_REQUERIDO_TIPOC,"")))</f>
        <v>100</v>
      </c>
      <c r="U130" s="259">
        <f t="shared" si="110"/>
        <v>71560</v>
      </c>
      <c r="V130" s="259">
        <f t="shared" si="111"/>
        <v>23872</v>
      </c>
      <c r="W130" s="259">
        <f t="shared" si="112"/>
        <v>95432</v>
      </c>
      <c r="X130" s="260">
        <f t="shared" si="113"/>
        <v>32631360</v>
      </c>
      <c r="Y130" s="260">
        <f t="shared" si="114"/>
        <v>10885632</v>
      </c>
      <c r="Z130" s="260">
        <f t="shared" si="115"/>
        <v>43516992</v>
      </c>
      <c r="AA130" s="258">
        <f t="array" ref="AA130">MAX((IF(MNU_CODIGO_ALIMENTO_ENTREGA=CONCATENATE($C130,"_","P_"),MNU_GRAMAJE_REQUERIDO_TIPOM,"")))</f>
        <v>100</v>
      </c>
      <c r="AB130" s="261">
        <f t="shared" si="116"/>
        <v>3710</v>
      </c>
      <c r="AC130" s="261">
        <v>0</v>
      </c>
      <c r="AD130" s="261">
        <f t="shared" si="117"/>
        <v>3710</v>
      </c>
      <c r="AE130" s="262">
        <f t="shared" si="118"/>
        <v>1691760</v>
      </c>
      <c r="AF130" s="262">
        <v>0</v>
      </c>
      <c r="AG130" s="262">
        <f t="shared" si="119"/>
        <v>1691760</v>
      </c>
      <c r="AH130" s="353">
        <f t="array" ref="AH130">MAX((IF(MNU_CODIGO_ALIMENTO_ENTREGA=CONCATENATE($C130,"_","P_"),MNU_GRAMAJE_REQUERIDO_TIPOH,"")))</f>
        <v>100</v>
      </c>
      <c r="AI130" s="259">
        <f t="shared" si="120"/>
        <v>4190</v>
      </c>
      <c r="AJ130" s="259">
        <v>0</v>
      </c>
      <c r="AK130" s="259">
        <f t="shared" si="121"/>
        <v>4190</v>
      </c>
      <c r="AL130" s="260">
        <f t="shared" si="122"/>
        <v>1910640</v>
      </c>
      <c r="AM130" s="260">
        <v>0</v>
      </c>
      <c r="AN130" s="260">
        <f t="shared" si="123"/>
        <v>1910640</v>
      </c>
      <c r="AO130" s="457">
        <f t="shared" si="124"/>
        <v>189092</v>
      </c>
      <c r="AP130" s="456">
        <f t="shared" si="125"/>
        <v>86225952</v>
      </c>
      <c r="AQ130" s="263" t="e">
        <f>#REF!+AH130+AA130+T130+M130</f>
        <v>#REF!</v>
      </c>
      <c r="AR130" s="263">
        <f t="shared" si="84"/>
        <v>86377692</v>
      </c>
      <c r="AS130" s="263" t="e">
        <f t="shared" si="85"/>
        <v>#REF!</v>
      </c>
      <c r="AT130" s="263">
        <f t="shared" si="86"/>
        <v>86566784</v>
      </c>
      <c r="AU130" s="263" t="e">
        <f t="shared" si="87"/>
        <v>#REF!</v>
      </c>
      <c r="AV130" s="263">
        <f t="shared" si="88"/>
        <v>103599296</v>
      </c>
      <c r="AW130" s="263" t="e">
        <f t="shared" si="89"/>
        <v>#REF!</v>
      </c>
      <c r="AX130" s="263" t="e">
        <f>AV130+#REF!+AH130+AA130+T130</f>
        <v>#REF!</v>
      </c>
      <c r="AY130" s="263" t="e">
        <f t="shared" si="90"/>
        <v>#REF!</v>
      </c>
      <c r="AZ130" s="263" t="e">
        <f t="shared" si="91"/>
        <v>#REF!</v>
      </c>
      <c r="BA130" s="263" t="e">
        <f t="shared" si="92"/>
        <v>#REF!</v>
      </c>
      <c r="BB130" s="263" t="e">
        <f t="shared" si="93"/>
        <v>#REF!</v>
      </c>
      <c r="BC130" s="263" t="e">
        <f t="shared" si="94"/>
        <v>#REF!</v>
      </c>
      <c r="BD130" s="263" t="e">
        <f t="shared" si="95"/>
        <v>#REF!</v>
      </c>
      <c r="BE130" s="263" t="e">
        <f>BC130+AV130+#REF!+AH130+AA130</f>
        <v>#REF!</v>
      </c>
      <c r="BF130" s="263" t="e">
        <f t="shared" si="96"/>
        <v>#REF!</v>
      </c>
      <c r="BG130" s="263" t="e">
        <f t="shared" si="97"/>
        <v>#REF!</v>
      </c>
    </row>
    <row r="131" spans="1:59" ht="15.75">
      <c r="A131" s="338">
        <v>10</v>
      </c>
      <c r="B131" s="338" t="s">
        <v>1</v>
      </c>
      <c r="C131" s="258">
        <v>7</v>
      </c>
      <c r="D131" s="328" t="s">
        <v>57</v>
      </c>
      <c r="E131" s="258" t="s">
        <v>9</v>
      </c>
      <c r="F131" s="431">
        <f t="array" ref="F131">MAX((IF(MNU_CODIGO_ALIMENTO_ENTREGA=CONCATENATE($C131,"_","P_"),MNU_GRAMAJE_REQUERIDO_TIPOA,"")))</f>
        <v>100</v>
      </c>
      <c r="G131" s="259">
        <f t="shared" si="98"/>
        <v>136576</v>
      </c>
      <c r="H131" s="259">
        <f t="shared" si="99"/>
        <v>21111</v>
      </c>
      <c r="I131" s="259">
        <f t="shared" si="100"/>
        <v>157687</v>
      </c>
      <c r="J131" s="260">
        <f t="shared" si="101"/>
        <v>15296512</v>
      </c>
      <c r="K131" s="260">
        <f t="shared" si="102"/>
        <v>2364432</v>
      </c>
      <c r="L131" s="260">
        <f t="shared" si="103"/>
        <v>17660944</v>
      </c>
      <c r="M131" s="432">
        <f t="array" ref="M131">MAX((IF(MNU_CODIGO_ALIMENTO_ENTREGA=CONCATENATE($C131,"_","P_"),MNU_GRAMAJE_REQUERIDO_TIPOB,"")))</f>
        <v>100</v>
      </c>
      <c r="N131" s="348">
        <f t="shared" si="104"/>
        <v>73413</v>
      </c>
      <c r="O131" s="348">
        <f t="shared" si="105"/>
        <v>8811</v>
      </c>
      <c r="P131" s="348">
        <f t="shared" si="106"/>
        <v>82224</v>
      </c>
      <c r="Q131" s="349">
        <f t="shared" si="107"/>
        <v>8222256</v>
      </c>
      <c r="R131" s="349">
        <f t="shared" si="108"/>
        <v>986832</v>
      </c>
      <c r="S131" s="349">
        <f t="shared" si="109"/>
        <v>9209088</v>
      </c>
      <c r="T131" s="353">
        <f t="array" ref="T131">MAX((IF(MNU_CODIGO_ALIMENTO_ENTREGA=CONCATENATE($C131,"_","P_"),MNU_GRAMAJE_REQUERIDO_TIPOC,"")))</f>
        <v>100</v>
      </c>
      <c r="U131" s="259">
        <f t="shared" si="110"/>
        <v>78921</v>
      </c>
      <c r="V131" s="259">
        <f t="shared" si="111"/>
        <v>9647</v>
      </c>
      <c r="W131" s="259">
        <f t="shared" si="112"/>
        <v>88568</v>
      </c>
      <c r="X131" s="260">
        <f t="shared" si="113"/>
        <v>8839152</v>
      </c>
      <c r="Y131" s="260">
        <f t="shared" si="114"/>
        <v>1080464</v>
      </c>
      <c r="Z131" s="260">
        <f t="shared" si="115"/>
        <v>9919616</v>
      </c>
      <c r="AA131" s="258">
        <f t="array" ref="AA131">MAX((IF(MNU_CODIGO_ALIMENTO_ENTREGA=CONCATENATE($C131,"_","P_"),MNU_GRAMAJE_REQUERIDO_TIPOM,"")))</f>
        <v>100</v>
      </c>
      <c r="AB131" s="261">
        <f t="shared" si="116"/>
        <v>0</v>
      </c>
      <c r="AC131" s="261">
        <v>0</v>
      </c>
      <c r="AD131" s="261">
        <f t="shared" si="117"/>
        <v>0</v>
      </c>
      <c r="AE131" s="262">
        <f t="shared" si="118"/>
        <v>0</v>
      </c>
      <c r="AF131" s="262">
        <v>0</v>
      </c>
      <c r="AG131" s="262">
        <f t="shared" si="119"/>
        <v>0</v>
      </c>
      <c r="AH131" s="353">
        <f t="array" ref="AH131">MAX((IF(MNU_CODIGO_ALIMENTO_ENTREGA=CONCATENATE($C131,"_","P_"),MNU_GRAMAJE_REQUERIDO_TIPOH,"")))</f>
        <v>100</v>
      </c>
      <c r="AI131" s="259">
        <f t="shared" si="120"/>
        <v>0</v>
      </c>
      <c r="AJ131" s="259">
        <v>0</v>
      </c>
      <c r="AK131" s="259">
        <f t="shared" si="121"/>
        <v>0</v>
      </c>
      <c r="AL131" s="260">
        <f t="shared" si="122"/>
        <v>0</v>
      </c>
      <c r="AM131" s="260">
        <v>0</v>
      </c>
      <c r="AN131" s="260">
        <f t="shared" si="123"/>
        <v>0</v>
      </c>
      <c r="AO131" s="457">
        <f t="shared" si="124"/>
        <v>328479</v>
      </c>
      <c r="AP131" s="456">
        <f t="shared" si="125"/>
        <v>36789648</v>
      </c>
      <c r="AQ131" s="263" t="e">
        <f>#REF!+AH131+AA131+T131+M131</f>
        <v>#REF!</v>
      </c>
      <c r="AR131" s="263">
        <f t="shared" si="84"/>
        <v>36941982</v>
      </c>
      <c r="AS131" s="263" t="e">
        <f t="shared" si="85"/>
        <v>#REF!</v>
      </c>
      <c r="AT131" s="263">
        <f t="shared" si="86"/>
        <v>37112774</v>
      </c>
      <c r="AU131" s="263" t="e">
        <f t="shared" si="87"/>
        <v>#REF!</v>
      </c>
      <c r="AV131" s="263">
        <f t="shared" si="88"/>
        <v>39180070</v>
      </c>
      <c r="AW131" s="263" t="e">
        <f t="shared" si="89"/>
        <v>#REF!</v>
      </c>
      <c r="AX131" s="263" t="e">
        <f>AV131+#REF!+AH131+AA131+T131</f>
        <v>#REF!</v>
      </c>
      <c r="AY131" s="263" t="e">
        <f t="shared" si="90"/>
        <v>#REF!</v>
      </c>
      <c r="AZ131" s="263" t="e">
        <f t="shared" si="91"/>
        <v>#REF!</v>
      </c>
      <c r="BA131" s="263" t="e">
        <f t="shared" si="92"/>
        <v>#REF!</v>
      </c>
      <c r="BB131" s="263" t="e">
        <f t="shared" si="93"/>
        <v>#REF!</v>
      </c>
      <c r="BC131" s="263" t="e">
        <f t="shared" si="94"/>
        <v>#REF!</v>
      </c>
      <c r="BD131" s="263" t="e">
        <f t="shared" si="95"/>
        <v>#REF!</v>
      </c>
      <c r="BE131" s="263" t="e">
        <f>BC131+AV131+#REF!+AH131+AA131</f>
        <v>#REF!</v>
      </c>
      <c r="BF131" s="263" t="e">
        <f t="shared" si="96"/>
        <v>#REF!</v>
      </c>
      <c r="BG131" s="263" t="e">
        <f t="shared" si="97"/>
        <v>#REF!</v>
      </c>
    </row>
    <row r="132" spans="1:59" ht="15.75">
      <c r="A132" s="338">
        <v>10</v>
      </c>
      <c r="B132" s="338" t="s">
        <v>1</v>
      </c>
      <c r="C132" s="258">
        <v>8</v>
      </c>
      <c r="D132" s="328" t="s">
        <v>55</v>
      </c>
      <c r="E132" s="258" t="s">
        <v>9</v>
      </c>
      <c r="F132" s="431">
        <f t="array" ref="F132">MAX((IF(MNU_CODIGO_ALIMENTO_ENTREGA=CONCATENATE($C132,"_","P_"),MNU_GRAMAJE_REQUERIDO_TIPOA,"")))</f>
        <v>100</v>
      </c>
      <c r="G132" s="259">
        <f t="shared" si="98"/>
        <v>62080</v>
      </c>
      <c r="H132" s="259">
        <f t="shared" si="99"/>
        <v>7491</v>
      </c>
      <c r="I132" s="259">
        <f t="shared" si="100"/>
        <v>69571</v>
      </c>
      <c r="J132" s="260">
        <f t="shared" si="101"/>
        <v>8753280</v>
      </c>
      <c r="K132" s="260">
        <f t="shared" si="102"/>
        <v>1056231</v>
      </c>
      <c r="L132" s="260">
        <f t="shared" si="103"/>
        <v>9809511</v>
      </c>
      <c r="M132" s="432">
        <f t="array" ref="M132">MAX((IF(MNU_CODIGO_ALIMENTO_ENTREGA=CONCATENATE($C132,"_","P_"),MNU_GRAMAJE_REQUERIDO_TIPOB,"")))</f>
        <v>100</v>
      </c>
      <c r="N132" s="348">
        <f t="shared" si="104"/>
        <v>65256</v>
      </c>
      <c r="O132" s="348">
        <f t="shared" si="105"/>
        <v>8811</v>
      </c>
      <c r="P132" s="348">
        <f t="shared" si="106"/>
        <v>74067</v>
      </c>
      <c r="Q132" s="349">
        <f t="shared" si="107"/>
        <v>9201096</v>
      </c>
      <c r="R132" s="349">
        <f t="shared" si="108"/>
        <v>1242351</v>
      </c>
      <c r="S132" s="349">
        <f t="shared" si="109"/>
        <v>10443447</v>
      </c>
      <c r="T132" s="353">
        <f t="array" ref="T132">MAX((IF(MNU_CODIGO_ALIMENTO_ENTREGA=CONCATENATE($C132,"_","P_"),MNU_GRAMAJE_REQUERIDO_TIPOC,"")))</f>
        <v>100</v>
      </c>
      <c r="U132" s="259">
        <f t="shared" si="110"/>
        <v>70152</v>
      </c>
      <c r="V132" s="259">
        <f t="shared" si="111"/>
        <v>9647</v>
      </c>
      <c r="W132" s="259">
        <f t="shared" si="112"/>
        <v>79799</v>
      </c>
      <c r="X132" s="260">
        <f t="shared" si="113"/>
        <v>9891432</v>
      </c>
      <c r="Y132" s="260">
        <f t="shared" si="114"/>
        <v>1360227</v>
      </c>
      <c r="Z132" s="260">
        <f t="shared" si="115"/>
        <v>11251659</v>
      </c>
      <c r="AA132" s="258">
        <f t="array" ref="AA132">MAX((IF(MNU_CODIGO_ALIMENTO_ENTREGA=CONCATENATE($C132,"_","P_"),MNU_GRAMAJE_REQUERIDO_TIPOM,"")))</f>
        <v>100</v>
      </c>
      <c r="AB132" s="261">
        <f t="shared" si="116"/>
        <v>0</v>
      </c>
      <c r="AC132" s="261">
        <v>0</v>
      </c>
      <c r="AD132" s="261">
        <f t="shared" si="117"/>
        <v>0</v>
      </c>
      <c r="AE132" s="262">
        <f t="shared" si="118"/>
        <v>0</v>
      </c>
      <c r="AF132" s="262">
        <v>0</v>
      </c>
      <c r="AG132" s="262">
        <f t="shared" si="119"/>
        <v>0</v>
      </c>
      <c r="AH132" s="353">
        <f t="array" ref="AH132">MAX((IF(MNU_CODIGO_ALIMENTO_ENTREGA=CONCATENATE($C132,"_","P_"),MNU_GRAMAJE_REQUERIDO_TIPOH,"")))</f>
        <v>100</v>
      </c>
      <c r="AI132" s="259">
        <f t="shared" si="120"/>
        <v>0</v>
      </c>
      <c r="AJ132" s="259">
        <v>0</v>
      </c>
      <c r="AK132" s="259">
        <f t="shared" si="121"/>
        <v>0</v>
      </c>
      <c r="AL132" s="260">
        <f t="shared" si="122"/>
        <v>0</v>
      </c>
      <c r="AM132" s="260">
        <v>0</v>
      </c>
      <c r="AN132" s="260">
        <f t="shared" si="123"/>
        <v>0</v>
      </c>
      <c r="AO132" s="457">
        <f t="shared" si="124"/>
        <v>223437</v>
      </c>
      <c r="AP132" s="456">
        <f t="shared" si="125"/>
        <v>31504617</v>
      </c>
      <c r="AQ132" s="263" t="e">
        <f>#REF!+AH132+AA132+T132+M132</f>
        <v>#REF!</v>
      </c>
      <c r="AR132" s="263">
        <f t="shared" si="84"/>
        <v>31640025</v>
      </c>
      <c r="AS132" s="263" t="e">
        <f t="shared" si="85"/>
        <v>#REF!</v>
      </c>
      <c r="AT132" s="263">
        <f t="shared" si="86"/>
        <v>31793891</v>
      </c>
      <c r="AU132" s="263" t="e">
        <f t="shared" si="87"/>
        <v>#REF!</v>
      </c>
      <c r="AV132" s="263">
        <f t="shared" si="88"/>
        <v>34396469</v>
      </c>
      <c r="AW132" s="263" t="e">
        <f t="shared" si="89"/>
        <v>#REF!</v>
      </c>
      <c r="AX132" s="263" t="e">
        <f>AV132+#REF!+AH132+AA132+T132</f>
        <v>#REF!</v>
      </c>
      <c r="AY132" s="263" t="e">
        <f t="shared" si="90"/>
        <v>#REF!</v>
      </c>
      <c r="AZ132" s="263" t="e">
        <f t="shared" si="91"/>
        <v>#REF!</v>
      </c>
      <c r="BA132" s="263" t="e">
        <f t="shared" si="92"/>
        <v>#REF!</v>
      </c>
      <c r="BB132" s="263" t="e">
        <f t="shared" si="93"/>
        <v>#REF!</v>
      </c>
      <c r="BC132" s="263" t="e">
        <f t="shared" si="94"/>
        <v>#REF!</v>
      </c>
      <c r="BD132" s="263" t="e">
        <f t="shared" si="95"/>
        <v>#REF!</v>
      </c>
      <c r="BE132" s="263" t="e">
        <f>BC132+AV132+#REF!+AH132+AA132</f>
        <v>#REF!</v>
      </c>
      <c r="BF132" s="263" t="e">
        <f t="shared" si="96"/>
        <v>#REF!</v>
      </c>
      <c r="BG132" s="263" t="e">
        <f t="shared" si="97"/>
        <v>#REF!</v>
      </c>
    </row>
    <row r="133" spans="1:59" ht="15.75">
      <c r="A133" s="338">
        <v>10</v>
      </c>
      <c r="B133" s="338" t="s">
        <v>1</v>
      </c>
      <c r="C133" s="258">
        <v>17</v>
      </c>
      <c r="D133" s="328" t="s">
        <v>53</v>
      </c>
      <c r="E133" s="258" t="s">
        <v>9</v>
      </c>
      <c r="F133" s="431">
        <f t="array" ref="F133">MAX((IF(MNU_CODIGO_ALIMENTO_ENTREGA=CONCATENATE($C133,"_","P_"),MNU_GRAMAJE_REQUERIDO_TIPOA,"")))</f>
        <v>0</v>
      </c>
      <c r="G133" s="259">
        <f t="shared" si="98"/>
        <v>0</v>
      </c>
      <c r="H133" s="259">
        <f t="shared" si="99"/>
        <v>0</v>
      </c>
      <c r="I133" s="259">
        <f t="shared" si="100"/>
        <v>0</v>
      </c>
      <c r="J133" s="260">
        <f t="shared" si="101"/>
        <v>0</v>
      </c>
      <c r="K133" s="260">
        <f t="shared" si="102"/>
        <v>0</v>
      </c>
      <c r="L133" s="260">
        <f t="shared" si="103"/>
        <v>0</v>
      </c>
      <c r="M133" s="432">
        <f t="array" ref="M133">MAX((IF(MNU_CODIGO_ALIMENTO_ENTREGA=CONCATENATE($C133,"_","P_"),MNU_GRAMAJE_REQUERIDO_TIPOB,"")))</f>
        <v>100</v>
      </c>
      <c r="N133" s="348">
        <f t="shared" si="104"/>
        <v>171297</v>
      </c>
      <c r="O133" s="348">
        <f t="shared" si="105"/>
        <v>18423</v>
      </c>
      <c r="P133" s="348">
        <f t="shared" si="106"/>
        <v>189720</v>
      </c>
      <c r="Q133" s="349">
        <f t="shared" si="107"/>
        <v>40597389</v>
      </c>
      <c r="R133" s="349">
        <f t="shared" si="108"/>
        <v>4366251</v>
      </c>
      <c r="S133" s="349">
        <f t="shared" si="109"/>
        <v>44963640</v>
      </c>
      <c r="T133" s="353">
        <f t="array" ref="T133">MAX((IF(MNU_CODIGO_ALIMENTO_ENTREGA=CONCATENATE($C133,"_","P_"),MNU_GRAMAJE_REQUERIDO_TIPOC,"")))</f>
        <v>100</v>
      </c>
      <c r="U133" s="259">
        <f t="shared" si="110"/>
        <v>184149</v>
      </c>
      <c r="V133" s="259">
        <f t="shared" si="111"/>
        <v>20171</v>
      </c>
      <c r="W133" s="259">
        <f t="shared" si="112"/>
        <v>204320</v>
      </c>
      <c r="X133" s="260">
        <f t="shared" si="113"/>
        <v>43643313</v>
      </c>
      <c r="Y133" s="260">
        <f t="shared" si="114"/>
        <v>4780527</v>
      </c>
      <c r="Z133" s="260">
        <f t="shared" si="115"/>
        <v>48423840</v>
      </c>
      <c r="AA133" s="258">
        <f t="array" ref="AA133">MAX((IF(MNU_CODIGO_ALIMENTO_ENTREGA=CONCATENATE($C133,"_","P_"),MNU_GRAMAJE_REQUERIDO_TIPOM,"")))</f>
        <v>100</v>
      </c>
      <c r="AB133" s="261">
        <f t="shared" si="116"/>
        <v>0</v>
      </c>
      <c r="AC133" s="261">
        <v>0</v>
      </c>
      <c r="AD133" s="261">
        <f t="shared" si="117"/>
        <v>0</v>
      </c>
      <c r="AE133" s="262">
        <f t="shared" si="118"/>
        <v>0</v>
      </c>
      <c r="AF133" s="262">
        <v>0</v>
      </c>
      <c r="AG133" s="262">
        <f t="shared" si="119"/>
        <v>0</v>
      </c>
      <c r="AH133" s="353">
        <f t="array" ref="AH133">MAX((IF(MNU_CODIGO_ALIMENTO_ENTREGA=CONCATENATE($C133,"_","P_"),MNU_GRAMAJE_REQUERIDO_TIPOH,"")))</f>
        <v>100</v>
      </c>
      <c r="AI133" s="259">
        <f t="shared" si="120"/>
        <v>0</v>
      </c>
      <c r="AJ133" s="259">
        <v>0</v>
      </c>
      <c r="AK133" s="259">
        <f t="shared" si="121"/>
        <v>0</v>
      </c>
      <c r="AL133" s="260">
        <f t="shared" si="122"/>
        <v>0</v>
      </c>
      <c r="AM133" s="260">
        <v>0</v>
      </c>
      <c r="AN133" s="260">
        <f t="shared" si="123"/>
        <v>0</v>
      </c>
      <c r="AO133" s="457">
        <f t="shared" si="124"/>
        <v>394040</v>
      </c>
      <c r="AP133" s="456">
        <f t="shared" si="125"/>
        <v>93387480</v>
      </c>
      <c r="AQ133" s="263" t="e">
        <f>#REF!+AH133+AA133+T133+M133</f>
        <v>#REF!</v>
      </c>
      <c r="AR133" s="263">
        <f t="shared" si="84"/>
        <v>93742926</v>
      </c>
      <c r="AS133" s="263" t="e">
        <f t="shared" si="85"/>
        <v>#REF!</v>
      </c>
      <c r="AT133" s="263">
        <f t="shared" si="86"/>
        <v>94136966</v>
      </c>
      <c r="AU133" s="263" t="e">
        <f t="shared" si="87"/>
        <v>#REF!</v>
      </c>
      <c r="AV133" s="263">
        <f t="shared" si="88"/>
        <v>103283744</v>
      </c>
      <c r="AW133" s="263" t="e">
        <f t="shared" si="89"/>
        <v>#REF!</v>
      </c>
      <c r="AX133" s="263" t="e">
        <f>AV133+#REF!+AH133+AA133+T133</f>
        <v>#REF!</v>
      </c>
      <c r="AY133" s="263" t="e">
        <f t="shared" si="90"/>
        <v>#REF!</v>
      </c>
      <c r="AZ133" s="263" t="e">
        <f t="shared" si="91"/>
        <v>#REF!</v>
      </c>
      <c r="BA133" s="263" t="e">
        <f t="shared" si="92"/>
        <v>#REF!</v>
      </c>
      <c r="BB133" s="263" t="e">
        <f t="shared" si="93"/>
        <v>#REF!</v>
      </c>
      <c r="BC133" s="263" t="e">
        <f t="shared" si="94"/>
        <v>#REF!</v>
      </c>
      <c r="BD133" s="263" t="e">
        <f t="shared" si="95"/>
        <v>#REF!</v>
      </c>
      <c r="BE133" s="263" t="e">
        <f>BC133+AV133+#REF!+AH133+AA133</f>
        <v>#REF!</v>
      </c>
      <c r="BF133" s="263" t="e">
        <f t="shared" si="96"/>
        <v>#REF!</v>
      </c>
      <c r="BG133" s="263" t="e">
        <f t="shared" si="97"/>
        <v>#REF!</v>
      </c>
    </row>
    <row r="134" spans="1:59" ht="15.75">
      <c r="A134" s="338">
        <v>10</v>
      </c>
      <c r="B134" s="338" t="s">
        <v>1</v>
      </c>
      <c r="C134" s="258">
        <v>22</v>
      </c>
      <c r="D134" s="328" t="s">
        <v>51</v>
      </c>
      <c r="E134" s="258" t="s">
        <v>9</v>
      </c>
      <c r="F134" s="431">
        <f t="array" ref="F134">MAX((IF(MNU_CODIGO_ALIMENTO_ENTREGA=CONCATENATE($C134,"_","P_"),MNU_GRAMAJE_REQUERIDO_TIPOA,"")))</f>
        <v>0</v>
      </c>
      <c r="G134" s="259">
        <f t="shared" si="98"/>
        <v>0</v>
      </c>
      <c r="H134" s="259">
        <f t="shared" si="99"/>
        <v>0</v>
      </c>
      <c r="I134" s="259">
        <f t="shared" si="100"/>
        <v>0</v>
      </c>
      <c r="J134" s="260">
        <f t="shared" si="101"/>
        <v>0</v>
      </c>
      <c r="K134" s="260">
        <f t="shared" si="102"/>
        <v>0</v>
      </c>
      <c r="L134" s="260">
        <f t="shared" si="103"/>
        <v>0</v>
      </c>
      <c r="M134" s="432">
        <f t="array" ref="M134">MAX((IF(MNU_CODIGO_ALIMENTO_ENTREGA=CONCATENATE($C134,"_","P_"),MNU_GRAMAJE_REQUERIDO_TIPOB,"")))</f>
        <v>100</v>
      </c>
      <c r="N134" s="348">
        <f t="shared" si="104"/>
        <v>163140</v>
      </c>
      <c r="O134" s="348">
        <f t="shared" si="105"/>
        <v>18423</v>
      </c>
      <c r="P134" s="348">
        <f t="shared" si="106"/>
        <v>181563</v>
      </c>
      <c r="Q134" s="349">
        <f t="shared" si="107"/>
        <v>89890140</v>
      </c>
      <c r="R134" s="349">
        <f t="shared" si="108"/>
        <v>10151073</v>
      </c>
      <c r="S134" s="349">
        <f t="shared" si="109"/>
        <v>100041213</v>
      </c>
      <c r="T134" s="353">
        <f t="array" ref="T134">MAX((IF(MNU_CODIGO_ALIMENTO_ENTREGA=CONCATENATE($C134,"_","P_"),MNU_GRAMAJE_REQUERIDO_TIPOC,"")))</f>
        <v>100</v>
      </c>
      <c r="U134" s="259">
        <f t="shared" si="110"/>
        <v>175380</v>
      </c>
      <c r="V134" s="259">
        <f t="shared" si="111"/>
        <v>20171</v>
      </c>
      <c r="W134" s="259">
        <f t="shared" si="112"/>
        <v>195551</v>
      </c>
      <c r="X134" s="260">
        <f t="shared" si="113"/>
        <v>96634380</v>
      </c>
      <c r="Y134" s="260">
        <f t="shared" si="114"/>
        <v>11114221</v>
      </c>
      <c r="Z134" s="260">
        <f t="shared" si="115"/>
        <v>107748601</v>
      </c>
      <c r="AA134" s="258">
        <f t="array" ref="AA134">MAX((IF(MNU_CODIGO_ALIMENTO_ENTREGA=CONCATENATE($C134,"_","P_"),MNU_GRAMAJE_REQUERIDO_TIPOM,"")))</f>
        <v>100</v>
      </c>
      <c r="AB134" s="261">
        <f t="shared" si="116"/>
        <v>0</v>
      </c>
      <c r="AC134" s="261">
        <v>0</v>
      </c>
      <c r="AD134" s="261">
        <f t="shared" si="117"/>
        <v>0</v>
      </c>
      <c r="AE134" s="262">
        <f t="shared" si="118"/>
        <v>0</v>
      </c>
      <c r="AF134" s="262">
        <v>0</v>
      </c>
      <c r="AG134" s="262">
        <f t="shared" si="119"/>
        <v>0</v>
      </c>
      <c r="AH134" s="353">
        <f t="array" ref="AH134">MAX((IF(MNU_CODIGO_ALIMENTO_ENTREGA=CONCATENATE($C134,"_","P_"),MNU_GRAMAJE_REQUERIDO_TIPOH,"")))</f>
        <v>100</v>
      </c>
      <c r="AI134" s="259">
        <f t="shared" si="120"/>
        <v>0</v>
      </c>
      <c r="AJ134" s="259">
        <v>0</v>
      </c>
      <c r="AK134" s="259">
        <f t="shared" si="121"/>
        <v>0</v>
      </c>
      <c r="AL134" s="260">
        <f t="shared" si="122"/>
        <v>0</v>
      </c>
      <c r="AM134" s="260">
        <v>0</v>
      </c>
      <c r="AN134" s="260">
        <f t="shared" si="123"/>
        <v>0</v>
      </c>
      <c r="AO134" s="457">
        <f t="shared" si="124"/>
        <v>377114</v>
      </c>
      <c r="AP134" s="456">
        <f t="shared" si="125"/>
        <v>207789814</v>
      </c>
      <c r="AQ134" s="263" t="e">
        <f>#REF!+AH134+AA134+T134+M134</f>
        <v>#REF!</v>
      </c>
      <c r="AR134" s="263">
        <f t="shared" si="84"/>
        <v>208128334</v>
      </c>
      <c r="AS134" s="263" t="e">
        <f t="shared" si="85"/>
        <v>#REF!</v>
      </c>
      <c r="AT134" s="263">
        <f t="shared" si="86"/>
        <v>208505448</v>
      </c>
      <c r="AU134" s="263" t="e">
        <f t="shared" si="87"/>
        <v>#REF!</v>
      </c>
      <c r="AV134" s="263">
        <f t="shared" si="88"/>
        <v>229770742</v>
      </c>
      <c r="AW134" s="263" t="e">
        <f t="shared" si="89"/>
        <v>#REF!</v>
      </c>
      <c r="AX134" s="263" t="e">
        <f>AV134+#REF!+AH134+AA134+T134</f>
        <v>#REF!</v>
      </c>
      <c r="AY134" s="263" t="e">
        <f t="shared" si="90"/>
        <v>#REF!</v>
      </c>
      <c r="AZ134" s="263" t="e">
        <f t="shared" si="91"/>
        <v>#REF!</v>
      </c>
      <c r="BA134" s="263" t="e">
        <f t="shared" si="92"/>
        <v>#REF!</v>
      </c>
      <c r="BB134" s="263" t="e">
        <f t="shared" si="93"/>
        <v>#REF!</v>
      </c>
      <c r="BC134" s="263" t="e">
        <f t="shared" si="94"/>
        <v>#REF!</v>
      </c>
      <c r="BD134" s="263" t="e">
        <f t="shared" si="95"/>
        <v>#REF!</v>
      </c>
      <c r="BE134" s="263" t="e">
        <f>BC134+AV134+#REF!+AH134+AA134</f>
        <v>#REF!</v>
      </c>
      <c r="BF134" s="263" t="e">
        <f t="shared" si="96"/>
        <v>#REF!</v>
      </c>
      <c r="BG134" s="263" t="e">
        <f t="shared" si="97"/>
        <v>#REF!</v>
      </c>
    </row>
    <row r="135" spans="1:59" ht="15.75">
      <c r="A135" s="338">
        <v>10</v>
      </c>
      <c r="B135" s="338" t="s">
        <v>1</v>
      </c>
      <c r="C135" s="258">
        <v>33</v>
      </c>
      <c r="D135" s="328" t="s">
        <v>59</v>
      </c>
      <c r="E135" s="258" t="s">
        <v>48</v>
      </c>
      <c r="F135" s="431">
        <v>1</v>
      </c>
      <c r="G135" s="259">
        <f t="shared" si="98"/>
        <v>167616</v>
      </c>
      <c r="H135" s="259">
        <f t="shared" si="99"/>
        <v>19749</v>
      </c>
      <c r="I135" s="259">
        <f t="shared" si="100"/>
        <v>187365</v>
      </c>
      <c r="J135" s="260">
        <f t="shared" si="101"/>
        <v>47435328</v>
      </c>
      <c r="K135" s="260">
        <f t="shared" si="102"/>
        <v>5588967</v>
      </c>
      <c r="L135" s="260">
        <f t="shared" si="103"/>
        <v>53024295</v>
      </c>
      <c r="M135" s="432">
        <v>1</v>
      </c>
      <c r="N135" s="348">
        <f t="shared" si="104"/>
        <v>146826</v>
      </c>
      <c r="O135" s="348">
        <f t="shared" si="105"/>
        <v>18423</v>
      </c>
      <c r="P135" s="348">
        <f t="shared" si="106"/>
        <v>165249</v>
      </c>
      <c r="Q135" s="349">
        <f t="shared" si="107"/>
        <v>41551758</v>
      </c>
      <c r="R135" s="349">
        <f t="shared" si="108"/>
        <v>5213709</v>
      </c>
      <c r="S135" s="349">
        <f t="shared" si="109"/>
        <v>46765467</v>
      </c>
      <c r="T135" s="431">
        <v>1</v>
      </c>
      <c r="U135" s="259">
        <f t="shared" si="110"/>
        <v>157842</v>
      </c>
      <c r="V135" s="259">
        <f t="shared" si="111"/>
        <v>20171</v>
      </c>
      <c r="W135" s="259">
        <f t="shared" si="112"/>
        <v>178013</v>
      </c>
      <c r="X135" s="260">
        <f t="shared" si="113"/>
        <v>44669286</v>
      </c>
      <c r="Y135" s="260">
        <f t="shared" si="114"/>
        <v>5708393</v>
      </c>
      <c r="Z135" s="260">
        <f t="shared" si="115"/>
        <v>50377679</v>
      </c>
      <c r="AA135" s="258">
        <v>1</v>
      </c>
      <c r="AB135" s="261">
        <f t="shared" si="116"/>
        <v>0</v>
      </c>
      <c r="AC135" s="261">
        <v>0</v>
      </c>
      <c r="AD135" s="261">
        <f t="shared" si="117"/>
        <v>0</v>
      </c>
      <c r="AE135" s="262">
        <f t="shared" si="118"/>
        <v>0</v>
      </c>
      <c r="AF135" s="262">
        <v>0</v>
      </c>
      <c r="AG135" s="262">
        <f t="shared" si="119"/>
        <v>0</v>
      </c>
      <c r="AH135" s="353">
        <v>1</v>
      </c>
      <c r="AI135" s="259">
        <f t="shared" si="120"/>
        <v>0</v>
      </c>
      <c r="AJ135" s="259">
        <v>0</v>
      </c>
      <c r="AK135" s="259">
        <f t="shared" si="121"/>
        <v>0</v>
      </c>
      <c r="AL135" s="260">
        <f t="shared" si="122"/>
        <v>0</v>
      </c>
      <c r="AM135" s="260">
        <v>0</v>
      </c>
      <c r="AN135" s="260">
        <f t="shared" si="123"/>
        <v>0</v>
      </c>
      <c r="AO135" s="457">
        <f t="shared" si="124"/>
        <v>530627</v>
      </c>
      <c r="AP135" s="456">
        <f t="shared" si="125"/>
        <v>150167441</v>
      </c>
      <c r="AQ135" s="263" t="e">
        <f>#REF!+AH135+AA135+T135+M135</f>
        <v>#REF!</v>
      </c>
      <c r="AR135" s="263">
        <f t="shared" si="84"/>
        <v>150472109</v>
      </c>
      <c r="AS135" s="263" t="e">
        <f t="shared" si="85"/>
        <v>#REF!</v>
      </c>
      <c r="AT135" s="263">
        <f t="shared" si="86"/>
        <v>150815371</v>
      </c>
      <c r="AU135" s="263" t="e">
        <f t="shared" si="87"/>
        <v>#REF!</v>
      </c>
      <c r="AV135" s="263">
        <f t="shared" si="88"/>
        <v>161737473</v>
      </c>
      <c r="AW135" s="263" t="e">
        <f t="shared" si="89"/>
        <v>#REF!</v>
      </c>
      <c r="AX135" s="263" t="e">
        <f>AV135+#REF!+AH135+AA135+T135</f>
        <v>#REF!</v>
      </c>
      <c r="AY135" s="263" t="e">
        <f t="shared" si="90"/>
        <v>#REF!</v>
      </c>
      <c r="AZ135" s="263" t="e">
        <f t="shared" si="91"/>
        <v>#REF!</v>
      </c>
      <c r="BA135" s="263" t="e">
        <f t="shared" si="92"/>
        <v>#REF!</v>
      </c>
      <c r="BB135" s="263" t="e">
        <f t="shared" si="93"/>
        <v>#REF!</v>
      </c>
      <c r="BC135" s="263" t="e">
        <f t="shared" si="94"/>
        <v>#REF!</v>
      </c>
      <c r="BD135" s="263" t="e">
        <f t="shared" si="95"/>
        <v>#REF!</v>
      </c>
      <c r="BE135" s="263" t="e">
        <f>BC135+AV135+#REF!+AH135+AA135</f>
        <v>#REF!</v>
      </c>
      <c r="BF135" s="263" t="e">
        <f t="shared" si="96"/>
        <v>#REF!</v>
      </c>
      <c r="BG135" s="263" t="e">
        <f t="shared" si="97"/>
        <v>#REF!</v>
      </c>
    </row>
    <row r="136" spans="1:59" ht="15.75">
      <c r="A136" s="338">
        <v>10</v>
      </c>
      <c r="B136" s="338" t="s">
        <v>1</v>
      </c>
      <c r="C136" s="258">
        <v>36</v>
      </c>
      <c r="D136" s="328" t="s">
        <v>1340</v>
      </c>
      <c r="E136" s="258" t="s">
        <v>9</v>
      </c>
      <c r="F136" s="431">
        <f t="array" ref="F136">MAX((IF(MNU_CODIGO_ALIMENTO_ENTREGA=CONCATENATE($C136,"_","P_"),MNU_GRAMAJE_REQUERIDO_TIPOA,"")))</f>
        <v>20</v>
      </c>
      <c r="G136" s="259">
        <f t="shared" si="98"/>
        <v>43456</v>
      </c>
      <c r="H136" s="259">
        <f t="shared" si="99"/>
        <v>5448</v>
      </c>
      <c r="I136" s="259">
        <f t="shared" si="100"/>
        <v>48904</v>
      </c>
      <c r="J136" s="260">
        <f t="shared" si="101"/>
        <v>5736192</v>
      </c>
      <c r="K136" s="260">
        <f t="shared" si="102"/>
        <v>719136</v>
      </c>
      <c r="L136" s="260">
        <f t="shared" si="103"/>
        <v>6455328</v>
      </c>
      <c r="M136" s="432">
        <f t="array" ref="M136">MAX((IF(MNU_CODIGO_ALIMENTO_ENTREGA=CONCATENATE($C136,"_","P_"),MNU_GRAMAJE_REQUERIDO_TIPOB,"")))</f>
        <v>40</v>
      </c>
      <c r="N136" s="348">
        <f t="shared" si="104"/>
        <v>57099</v>
      </c>
      <c r="O136" s="348">
        <f t="shared" si="105"/>
        <v>6408</v>
      </c>
      <c r="P136" s="348">
        <f t="shared" si="106"/>
        <v>63507</v>
      </c>
      <c r="Q136" s="349">
        <f t="shared" si="107"/>
        <v>15131235</v>
      </c>
      <c r="R136" s="349">
        <f t="shared" si="108"/>
        <v>1698120</v>
      </c>
      <c r="S136" s="349">
        <f t="shared" si="109"/>
        <v>16829355</v>
      </c>
      <c r="T136" s="353">
        <f t="array" ref="T136">MAX((IF(MNU_CODIGO_ALIMENTO_ENTREGA=CONCATENATE($C136,"_","P_"),MNU_GRAMAJE_REQUERIDO_TIPOC,"")))</f>
        <v>40</v>
      </c>
      <c r="U136" s="259">
        <f t="shared" si="110"/>
        <v>61383</v>
      </c>
      <c r="V136" s="259">
        <f t="shared" si="111"/>
        <v>7016</v>
      </c>
      <c r="W136" s="259">
        <f t="shared" si="112"/>
        <v>68399</v>
      </c>
      <c r="X136" s="260">
        <f t="shared" si="113"/>
        <v>16266495</v>
      </c>
      <c r="Y136" s="260">
        <f t="shared" si="114"/>
        <v>1859240</v>
      </c>
      <c r="Z136" s="260">
        <f t="shared" si="115"/>
        <v>18125735</v>
      </c>
      <c r="AA136" s="258">
        <f t="array" ref="AA136">MAX((IF(MNU_CODIGO_ALIMENTO_ENTREGA=CONCATENATE($C136,"_","P_"),MNU_GRAMAJE_REQUERIDO_TIPOM,"")))</f>
        <v>40</v>
      </c>
      <c r="AB136" s="261">
        <f t="shared" si="116"/>
        <v>0</v>
      </c>
      <c r="AC136" s="261">
        <v>0</v>
      </c>
      <c r="AD136" s="261">
        <f t="shared" si="117"/>
        <v>0</v>
      </c>
      <c r="AE136" s="262">
        <f t="shared" si="118"/>
        <v>0</v>
      </c>
      <c r="AF136" s="262">
        <v>0</v>
      </c>
      <c r="AG136" s="262">
        <f t="shared" si="119"/>
        <v>0</v>
      </c>
      <c r="AH136" s="353">
        <f t="array" ref="AH136">MAX((IF(MNU_CODIGO_ALIMENTO_ENTREGA=CONCATENATE($C136,"_","P_"),MNU_GRAMAJE_REQUERIDO_TIPOH,"")))</f>
        <v>40</v>
      </c>
      <c r="AI136" s="259">
        <f t="shared" si="120"/>
        <v>0</v>
      </c>
      <c r="AJ136" s="259">
        <v>0</v>
      </c>
      <c r="AK136" s="259">
        <f t="shared" si="121"/>
        <v>0</v>
      </c>
      <c r="AL136" s="260">
        <f t="shared" si="122"/>
        <v>0</v>
      </c>
      <c r="AM136" s="260">
        <v>0</v>
      </c>
      <c r="AN136" s="260">
        <f t="shared" si="123"/>
        <v>0</v>
      </c>
      <c r="AO136" s="457">
        <f t="shared" si="124"/>
        <v>180810</v>
      </c>
      <c r="AP136" s="456">
        <f t="shared" si="125"/>
        <v>41410418</v>
      </c>
      <c r="AQ136" s="263" t="e">
        <f>#REF!+AH136+AA136+T136+M136</f>
        <v>#REF!</v>
      </c>
      <c r="AR136" s="263">
        <f t="shared" si="84"/>
        <v>41528900</v>
      </c>
      <c r="AS136" s="263" t="e">
        <f t="shared" si="85"/>
        <v>#REF!</v>
      </c>
      <c r="AT136" s="263">
        <f t="shared" si="86"/>
        <v>41660806</v>
      </c>
      <c r="AU136" s="263" t="e">
        <f t="shared" si="87"/>
        <v>#REF!</v>
      </c>
      <c r="AV136" s="263">
        <f t="shared" si="88"/>
        <v>45218166</v>
      </c>
      <c r="AW136" s="263" t="e">
        <f t="shared" si="89"/>
        <v>#REF!</v>
      </c>
      <c r="AX136" s="263" t="e">
        <f>AV136+#REF!+AH136+AA136+T136</f>
        <v>#REF!</v>
      </c>
      <c r="AY136" s="263" t="e">
        <f t="shared" si="90"/>
        <v>#REF!</v>
      </c>
      <c r="AZ136" s="263" t="e">
        <f t="shared" si="91"/>
        <v>#REF!</v>
      </c>
      <c r="BA136" s="263" t="e">
        <f t="shared" si="92"/>
        <v>#REF!</v>
      </c>
      <c r="BB136" s="263" t="e">
        <f t="shared" si="93"/>
        <v>#REF!</v>
      </c>
      <c r="BC136" s="263" t="e">
        <f t="shared" si="94"/>
        <v>#REF!</v>
      </c>
      <c r="BD136" s="263" t="e">
        <f t="shared" si="95"/>
        <v>#REF!</v>
      </c>
      <c r="BE136" s="263" t="e">
        <f>BC136+AV136+#REF!+AH136+AA136</f>
        <v>#REF!</v>
      </c>
      <c r="BF136" s="263" t="e">
        <f t="shared" si="96"/>
        <v>#REF!</v>
      </c>
      <c r="BG136" s="263" t="e">
        <f t="shared" si="97"/>
        <v>#REF!</v>
      </c>
    </row>
    <row r="137" spans="1:59" ht="15.75">
      <c r="A137" s="338">
        <v>10</v>
      </c>
      <c r="B137" s="338" t="s">
        <v>1</v>
      </c>
      <c r="C137" s="258">
        <v>42</v>
      </c>
      <c r="D137" s="328" t="s">
        <v>61</v>
      </c>
      <c r="E137" s="258" t="s">
        <v>9</v>
      </c>
      <c r="F137" s="431">
        <f t="array" ref="F137">MAX((IF(MNU_CODIGO_ALIMENTO_ENTREGA=CONCATENATE($C137,"_","P_"),MNU_GRAMAJE_REQUERIDO_TIPOA,"")))</f>
        <v>100</v>
      </c>
      <c r="G137" s="259">
        <f t="shared" si="98"/>
        <v>142784</v>
      </c>
      <c r="H137" s="259">
        <f t="shared" si="99"/>
        <v>24516</v>
      </c>
      <c r="I137" s="259">
        <f t="shared" si="100"/>
        <v>167300</v>
      </c>
      <c r="J137" s="260">
        <f t="shared" si="101"/>
        <v>29127936</v>
      </c>
      <c r="K137" s="260">
        <f t="shared" si="102"/>
        <v>5001264</v>
      </c>
      <c r="L137" s="260">
        <f t="shared" si="103"/>
        <v>34129200</v>
      </c>
      <c r="M137" s="432">
        <f t="array" ref="M137">MAX((IF(MNU_CODIGO_ALIMENTO_ENTREGA=CONCATENATE($C137,"_","P_"),MNU_GRAMAJE_REQUERIDO_TIPOB,"")))</f>
        <v>100</v>
      </c>
      <c r="N137" s="348">
        <f t="shared" si="104"/>
        <v>154983</v>
      </c>
      <c r="O137" s="348">
        <f t="shared" si="105"/>
        <v>15219</v>
      </c>
      <c r="P137" s="348">
        <f t="shared" si="106"/>
        <v>170202</v>
      </c>
      <c r="Q137" s="349">
        <f t="shared" si="107"/>
        <v>31616532</v>
      </c>
      <c r="R137" s="349">
        <f t="shared" si="108"/>
        <v>3104676</v>
      </c>
      <c r="S137" s="349">
        <f t="shared" si="109"/>
        <v>34721208</v>
      </c>
      <c r="T137" s="353">
        <f t="array" ref="T137">MAX((IF(MNU_CODIGO_ALIMENTO_ENTREGA=CONCATENATE($C137,"_","P_"),MNU_GRAMAJE_REQUERIDO_TIPOC,"")))</f>
        <v>100</v>
      </c>
      <c r="U137" s="259">
        <f t="shared" si="110"/>
        <v>166611</v>
      </c>
      <c r="V137" s="259">
        <f t="shared" si="111"/>
        <v>16663</v>
      </c>
      <c r="W137" s="259">
        <f t="shared" si="112"/>
        <v>183274</v>
      </c>
      <c r="X137" s="260">
        <f t="shared" si="113"/>
        <v>33988644</v>
      </c>
      <c r="Y137" s="260">
        <f t="shared" si="114"/>
        <v>3399252</v>
      </c>
      <c r="Z137" s="260">
        <f t="shared" si="115"/>
        <v>37387896</v>
      </c>
      <c r="AA137" s="258">
        <f t="array" ref="AA137">MAX((IF(MNU_CODIGO_ALIMENTO_ENTREGA=CONCATENATE($C137,"_","P_"),MNU_GRAMAJE_REQUERIDO_TIPOM,"")))</f>
        <v>100</v>
      </c>
      <c r="AB137" s="261">
        <f t="shared" si="116"/>
        <v>0</v>
      </c>
      <c r="AC137" s="261">
        <v>0</v>
      </c>
      <c r="AD137" s="261">
        <f t="shared" si="117"/>
        <v>0</v>
      </c>
      <c r="AE137" s="262">
        <f t="shared" si="118"/>
        <v>0</v>
      </c>
      <c r="AF137" s="262">
        <v>0</v>
      </c>
      <c r="AG137" s="262">
        <f t="shared" si="119"/>
        <v>0</v>
      </c>
      <c r="AH137" s="353">
        <f t="array" ref="AH137">MAX((IF(MNU_CODIGO_ALIMENTO_ENTREGA=CONCATENATE($C137,"_","P_"),MNU_GRAMAJE_REQUERIDO_TIPOH,"")))</f>
        <v>100</v>
      </c>
      <c r="AI137" s="259">
        <f t="shared" si="120"/>
        <v>0</v>
      </c>
      <c r="AJ137" s="259">
        <v>0</v>
      </c>
      <c r="AK137" s="259">
        <f t="shared" si="121"/>
        <v>0</v>
      </c>
      <c r="AL137" s="260">
        <f t="shared" si="122"/>
        <v>0</v>
      </c>
      <c r="AM137" s="260">
        <v>0</v>
      </c>
      <c r="AN137" s="260">
        <f t="shared" si="123"/>
        <v>0</v>
      </c>
      <c r="AO137" s="457">
        <f t="shared" si="124"/>
        <v>520776</v>
      </c>
      <c r="AP137" s="456">
        <f t="shared" si="125"/>
        <v>106238304</v>
      </c>
      <c r="AQ137" s="263" t="e">
        <f>#REF!+AH137+AA137+T137+M137</f>
        <v>#REF!</v>
      </c>
      <c r="AR137" s="263">
        <f t="shared" si="84"/>
        <v>106559898</v>
      </c>
      <c r="AS137" s="263" t="e">
        <f t="shared" si="85"/>
        <v>#REF!</v>
      </c>
      <c r="AT137" s="263">
        <f t="shared" si="86"/>
        <v>106913374</v>
      </c>
      <c r="AU137" s="263" t="e">
        <f t="shared" si="87"/>
        <v>#REF!</v>
      </c>
      <c r="AV137" s="263">
        <f t="shared" si="88"/>
        <v>113417302</v>
      </c>
      <c r="AW137" s="263" t="e">
        <f t="shared" si="89"/>
        <v>#REF!</v>
      </c>
      <c r="AX137" s="263" t="e">
        <f>AV137+#REF!+AH137+AA137+T137</f>
        <v>#REF!</v>
      </c>
      <c r="AY137" s="263" t="e">
        <f t="shared" si="90"/>
        <v>#REF!</v>
      </c>
      <c r="AZ137" s="263" t="e">
        <f t="shared" si="91"/>
        <v>#REF!</v>
      </c>
      <c r="BA137" s="263" t="e">
        <f t="shared" si="92"/>
        <v>#REF!</v>
      </c>
      <c r="BB137" s="263" t="e">
        <f t="shared" si="93"/>
        <v>#REF!</v>
      </c>
      <c r="BC137" s="263" t="e">
        <f t="shared" si="94"/>
        <v>#REF!</v>
      </c>
      <c r="BD137" s="263" t="e">
        <f t="shared" si="95"/>
        <v>#REF!</v>
      </c>
      <c r="BE137" s="263" t="e">
        <f>BC137+AV137+#REF!+AH137+AA137</f>
        <v>#REF!</v>
      </c>
      <c r="BF137" s="263" t="e">
        <f t="shared" si="96"/>
        <v>#REF!</v>
      </c>
      <c r="BG137" s="263" t="e">
        <f t="shared" si="97"/>
        <v>#REF!</v>
      </c>
    </row>
    <row r="138" spans="1:59" ht="15.75">
      <c r="A138" s="338">
        <v>10</v>
      </c>
      <c r="B138" s="338" t="s">
        <v>1</v>
      </c>
      <c r="C138" s="258">
        <v>43</v>
      </c>
      <c r="D138" s="328" t="s">
        <v>62</v>
      </c>
      <c r="E138" s="258" t="s">
        <v>9</v>
      </c>
      <c r="F138" s="431">
        <f t="array" ref="F138">MAX((IF(MNU_CODIGO_ALIMENTO_ENTREGA=CONCATENATE($C138,"_","P_"),MNU_GRAMAJE_REQUERIDO_TIPOA,"")))</f>
        <v>100</v>
      </c>
      <c r="G138" s="259">
        <f t="shared" si="98"/>
        <v>148992</v>
      </c>
      <c r="H138" s="259">
        <f t="shared" si="99"/>
        <v>19749</v>
      </c>
      <c r="I138" s="259">
        <f t="shared" si="100"/>
        <v>168741</v>
      </c>
      <c r="J138" s="260">
        <f t="shared" si="101"/>
        <v>26520576</v>
      </c>
      <c r="K138" s="260">
        <f t="shared" si="102"/>
        <v>3515322</v>
      </c>
      <c r="L138" s="260">
        <f t="shared" si="103"/>
        <v>30035898</v>
      </c>
      <c r="M138" s="432">
        <f t="array" ref="M138">MAX((IF(MNU_CODIGO_ALIMENTO_ENTREGA=CONCATENATE($C138,"_","P_"),MNU_GRAMAJE_REQUERIDO_TIPOB,"")))</f>
        <v>100</v>
      </c>
      <c r="N138" s="348">
        <f t="shared" si="104"/>
        <v>138669</v>
      </c>
      <c r="O138" s="348">
        <f t="shared" si="105"/>
        <v>18423</v>
      </c>
      <c r="P138" s="348">
        <f t="shared" si="106"/>
        <v>157092</v>
      </c>
      <c r="Q138" s="349">
        <f t="shared" si="107"/>
        <v>24683082</v>
      </c>
      <c r="R138" s="349">
        <f t="shared" si="108"/>
        <v>3279294</v>
      </c>
      <c r="S138" s="349">
        <f t="shared" si="109"/>
        <v>27962376</v>
      </c>
      <c r="T138" s="353">
        <f t="array" ref="T138">MAX((IF(MNU_CODIGO_ALIMENTO_ENTREGA=CONCATENATE($C138,"_","P_"),MNU_GRAMAJE_REQUERIDO_TIPOC,"")))</f>
        <v>100</v>
      </c>
      <c r="U138" s="259">
        <f t="shared" si="110"/>
        <v>149073</v>
      </c>
      <c r="V138" s="259">
        <f t="shared" si="111"/>
        <v>20171</v>
      </c>
      <c r="W138" s="259">
        <f t="shared" si="112"/>
        <v>169244</v>
      </c>
      <c r="X138" s="260">
        <f t="shared" si="113"/>
        <v>26534994</v>
      </c>
      <c r="Y138" s="260">
        <f t="shared" si="114"/>
        <v>3590438</v>
      </c>
      <c r="Z138" s="260">
        <f t="shared" si="115"/>
        <v>30125432</v>
      </c>
      <c r="AA138" s="258">
        <f t="array" ref="AA138">MAX((IF(MNU_CODIGO_ALIMENTO_ENTREGA=CONCATENATE($C138,"_","P_"),MNU_GRAMAJE_REQUERIDO_TIPOM,"")))</f>
        <v>100</v>
      </c>
      <c r="AB138" s="261">
        <f t="shared" si="116"/>
        <v>0</v>
      </c>
      <c r="AC138" s="261">
        <v>0</v>
      </c>
      <c r="AD138" s="261">
        <f t="shared" si="117"/>
        <v>0</v>
      </c>
      <c r="AE138" s="262">
        <f t="shared" si="118"/>
        <v>0</v>
      </c>
      <c r="AF138" s="262">
        <v>0</v>
      </c>
      <c r="AG138" s="262">
        <f t="shared" si="119"/>
        <v>0</v>
      </c>
      <c r="AH138" s="353">
        <f t="array" ref="AH138">MAX((IF(MNU_CODIGO_ALIMENTO_ENTREGA=CONCATENATE($C138,"_","P_"),MNU_GRAMAJE_REQUERIDO_TIPOH,"")))</f>
        <v>100</v>
      </c>
      <c r="AI138" s="259">
        <f t="shared" si="120"/>
        <v>0</v>
      </c>
      <c r="AJ138" s="259">
        <v>0</v>
      </c>
      <c r="AK138" s="259">
        <f t="shared" si="121"/>
        <v>0</v>
      </c>
      <c r="AL138" s="260">
        <f t="shared" si="122"/>
        <v>0</v>
      </c>
      <c r="AM138" s="260">
        <v>0</v>
      </c>
      <c r="AN138" s="260">
        <f t="shared" si="123"/>
        <v>0</v>
      </c>
      <c r="AO138" s="457">
        <f t="shared" si="124"/>
        <v>495077</v>
      </c>
      <c r="AP138" s="456">
        <f t="shared" si="125"/>
        <v>88123706</v>
      </c>
      <c r="AQ138" s="263" t="e">
        <f>#REF!+AH138+AA138+T138+M138</f>
        <v>#REF!</v>
      </c>
      <c r="AR138" s="263">
        <f t="shared" si="84"/>
        <v>88411448</v>
      </c>
      <c r="AS138" s="263" t="e">
        <f t="shared" si="85"/>
        <v>#REF!</v>
      </c>
      <c r="AT138" s="263">
        <f t="shared" si="86"/>
        <v>88737784</v>
      </c>
      <c r="AU138" s="263" t="e">
        <f t="shared" si="87"/>
        <v>#REF!</v>
      </c>
      <c r="AV138" s="263">
        <f t="shared" si="88"/>
        <v>95607516</v>
      </c>
      <c r="AW138" s="263" t="e">
        <f t="shared" si="89"/>
        <v>#REF!</v>
      </c>
      <c r="AX138" s="263" t="e">
        <f>AV138+#REF!+AH138+AA138+T138</f>
        <v>#REF!</v>
      </c>
      <c r="AY138" s="263" t="e">
        <f t="shared" si="90"/>
        <v>#REF!</v>
      </c>
      <c r="AZ138" s="263" t="e">
        <f t="shared" si="91"/>
        <v>#REF!</v>
      </c>
      <c r="BA138" s="263" t="e">
        <f t="shared" si="92"/>
        <v>#REF!</v>
      </c>
      <c r="BB138" s="263" t="e">
        <f t="shared" si="93"/>
        <v>#REF!</v>
      </c>
      <c r="BC138" s="263" t="e">
        <f t="shared" si="94"/>
        <v>#REF!</v>
      </c>
      <c r="BD138" s="263" t="e">
        <f t="shared" si="95"/>
        <v>#REF!</v>
      </c>
      <c r="BE138" s="263" t="e">
        <f>BC138+AV138+#REF!+AH138+AA138</f>
        <v>#REF!</v>
      </c>
      <c r="BF138" s="263" t="e">
        <f t="shared" si="96"/>
        <v>#REF!</v>
      </c>
      <c r="BG138" s="263" t="e">
        <f t="shared" si="97"/>
        <v>#REF!</v>
      </c>
    </row>
    <row r="139" spans="1:59" ht="15.75">
      <c r="A139" s="338">
        <v>10</v>
      </c>
      <c r="B139" s="338" t="s">
        <v>1</v>
      </c>
      <c r="C139" s="258">
        <v>46</v>
      </c>
      <c r="D139" s="328" t="s">
        <v>64</v>
      </c>
      <c r="E139" s="258" t="s">
        <v>9</v>
      </c>
      <c r="F139" s="431">
        <f t="array" ref="F139">MAX((IF(MNU_CODIGO_ALIMENTO_ENTREGA=CONCATENATE($C139,"_","P_"),MNU_GRAMAJE_REQUERIDO_TIPOA,"")))</f>
        <v>100</v>
      </c>
      <c r="G139" s="259">
        <f t="shared" si="98"/>
        <v>186240</v>
      </c>
      <c r="H139" s="259">
        <f t="shared" si="99"/>
        <v>19749</v>
      </c>
      <c r="I139" s="259">
        <f t="shared" si="100"/>
        <v>205989</v>
      </c>
      <c r="J139" s="260">
        <f t="shared" si="101"/>
        <v>77848320</v>
      </c>
      <c r="K139" s="260">
        <f t="shared" si="102"/>
        <v>8255082</v>
      </c>
      <c r="L139" s="260">
        <f t="shared" si="103"/>
        <v>86103402</v>
      </c>
      <c r="M139" s="432">
        <f t="array" ref="M139">MAX((IF(MNU_CODIGO_ALIMENTO_ENTREGA=CONCATENATE($C139,"_","P_"),MNU_GRAMAJE_REQUERIDO_TIPOB,"")))</f>
        <v>100</v>
      </c>
      <c r="N139" s="348">
        <f t="shared" si="104"/>
        <v>171297</v>
      </c>
      <c r="O139" s="348">
        <f t="shared" si="105"/>
        <v>19224</v>
      </c>
      <c r="P139" s="348">
        <f t="shared" si="106"/>
        <v>190521</v>
      </c>
      <c r="Q139" s="349">
        <f t="shared" si="107"/>
        <v>71602146</v>
      </c>
      <c r="R139" s="349">
        <f t="shared" si="108"/>
        <v>8035632</v>
      </c>
      <c r="S139" s="349">
        <f t="shared" si="109"/>
        <v>79637778</v>
      </c>
      <c r="T139" s="353">
        <f t="array" ref="T139">MAX((IF(MNU_CODIGO_ALIMENTO_ENTREGA=CONCATENATE($C139,"_","P_"),MNU_GRAMAJE_REQUERIDO_TIPOC,"")))</f>
        <v>100</v>
      </c>
      <c r="U139" s="259">
        <f t="shared" si="110"/>
        <v>184149</v>
      </c>
      <c r="V139" s="259">
        <f t="shared" si="111"/>
        <v>21048</v>
      </c>
      <c r="W139" s="259">
        <f t="shared" si="112"/>
        <v>205197</v>
      </c>
      <c r="X139" s="260">
        <f t="shared" si="113"/>
        <v>76974282</v>
      </c>
      <c r="Y139" s="260">
        <f t="shared" si="114"/>
        <v>8798064</v>
      </c>
      <c r="Z139" s="260">
        <f t="shared" si="115"/>
        <v>85772346</v>
      </c>
      <c r="AA139" s="258">
        <f t="array" ref="AA139">MAX((IF(MNU_CODIGO_ALIMENTO_ENTREGA=CONCATENATE($C139,"_","P_"),MNU_GRAMAJE_REQUERIDO_TIPOM,"")))</f>
        <v>100</v>
      </c>
      <c r="AB139" s="261">
        <f t="shared" si="116"/>
        <v>0</v>
      </c>
      <c r="AC139" s="261">
        <v>0</v>
      </c>
      <c r="AD139" s="261">
        <f t="shared" si="117"/>
        <v>0</v>
      </c>
      <c r="AE139" s="262">
        <f t="shared" si="118"/>
        <v>0</v>
      </c>
      <c r="AF139" s="262">
        <v>0</v>
      </c>
      <c r="AG139" s="262">
        <f t="shared" si="119"/>
        <v>0</v>
      </c>
      <c r="AH139" s="353">
        <f t="array" ref="AH139">MAX((IF(MNU_CODIGO_ALIMENTO_ENTREGA=CONCATENATE($C139,"_","P_"),MNU_GRAMAJE_REQUERIDO_TIPOH,"")))</f>
        <v>100</v>
      </c>
      <c r="AI139" s="259">
        <f t="shared" si="120"/>
        <v>0</v>
      </c>
      <c r="AJ139" s="259">
        <v>0</v>
      </c>
      <c r="AK139" s="259">
        <f t="shared" si="121"/>
        <v>0</v>
      </c>
      <c r="AL139" s="260">
        <f t="shared" si="122"/>
        <v>0</v>
      </c>
      <c r="AM139" s="260">
        <v>0</v>
      </c>
      <c r="AN139" s="260">
        <f t="shared" si="123"/>
        <v>0</v>
      </c>
      <c r="AO139" s="457">
        <f t="shared" si="124"/>
        <v>601707</v>
      </c>
      <c r="AP139" s="456">
        <f t="shared" si="125"/>
        <v>251513526</v>
      </c>
      <c r="AQ139" s="263" t="e">
        <f>#REF!+AH139+AA139+T139+M139</f>
        <v>#REF!</v>
      </c>
      <c r="AR139" s="263">
        <f t="shared" si="84"/>
        <v>251868972</v>
      </c>
      <c r="AS139" s="263" t="e">
        <f t="shared" si="85"/>
        <v>#REF!</v>
      </c>
      <c r="AT139" s="263">
        <f t="shared" si="86"/>
        <v>252264690</v>
      </c>
      <c r="AU139" s="263" t="e">
        <f t="shared" si="87"/>
        <v>#REF!</v>
      </c>
      <c r="AV139" s="263">
        <f t="shared" si="88"/>
        <v>269098386</v>
      </c>
      <c r="AW139" s="263" t="e">
        <f t="shared" si="89"/>
        <v>#REF!</v>
      </c>
      <c r="AX139" s="263" t="e">
        <f>AV139+#REF!+AH139+AA139+T139</f>
        <v>#REF!</v>
      </c>
      <c r="AY139" s="263" t="e">
        <f t="shared" si="90"/>
        <v>#REF!</v>
      </c>
      <c r="AZ139" s="263" t="e">
        <f t="shared" si="91"/>
        <v>#REF!</v>
      </c>
      <c r="BA139" s="263" t="e">
        <f t="shared" si="92"/>
        <v>#REF!</v>
      </c>
      <c r="BB139" s="263" t="e">
        <f t="shared" si="93"/>
        <v>#REF!</v>
      </c>
      <c r="BC139" s="263" t="e">
        <f t="shared" si="94"/>
        <v>#REF!</v>
      </c>
      <c r="BD139" s="263" t="e">
        <f t="shared" si="95"/>
        <v>#REF!</v>
      </c>
      <c r="BE139" s="263" t="e">
        <f>BC139+AV139+#REF!+AH139+AA139</f>
        <v>#REF!</v>
      </c>
      <c r="BF139" s="263" t="e">
        <f t="shared" si="96"/>
        <v>#REF!</v>
      </c>
      <c r="BG139" s="263" t="e">
        <f t="shared" si="97"/>
        <v>#REF!</v>
      </c>
    </row>
    <row r="140" spans="1:59" ht="15.75">
      <c r="A140" s="338">
        <v>10</v>
      </c>
      <c r="B140" s="338" t="s">
        <v>1</v>
      </c>
      <c r="C140" s="258">
        <v>58</v>
      </c>
      <c r="D140" s="328" t="s">
        <v>67</v>
      </c>
      <c r="E140" s="258" t="s">
        <v>9</v>
      </c>
      <c r="F140" s="431">
        <f t="array" ref="F140">MAX((IF(MNU_CODIGO_ALIMENTO_ENTREGA=CONCATENATE($C140,"_","P_"),MNU_GRAMAJE_REQUERIDO_TIPOA,"")))</f>
        <v>100</v>
      </c>
      <c r="G140" s="259">
        <f t="shared" si="98"/>
        <v>148992</v>
      </c>
      <c r="H140" s="259">
        <f t="shared" si="99"/>
        <v>19068</v>
      </c>
      <c r="I140" s="259">
        <f t="shared" si="100"/>
        <v>168060</v>
      </c>
      <c r="J140" s="260">
        <f t="shared" si="101"/>
        <v>24136704</v>
      </c>
      <c r="K140" s="260">
        <f t="shared" si="102"/>
        <v>3089016</v>
      </c>
      <c r="L140" s="260">
        <f t="shared" si="103"/>
        <v>27225720</v>
      </c>
      <c r="M140" s="432">
        <f t="array" ref="M140">MAX((IF(MNU_CODIGO_ALIMENTO_ENTREGA=CONCATENATE($C140,"_","P_"),MNU_GRAMAJE_REQUERIDO_TIPOB,"")))</f>
        <v>100</v>
      </c>
      <c r="N140" s="348">
        <f t="shared" si="104"/>
        <v>187611</v>
      </c>
      <c r="O140" s="348">
        <f t="shared" si="105"/>
        <v>18423</v>
      </c>
      <c r="P140" s="348">
        <f t="shared" si="106"/>
        <v>206034</v>
      </c>
      <c r="Q140" s="349">
        <f t="shared" si="107"/>
        <v>30392982</v>
      </c>
      <c r="R140" s="349">
        <f t="shared" si="108"/>
        <v>2984526</v>
      </c>
      <c r="S140" s="349">
        <f t="shared" si="109"/>
        <v>33377508</v>
      </c>
      <c r="T140" s="353">
        <f t="array" ref="T140">MAX((IF(MNU_CODIGO_ALIMENTO_ENTREGA=CONCATENATE($C140,"_","P_"),MNU_GRAMAJE_REQUERIDO_TIPOC,"")))</f>
        <v>100</v>
      </c>
      <c r="U140" s="259">
        <f t="shared" si="110"/>
        <v>201687</v>
      </c>
      <c r="V140" s="259">
        <f t="shared" si="111"/>
        <v>20171</v>
      </c>
      <c r="W140" s="259">
        <f t="shared" si="112"/>
        <v>221858</v>
      </c>
      <c r="X140" s="260">
        <f t="shared" si="113"/>
        <v>32673294</v>
      </c>
      <c r="Y140" s="260">
        <f t="shared" si="114"/>
        <v>3267702</v>
      </c>
      <c r="Z140" s="260">
        <f t="shared" si="115"/>
        <v>35940996</v>
      </c>
      <c r="AA140" s="258">
        <f t="array" ref="AA140">MAX((IF(MNU_CODIGO_ALIMENTO_ENTREGA=CONCATENATE($C140,"_","P_"),MNU_GRAMAJE_REQUERIDO_TIPOM,"")))</f>
        <v>100</v>
      </c>
      <c r="AB140" s="261">
        <f t="shared" si="116"/>
        <v>0</v>
      </c>
      <c r="AC140" s="261">
        <v>0</v>
      </c>
      <c r="AD140" s="261">
        <f t="shared" si="117"/>
        <v>0</v>
      </c>
      <c r="AE140" s="262">
        <f t="shared" si="118"/>
        <v>0</v>
      </c>
      <c r="AF140" s="262">
        <v>0</v>
      </c>
      <c r="AG140" s="262">
        <f t="shared" si="119"/>
        <v>0</v>
      </c>
      <c r="AH140" s="353">
        <f t="array" ref="AH140">MAX((IF(MNU_CODIGO_ALIMENTO_ENTREGA=CONCATENATE($C140,"_","P_"),MNU_GRAMAJE_REQUERIDO_TIPOH,"")))</f>
        <v>100</v>
      </c>
      <c r="AI140" s="259">
        <f t="shared" si="120"/>
        <v>0</v>
      </c>
      <c r="AJ140" s="259">
        <v>0</v>
      </c>
      <c r="AK140" s="259">
        <f t="shared" si="121"/>
        <v>0</v>
      </c>
      <c r="AL140" s="260">
        <f t="shared" si="122"/>
        <v>0</v>
      </c>
      <c r="AM140" s="260">
        <v>0</v>
      </c>
      <c r="AN140" s="260">
        <f t="shared" si="123"/>
        <v>0</v>
      </c>
      <c r="AO140" s="457">
        <f t="shared" si="124"/>
        <v>595952</v>
      </c>
      <c r="AP140" s="456">
        <f t="shared" si="125"/>
        <v>96544224</v>
      </c>
      <c r="AQ140" s="263" t="e">
        <f>#REF!+AH140+AA140+T140+M140</f>
        <v>#REF!</v>
      </c>
      <c r="AR140" s="263">
        <f t="shared" si="84"/>
        <v>96933522</v>
      </c>
      <c r="AS140" s="263" t="e">
        <f t="shared" si="85"/>
        <v>#REF!</v>
      </c>
      <c r="AT140" s="263">
        <f t="shared" si="86"/>
        <v>97361414</v>
      </c>
      <c r="AU140" s="263" t="e">
        <f t="shared" si="87"/>
        <v>#REF!</v>
      </c>
      <c r="AV140" s="263">
        <f t="shared" si="88"/>
        <v>103613642</v>
      </c>
      <c r="AW140" s="263" t="e">
        <f t="shared" si="89"/>
        <v>#REF!</v>
      </c>
      <c r="AX140" s="263" t="e">
        <f>AV140+#REF!+AH140+AA140+T140</f>
        <v>#REF!</v>
      </c>
      <c r="AY140" s="263" t="e">
        <f t="shared" si="90"/>
        <v>#REF!</v>
      </c>
      <c r="AZ140" s="263" t="e">
        <f t="shared" si="91"/>
        <v>#REF!</v>
      </c>
      <c r="BA140" s="263" t="e">
        <f t="shared" si="92"/>
        <v>#REF!</v>
      </c>
      <c r="BB140" s="263" t="e">
        <f t="shared" si="93"/>
        <v>#REF!</v>
      </c>
      <c r="BC140" s="263" t="e">
        <f t="shared" si="94"/>
        <v>#REF!</v>
      </c>
      <c r="BD140" s="263" t="e">
        <f t="shared" si="95"/>
        <v>#REF!</v>
      </c>
      <c r="BE140" s="263" t="e">
        <f>BC140+AV140+#REF!+AH140+AA140</f>
        <v>#REF!</v>
      </c>
      <c r="BF140" s="263" t="e">
        <f t="shared" si="96"/>
        <v>#REF!</v>
      </c>
      <c r="BG140" s="263" t="e">
        <f t="shared" si="97"/>
        <v>#REF!</v>
      </c>
    </row>
    <row r="141" spans="1:59" ht="15.75">
      <c r="A141" s="338">
        <v>10</v>
      </c>
      <c r="B141" s="338" t="s">
        <v>1</v>
      </c>
      <c r="C141" s="258">
        <v>59</v>
      </c>
      <c r="D141" s="328" t="s">
        <v>99</v>
      </c>
      <c r="E141" s="258" t="s">
        <v>9</v>
      </c>
      <c r="F141" s="431">
        <f t="array" ref="F141">MAX((IF(MNU_CODIGO_ALIMENTO_ENTREGA=CONCATENATE($C141,"_","P_"),MNU_GRAMAJE_REQUERIDO_TIPOA,"")))</f>
        <v>0</v>
      </c>
      <c r="G141" s="259">
        <f t="shared" si="98"/>
        <v>0</v>
      </c>
      <c r="H141" s="259">
        <f t="shared" si="99"/>
        <v>0</v>
      </c>
      <c r="I141" s="259">
        <f t="shared" si="100"/>
        <v>0</v>
      </c>
      <c r="J141" s="260">
        <f t="shared" si="101"/>
        <v>0</v>
      </c>
      <c r="K141" s="260">
        <f t="shared" si="102"/>
        <v>0</v>
      </c>
      <c r="L141" s="260">
        <f t="shared" si="103"/>
        <v>0</v>
      </c>
      <c r="M141" s="432">
        <f t="array" ref="M141">MAX((IF(MNU_CODIGO_ALIMENTO_ENTREGA=CONCATENATE($C141,"_","P_"),MNU_GRAMAJE_REQUERIDO_TIPOB,"")))</f>
        <v>100</v>
      </c>
      <c r="N141" s="348">
        <f t="shared" si="104"/>
        <v>65256</v>
      </c>
      <c r="O141" s="348">
        <f t="shared" si="105"/>
        <v>8811</v>
      </c>
      <c r="P141" s="348">
        <f t="shared" si="106"/>
        <v>74067</v>
      </c>
      <c r="Q141" s="349">
        <f t="shared" si="107"/>
        <v>19576800</v>
      </c>
      <c r="R141" s="349">
        <f t="shared" si="108"/>
        <v>2643300</v>
      </c>
      <c r="S141" s="349">
        <f t="shared" si="109"/>
        <v>22220100</v>
      </c>
      <c r="T141" s="353">
        <f t="array" ref="T141">MAX((IF(MNU_CODIGO_ALIMENTO_ENTREGA=CONCATENATE($C141,"_","P_"),MNU_GRAMAJE_REQUERIDO_TIPOC,"")))</f>
        <v>100</v>
      </c>
      <c r="U141" s="259">
        <f t="shared" si="110"/>
        <v>70152</v>
      </c>
      <c r="V141" s="259">
        <f t="shared" si="111"/>
        <v>9647</v>
      </c>
      <c r="W141" s="259">
        <f t="shared" si="112"/>
        <v>79799</v>
      </c>
      <c r="X141" s="260">
        <f t="shared" si="113"/>
        <v>21045600</v>
      </c>
      <c r="Y141" s="260">
        <f t="shared" si="114"/>
        <v>2894100</v>
      </c>
      <c r="Z141" s="260">
        <f t="shared" si="115"/>
        <v>23939700</v>
      </c>
      <c r="AA141" s="258">
        <f t="array" ref="AA141">MAX((IF(MNU_CODIGO_ALIMENTO_ENTREGA=CONCATENATE($C141,"_","P_"),MNU_GRAMAJE_REQUERIDO_TIPOM,"")))</f>
        <v>100</v>
      </c>
      <c r="AB141" s="261">
        <f t="shared" si="116"/>
        <v>0</v>
      </c>
      <c r="AC141" s="261">
        <v>0</v>
      </c>
      <c r="AD141" s="261">
        <f t="shared" si="117"/>
        <v>0</v>
      </c>
      <c r="AE141" s="262">
        <f t="shared" si="118"/>
        <v>0</v>
      </c>
      <c r="AF141" s="262">
        <v>0</v>
      </c>
      <c r="AG141" s="262">
        <f t="shared" si="119"/>
        <v>0</v>
      </c>
      <c r="AH141" s="353">
        <f t="array" ref="AH141">MAX((IF(MNU_CODIGO_ALIMENTO_ENTREGA=CONCATENATE($C141,"_","P_"),MNU_GRAMAJE_REQUERIDO_TIPOH,"")))</f>
        <v>100</v>
      </c>
      <c r="AI141" s="259">
        <f t="shared" si="120"/>
        <v>0</v>
      </c>
      <c r="AJ141" s="259">
        <v>0</v>
      </c>
      <c r="AK141" s="259">
        <f t="shared" si="121"/>
        <v>0</v>
      </c>
      <c r="AL141" s="260">
        <f t="shared" si="122"/>
        <v>0</v>
      </c>
      <c r="AM141" s="260">
        <v>0</v>
      </c>
      <c r="AN141" s="260">
        <f t="shared" si="123"/>
        <v>0</v>
      </c>
      <c r="AO141" s="457">
        <f t="shared" si="124"/>
        <v>153866</v>
      </c>
      <c r="AP141" s="456">
        <f t="shared" si="125"/>
        <v>46159800</v>
      </c>
      <c r="AQ141" s="263" t="e">
        <f>#REF!+AH141+AA141+T141+M141</f>
        <v>#REF!</v>
      </c>
      <c r="AR141" s="263">
        <f t="shared" si="84"/>
        <v>46295208</v>
      </c>
      <c r="AS141" s="263" t="e">
        <f t="shared" si="85"/>
        <v>#REF!</v>
      </c>
      <c r="AT141" s="263">
        <f t="shared" si="86"/>
        <v>46449074</v>
      </c>
      <c r="AU141" s="263" t="e">
        <f t="shared" si="87"/>
        <v>#REF!</v>
      </c>
      <c r="AV141" s="263">
        <f t="shared" si="88"/>
        <v>51986474</v>
      </c>
      <c r="AW141" s="263" t="e">
        <f t="shared" si="89"/>
        <v>#REF!</v>
      </c>
      <c r="AX141" s="263" t="e">
        <f>AV141+#REF!+AH141+AA141+T141</f>
        <v>#REF!</v>
      </c>
      <c r="AY141" s="263" t="e">
        <f t="shared" si="90"/>
        <v>#REF!</v>
      </c>
      <c r="AZ141" s="263" t="e">
        <f t="shared" si="91"/>
        <v>#REF!</v>
      </c>
      <c r="BA141" s="263" t="e">
        <f t="shared" si="92"/>
        <v>#REF!</v>
      </c>
      <c r="BB141" s="263" t="e">
        <f t="shared" si="93"/>
        <v>#REF!</v>
      </c>
      <c r="BC141" s="263" t="e">
        <f t="shared" si="94"/>
        <v>#REF!</v>
      </c>
      <c r="BD141" s="263" t="e">
        <f t="shared" si="95"/>
        <v>#REF!</v>
      </c>
      <c r="BE141" s="263" t="e">
        <f>BC141+AV141+#REF!+AH141+AA141</f>
        <v>#REF!</v>
      </c>
      <c r="BF141" s="263" t="e">
        <f t="shared" si="96"/>
        <v>#REF!</v>
      </c>
      <c r="BG141" s="263" t="e">
        <f t="shared" si="97"/>
        <v>#REF!</v>
      </c>
    </row>
    <row r="142" spans="1:59" ht="15.75">
      <c r="A142" s="338">
        <v>10</v>
      </c>
      <c r="B142" s="338" t="s">
        <v>1</v>
      </c>
      <c r="C142" s="258">
        <v>69</v>
      </c>
      <c r="D142" s="328" t="s">
        <v>70</v>
      </c>
      <c r="E142" s="258" t="s">
        <v>9</v>
      </c>
      <c r="F142" s="431">
        <f t="array" ref="F142">MAX((IF(MNU_CODIGO_ALIMENTO_ENTREGA=CONCATENATE($C142,"_","P_"),MNU_GRAMAJE_REQUERIDO_TIPOA,"")))</f>
        <v>100</v>
      </c>
      <c r="G142" s="259">
        <f t="shared" si="98"/>
        <v>186240</v>
      </c>
      <c r="H142" s="259">
        <f t="shared" si="99"/>
        <v>12258</v>
      </c>
      <c r="I142" s="259">
        <f t="shared" si="100"/>
        <v>198498</v>
      </c>
      <c r="J142" s="260">
        <f t="shared" si="101"/>
        <v>59596800</v>
      </c>
      <c r="K142" s="260">
        <f t="shared" si="102"/>
        <v>3922560</v>
      </c>
      <c r="L142" s="260">
        <f t="shared" si="103"/>
        <v>63519360</v>
      </c>
      <c r="M142" s="432">
        <f t="array" ref="M142">MAX((IF(MNU_CODIGO_ALIMENTO_ENTREGA=CONCATENATE($C142,"_","P_"),MNU_GRAMAJE_REQUERIDO_TIPOB,"")))</f>
        <v>100</v>
      </c>
      <c r="N142" s="348">
        <f t="shared" si="104"/>
        <v>130512</v>
      </c>
      <c r="O142" s="348">
        <f t="shared" si="105"/>
        <v>9612</v>
      </c>
      <c r="P142" s="348">
        <f t="shared" si="106"/>
        <v>140124</v>
      </c>
      <c r="Q142" s="349">
        <f t="shared" si="107"/>
        <v>41763840</v>
      </c>
      <c r="R142" s="349">
        <f t="shared" si="108"/>
        <v>3075840</v>
      </c>
      <c r="S142" s="349">
        <f t="shared" si="109"/>
        <v>44839680</v>
      </c>
      <c r="T142" s="353">
        <f t="array" ref="T142">MAX((IF(MNU_CODIGO_ALIMENTO_ENTREGA=CONCATENATE($C142,"_","P_"),MNU_GRAMAJE_REQUERIDO_TIPOC,"")))</f>
        <v>100</v>
      </c>
      <c r="U142" s="259">
        <f t="shared" si="110"/>
        <v>140304</v>
      </c>
      <c r="V142" s="259">
        <f t="shared" si="111"/>
        <v>10524</v>
      </c>
      <c r="W142" s="259">
        <f t="shared" si="112"/>
        <v>150828</v>
      </c>
      <c r="X142" s="260">
        <f t="shared" si="113"/>
        <v>44897280</v>
      </c>
      <c r="Y142" s="260">
        <f t="shared" si="114"/>
        <v>3367680</v>
      </c>
      <c r="Z142" s="260">
        <f t="shared" si="115"/>
        <v>48264960</v>
      </c>
      <c r="AA142" s="258">
        <f t="array" ref="AA142">MAX((IF(MNU_CODIGO_ALIMENTO_ENTREGA=CONCATENATE($C142,"_","P_"),MNU_GRAMAJE_REQUERIDO_TIPOM,"")))</f>
        <v>100</v>
      </c>
      <c r="AB142" s="261">
        <f t="shared" si="116"/>
        <v>0</v>
      </c>
      <c r="AC142" s="261">
        <v>0</v>
      </c>
      <c r="AD142" s="261">
        <f t="shared" si="117"/>
        <v>0</v>
      </c>
      <c r="AE142" s="262">
        <f t="shared" si="118"/>
        <v>0</v>
      </c>
      <c r="AF142" s="262">
        <v>0</v>
      </c>
      <c r="AG142" s="262">
        <f t="shared" si="119"/>
        <v>0</v>
      </c>
      <c r="AH142" s="353">
        <f t="array" ref="AH142">MAX((IF(MNU_CODIGO_ALIMENTO_ENTREGA=CONCATENATE($C142,"_","P_"),MNU_GRAMAJE_REQUERIDO_TIPOH,"")))</f>
        <v>100</v>
      </c>
      <c r="AI142" s="259">
        <f t="shared" si="120"/>
        <v>0</v>
      </c>
      <c r="AJ142" s="259">
        <v>0</v>
      </c>
      <c r="AK142" s="259">
        <f t="shared" si="121"/>
        <v>0</v>
      </c>
      <c r="AL142" s="260">
        <f t="shared" si="122"/>
        <v>0</v>
      </c>
      <c r="AM142" s="260">
        <v>0</v>
      </c>
      <c r="AN142" s="260">
        <f t="shared" si="123"/>
        <v>0</v>
      </c>
      <c r="AO142" s="457">
        <f t="shared" si="124"/>
        <v>489450</v>
      </c>
      <c r="AP142" s="456">
        <f t="shared" si="125"/>
        <v>156624000</v>
      </c>
      <c r="AQ142" s="263" t="e">
        <f>#REF!+AH142+AA142+T142+M142</f>
        <v>#REF!</v>
      </c>
      <c r="AR142" s="263">
        <f t="shared" si="84"/>
        <v>156894816</v>
      </c>
      <c r="AS142" s="263" t="e">
        <f t="shared" si="85"/>
        <v>#REF!</v>
      </c>
      <c r="AT142" s="263">
        <f t="shared" si="86"/>
        <v>157185768</v>
      </c>
      <c r="AU142" s="263" t="e">
        <f t="shared" si="87"/>
        <v>#REF!</v>
      </c>
      <c r="AV142" s="263">
        <f t="shared" si="88"/>
        <v>163629288</v>
      </c>
      <c r="AW142" s="263" t="e">
        <f t="shared" si="89"/>
        <v>#REF!</v>
      </c>
      <c r="AX142" s="263" t="e">
        <f>AV142+#REF!+AH142+AA142+T142</f>
        <v>#REF!</v>
      </c>
      <c r="AY142" s="263" t="e">
        <f t="shared" si="90"/>
        <v>#REF!</v>
      </c>
      <c r="AZ142" s="263" t="e">
        <f t="shared" si="91"/>
        <v>#REF!</v>
      </c>
      <c r="BA142" s="263" t="e">
        <f t="shared" si="92"/>
        <v>#REF!</v>
      </c>
      <c r="BB142" s="263" t="e">
        <f t="shared" si="93"/>
        <v>#REF!</v>
      </c>
      <c r="BC142" s="263" t="e">
        <f t="shared" si="94"/>
        <v>#REF!</v>
      </c>
      <c r="BD142" s="263" t="e">
        <f t="shared" si="95"/>
        <v>#REF!</v>
      </c>
      <c r="BE142" s="263" t="e">
        <f>BC142+AV142+#REF!+AH142+AA142</f>
        <v>#REF!</v>
      </c>
      <c r="BF142" s="263" t="e">
        <f t="shared" si="96"/>
        <v>#REF!</v>
      </c>
      <c r="BG142" s="263" t="e">
        <f t="shared" si="97"/>
        <v>#REF!</v>
      </c>
    </row>
    <row r="143" spans="1:59" ht="15.75">
      <c r="A143" s="338">
        <v>10</v>
      </c>
      <c r="B143" s="338" t="s">
        <v>1</v>
      </c>
      <c r="C143" s="258">
        <v>70</v>
      </c>
      <c r="D143" s="328" t="s">
        <v>71</v>
      </c>
      <c r="E143" s="258" t="s">
        <v>9</v>
      </c>
      <c r="F143" s="431">
        <f t="array" ref="F143">MAX((IF(MNU_CODIGO_ALIMENTO_ENTREGA=CONCATENATE($C143,"_","P_"),MNU_GRAMAJE_REQUERIDO_TIPOA,"")))</f>
        <v>0</v>
      </c>
      <c r="G143" s="259">
        <f t="shared" si="98"/>
        <v>0</v>
      </c>
      <c r="H143" s="259">
        <f t="shared" si="99"/>
        <v>0</v>
      </c>
      <c r="I143" s="259">
        <f t="shared" si="100"/>
        <v>0</v>
      </c>
      <c r="J143" s="260">
        <f t="shared" si="101"/>
        <v>0</v>
      </c>
      <c r="K143" s="260">
        <f t="shared" si="102"/>
        <v>0</v>
      </c>
      <c r="L143" s="260">
        <f t="shared" si="103"/>
        <v>0</v>
      </c>
      <c r="M143" s="432">
        <f t="array" ref="M143">MAX((IF(MNU_CODIGO_ALIMENTO_ENTREGA=CONCATENATE($C143,"_","P_"),MNU_GRAMAJE_REQUERIDO_TIPOB,"")))</f>
        <v>100</v>
      </c>
      <c r="N143" s="348">
        <f t="shared" si="104"/>
        <v>81570</v>
      </c>
      <c r="O143" s="348">
        <f t="shared" si="105"/>
        <v>6408</v>
      </c>
      <c r="P143" s="348">
        <f t="shared" si="106"/>
        <v>87978</v>
      </c>
      <c r="Q143" s="349">
        <f t="shared" si="107"/>
        <v>37195920</v>
      </c>
      <c r="R143" s="349">
        <f t="shared" si="108"/>
        <v>2922048</v>
      </c>
      <c r="S143" s="349">
        <f t="shared" si="109"/>
        <v>40117968</v>
      </c>
      <c r="T143" s="353">
        <f t="array" ref="T143">MAX((IF(MNU_CODIGO_ALIMENTO_ENTREGA=CONCATENATE($C143,"_","P_"),MNU_GRAMAJE_REQUERIDO_TIPOC,"")))</f>
        <v>100</v>
      </c>
      <c r="U143" s="259">
        <f t="shared" si="110"/>
        <v>87690</v>
      </c>
      <c r="V143" s="259">
        <f t="shared" si="111"/>
        <v>7016</v>
      </c>
      <c r="W143" s="259">
        <f t="shared" si="112"/>
        <v>94706</v>
      </c>
      <c r="X143" s="260">
        <f t="shared" si="113"/>
        <v>39986640</v>
      </c>
      <c r="Y143" s="260">
        <f t="shared" si="114"/>
        <v>3199296</v>
      </c>
      <c r="Z143" s="260">
        <f t="shared" si="115"/>
        <v>43185936</v>
      </c>
      <c r="AA143" s="258">
        <f t="array" ref="AA143">MAX((IF(MNU_CODIGO_ALIMENTO_ENTREGA=CONCATENATE($C143,"_","P_"),MNU_GRAMAJE_REQUERIDO_TIPOM,"")))</f>
        <v>100</v>
      </c>
      <c r="AB143" s="261">
        <f t="shared" si="116"/>
        <v>0</v>
      </c>
      <c r="AC143" s="261">
        <v>0</v>
      </c>
      <c r="AD143" s="261">
        <f t="shared" si="117"/>
        <v>0</v>
      </c>
      <c r="AE143" s="262">
        <f t="shared" si="118"/>
        <v>0</v>
      </c>
      <c r="AF143" s="262">
        <v>0</v>
      </c>
      <c r="AG143" s="262">
        <f t="shared" si="119"/>
        <v>0</v>
      </c>
      <c r="AH143" s="353">
        <f t="array" ref="AH143">MAX((IF(MNU_CODIGO_ALIMENTO_ENTREGA=CONCATENATE($C143,"_","P_"),MNU_GRAMAJE_REQUERIDO_TIPOH,"")))</f>
        <v>100</v>
      </c>
      <c r="AI143" s="259">
        <f t="shared" si="120"/>
        <v>0</v>
      </c>
      <c r="AJ143" s="259">
        <v>0</v>
      </c>
      <c r="AK143" s="259">
        <f t="shared" si="121"/>
        <v>0</v>
      </c>
      <c r="AL143" s="260">
        <f t="shared" si="122"/>
        <v>0</v>
      </c>
      <c r="AM143" s="260">
        <v>0</v>
      </c>
      <c r="AN143" s="260">
        <f t="shared" si="123"/>
        <v>0</v>
      </c>
      <c r="AO143" s="457">
        <f t="shared" si="124"/>
        <v>182684</v>
      </c>
      <c r="AP143" s="456">
        <f t="shared" si="125"/>
        <v>83303904</v>
      </c>
      <c r="AQ143" s="263" t="e">
        <f>#REF!+AH143+AA143+T143+M143</f>
        <v>#REF!</v>
      </c>
      <c r="AR143" s="263">
        <f t="shared" si="84"/>
        <v>83473164</v>
      </c>
      <c r="AS143" s="263" t="e">
        <f t="shared" si="85"/>
        <v>#REF!</v>
      </c>
      <c r="AT143" s="263">
        <f t="shared" si="86"/>
        <v>83655848</v>
      </c>
      <c r="AU143" s="263" t="e">
        <f t="shared" si="87"/>
        <v>#REF!</v>
      </c>
      <c r="AV143" s="263">
        <f t="shared" si="88"/>
        <v>89777192</v>
      </c>
      <c r="AW143" s="263" t="e">
        <f t="shared" si="89"/>
        <v>#REF!</v>
      </c>
      <c r="AX143" s="263" t="e">
        <f>AV143+#REF!+AH143+AA143+T143</f>
        <v>#REF!</v>
      </c>
      <c r="AY143" s="263" t="e">
        <f t="shared" si="90"/>
        <v>#REF!</v>
      </c>
      <c r="AZ143" s="263" t="e">
        <f t="shared" si="91"/>
        <v>#REF!</v>
      </c>
      <c r="BA143" s="263" t="e">
        <f t="shared" si="92"/>
        <v>#REF!</v>
      </c>
      <c r="BB143" s="263" t="e">
        <f t="shared" si="93"/>
        <v>#REF!</v>
      </c>
      <c r="BC143" s="263" t="e">
        <f t="shared" si="94"/>
        <v>#REF!</v>
      </c>
      <c r="BD143" s="263" t="e">
        <f t="shared" si="95"/>
        <v>#REF!</v>
      </c>
      <c r="BE143" s="263" t="e">
        <f>BC143+AV143+#REF!+AH143+AA143</f>
        <v>#REF!</v>
      </c>
      <c r="BF143" s="263" t="e">
        <f t="shared" si="96"/>
        <v>#REF!</v>
      </c>
      <c r="BG143" s="263" t="e">
        <f t="shared" si="97"/>
        <v>#REF!</v>
      </c>
    </row>
    <row r="144" spans="1:59" ht="15.75">
      <c r="A144" s="338">
        <v>11</v>
      </c>
      <c r="B144" s="338" t="s">
        <v>1</v>
      </c>
      <c r="C144" s="258">
        <v>7</v>
      </c>
      <c r="D144" s="328" t="s">
        <v>57</v>
      </c>
      <c r="E144" s="258" t="s">
        <v>9</v>
      </c>
      <c r="F144" s="431">
        <f t="array" ref="F144">MAX((IF(MNU_CODIGO_ALIMENTO_ENTREGA=CONCATENATE($C144,"_","P_"),MNU_GRAMAJE_REQUERIDO_TIPOA,"")))</f>
        <v>100</v>
      </c>
      <c r="G144" s="259">
        <f t="shared" si="98"/>
        <v>139062</v>
      </c>
      <c r="H144" s="259">
        <f t="shared" si="99"/>
        <v>9455</v>
      </c>
      <c r="I144" s="259">
        <f t="shared" si="100"/>
        <v>148517</v>
      </c>
      <c r="J144" s="260">
        <f t="shared" si="101"/>
        <v>15574944</v>
      </c>
      <c r="K144" s="260">
        <f t="shared" si="102"/>
        <v>1058960</v>
      </c>
      <c r="L144" s="260">
        <f t="shared" si="103"/>
        <v>16633904</v>
      </c>
      <c r="M144" s="432">
        <f t="array" ref="M144">MAX((IF(MNU_CODIGO_ALIMENTO_ENTREGA=CONCATENATE($C144,"_","P_"),MNU_GRAMAJE_REQUERIDO_TIPOB,"")))</f>
        <v>100</v>
      </c>
      <c r="N144" s="348">
        <f t="shared" si="104"/>
        <v>79749</v>
      </c>
      <c r="O144" s="348">
        <f t="shared" si="105"/>
        <v>825</v>
      </c>
      <c r="P144" s="348">
        <f t="shared" si="106"/>
        <v>80574</v>
      </c>
      <c r="Q144" s="349">
        <f t="shared" si="107"/>
        <v>8931888</v>
      </c>
      <c r="R144" s="349">
        <f t="shared" si="108"/>
        <v>92400</v>
      </c>
      <c r="S144" s="349">
        <f t="shared" si="109"/>
        <v>9024288</v>
      </c>
      <c r="T144" s="353">
        <f t="array" ref="T144">MAX((IF(MNU_CODIGO_ALIMENTO_ENTREGA=CONCATENATE($C144,"_","P_"),MNU_GRAMAJE_REQUERIDO_TIPOC,"")))</f>
        <v>100</v>
      </c>
      <c r="U144" s="259">
        <f t="shared" si="110"/>
        <v>83763</v>
      </c>
      <c r="V144" s="259">
        <f t="shared" si="111"/>
        <v>17963</v>
      </c>
      <c r="W144" s="259">
        <f t="shared" si="112"/>
        <v>101726</v>
      </c>
      <c r="X144" s="260">
        <f t="shared" si="113"/>
        <v>9381456</v>
      </c>
      <c r="Y144" s="260">
        <f t="shared" si="114"/>
        <v>2011856</v>
      </c>
      <c r="Z144" s="260">
        <f t="shared" si="115"/>
        <v>11393312</v>
      </c>
      <c r="AA144" s="258">
        <f t="array" ref="AA144">MAX((IF(MNU_CODIGO_ALIMENTO_ENTREGA=CONCATENATE($C144,"_","P_"),MNU_GRAMAJE_REQUERIDO_TIPOM,"")))</f>
        <v>100</v>
      </c>
      <c r="AB144" s="261">
        <f t="shared" si="116"/>
        <v>4734</v>
      </c>
      <c r="AC144" s="261">
        <v>0</v>
      </c>
      <c r="AD144" s="261">
        <f t="shared" si="117"/>
        <v>4734</v>
      </c>
      <c r="AE144" s="262">
        <f t="shared" si="118"/>
        <v>530208</v>
      </c>
      <c r="AF144" s="262">
        <v>0</v>
      </c>
      <c r="AG144" s="262">
        <f t="shared" si="119"/>
        <v>530208</v>
      </c>
      <c r="AH144" s="353">
        <f t="array" ref="AH144">MAX((IF(MNU_CODIGO_ALIMENTO_ENTREGA=CONCATENATE($C144,"_","P_"),MNU_GRAMAJE_REQUERIDO_TIPOH,"")))</f>
        <v>100</v>
      </c>
      <c r="AI144" s="259">
        <f t="shared" si="120"/>
        <v>5094</v>
      </c>
      <c r="AJ144" s="259">
        <v>0</v>
      </c>
      <c r="AK144" s="259">
        <f t="shared" si="121"/>
        <v>5094</v>
      </c>
      <c r="AL144" s="260">
        <f t="shared" si="122"/>
        <v>570528</v>
      </c>
      <c r="AM144" s="260">
        <v>0</v>
      </c>
      <c r="AN144" s="260">
        <f t="shared" si="123"/>
        <v>570528</v>
      </c>
      <c r="AO144" s="457">
        <f t="shared" si="124"/>
        <v>340645</v>
      </c>
      <c r="AP144" s="456">
        <f t="shared" si="125"/>
        <v>38152240</v>
      </c>
      <c r="AQ144" s="263" t="e">
        <f>#REF!+AH144+AA144+T144+M144</f>
        <v>#REF!</v>
      </c>
      <c r="AR144" s="263">
        <f t="shared" si="84"/>
        <v>38325580</v>
      </c>
      <c r="AS144" s="263" t="e">
        <f t="shared" si="85"/>
        <v>#REF!</v>
      </c>
      <c r="AT144" s="263">
        <f t="shared" si="86"/>
        <v>38517708</v>
      </c>
      <c r="AU144" s="263" t="e">
        <f t="shared" si="87"/>
        <v>#REF!</v>
      </c>
      <c r="AV144" s="263">
        <f t="shared" si="88"/>
        <v>40621964</v>
      </c>
      <c r="AW144" s="263" t="e">
        <f t="shared" si="89"/>
        <v>#REF!</v>
      </c>
      <c r="AX144" s="263" t="e">
        <f>AV144+#REF!+AH144+AA144+T144</f>
        <v>#REF!</v>
      </c>
      <c r="AY144" s="263" t="e">
        <f t="shared" si="90"/>
        <v>#REF!</v>
      </c>
      <c r="AZ144" s="263" t="e">
        <f t="shared" si="91"/>
        <v>#REF!</v>
      </c>
      <c r="BA144" s="263" t="e">
        <f t="shared" si="92"/>
        <v>#REF!</v>
      </c>
      <c r="BB144" s="263" t="e">
        <f t="shared" si="93"/>
        <v>#REF!</v>
      </c>
      <c r="BC144" s="263" t="e">
        <f t="shared" si="94"/>
        <v>#REF!</v>
      </c>
      <c r="BD144" s="263" t="e">
        <f t="shared" si="95"/>
        <v>#REF!</v>
      </c>
      <c r="BE144" s="263" t="e">
        <f>BC144+AV144+#REF!+AH144+AA144</f>
        <v>#REF!</v>
      </c>
      <c r="BF144" s="263" t="e">
        <f t="shared" si="96"/>
        <v>#REF!</v>
      </c>
      <c r="BG144" s="263" t="e">
        <f t="shared" si="97"/>
        <v>#REF!</v>
      </c>
    </row>
    <row r="145" spans="1:59" ht="15.75">
      <c r="A145" s="338">
        <v>11</v>
      </c>
      <c r="B145" s="338" t="s">
        <v>1</v>
      </c>
      <c r="C145" s="258">
        <v>8</v>
      </c>
      <c r="D145" s="328" t="s">
        <v>55</v>
      </c>
      <c r="E145" s="258" t="s">
        <v>9</v>
      </c>
      <c r="F145" s="431">
        <f t="array" ref="F145">MAX((IF(MNU_CODIGO_ALIMENTO_ENTREGA=CONCATENATE($C145,"_","P_"),MNU_GRAMAJE_REQUERIDO_TIPOA,"")))</f>
        <v>100</v>
      </c>
      <c r="G145" s="259">
        <f t="shared" si="98"/>
        <v>63210</v>
      </c>
      <c r="H145" s="259">
        <f t="shared" si="99"/>
        <v>3355</v>
      </c>
      <c r="I145" s="259">
        <f t="shared" si="100"/>
        <v>66565</v>
      </c>
      <c r="J145" s="260">
        <f t="shared" si="101"/>
        <v>8912610</v>
      </c>
      <c r="K145" s="260">
        <f t="shared" si="102"/>
        <v>473055</v>
      </c>
      <c r="L145" s="260">
        <f t="shared" si="103"/>
        <v>9385665</v>
      </c>
      <c r="M145" s="432">
        <f t="array" ref="M145">MAX((IF(MNU_CODIGO_ALIMENTO_ENTREGA=CONCATENATE($C145,"_","P_"),MNU_GRAMAJE_REQUERIDO_TIPOB,"")))</f>
        <v>100</v>
      </c>
      <c r="N145" s="348">
        <f t="shared" si="104"/>
        <v>70888</v>
      </c>
      <c r="O145" s="348">
        <f t="shared" si="105"/>
        <v>825</v>
      </c>
      <c r="P145" s="348">
        <f t="shared" si="106"/>
        <v>71713</v>
      </c>
      <c r="Q145" s="349">
        <f t="shared" si="107"/>
        <v>9995208</v>
      </c>
      <c r="R145" s="349">
        <f t="shared" si="108"/>
        <v>116325</v>
      </c>
      <c r="S145" s="349">
        <f t="shared" si="109"/>
        <v>10111533</v>
      </c>
      <c r="T145" s="353">
        <f t="array" ref="T145">MAX((IF(MNU_CODIGO_ALIMENTO_ENTREGA=CONCATENATE($C145,"_","P_"),MNU_GRAMAJE_REQUERIDO_TIPOC,"")))</f>
        <v>100</v>
      </c>
      <c r="U145" s="259">
        <f t="shared" si="110"/>
        <v>74456</v>
      </c>
      <c r="V145" s="259">
        <f t="shared" si="111"/>
        <v>17963</v>
      </c>
      <c r="W145" s="259">
        <f t="shared" si="112"/>
        <v>92419</v>
      </c>
      <c r="X145" s="260">
        <f t="shared" si="113"/>
        <v>10498296</v>
      </c>
      <c r="Y145" s="260">
        <f t="shared" si="114"/>
        <v>2532783</v>
      </c>
      <c r="Z145" s="260">
        <f t="shared" si="115"/>
        <v>13031079</v>
      </c>
      <c r="AA145" s="258">
        <f t="array" ref="AA145">MAX((IF(MNU_CODIGO_ALIMENTO_ENTREGA=CONCATENATE($C145,"_","P_"),MNU_GRAMAJE_REQUERIDO_TIPOM,"")))</f>
        <v>100</v>
      </c>
      <c r="AB145" s="261">
        <f t="shared" si="116"/>
        <v>4208</v>
      </c>
      <c r="AC145" s="261">
        <v>0</v>
      </c>
      <c r="AD145" s="261">
        <f t="shared" si="117"/>
        <v>4208</v>
      </c>
      <c r="AE145" s="262">
        <f t="shared" si="118"/>
        <v>593328</v>
      </c>
      <c r="AF145" s="262">
        <v>0</v>
      </c>
      <c r="AG145" s="262">
        <f t="shared" si="119"/>
        <v>593328</v>
      </c>
      <c r="AH145" s="353">
        <f t="array" ref="AH145">MAX((IF(MNU_CODIGO_ALIMENTO_ENTREGA=CONCATENATE($C145,"_","P_"),MNU_GRAMAJE_REQUERIDO_TIPOH,"")))</f>
        <v>100</v>
      </c>
      <c r="AI145" s="259">
        <f t="shared" si="120"/>
        <v>4528</v>
      </c>
      <c r="AJ145" s="259">
        <v>0</v>
      </c>
      <c r="AK145" s="259">
        <f t="shared" si="121"/>
        <v>4528</v>
      </c>
      <c r="AL145" s="260">
        <f t="shared" si="122"/>
        <v>638448</v>
      </c>
      <c r="AM145" s="260">
        <v>0</v>
      </c>
      <c r="AN145" s="260">
        <f t="shared" si="123"/>
        <v>638448</v>
      </c>
      <c r="AO145" s="457">
        <f t="shared" si="124"/>
        <v>239433</v>
      </c>
      <c r="AP145" s="456">
        <f t="shared" si="125"/>
        <v>33760053</v>
      </c>
      <c r="AQ145" s="263" t="e">
        <f>#REF!+AH145+AA145+T145+M145</f>
        <v>#REF!</v>
      </c>
      <c r="AR145" s="263">
        <f t="shared" si="84"/>
        <v>33914133</v>
      </c>
      <c r="AS145" s="263" t="e">
        <f t="shared" si="85"/>
        <v>#REF!</v>
      </c>
      <c r="AT145" s="263">
        <f t="shared" si="86"/>
        <v>34087001</v>
      </c>
      <c r="AU145" s="263" t="e">
        <f t="shared" si="87"/>
        <v>#REF!</v>
      </c>
      <c r="AV145" s="263">
        <f t="shared" si="88"/>
        <v>36736109</v>
      </c>
      <c r="AW145" s="263" t="e">
        <f t="shared" si="89"/>
        <v>#REF!</v>
      </c>
      <c r="AX145" s="263" t="e">
        <f>AV145+#REF!+AH145+AA145+T145</f>
        <v>#REF!</v>
      </c>
      <c r="AY145" s="263" t="e">
        <f t="shared" si="90"/>
        <v>#REF!</v>
      </c>
      <c r="AZ145" s="263" t="e">
        <f t="shared" si="91"/>
        <v>#REF!</v>
      </c>
      <c r="BA145" s="263" t="e">
        <f t="shared" si="92"/>
        <v>#REF!</v>
      </c>
      <c r="BB145" s="263" t="e">
        <f t="shared" si="93"/>
        <v>#REF!</v>
      </c>
      <c r="BC145" s="263" t="e">
        <f t="shared" si="94"/>
        <v>#REF!</v>
      </c>
      <c r="BD145" s="263" t="e">
        <f t="shared" si="95"/>
        <v>#REF!</v>
      </c>
      <c r="BE145" s="263" t="e">
        <f>BC145+AV145+#REF!+AH145+AA145</f>
        <v>#REF!</v>
      </c>
      <c r="BF145" s="263" t="e">
        <f t="shared" si="96"/>
        <v>#REF!</v>
      </c>
      <c r="BG145" s="263" t="e">
        <f t="shared" si="97"/>
        <v>#REF!</v>
      </c>
    </row>
    <row r="146" spans="1:59" ht="15.75">
      <c r="A146" s="338">
        <v>11</v>
      </c>
      <c r="B146" s="338" t="s">
        <v>1</v>
      </c>
      <c r="C146" s="258">
        <v>17</v>
      </c>
      <c r="D146" s="328" t="s">
        <v>53</v>
      </c>
      <c r="E146" s="258" t="s">
        <v>9</v>
      </c>
      <c r="F146" s="431">
        <f t="array" ref="F146">MAX((IF(MNU_CODIGO_ALIMENTO_ENTREGA=CONCATENATE($C146,"_","P_"),MNU_GRAMAJE_REQUERIDO_TIPOA,"")))</f>
        <v>0</v>
      </c>
      <c r="G146" s="259">
        <f t="shared" si="98"/>
        <v>0</v>
      </c>
      <c r="H146" s="259">
        <f t="shared" si="99"/>
        <v>0</v>
      </c>
      <c r="I146" s="259">
        <f t="shared" si="100"/>
        <v>0</v>
      </c>
      <c r="J146" s="260">
        <f t="shared" si="101"/>
        <v>0</v>
      </c>
      <c r="K146" s="260">
        <f t="shared" si="102"/>
        <v>0</v>
      </c>
      <c r="L146" s="260">
        <f t="shared" si="103"/>
        <v>0</v>
      </c>
      <c r="M146" s="432">
        <f t="array" ref="M146">MAX((IF(MNU_CODIGO_ALIMENTO_ENTREGA=CONCATENATE($C146,"_","P_"),MNU_GRAMAJE_REQUERIDO_TIPOB,"")))</f>
        <v>100</v>
      </c>
      <c r="N146" s="348">
        <f t="shared" si="104"/>
        <v>186081</v>
      </c>
      <c r="O146" s="348">
        <f t="shared" si="105"/>
        <v>1725</v>
      </c>
      <c r="P146" s="348">
        <f t="shared" si="106"/>
        <v>187806</v>
      </c>
      <c r="Q146" s="349">
        <f t="shared" si="107"/>
        <v>44101197</v>
      </c>
      <c r="R146" s="349">
        <f t="shared" si="108"/>
        <v>408825</v>
      </c>
      <c r="S146" s="349">
        <f t="shared" si="109"/>
        <v>44510022</v>
      </c>
      <c r="T146" s="353">
        <f t="array" ref="T146">MAX((IF(MNU_CODIGO_ALIMENTO_ENTREGA=CONCATENATE($C146,"_","P_"),MNU_GRAMAJE_REQUERIDO_TIPOC,"")))</f>
        <v>100</v>
      </c>
      <c r="U146" s="259">
        <f t="shared" si="110"/>
        <v>195447</v>
      </c>
      <c r="V146" s="259">
        <f t="shared" si="111"/>
        <v>37559</v>
      </c>
      <c r="W146" s="259">
        <f t="shared" si="112"/>
        <v>233006</v>
      </c>
      <c r="X146" s="260">
        <f t="shared" si="113"/>
        <v>46320939</v>
      </c>
      <c r="Y146" s="260">
        <f t="shared" si="114"/>
        <v>8901483</v>
      </c>
      <c r="Z146" s="260">
        <f t="shared" si="115"/>
        <v>55222422</v>
      </c>
      <c r="AA146" s="258">
        <f t="array" ref="AA146">MAX((IF(MNU_CODIGO_ALIMENTO_ENTREGA=CONCATENATE($C146,"_","P_"),MNU_GRAMAJE_REQUERIDO_TIPOM,"")))</f>
        <v>100</v>
      </c>
      <c r="AB146" s="261">
        <f t="shared" si="116"/>
        <v>11046</v>
      </c>
      <c r="AC146" s="261">
        <v>0</v>
      </c>
      <c r="AD146" s="261">
        <f t="shared" si="117"/>
        <v>11046</v>
      </c>
      <c r="AE146" s="262">
        <f t="shared" si="118"/>
        <v>2617902</v>
      </c>
      <c r="AF146" s="262">
        <v>0</v>
      </c>
      <c r="AG146" s="262">
        <f t="shared" si="119"/>
        <v>2617902</v>
      </c>
      <c r="AH146" s="353">
        <f t="array" ref="AH146">MAX((IF(MNU_CODIGO_ALIMENTO_ENTREGA=CONCATENATE($C146,"_","P_"),MNU_GRAMAJE_REQUERIDO_TIPOH,"")))</f>
        <v>100</v>
      </c>
      <c r="AI146" s="259">
        <f t="shared" si="120"/>
        <v>11886</v>
      </c>
      <c r="AJ146" s="259">
        <v>0</v>
      </c>
      <c r="AK146" s="259">
        <f t="shared" si="121"/>
        <v>11886</v>
      </c>
      <c r="AL146" s="260">
        <f t="shared" si="122"/>
        <v>2816982</v>
      </c>
      <c r="AM146" s="260">
        <v>0</v>
      </c>
      <c r="AN146" s="260">
        <f t="shared" si="123"/>
        <v>2816982</v>
      </c>
      <c r="AO146" s="457">
        <f t="shared" si="124"/>
        <v>443744</v>
      </c>
      <c r="AP146" s="456">
        <f t="shared" si="125"/>
        <v>105167328</v>
      </c>
      <c r="AQ146" s="263" t="e">
        <f>#REF!+AH146+AA146+T146+M146</f>
        <v>#REF!</v>
      </c>
      <c r="AR146" s="263">
        <f t="shared" si="84"/>
        <v>105571788</v>
      </c>
      <c r="AS146" s="263" t="e">
        <f t="shared" si="85"/>
        <v>#REF!</v>
      </c>
      <c r="AT146" s="263">
        <f t="shared" si="86"/>
        <v>106015532</v>
      </c>
      <c r="AU146" s="263" t="e">
        <f t="shared" si="87"/>
        <v>#REF!</v>
      </c>
      <c r="AV146" s="263">
        <f t="shared" si="88"/>
        <v>115325840</v>
      </c>
      <c r="AW146" s="263" t="e">
        <f t="shared" si="89"/>
        <v>#REF!</v>
      </c>
      <c r="AX146" s="263" t="e">
        <f>AV146+#REF!+AH146+AA146+T146</f>
        <v>#REF!</v>
      </c>
      <c r="AY146" s="263" t="e">
        <f t="shared" si="90"/>
        <v>#REF!</v>
      </c>
      <c r="AZ146" s="263" t="e">
        <f t="shared" si="91"/>
        <v>#REF!</v>
      </c>
      <c r="BA146" s="263" t="e">
        <f t="shared" si="92"/>
        <v>#REF!</v>
      </c>
      <c r="BB146" s="263" t="e">
        <f t="shared" si="93"/>
        <v>#REF!</v>
      </c>
      <c r="BC146" s="263" t="e">
        <f t="shared" si="94"/>
        <v>#REF!</v>
      </c>
      <c r="BD146" s="263" t="e">
        <f t="shared" si="95"/>
        <v>#REF!</v>
      </c>
      <c r="BE146" s="263" t="e">
        <f>BC146+AV146+#REF!+AH146+AA146</f>
        <v>#REF!</v>
      </c>
      <c r="BF146" s="263" t="e">
        <f t="shared" si="96"/>
        <v>#REF!</v>
      </c>
      <c r="BG146" s="263" t="e">
        <f t="shared" si="97"/>
        <v>#REF!</v>
      </c>
    </row>
    <row r="147" spans="1:59" ht="15.75">
      <c r="A147" s="338">
        <v>11</v>
      </c>
      <c r="B147" s="338" t="s">
        <v>1</v>
      </c>
      <c r="C147" s="258">
        <v>22</v>
      </c>
      <c r="D147" s="328" t="s">
        <v>51</v>
      </c>
      <c r="E147" s="258" t="s">
        <v>9</v>
      </c>
      <c r="F147" s="431">
        <f t="array" ref="F147">MAX((IF(MNU_CODIGO_ALIMENTO_ENTREGA=CONCATENATE($C147,"_","P_"),MNU_GRAMAJE_REQUERIDO_TIPOA,"")))</f>
        <v>0</v>
      </c>
      <c r="G147" s="259">
        <f t="shared" si="98"/>
        <v>0</v>
      </c>
      <c r="H147" s="259">
        <f t="shared" si="99"/>
        <v>0</v>
      </c>
      <c r="I147" s="259">
        <f t="shared" si="100"/>
        <v>0</v>
      </c>
      <c r="J147" s="260">
        <f t="shared" si="101"/>
        <v>0</v>
      </c>
      <c r="K147" s="260">
        <f t="shared" si="102"/>
        <v>0</v>
      </c>
      <c r="L147" s="260">
        <f t="shared" si="103"/>
        <v>0</v>
      </c>
      <c r="M147" s="432">
        <f t="array" ref="M147">MAX((IF(MNU_CODIGO_ALIMENTO_ENTREGA=CONCATENATE($C147,"_","P_"),MNU_GRAMAJE_REQUERIDO_TIPOB,"")))</f>
        <v>100</v>
      </c>
      <c r="N147" s="348">
        <f t="shared" si="104"/>
        <v>177220</v>
      </c>
      <c r="O147" s="348">
        <f t="shared" si="105"/>
        <v>1725</v>
      </c>
      <c r="P147" s="348">
        <f t="shared" si="106"/>
        <v>178945</v>
      </c>
      <c r="Q147" s="349">
        <f t="shared" si="107"/>
        <v>97648220</v>
      </c>
      <c r="R147" s="349">
        <f t="shared" si="108"/>
        <v>950475</v>
      </c>
      <c r="S147" s="349">
        <f t="shared" si="109"/>
        <v>98598695</v>
      </c>
      <c r="T147" s="353">
        <f t="array" ref="T147">MAX((IF(MNU_CODIGO_ALIMENTO_ENTREGA=CONCATENATE($C147,"_","P_"),MNU_GRAMAJE_REQUERIDO_TIPOC,"")))</f>
        <v>100</v>
      </c>
      <c r="U147" s="259">
        <f t="shared" si="110"/>
        <v>186140</v>
      </c>
      <c r="V147" s="259">
        <f t="shared" si="111"/>
        <v>37559</v>
      </c>
      <c r="W147" s="259">
        <f t="shared" si="112"/>
        <v>223699</v>
      </c>
      <c r="X147" s="260">
        <f t="shared" si="113"/>
        <v>102563140</v>
      </c>
      <c r="Y147" s="260">
        <f t="shared" si="114"/>
        <v>20695009</v>
      </c>
      <c r="Z147" s="260">
        <f t="shared" si="115"/>
        <v>123258149</v>
      </c>
      <c r="AA147" s="258">
        <f t="array" ref="AA147">MAX((IF(MNU_CODIGO_ALIMENTO_ENTREGA=CONCATENATE($C147,"_","P_"),MNU_GRAMAJE_REQUERIDO_TIPOM,"")))</f>
        <v>100</v>
      </c>
      <c r="AB147" s="261">
        <f t="shared" si="116"/>
        <v>10520</v>
      </c>
      <c r="AC147" s="261">
        <v>0</v>
      </c>
      <c r="AD147" s="261">
        <f t="shared" si="117"/>
        <v>10520</v>
      </c>
      <c r="AE147" s="262">
        <f t="shared" si="118"/>
        <v>5796520</v>
      </c>
      <c r="AF147" s="262">
        <v>0</v>
      </c>
      <c r="AG147" s="262">
        <f t="shared" si="119"/>
        <v>5796520</v>
      </c>
      <c r="AH147" s="353">
        <f t="array" ref="AH147">MAX((IF(MNU_CODIGO_ALIMENTO_ENTREGA=CONCATENATE($C147,"_","P_"),MNU_GRAMAJE_REQUERIDO_TIPOH,"")))</f>
        <v>100</v>
      </c>
      <c r="AI147" s="259">
        <f t="shared" si="120"/>
        <v>11320</v>
      </c>
      <c r="AJ147" s="259">
        <v>0</v>
      </c>
      <c r="AK147" s="259">
        <f t="shared" si="121"/>
        <v>11320</v>
      </c>
      <c r="AL147" s="260">
        <f t="shared" si="122"/>
        <v>6237320</v>
      </c>
      <c r="AM147" s="260">
        <v>0</v>
      </c>
      <c r="AN147" s="260">
        <f t="shared" si="123"/>
        <v>6237320</v>
      </c>
      <c r="AO147" s="457">
        <f t="shared" si="124"/>
        <v>424484</v>
      </c>
      <c r="AP147" s="456">
        <f t="shared" si="125"/>
        <v>233890684</v>
      </c>
      <c r="AQ147" s="263" t="e">
        <f>#REF!+AH147+AA147+T147+M147</f>
        <v>#REF!</v>
      </c>
      <c r="AR147" s="263">
        <f t="shared" si="84"/>
        <v>234275884</v>
      </c>
      <c r="AS147" s="263" t="e">
        <f t="shared" si="85"/>
        <v>#REF!</v>
      </c>
      <c r="AT147" s="263">
        <f t="shared" si="86"/>
        <v>234700368</v>
      </c>
      <c r="AU147" s="263" t="e">
        <f t="shared" si="87"/>
        <v>#REF!</v>
      </c>
      <c r="AV147" s="263">
        <f t="shared" si="88"/>
        <v>256345852</v>
      </c>
      <c r="AW147" s="263" t="e">
        <f t="shared" si="89"/>
        <v>#REF!</v>
      </c>
      <c r="AX147" s="263" t="e">
        <f>AV147+#REF!+AH147+AA147+T147</f>
        <v>#REF!</v>
      </c>
      <c r="AY147" s="263" t="e">
        <f t="shared" si="90"/>
        <v>#REF!</v>
      </c>
      <c r="AZ147" s="263" t="e">
        <f t="shared" si="91"/>
        <v>#REF!</v>
      </c>
      <c r="BA147" s="263" t="e">
        <f t="shared" si="92"/>
        <v>#REF!</v>
      </c>
      <c r="BB147" s="263" t="e">
        <f t="shared" si="93"/>
        <v>#REF!</v>
      </c>
      <c r="BC147" s="263" t="e">
        <f t="shared" si="94"/>
        <v>#REF!</v>
      </c>
      <c r="BD147" s="263" t="e">
        <f t="shared" si="95"/>
        <v>#REF!</v>
      </c>
      <c r="BE147" s="263" t="e">
        <f>BC147+AV147+#REF!+AH147+AA147</f>
        <v>#REF!</v>
      </c>
      <c r="BF147" s="263" t="e">
        <f t="shared" si="96"/>
        <v>#REF!</v>
      </c>
      <c r="BG147" s="263" t="e">
        <f t="shared" si="97"/>
        <v>#REF!</v>
      </c>
    </row>
    <row r="148" spans="1:59" ht="15.75">
      <c r="A148" s="338">
        <v>11</v>
      </c>
      <c r="B148" s="338" t="s">
        <v>1</v>
      </c>
      <c r="C148" s="258">
        <v>33</v>
      </c>
      <c r="D148" s="328" t="s">
        <v>59</v>
      </c>
      <c r="E148" s="258" t="s">
        <v>48</v>
      </c>
      <c r="F148" s="431">
        <v>1</v>
      </c>
      <c r="G148" s="259">
        <f t="shared" si="98"/>
        <v>170667</v>
      </c>
      <c r="H148" s="259">
        <f t="shared" si="99"/>
        <v>8845</v>
      </c>
      <c r="I148" s="259">
        <f t="shared" si="100"/>
        <v>179512</v>
      </c>
      <c r="J148" s="260">
        <f t="shared" si="101"/>
        <v>48298761</v>
      </c>
      <c r="K148" s="260">
        <f t="shared" si="102"/>
        <v>2503135</v>
      </c>
      <c r="L148" s="260">
        <f t="shared" si="103"/>
        <v>50801896</v>
      </c>
      <c r="M148" s="432">
        <v>1</v>
      </c>
      <c r="N148" s="348">
        <f t="shared" si="104"/>
        <v>159498</v>
      </c>
      <c r="O148" s="348">
        <f t="shared" si="105"/>
        <v>1725</v>
      </c>
      <c r="P148" s="348">
        <f t="shared" si="106"/>
        <v>161223</v>
      </c>
      <c r="Q148" s="349">
        <f t="shared" si="107"/>
        <v>45137934</v>
      </c>
      <c r="R148" s="349">
        <f t="shared" si="108"/>
        <v>488175</v>
      </c>
      <c r="S148" s="349">
        <f t="shared" si="109"/>
        <v>45626109</v>
      </c>
      <c r="T148" s="431">
        <v>1</v>
      </c>
      <c r="U148" s="259">
        <f t="shared" si="110"/>
        <v>167526</v>
      </c>
      <c r="V148" s="259">
        <f t="shared" si="111"/>
        <v>37559</v>
      </c>
      <c r="W148" s="259">
        <f t="shared" si="112"/>
        <v>205085</v>
      </c>
      <c r="X148" s="260">
        <f t="shared" si="113"/>
        <v>47409858</v>
      </c>
      <c r="Y148" s="260">
        <f t="shared" si="114"/>
        <v>10629197</v>
      </c>
      <c r="Z148" s="260">
        <f t="shared" si="115"/>
        <v>58039055</v>
      </c>
      <c r="AA148" s="258">
        <v>1</v>
      </c>
      <c r="AB148" s="261">
        <f t="shared" si="116"/>
        <v>9468</v>
      </c>
      <c r="AC148" s="261">
        <v>0</v>
      </c>
      <c r="AD148" s="261">
        <f t="shared" si="117"/>
        <v>9468</v>
      </c>
      <c r="AE148" s="262">
        <f t="shared" si="118"/>
        <v>2679444</v>
      </c>
      <c r="AF148" s="262">
        <v>0</v>
      </c>
      <c r="AG148" s="262">
        <f t="shared" si="119"/>
        <v>2679444</v>
      </c>
      <c r="AH148" s="353">
        <v>1</v>
      </c>
      <c r="AI148" s="259">
        <f t="shared" si="120"/>
        <v>10188</v>
      </c>
      <c r="AJ148" s="259">
        <v>0</v>
      </c>
      <c r="AK148" s="259">
        <f t="shared" si="121"/>
        <v>10188</v>
      </c>
      <c r="AL148" s="260">
        <f t="shared" si="122"/>
        <v>2883204</v>
      </c>
      <c r="AM148" s="260">
        <v>0</v>
      </c>
      <c r="AN148" s="260">
        <f t="shared" si="123"/>
        <v>2883204</v>
      </c>
      <c r="AO148" s="457">
        <f t="shared" si="124"/>
        <v>565476</v>
      </c>
      <c r="AP148" s="456">
        <f t="shared" si="125"/>
        <v>160029708</v>
      </c>
      <c r="AQ148" s="263" t="e">
        <f>#REF!+AH148+AA148+T148+M148</f>
        <v>#REF!</v>
      </c>
      <c r="AR148" s="263">
        <f t="shared" si="84"/>
        <v>160376388</v>
      </c>
      <c r="AS148" s="263" t="e">
        <f t="shared" si="85"/>
        <v>#REF!</v>
      </c>
      <c r="AT148" s="263">
        <f t="shared" si="86"/>
        <v>160762352</v>
      </c>
      <c r="AU148" s="263" t="e">
        <f t="shared" si="87"/>
        <v>#REF!</v>
      </c>
      <c r="AV148" s="263">
        <f t="shared" si="88"/>
        <v>171879724</v>
      </c>
      <c r="AW148" s="263" t="e">
        <f t="shared" si="89"/>
        <v>#REF!</v>
      </c>
      <c r="AX148" s="263" t="e">
        <f>AV148+#REF!+AH148+AA148+T148</f>
        <v>#REF!</v>
      </c>
      <c r="AY148" s="263" t="e">
        <f t="shared" si="90"/>
        <v>#REF!</v>
      </c>
      <c r="AZ148" s="263" t="e">
        <f t="shared" si="91"/>
        <v>#REF!</v>
      </c>
      <c r="BA148" s="263" t="e">
        <f t="shared" si="92"/>
        <v>#REF!</v>
      </c>
      <c r="BB148" s="263" t="e">
        <f t="shared" si="93"/>
        <v>#REF!</v>
      </c>
      <c r="BC148" s="263" t="e">
        <f t="shared" si="94"/>
        <v>#REF!</v>
      </c>
      <c r="BD148" s="263" t="e">
        <f t="shared" si="95"/>
        <v>#REF!</v>
      </c>
      <c r="BE148" s="263" t="e">
        <f>BC148+AV148+#REF!+AH148+AA148</f>
        <v>#REF!</v>
      </c>
      <c r="BF148" s="263" t="e">
        <f t="shared" si="96"/>
        <v>#REF!</v>
      </c>
      <c r="BG148" s="263" t="e">
        <f t="shared" si="97"/>
        <v>#REF!</v>
      </c>
    </row>
    <row r="149" spans="1:59" ht="15.75">
      <c r="A149" s="338">
        <v>11</v>
      </c>
      <c r="B149" s="338" t="s">
        <v>1</v>
      </c>
      <c r="C149" s="258">
        <v>36</v>
      </c>
      <c r="D149" s="328" t="s">
        <v>1340</v>
      </c>
      <c r="E149" s="258" t="s">
        <v>9</v>
      </c>
      <c r="F149" s="431">
        <f t="array" ref="F149">MAX((IF(MNU_CODIGO_ALIMENTO_ENTREGA=CONCATENATE($C149,"_","P_"),MNU_GRAMAJE_REQUERIDO_TIPOA,"")))</f>
        <v>20</v>
      </c>
      <c r="G149" s="259">
        <f t="shared" si="98"/>
        <v>44247</v>
      </c>
      <c r="H149" s="259">
        <f t="shared" si="99"/>
        <v>2440</v>
      </c>
      <c r="I149" s="259">
        <f t="shared" si="100"/>
        <v>46687</v>
      </c>
      <c r="J149" s="260">
        <f t="shared" si="101"/>
        <v>5840604</v>
      </c>
      <c r="K149" s="260">
        <f t="shared" si="102"/>
        <v>322080</v>
      </c>
      <c r="L149" s="260">
        <f t="shared" si="103"/>
        <v>6162684</v>
      </c>
      <c r="M149" s="432">
        <f t="array" ref="M149">MAX((IF(MNU_CODIGO_ALIMENTO_ENTREGA=CONCATENATE($C149,"_","P_"),MNU_GRAMAJE_REQUERIDO_TIPOB,"")))</f>
        <v>40</v>
      </c>
      <c r="N149" s="348">
        <f t="shared" si="104"/>
        <v>62027</v>
      </c>
      <c r="O149" s="348">
        <f t="shared" si="105"/>
        <v>600</v>
      </c>
      <c r="P149" s="348">
        <f t="shared" si="106"/>
        <v>62627</v>
      </c>
      <c r="Q149" s="349">
        <f t="shared" si="107"/>
        <v>16437155</v>
      </c>
      <c r="R149" s="349">
        <f t="shared" si="108"/>
        <v>159000</v>
      </c>
      <c r="S149" s="349">
        <f t="shared" si="109"/>
        <v>16596155</v>
      </c>
      <c r="T149" s="353">
        <f t="array" ref="T149">MAX((IF(MNU_CODIGO_ALIMENTO_ENTREGA=CONCATENATE($C149,"_","P_"),MNU_GRAMAJE_REQUERIDO_TIPOC,"")))</f>
        <v>40</v>
      </c>
      <c r="U149" s="259">
        <f t="shared" si="110"/>
        <v>65149</v>
      </c>
      <c r="V149" s="259">
        <f t="shared" si="111"/>
        <v>13064</v>
      </c>
      <c r="W149" s="259">
        <f t="shared" si="112"/>
        <v>78213</v>
      </c>
      <c r="X149" s="260">
        <f t="shared" si="113"/>
        <v>17264485</v>
      </c>
      <c r="Y149" s="260">
        <f t="shared" si="114"/>
        <v>3461960</v>
      </c>
      <c r="Z149" s="260">
        <f t="shared" si="115"/>
        <v>20726445</v>
      </c>
      <c r="AA149" s="258">
        <f t="array" ref="AA149">MAX((IF(MNU_CODIGO_ALIMENTO_ENTREGA=CONCATENATE($C149,"_","P_"),MNU_GRAMAJE_REQUERIDO_TIPOM,"")))</f>
        <v>40</v>
      </c>
      <c r="AB149" s="261">
        <f t="shared" si="116"/>
        <v>3682</v>
      </c>
      <c r="AC149" s="261">
        <v>0</v>
      </c>
      <c r="AD149" s="261">
        <f t="shared" si="117"/>
        <v>3682</v>
      </c>
      <c r="AE149" s="262">
        <f t="shared" si="118"/>
        <v>975730</v>
      </c>
      <c r="AF149" s="262">
        <v>0</v>
      </c>
      <c r="AG149" s="262">
        <f t="shared" si="119"/>
        <v>975730</v>
      </c>
      <c r="AH149" s="353">
        <f t="array" ref="AH149">MAX((IF(MNU_CODIGO_ALIMENTO_ENTREGA=CONCATENATE($C149,"_","P_"),MNU_GRAMAJE_REQUERIDO_TIPOH,"")))</f>
        <v>40</v>
      </c>
      <c r="AI149" s="259">
        <f t="shared" si="120"/>
        <v>3962</v>
      </c>
      <c r="AJ149" s="259">
        <v>0</v>
      </c>
      <c r="AK149" s="259">
        <f t="shared" si="121"/>
        <v>3962</v>
      </c>
      <c r="AL149" s="260">
        <f t="shared" si="122"/>
        <v>1049930</v>
      </c>
      <c r="AM149" s="260">
        <v>0</v>
      </c>
      <c r="AN149" s="260">
        <f t="shared" si="123"/>
        <v>1049930</v>
      </c>
      <c r="AO149" s="457">
        <f t="shared" si="124"/>
        <v>195171</v>
      </c>
      <c r="AP149" s="456">
        <f t="shared" si="125"/>
        <v>45510944</v>
      </c>
      <c r="AQ149" s="263" t="e">
        <f>#REF!+AH149+AA149+T149+M149</f>
        <v>#REF!</v>
      </c>
      <c r="AR149" s="263">
        <f t="shared" si="84"/>
        <v>45645764</v>
      </c>
      <c r="AS149" s="263" t="e">
        <f t="shared" si="85"/>
        <v>#REF!</v>
      </c>
      <c r="AT149" s="263">
        <f t="shared" si="86"/>
        <v>45794248</v>
      </c>
      <c r="AU149" s="263" t="e">
        <f t="shared" si="87"/>
        <v>#REF!</v>
      </c>
      <c r="AV149" s="263">
        <f t="shared" si="88"/>
        <v>49415208</v>
      </c>
      <c r="AW149" s="263" t="e">
        <f t="shared" si="89"/>
        <v>#REF!</v>
      </c>
      <c r="AX149" s="263" t="e">
        <f>AV149+#REF!+AH149+AA149+T149</f>
        <v>#REF!</v>
      </c>
      <c r="AY149" s="263" t="e">
        <f t="shared" si="90"/>
        <v>#REF!</v>
      </c>
      <c r="AZ149" s="263" t="e">
        <f t="shared" si="91"/>
        <v>#REF!</v>
      </c>
      <c r="BA149" s="263" t="e">
        <f t="shared" si="92"/>
        <v>#REF!</v>
      </c>
      <c r="BB149" s="263" t="e">
        <f t="shared" si="93"/>
        <v>#REF!</v>
      </c>
      <c r="BC149" s="263" t="e">
        <f t="shared" si="94"/>
        <v>#REF!</v>
      </c>
      <c r="BD149" s="263" t="e">
        <f t="shared" si="95"/>
        <v>#REF!</v>
      </c>
      <c r="BE149" s="263" t="e">
        <f>BC149+AV149+#REF!+AH149+AA149</f>
        <v>#REF!</v>
      </c>
      <c r="BF149" s="263" t="e">
        <f t="shared" si="96"/>
        <v>#REF!</v>
      </c>
      <c r="BG149" s="263" t="e">
        <f t="shared" si="97"/>
        <v>#REF!</v>
      </c>
    </row>
    <row r="150" spans="1:59" ht="15.75">
      <c r="A150" s="338">
        <v>11</v>
      </c>
      <c r="B150" s="338" t="s">
        <v>1</v>
      </c>
      <c r="C150" s="258">
        <v>42</v>
      </c>
      <c r="D150" s="328" t="s">
        <v>61</v>
      </c>
      <c r="E150" s="258" t="s">
        <v>9</v>
      </c>
      <c r="F150" s="431">
        <f t="array" ref="F150">MAX((IF(MNU_CODIGO_ALIMENTO_ENTREGA=CONCATENATE($C150,"_","P_"),MNU_GRAMAJE_REQUERIDO_TIPOA,"")))</f>
        <v>100</v>
      </c>
      <c r="G150" s="259">
        <f t="shared" si="98"/>
        <v>145383</v>
      </c>
      <c r="H150" s="259">
        <f t="shared" si="99"/>
        <v>10980</v>
      </c>
      <c r="I150" s="259">
        <f t="shared" si="100"/>
        <v>156363</v>
      </c>
      <c r="J150" s="260">
        <f t="shared" si="101"/>
        <v>29658132</v>
      </c>
      <c r="K150" s="260">
        <f t="shared" si="102"/>
        <v>2239920</v>
      </c>
      <c r="L150" s="260">
        <f t="shared" si="103"/>
        <v>31898052</v>
      </c>
      <c r="M150" s="432">
        <f t="array" ref="M150">MAX((IF(MNU_CODIGO_ALIMENTO_ENTREGA=CONCATENATE($C150,"_","P_"),MNU_GRAMAJE_REQUERIDO_TIPOB,"")))</f>
        <v>100</v>
      </c>
      <c r="N150" s="348">
        <f t="shared" si="104"/>
        <v>168359</v>
      </c>
      <c r="O150" s="348">
        <f t="shared" si="105"/>
        <v>1425</v>
      </c>
      <c r="P150" s="348">
        <f t="shared" si="106"/>
        <v>169784</v>
      </c>
      <c r="Q150" s="349">
        <f t="shared" si="107"/>
        <v>34345236</v>
      </c>
      <c r="R150" s="349">
        <f t="shared" si="108"/>
        <v>290700</v>
      </c>
      <c r="S150" s="349">
        <f t="shared" si="109"/>
        <v>34635936</v>
      </c>
      <c r="T150" s="353">
        <f t="array" ref="T150">MAX((IF(MNU_CODIGO_ALIMENTO_ENTREGA=CONCATENATE($C150,"_","P_"),MNU_GRAMAJE_REQUERIDO_TIPOC,"")))</f>
        <v>100</v>
      </c>
      <c r="U150" s="259">
        <f t="shared" si="110"/>
        <v>176833</v>
      </c>
      <c r="V150" s="259">
        <f t="shared" si="111"/>
        <v>31027</v>
      </c>
      <c r="W150" s="259">
        <f t="shared" si="112"/>
        <v>207860</v>
      </c>
      <c r="X150" s="260">
        <f t="shared" si="113"/>
        <v>36073932</v>
      </c>
      <c r="Y150" s="260">
        <f t="shared" si="114"/>
        <v>6329508</v>
      </c>
      <c r="Z150" s="260">
        <f t="shared" si="115"/>
        <v>42403440</v>
      </c>
      <c r="AA150" s="258">
        <f t="array" ref="AA150">MAX((IF(MNU_CODIGO_ALIMENTO_ENTREGA=CONCATENATE($C150,"_","P_"),MNU_GRAMAJE_REQUERIDO_TIPOM,"")))</f>
        <v>100</v>
      </c>
      <c r="AB150" s="261">
        <f t="shared" si="116"/>
        <v>9994</v>
      </c>
      <c r="AC150" s="261">
        <v>0</v>
      </c>
      <c r="AD150" s="261">
        <f t="shared" si="117"/>
        <v>9994</v>
      </c>
      <c r="AE150" s="262">
        <f t="shared" si="118"/>
        <v>2038776</v>
      </c>
      <c r="AF150" s="262">
        <v>0</v>
      </c>
      <c r="AG150" s="262">
        <f t="shared" si="119"/>
        <v>2038776</v>
      </c>
      <c r="AH150" s="353">
        <f t="array" ref="AH150">MAX((IF(MNU_CODIGO_ALIMENTO_ENTREGA=CONCATENATE($C150,"_","P_"),MNU_GRAMAJE_REQUERIDO_TIPOH,"")))</f>
        <v>100</v>
      </c>
      <c r="AI150" s="259">
        <f t="shared" si="120"/>
        <v>10754</v>
      </c>
      <c r="AJ150" s="259">
        <v>0</v>
      </c>
      <c r="AK150" s="259">
        <f t="shared" si="121"/>
        <v>10754</v>
      </c>
      <c r="AL150" s="260">
        <f t="shared" si="122"/>
        <v>2193816</v>
      </c>
      <c r="AM150" s="260">
        <v>0</v>
      </c>
      <c r="AN150" s="260">
        <f t="shared" si="123"/>
        <v>2193816</v>
      </c>
      <c r="AO150" s="457">
        <f t="shared" si="124"/>
        <v>554755</v>
      </c>
      <c r="AP150" s="456">
        <f t="shared" si="125"/>
        <v>113170020</v>
      </c>
      <c r="AQ150" s="263" t="e">
        <f>#REF!+AH150+AA150+T150+M150</f>
        <v>#REF!</v>
      </c>
      <c r="AR150" s="263">
        <f t="shared" si="84"/>
        <v>113535960</v>
      </c>
      <c r="AS150" s="263" t="e">
        <f t="shared" si="85"/>
        <v>#REF!</v>
      </c>
      <c r="AT150" s="263">
        <f t="shared" si="86"/>
        <v>113934352</v>
      </c>
      <c r="AU150" s="263" t="e">
        <f t="shared" si="87"/>
        <v>#REF!</v>
      </c>
      <c r="AV150" s="263">
        <f t="shared" si="88"/>
        <v>120554560</v>
      </c>
      <c r="AW150" s="263" t="e">
        <f t="shared" si="89"/>
        <v>#REF!</v>
      </c>
      <c r="AX150" s="263" t="e">
        <f>AV150+#REF!+AH150+AA150+T150</f>
        <v>#REF!</v>
      </c>
      <c r="AY150" s="263" t="e">
        <f t="shared" si="90"/>
        <v>#REF!</v>
      </c>
      <c r="AZ150" s="263" t="e">
        <f t="shared" si="91"/>
        <v>#REF!</v>
      </c>
      <c r="BA150" s="263" t="e">
        <f t="shared" si="92"/>
        <v>#REF!</v>
      </c>
      <c r="BB150" s="263" t="e">
        <f t="shared" si="93"/>
        <v>#REF!</v>
      </c>
      <c r="BC150" s="263" t="e">
        <f t="shared" si="94"/>
        <v>#REF!</v>
      </c>
      <c r="BD150" s="263" t="e">
        <f t="shared" si="95"/>
        <v>#REF!</v>
      </c>
      <c r="BE150" s="263" t="e">
        <f>BC150+AV150+#REF!+AH150+AA150</f>
        <v>#REF!</v>
      </c>
      <c r="BF150" s="263" t="e">
        <f t="shared" si="96"/>
        <v>#REF!</v>
      </c>
      <c r="BG150" s="263" t="e">
        <f t="shared" si="97"/>
        <v>#REF!</v>
      </c>
    </row>
    <row r="151" spans="1:59" ht="15.75">
      <c r="A151" s="338">
        <v>11</v>
      </c>
      <c r="B151" s="338" t="s">
        <v>1</v>
      </c>
      <c r="C151" s="258">
        <v>43</v>
      </c>
      <c r="D151" s="328" t="s">
        <v>62</v>
      </c>
      <c r="E151" s="258" t="s">
        <v>9</v>
      </c>
      <c r="F151" s="431">
        <f t="array" ref="F151">MAX((IF(MNU_CODIGO_ALIMENTO_ENTREGA=CONCATENATE($C151,"_","P_"),MNU_GRAMAJE_REQUERIDO_TIPOA,"")))</f>
        <v>100</v>
      </c>
      <c r="G151" s="259">
        <f t="shared" si="98"/>
        <v>151704</v>
      </c>
      <c r="H151" s="259">
        <f t="shared" si="99"/>
        <v>8845</v>
      </c>
      <c r="I151" s="259">
        <f t="shared" si="100"/>
        <v>160549</v>
      </c>
      <c r="J151" s="260">
        <f t="shared" si="101"/>
        <v>27003312</v>
      </c>
      <c r="K151" s="260">
        <f t="shared" si="102"/>
        <v>1574410</v>
      </c>
      <c r="L151" s="260">
        <f t="shared" si="103"/>
        <v>28577722</v>
      </c>
      <c r="M151" s="432">
        <f t="array" ref="M151">MAX((IF(MNU_CODIGO_ALIMENTO_ENTREGA=CONCATENATE($C151,"_","P_"),MNU_GRAMAJE_REQUERIDO_TIPOB,"")))</f>
        <v>100</v>
      </c>
      <c r="N151" s="348">
        <f t="shared" si="104"/>
        <v>150637</v>
      </c>
      <c r="O151" s="348">
        <f t="shared" si="105"/>
        <v>1725</v>
      </c>
      <c r="P151" s="348">
        <f t="shared" si="106"/>
        <v>152362</v>
      </c>
      <c r="Q151" s="349">
        <f t="shared" si="107"/>
        <v>26813386</v>
      </c>
      <c r="R151" s="349">
        <f t="shared" si="108"/>
        <v>307050</v>
      </c>
      <c r="S151" s="349">
        <f t="shared" si="109"/>
        <v>27120436</v>
      </c>
      <c r="T151" s="353">
        <f t="array" ref="T151">MAX((IF(MNU_CODIGO_ALIMENTO_ENTREGA=CONCATENATE($C151,"_","P_"),MNU_GRAMAJE_REQUERIDO_TIPOC,"")))</f>
        <v>100</v>
      </c>
      <c r="U151" s="259">
        <f t="shared" si="110"/>
        <v>158219</v>
      </c>
      <c r="V151" s="259">
        <f t="shared" si="111"/>
        <v>37559</v>
      </c>
      <c r="W151" s="259">
        <f t="shared" si="112"/>
        <v>195778</v>
      </c>
      <c r="X151" s="260">
        <f t="shared" si="113"/>
        <v>28162982</v>
      </c>
      <c r="Y151" s="260">
        <f t="shared" si="114"/>
        <v>6685502</v>
      </c>
      <c r="Z151" s="260">
        <f t="shared" si="115"/>
        <v>34848484</v>
      </c>
      <c r="AA151" s="258">
        <f t="array" ref="AA151">MAX((IF(MNU_CODIGO_ALIMENTO_ENTREGA=CONCATENATE($C151,"_","P_"),MNU_GRAMAJE_REQUERIDO_TIPOM,"")))</f>
        <v>100</v>
      </c>
      <c r="AB151" s="261">
        <f t="shared" si="116"/>
        <v>8942</v>
      </c>
      <c r="AC151" s="261">
        <v>0</v>
      </c>
      <c r="AD151" s="261">
        <f t="shared" si="117"/>
        <v>8942</v>
      </c>
      <c r="AE151" s="262">
        <f t="shared" si="118"/>
        <v>1591676</v>
      </c>
      <c r="AF151" s="262">
        <v>0</v>
      </c>
      <c r="AG151" s="262">
        <f t="shared" si="119"/>
        <v>1591676</v>
      </c>
      <c r="AH151" s="353">
        <f t="array" ref="AH151">MAX((IF(MNU_CODIGO_ALIMENTO_ENTREGA=CONCATENATE($C151,"_","P_"),MNU_GRAMAJE_REQUERIDO_TIPOH,"")))</f>
        <v>100</v>
      </c>
      <c r="AI151" s="259">
        <f t="shared" si="120"/>
        <v>9622</v>
      </c>
      <c r="AJ151" s="259">
        <v>0</v>
      </c>
      <c r="AK151" s="259">
        <f t="shared" si="121"/>
        <v>9622</v>
      </c>
      <c r="AL151" s="260">
        <f t="shared" si="122"/>
        <v>1712716</v>
      </c>
      <c r="AM151" s="260">
        <v>0</v>
      </c>
      <c r="AN151" s="260">
        <f t="shared" si="123"/>
        <v>1712716</v>
      </c>
      <c r="AO151" s="457">
        <f t="shared" si="124"/>
        <v>527253</v>
      </c>
      <c r="AP151" s="456">
        <f t="shared" si="125"/>
        <v>93851034</v>
      </c>
      <c r="AQ151" s="263" t="e">
        <f>#REF!+AH151+AA151+T151+M151</f>
        <v>#REF!</v>
      </c>
      <c r="AR151" s="263">
        <f t="shared" si="84"/>
        <v>94178454</v>
      </c>
      <c r="AS151" s="263" t="e">
        <f t="shared" si="85"/>
        <v>#REF!</v>
      </c>
      <c r="AT151" s="263">
        <f t="shared" si="86"/>
        <v>94545158</v>
      </c>
      <c r="AU151" s="263" t="e">
        <f t="shared" si="87"/>
        <v>#REF!</v>
      </c>
      <c r="AV151" s="263">
        <f t="shared" si="88"/>
        <v>101537710</v>
      </c>
      <c r="AW151" s="263" t="e">
        <f t="shared" si="89"/>
        <v>#REF!</v>
      </c>
      <c r="AX151" s="263" t="e">
        <f>AV151+#REF!+AH151+AA151+T151</f>
        <v>#REF!</v>
      </c>
      <c r="AY151" s="263" t="e">
        <f t="shared" si="90"/>
        <v>#REF!</v>
      </c>
      <c r="AZ151" s="263" t="e">
        <f t="shared" si="91"/>
        <v>#REF!</v>
      </c>
      <c r="BA151" s="263" t="e">
        <f t="shared" si="92"/>
        <v>#REF!</v>
      </c>
      <c r="BB151" s="263" t="e">
        <f t="shared" si="93"/>
        <v>#REF!</v>
      </c>
      <c r="BC151" s="263" t="e">
        <f t="shared" si="94"/>
        <v>#REF!</v>
      </c>
      <c r="BD151" s="263" t="e">
        <f t="shared" si="95"/>
        <v>#REF!</v>
      </c>
      <c r="BE151" s="263" t="e">
        <f>BC151+AV151+#REF!+AH151+AA151</f>
        <v>#REF!</v>
      </c>
      <c r="BF151" s="263" t="e">
        <f t="shared" si="96"/>
        <v>#REF!</v>
      </c>
      <c r="BG151" s="263" t="e">
        <f t="shared" si="97"/>
        <v>#REF!</v>
      </c>
    </row>
    <row r="152" spans="1:59" ht="15.75">
      <c r="A152" s="338">
        <v>11</v>
      </c>
      <c r="B152" s="338" t="s">
        <v>1</v>
      </c>
      <c r="C152" s="258">
        <v>46</v>
      </c>
      <c r="D152" s="328" t="s">
        <v>64</v>
      </c>
      <c r="E152" s="258" t="s">
        <v>9</v>
      </c>
      <c r="F152" s="431">
        <f t="array" ref="F152">MAX((IF(MNU_CODIGO_ALIMENTO_ENTREGA=CONCATENATE($C152,"_","P_"),MNU_GRAMAJE_REQUERIDO_TIPOA,"")))</f>
        <v>100</v>
      </c>
      <c r="G152" s="259">
        <f t="shared" si="98"/>
        <v>189630</v>
      </c>
      <c r="H152" s="259">
        <f t="shared" si="99"/>
        <v>8845</v>
      </c>
      <c r="I152" s="259">
        <f t="shared" si="100"/>
        <v>198475</v>
      </c>
      <c r="J152" s="260">
        <f t="shared" si="101"/>
        <v>79265340</v>
      </c>
      <c r="K152" s="260">
        <f t="shared" si="102"/>
        <v>3697210</v>
      </c>
      <c r="L152" s="260">
        <f t="shared" si="103"/>
        <v>82962550</v>
      </c>
      <c r="M152" s="432">
        <f t="array" ref="M152">MAX((IF(MNU_CODIGO_ALIMENTO_ENTREGA=CONCATENATE($C152,"_","P_"),MNU_GRAMAJE_REQUERIDO_TIPOB,"")))</f>
        <v>100</v>
      </c>
      <c r="N152" s="348">
        <f t="shared" si="104"/>
        <v>186081</v>
      </c>
      <c r="O152" s="348">
        <f t="shared" si="105"/>
        <v>1800</v>
      </c>
      <c r="P152" s="348">
        <f t="shared" si="106"/>
        <v>187881</v>
      </c>
      <c r="Q152" s="349">
        <f t="shared" si="107"/>
        <v>77781858</v>
      </c>
      <c r="R152" s="349">
        <f t="shared" si="108"/>
        <v>752400</v>
      </c>
      <c r="S152" s="349">
        <f t="shared" si="109"/>
        <v>78534258</v>
      </c>
      <c r="T152" s="353">
        <f t="array" ref="T152">MAX((IF(MNU_CODIGO_ALIMENTO_ENTREGA=CONCATENATE($C152,"_","P_"),MNU_GRAMAJE_REQUERIDO_TIPOC,"")))</f>
        <v>100</v>
      </c>
      <c r="U152" s="259">
        <f t="shared" si="110"/>
        <v>195447</v>
      </c>
      <c r="V152" s="259">
        <f t="shared" si="111"/>
        <v>39192</v>
      </c>
      <c r="W152" s="259">
        <f t="shared" si="112"/>
        <v>234639</v>
      </c>
      <c r="X152" s="260">
        <f t="shared" si="113"/>
        <v>81696846</v>
      </c>
      <c r="Y152" s="260">
        <f t="shared" si="114"/>
        <v>16382256</v>
      </c>
      <c r="Z152" s="260">
        <f t="shared" si="115"/>
        <v>98079102</v>
      </c>
      <c r="AA152" s="258">
        <f t="array" ref="AA152">MAX((IF(MNU_CODIGO_ALIMENTO_ENTREGA=CONCATENATE($C152,"_","P_"),MNU_GRAMAJE_REQUERIDO_TIPOM,"")))</f>
        <v>100</v>
      </c>
      <c r="AB152" s="261">
        <f t="shared" si="116"/>
        <v>11046</v>
      </c>
      <c r="AC152" s="261">
        <v>0</v>
      </c>
      <c r="AD152" s="261">
        <f t="shared" si="117"/>
        <v>11046</v>
      </c>
      <c r="AE152" s="262">
        <f t="shared" si="118"/>
        <v>4617228</v>
      </c>
      <c r="AF152" s="262">
        <v>0</v>
      </c>
      <c r="AG152" s="262">
        <f t="shared" si="119"/>
        <v>4617228</v>
      </c>
      <c r="AH152" s="353">
        <f t="array" ref="AH152">MAX((IF(MNU_CODIGO_ALIMENTO_ENTREGA=CONCATENATE($C152,"_","P_"),MNU_GRAMAJE_REQUERIDO_TIPOH,"")))</f>
        <v>100</v>
      </c>
      <c r="AI152" s="259">
        <f t="shared" si="120"/>
        <v>11886</v>
      </c>
      <c r="AJ152" s="259">
        <v>0</v>
      </c>
      <c r="AK152" s="259">
        <f t="shared" si="121"/>
        <v>11886</v>
      </c>
      <c r="AL152" s="260">
        <f t="shared" si="122"/>
        <v>4968348</v>
      </c>
      <c r="AM152" s="260">
        <v>0</v>
      </c>
      <c r="AN152" s="260">
        <f t="shared" si="123"/>
        <v>4968348</v>
      </c>
      <c r="AO152" s="457">
        <f t="shared" si="124"/>
        <v>643927</v>
      </c>
      <c r="AP152" s="456">
        <f t="shared" si="125"/>
        <v>269161486</v>
      </c>
      <c r="AQ152" s="263" t="e">
        <f>#REF!+AH152+AA152+T152+M152</f>
        <v>#REF!</v>
      </c>
      <c r="AR152" s="263">
        <f t="shared" si="84"/>
        <v>269565946</v>
      </c>
      <c r="AS152" s="263" t="e">
        <f t="shared" si="85"/>
        <v>#REF!</v>
      </c>
      <c r="AT152" s="263">
        <f t="shared" si="86"/>
        <v>270011398</v>
      </c>
      <c r="AU152" s="263" t="e">
        <f t="shared" si="87"/>
        <v>#REF!</v>
      </c>
      <c r="AV152" s="263">
        <f t="shared" si="88"/>
        <v>287146054</v>
      </c>
      <c r="AW152" s="263" t="e">
        <f t="shared" si="89"/>
        <v>#REF!</v>
      </c>
      <c r="AX152" s="263" t="e">
        <f>AV152+#REF!+AH152+AA152+T152</f>
        <v>#REF!</v>
      </c>
      <c r="AY152" s="263" t="e">
        <f t="shared" si="90"/>
        <v>#REF!</v>
      </c>
      <c r="AZ152" s="263" t="e">
        <f t="shared" si="91"/>
        <v>#REF!</v>
      </c>
      <c r="BA152" s="263" t="e">
        <f t="shared" si="92"/>
        <v>#REF!</v>
      </c>
      <c r="BB152" s="263" t="e">
        <f t="shared" si="93"/>
        <v>#REF!</v>
      </c>
      <c r="BC152" s="263" t="e">
        <f t="shared" si="94"/>
        <v>#REF!</v>
      </c>
      <c r="BD152" s="263" t="e">
        <f t="shared" si="95"/>
        <v>#REF!</v>
      </c>
      <c r="BE152" s="263" t="e">
        <f>BC152+AV152+#REF!+AH152+AA152</f>
        <v>#REF!</v>
      </c>
      <c r="BF152" s="263" t="e">
        <f t="shared" si="96"/>
        <v>#REF!</v>
      </c>
      <c r="BG152" s="263" t="e">
        <f t="shared" si="97"/>
        <v>#REF!</v>
      </c>
    </row>
    <row r="153" spans="1:59" ht="15.75">
      <c r="A153" s="338">
        <v>11</v>
      </c>
      <c r="B153" s="338" t="s">
        <v>1</v>
      </c>
      <c r="C153" s="258">
        <v>58</v>
      </c>
      <c r="D153" s="328" t="s">
        <v>67</v>
      </c>
      <c r="E153" s="258" t="s">
        <v>9</v>
      </c>
      <c r="F153" s="431">
        <f t="array" ref="F153">MAX((IF(MNU_CODIGO_ALIMENTO_ENTREGA=CONCATENATE($C153,"_","P_"),MNU_GRAMAJE_REQUERIDO_TIPOA,"")))</f>
        <v>100</v>
      </c>
      <c r="G153" s="259">
        <f t="shared" si="98"/>
        <v>151704</v>
      </c>
      <c r="H153" s="259">
        <f t="shared" si="99"/>
        <v>8540</v>
      </c>
      <c r="I153" s="259">
        <f t="shared" si="100"/>
        <v>160244</v>
      </c>
      <c r="J153" s="260">
        <f t="shared" si="101"/>
        <v>24576048</v>
      </c>
      <c r="K153" s="260">
        <f t="shared" si="102"/>
        <v>1383480</v>
      </c>
      <c r="L153" s="260">
        <f t="shared" si="103"/>
        <v>25959528</v>
      </c>
      <c r="M153" s="432">
        <f t="array" ref="M153">MAX((IF(MNU_CODIGO_ALIMENTO_ENTREGA=CONCATENATE($C153,"_","P_"),MNU_GRAMAJE_REQUERIDO_TIPOB,"")))</f>
        <v>100</v>
      </c>
      <c r="N153" s="348">
        <f t="shared" si="104"/>
        <v>203803</v>
      </c>
      <c r="O153" s="348">
        <f t="shared" si="105"/>
        <v>1725</v>
      </c>
      <c r="P153" s="348">
        <f t="shared" si="106"/>
        <v>205528</v>
      </c>
      <c r="Q153" s="349">
        <f t="shared" si="107"/>
        <v>33016086</v>
      </c>
      <c r="R153" s="349">
        <f t="shared" si="108"/>
        <v>279450</v>
      </c>
      <c r="S153" s="349">
        <f t="shared" si="109"/>
        <v>33295536</v>
      </c>
      <c r="T153" s="353">
        <f t="array" ref="T153">MAX((IF(MNU_CODIGO_ALIMENTO_ENTREGA=CONCATENATE($C153,"_","P_"),MNU_GRAMAJE_REQUERIDO_TIPOC,"")))</f>
        <v>100</v>
      </c>
      <c r="U153" s="259">
        <f t="shared" si="110"/>
        <v>214061</v>
      </c>
      <c r="V153" s="259">
        <f t="shared" si="111"/>
        <v>37559</v>
      </c>
      <c r="W153" s="259">
        <f t="shared" si="112"/>
        <v>251620</v>
      </c>
      <c r="X153" s="260">
        <f t="shared" si="113"/>
        <v>34677882</v>
      </c>
      <c r="Y153" s="260">
        <f t="shared" si="114"/>
        <v>6084558</v>
      </c>
      <c r="Z153" s="260">
        <f t="shared" si="115"/>
        <v>40762440</v>
      </c>
      <c r="AA153" s="258">
        <f t="array" ref="AA153">MAX((IF(MNU_CODIGO_ALIMENTO_ENTREGA=CONCATENATE($C153,"_","P_"),MNU_GRAMAJE_REQUERIDO_TIPOM,"")))</f>
        <v>100</v>
      </c>
      <c r="AB153" s="261">
        <f t="shared" si="116"/>
        <v>12098</v>
      </c>
      <c r="AC153" s="261">
        <v>0</v>
      </c>
      <c r="AD153" s="261">
        <f t="shared" si="117"/>
        <v>12098</v>
      </c>
      <c r="AE153" s="262">
        <f t="shared" si="118"/>
        <v>1959876</v>
      </c>
      <c r="AF153" s="262">
        <v>0</v>
      </c>
      <c r="AG153" s="262">
        <f t="shared" si="119"/>
        <v>1959876</v>
      </c>
      <c r="AH153" s="353">
        <f t="array" ref="AH153">MAX((IF(MNU_CODIGO_ALIMENTO_ENTREGA=CONCATENATE($C153,"_","P_"),MNU_GRAMAJE_REQUERIDO_TIPOH,"")))</f>
        <v>100</v>
      </c>
      <c r="AI153" s="259">
        <f t="shared" si="120"/>
        <v>13018</v>
      </c>
      <c r="AJ153" s="259">
        <v>0</v>
      </c>
      <c r="AK153" s="259">
        <f t="shared" si="121"/>
        <v>13018</v>
      </c>
      <c r="AL153" s="260">
        <f t="shared" si="122"/>
        <v>2108916</v>
      </c>
      <c r="AM153" s="260">
        <v>0</v>
      </c>
      <c r="AN153" s="260">
        <f t="shared" si="123"/>
        <v>2108916</v>
      </c>
      <c r="AO153" s="457">
        <f t="shared" si="124"/>
        <v>642508</v>
      </c>
      <c r="AP153" s="456">
        <f t="shared" si="125"/>
        <v>104086296</v>
      </c>
      <c r="AQ153" s="263" t="e">
        <f>#REF!+AH153+AA153+T153+M153</f>
        <v>#REF!</v>
      </c>
      <c r="AR153" s="263">
        <f t="shared" si="84"/>
        <v>104529276</v>
      </c>
      <c r="AS153" s="263" t="e">
        <f t="shared" si="85"/>
        <v>#REF!</v>
      </c>
      <c r="AT153" s="263">
        <f t="shared" si="86"/>
        <v>105011540</v>
      </c>
      <c r="AU153" s="263" t="e">
        <f t="shared" si="87"/>
        <v>#REF!</v>
      </c>
      <c r="AV153" s="263">
        <f t="shared" si="88"/>
        <v>111375548</v>
      </c>
      <c r="AW153" s="263" t="e">
        <f t="shared" si="89"/>
        <v>#REF!</v>
      </c>
      <c r="AX153" s="263" t="e">
        <f>AV153+#REF!+AH153+AA153+T153</f>
        <v>#REF!</v>
      </c>
      <c r="AY153" s="263" t="e">
        <f t="shared" si="90"/>
        <v>#REF!</v>
      </c>
      <c r="AZ153" s="263" t="e">
        <f t="shared" si="91"/>
        <v>#REF!</v>
      </c>
      <c r="BA153" s="263" t="e">
        <f t="shared" si="92"/>
        <v>#REF!</v>
      </c>
      <c r="BB153" s="263" t="e">
        <f t="shared" si="93"/>
        <v>#REF!</v>
      </c>
      <c r="BC153" s="263" t="e">
        <f t="shared" si="94"/>
        <v>#REF!</v>
      </c>
      <c r="BD153" s="263" t="e">
        <f t="shared" si="95"/>
        <v>#REF!</v>
      </c>
      <c r="BE153" s="263" t="e">
        <f>BC153+AV153+#REF!+AH153+AA153</f>
        <v>#REF!</v>
      </c>
      <c r="BF153" s="263" t="e">
        <f t="shared" si="96"/>
        <v>#REF!</v>
      </c>
      <c r="BG153" s="263" t="e">
        <f t="shared" si="97"/>
        <v>#REF!</v>
      </c>
    </row>
    <row r="154" spans="1:59" ht="15.75">
      <c r="A154" s="338">
        <v>11</v>
      </c>
      <c r="B154" s="338" t="s">
        <v>1</v>
      </c>
      <c r="C154" s="258">
        <v>59</v>
      </c>
      <c r="D154" s="328" t="s">
        <v>99</v>
      </c>
      <c r="E154" s="258" t="s">
        <v>9</v>
      </c>
      <c r="F154" s="431">
        <f t="array" ref="F154">MAX((IF(MNU_CODIGO_ALIMENTO_ENTREGA=CONCATENATE($C154,"_","P_"),MNU_GRAMAJE_REQUERIDO_TIPOA,"")))</f>
        <v>0</v>
      </c>
      <c r="G154" s="259">
        <f t="shared" si="98"/>
        <v>0</v>
      </c>
      <c r="H154" s="259">
        <f t="shared" si="99"/>
        <v>0</v>
      </c>
      <c r="I154" s="259">
        <f t="shared" si="100"/>
        <v>0</v>
      </c>
      <c r="J154" s="260">
        <f t="shared" si="101"/>
        <v>0</v>
      </c>
      <c r="K154" s="260">
        <f t="shared" si="102"/>
        <v>0</v>
      </c>
      <c r="L154" s="260">
        <f t="shared" si="103"/>
        <v>0</v>
      </c>
      <c r="M154" s="432">
        <f t="array" ref="M154">MAX((IF(MNU_CODIGO_ALIMENTO_ENTREGA=CONCATENATE($C154,"_","P_"),MNU_GRAMAJE_REQUERIDO_TIPOB,"")))</f>
        <v>100</v>
      </c>
      <c r="N154" s="348">
        <f t="shared" si="104"/>
        <v>70888</v>
      </c>
      <c r="O154" s="348">
        <f t="shared" si="105"/>
        <v>825</v>
      </c>
      <c r="P154" s="348">
        <f t="shared" si="106"/>
        <v>71713</v>
      </c>
      <c r="Q154" s="349">
        <f t="shared" si="107"/>
        <v>21266400</v>
      </c>
      <c r="R154" s="349">
        <f t="shared" si="108"/>
        <v>247500</v>
      </c>
      <c r="S154" s="349">
        <f t="shared" si="109"/>
        <v>21513900</v>
      </c>
      <c r="T154" s="353">
        <f t="array" ref="T154">MAX((IF(MNU_CODIGO_ALIMENTO_ENTREGA=CONCATENATE($C154,"_","P_"),MNU_GRAMAJE_REQUERIDO_TIPOC,"")))</f>
        <v>100</v>
      </c>
      <c r="U154" s="259">
        <f t="shared" si="110"/>
        <v>74456</v>
      </c>
      <c r="V154" s="259">
        <f t="shared" si="111"/>
        <v>17963</v>
      </c>
      <c r="W154" s="259">
        <f t="shared" si="112"/>
        <v>92419</v>
      </c>
      <c r="X154" s="260">
        <f t="shared" si="113"/>
        <v>22336800</v>
      </c>
      <c r="Y154" s="260">
        <f t="shared" si="114"/>
        <v>5388900</v>
      </c>
      <c r="Z154" s="260">
        <f t="shared" si="115"/>
        <v>27725700</v>
      </c>
      <c r="AA154" s="258">
        <f t="array" ref="AA154">MAX((IF(MNU_CODIGO_ALIMENTO_ENTREGA=CONCATENATE($C154,"_","P_"),MNU_GRAMAJE_REQUERIDO_TIPOM,"")))</f>
        <v>100</v>
      </c>
      <c r="AB154" s="261">
        <f t="shared" si="116"/>
        <v>4208</v>
      </c>
      <c r="AC154" s="261">
        <v>0</v>
      </c>
      <c r="AD154" s="261">
        <f t="shared" si="117"/>
        <v>4208</v>
      </c>
      <c r="AE154" s="262">
        <f t="shared" si="118"/>
        <v>1262400</v>
      </c>
      <c r="AF154" s="262">
        <v>0</v>
      </c>
      <c r="AG154" s="262">
        <f t="shared" si="119"/>
        <v>1262400</v>
      </c>
      <c r="AH154" s="353">
        <f t="array" ref="AH154">MAX((IF(MNU_CODIGO_ALIMENTO_ENTREGA=CONCATENATE($C154,"_","P_"),MNU_GRAMAJE_REQUERIDO_TIPOH,"")))</f>
        <v>100</v>
      </c>
      <c r="AI154" s="259">
        <f t="shared" si="120"/>
        <v>4528</v>
      </c>
      <c r="AJ154" s="259">
        <v>0</v>
      </c>
      <c r="AK154" s="259">
        <f t="shared" si="121"/>
        <v>4528</v>
      </c>
      <c r="AL154" s="260">
        <f t="shared" si="122"/>
        <v>1358400</v>
      </c>
      <c r="AM154" s="260">
        <v>0</v>
      </c>
      <c r="AN154" s="260">
        <f t="shared" si="123"/>
        <v>1358400</v>
      </c>
      <c r="AO154" s="457">
        <f t="shared" si="124"/>
        <v>172868</v>
      </c>
      <c r="AP154" s="456">
        <f t="shared" si="125"/>
        <v>51860400</v>
      </c>
      <c r="AQ154" s="263" t="e">
        <f>#REF!+AH154+AA154+T154+M154</f>
        <v>#REF!</v>
      </c>
      <c r="AR154" s="263">
        <f t="shared" si="84"/>
        <v>52014480</v>
      </c>
      <c r="AS154" s="263" t="e">
        <f t="shared" si="85"/>
        <v>#REF!</v>
      </c>
      <c r="AT154" s="263">
        <f t="shared" si="86"/>
        <v>52187348</v>
      </c>
      <c r="AU154" s="263" t="e">
        <f t="shared" si="87"/>
        <v>#REF!</v>
      </c>
      <c r="AV154" s="263">
        <f t="shared" si="88"/>
        <v>57823748</v>
      </c>
      <c r="AW154" s="263" t="e">
        <f t="shared" si="89"/>
        <v>#REF!</v>
      </c>
      <c r="AX154" s="263" t="e">
        <f>AV154+#REF!+AH154+AA154+T154</f>
        <v>#REF!</v>
      </c>
      <c r="AY154" s="263" t="e">
        <f t="shared" si="90"/>
        <v>#REF!</v>
      </c>
      <c r="AZ154" s="263" t="e">
        <f t="shared" si="91"/>
        <v>#REF!</v>
      </c>
      <c r="BA154" s="263" t="e">
        <f t="shared" si="92"/>
        <v>#REF!</v>
      </c>
      <c r="BB154" s="263" t="e">
        <f t="shared" si="93"/>
        <v>#REF!</v>
      </c>
      <c r="BC154" s="263" t="e">
        <f t="shared" si="94"/>
        <v>#REF!</v>
      </c>
      <c r="BD154" s="263" t="e">
        <f t="shared" si="95"/>
        <v>#REF!</v>
      </c>
      <c r="BE154" s="263" t="e">
        <f>BC154+AV154+#REF!+AH154+AA154</f>
        <v>#REF!</v>
      </c>
      <c r="BF154" s="263" t="e">
        <f t="shared" si="96"/>
        <v>#REF!</v>
      </c>
      <c r="BG154" s="263" t="e">
        <f t="shared" si="97"/>
        <v>#REF!</v>
      </c>
    </row>
    <row r="155" spans="1:59" ht="15.75">
      <c r="A155" s="338">
        <v>11</v>
      </c>
      <c r="B155" s="338" t="s">
        <v>1</v>
      </c>
      <c r="C155" s="258">
        <v>69</v>
      </c>
      <c r="D155" s="328" t="s">
        <v>70</v>
      </c>
      <c r="E155" s="258" t="s">
        <v>9</v>
      </c>
      <c r="F155" s="431">
        <f t="array" ref="F155">MAX((IF(MNU_CODIGO_ALIMENTO_ENTREGA=CONCATENATE($C155,"_","P_"),MNU_GRAMAJE_REQUERIDO_TIPOA,"")))</f>
        <v>100</v>
      </c>
      <c r="G155" s="259">
        <f t="shared" si="98"/>
        <v>189630</v>
      </c>
      <c r="H155" s="259">
        <f t="shared" si="99"/>
        <v>5490</v>
      </c>
      <c r="I155" s="259">
        <f t="shared" si="100"/>
        <v>195120</v>
      </c>
      <c r="J155" s="260">
        <f t="shared" si="101"/>
        <v>60681600</v>
      </c>
      <c r="K155" s="260">
        <f t="shared" si="102"/>
        <v>1756800</v>
      </c>
      <c r="L155" s="260">
        <f t="shared" si="103"/>
        <v>62438400</v>
      </c>
      <c r="M155" s="432">
        <f t="array" ref="M155">MAX((IF(MNU_CODIGO_ALIMENTO_ENTREGA=CONCATENATE($C155,"_","P_"),MNU_GRAMAJE_REQUERIDO_TIPOB,"")))</f>
        <v>100</v>
      </c>
      <c r="N155" s="348">
        <f t="shared" si="104"/>
        <v>141776</v>
      </c>
      <c r="O155" s="348">
        <f t="shared" si="105"/>
        <v>900</v>
      </c>
      <c r="P155" s="348">
        <f t="shared" si="106"/>
        <v>142676</v>
      </c>
      <c r="Q155" s="349">
        <f t="shared" si="107"/>
        <v>45368320</v>
      </c>
      <c r="R155" s="349">
        <f t="shared" si="108"/>
        <v>288000</v>
      </c>
      <c r="S155" s="349">
        <f t="shared" si="109"/>
        <v>45656320</v>
      </c>
      <c r="T155" s="353">
        <f t="array" ref="T155">MAX((IF(MNU_CODIGO_ALIMENTO_ENTREGA=CONCATENATE($C155,"_","P_"),MNU_GRAMAJE_REQUERIDO_TIPOC,"")))</f>
        <v>100</v>
      </c>
      <c r="U155" s="259">
        <f t="shared" si="110"/>
        <v>148912</v>
      </c>
      <c r="V155" s="259">
        <f t="shared" si="111"/>
        <v>19596</v>
      </c>
      <c r="W155" s="259">
        <f t="shared" si="112"/>
        <v>168508</v>
      </c>
      <c r="X155" s="260">
        <f t="shared" si="113"/>
        <v>47651840</v>
      </c>
      <c r="Y155" s="260">
        <f t="shared" si="114"/>
        <v>6270720</v>
      </c>
      <c r="Z155" s="260">
        <f t="shared" si="115"/>
        <v>53922560</v>
      </c>
      <c r="AA155" s="258">
        <f t="array" ref="AA155">MAX((IF(MNU_CODIGO_ALIMENTO_ENTREGA=CONCATENATE($C155,"_","P_"),MNU_GRAMAJE_REQUERIDO_TIPOM,"")))</f>
        <v>100</v>
      </c>
      <c r="AB155" s="261">
        <f t="shared" si="116"/>
        <v>8416</v>
      </c>
      <c r="AC155" s="261">
        <v>0</v>
      </c>
      <c r="AD155" s="261">
        <f t="shared" si="117"/>
        <v>8416</v>
      </c>
      <c r="AE155" s="262">
        <f t="shared" si="118"/>
        <v>2693120</v>
      </c>
      <c r="AF155" s="262">
        <v>0</v>
      </c>
      <c r="AG155" s="262">
        <f t="shared" si="119"/>
        <v>2693120</v>
      </c>
      <c r="AH155" s="353">
        <f t="array" ref="AH155">MAX((IF(MNU_CODIGO_ALIMENTO_ENTREGA=CONCATENATE($C155,"_","P_"),MNU_GRAMAJE_REQUERIDO_TIPOH,"")))</f>
        <v>100</v>
      </c>
      <c r="AI155" s="259">
        <f t="shared" si="120"/>
        <v>9056</v>
      </c>
      <c r="AJ155" s="259">
        <v>0</v>
      </c>
      <c r="AK155" s="259">
        <f t="shared" si="121"/>
        <v>9056</v>
      </c>
      <c r="AL155" s="260">
        <f t="shared" si="122"/>
        <v>2897920</v>
      </c>
      <c r="AM155" s="260">
        <v>0</v>
      </c>
      <c r="AN155" s="260">
        <f t="shared" si="123"/>
        <v>2897920</v>
      </c>
      <c r="AO155" s="457">
        <f t="shared" si="124"/>
        <v>523776</v>
      </c>
      <c r="AP155" s="456">
        <f t="shared" si="125"/>
        <v>167608320</v>
      </c>
      <c r="AQ155" s="263" t="e">
        <f>#REF!+AH155+AA155+T155+M155</f>
        <v>#REF!</v>
      </c>
      <c r="AR155" s="263">
        <f t="shared" si="84"/>
        <v>167916480</v>
      </c>
      <c r="AS155" s="263" t="e">
        <f t="shared" si="85"/>
        <v>#REF!</v>
      </c>
      <c r="AT155" s="263">
        <f t="shared" si="86"/>
        <v>168245136</v>
      </c>
      <c r="AU155" s="263" t="e">
        <f t="shared" si="87"/>
        <v>#REF!</v>
      </c>
      <c r="AV155" s="263">
        <f t="shared" si="88"/>
        <v>174803856</v>
      </c>
      <c r="AW155" s="263" t="e">
        <f t="shared" si="89"/>
        <v>#REF!</v>
      </c>
      <c r="AX155" s="263" t="e">
        <f>AV155+#REF!+AH155+AA155+T155</f>
        <v>#REF!</v>
      </c>
      <c r="AY155" s="263" t="e">
        <f t="shared" si="90"/>
        <v>#REF!</v>
      </c>
      <c r="AZ155" s="263" t="e">
        <f t="shared" si="91"/>
        <v>#REF!</v>
      </c>
      <c r="BA155" s="263" t="e">
        <f t="shared" si="92"/>
        <v>#REF!</v>
      </c>
      <c r="BB155" s="263" t="e">
        <f t="shared" si="93"/>
        <v>#REF!</v>
      </c>
      <c r="BC155" s="263" t="e">
        <f t="shared" si="94"/>
        <v>#REF!</v>
      </c>
      <c r="BD155" s="263" t="e">
        <f t="shared" si="95"/>
        <v>#REF!</v>
      </c>
      <c r="BE155" s="263" t="e">
        <f>BC155+AV155+#REF!+AH155+AA155</f>
        <v>#REF!</v>
      </c>
      <c r="BF155" s="263" t="e">
        <f t="shared" si="96"/>
        <v>#REF!</v>
      </c>
      <c r="BG155" s="263" t="e">
        <f t="shared" si="97"/>
        <v>#REF!</v>
      </c>
    </row>
    <row r="156" spans="1:59" ht="15.75">
      <c r="A156" s="338">
        <v>11</v>
      </c>
      <c r="B156" s="338" t="s">
        <v>1</v>
      </c>
      <c r="C156" s="258">
        <v>70</v>
      </c>
      <c r="D156" s="328" t="s">
        <v>71</v>
      </c>
      <c r="E156" s="258" t="s">
        <v>9</v>
      </c>
      <c r="F156" s="431">
        <f t="array" ref="F156">MAX((IF(MNU_CODIGO_ALIMENTO_ENTREGA=CONCATENATE($C156,"_","P_"),MNU_GRAMAJE_REQUERIDO_TIPOA,"")))</f>
        <v>0</v>
      </c>
      <c r="G156" s="259">
        <f t="shared" si="98"/>
        <v>0</v>
      </c>
      <c r="H156" s="259">
        <f t="shared" si="99"/>
        <v>0</v>
      </c>
      <c r="I156" s="259">
        <f t="shared" si="100"/>
        <v>0</v>
      </c>
      <c r="J156" s="260">
        <f t="shared" si="101"/>
        <v>0</v>
      </c>
      <c r="K156" s="260">
        <f t="shared" si="102"/>
        <v>0</v>
      </c>
      <c r="L156" s="260">
        <f t="shared" si="103"/>
        <v>0</v>
      </c>
      <c r="M156" s="432">
        <f t="array" ref="M156">MAX((IF(MNU_CODIGO_ALIMENTO_ENTREGA=CONCATENATE($C156,"_","P_"),MNU_GRAMAJE_REQUERIDO_TIPOB,"")))</f>
        <v>100</v>
      </c>
      <c r="N156" s="348">
        <f t="shared" si="104"/>
        <v>88610</v>
      </c>
      <c r="O156" s="348">
        <f t="shared" si="105"/>
        <v>600</v>
      </c>
      <c r="P156" s="348">
        <f t="shared" si="106"/>
        <v>89210</v>
      </c>
      <c r="Q156" s="349">
        <f t="shared" si="107"/>
        <v>40406160</v>
      </c>
      <c r="R156" s="349">
        <f t="shared" si="108"/>
        <v>273600</v>
      </c>
      <c r="S156" s="349">
        <f t="shared" si="109"/>
        <v>40679760</v>
      </c>
      <c r="T156" s="353">
        <f t="array" ref="T156">MAX((IF(MNU_CODIGO_ALIMENTO_ENTREGA=CONCATENATE($C156,"_","P_"),MNU_GRAMAJE_REQUERIDO_TIPOC,"")))</f>
        <v>100</v>
      </c>
      <c r="U156" s="259">
        <f t="shared" si="110"/>
        <v>93070</v>
      </c>
      <c r="V156" s="259">
        <f t="shared" si="111"/>
        <v>13064</v>
      </c>
      <c r="W156" s="259">
        <f t="shared" si="112"/>
        <v>106134</v>
      </c>
      <c r="X156" s="260">
        <f t="shared" si="113"/>
        <v>42439920</v>
      </c>
      <c r="Y156" s="260">
        <f t="shared" si="114"/>
        <v>5957184</v>
      </c>
      <c r="Z156" s="260">
        <f t="shared" si="115"/>
        <v>48397104</v>
      </c>
      <c r="AA156" s="258">
        <f t="array" ref="AA156">MAX((IF(MNU_CODIGO_ALIMENTO_ENTREGA=CONCATENATE($C156,"_","P_"),MNU_GRAMAJE_REQUERIDO_TIPOM,"")))</f>
        <v>100</v>
      </c>
      <c r="AB156" s="261">
        <f t="shared" si="116"/>
        <v>5260</v>
      </c>
      <c r="AC156" s="261">
        <v>0</v>
      </c>
      <c r="AD156" s="261">
        <f t="shared" si="117"/>
        <v>5260</v>
      </c>
      <c r="AE156" s="262">
        <f t="shared" si="118"/>
        <v>2398560</v>
      </c>
      <c r="AF156" s="262">
        <v>0</v>
      </c>
      <c r="AG156" s="262">
        <f t="shared" si="119"/>
        <v>2398560</v>
      </c>
      <c r="AH156" s="353">
        <f t="array" ref="AH156">MAX((IF(MNU_CODIGO_ALIMENTO_ENTREGA=CONCATENATE($C156,"_","P_"),MNU_GRAMAJE_REQUERIDO_TIPOH,"")))</f>
        <v>100</v>
      </c>
      <c r="AI156" s="259">
        <f t="shared" si="120"/>
        <v>5660</v>
      </c>
      <c r="AJ156" s="259">
        <v>0</v>
      </c>
      <c r="AK156" s="259">
        <f t="shared" si="121"/>
        <v>5660</v>
      </c>
      <c r="AL156" s="260">
        <f t="shared" si="122"/>
        <v>2580960</v>
      </c>
      <c r="AM156" s="260">
        <v>0</v>
      </c>
      <c r="AN156" s="260">
        <f t="shared" si="123"/>
        <v>2580960</v>
      </c>
      <c r="AO156" s="457">
        <f t="shared" si="124"/>
        <v>206264</v>
      </c>
      <c r="AP156" s="456">
        <f t="shared" si="125"/>
        <v>94056384</v>
      </c>
      <c r="AQ156" s="263" t="e">
        <f>#REF!+AH156+AA156+T156+M156</f>
        <v>#REF!</v>
      </c>
      <c r="AR156" s="263">
        <f t="shared" si="84"/>
        <v>94248984</v>
      </c>
      <c r="AS156" s="263" t="e">
        <f t="shared" si="85"/>
        <v>#REF!</v>
      </c>
      <c r="AT156" s="263">
        <f t="shared" si="86"/>
        <v>94455248</v>
      </c>
      <c r="AU156" s="263" t="e">
        <f t="shared" si="87"/>
        <v>#REF!</v>
      </c>
      <c r="AV156" s="263">
        <f t="shared" si="88"/>
        <v>100686032</v>
      </c>
      <c r="AW156" s="263" t="e">
        <f t="shared" si="89"/>
        <v>#REF!</v>
      </c>
      <c r="AX156" s="263" t="e">
        <f>AV156+#REF!+AH156+AA156+T156</f>
        <v>#REF!</v>
      </c>
      <c r="AY156" s="263" t="e">
        <f t="shared" si="90"/>
        <v>#REF!</v>
      </c>
      <c r="AZ156" s="263" t="e">
        <f t="shared" si="91"/>
        <v>#REF!</v>
      </c>
      <c r="BA156" s="263" t="e">
        <f t="shared" si="92"/>
        <v>#REF!</v>
      </c>
      <c r="BB156" s="263" t="e">
        <f t="shared" si="93"/>
        <v>#REF!</v>
      </c>
      <c r="BC156" s="263" t="e">
        <f t="shared" si="94"/>
        <v>#REF!</v>
      </c>
      <c r="BD156" s="263" t="e">
        <f t="shared" si="95"/>
        <v>#REF!</v>
      </c>
      <c r="BE156" s="263" t="e">
        <f>BC156+AV156+#REF!+AH156+AA156</f>
        <v>#REF!</v>
      </c>
      <c r="BF156" s="263" t="e">
        <f t="shared" si="96"/>
        <v>#REF!</v>
      </c>
      <c r="BG156" s="263" t="e">
        <f t="shared" si="97"/>
        <v>#REF!</v>
      </c>
    </row>
    <row r="157" spans="1:59" ht="15.75">
      <c r="A157" s="338">
        <v>12</v>
      </c>
      <c r="B157" s="338" t="s">
        <v>1</v>
      </c>
      <c r="C157" s="258">
        <v>7</v>
      </c>
      <c r="D157" s="328" t="s">
        <v>57</v>
      </c>
      <c r="E157" s="258" t="s">
        <v>9</v>
      </c>
      <c r="F157" s="431">
        <f t="array" ref="F157">MAX((IF(MNU_CODIGO_ALIMENTO_ENTREGA=CONCATENATE($C157,"_","P_"),MNU_GRAMAJE_REQUERIDO_TIPOA,"")))</f>
        <v>100</v>
      </c>
      <c r="G157" s="259">
        <f t="shared" si="98"/>
        <v>124234</v>
      </c>
      <c r="H157" s="259">
        <f t="shared" si="99"/>
        <v>14260</v>
      </c>
      <c r="I157" s="259">
        <f t="shared" si="100"/>
        <v>138494</v>
      </c>
      <c r="J157" s="260">
        <f t="shared" si="101"/>
        <v>13914208</v>
      </c>
      <c r="K157" s="260">
        <f t="shared" si="102"/>
        <v>1597120</v>
      </c>
      <c r="L157" s="260">
        <f t="shared" si="103"/>
        <v>15511328</v>
      </c>
      <c r="M157" s="432">
        <f t="array" ref="M157">MAX((IF(MNU_CODIGO_ALIMENTO_ENTREGA=CONCATENATE($C157,"_","P_"),MNU_GRAMAJE_REQUERIDO_TIPOB,"")))</f>
        <v>100</v>
      </c>
      <c r="N157" s="348">
        <f t="shared" si="104"/>
        <v>80856</v>
      </c>
      <c r="O157" s="348">
        <f t="shared" si="105"/>
        <v>0</v>
      </c>
      <c r="P157" s="348">
        <f t="shared" si="106"/>
        <v>80856</v>
      </c>
      <c r="Q157" s="349">
        <f t="shared" si="107"/>
        <v>9055872</v>
      </c>
      <c r="R157" s="349">
        <f t="shared" si="108"/>
        <v>0</v>
      </c>
      <c r="S157" s="349">
        <f t="shared" si="109"/>
        <v>9055872</v>
      </c>
      <c r="T157" s="353">
        <f t="array" ref="T157">MAX((IF(MNU_CODIGO_ALIMENTO_ENTREGA=CONCATENATE($C157,"_","P_"),MNU_GRAMAJE_REQUERIDO_TIPOC,"")))</f>
        <v>100</v>
      </c>
      <c r="U157" s="259">
        <f t="shared" si="110"/>
        <v>98253</v>
      </c>
      <c r="V157" s="259">
        <f t="shared" si="111"/>
        <v>3707</v>
      </c>
      <c r="W157" s="259">
        <f t="shared" si="112"/>
        <v>101960</v>
      </c>
      <c r="X157" s="260">
        <f t="shared" si="113"/>
        <v>11004336</v>
      </c>
      <c r="Y157" s="260">
        <f t="shared" si="114"/>
        <v>415184</v>
      </c>
      <c r="Z157" s="260">
        <f t="shared" si="115"/>
        <v>11419520</v>
      </c>
      <c r="AA157" s="258">
        <f t="array" ref="AA157">MAX((IF(MNU_CODIGO_ALIMENTO_ENTREGA=CONCATENATE($C157,"_","P_"),MNU_GRAMAJE_REQUERIDO_TIPOM,"")))</f>
        <v>100</v>
      </c>
      <c r="AB157" s="261">
        <f t="shared" si="116"/>
        <v>1449</v>
      </c>
      <c r="AC157" s="261">
        <v>0</v>
      </c>
      <c r="AD157" s="261">
        <f t="shared" si="117"/>
        <v>1449</v>
      </c>
      <c r="AE157" s="262">
        <f t="shared" si="118"/>
        <v>162288</v>
      </c>
      <c r="AF157" s="262">
        <v>0</v>
      </c>
      <c r="AG157" s="262">
        <f t="shared" si="119"/>
        <v>162288</v>
      </c>
      <c r="AH157" s="353">
        <f t="array" ref="AH157">MAX((IF(MNU_CODIGO_ALIMENTO_ENTREGA=CONCATENATE($C157,"_","P_"),MNU_GRAMAJE_REQUERIDO_TIPOH,"")))</f>
        <v>100</v>
      </c>
      <c r="AI157" s="259">
        <f t="shared" si="120"/>
        <v>2601</v>
      </c>
      <c r="AJ157" s="259">
        <v>0</v>
      </c>
      <c r="AK157" s="259">
        <f t="shared" si="121"/>
        <v>2601</v>
      </c>
      <c r="AL157" s="260">
        <f t="shared" si="122"/>
        <v>291312</v>
      </c>
      <c r="AM157" s="260">
        <v>0</v>
      </c>
      <c r="AN157" s="260">
        <f t="shared" si="123"/>
        <v>291312</v>
      </c>
      <c r="AO157" s="457">
        <f t="shared" si="124"/>
        <v>325360</v>
      </c>
      <c r="AP157" s="456">
        <f t="shared" si="125"/>
        <v>36440320</v>
      </c>
      <c r="AQ157" s="263" t="e">
        <f>#REF!+AH157+AA157+T157+M157</f>
        <v>#REF!</v>
      </c>
      <c r="AR157" s="263">
        <f t="shared" si="84"/>
        <v>36623479</v>
      </c>
      <c r="AS157" s="263" t="e">
        <f t="shared" si="85"/>
        <v>#REF!</v>
      </c>
      <c r="AT157" s="263">
        <f t="shared" si="86"/>
        <v>36810345</v>
      </c>
      <c r="AU157" s="263" t="e">
        <f t="shared" si="87"/>
        <v>#REF!</v>
      </c>
      <c r="AV157" s="263">
        <f t="shared" si="88"/>
        <v>37225529</v>
      </c>
      <c r="AW157" s="263" t="e">
        <f t="shared" si="89"/>
        <v>#REF!</v>
      </c>
      <c r="AX157" s="263" t="e">
        <f>AV157+#REF!+AH157+AA157+T157</f>
        <v>#REF!</v>
      </c>
      <c r="AY157" s="263" t="e">
        <f t="shared" si="90"/>
        <v>#REF!</v>
      </c>
      <c r="AZ157" s="263" t="e">
        <f t="shared" si="91"/>
        <v>#REF!</v>
      </c>
      <c r="BA157" s="263" t="e">
        <f t="shared" si="92"/>
        <v>#REF!</v>
      </c>
      <c r="BB157" s="263" t="e">
        <f t="shared" si="93"/>
        <v>#REF!</v>
      </c>
      <c r="BC157" s="263" t="e">
        <f t="shared" si="94"/>
        <v>#REF!</v>
      </c>
      <c r="BD157" s="263" t="e">
        <f t="shared" si="95"/>
        <v>#REF!</v>
      </c>
      <c r="BE157" s="263" t="e">
        <f>BC157+AV157+#REF!+AH157+AA157</f>
        <v>#REF!</v>
      </c>
      <c r="BF157" s="263" t="e">
        <f t="shared" si="96"/>
        <v>#REF!</v>
      </c>
      <c r="BG157" s="263" t="e">
        <f t="shared" si="97"/>
        <v>#REF!</v>
      </c>
    </row>
    <row r="158" spans="1:59" ht="15.75">
      <c r="A158" s="338">
        <v>12</v>
      </c>
      <c r="B158" s="338" t="s">
        <v>1</v>
      </c>
      <c r="C158" s="258">
        <v>8</v>
      </c>
      <c r="D158" s="328" t="s">
        <v>55</v>
      </c>
      <c r="E158" s="258" t="s">
        <v>9</v>
      </c>
      <c r="F158" s="431">
        <f t="array" ref="F158">MAX((IF(MNU_CODIGO_ALIMENTO_ENTREGA=CONCATENATE($C158,"_","P_"),MNU_GRAMAJE_REQUERIDO_TIPOA,"")))</f>
        <v>100</v>
      </c>
      <c r="G158" s="259">
        <f t="shared" si="98"/>
        <v>56470</v>
      </c>
      <c r="H158" s="259">
        <f t="shared" si="99"/>
        <v>5060</v>
      </c>
      <c r="I158" s="259">
        <f t="shared" si="100"/>
        <v>61530</v>
      </c>
      <c r="J158" s="260">
        <f t="shared" si="101"/>
        <v>7962270</v>
      </c>
      <c r="K158" s="260">
        <f t="shared" si="102"/>
        <v>713460</v>
      </c>
      <c r="L158" s="260">
        <f t="shared" si="103"/>
        <v>8675730</v>
      </c>
      <c r="M158" s="432">
        <f t="array" ref="M158">MAX((IF(MNU_CODIGO_ALIMENTO_ENTREGA=CONCATENATE($C158,"_","P_"),MNU_GRAMAJE_REQUERIDO_TIPOB,"")))</f>
        <v>100</v>
      </c>
      <c r="N158" s="348">
        <f t="shared" si="104"/>
        <v>71872</v>
      </c>
      <c r="O158" s="348">
        <f t="shared" si="105"/>
        <v>0</v>
      </c>
      <c r="P158" s="348">
        <f t="shared" si="106"/>
        <v>71872</v>
      </c>
      <c r="Q158" s="349">
        <f t="shared" si="107"/>
        <v>10133952</v>
      </c>
      <c r="R158" s="349">
        <f t="shared" si="108"/>
        <v>0</v>
      </c>
      <c r="S158" s="349">
        <f t="shared" si="109"/>
        <v>10133952</v>
      </c>
      <c r="T158" s="353">
        <f t="array" ref="T158">MAX((IF(MNU_CODIGO_ALIMENTO_ENTREGA=CONCATENATE($C158,"_","P_"),MNU_GRAMAJE_REQUERIDO_TIPOC,"")))</f>
        <v>100</v>
      </c>
      <c r="U158" s="259">
        <f t="shared" si="110"/>
        <v>87336</v>
      </c>
      <c r="V158" s="259">
        <f t="shared" si="111"/>
        <v>3707</v>
      </c>
      <c r="W158" s="259">
        <f t="shared" si="112"/>
        <v>91043</v>
      </c>
      <c r="X158" s="260">
        <f t="shared" si="113"/>
        <v>12314376</v>
      </c>
      <c r="Y158" s="260">
        <f t="shared" si="114"/>
        <v>522687</v>
      </c>
      <c r="Z158" s="260">
        <f t="shared" si="115"/>
        <v>12837063</v>
      </c>
      <c r="AA158" s="258">
        <f t="array" ref="AA158">MAX((IF(MNU_CODIGO_ALIMENTO_ENTREGA=CONCATENATE($C158,"_","P_"),MNU_GRAMAJE_REQUERIDO_TIPOM,"")))</f>
        <v>100</v>
      </c>
      <c r="AB158" s="261">
        <f t="shared" si="116"/>
        <v>1288</v>
      </c>
      <c r="AC158" s="261">
        <v>0</v>
      </c>
      <c r="AD158" s="261">
        <f t="shared" si="117"/>
        <v>1288</v>
      </c>
      <c r="AE158" s="262">
        <f t="shared" si="118"/>
        <v>181608</v>
      </c>
      <c r="AF158" s="262">
        <v>0</v>
      </c>
      <c r="AG158" s="262">
        <f t="shared" si="119"/>
        <v>181608</v>
      </c>
      <c r="AH158" s="353">
        <f t="array" ref="AH158">MAX((IF(MNU_CODIGO_ALIMENTO_ENTREGA=CONCATENATE($C158,"_","P_"),MNU_GRAMAJE_REQUERIDO_TIPOH,"")))</f>
        <v>100</v>
      </c>
      <c r="AI158" s="259">
        <f t="shared" si="120"/>
        <v>2312</v>
      </c>
      <c r="AJ158" s="259">
        <v>0</v>
      </c>
      <c r="AK158" s="259">
        <f t="shared" si="121"/>
        <v>2312</v>
      </c>
      <c r="AL158" s="260">
        <f t="shared" si="122"/>
        <v>325992</v>
      </c>
      <c r="AM158" s="260">
        <v>0</v>
      </c>
      <c r="AN158" s="260">
        <f t="shared" si="123"/>
        <v>325992</v>
      </c>
      <c r="AO158" s="457">
        <f t="shared" si="124"/>
        <v>228045</v>
      </c>
      <c r="AP158" s="456">
        <f t="shared" si="125"/>
        <v>32154345</v>
      </c>
      <c r="AQ158" s="263" t="e">
        <f>#REF!+AH158+AA158+T158+M158</f>
        <v>#REF!</v>
      </c>
      <c r="AR158" s="263">
        <f t="shared" si="84"/>
        <v>32317153</v>
      </c>
      <c r="AS158" s="263" t="e">
        <f t="shared" si="85"/>
        <v>#REF!</v>
      </c>
      <c r="AT158" s="263">
        <f t="shared" si="86"/>
        <v>32483668</v>
      </c>
      <c r="AU158" s="263" t="e">
        <f t="shared" si="87"/>
        <v>#REF!</v>
      </c>
      <c r="AV158" s="263">
        <f t="shared" si="88"/>
        <v>33006355</v>
      </c>
      <c r="AW158" s="263" t="e">
        <f t="shared" si="89"/>
        <v>#REF!</v>
      </c>
      <c r="AX158" s="263" t="e">
        <f>AV158+#REF!+AH158+AA158+T158</f>
        <v>#REF!</v>
      </c>
      <c r="AY158" s="263" t="e">
        <f t="shared" si="90"/>
        <v>#REF!</v>
      </c>
      <c r="AZ158" s="263" t="e">
        <f t="shared" si="91"/>
        <v>#REF!</v>
      </c>
      <c r="BA158" s="263" t="e">
        <f t="shared" si="92"/>
        <v>#REF!</v>
      </c>
      <c r="BB158" s="263" t="e">
        <f t="shared" si="93"/>
        <v>#REF!</v>
      </c>
      <c r="BC158" s="263" t="e">
        <f t="shared" si="94"/>
        <v>#REF!</v>
      </c>
      <c r="BD158" s="263" t="e">
        <f t="shared" si="95"/>
        <v>#REF!</v>
      </c>
      <c r="BE158" s="263" t="e">
        <f>BC158+AV158+#REF!+AH158+AA158</f>
        <v>#REF!</v>
      </c>
      <c r="BF158" s="263" t="e">
        <f t="shared" si="96"/>
        <v>#REF!</v>
      </c>
      <c r="BG158" s="263" t="e">
        <f t="shared" si="97"/>
        <v>#REF!</v>
      </c>
    </row>
    <row r="159" spans="1:59" ht="15.75">
      <c r="A159" s="338">
        <v>12</v>
      </c>
      <c r="B159" s="338" t="s">
        <v>1</v>
      </c>
      <c r="C159" s="258">
        <v>17</v>
      </c>
      <c r="D159" s="328" t="s">
        <v>53</v>
      </c>
      <c r="E159" s="258" t="s">
        <v>9</v>
      </c>
      <c r="F159" s="431">
        <f t="array" ref="F159">MAX((IF(MNU_CODIGO_ALIMENTO_ENTREGA=CONCATENATE($C159,"_","P_"),MNU_GRAMAJE_REQUERIDO_TIPOA,"")))</f>
        <v>0</v>
      </c>
      <c r="G159" s="259">
        <f t="shared" si="98"/>
        <v>0</v>
      </c>
      <c r="H159" s="259">
        <f t="shared" si="99"/>
        <v>0</v>
      </c>
      <c r="I159" s="259">
        <f t="shared" si="100"/>
        <v>0</v>
      </c>
      <c r="J159" s="260">
        <f t="shared" si="101"/>
        <v>0</v>
      </c>
      <c r="K159" s="260">
        <f t="shared" si="102"/>
        <v>0</v>
      </c>
      <c r="L159" s="260">
        <f t="shared" si="103"/>
        <v>0</v>
      </c>
      <c r="M159" s="432">
        <f t="array" ref="M159">MAX((IF(MNU_CODIGO_ALIMENTO_ENTREGA=CONCATENATE($C159,"_","P_"),MNU_GRAMAJE_REQUERIDO_TIPOB,"")))</f>
        <v>100</v>
      </c>
      <c r="N159" s="348">
        <f t="shared" si="104"/>
        <v>188664</v>
      </c>
      <c r="O159" s="348">
        <f t="shared" si="105"/>
        <v>0</v>
      </c>
      <c r="P159" s="348">
        <f t="shared" si="106"/>
        <v>188664</v>
      </c>
      <c r="Q159" s="349">
        <f t="shared" si="107"/>
        <v>44713368</v>
      </c>
      <c r="R159" s="349">
        <f t="shared" si="108"/>
        <v>0</v>
      </c>
      <c r="S159" s="349">
        <f t="shared" si="109"/>
        <v>44713368</v>
      </c>
      <c r="T159" s="353">
        <f t="array" ref="T159">MAX((IF(MNU_CODIGO_ALIMENTO_ENTREGA=CONCATENATE($C159,"_","P_"),MNU_GRAMAJE_REQUERIDO_TIPOC,"")))</f>
        <v>100</v>
      </c>
      <c r="U159" s="259">
        <f t="shared" si="110"/>
        <v>229257</v>
      </c>
      <c r="V159" s="259">
        <f t="shared" si="111"/>
        <v>7751</v>
      </c>
      <c r="W159" s="259">
        <f t="shared" si="112"/>
        <v>237008</v>
      </c>
      <c r="X159" s="260">
        <f t="shared" si="113"/>
        <v>54333909</v>
      </c>
      <c r="Y159" s="260">
        <f t="shared" si="114"/>
        <v>1836987</v>
      </c>
      <c r="Z159" s="260">
        <f t="shared" si="115"/>
        <v>56170896</v>
      </c>
      <c r="AA159" s="258">
        <f t="array" ref="AA159">MAX((IF(MNU_CODIGO_ALIMENTO_ENTREGA=CONCATENATE($C159,"_","P_"),MNU_GRAMAJE_REQUERIDO_TIPOM,"")))</f>
        <v>100</v>
      </c>
      <c r="AB159" s="261">
        <f t="shared" si="116"/>
        <v>3381</v>
      </c>
      <c r="AC159" s="261">
        <v>0</v>
      </c>
      <c r="AD159" s="261">
        <f t="shared" si="117"/>
        <v>3381</v>
      </c>
      <c r="AE159" s="262">
        <f t="shared" si="118"/>
        <v>801297</v>
      </c>
      <c r="AF159" s="262">
        <v>0</v>
      </c>
      <c r="AG159" s="262">
        <f t="shared" si="119"/>
        <v>801297</v>
      </c>
      <c r="AH159" s="353">
        <f t="array" ref="AH159">MAX((IF(MNU_CODIGO_ALIMENTO_ENTREGA=CONCATENATE($C159,"_","P_"),MNU_GRAMAJE_REQUERIDO_TIPOH,"")))</f>
        <v>100</v>
      </c>
      <c r="AI159" s="259">
        <f t="shared" si="120"/>
        <v>6069</v>
      </c>
      <c r="AJ159" s="259">
        <v>0</v>
      </c>
      <c r="AK159" s="259">
        <f t="shared" si="121"/>
        <v>6069</v>
      </c>
      <c r="AL159" s="260">
        <f t="shared" si="122"/>
        <v>1438353</v>
      </c>
      <c r="AM159" s="260">
        <v>0</v>
      </c>
      <c r="AN159" s="260">
        <f t="shared" si="123"/>
        <v>1438353</v>
      </c>
      <c r="AO159" s="457">
        <f t="shared" si="124"/>
        <v>435122</v>
      </c>
      <c r="AP159" s="456">
        <f t="shared" si="125"/>
        <v>103123914</v>
      </c>
      <c r="AQ159" s="263" t="e">
        <f>#REF!+AH159+AA159+T159+M159</f>
        <v>#REF!</v>
      </c>
      <c r="AR159" s="263">
        <f t="shared" si="84"/>
        <v>103551285</v>
      </c>
      <c r="AS159" s="263" t="e">
        <f t="shared" si="85"/>
        <v>#REF!</v>
      </c>
      <c r="AT159" s="263">
        <f t="shared" si="86"/>
        <v>103986407</v>
      </c>
      <c r="AU159" s="263" t="e">
        <f t="shared" si="87"/>
        <v>#REF!</v>
      </c>
      <c r="AV159" s="263">
        <f t="shared" si="88"/>
        <v>105823394</v>
      </c>
      <c r="AW159" s="263" t="e">
        <f t="shared" si="89"/>
        <v>#REF!</v>
      </c>
      <c r="AX159" s="263" t="e">
        <f>AV159+#REF!+AH159+AA159+T159</f>
        <v>#REF!</v>
      </c>
      <c r="AY159" s="263" t="e">
        <f t="shared" si="90"/>
        <v>#REF!</v>
      </c>
      <c r="AZ159" s="263" t="e">
        <f t="shared" si="91"/>
        <v>#REF!</v>
      </c>
      <c r="BA159" s="263" t="e">
        <f t="shared" si="92"/>
        <v>#REF!</v>
      </c>
      <c r="BB159" s="263" t="e">
        <f t="shared" si="93"/>
        <v>#REF!</v>
      </c>
      <c r="BC159" s="263" t="e">
        <f t="shared" si="94"/>
        <v>#REF!</v>
      </c>
      <c r="BD159" s="263" t="e">
        <f t="shared" si="95"/>
        <v>#REF!</v>
      </c>
      <c r="BE159" s="263" t="e">
        <f>BC159+AV159+#REF!+AH159+AA159</f>
        <v>#REF!</v>
      </c>
      <c r="BF159" s="263" t="e">
        <f t="shared" si="96"/>
        <v>#REF!</v>
      </c>
      <c r="BG159" s="263" t="e">
        <f t="shared" si="97"/>
        <v>#REF!</v>
      </c>
    </row>
    <row r="160" spans="1:59" ht="15.75">
      <c r="A160" s="338">
        <v>12</v>
      </c>
      <c r="B160" s="338" t="s">
        <v>1</v>
      </c>
      <c r="C160" s="258">
        <v>22</v>
      </c>
      <c r="D160" s="328" t="s">
        <v>51</v>
      </c>
      <c r="E160" s="258" t="s">
        <v>9</v>
      </c>
      <c r="F160" s="431">
        <f t="array" ref="F160">MAX((IF(MNU_CODIGO_ALIMENTO_ENTREGA=CONCATENATE($C160,"_","P_"),MNU_GRAMAJE_REQUERIDO_TIPOA,"")))</f>
        <v>0</v>
      </c>
      <c r="G160" s="259">
        <f t="shared" si="98"/>
        <v>0</v>
      </c>
      <c r="H160" s="259">
        <f t="shared" si="99"/>
        <v>0</v>
      </c>
      <c r="I160" s="259">
        <f t="shared" si="100"/>
        <v>0</v>
      </c>
      <c r="J160" s="260">
        <f t="shared" si="101"/>
        <v>0</v>
      </c>
      <c r="K160" s="260">
        <f t="shared" si="102"/>
        <v>0</v>
      </c>
      <c r="L160" s="260">
        <f t="shared" si="103"/>
        <v>0</v>
      </c>
      <c r="M160" s="432">
        <f t="array" ref="M160">MAX((IF(MNU_CODIGO_ALIMENTO_ENTREGA=CONCATENATE($C160,"_","P_"),MNU_GRAMAJE_REQUERIDO_TIPOB,"")))</f>
        <v>100</v>
      </c>
      <c r="N160" s="348">
        <f t="shared" si="104"/>
        <v>179680</v>
      </c>
      <c r="O160" s="348">
        <f t="shared" si="105"/>
        <v>0</v>
      </c>
      <c r="P160" s="348">
        <f t="shared" si="106"/>
        <v>179680</v>
      </c>
      <c r="Q160" s="349">
        <f t="shared" si="107"/>
        <v>99003680</v>
      </c>
      <c r="R160" s="349">
        <f t="shared" si="108"/>
        <v>0</v>
      </c>
      <c r="S160" s="349">
        <f t="shared" si="109"/>
        <v>99003680</v>
      </c>
      <c r="T160" s="353">
        <f t="array" ref="T160">MAX((IF(MNU_CODIGO_ALIMENTO_ENTREGA=CONCATENATE($C160,"_","P_"),MNU_GRAMAJE_REQUERIDO_TIPOC,"")))</f>
        <v>100</v>
      </c>
      <c r="U160" s="259">
        <f t="shared" si="110"/>
        <v>218340</v>
      </c>
      <c r="V160" s="259">
        <f t="shared" si="111"/>
        <v>7751</v>
      </c>
      <c r="W160" s="259">
        <f t="shared" si="112"/>
        <v>226091</v>
      </c>
      <c r="X160" s="260">
        <f t="shared" si="113"/>
        <v>120305340</v>
      </c>
      <c r="Y160" s="260">
        <f t="shared" si="114"/>
        <v>4270801</v>
      </c>
      <c r="Z160" s="260">
        <f t="shared" si="115"/>
        <v>124576141</v>
      </c>
      <c r="AA160" s="258">
        <f t="array" ref="AA160">MAX((IF(MNU_CODIGO_ALIMENTO_ENTREGA=CONCATENATE($C160,"_","P_"),MNU_GRAMAJE_REQUERIDO_TIPOM,"")))</f>
        <v>100</v>
      </c>
      <c r="AB160" s="261">
        <f t="shared" si="116"/>
        <v>3220</v>
      </c>
      <c r="AC160" s="261">
        <v>0</v>
      </c>
      <c r="AD160" s="261">
        <f t="shared" si="117"/>
        <v>3220</v>
      </c>
      <c r="AE160" s="262">
        <f t="shared" si="118"/>
        <v>1774220</v>
      </c>
      <c r="AF160" s="262">
        <v>0</v>
      </c>
      <c r="AG160" s="262">
        <f t="shared" si="119"/>
        <v>1774220</v>
      </c>
      <c r="AH160" s="353">
        <f t="array" ref="AH160">MAX((IF(MNU_CODIGO_ALIMENTO_ENTREGA=CONCATENATE($C160,"_","P_"),MNU_GRAMAJE_REQUERIDO_TIPOH,"")))</f>
        <v>100</v>
      </c>
      <c r="AI160" s="259">
        <f t="shared" si="120"/>
        <v>5780</v>
      </c>
      <c r="AJ160" s="259">
        <v>0</v>
      </c>
      <c r="AK160" s="259">
        <f t="shared" si="121"/>
        <v>5780</v>
      </c>
      <c r="AL160" s="260">
        <f t="shared" si="122"/>
        <v>3184780</v>
      </c>
      <c r="AM160" s="260">
        <v>0</v>
      </c>
      <c r="AN160" s="260">
        <f t="shared" si="123"/>
        <v>3184780</v>
      </c>
      <c r="AO160" s="457">
        <f t="shared" si="124"/>
        <v>414771</v>
      </c>
      <c r="AP160" s="456">
        <f t="shared" si="125"/>
        <v>228538821</v>
      </c>
      <c r="AQ160" s="263" t="e">
        <f>#REF!+AH160+AA160+T160+M160</f>
        <v>#REF!</v>
      </c>
      <c r="AR160" s="263">
        <f t="shared" si="84"/>
        <v>228945841</v>
      </c>
      <c r="AS160" s="263" t="e">
        <f t="shared" si="85"/>
        <v>#REF!</v>
      </c>
      <c r="AT160" s="263">
        <f t="shared" si="86"/>
        <v>229360612</v>
      </c>
      <c r="AU160" s="263" t="e">
        <f t="shared" si="87"/>
        <v>#REF!</v>
      </c>
      <c r="AV160" s="263">
        <f t="shared" si="88"/>
        <v>233631413</v>
      </c>
      <c r="AW160" s="263" t="e">
        <f t="shared" si="89"/>
        <v>#REF!</v>
      </c>
      <c r="AX160" s="263" t="e">
        <f>AV160+#REF!+AH160+AA160+T160</f>
        <v>#REF!</v>
      </c>
      <c r="AY160" s="263" t="e">
        <f t="shared" si="90"/>
        <v>#REF!</v>
      </c>
      <c r="AZ160" s="263" t="e">
        <f t="shared" si="91"/>
        <v>#REF!</v>
      </c>
      <c r="BA160" s="263" t="e">
        <f t="shared" si="92"/>
        <v>#REF!</v>
      </c>
      <c r="BB160" s="263" t="e">
        <f t="shared" si="93"/>
        <v>#REF!</v>
      </c>
      <c r="BC160" s="263" t="e">
        <f t="shared" si="94"/>
        <v>#REF!</v>
      </c>
      <c r="BD160" s="263" t="e">
        <f t="shared" si="95"/>
        <v>#REF!</v>
      </c>
      <c r="BE160" s="263" t="e">
        <f>BC160+AV160+#REF!+AH160+AA160</f>
        <v>#REF!</v>
      </c>
      <c r="BF160" s="263" t="e">
        <f t="shared" si="96"/>
        <v>#REF!</v>
      </c>
      <c r="BG160" s="263" t="e">
        <f t="shared" si="97"/>
        <v>#REF!</v>
      </c>
    </row>
    <row r="161" spans="1:59" ht="15.75">
      <c r="A161" s="338">
        <v>12</v>
      </c>
      <c r="B161" s="338" t="s">
        <v>1</v>
      </c>
      <c r="C161" s="258">
        <v>33</v>
      </c>
      <c r="D161" s="328" t="s">
        <v>59</v>
      </c>
      <c r="E161" s="258" t="s">
        <v>48</v>
      </c>
      <c r="F161" s="431">
        <v>1</v>
      </c>
      <c r="G161" s="259">
        <f t="shared" si="98"/>
        <v>152469</v>
      </c>
      <c r="H161" s="259">
        <f t="shared" si="99"/>
        <v>13340</v>
      </c>
      <c r="I161" s="259">
        <f t="shared" si="100"/>
        <v>165809</v>
      </c>
      <c r="J161" s="260">
        <f t="shared" si="101"/>
        <v>43148727</v>
      </c>
      <c r="K161" s="260">
        <f t="shared" si="102"/>
        <v>3775220</v>
      </c>
      <c r="L161" s="260">
        <f t="shared" si="103"/>
        <v>46923947</v>
      </c>
      <c r="M161" s="432">
        <v>1</v>
      </c>
      <c r="N161" s="348">
        <f t="shared" si="104"/>
        <v>161712</v>
      </c>
      <c r="O161" s="348">
        <f t="shared" si="105"/>
        <v>0</v>
      </c>
      <c r="P161" s="348">
        <f t="shared" si="106"/>
        <v>161712</v>
      </c>
      <c r="Q161" s="349">
        <f t="shared" si="107"/>
        <v>45764496</v>
      </c>
      <c r="R161" s="349">
        <f t="shared" si="108"/>
        <v>0</v>
      </c>
      <c r="S161" s="349">
        <f t="shared" si="109"/>
        <v>45764496</v>
      </c>
      <c r="T161" s="431">
        <v>1</v>
      </c>
      <c r="U161" s="259">
        <f t="shared" si="110"/>
        <v>196506</v>
      </c>
      <c r="V161" s="259">
        <f t="shared" si="111"/>
        <v>7751</v>
      </c>
      <c r="W161" s="259">
        <f t="shared" si="112"/>
        <v>204257</v>
      </c>
      <c r="X161" s="260">
        <f t="shared" si="113"/>
        <v>55611198</v>
      </c>
      <c r="Y161" s="260">
        <f t="shared" si="114"/>
        <v>2193533</v>
      </c>
      <c r="Z161" s="260">
        <f t="shared" si="115"/>
        <v>57804731</v>
      </c>
      <c r="AA161" s="258">
        <v>1</v>
      </c>
      <c r="AB161" s="261">
        <f t="shared" si="116"/>
        <v>2898</v>
      </c>
      <c r="AC161" s="261">
        <v>0</v>
      </c>
      <c r="AD161" s="261">
        <f t="shared" si="117"/>
        <v>2898</v>
      </c>
      <c r="AE161" s="262">
        <f t="shared" si="118"/>
        <v>820134</v>
      </c>
      <c r="AF161" s="262">
        <v>0</v>
      </c>
      <c r="AG161" s="262">
        <f t="shared" si="119"/>
        <v>820134</v>
      </c>
      <c r="AH161" s="353">
        <v>1</v>
      </c>
      <c r="AI161" s="259">
        <f t="shared" si="120"/>
        <v>5202</v>
      </c>
      <c r="AJ161" s="259">
        <v>0</v>
      </c>
      <c r="AK161" s="259">
        <f t="shared" si="121"/>
        <v>5202</v>
      </c>
      <c r="AL161" s="260">
        <f t="shared" si="122"/>
        <v>1472166</v>
      </c>
      <c r="AM161" s="260">
        <v>0</v>
      </c>
      <c r="AN161" s="260">
        <f t="shared" si="123"/>
        <v>1472166</v>
      </c>
      <c r="AO161" s="457">
        <f t="shared" si="124"/>
        <v>539878</v>
      </c>
      <c r="AP161" s="456">
        <f t="shared" si="125"/>
        <v>152785474</v>
      </c>
      <c r="AQ161" s="263" t="e">
        <f>#REF!+AH161+AA161+T161+M161</f>
        <v>#REF!</v>
      </c>
      <c r="AR161" s="263">
        <f t="shared" si="84"/>
        <v>153151792</v>
      </c>
      <c r="AS161" s="263" t="e">
        <f t="shared" si="85"/>
        <v>#REF!</v>
      </c>
      <c r="AT161" s="263">
        <f t="shared" si="86"/>
        <v>153525861</v>
      </c>
      <c r="AU161" s="263" t="e">
        <f t="shared" si="87"/>
        <v>#REF!</v>
      </c>
      <c r="AV161" s="263">
        <f t="shared" si="88"/>
        <v>155719394</v>
      </c>
      <c r="AW161" s="263" t="e">
        <f t="shared" si="89"/>
        <v>#REF!</v>
      </c>
      <c r="AX161" s="263" t="e">
        <f>AV161+#REF!+AH161+AA161+T161</f>
        <v>#REF!</v>
      </c>
      <c r="AY161" s="263" t="e">
        <f t="shared" si="90"/>
        <v>#REF!</v>
      </c>
      <c r="AZ161" s="263" t="e">
        <f t="shared" si="91"/>
        <v>#REF!</v>
      </c>
      <c r="BA161" s="263" t="e">
        <f t="shared" si="92"/>
        <v>#REF!</v>
      </c>
      <c r="BB161" s="263" t="e">
        <f t="shared" si="93"/>
        <v>#REF!</v>
      </c>
      <c r="BC161" s="263" t="e">
        <f t="shared" si="94"/>
        <v>#REF!</v>
      </c>
      <c r="BD161" s="263" t="e">
        <f t="shared" si="95"/>
        <v>#REF!</v>
      </c>
      <c r="BE161" s="263" t="e">
        <f>BC161+AV161+#REF!+AH161+AA161</f>
        <v>#REF!</v>
      </c>
      <c r="BF161" s="263" t="e">
        <f t="shared" si="96"/>
        <v>#REF!</v>
      </c>
      <c r="BG161" s="263" t="e">
        <f t="shared" si="97"/>
        <v>#REF!</v>
      </c>
    </row>
    <row r="162" spans="1:59" ht="15.75">
      <c r="A162" s="338">
        <v>12</v>
      </c>
      <c r="B162" s="338" t="s">
        <v>1</v>
      </c>
      <c r="C162" s="258">
        <v>36</v>
      </c>
      <c r="D162" s="328" t="s">
        <v>1340</v>
      </c>
      <c r="E162" s="258" t="s">
        <v>9</v>
      </c>
      <c r="F162" s="431">
        <f t="array" ref="F162">MAX((IF(MNU_CODIGO_ALIMENTO_ENTREGA=CONCATENATE($C162,"_","P_"),MNU_GRAMAJE_REQUERIDO_TIPOA,"")))</f>
        <v>20</v>
      </c>
      <c r="G162" s="259">
        <f t="shared" si="98"/>
        <v>39529</v>
      </c>
      <c r="H162" s="259">
        <f t="shared" si="99"/>
        <v>3680</v>
      </c>
      <c r="I162" s="259">
        <f t="shared" si="100"/>
        <v>43209</v>
      </c>
      <c r="J162" s="260">
        <f t="shared" si="101"/>
        <v>5217828</v>
      </c>
      <c r="K162" s="260">
        <f t="shared" si="102"/>
        <v>485760</v>
      </c>
      <c r="L162" s="260">
        <f t="shared" si="103"/>
        <v>5703588</v>
      </c>
      <c r="M162" s="432">
        <f t="array" ref="M162">MAX((IF(MNU_CODIGO_ALIMENTO_ENTREGA=CONCATENATE($C162,"_","P_"),MNU_GRAMAJE_REQUERIDO_TIPOB,"")))</f>
        <v>40</v>
      </c>
      <c r="N162" s="348">
        <f t="shared" si="104"/>
        <v>62888</v>
      </c>
      <c r="O162" s="348">
        <f t="shared" si="105"/>
        <v>0</v>
      </c>
      <c r="P162" s="348">
        <f t="shared" si="106"/>
        <v>62888</v>
      </c>
      <c r="Q162" s="349">
        <f t="shared" si="107"/>
        <v>16665320</v>
      </c>
      <c r="R162" s="349">
        <f t="shared" si="108"/>
        <v>0</v>
      </c>
      <c r="S162" s="349">
        <f t="shared" si="109"/>
        <v>16665320</v>
      </c>
      <c r="T162" s="353">
        <f t="array" ref="T162">MAX((IF(MNU_CODIGO_ALIMENTO_ENTREGA=CONCATENATE($C162,"_","P_"),MNU_GRAMAJE_REQUERIDO_TIPOC,"")))</f>
        <v>40</v>
      </c>
      <c r="U162" s="259">
        <f t="shared" si="110"/>
        <v>76419</v>
      </c>
      <c r="V162" s="259">
        <f t="shared" si="111"/>
        <v>2696</v>
      </c>
      <c r="W162" s="259">
        <f t="shared" si="112"/>
        <v>79115</v>
      </c>
      <c r="X162" s="260">
        <f t="shared" si="113"/>
        <v>20251035</v>
      </c>
      <c r="Y162" s="260">
        <f t="shared" si="114"/>
        <v>714440</v>
      </c>
      <c r="Z162" s="260">
        <f t="shared" si="115"/>
        <v>20965475</v>
      </c>
      <c r="AA162" s="258">
        <f t="array" ref="AA162">MAX((IF(MNU_CODIGO_ALIMENTO_ENTREGA=CONCATENATE($C162,"_","P_"),MNU_GRAMAJE_REQUERIDO_TIPOM,"")))</f>
        <v>40</v>
      </c>
      <c r="AB162" s="261">
        <f t="shared" si="116"/>
        <v>1127</v>
      </c>
      <c r="AC162" s="261">
        <v>0</v>
      </c>
      <c r="AD162" s="261">
        <f t="shared" si="117"/>
        <v>1127</v>
      </c>
      <c r="AE162" s="262">
        <f t="shared" si="118"/>
        <v>298655</v>
      </c>
      <c r="AF162" s="262">
        <v>0</v>
      </c>
      <c r="AG162" s="262">
        <f t="shared" si="119"/>
        <v>298655</v>
      </c>
      <c r="AH162" s="353">
        <f t="array" ref="AH162">MAX((IF(MNU_CODIGO_ALIMENTO_ENTREGA=CONCATENATE($C162,"_","P_"),MNU_GRAMAJE_REQUERIDO_TIPOH,"")))</f>
        <v>40</v>
      </c>
      <c r="AI162" s="259">
        <f t="shared" si="120"/>
        <v>2023</v>
      </c>
      <c r="AJ162" s="259">
        <v>0</v>
      </c>
      <c r="AK162" s="259">
        <f t="shared" si="121"/>
        <v>2023</v>
      </c>
      <c r="AL162" s="260">
        <f t="shared" si="122"/>
        <v>536095</v>
      </c>
      <c r="AM162" s="260">
        <v>0</v>
      </c>
      <c r="AN162" s="260">
        <f t="shared" si="123"/>
        <v>536095</v>
      </c>
      <c r="AO162" s="457">
        <f t="shared" si="124"/>
        <v>188362</v>
      </c>
      <c r="AP162" s="456">
        <f t="shared" si="125"/>
        <v>44169133</v>
      </c>
      <c r="AQ162" s="263" t="e">
        <f>#REF!+AH162+AA162+T162+M162</f>
        <v>#REF!</v>
      </c>
      <c r="AR162" s="263">
        <f t="shared" si="84"/>
        <v>44311590</v>
      </c>
      <c r="AS162" s="263" t="e">
        <f t="shared" si="85"/>
        <v>#REF!</v>
      </c>
      <c r="AT162" s="263">
        <f t="shared" si="86"/>
        <v>44456743</v>
      </c>
      <c r="AU162" s="263" t="e">
        <f t="shared" si="87"/>
        <v>#REF!</v>
      </c>
      <c r="AV162" s="263">
        <f t="shared" si="88"/>
        <v>45171183</v>
      </c>
      <c r="AW162" s="263" t="e">
        <f t="shared" si="89"/>
        <v>#REF!</v>
      </c>
      <c r="AX162" s="263" t="e">
        <f>AV162+#REF!+AH162+AA162+T162</f>
        <v>#REF!</v>
      </c>
      <c r="AY162" s="263" t="e">
        <f t="shared" si="90"/>
        <v>#REF!</v>
      </c>
      <c r="AZ162" s="263" t="e">
        <f t="shared" si="91"/>
        <v>#REF!</v>
      </c>
      <c r="BA162" s="263" t="e">
        <f t="shared" si="92"/>
        <v>#REF!</v>
      </c>
      <c r="BB162" s="263" t="e">
        <f t="shared" si="93"/>
        <v>#REF!</v>
      </c>
      <c r="BC162" s="263" t="e">
        <f t="shared" si="94"/>
        <v>#REF!</v>
      </c>
      <c r="BD162" s="263" t="e">
        <f t="shared" si="95"/>
        <v>#REF!</v>
      </c>
      <c r="BE162" s="263" t="e">
        <f>BC162+AV162+#REF!+AH162+AA162</f>
        <v>#REF!</v>
      </c>
      <c r="BF162" s="263" t="e">
        <f t="shared" si="96"/>
        <v>#REF!</v>
      </c>
      <c r="BG162" s="263" t="e">
        <f t="shared" si="97"/>
        <v>#REF!</v>
      </c>
    </row>
    <row r="163" spans="1:59" ht="15.75">
      <c r="A163" s="338">
        <v>12</v>
      </c>
      <c r="B163" s="338" t="s">
        <v>1</v>
      </c>
      <c r="C163" s="258">
        <v>42</v>
      </c>
      <c r="D163" s="328" t="s">
        <v>61</v>
      </c>
      <c r="E163" s="258" t="s">
        <v>9</v>
      </c>
      <c r="F163" s="431">
        <f t="array" ref="F163">MAX((IF(MNU_CODIGO_ALIMENTO_ENTREGA=CONCATENATE($C163,"_","P_"),MNU_GRAMAJE_REQUERIDO_TIPOA,"")))</f>
        <v>100</v>
      </c>
      <c r="G163" s="259">
        <f t="shared" si="98"/>
        <v>129881</v>
      </c>
      <c r="H163" s="259">
        <f t="shared" si="99"/>
        <v>16560</v>
      </c>
      <c r="I163" s="259">
        <f t="shared" si="100"/>
        <v>146441</v>
      </c>
      <c r="J163" s="260">
        <f t="shared" si="101"/>
        <v>26495724</v>
      </c>
      <c r="K163" s="260">
        <f t="shared" si="102"/>
        <v>3378240</v>
      </c>
      <c r="L163" s="260">
        <f t="shared" si="103"/>
        <v>29873964</v>
      </c>
      <c r="M163" s="432">
        <f t="array" ref="M163">MAX((IF(MNU_CODIGO_ALIMENTO_ENTREGA=CONCATENATE($C163,"_","P_"),MNU_GRAMAJE_REQUERIDO_TIPOB,"")))</f>
        <v>100</v>
      </c>
      <c r="N163" s="348">
        <f t="shared" si="104"/>
        <v>170696</v>
      </c>
      <c r="O163" s="348">
        <f t="shared" si="105"/>
        <v>0</v>
      </c>
      <c r="P163" s="348">
        <f t="shared" si="106"/>
        <v>170696</v>
      </c>
      <c r="Q163" s="349">
        <f t="shared" si="107"/>
        <v>34821984</v>
      </c>
      <c r="R163" s="349">
        <f t="shared" si="108"/>
        <v>0</v>
      </c>
      <c r="S163" s="349">
        <f t="shared" si="109"/>
        <v>34821984</v>
      </c>
      <c r="T163" s="353">
        <f t="array" ref="T163">MAX((IF(MNU_CODIGO_ALIMENTO_ENTREGA=CONCATENATE($C163,"_","P_"),MNU_GRAMAJE_REQUERIDO_TIPOC,"")))</f>
        <v>100</v>
      </c>
      <c r="U163" s="259">
        <f t="shared" si="110"/>
        <v>207423</v>
      </c>
      <c r="V163" s="259">
        <f t="shared" si="111"/>
        <v>6403</v>
      </c>
      <c r="W163" s="259">
        <f t="shared" si="112"/>
        <v>213826</v>
      </c>
      <c r="X163" s="260">
        <f t="shared" si="113"/>
        <v>42314292</v>
      </c>
      <c r="Y163" s="260">
        <f t="shared" si="114"/>
        <v>1306212</v>
      </c>
      <c r="Z163" s="260">
        <f t="shared" si="115"/>
        <v>43620504</v>
      </c>
      <c r="AA163" s="258">
        <f t="array" ref="AA163">MAX((IF(MNU_CODIGO_ALIMENTO_ENTREGA=CONCATENATE($C163,"_","P_"),MNU_GRAMAJE_REQUERIDO_TIPOM,"")))</f>
        <v>100</v>
      </c>
      <c r="AB163" s="261">
        <f t="shared" si="116"/>
        <v>3059</v>
      </c>
      <c r="AC163" s="261">
        <v>0</v>
      </c>
      <c r="AD163" s="261">
        <f t="shared" si="117"/>
        <v>3059</v>
      </c>
      <c r="AE163" s="262">
        <f t="shared" si="118"/>
        <v>624036</v>
      </c>
      <c r="AF163" s="262">
        <v>0</v>
      </c>
      <c r="AG163" s="262">
        <f t="shared" si="119"/>
        <v>624036</v>
      </c>
      <c r="AH163" s="353">
        <f t="array" ref="AH163">MAX((IF(MNU_CODIGO_ALIMENTO_ENTREGA=CONCATENATE($C163,"_","P_"),MNU_GRAMAJE_REQUERIDO_TIPOH,"")))</f>
        <v>100</v>
      </c>
      <c r="AI163" s="259">
        <f t="shared" si="120"/>
        <v>5491</v>
      </c>
      <c r="AJ163" s="259">
        <v>0</v>
      </c>
      <c r="AK163" s="259">
        <f t="shared" si="121"/>
        <v>5491</v>
      </c>
      <c r="AL163" s="260">
        <f t="shared" si="122"/>
        <v>1120164</v>
      </c>
      <c r="AM163" s="260">
        <v>0</v>
      </c>
      <c r="AN163" s="260">
        <f t="shared" si="123"/>
        <v>1120164</v>
      </c>
      <c r="AO163" s="457">
        <f t="shared" si="124"/>
        <v>539513</v>
      </c>
      <c r="AP163" s="456">
        <f t="shared" si="125"/>
        <v>110060652</v>
      </c>
      <c r="AQ163" s="263" t="e">
        <f>#REF!+AH163+AA163+T163+M163</f>
        <v>#REF!</v>
      </c>
      <c r="AR163" s="263">
        <f t="shared" si="84"/>
        <v>110447321</v>
      </c>
      <c r="AS163" s="263" t="e">
        <f t="shared" si="85"/>
        <v>#REF!</v>
      </c>
      <c r="AT163" s="263">
        <f t="shared" si="86"/>
        <v>110840393</v>
      </c>
      <c r="AU163" s="263" t="e">
        <f t="shared" si="87"/>
        <v>#REF!</v>
      </c>
      <c r="AV163" s="263">
        <f t="shared" si="88"/>
        <v>112146605</v>
      </c>
      <c r="AW163" s="263" t="e">
        <f t="shared" si="89"/>
        <v>#REF!</v>
      </c>
      <c r="AX163" s="263" t="e">
        <f>AV163+#REF!+AH163+AA163+T163</f>
        <v>#REF!</v>
      </c>
      <c r="AY163" s="263" t="e">
        <f t="shared" si="90"/>
        <v>#REF!</v>
      </c>
      <c r="AZ163" s="263" t="e">
        <f t="shared" si="91"/>
        <v>#REF!</v>
      </c>
      <c r="BA163" s="263" t="e">
        <f t="shared" si="92"/>
        <v>#REF!</v>
      </c>
      <c r="BB163" s="263" t="e">
        <f t="shared" si="93"/>
        <v>#REF!</v>
      </c>
      <c r="BC163" s="263" t="e">
        <f t="shared" si="94"/>
        <v>#REF!</v>
      </c>
      <c r="BD163" s="263" t="e">
        <f t="shared" si="95"/>
        <v>#REF!</v>
      </c>
      <c r="BE163" s="263" t="e">
        <f>BC163+AV163+#REF!+AH163+AA163</f>
        <v>#REF!</v>
      </c>
      <c r="BF163" s="263" t="e">
        <f t="shared" si="96"/>
        <v>#REF!</v>
      </c>
      <c r="BG163" s="263" t="e">
        <f t="shared" si="97"/>
        <v>#REF!</v>
      </c>
    </row>
    <row r="164" spans="1:59" ht="15.75">
      <c r="A164" s="338">
        <v>12</v>
      </c>
      <c r="B164" s="338" t="s">
        <v>1</v>
      </c>
      <c r="C164" s="258">
        <v>43</v>
      </c>
      <c r="D164" s="328" t="s">
        <v>62</v>
      </c>
      <c r="E164" s="258" t="s">
        <v>9</v>
      </c>
      <c r="F164" s="431">
        <f t="array" ref="F164">MAX((IF(MNU_CODIGO_ALIMENTO_ENTREGA=CONCATENATE($C164,"_","P_"),MNU_GRAMAJE_REQUERIDO_TIPOA,"")))</f>
        <v>100</v>
      </c>
      <c r="G164" s="259">
        <f t="shared" si="98"/>
        <v>135528</v>
      </c>
      <c r="H164" s="259">
        <f t="shared" si="99"/>
        <v>13340</v>
      </c>
      <c r="I164" s="259">
        <f t="shared" si="100"/>
        <v>148868</v>
      </c>
      <c r="J164" s="260">
        <f t="shared" si="101"/>
        <v>24123984</v>
      </c>
      <c r="K164" s="260">
        <f t="shared" si="102"/>
        <v>2374520</v>
      </c>
      <c r="L164" s="260">
        <f t="shared" si="103"/>
        <v>26498504</v>
      </c>
      <c r="M164" s="432">
        <f t="array" ref="M164">MAX((IF(MNU_CODIGO_ALIMENTO_ENTREGA=CONCATENATE($C164,"_","P_"),MNU_GRAMAJE_REQUERIDO_TIPOB,"")))</f>
        <v>100</v>
      </c>
      <c r="N164" s="348">
        <f t="shared" si="104"/>
        <v>152728</v>
      </c>
      <c r="O164" s="348">
        <f t="shared" si="105"/>
        <v>0</v>
      </c>
      <c r="P164" s="348">
        <f t="shared" si="106"/>
        <v>152728</v>
      </c>
      <c r="Q164" s="349">
        <f t="shared" si="107"/>
        <v>27185584</v>
      </c>
      <c r="R164" s="349">
        <f t="shared" si="108"/>
        <v>0</v>
      </c>
      <c r="S164" s="349">
        <f t="shared" si="109"/>
        <v>27185584</v>
      </c>
      <c r="T164" s="353">
        <f t="array" ref="T164">MAX((IF(MNU_CODIGO_ALIMENTO_ENTREGA=CONCATENATE($C164,"_","P_"),MNU_GRAMAJE_REQUERIDO_TIPOC,"")))</f>
        <v>100</v>
      </c>
      <c r="U164" s="259">
        <f t="shared" si="110"/>
        <v>185589</v>
      </c>
      <c r="V164" s="259">
        <f t="shared" si="111"/>
        <v>7751</v>
      </c>
      <c r="W164" s="259">
        <f t="shared" si="112"/>
        <v>193340</v>
      </c>
      <c r="X164" s="260">
        <f t="shared" si="113"/>
        <v>33034842</v>
      </c>
      <c r="Y164" s="260">
        <f t="shared" si="114"/>
        <v>1379678</v>
      </c>
      <c r="Z164" s="260">
        <f t="shared" si="115"/>
        <v>34414520</v>
      </c>
      <c r="AA164" s="258">
        <f t="array" ref="AA164">MAX((IF(MNU_CODIGO_ALIMENTO_ENTREGA=CONCATENATE($C164,"_","P_"),MNU_GRAMAJE_REQUERIDO_TIPOM,"")))</f>
        <v>100</v>
      </c>
      <c r="AB164" s="261">
        <f t="shared" si="116"/>
        <v>2737</v>
      </c>
      <c r="AC164" s="261">
        <v>0</v>
      </c>
      <c r="AD164" s="261">
        <f t="shared" si="117"/>
        <v>2737</v>
      </c>
      <c r="AE164" s="262">
        <f t="shared" si="118"/>
        <v>487186</v>
      </c>
      <c r="AF164" s="262">
        <v>0</v>
      </c>
      <c r="AG164" s="262">
        <f t="shared" si="119"/>
        <v>487186</v>
      </c>
      <c r="AH164" s="353">
        <f t="array" ref="AH164">MAX((IF(MNU_CODIGO_ALIMENTO_ENTREGA=CONCATENATE($C164,"_","P_"),MNU_GRAMAJE_REQUERIDO_TIPOH,"")))</f>
        <v>100</v>
      </c>
      <c r="AI164" s="259">
        <f t="shared" si="120"/>
        <v>4913</v>
      </c>
      <c r="AJ164" s="259">
        <v>0</v>
      </c>
      <c r="AK164" s="259">
        <f t="shared" si="121"/>
        <v>4913</v>
      </c>
      <c r="AL164" s="260">
        <f t="shared" si="122"/>
        <v>874514</v>
      </c>
      <c r="AM164" s="260">
        <v>0</v>
      </c>
      <c r="AN164" s="260">
        <f t="shared" si="123"/>
        <v>874514</v>
      </c>
      <c r="AO164" s="457">
        <f t="shared" si="124"/>
        <v>502586</v>
      </c>
      <c r="AP164" s="456">
        <f t="shared" si="125"/>
        <v>89460308</v>
      </c>
      <c r="AQ164" s="263" t="e">
        <f>#REF!+AH164+AA164+T164+M164</f>
        <v>#REF!</v>
      </c>
      <c r="AR164" s="263">
        <f t="shared" si="84"/>
        <v>89806275</v>
      </c>
      <c r="AS164" s="263" t="e">
        <f t="shared" si="85"/>
        <v>#REF!</v>
      </c>
      <c r="AT164" s="263">
        <f t="shared" si="86"/>
        <v>90159993</v>
      </c>
      <c r="AU164" s="263" t="e">
        <f t="shared" si="87"/>
        <v>#REF!</v>
      </c>
      <c r="AV164" s="263">
        <f t="shared" si="88"/>
        <v>91539671</v>
      </c>
      <c r="AW164" s="263" t="e">
        <f t="shared" si="89"/>
        <v>#REF!</v>
      </c>
      <c r="AX164" s="263" t="e">
        <f>AV164+#REF!+AH164+AA164+T164</f>
        <v>#REF!</v>
      </c>
      <c r="AY164" s="263" t="e">
        <f t="shared" si="90"/>
        <v>#REF!</v>
      </c>
      <c r="AZ164" s="263" t="e">
        <f t="shared" si="91"/>
        <v>#REF!</v>
      </c>
      <c r="BA164" s="263" t="e">
        <f t="shared" si="92"/>
        <v>#REF!</v>
      </c>
      <c r="BB164" s="263" t="e">
        <f t="shared" si="93"/>
        <v>#REF!</v>
      </c>
      <c r="BC164" s="263" t="e">
        <f t="shared" si="94"/>
        <v>#REF!</v>
      </c>
      <c r="BD164" s="263" t="e">
        <f t="shared" si="95"/>
        <v>#REF!</v>
      </c>
      <c r="BE164" s="263" t="e">
        <f>BC164+AV164+#REF!+AH164+AA164</f>
        <v>#REF!</v>
      </c>
      <c r="BF164" s="263" t="e">
        <f t="shared" si="96"/>
        <v>#REF!</v>
      </c>
      <c r="BG164" s="263" t="e">
        <f t="shared" si="97"/>
        <v>#REF!</v>
      </c>
    </row>
    <row r="165" spans="1:59" ht="15.75">
      <c r="A165" s="338">
        <v>12</v>
      </c>
      <c r="B165" s="338" t="s">
        <v>1</v>
      </c>
      <c r="C165" s="258">
        <v>46</v>
      </c>
      <c r="D165" s="328" t="s">
        <v>64</v>
      </c>
      <c r="E165" s="258" t="s">
        <v>9</v>
      </c>
      <c r="F165" s="431">
        <f t="array" ref="F165">MAX((IF(MNU_CODIGO_ALIMENTO_ENTREGA=CONCATENATE($C165,"_","P_"),MNU_GRAMAJE_REQUERIDO_TIPOA,"")))</f>
        <v>100</v>
      </c>
      <c r="G165" s="259">
        <f t="shared" si="98"/>
        <v>169410</v>
      </c>
      <c r="H165" s="259">
        <f t="shared" si="99"/>
        <v>13340</v>
      </c>
      <c r="I165" s="259">
        <f t="shared" si="100"/>
        <v>182750</v>
      </c>
      <c r="J165" s="260">
        <f t="shared" si="101"/>
        <v>70813380</v>
      </c>
      <c r="K165" s="260">
        <f t="shared" si="102"/>
        <v>5576120</v>
      </c>
      <c r="L165" s="260">
        <f t="shared" si="103"/>
        <v>76389500</v>
      </c>
      <c r="M165" s="432">
        <f t="array" ref="M165">MAX((IF(MNU_CODIGO_ALIMENTO_ENTREGA=CONCATENATE($C165,"_","P_"),MNU_GRAMAJE_REQUERIDO_TIPOB,"")))</f>
        <v>100</v>
      </c>
      <c r="N165" s="348">
        <f t="shared" si="104"/>
        <v>188664</v>
      </c>
      <c r="O165" s="348">
        <f t="shared" si="105"/>
        <v>0</v>
      </c>
      <c r="P165" s="348">
        <f t="shared" si="106"/>
        <v>188664</v>
      </c>
      <c r="Q165" s="349">
        <f t="shared" si="107"/>
        <v>78861552</v>
      </c>
      <c r="R165" s="349">
        <f t="shared" si="108"/>
        <v>0</v>
      </c>
      <c r="S165" s="349">
        <f t="shared" si="109"/>
        <v>78861552</v>
      </c>
      <c r="T165" s="353">
        <f t="array" ref="T165">MAX((IF(MNU_CODIGO_ALIMENTO_ENTREGA=CONCATENATE($C165,"_","P_"),MNU_GRAMAJE_REQUERIDO_TIPOC,"")))</f>
        <v>100</v>
      </c>
      <c r="U165" s="259">
        <f t="shared" si="110"/>
        <v>229257</v>
      </c>
      <c r="V165" s="259">
        <f t="shared" si="111"/>
        <v>8088</v>
      </c>
      <c r="W165" s="259">
        <f t="shared" si="112"/>
        <v>237345</v>
      </c>
      <c r="X165" s="260">
        <f t="shared" si="113"/>
        <v>95829426</v>
      </c>
      <c r="Y165" s="260">
        <f t="shared" si="114"/>
        <v>3380784</v>
      </c>
      <c r="Z165" s="260">
        <f t="shared" si="115"/>
        <v>99210210</v>
      </c>
      <c r="AA165" s="258">
        <f t="array" ref="AA165">MAX((IF(MNU_CODIGO_ALIMENTO_ENTREGA=CONCATENATE($C165,"_","P_"),MNU_GRAMAJE_REQUERIDO_TIPOM,"")))</f>
        <v>100</v>
      </c>
      <c r="AB165" s="261">
        <f t="shared" si="116"/>
        <v>3381</v>
      </c>
      <c r="AC165" s="261">
        <v>0</v>
      </c>
      <c r="AD165" s="261">
        <f t="shared" si="117"/>
        <v>3381</v>
      </c>
      <c r="AE165" s="262">
        <f t="shared" si="118"/>
        <v>1413258</v>
      </c>
      <c r="AF165" s="262">
        <v>0</v>
      </c>
      <c r="AG165" s="262">
        <f t="shared" si="119"/>
        <v>1413258</v>
      </c>
      <c r="AH165" s="353">
        <f t="array" ref="AH165">MAX((IF(MNU_CODIGO_ALIMENTO_ENTREGA=CONCATENATE($C165,"_","P_"),MNU_GRAMAJE_REQUERIDO_TIPOH,"")))</f>
        <v>100</v>
      </c>
      <c r="AI165" s="259">
        <f t="shared" si="120"/>
        <v>6069</v>
      </c>
      <c r="AJ165" s="259">
        <v>0</v>
      </c>
      <c r="AK165" s="259">
        <f t="shared" si="121"/>
        <v>6069</v>
      </c>
      <c r="AL165" s="260">
        <f t="shared" si="122"/>
        <v>2536842</v>
      </c>
      <c r="AM165" s="260">
        <v>0</v>
      </c>
      <c r="AN165" s="260">
        <f t="shared" si="123"/>
        <v>2536842</v>
      </c>
      <c r="AO165" s="457">
        <f t="shared" si="124"/>
        <v>618209</v>
      </c>
      <c r="AP165" s="456">
        <f t="shared" si="125"/>
        <v>258411362</v>
      </c>
      <c r="AQ165" s="263" t="e">
        <f>#REF!+AH165+AA165+T165+M165</f>
        <v>#REF!</v>
      </c>
      <c r="AR165" s="263">
        <f t="shared" si="84"/>
        <v>258838733</v>
      </c>
      <c r="AS165" s="263" t="e">
        <f t="shared" si="85"/>
        <v>#REF!</v>
      </c>
      <c r="AT165" s="263">
        <f t="shared" si="86"/>
        <v>259274192</v>
      </c>
      <c r="AU165" s="263" t="e">
        <f t="shared" si="87"/>
        <v>#REF!</v>
      </c>
      <c r="AV165" s="263">
        <f t="shared" si="88"/>
        <v>262654976</v>
      </c>
      <c r="AW165" s="263" t="e">
        <f t="shared" si="89"/>
        <v>#REF!</v>
      </c>
      <c r="AX165" s="263" t="e">
        <f>AV165+#REF!+AH165+AA165+T165</f>
        <v>#REF!</v>
      </c>
      <c r="AY165" s="263" t="e">
        <f t="shared" si="90"/>
        <v>#REF!</v>
      </c>
      <c r="AZ165" s="263" t="e">
        <f t="shared" si="91"/>
        <v>#REF!</v>
      </c>
      <c r="BA165" s="263" t="e">
        <f t="shared" si="92"/>
        <v>#REF!</v>
      </c>
      <c r="BB165" s="263" t="e">
        <f t="shared" si="93"/>
        <v>#REF!</v>
      </c>
      <c r="BC165" s="263" t="e">
        <f t="shared" si="94"/>
        <v>#REF!</v>
      </c>
      <c r="BD165" s="263" t="e">
        <f t="shared" si="95"/>
        <v>#REF!</v>
      </c>
      <c r="BE165" s="263" t="e">
        <f>BC165+AV165+#REF!+AH165+AA165</f>
        <v>#REF!</v>
      </c>
      <c r="BF165" s="263" t="e">
        <f t="shared" si="96"/>
        <v>#REF!</v>
      </c>
      <c r="BG165" s="263" t="e">
        <f t="shared" si="97"/>
        <v>#REF!</v>
      </c>
    </row>
    <row r="166" spans="1:59" ht="15.75">
      <c r="A166" s="338">
        <v>12</v>
      </c>
      <c r="B166" s="338" t="s">
        <v>1</v>
      </c>
      <c r="C166" s="258">
        <v>58</v>
      </c>
      <c r="D166" s="328" t="s">
        <v>67</v>
      </c>
      <c r="E166" s="258" t="s">
        <v>9</v>
      </c>
      <c r="F166" s="431">
        <f t="array" ref="F166">MAX((IF(MNU_CODIGO_ALIMENTO_ENTREGA=CONCATENATE($C166,"_","P_"),MNU_GRAMAJE_REQUERIDO_TIPOA,"")))</f>
        <v>100</v>
      </c>
      <c r="G166" s="259">
        <f t="shared" si="98"/>
        <v>135528</v>
      </c>
      <c r="H166" s="259">
        <f t="shared" si="99"/>
        <v>12880</v>
      </c>
      <c r="I166" s="259">
        <f t="shared" si="100"/>
        <v>148408</v>
      </c>
      <c r="J166" s="260">
        <f t="shared" si="101"/>
        <v>21955536</v>
      </c>
      <c r="K166" s="260">
        <f t="shared" si="102"/>
        <v>2086560</v>
      </c>
      <c r="L166" s="260">
        <f t="shared" si="103"/>
        <v>24042096</v>
      </c>
      <c r="M166" s="432">
        <f t="array" ref="M166">MAX((IF(MNU_CODIGO_ALIMENTO_ENTREGA=CONCATENATE($C166,"_","P_"),MNU_GRAMAJE_REQUERIDO_TIPOB,"")))</f>
        <v>100</v>
      </c>
      <c r="N166" s="348">
        <f t="shared" si="104"/>
        <v>206632</v>
      </c>
      <c r="O166" s="348">
        <f t="shared" si="105"/>
        <v>0</v>
      </c>
      <c r="P166" s="348">
        <f t="shared" si="106"/>
        <v>206632</v>
      </c>
      <c r="Q166" s="349">
        <f t="shared" si="107"/>
        <v>33474384</v>
      </c>
      <c r="R166" s="349">
        <f t="shared" si="108"/>
        <v>0</v>
      </c>
      <c r="S166" s="349">
        <f t="shared" si="109"/>
        <v>33474384</v>
      </c>
      <c r="T166" s="353">
        <f t="array" ref="T166">MAX((IF(MNU_CODIGO_ALIMENTO_ENTREGA=CONCATENATE($C166,"_","P_"),MNU_GRAMAJE_REQUERIDO_TIPOC,"")))</f>
        <v>100</v>
      </c>
      <c r="U166" s="259">
        <f t="shared" si="110"/>
        <v>251091</v>
      </c>
      <c r="V166" s="259">
        <f t="shared" si="111"/>
        <v>7751</v>
      </c>
      <c r="W166" s="259">
        <f t="shared" si="112"/>
        <v>258842</v>
      </c>
      <c r="X166" s="260">
        <f t="shared" si="113"/>
        <v>40676742</v>
      </c>
      <c r="Y166" s="260">
        <f t="shared" si="114"/>
        <v>1255662</v>
      </c>
      <c r="Z166" s="260">
        <f t="shared" si="115"/>
        <v>41932404</v>
      </c>
      <c r="AA166" s="258">
        <f t="array" ref="AA166">MAX((IF(MNU_CODIGO_ALIMENTO_ENTREGA=CONCATENATE($C166,"_","P_"),MNU_GRAMAJE_REQUERIDO_TIPOM,"")))</f>
        <v>100</v>
      </c>
      <c r="AB166" s="261">
        <f t="shared" si="116"/>
        <v>3703</v>
      </c>
      <c r="AC166" s="261">
        <v>0</v>
      </c>
      <c r="AD166" s="261">
        <f t="shared" si="117"/>
        <v>3703</v>
      </c>
      <c r="AE166" s="262">
        <f t="shared" si="118"/>
        <v>599886</v>
      </c>
      <c r="AF166" s="262">
        <v>0</v>
      </c>
      <c r="AG166" s="262">
        <f t="shared" si="119"/>
        <v>599886</v>
      </c>
      <c r="AH166" s="353">
        <f t="array" ref="AH166">MAX((IF(MNU_CODIGO_ALIMENTO_ENTREGA=CONCATENATE($C166,"_","P_"),MNU_GRAMAJE_REQUERIDO_TIPOH,"")))</f>
        <v>100</v>
      </c>
      <c r="AI166" s="259">
        <f t="shared" si="120"/>
        <v>6647</v>
      </c>
      <c r="AJ166" s="259">
        <v>0</v>
      </c>
      <c r="AK166" s="259">
        <f t="shared" si="121"/>
        <v>6647</v>
      </c>
      <c r="AL166" s="260">
        <f t="shared" si="122"/>
        <v>1076814</v>
      </c>
      <c r="AM166" s="260">
        <v>0</v>
      </c>
      <c r="AN166" s="260">
        <f t="shared" si="123"/>
        <v>1076814</v>
      </c>
      <c r="AO166" s="457">
        <f t="shared" si="124"/>
        <v>624232</v>
      </c>
      <c r="AP166" s="456">
        <f t="shared" si="125"/>
        <v>101125584</v>
      </c>
      <c r="AQ166" s="263" t="e">
        <f>#REF!+AH166+AA166+T166+M166</f>
        <v>#REF!</v>
      </c>
      <c r="AR166" s="263">
        <f t="shared" si="84"/>
        <v>101593657</v>
      </c>
      <c r="AS166" s="263" t="e">
        <f t="shared" si="85"/>
        <v>#REF!</v>
      </c>
      <c r="AT166" s="263">
        <f t="shared" si="86"/>
        <v>102069481</v>
      </c>
      <c r="AU166" s="263" t="e">
        <f t="shared" si="87"/>
        <v>#REF!</v>
      </c>
      <c r="AV166" s="263">
        <f t="shared" si="88"/>
        <v>103325143</v>
      </c>
      <c r="AW166" s="263" t="e">
        <f t="shared" si="89"/>
        <v>#REF!</v>
      </c>
      <c r="AX166" s="263" t="e">
        <f>AV166+#REF!+AH166+AA166+T166</f>
        <v>#REF!</v>
      </c>
      <c r="AY166" s="263" t="e">
        <f t="shared" si="90"/>
        <v>#REF!</v>
      </c>
      <c r="AZ166" s="263" t="e">
        <f t="shared" si="91"/>
        <v>#REF!</v>
      </c>
      <c r="BA166" s="263" t="e">
        <f t="shared" si="92"/>
        <v>#REF!</v>
      </c>
      <c r="BB166" s="263" t="e">
        <f t="shared" si="93"/>
        <v>#REF!</v>
      </c>
      <c r="BC166" s="263" t="e">
        <f t="shared" si="94"/>
        <v>#REF!</v>
      </c>
      <c r="BD166" s="263" t="e">
        <f t="shared" si="95"/>
        <v>#REF!</v>
      </c>
      <c r="BE166" s="263" t="e">
        <f>BC166+AV166+#REF!+AH166+AA166</f>
        <v>#REF!</v>
      </c>
      <c r="BF166" s="263" t="e">
        <f t="shared" si="96"/>
        <v>#REF!</v>
      </c>
      <c r="BG166" s="263" t="e">
        <f t="shared" si="97"/>
        <v>#REF!</v>
      </c>
    </row>
    <row r="167" spans="1:59" ht="15.75">
      <c r="A167" s="338">
        <v>12</v>
      </c>
      <c r="B167" s="338" t="s">
        <v>1</v>
      </c>
      <c r="C167" s="258">
        <v>59</v>
      </c>
      <c r="D167" s="328" t="s">
        <v>99</v>
      </c>
      <c r="E167" s="258" t="s">
        <v>9</v>
      </c>
      <c r="F167" s="431">
        <f t="array" ref="F167">MAX((IF(MNU_CODIGO_ALIMENTO_ENTREGA=CONCATENATE($C167,"_","P_"),MNU_GRAMAJE_REQUERIDO_TIPOA,"")))</f>
        <v>0</v>
      </c>
      <c r="G167" s="259">
        <f t="shared" si="98"/>
        <v>0</v>
      </c>
      <c r="H167" s="259">
        <f t="shared" si="99"/>
        <v>0</v>
      </c>
      <c r="I167" s="259">
        <f t="shared" si="100"/>
        <v>0</v>
      </c>
      <c r="J167" s="260">
        <f t="shared" si="101"/>
        <v>0</v>
      </c>
      <c r="K167" s="260">
        <f t="shared" si="102"/>
        <v>0</v>
      </c>
      <c r="L167" s="260">
        <f t="shared" si="103"/>
        <v>0</v>
      </c>
      <c r="M167" s="432">
        <f t="array" ref="M167">MAX((IF(MNU_CODIGO_ALIMENTO_ENTREGA=CONCATENATE($C167,"_","P_"),MNU_GRAMAJE_REQUERIDO_TIPOB,"")))</f>
        <v>100</v>
      </c>
      <c r="N167" s="348">
        <f t="shared" si="104"/>
        <v>71872</v>
      </c>
      <c r="O167" s="348">
        <f t="shared" si="105"/>
        <v>0</v>
      </c>
      <c r="P167" s="348">
        <f t="shared" si="106"/>
        <v>71872</v>
      </c>
      <c r="Q167" s="349">
        <f t="shared" si="107"/>
        <v>21561600</v>
      </c>
      <c r="R167" s="349">
        <f t="shared" si="108"/>
        <v>0</v>
      </c>
      <c r="S167" s="349">
        <f t="shared" si="109"/>
        <v>21561600</v>
      </c>
      <c r="T167" s="353">
        <f t="array" ref="T167">MAX((IF(MNU_CODIGO_ALIMENTO_ENTREGA=CONCATENATE($C167,"_","P_"),MNU_GRAMAJE_REQUERIDO_TIPOC,"")))</f>
        <v>100</v>
      </c>
      <c r="U167" s="259">
        <f t="shared" si="110"/>
        <v>87336</v>
      </c>
      <c r="V167" s="259">
        <f t="shared" si="111"/>
        <v>3707</v>
      </c>
      <c r="W167" s="259">
        <f t="shared" si="112"/>
        <v>91043</v>
      </c>
      <c r="X167" s="260">
        <f t="shared" si="113"/>
        <v>26200800</v>
      </c>
      <c r="Y167" s="260">
        <f t="shared" si="114"/>
        <v>1112100</v>
      </c>
      <c r="Z167" s="260">
        <f t="shared" si="115"/>
        <v>27312900</v>
      </c>
      <c r="AA167" s="258">
        <f t="array" ref="AA167">MAX((IF(MNU_CODIGO_ALIMENTO_ENTREGA=CONCATENATE($C167,"_","P_"),MNU_GRAMAJE_REQUERIDO_TIPOM,"")))</f>
        <v>100</v>
      </c>
      <c r="AB167" s="261">
        <f t="shared" si="116"/>
        <v>1288</v>
      </c>
      <c r="AC167" s="261">
        <v>0</v>
      </c>
      <c r="AD167" s="261">
        <f t="shared" si="117"/>
        <v>1288</v>
      </c>
      <c r="AE167" s="262">
        <f t="shared" si="118"/>
        <v>386400</v>
      </c>
      <c r="AF167" s="262">
        <v>0</v>
      </c>
      <c r="AG167" s="262">
        <f t="shared" si="119"/>
        <v>386400</v>
      </c>
      <c r="AH167" s="353">
        <f t="array" ref="AH167">MAX((IF(MNU_CODIGO_ALIMENTO_ENTREGA=CONCATENATE($C167,"_","P_"),MNU_GRAMAJE_REQUERIDO_TIPOH,"")))</f>
        <v>100</v>
      </c>
      <c r="AI167" s="259">
        <f t="shared" si="120"/>
        <v>2312</v>
      </c>
      <c r="AJ167" s="259">
        <v>0</v>
      </c>
      <c r="AK167" s="259">
        <f t="shared" si="121"/>
        <v>2312</v>
      </c>
      <c r="AL167" s="260">
        <f t="shared" si="122"/>
        <v>693600</v>
      </c>
      <c r="AM167" s="260">
        <v>0</v>
      </c>
      <c r="AN167" s="260">
        <f t="shared" si="123"/>
        <v>693600</v>
      </c>
      <c r="AO167" s="457">
        <f t="shared" si="124"/>
        <v>166515</v>
      </c>
      <c r="AP167" s="456">
        <f t="shared" si="125"/>
        <v>49954500</v>
      </c>
      <c r="AQ167" s="263" t="e">
        <f>#REF!+AH167+AA167+T167+M167</f>
        <v>#REF!</v>
      </c>
      <c r="AR167" s="263">
        <f t="shared" si="84"/>
        <v>50117308</v>
      </c>
      <c r="AS167" s="263" t="e">
        <f t="shared" si="85"/>
        <v>#REF!</v>
      </c>
      <c r="AT167" s="263">
        <f t="shared" si="86"/>
        <v>50283823</v>
      </c>
      <c r="AU167" s="263" t="e">
        <f t="shared" si="87"/>
        <v>#REF!</v>
      </c>
      <c r="AV167" s="263">
        <f t="shared" si="88"/>
        <v>51395923</v>
      </c>
      <c r="AW167" s="263" t="e">
        <f t="shared" si="89"/>
        <v>#REF!</v>
      </c>
      <c r="AX167" s="263" t="e">
        <f>AV167+#REF!+AH167+AA167+T167</f>
        <v>#REF!</v>
      </c>
      <c r="AY167" s="263" t="e">
        <f t="shared" si="90"/>
        <v>#REF!</v>
      </c>
      <c r="AZ167" s="263" t="e">
        <f t="shared" si="91"/>
        <v>#REF!</v>
      </c>
      <c r="BA167" s="263" t="e">
        <f t="shared" si="92"/>
        <v>#REF!</v>
      </c>
      <c r="BB167" s="263" t="e">
        <f t="shared" si="93"/>
        <v>#REF!</v>
      </c>
      <c r="BC167" s="263" t="e">
        <f t="shared" si="94"/>
        <v>#REF!</v>
      </c>
      <c r="BD167" s="263" t="e">
        <f t="shared" si="95"/>
        <v>#REF!</v>
      </c>
      <c r="BE167" s="263" t="e">
        <f>BC167+AV167+#REF!+AH167+AA167</f>
        <v>#REF!</v>
      </c>
      <c r="BF167" s="263" t="e">
        <f t="shared" si="96"/>
        <v>#REF!</v>
      </c>
      <c r="BG167" s="263" t="e">
        <f t="shared" si="97"/>
        <v>#REF!</v>
      </c>
    </row>
    <row r="168" spans="1:59" ht="15.75">
      <c r="A168" s="338">
        <v>12</v>
      </c>
      <c r="B168" s="338" t="s">
        <v>1</v>
      </c>
      <c r="C168" s="258">
        <v>69</v>
      </c>
      <c r="D168" s="328" t="s">
        <v>70</v>
      </c>
      <c r="E168" s="258" t="s">
        <v>9</v>
      </c>
      <c r="F168" s="431">
        <f t="array" ref="F168">MAX((IF(MNU_CODIGO_ALIMENTO_ENTREGA=CONCATENATE($C168,"_","P_"),MNU_GRAMAJE_REQUERIDO_TIPOA,"")))</f>
        <v>100</v>
      </c>
      <c r="G168" s="259">
        <f t="shared" si="98"/>
        <v>169410</v>
      </c>
      <c r="H168" s="259">
        <f t="shared" si="99"/>
        <v>8280</v>
      </c>
      <c r="I168" s="259">
        <f t="shared" si="100"/>
        <v>177690</v>
      </c>
      <c r="J168" s="260">
        <f t="shared" si="101"/>
        <v>54211200</v>
      </c>
      <c r="K168" s="260">
        <f t="shared" si="102"/>
        <v>2649600</v>
      </c>
      <c r="L168" s="260">
        <f t="shared" si="103"/>
        <v>56860800</v>
      </c>
      <c r="M168" s="432">
        <f t="array" ref="M168">MAX((IF(MNU_CODIGO_ALIMENTO_ENTREGA=CONCATENATE($C168,"_","P_"),MNU_GRAMAJE_REQUERIDO_TIPOB,"")))</f>
        <v>100</v>
      </c>
      <c r="N168" s="348">
        <f t="shared" si="104"/>
        <v>143744</v>
      </c>
      <c r="O168" s="348">
        <f t="shared" si="105"/>
        <v>0</v>
      </c>
      <c r="P168" s="348">
        <f t="shared" si="106"/>
        <v>143744</v>
      </c>
      <c r="Q168" s="349">
        <f t="shared" si="107"/>
        <v>45998080</v>
      </c>
      <c r="R168" s="349">
        <f t="shared" si="108"/>
        <v>0</v>
      </c>
      <c r="S168" s="349">
        <f t="shared" si="109"/>
        <v>45998080</v>
      </c>
      <c r="T168" s="353">
        <f t="array" ref="T168">MAX((IF(MNU_CODIGO_ALIMENTO_ENTREGA=CONCATENATE($C168,"_","P_"),MNU_GRAMAJE_REQUERIDO_TIPOC,"")))</f>
        <v>100</v>
      </c>
      <c r="U168" s="259">
        <f t="shared" si="110"/>
        <v>174672</v>
      </c>
      <c r="V168" s="259">
        <f t="shared" si="111"/>
        <v>4044</v>
      </c>
      <c r="W168" s="259">
        <f t="shared" si="112"/>
        <v>178716</v>
      </c>
      <c r="X168" s="260">
        <f t="shared" si="113"/>
        <v>55895040</v>
      </c>
      <c r="Y168" s="260">
        <f t="shared" si="114"/>
        <v>1294080</v>
      </c>
      <c r="Z168" s="260">
        <f t="shared" si="115"/>
        <v>57189120</v>
      </c>
      <c r="AA168" s="258">
        <f t="array" ref="AA168">MAX((IF(MNU_CODIGO_ALIMENTO_ENTREGA=CONCATENATE($C168,"_","P_"),MNU_GRAMAJE_REQUERIDO_TIPOM,"")))</f>
        <v>100</v>
      </c>
      <c r="AB168" s="261">
        <f t="shared" si="116"/>
        <v>2576</v>
      </c>
      <c r="AC168" s="261">
        <v>0</v>
      </c>
      <c r="AD168" s="261">
        <f t="shared" si="117"/>
        <v>2576</v>
      </c>
      <c r="AE168" s="262">
        <f t="shared" si="118"/>
        <v>824320</v>
      </c>
      <c r="AF168" s="262">
        <v>0</v>
      </c>
      <c r="AG168" s="262">
        <f t="shared" si="119"/>
        <v>824320</v>
      </c>
      <c r="AH168" s="353">
        <f t="array" ref="AH168">MAX((IF(MNU_CODIGO_ALIMENTO_ENTREGA=CONCATENATE($C168,"_","P_"),MNU_GRAMAJE_REQUERIDO_TIPOH,"")))</f>
        <v>100</v>
      </c>
      <c r="AI168" s="259">
        <f t="shared" si="120"/>
        <v>4624</v>
      </c>
      <c r="AJ168" s="259">
        <v>0</v>
      </c>
      <c r="AK168" s="259">
        <f t="shared" si="121"/>
        <v>4624</v>
      </c>
      <c r="AL168" s="260">
        <f t="shared" si="122"/>
        <v>1479680</v>
      </c>
      <c r="AM168" s="260">
        <v>0</v>
      </c>
      <c r="AN168" s="260">
        <f t="shared" si="123"/>
        <v>1479680</v>
      </c>
      <c r="AO168" s="457">
        <f t="shared" si="124"/>
        <v>507350</v>
      </c>
      <c r="AP168" s="456">
        <f t="shared" si="125"/>
        <v>162352000</v>
      </c>
      <c r="AQ168" s="263" t="e">
        <f>#REF!+AH168+AA168+T168+M168</f>
        <v>#REF!</v>
      </c>
      <c r="AR168" s="263">
        <f t="shared" si="84"/>
        <v>162677616</v>
      </c>
      <c r="AS168" s="263" t="e">
        <f t="shared" si="85"/>
        <v>#REF!</v>
      </c>
      <c r="AT168" s="263">
        <f t="shared" si="86"/>
        <v>163007276</v>
      </c>
      <c r="AU168" s="263" t="e">
        <f t="shared" si="87"/>
        <v>#REF!</v>
      </c>
      <c r="AV168" s="263">
        <f t="shared" si="88"/>
        <v>164301356</v>
      </c>
      <c r="AW168" s="263" t="e">
        <f t="shared" si="89"/>
        <v>#REF!</v>
      </c>
      <c r="AX168" s="263" t="e">
        <f>AV168+#REF!+AH168+AA168+T168</f>
        <v>#REF!</v>
      </c>
      <c r="AY168" s="263" t="e">
        <f t="shared" si="90"/>
        <v>#REF!</v>
      </c>
      <c r="AZ168" s="263" t="e">
        <f t="shared" si="91"/>
        <v>#REF!</v>
      </c>
      <c r="BA168" s="263" t="e">
        <f t="shared" si="92"/>
        <v>#REF!</v>
      </c>
      <c r="BB168" s="263" t="e">
        <f t="shared" si="93"/>
        <v>#REF!</v>
      </c>
      <c r="BC168" s="263" t="e">
        <f t="shared" si="94"/>
        <v>#REF!</v>
      </c>
      <c r="BD168" s="263" t="e">
        <f t="shared" si="95"/>
        <v>#REF!</v>
      </c>
      <c r="BE168" s="263" t="e">
        <f>BC168+AV168+#REF!+AH168+AA168</f>
        <v>#REF!</v>
      </c>
      <c r="BF168" s="263" t="e">
        <f t="shared" si="96"/>
        <v>#REF!</v>
      </c>
      <c r="BG168" s="263" t="e">
        <f t="shared" si="97"/>
        <v>#REF!</v>
      </c>
    </row>
    <row r="169" spans="1:59" ht="15.75">
      <c r="A169" s="338">
        <v>12</v>
      </c>
      <c r="B169" s="338" t="s">
        <v>1</v>
      </c>
      <c r="C169" s="258">
        <v>70</v>
      </c>
      <c r="D169" s="328" t="s">
        <v>71</v>
      </c>
      <c r="E169" s="258" t="s">
        <v>9</v>
      </c>
      <c r="F169" s="431">
        <f t="array" ref="F169">MAX((IF(MNU_CODIGO_ALIMENTO_ENTREGA=CONCATENATE($C169,"_","P_"),MNU_GRAMAJE_REQUERIDO_TIPOA,"")))</f>
        <v>0</v>
      </c>
      <c r="G169" s="259">
        <f t="shared" si="98"/>
        <v>0</v>
      </c>
      <c r="H169" s="259">
        <f t="shared" si="99"/>
        <v>0</v>
      </c>
      <c r="I169" s="259">
        <f t="shared" si="100"/>
        <v>0</v>
      </c>
      <c r="J169" s="260">
        <f t="shared" si="101"/>
        <v>0</v>
      </c>
      <c r="K169" s="260">
        <f t="shared" si="102"/>
        <v>0</v>
      </c>
      <c r="L169" s="260">
        <f t="shared" si="103"/>
        <v>0</v>
      </c>
      <c r="M169" s="432">
        <f t="array" ref="M169">MAX((IF(MNU_CODIGO_ALIMENTO_ENTREGA=CONCATENATE($C169,"_","P_"),MNU_GRAMAJE_REQUERIDO_TIPOB,"")))</f>
        <v>100</v>
      </c>
      <c r="N169" s="348">
        <f t="shared" si="104"/>
        <v>89840</v>
      </c>
      <c r="O169" s="348">
        <f t="shared" si="105"/>
        <v>0</v>
      </c>
      <c r="P169" s="348">
        <f t="shared" si="106"/>
        <v>89840</v>
      </c>
      <c r="Q169" s="349">
        <f t="shared" si="107"/>
        <v>40967040</v>
      </c>
      <c r="R169" s="349">
        <f t="shared" si="108"/>
        <v>0</v>
      </c>
      <c r="S169" s="349">
        <f t="shared" si="109"/>
        <v>40967040</v>
      </c>
      <c r="T169" s="353">
        <f t="array" ref="T169">MAX((IF(MNU_CODIGO_ALIMENTO_ENTREGA=CONCATENATE($C169,"_","P_"),MNU_GRAMAJE_REQUERIDO_TIPOC,"")))</f>
        <v>100</v>
      </c>
      <c r="U169" s="259">
        <f t="shared" si="110"/>
        <v>109170</v>
      </c>
      <c r="V169" s="259">
        <f t="shared" si="111"/>
        <v>2696</v>
      </c>
      <c r="W169" s="259">
        <f t="shared" si="112"/>
        <v>111866</v>
      </c>
      <c r="X169" s="260">
        <f t="shared" si="113"/>
        <v>49781520</v>
      </c>
      <c r="Y169" s="260">
        <f t="shared" si="114"/>
        <v>1229376</v>
      </c>
      <c r="Z169" s="260">
        <f t="shared" si="115"/>
        <v>51010896</v>
      </c>
      <c r="AA169" s="258">
        <f t="array" ref="AA169">MAX((IF(MNU_CODIGO_ALIMENTO_ENTREGA=CONCATENATE($C169,"_","P_"),MNU_GRAMAJE_REQUERIDO_TIPOM,"")))</f>
        <v>100</v>
      </c>
      <c r="AB169" s="261">
        <f t="shared" si="116"/>
        <v>1610</v>
      </c>
      <c r="AC169" s="261">
        <v>0</v>
      </c>
      <c r="AD169" s="261">
        <f t="shared" si="117"/>
        <v>1610</v>
      </c>
      <c r="AE169" s="262">
        <f t="shared" si="118"/>
        <v>734160</v>
      </c>
      <c r="AF169" s="262">
        <v>0</v>
      </c>
      <c r="AG169" s="262">
        <f t="shared" si="119"/>
        <v>734160</v>
      </c>
      <c r="AH169" s="353">
        <f t="array" ref="AH169">MAX((IF(MNU_CODIGO_ALIMENTO_ENTREGA=CONCATENATE($C169,"_","P_"),MNU_GRAMAJE_REQUERIDO_TIPOH,"")))</f>
        <v>100</v>
      </c>
      <c r="AI169" s="259">
        <f t="shared" si="120"/>
        <v>2890</v>
      </c>
      <c r="AJ169" s="259">
        <v>0</v>
      </c>
      <c r="AK169" s="259">
        <f t="shared" si="121"/>
        <v>2890</v>
      </c>
      <c r="AL169" s="260">
        <f t="shared" si="122"/>
        <v>1317840</v>
      </c>
      <c r="AM169" s="260">
        <v>0</v>
      </c>
      <c r="AN169" s="260">
        <f t="shared" si="123"/>
        <v>1317840</v>
      </c>
      <c r="AO169" s="457">
        <f t="shared" si="124"/>
        <v>206206</v>
      </c>
      <c r="AP169" s="456">
        <f t="shared" si="125"/>
        <v>94029936</v>
      </c>
      <c r="AQ169" s="263" t="e">
        <f>#REF!+AH169+AA169+T169+M169</f>
        <v>#REF!</v>
      </c>
      <c r="AR169" s="263">
        <f t="shared" ref="AR169:AR232" si="126">AP169+AI169+AB169+U169+N169</f>
        <v>94233446</v>
      </c>
      <c r="AS169" s="263" t="e">
        <f t="shared" ref="AS169:AS232" si="127">AQ169+AJ169+AC169+V169+O169</f>
        <v>#REF!</v>
      </c>
      <c r="AT169" s="263">
        <f t="shared" ref="AT169:AT232" si="128">AR169+AK169+AD169+W169+P169</f>
        <v>94439652</v>
      </c>
      <c r="AU169" s="263" t="e">
        <f t="shared" ref="AU169:AU232" si="129">AS169+AL169+AE169+X169+Q169</f>
        <v>#REF!</v>
      </c>
      <c r="AV169" s="263">
        <f t="shared" ref="AV169:AV232" si="130">AT169+AM169+AF169+Y169+R169</f>
        <v>95669028</v>
      </c>
      <c r="AW169" s="263" t="e">
        <f t="shared" ref="AW169:AW232" si="131">AU169+AN169+AG169+Z169+S169</f>
        <v>#REF!</v>
      </c>
      <c r="AX169" s="263" t="e">
        <f>AV169+#REF!+AH169+AA169+T169</f>
        <v>#REF!</v>
      </c>
      <c r="AY169" s="263" t="e">
        <f t="shared" ref="AY169:AY232" si="132">AW169+AP169+AI169+AB169+U169</f>
        <v>#REF!</v>
      </c>
      <c r="AZ169" s="263" t="e">
        <f t="shared" ref="AZ169:AZ232" si="133">AX169+AQ169+AJ169+AC169+V169</f>
        <v>#REF!</v>
      </c>
      <c r="BA169" s="263" t="e">
        <f t="shared" ref="BA169:BA232" si="134">AY169+AR169+AK169+AD169+W169</f>
        <v>#REF!</v>
      </c>
      <c r="BB169" s="263" t="e">
        <f t="shared" ref="BB169:BB232" si="135">AZ169+AS169+AL169+AE169+X169</f>
        <v>#REF!</v>
      </c>
      <c r="BC169" s="263" t="e">
        <f t="shared" ref="BC169:BC232" si="136">BA169+AT169+AM169+AF169+Y169</f>
        <v>#REF!</v>
      </c>
      <c r="BD169" s="263" t="e">
        <f t="shared" ref="BD169:BD232" si="137">BB169+AU169+AN169+AG169+Z169</f>
        <v>#REF!</v>
      </c>
      <c r="BE169" s="263" t="e">
        <f>BC169+AV169+#REF!+AH169+AA169</f>
        <v>#REF!</v>
      </c>
      <c r="BF169" s="263" t="e">
        <f t="shared" ref="BF169:BF232" si="138">BD169+AW169+AP169+AI169+AB169</f>
        <v>#REF!</v>
      </c>
      <c r="BG169" s="263" t="e">
        <f t="shared" ref="BG169:BG232" si="139">BE169+AX169+AQ169+AJ169+AC169</f>
        <v>#REF!</v>
      </c>
    </row>
    <row r="170" spans="1:59" ht="15.75">
      <c r="A170" s="338">
        <v>13</v>
      </c>
      <c r="B170" s="338" t="s">
        <v>1</v>
      </c>
      <c r="C170" s="258">
        <v>7</v>
      </c>
      <c r="D170" s="328" t="s">
        <v>57</v>
      </c>
      <c r="E170" s="258" t="s">
        <v>9</v>
      </c>
      <c r="F170" s="431">
        <f t="array" ref="F170">MAX((IF(MNU_CODIGO_ALIMENTO_ENTREGA=CONCATENATE($C170,"_","P_"),MNU_GRAMAJE_REQUERIDO_TIPOA,"")))</f>
        <v>100</v>
      </c>
      <c r="G170" s="259">
        <f t="shared" si="98"/>
        <v>113564</v>
      </c>
      <c r="H170" s="259">
        <f t="shared" si="99"/>
        <v>10106</v>
      </c>
      <c r="I170" s="259">
        <f t="shared" si="100"/>
        <v>123670</v>
      </c>
      <c r="J170" s="260">
        <f t="shared" si="101"/>
        <v>12719168</v>
      </c>
      <c r="K170" s="260">
        <f t="shared" si="102"/>
        <v>1131872</v>
      </c>
      <c r="L170" s="260">
        <f t="shared" si="103"/>
        <v>13851040</v>
      </c>
      <c r="M170" s="432">
        <f t="array" ref="M170">MAX((IF(MNU_CODIGO_ALIMENTO_ENTREGA=CONCATENATE($C170,"_","P_"),MNU_GRAMAJE_REQUERIDO_TIPOB,"")))</f>
        <v>100</v>
      </c>
      <c r="N170" s="348">
        <f t="shared" si="104"/>
        <v>67554</v>
      </c>
      <c r="O170" s="348">
        <f t="shared" si="105"/>
        <v>10670</v>
      </c>
      <c r="P170" s="348">
        <f t="shared" si="106"/>
        <v>78224</v>
      </c>
      <c r="Q170" s="349">
        <f t="shared" si="107"/>
        <v>7566048</v>
      </c>
      <c r="R170" s="349">
        <f t="shared" si="108"/>
        <v>1195040</v>
      </c>
      <c r="S170" s="349">
        <f t="shared" si="109"/>
        <v>8761088</v>
      </c>
      <c r="T170" s="353">
        <f t="array" ref="T170">MAX((IF(MNU_CODIGO_ALIMENTO_ENTREGA=CONCATENATE($C170,"_","P_"),MNU_GRAMAJE_REQUERIDO_TIPOC,"")))</f>
        <v>100</v>
      </c>
      <c r="U170" s="259">
        <f t="shared" si="110"/>
        <v>90486</v>
      </c>
      <c r="V170" s="259">
        <f t="shared" si="111"/>
        <v>17523</v>
      </c>
      <c r="W170" s="259">
        <f t="shared" si="112"/>
        <v>108009</v>
      </c>
      <c r="X170" s="260">
        <f t="shared" si="113"/>
        <v>10134432</v>
      </c>
      <c r="Y170" s="260">
        <f t="shared" si="114"/>
        <v>1962576</v>
      </c>
      <c r="Z170" s="260">
        <f t="shared" si="115"/>
        <v>12097008</v>
      </c>
      <c r="AA170" s="258">
        <f t="array" ref="AA170">MAX((IF(MNU_CODIGO_ALIMENTO_ENTREGA=CONCATENATE($C170,"_","P_"),MNU_GRAMAJE_REQUERIDO_TIPOM,"")))</f>
        <v>100</v>
      </c>
      <c r="AB170" s="261">
        <f t="shared" si="116"/>
        <v>2043</v>
      </c>
      <c r="AC170" s="261">
        <v>0</v>
      </c>
      <c r="AD170" s="261">
        <f t="shared" si="117"/>
        <v>2043</v>
      </c>
      <c r="AE170" s="262">
        <f t="shared" si="118"/>
        <v>228816</v>
      </c>
      <c r="AF170" s="262">
        <v>0</v>
      </c>
      <c r="AG170" s="262">
        <f t="shared" si="119"/>
        <v>228816</v>
      </c>
      <c r="AH170" s="353">
        <f t="array" ref="AH170">MAX((IF(MNU_CODIGO_ALIMENTO_ENTREGA=CONCATENATE($C170,"_","P_"),MNU_GRAMAJE_REQUERIDO_TIPOH,"")))</f>
        <v>100</v>
      </c>
      <c r="AI170" s="259">
        <f t="shared" si="120"/>
        <v>2529</v>
      </c>
      <c r="AJ170" s="259">
        <v>0</v>
      </c>
      <c r="AK170" s="259">
        <f t="shared" si="121"/>
        <v>2529</v>
      </c>
      <c r="AL170" s="260">
        <f t="shared" si="122"/>
        <v>283248</v>
      </c>
      <c r="AM170" s="260">
        <v>0</v>
      </c>
      <c r="AN170" s="260">
        <f t="shared" si="123"/>
        <v>283248</v>
      </c>
      <c r="AO170" s="457">
        <f t="shared" si="124"/>
        <v>314475</v>
      </c>
      <c r="AP170" s="456">
        <f t="shared" si="125"/>
        <v>35221200</v>
      </c>
      <c r="AQ170" s="263" t="e">
        <f>#REF!+AH170+AA170+T170+M170</f>
        <v>#REF!</v>
      </c>
      <c r="AR170" s="263">
        <f t="shared" si="126"/>
        <v>35383812</v>
      </c>
      <c r="AS170" s="263" t="e">
        <f t="shared" si="127"/>
        <v>#REF!</v>
      </c>
      <c r="AT170" s="263">
        <f t="shared" si="128"/>
        <v>35574617</v>
      </c>
      <c r="AU170" s="263" t="e">
        <f t="shared" si="129"/>
        <v>#REF!</v>
      </c>
      <c r="AV170" s="263">
        <f t="shared" si="130"/>
        <v>38732233</v>
      </c>
      <c r="AW170" s="263" t="e">
        <f t="shared" si="131"/>
        <v>#REF!</v>
      </c>
      <c r="AX170" s="263" t="e">
        <f>AV170+#REF!+AH170+AA170+T170</f>
        <v>#REF!</v>
      </c>
      <c r="AY170" s="263" t="e">
        <f t="shared" si="132"/>
        <v>#REF!</v>
      </c>
      <c r="AZ170" s="263" t="e">
        <f t="shared" si="133"/>
        <v>#REF!</v>
      </c>
      <c r="BA170" s="263" t="e">
        <f t="shared" si="134"/>
        <v>#REF!</v>
      </c>
      <c r="BB170" s="263" t="e">
        <f t="shared" si="135"/>
        <v>#REF!</v>
      </c>
      <c r="BC170" s="263" t="e">
        <f t="shared" si="136"/>
        <v>#REF!</v>
      </c>
      <c r="BD170" s="263" t="e">
        <f t="shared" si="137"/>
        <v>#REF!</v>
      </c>
      <c r="BE170" s="263" t="e">
        <f>BC170+AV170+#REF!+AH170+AA170</f>
        <v>#REF!</v>
      </c>
      <c r="BF170" s="263" t="e">
        <f t="shared" si="138"/>
        <v>#REF!</v>
      </c>
      <c r="BG170" s="263" t="e">
        <f t="shared" si="139"/>
        <v>#REF!</v>
      </c>
    </row>
    <row r="171" spans="1:59" ht="15.75">
      <c r="A171" s="338">
        <v>13</v>
      </c>
      <c r="B171" s="338" t="s">
        <v>1</v>
      </c>
      <c r="C171" s="258">
        <v>8</v>
      </c>
      <c r="D171" s="328" t="s">
        <v>55</v>
      </c>
      <c r="E171" s="258" t="s">
        <v>9</v>
      </c>
      <c r="F171" s="431">
        <f t="array" ref="F171">MAX((IF(MNU_CODIGO_ALIMENTO_ENTREGA=CONCATENATE($C171,"_","P_"),MNU_GRAMAJE_REQUERIDO_TIPOA,"")))</f>
        <v>100</v>
      </c>
      <c r="G171" s="259">
        <f t="shared" si="98"/>
        <v>51620</v>
      </c>
      <c r="H171" s="259">
        <f t="shared" si="99"/>
        <v>3586</v>
      </c>
      <c r="I171" s="259">
        <f t="shared" si="100"/>
        <v>55206</v>
      </c>
      <c r="J171" s="260">
        <f t="shared" si="101"/>
        <v>7278420</v>
      </c>
      <c r="K171" s="260">
        <f t="shared" si="102"/>
        <v>505626</v>
      </c>
      <c r="L171" s="260">
        <f t="shared" si="103"/>
        <v>7784046</v>
      </c>
      <c r="M171" s="432">
        <f t="array" ref="M171">MAX((IF(MNU_CODIGO_ALIMENTO_ENTREGA=CONCATENATE($C171,"_","P_"),MNU_GRAMAJE_REQUERIDO_TIPOB,"")))</f>
        <v>100</v>
      </c>
      <c r="N171" s="348">
        <f t="shared" si="104"/>
        <v>60048</v>
      </c>
      <c r="O171" s="348">
        <f t="shared" si="105"/>
        <v>10670</v>
      </c>
      <c r="P171" s="348">
        <f t="shared" si="106"/>
        <v>70718</v>
      </c>
      <c r="Q171" s="349">
        <f t="shared" si="107"/>
        <v>8466768</v>
      </c>
      <c r="R171" s="349">
        <f t="shared" si="108"/>
        <v>1504470</v>
      </c>
      <c r="S171" s="349">
        <f t="shared" si="109"/>
        <v>9971238</v>
      </c>
      <c r="T171" s="353">
        <f t="array" ref="T171">MAX((IF(MNU_CODIGO_ALIMENTO_ENTREGA=CONCATENATE($C171,"_","P_"),MNU_GRAMAJE_REQUERIDO_TIPOC,"")))</f>
        <v>100</v>
      </c>
      <c r="U171" s="259">
        <f t="shared" si="110"/>
        <v>80432</v>
      </c>
      <c r="V171" s="259">
        <f t="shared" si="111"/>
        <v>17523</v>
      </c>
      <c r="W171" s="259">
        <f t="shared" si="112"/>
        <v>97955</v>
      </c>
      <c r="X171" s="260">
        <f t="shared" si="113"/>
        <v>11340912</v>
      </c>
      <c r="Y171" s="260">
        <f t="shared" si="114"/>
        <v>2470743</v>
      </c>
      <c r="Z171" s="260">
        <f t="shared" si="115"/>
        <v>13811655</v>
      </c>
      <c r="AA171" s="258">
        <f t="array" ref="AA171">MAX((IF(MNU_CODIGO_ALIMENTO_ENTREGA=CONCATENATE($C171,"_","P_"),MNU_GRAMAJE_REQUERIDO_TIPOM,"")))</f>
        <v>100</v>
      </c>
      <c r="AB171" s="261">
        <f t="shared" si="116"/>
        <v>1816</v>
      </c>
      <c r="AC171" s="261">
        <v>0</v>
      </c>
      <c r="AD171" s="261">
        <f t="shared" si="117"/>
        <v>1816</v>
      </c>
      <c r="AE171" s="262">
        <f t="shared" si="118"/>
        <v>256056</v>
      </c>
      <c r="AF171" s="262">
        <v>0</v>
      </c>
      <c r="AG171" s="262">
        <f t="shared" si="119"/>
        <v>256056</v>
      </c>
      <c r="AH171" s="353">
        <f t="array" ref="AH171">MAX((IF(MNU_CODIGO_ALIMENTO_ENTREGA=CONCATENATE($C171,"_","P_"),MNU_GRAMAJE_REQUERIDO_TIPOH,"")))</f>
        <v>100</v>
      </c>
      <c r="AI171" s="259">
        <f t="shared" si="120"/>
        <v>2248</v>
      </c>
      <c r="AJ171" s="259">
        <v>0</v>
      </c>
      <c r="AK171" s="259">
        <f t="shared" si="121"/>
        <v>2248</v>
      </c>
      <c r="AL171" s="260">
        <f t="shared" si="122"/>
        <v>316968</v>
      </c>
      <c r="AM171" s="260">
        <v>0</v>
      </c>
      <c r="AN171" s="260">
        <f t="shared" si="123"/>
        <v>316968</v>
      </c>
      <c r="AO171" s="457">
        <f t="shared" si="124"/>
        <v>227943</v>
      </c>
      <c r="AP171" s="456">
        <f t="shared" si="125"/>
        <v>32139963</v>
      </c>
      <c r="AQ171" s="263" t="e">
        <f>#REF!+AH171+AA171+T171+M171</f>
        <v>#REF!</v>
      </c>
      <c r="AR171" s="263">
        <f t="shared" si="126"/>
        <v>32284507</v>
      </c>
      <c r="AS171" s="263" t="e">
        <f t="shared" si="127"/>
        <v>#REF!</v>
      </c>
      <c r="AT171" s="263">
        <f t="shared" si="128"/>
        <v>32457244</v>
      </c>
      <c r="AU171" s="263" t="e">
        <f t="shared" si="129"/>
        <v>#REF!</v>
      </c>
      <c r="AV171" s="263">
        <f t="shared" si="130"/>
        <v>36432457</v>
      </c>
      <c r="AW171" s="263" t="e">
        <f t="shared" si="131"/>
        <v>#REF!</v>
      </c>
      <c r="AX171" s="263" t="e">
        <f>AV171+#REF!+AH171+AA171+T171</f>
        <v>#REF!</v>
      </c>
      <c r="AY171" s="263" t="e">
        <f t="shared" si="132"/>
        <v>#REF!</v>
      </c>
      <c r="AZ171" s="263" t="e">
        <f t="shared" si="133"/>
        <v>#REF!</v>
      </c>
      <c r="BA171" s="263" t="e">
        <f t="shared" si="134"/>
        <v>#REF!</v>
      </c>
      <c r="BB171" s="263" t="e">
        <f t="shared" si="135"/>
        <v>#REF!</v>
      </c>
      <c r="BC171" s="263" t="e">
        <f t="shared" si="136"/>
        <v>#REF!</v>
      </c>
      <c r="BD171" s="263" t="e">
        <f t="shared" si="137"/>
        <v>#REF!</v>
      </c>
      <c r="BE171" s="263" t="e">
        <f>BC171+AV171+#REF!+AH171+AA171</f>
        <v>#REF!</v>
      </c>
      <c r="BF171" s="263" t="e">
        <f t="shared" si="138"/>
        <v>#REF!</v>
      </c>
      <c r="BG171" s="263" t="e">
        <f t="shared" si="139"/>
        <v>#REF!</v>
      </c>
    </row>
    <row r="172" spans="1:59" ht="15.75">
      <c r="A172" s="338">
        <v>13</v>
      </c>
      <c r="B172" s="338" t="s">
        <v>1</v>
      </c>
      <c r="C172" s="258">
        <v>17</v>
      </c>
      <c r="D172" s="328" t="s">
        <v>53</v>
      </c>
      <c r="E172" s="258" t="s">
        <v>9</v>
      </c>
      <c r="F172" s="431">
        <f t="array" ref="F172">MAX((IF(MNU_CODIGO_ALIMENTO_ENTREGA=CONCATENATE($C172,"_","P_"),MNU_GRAMAJE_REQUERIDO_TIPOA,"")))</f>
        <v>0</v>
      </c>
      <c r="G172" s="259">
        <f t="shared" ref="G172:G235" si="140">SUMIF(COSTPE_G_ALIMENTO_GRUPO,CONCATENATE($C172,"_",$A172),COSTPE_G_VOLUMEN_TOTAL_TIPOA)</f>
        <v>0</v>
      </c>
      <c r="H172" s="259">
        <f t="shared" ref="H172:H235" si="141">SUMIF(COSTSE_G_ALIMENTO_GRUPO,CONCATENATE($C172,"_",$A172),COSTSE_G_VOLUMEN_TOTAL_TIPOA)</f>
        <v>0</v>
      </c>
      <c r="I172" s="259">
        <f t="shared" ref="I172:I235" si="142">G172+H172</f>
        <v>0</v>
      </c>
      <c r="J172" s="260">
        <f t="shared" ref="J172:J235" si="143">SUMIF(COSTPE_G_ALIMENTO_GRUPO,CONCATENATE($C172,"_",$A172),COSTPE_G_VALOR_TOTAL_TIPOA)</f>
        <v>0</v>
      </c>
      <c r="K172" s="260">
        <f t="shared" ref="K172:K235" si="144">SUMIF(COSTSE_G_ALIMENTO_GRUPO,CONCATENATE($C172,"_",$A172),COSTSE_G_VALOR_TOTAL_TIPOA)</f>
        <v>0</v>
      </c>
      <c r="L172" s="260">
        <f t="shared" ref="L172:L235" si="145">J172+K172</f>
        <v>0</v>
      </c>
      <c r="M172" s="432">
        <f t="array" ref="M172">MAX((IF(MNU_CODIGO_ALIMENTO_ENTREGA=CONCATENATE($C172,"_","P_"),MNU_GRAMAJE_REQUERIDO_TIPOB,"")))</f>
        <v>100</v>
      </c>
      <c r="N172" s="348">
        <f t="shared" ref="N172:N235" si="146">SUMIF(COSTPE_G_ALIMENTO_GRUPO,CONCATENATE($C172,"_",$A172),COSTPE_G_VOLUMEN_TOTAL_TIPOB)</f>
        <v>157626</v>
      </c>
      <c r="O172" s="348">
        <f t="shared" ref="O172:O235" si="147">SUMIF(COSTSE_G_ALIMENTO_GRUPO,CONCATENATE($C172,"_",$A172),COSTSE_G_VOLUMEN_TOTAL_TIPOB)</f>
        <v>22310</v>
      </c>
      <c r="P172" s="348">
        <f t="shared" ref="P172:P235" si="148">N172+O172</f>
        <v>179936</v>
      </c>
      <c r="Q172" s="349">
        <f t="shared" ref="Q172:Q235" si="149">SUMIF(COSTPE_G_ALIMENTO_GRUPO,CONCATENATE($C172,"_",$A172),COSTPE_G_VALOR_TOTAL_TIPOB)</f>
        <v>37357362</v>
      </c>
      <c r="R172" s="349">
        <f t="shared" ref="R172:R235" si="150">SUMIF(COSTSE_G_ALIMENTO_GRUPO,CONCATENATE($C172,"_",$A172),COSTSE_G_VALOR_TOTAL_TIPOB)</f>
        <v>5287470</v>
      </c>
      <c r="S172" s="349">
        <f t="shared" ref="S172:S235" si="151">Q172+R172</f>
        <v>42644832</v>
      </c>
      <c r="T172" s="353">
        <f t="array" ref="T172">MAX((IF(MNU_CODIGO_ALIMENTO_ENTREGA=CONCATENATE($C172,"_","P_"),MNU_GRAMAJE_REQUERIDO_TIPOC,"")))</f>
        <v>100</v>
      </c>
      <c r="U172" s="259">
        <f t="shared" ref="U172:U235" si="152">SUMIF(COSTPE_G_ALIMENTO_GRUPO,CONCATENATE($C172,"_",$A172),COSTPE_G_VOLUMEN_TOTAL_TIPOC)</f>
        <v>211134</v>
      </c>
      <c r="V172" s="259">
        <f t="shared" ref="V172:V235" si="153">SUMIF(COSTSE_G_ALIMENTO_GRUPO,CONCATENATE($C172,"_",$A172),COSTSE_G_VOLUMEN_TOTAL_TIPOC)</f>
        <v>36639</v>
      </c>
      <c r="W172" s="259">
        <f t="shared" ref="W172:W235" si="154">U172+V172</f>
        <v>247773</v>
      </c>
      <c r="X172" s="260">
        <f t="shared" ref="X172:X235" si="155">SUMIF(COSTPE_G_ALIMENTO_GRUPO,CONCATENATE($C172,"_",$A172),COSTPE_G_VALOR_TOTAL_TIPOC)</f>
        <v>50038758</v>
      </c>
      <c r="Y172" s="260">
        <f t="shared" ref="Y172:Y235" si="156">SUMIF(COSTSE_G_ALIMENTO_GRUPO,CONCATENATE($C172,"_",$A172),COSTSE_G_VALOR_TOTAL_TIPOC)</f>
        <v>8683443</v>
      </c>
      <c r="Z172" s="260">
        <f t="shared" ref="Z172:Z235" si="157">X172+Y172</f>
        <v>58722201</v>
      </c>
      <c r="AA172" s="258">
        <f t="array" ref="AA172">MAX((IF(MNU_CODIGO_ALIMENTO_ENTREGA=CONCATENATE($C172,"_","P_"),MNU_GRAMAJE_REQUERIDO_TIPOM,"")))</f>
        <v>100</v>
      </c>
      <c r="AB172" s="261">
        <f t="shared" ref="AB172:AB235" si="158">SUMIF(COSTPE_G_ALIMENTO_GRUPO,CONCATENATE($C172,"_",$A172),COSTPE_G_VOLUMEN_TOTAL_TIPOM)</f>
        <v>4767</v>
      </c>
      <c r="AC172" s="261">
        <v>0</v>
      </c>
      <c r="AD172" s="261">
        <f t="shared" ref="AD172:AD235" si="159">AB172+AC172</f>
        <v>4767</v>
      </c>
      <c r="AE172" s="262">
        <f t="shared" ref="AE172:AE235" si="160">SUMIF(COSTPE_G_ALIMENTO_GRUPO,CONCATENATE($C172,"_",$A172),COSTPE_G_VALOR_TOTAL_TIPOM)</f>
        <v>1129779</v>
      </c>
      <c r="AF172" s="262">
        <v>0</v>
      </c>
      <c r="AG172" s="262">
        <f t="shared" ref="AG172:AG235" si="161">AE172+AF172</f>
        <v>1129779</v>
      </c>
      <c r="AH172" s="353">
        <f t="array" ref="AH172">MAX((IF(MNU_CODIGO_ALIMENTO_ENTREGA=CONCATENATE($C172,"_","P_"),MNU_GRAMAJE_REQUERIDO_TIPOH,"")))</f>
        <v>100</v>
      </c>
      <c r="AI172" s="259">
        <f t="shared" ref="AI172:AI235" si="162">SUMIF(COSTPE_G_ALIMENTO_GRUPO,CONCATENATE($C172,"_",$A172),COSTPE_G_VOLUMEN_TOTAL_TIPOH)</f>
        <v>5901</v>
      </c>
      <c r="AJ172" s="259">
        <v>0</v>
      </c>
      <c r="AK172" s="259">
        <f t="shared" ref="AK172:AK235" si="163">AI172+AJ172</f>
        <v>5901</v>
      </c>
      <c r="AL172" s="260">
        <f t="shared" ref="AL172:AL235" si="164">SUMIF(COSTPE_G_ALIMENTO_GRUPO,CONCATENATE($C172,"_",$A172),COSTPE_G_VALOR_TOTAL_TIPOH)</f>
        <v>1398537</v>
      </c>
      <c r="AM172" s="260">
        <v>0</v>
      </c>
      <c r="AN172" s="260">
        <f t="shared" ref="AN172:AN235" si="165">AL172+AM172</f>
        <v>1398537</v>
      </c>
      <c r="AO172" s="457">
        <f t="shared" ref="AO172:AO235" si="166">AK172+AD172+W172+P172+I172</f>
        <v>438377</v>
      </c>
      <c r="AP172" s="456">
        <f t="shared" ref="AP172:AP235" si="167">AN172+AG172+Z172+S172+L172</f>
        <v>103895349</v>
      </c>
      <c r="AQ172" s="263" t="e">
        <f>#REF!+AH172+AA172+T172+M172</f>
        <v>#REF!</v>
      </c>
      <c r="AR172" s="263">
        <f t="shared" si="126"/>
        <v>104274777</v>
      </c>
      <c r="AS172" s="263" t="e">
        <f t="shared" si="127"/>
        <v>#REF!</v>
      </c>
      <c r="AT172" s="263">
        <f t="shared" si="128"/>
        <v>104713154</v>
      </c>
      <c r="AU172" s="263" t="e">
        <f t="shared" si="129"/>
        <v>#REF!</v>
      </c>
      <c r="AV172" s="263">
        <f t="shared" si="130"/>
        <v>118684067</v>
      </c>
      <c r="AW172" s="263" t="e">
        <f t="shared" si="131"/>
        <v>#REF!</v>
      </c>
      <c r="AX172" s="263" t="e">
        <f>AV172+#REF!+AH172+AA172+T172</f>
        <v>#REF!</v>
      </c>
      <c r="AY172" s="263" t="e">
        <f t="shared" si="132"/>
        <v>#REF!</v>
      </c>
      <c r="AZ172" s="263" t="e">
        <f t="shared" si="133"/>
        <v>#REF!</v>
      </c>
      <c r="BA172" s="263" t="e">
        <f t="shared" si="134"/>
        <v>#REF!</v>
      </c>
      <c r="BB172" s="263" t="e">
        <f t="shared" si="135"/>
        <v>#REF!</v>
      </c>
      <c r="BC172" s="263" t="e">
        <f t="shared" si="136"/>
        <v>#REF!</v>
      </c>
      <c r="BD172" s="263" t="e">
        <f t="shared" si="137"/>
        <v>#REF!</v>
      </c>
      <c r="BE172" s="263" t="e">
        <f>BC172+AV172+#REF!+AH172+AA172</f>
        <v>#REF!</v>
      </c>
      <c r="BF172" s="263" t="e">
        <f t="shared" si="138"/>
        <v>#REF!</v>
      </c>
      <c r="BG172" s="263" t="e">
        <f t="shared" si="139"/>
        <v>#REF!</v>
      </c>
    </row>
    <row r="173" spans="1:59" ht="15.75">
      <c r="A173" s="338">
        <v>13</v>
      </c>
      <c r="B173" s="338" t="s">
        <v>1</v>
      </c>
      <c r="C173" s="258">
        <v>22</v>
      </c>
      <c r="D173" s="328" t="s">
        <v>51</v>
      </c>
      <c r="E173" s="258" t="s">
        <v>9</v>
      </c>
      <c r="F173" s="431">
        <f t="array" ref="F173">MAX((IF(MNU_CODIGO_ALIMENTO_ENTREGA=CONCATENATE($C173,"_","P_"),MNU_GRAMAJE_REQUERIDO_TIPOA,"")))</f>
        <v>0</v>
      </c>
      <c r="G173" s="259">
        <f t="shared" si="140"/>
        <v>0</v>
      </c>
      <c r="H173" s="259">
        <f t="shared" si="141"/>
        <v>0</v>
      </c>
      <c r="I173" s="259">
        <f t="shared" si="142"/>
        <v>0</v>
      </c>
      <c r="J173" s="260">
        <f t="shared" si="143"/>
        <v>0</v>
      </c>
      <c r="K173" s="260">
        <f t="shared" si="144"/>
        <v>0</v>
      </c>
      <c r="L173" s="260">
        <f t="shared" si="145"/>
        <v>0</v>
      </c>
      <c r="M173" s="432">
        <f t="array" ref="M173">MAX((IF(MNU_CODIGO_ALIMENTO_ENTREGA=CONCATENATE($C173,"_","P_"),MNU_GRAMAJE_REQUERIDO_TIPOB,"")))</f>
        <v>100</v>
      </c>
      <c r="N173" s="348">
        <f t="shared" si="146"/>
        <v>150120</v>
      </c>
      <c r="O173" s="348">
        <f t="shared" si="147"/>
        <v>22310</v>
      </c>
      <c r="P173" s="348">
        <f t="shared" si="148"/>
        <v>172430</v>
      </c>
      <c r="Q173" s="349">
        <f t="shared" si="149"/>
        <v>82716120</v>
      </c>
      <c r="R173" s="349">
        <f t="shared" si="150"/>
        <v>12292810</v>
      </c>
      <c r="S173" s="349">
        <f t="shared" si="151"/>
        <v>95008930</v>
      </c>
      <c r="T173" s="353">
        <f t="array" ref="T173">MAX((IF(MNU_CODIGO_ALIMENTO_ENTREGA=CONCATENATE($C173,"_","P_"),MNU_GRAMAJE_REQUERIDO_TIPOC,"")))</f>
        <v>100</v>
      </c>
      <c r="U173" s="259">
        <f t="shared" si="152"/>
        <v>201080</v>
      </c>
      <c r="V173" s="259">
        <f t="shared" si="153"/>
        <v>36639</v>
      </c>
      <c r="W173" s="259">
        <f t="shared" si="154"/>
        <v>237719</v>
      </c>
      <c r="X173" s="260">
        <f t="shared" si="155"/>
        <v>110795080</v>
      </c>
      <c r="Y173" s="260">
        <f t="shared" si="156"/>
        <v>20188089</v>
      </c>
      <c r="Z173" s="260">
        <f t="shared" si="157"/>
        <v>130983169</v>
      </c>
      <c r="AA173" s="258">
        <f t="array" ref="AA173">MAX((IF(MNU_CODIGO_ALIMENTO_ENTREGA=CONCATENATE($C173,"_","P_"),MNU_GRAMAJE_REQUERIDO_TIPOM,"")))</f>
        <v>100</v>
      </c>
      <c r="AB173" s="261">
        <f t="shared" si="158"/>
        <v>4540</v>
      </c>
      <c r="AC173" s="261">
        <v>0</v>
      </c>
      <c r="AD173" s="261">
        <f t="shared" si="159"/>
        <v>4540</v>
      </c>
      <c r="AE173" s="262">
        <f t="shared" si="160"/>
        <v>2501540</v>
      </c>
      <c r="AF173" s="262">
        <v>0</v>
      </c>
      <c r="AG173" s="262">
        <f t="shared" si="161"/>
        <v>2501540</v>
      </c>
      <c r="AH173" s="353">
        <f t="array" ref="AH173">MAX((IF(MNU_CODIGO_ALIMENTO_ENTREGA=CONCATENATE($C173,"_","P_"),MNU_GRAMAJE_REQUERIDO_TIPOH,"")))</f>
        <v>100</v>
      </c>
      <c r="AI173" s="259">
        <f t="shared" si="162"/>
        <v>5620</v>
      </c>
      <c r="AJ173" s="259">
        <v>0</v>
      </c>
      <c r="AK173" s="259">
        <f t="shared" si="163"/>
        <v>5620</v>
      </c>
      <c r="AL173" s="260">
        <f t="shared" si="164"/>
        <v>3096620</v>
      </c>
      <c r="AM173" s="260">
        <v>0</v>
      </c>
      <c r="AN173" s="260">
        <f t="shared" si="165"/>
        <v>3096620</v>
      </c>
      <c r="AO173" s="457">
        <f t="shared" si="166"/>
        <v>420309</v>
      </c>
      <c r="AP173" s="456">
        <f t="shared" si="167"/>
        <v>231590259</v>
      </c>
      <c r="AQ173" s="263" t="e">
        <f>#REF!+AH173+AA173+T173+M173</f>
        <v>#REF!</v>
      </c>
      <c r="AR173" s="263">
        <f t="shared" si="126"/>
        <v>231951619</v>
      </c>
      <c r="AS173" s="263" t="e">
        <f t="shared" si="127"/>
        <v>#REF!</v>
      </c>
      <c r="AT173" s="263">
        <f t="shared" si="128"/>
        <v>232371928</v>
      </c>
      <c r="AU173" s="263" t="e">
        <f t="shared" si="129"/>
        <v>#REF!</v>
      </c>
      <c r="AV173" s="263">
        <f t="shared" si="130"/>
        <v>264852827</v>
      </c>
      <c r="AW173" s="263" t="e">
        <f t="shared" si="131"/>
        <v>#REF!</v>
      </c>
      <c r="AX173" s="263" t="e">
        <f>AV173+#REF!+AH173+AA173+T173</f>
        <v>#REF!</v>
      </c>
      <c r="AY173" s="263" t="e">
        <f t="shared" si="132"/>
        <v>#REF!</v>
      </c>
      <c r="AZ173" s="263" t="e">
        <f t="shared" si="133"/>
        <v>#REF!</v>
      </c>
      <c r="BA173" s="263" t="e">
        <f t="shared" si="134"/>
        <v>#REF!</v>
      </c>
      <c r="BB173" s="263" t="e">
        <f t="shared" si="135"/>
        <v>#REF!</v>
      </c>
      <c r="BC173" s="263" t="e">
        <f t="shared" si="136"/>
        <v>#REF!</v>
      </c>
      <c r="BD173" s="263" t="e">
        <f t="shared" si="137"/>
        <v>#REF!</v>
      </c>
      <c r="BE173" s="263" t="e">
        <f>BC173+AV173+#REF!+AH173+AA173</f>
        <v>#REF!</v>
      </c>
      <c r="BF173" s="263" t="e">
        <f t="shared" si="138"/>
        <v>#REF!</v>
      </c>
      <c r="BG173" s="263" t="e">
        <f t="shared" si="139"/>
        <v>#REF!</v>
      </c>
    </row>
    <row r="174" spans="1:59" ht="15.75">
      <c r="A174" s="338">
        <v>13</v>
      </c>
      <c r="B174" s="338" t="s">
        <v>1</v>
      </c>
      <c r="C174" s="258">
        <v>33</v>
      </c>
      <c r="D174" s="328" t="s">
        <v>59</v>
      </c>
      <c r="E174" s="258" t="s">
        <v>48</v>
      </c>
      <c r="F174" s="431">
        <v>1</v>
      </c>
      <c r="G174" s="259">
        <f t="shared" si="140"/>
        <v>139374</v>
      </c>
      <c r="H174" s="259">
        <f t="shared" si="141"/>
        <v>9454</v>
      </c>
      <c r="I174" s="259">
        <f t="shared" si="142"/>
        <v>148828</v>
      </c>
      <c r="J174" s="260">
        <f t="shared" si="143"/>
        <v>39442842</v>
      </c>
      <c r="K174" s="260">
        <f t="shared" si="144"/>
        <v>2675482</v>
      </c>
      <c r="L174" s="260">
        <f t="shared" si="145"/>
        <v>42118324</v>
      </c>
      <c r="M174" s="432">
        <v>1</v>
      </c>
      <c r="N174" s="348">
        <f t="shared" si="146"/>
        <v>135108</v>
      </c>
      <c r="O174" s="348">
        <f t="shared" si="147"/>
        <v>22310</v>
      </c>
      <c r="P174" s="348">
        <f t="shared" si="148"/>
        <v>157418</v>
      </c>
      <c r="Q174" s="349">
        <f t="shared" si="149"/>
        <v>38235564</v>
      </c>
      <c r="R174" s="349">
        <f t="shared" si="150"/>
        <v>6313730</v>
      </c>
      <c r="S174" s="349">
        <f t="shared" si="151"/>
        <v>44549294</v>
      </c>
      <c r="T174" s="431">
        <v>1</v>
      </c>
      <c r="U174" s="259">
        <f t="shared" si="152"/>
        <v>180972</v>
      </c>
      <c r="V174" s="259">
        <f t="shared" si="153"/>
        <v>36639</v>
      </c>
      <c r="W174" s="259">
        <f t="shared" si="154"/>
        <v>217611</v>
      </c>
      <c r="X174" s="260">
        <f t="shared" si="155"/>
        <v>51215076</v>
      </c>
      <c r="Y174" s="260">
        <f t="shared" si="156"/>
        <v>10368837</v>
      </c>
      <c r="Z174" s="260">
        <f t="shared" si="157"/>
        <v>61583913</v>
      </c>
      <c r="AA174" s="258">
        <v>1</v>
      </c>
      <c r="AB174" s="261">
        <f t="shared" si="158"/>
        <v>4086</v>
      </c>
      <c r="AC174" s="261">
        <v>0</v>
      </c>
      <c r="AD174" s="261">
        <f t="shared" si="159"/>
        <v>4086</v>
      </c>
      <c r="AE174" s="262">
        <f t="shared" si="160"/>
        <v>1156338</v>
      </c>
      <c r="AF174" s="262">
        <v>0</v>
      </c>
      <c r="AG174" s="262">
        <f t="shared" si="161"/>
        <v>1156338</v>
      </c>
      <c r="AH174" s="353">
        <v>1</v>
      </c>
      <c r="AI174" s="259">
        <f t="shared" si="162"/>
        <v>5058</v>
      </c>
      <c r="AJ174" s="259">
        <v>0</v>
      </c>
      <c r="AK174" s="259">
        <f t="shared" si="163"/>
        <v>5058</v>
      </c>
      <c r="AL174" s="260">
        <f t="shared" si="164"/>
        <v>1431414</v>
      </c>
      <c r="AM174" s="260">
        <v>0</v>
      </c>
      <c r="AN174" s="260">
        <f t="shared" si="165"/>
        <v>1431414</v>
      </c>
      <c r="AO174" s="457">
        <f t="shared" si="166"/>
        <v>533001</v>
      </c>
      <c r="AP174" s="456">
        <f t="shared" si="167"/>
        <v>150839283</v>
      </c>
      <c r="AQ174" s="263" t="e">
        <f>#REF!+AH174+AA174+T174+M174</f>
        <v>#REF!</v>
      </c>
      <c r="AR174" s="263">
        <f t="shared" si="126"/>
        <v>151164507</v>
      </c>
      <c r="AS174" s="263" t="e">
        <f t="shared" si="127"/>
        <v>#REF!</v>
      </c>
      <c r="AT174" s="263">
        <f t="shared" si="128"/>
        <v>151548680</v>
      </c>
      <c r="AU174" s="263" t="e">
        <f t="shared" si="129"/>
        <v>#REF!</v>
      </c>
      <c r="AV174" s="263">
        <f t="shared" si="130"/>
        <v>168231247</v>
      </c>
      <c r="AW174" s="263" t="e">
        <f t="shared" si="131"/>
        <v>#REF!</v>
      </c>
      <c r="AX174" s="263" t="e">
        <f>AV174+#REF!+AH174+AA174+T174</f>
        <v>#REF!</v>
      </c>
      <c r="AY174" s="263" t="e">
        <f t="shared" si="132"/>
        <v>#REF!</v>
      </c>
      <c r="AZ174" s="263" t="e">
        <f t="shared" si="133"/>
        <v>#REF!</v>
      </c>
      <c r="BA174" s="263" t="e">
        <f t="shared" si="134"/>
        <v>#REF!</v>
      </c>
      <c r="BB174" s="263" t="e">
        <f t="shared" si="135"/>
        <v>#REF!</v>
      </c>
      <c r="BC174" s="263" t="e">
        <f t="shared" si="136"/>
        <v>#REF!</v>
      </c>
      <c r="BD174" s="263" t="e">
        <f t="shared" si="137"/>
        <v>#REF!</v>
      </c>
      <c r="BE174" s="263" t="e">
        <f>BC174+AV174+#REF!+AH174+AA174</f>
        <v>#REF!</v>
      </c>
      <c r="BF174" s="263" t="e">
        <f t="shared" si="138"/>
        <v>#REF!</v>
      </c>
      <c r="BG174" s="263" t="e">
        <f t="shared" si="139"/>
        <v>#REF!</v>
      </c>
    </row>
    <row r="175" spans="1:59" ht="15.75">
      <c r="A175" s="338">
        <v>13</v>
      </c>
      <c r="B175" s="338" t="s">
        <v>1</v>
      </c>
      <c r="C175" s="258">
        <v>36</v>
      </c>
      <c r="D175" s="328" t="s">
        <v>1340</v>
      </c>
      <c r="E175" s="258" t="s">
        <v>9</v>
      </c>
      <c r="F175" s="431">
        <f t="array" ref="F175">MAX((IF(MNU_CODIGO_ALIMENTO_ENTREGA=CONCATENATE($C175,"_","P_"),MNU_GRAMAJE_REQUERIDO_TIPOA,"")))</f>
        <v>20</v>
      </c>
      <c r="G175" s="259">
        <f t="shared" si="140"/>
        <v>36134</v>
      </c>
      <c r="H175" s="259">
        <f t="shared" si="141"/>
        <v>2608</v>
      </c>
      <c r="I175" s="259">
        <f t="shared" si="142"/>
        <v>38742</v>
      </c>
      <c r="J175" s="260">
        <f t="shared" si="143"/>
        <v>4769688</v>
      </c>
      <c r="K175" s="260">
        <f t="shared" si="144"/>
        <v>344256</v>
      </c>
      <c r="L175" s="260">
        <f t="shared" si="145"/>
        <v>5113944</v>
      </c>
      <c r="M175" s="432">
        <f t="array" ref="M175">MAX((IF(MNU_CODIGO_ALIMENTO_ENTREGA=CONCATENATE($C175,"_","P_"),MNU_GRAMAJE_REQUERIDO_TIPOB,"")))</f>
        <v>40</v>
      </c>
      <c r="N175" s="348">
        <f t="shared" si="146"/>
        <v>52542</v>
      </c>
      <c r="O175" s="348">
        <f t="shared" si="147"/>
        <v>7760</v>
      </c>
      <c r="P175" s="348">
        <f t="shared" si="148"/>
        <v>60302</v>
      </c>
      <c r="Q175" s="349">
        <f t="shared" si="149"/>
        <v>13923630</v>
      </c>
      <c r="R175" s="349">
        <f t="shared" si="150"/>
        <v>2056400</v>
      </c>
      <c r="S175" s="349">
        <f t="shared" si="151"/>
        <v>15980030</v>
      </c>
      <c r="T175" s="353">
        <f t="array" ref="T175">MAX((IF(MNU_CODIGO_ALIMENTO_ENTREGA=CONCATENATE($C175,"_","P_"),MNU_GRAMAJE_REQUERIDO_TIPOC,"")))</f>
        <v>40</v>
      </c>
      <c r="U175" s="259">
        <f t="shared" si="152"/>
        <v>70378</v>
      </c>
      <c r="V175" s="259">
        <f t="shared" si="153"/>
        <v>12744</v>
      </c>
      <c r="W175" s="259">
        <f t="shared" si="154"/>
        <v>83122</v>
      </c>
      <c r="X175" s="260">
        <f t="shared" si="155"/>
        <v>18650170</v>
      </c>
      <c r="Y175" s="260">
        <f t="shared" si="156"/>
        <v>3377160</v>
      </c>
      <c r="Z175" s="260">
        <f t="shared" si="157"/>
        <v>22027330</v>
      </c>
      <c r="AA175" s="258">
        <f t="array" ref="AA175">MAX((IF(MNU_CODIGO_ALIMENTO_ENTREGA=CONCATENATE($C175,"_","P_"),MNU_GRAMAJE_REQUERIDO_TIPOM,"")))</f>
        <v>40</v>
      </c>
      <c r="AB175" s="261">
        <f t="shared" si="158"/>
        <v>1589</v>
      </c>
      <c r="AC175" s="261">
        <v>0</v>
      </c>
      <c r="AD175" s="261">
        <f t="shared" si="159"/>
        <v>1589</v>
      </c>
      <c r="AE175" s="262">
        <f t="shared" si="160"/>
        <v>421085</v>
      </c>
      <c r="AF175" s="262">
        <v>0</v>
      </c>
      <c r="AG175" s="262">
        <f t="shared" si="161"/>
        <v>421085</v>
      </c>
      <c r="AH175" s="353">
        <f t="array" ref="AH175">MAX((IF(MNU_CODIGO_ALIMENTO_ENTREGA=CONCATENATE($C175,"_","P_"),MNU_GRAMAJE_REQUERIDO_TIPOH,"")))</f>
        <v>40</v>
      </c>
      <c r="AI175" s="259">
        <f t="shared" si="162"/>
        <v>1967</v>
      </c>
      <c r="AJ175" s="259">
        <v>0</v>
      </c>
      <c r="AK175" s="259">
        <f t="shared" si="163"/>
        <v>1967</v>
      </c>
      <c r="AL175" s="260">
        <f t="shared" si="164"/>
        <v>521255</v>
      </c>
      <c r="AM175" s="260">
        <v>0</v>
      </c>
      <c r="AN175" s="260">
        <f t="shared" si="165"/>
        <v>521255</v>
      </c>
      <c r="AO175" s="457">
        <f t="shared" si="166"/>
        <v>185722</v>
      </c>
      <c r="AP175" s="456">
        <f t="shared" si="167"/>
        <v>44063644</v>
      </c>
      <c r="AQ175" s="263" t="e">
        <f>#REF!+AH175+AA175+T175+M175</f>
        <v>#REF!</v>
      </c>
      <c r="AR175" s="263">
        <f t="shared" si="126"/>
        <v>44190120</v>
      </c>
      <c r="AS175" s="263" t="e">
        <f t="shared" si="127"/>
        <v>#REF!</v>
      </c>
      <c r="AT175" s="263">
        <f t="shared" si="128"/>
        <v>44337100</v>
      </c>
      <c r="AU175" s="263" t="e">
        <f t="shared" si="129"/>
        <v>#REF!</v>
      </c>
      <c r="AV175" s="263">
        <f t="shared" si="130"/>
        <v>49770660</v>
      </c>
      <c r="AW175" s="263" t="e">
        <f t="shared" si="131"/>
        <v>#REF!</v>
      </c>
      <c r="AX175" s="263" t="e">
        <f>AV175+#REF!+AH175+AA175+T175</f>
        <v>#REF!</v>
      </c>
      <c r="AY175" s="263" t="e">
        <f t="shared" si="132"/>
        <v>#REF!</v>
      </c>
      <c r="AZ175" s="263" t="e">
        <f t="shared" si="133"/>
        <v>#REF!</v>
      </c>
      <c r="BA175" s="263" t="e">
        <f t="shared" si="134"/>
        <v>#REF!</v>
      </c>
      <c r="BB175" s="263" t="e">
        <f t="shared" si="135"/>
        <v>#REF!</v>
      </c>
      <c r="BC175" s="263" t="e">
        <f t="shared" si="136"/>
        <v>#REF!</v>
      </c>
      <c r="BD175" s="263" t="e">
        <f t="shared" si="137"/>
        <v>#REF!</v>
      </c>
      <c r="BE175" s="263" t="e">
        <f>BC175+AV175+#REF!+AH175+AA175</f>
        <v>#REF!</v>
      </c>
      <c r="BF175" s="263" t="e">
        <f t="shared" si="138"/>
        <v>#REF!</v>
      </c>
      <c r="BG175" s="263" t="e">
        <f t="shared" si="139"/>
        <v>#REF!</v>
      </c>
    </row>
    <row r="176" spans="1:59" ht="15.75">
      <c r="A176" s="338">
        <v>13</v>
      </c>
      <c r="B176" s="338" t="s">
        <v>1</v>
      </c>
      <c r="C176" s="258">
        <v>42</v>
      </c>
      <c r="D176" s="328" t="s">
        <v>61</v>
      </c>
      <c r="E176" s="258" t="s">
        <v>9</v>
      </c>
      <c r="F176" s="431">
        <f t="array" ref="F176">MAX((IF(MNU_CODIGO_ALIMENTO_ENTREGA=CONCATENATE($C176,"_","P_"),MNU_GRAMAJE_REQUERIDO_TIPOA,"")))</f>
        <v>100</v>
      </c>
      <c r="G176" s="259">
        <f t="shared" si="140"/>
        <v>118726</v>
      </c>
      <c r="H176" s="259">
        <f t="shared" si="141"/>
        <v>11736</v>
      </c>
      <c r="I176" s="259">
        <f t="shared" si="142"/>
        <v>130462</v>
      </c>
      <c r="J176" s="260">
        <f t="shared" si="143"/>
        <v>24220104</v>
      </c>
      <c r="K176" s="260">
        <f t="shared" si="144"/>
        <v>2394144</v>
      </c>
      <c r="L176" s="260">
        <f t="shared" si="145"/>
        <v>26614248</v>
      </c>
      <c r="M176" s="432">
        <f t="array" ref="M176">MAX((IF(MNU_CODIGO_ALIMENTO_ENTREGA=CONCATENATE($C176,"_","P_"),MNU_GRAMAJE_REQUERIDO_TIPOB,"")))</f>
        <v>100</v>
      </c>
      <c r="N176" s="348">
        <f t="shared" si="146"/>
        <v>142614</v>
      </c>
      <c r="O176" s="348">
        <f t="shared" si="147"/>
        <v>18430</v>
      </c>
      <c r="P176" s="348">
        <f t="shared" si="148"/>
        <v>161044</v>
      </c>
      <c r="Q176" s="349">
        <f t="shared" si="149"/>
        <v>29093256</v>
      </c>
      <c r="R176" s="349">
        <f t="shared" si="150"/>
        <v>3759720</v>
      </c>
      <c r="S176" s="349">
        <f t="shared" si="151"/>
        <v>32852976</v>
      </c>
      <c r="T176" s="353">
        <f t="array" ref="T176">MAX((IF(MNU_CODIGO_ALIMENTO_ENTREGA=CONCATENATE($C176,"_","P_"),MNU_GRAMAJE_REQUERIDO_TIPOC,"")))</f>
        <v>100</v>
      </c>
      <c r="U176" s="259">
        <f t="shared" si="152"/>
        <v>191026</v>
      </c>
      <c r="V176" s="259">
        <f t="shared" si="153"/>
        <v>30267</v>
      </c>
      <c r="W176" s="259">
        <f t="shared" si="154"/>
        <v>221293</v>
      </c>
      <c r="X176" s="260">
        <f t="shared" si="155"/>
        <v>38969304</v>
      </c>
      <c r="Y176" s="260">
        <f t="shared" si="156"/>
        <v>6174468</v>
      </c>
      <c r="Z176" s="260">
        <f t="shared" si="157"/>
        <v>45143772</v>
      </c>
      <c r="AA176" s="258">
        <f t="array" ref="AA176">MAX((IF(MNU_CODIGO_ALIMENTO_ENTREGA=CONCATENATE($C176,"_","P_"),MNU_GRAMAJE_REQUERIDO_TIPOM,"")))</f>
        <v>100</v>
      </c>
      <c r="AB176" s="261">
        <f t="shared" si="158"/>
        <v>4313</v>
      </c>
      <c r="AC176" s="261">
        <v>0</v>
      </c>
      <c r="AD176" s="261">
        <f t="shared" si="159"/>
        <v>4313</v>
      </c>
      <c r="AE176" s="262">
        <f t="shared" si="160"/>
        <v>879852</v>
      </c>
      <c r="AF176" s="262">
        <v>0</v>
      </c>
      <c r="AG176" s="262">
        <f t="shared" si="161"/>
        <v>879852</v>
      </c>
      <c r="AH176" s="353">
        <f t="array" ref="AH176">MAX((IF(MNU_CODIGO_ALIMENTO_ENTREGA=CONCATENATE($C176,"_","P_"),MNU_GRAMAJE_REQUERIDO_TIPOH,"")))</f>
        <v>100</v>
      </c>
      <c r="AI176" s="259">
        <f t="shared" si="162"/>
        <v>5339</v>
      </c>
      <c r="AJ176" s="259">
        <v>0</v>
      </c>
      <c r="AK176" s="259">
        <f t="shared" si="163"/>
        <v>5339</v>
      </c>
      <c r="AL176" s="260">
        <f t="shared" si="164"/>
        <v>1089156</v>
      </c>
      <c r="AM176" s="260">
        <v>0</v>
      </c>
      <c r="AN176" s="260">
        <f t="shared" si="165"/>
        <v>1089156</v>
      </c>
      <c r="AO176" s="457">
        <f t="shared" si="166"/>
        <v>522451</v>
      </c>
      <c r="AP176" s="456">
        <f t="shared" si="167"/>
        <v>106580004</v>
      </c>
      <c r="AQ176" s="263" t="e">
        <f>#REF!+AH176+AA176+T176+M176</f>
        <v>#REF!</v>
      </c>
      <c r="AR176" s="263">
        <f t="shared" si="126"/>
        <v>106923296</v>
      </c>
      <c r="AS176" s="263" t="e">
        <f t="shared" si="127"/>
        <v>#REF!</v>
      </c>
      <c r="AT176" s="263">
        <f t="shared" si="128"/>
        <v>107315285</v>
      </c>
      <c r="AU176" s="263" t="e">
        <f t="shared" si="129"/>
        <v>#REF!</v>
      </c>
      <c r="AV176" s="263">
        <f t="shared" si="130"/>
        <v>117249473</v>
      </c>
      <c r="AW176" s="263" t="e">
        <f t="shared" si="131"/>
        <v>#REF!</v>
      </c>
      <c r="AX176" s="263" t="e">
        <f>AV176+#REF!+AH176+AA176+T176</f>
        <v>#REF!</v>
      </c>
      <c r="AY176" s="263" t="e">
        <f t="shared" si="132"/>
        <v>#REF!</v>
      </c>
      <c r="AZ176" s="263" t="e">
        <f t="shared" si="133"/>
        <v>#REF!</v>
      </c>
      <c r="BA176" s="263" t="e">
        <f t="shared" si="134"/>
        <v>#REF!</v>
      </c>
      <c r="BB176" s="263" t="e">
        <f t="shared" si="135"/>
        <v>#REF!</v>
      </c>
      <c r="BC176" s="263" t="e">
        <f t="shared" si="136"/>
        <v>#REF!</v>
      </c>
      <c r="BD176" s="263" t="e">
        <f t="shared" si="137"/>
        <v>#REF!</v>
      </c>
      <c r="BE176" s="263" t="e">
        <f>BC176+AV176+#REF!+AH176+AA176</f>
        <v>#REF!</v>
      </c>
      <c r="BF176" s="263" t="e">
        <f t="shared" si="138"/>
        <v>#REF!</v>
      </c>
      <c r="BG176" s="263" t="e">
        <f t="shared" si="139"/>
        <v>#REF!</v>
      </c>
    </row>
    <row r="177" spans="1:59" ht="15.75">
      <c r="A177" s="338">
        <v>13</v>
      </c>
      <c r="B177" s="338" t="s">
        <v>1</v>
      </c>
      <c r="C177" s="258">
        <v>43</v>
      </c>
      <c r="D177" s="328" t="s">
        <v>62</v>
      </c>
      <c r="E177" s="258" t="s">
        <v>9</v>
      </c>
      <c r="F177" s="431">
        <f t="array" ref="F177">MAX((IF(MNU_CODIGO_ALIMENTO_ENTREGA=CONCATENATE($C177,"_","P_"),MNU_GRAMAJE_REQUERIDO_TIPOA,"")))</f>
        <v>100</v>
      </c>
      <c r="G177" s="259">
        <f t="shared" si="140"/>
        <v>123888</v>
      </c>
      <c r="H177" s="259">
        <f t="shared" si="141"/>
        <v>9454</v>
      </c>
      <c r="I177" s="259">
        <f t="shared" si="142"/>
        <v>133342</v>
      </c>
      <c r="J177" s="260">
        <f t="shared" si="143"/>
        <v>22052064</v>
      </c>
      <c r="K177" s="260">
        <f t="shared" si="144"/>
        <v>1682812</v>
      </c>
      <c r="L177" s="260">
        <f t="shared" si="145"/>
        <v>23734876</v>
      </c>
      <c r="M177" s="432">
        <f t="array" ref="M177">MAX((IF(MNU_CODIGO_ALIMENTO_ENTREGA=CONCATENATE($C177,"_","P_"),MNU_GRAMAJE_REQUERIDO_TIPOB,"")))</f>
        <v>100</v>
      </c>
      <c r="N177" s="348">
        <f t="shared" si="146"/>
        <v>127602</v>
      </c>
      <c r="O177" s="348">
        <f t="shared" si="147"/>
        <v>22310</v>
      </c>
      <c r="P177" s="348">
        <f t="shared" si="148"/>
        <v>149912</v>
      </c>
      <c r="Q177" s="349">
        <f t="shared" si="149"/>
        <v>22713156</v>
      </c>
      <c r="R177" s="349">
        <f t="shared" si="150"/>
        <v>3971180</v>
      </c>
      <c r="S177" s="349">
        <f t="shared" si="151"/>
        <v>26684336</v>
      </c>
      <c r="T177" s="353">
        <f t="array" ref="T177">MAX((IF(MNU_CODIGO_ALIMENTO_ENTREGA=CONCATENATE($C177,"_","P_"),MNU_GRAMAJE_REQUERIDO_TIPOC,"")))</f>
        <v>100</v>
      </c>
      <c r="U177" s="259">
        <f t="shared" si="152"/>
        <v>170918</v>
      </c>
      <c r="V177" s="259">
        <f t="shared" si="153"/>
        <v>36639</v>
      </c>
      <c r="W177" s="259">
        <f t="shared" si="154"/>
        <v>207557</v>
      </c>
      <c r="X177" s="260">
        <f t="shared" si="155"/>
        <v>30423404</v>
      </c>
      <c r="Y177" s="260">
        <f t="shared" si="156"/>
        <v>6521742</v>
      </c>
      <c r="Z177" s="260">
        <f t="shared" si="157"/>
        <v>36945146</v>
      </c>
      <c r="AA177" s="258">
        <f t="array" ref="AA177">MAX((IF(MNU_CODIGO_ALIMENTO_ENTREGA=CONCATENATE($C177,"_","P_"),MNU_GRAMAJE_REQUERIDO_TIPOM,"")))</f>
        <v>100</v>
      </c>
      <c r="AB177" s="261">
        <f t="shared" si="158"/>
        <v>3859</v>
      </c>
      <c r="AC177" s="261">
        <v>0</v>
      </c>
      <c r="AD177" s="261">
        <f t="shared" si="159"/>
        <v>3859</v>
      </c>
      <c r="AE177" s="262">
        <f t="shared" si="160"/>
        <v>686902</v>
      </c>
      <c r="AF177" s="262">
        <v>0</v>
      </c>
      <c r="AG177" s="262">
        <f t="shared" si="161"/>
        <v>686902</v>
      </c>
      <c r="AH177" s="353">
        <f t="array" ref="AH177">MAX((IF(MNU_CODIGO_ALIMENTO_ENTREGA=CONCATENATE($C177,"_","P_"),MNU_GRAMAJE_REQUERIDO_TIPOH,"")))</f>
        <v>100</v>
      </c>
      <c r="AI177" s="259">
        <f t="shared" si="162"/>
        <v>4777</v>
      </c>
      <c r="AJ177" s="259">
        <v>0</v>
      </c>
      <c r="AK177" s="259">
        <f t="shared" si="163"/>
        <v>4777</v>
      </c>
      <c r="AL177" s="260">
        <f t="shared" si="164"/>
        <v>850306</v>
      </c>
      <c r="AM177" s="260">
        <v>0</v>
      </c>
      <c r="AN177" s="260">
        <f t="shared" si="165"/>
        <v>850306</v>
      </c>
      <c r="AO177" s="457">
        <f t="shared" si="166"/>
        <v>499447</v>
      </c>
      <c r="AP177" s="456">
        <f t="shared" si="167"/>
        <v>88901566</v>
      </c>
      <c r="AQ177" s="263" t="e">
        <f>#REF!+AH177+AA177+T177+M177</f>
        <v>#REF!</v>
      </c>
      <c r="AR177" s="263">
        <f t="shared" si="126"/>
        <v>89208722</v>
      </c>
      <c r="AS177" s="263" t="e">
        <f t="shared" si="127"/>
        <v>#REF!</v>
      </c>
      <c r="AT177" s="263">
        <f t="shared" si="128"/>
        <v>89574827</v>
      </c>
      <c r="AU177" s="263" t="e">
        <f t="shared" si="129"/>
        <v>#REF!</v>
      </c>
      <c r="AV177" s="263">
        <f t="shared" si="130"/>
        <v>100067749</v>
      </c>
      <c r="AW177" s="263" t="e">
        <f t="shared" si="131"/>
        <v>#REF!</v>
      </c>
      <c r="AX177" s="263" t="e">
        <f>AV177+#REF!+AH177+AA177+T177</f>
        <v>#REF!</v>
      </c>
      <c r="AY177" s="263" t="e">
        <f t="shared" si="132"/>
        <v>#REF!</v>
      </c>
      <c r="AZ177" s="263" t="e">
        <f t="shared" si="133"/>
        <v>#REF!</v>
      </c>
      <c r="BA177" s="263" t="e">
        <f t="shared" si="134"/>
        <v>#REF!</v>
      </c>
      <c r="BB177" s="263" t="e">
        <f t="shared" si="135"/>
        <v>#REF!</v>
      </c>
      <c r="BC177" s="263" t="e">
        <f t="shared" si="136"/>
        <v>#REF!</v>
      </c>
      <c r="BD177" s="263" t="e">
        <f t="shared" si="137"/>
        <v>#REF!</v>
      </c>
      <c r="BE177" s="263" t="e">
        <f>BC177+AV177+#REF!+AH177+AA177</f>
        <v>#REF!</v>
      </c>
      <c r="BF177" s="263" t="e">
        <f t="shared" si="138"/>
        <v>#REF!</v>
      </c>
      <c r="BG177" s="263" t="e">
        <f t="shared" si="139"/>
        <v>#REF!</v>
      </c>
    </row>
    <row r="178" spans="1:59" ht="15.75">
      <c r="A178" s="338">
        <v>13</v>
      </c>
      <c r="B178" s="338" t="s">
        <v>1</v>
      </c>
      <c r="C178" s="258">
        <v>46</v>
      </c>
      <c r="D178" s="328" t="s">
        <v>64</v>
      </c>
      <c r="E178" s="258" t="s">
        <v>9</v>
      </c>
      <c r="F178" s="431">
        <f t="array" ref="F178">MAX((IF(MNU_CODIGO_ALIMENTO_ENTREGA=CONCATENATE($C178,"_","P_"),MNU_GRAMAJE_REQUERIDO_TIPOA,"")))</f>
        <v>100</v>
      </c>
      <c r="G178" s="259">
        <f t="shared" si="140"/>
        <v>154860</v>
      </c>
      <c r="H178" s="259">
        <f t="shared" si="141"/>
        <v>9454</v>
      </c>
      <c r="I178" s="259">
        <f t="shared" si="142"/>
        <v>164314</v>
      </c>
      <c r="J178" s="260">
        <f t="shared" si="143"/>
        <v>64731480</v>
      </c>
      <c r="K178" s="260">
        <f t="shared" si="144"/>
        <v>3951772</v>
      </c>
      <c r="L178" s="260">
        <f t="shared" si="145"/>
        <v>68683252</v>
      </c>
      <c r="M178" s="432">
        <f t="array" ref="M178">MAX((IF(MNU_CODIGO_ALIMENTO_ENTREGA=CONCATENATE($C178,"_","P_"),MNU_GRAMAJE_REQUERIDO_TIPOB,"")))</f>
        <v>100</v>
      </c>
      <c r="N178" s="348">
        <f t="shared" si="146"/>
        <v>157626</v>
      </c>
      <c r="O178" s="348">
        <f t="shared" si="147"/>
        <v>23280</v>
      </c>
      <c r="P178" s="348">
        <f t="shared" si="148"/>
        <v>180906</v>
      </c>
      <c r="Q178" s="349">
        <f t="shared" si="149"/>
        <v>65887668</v>
      </c>
      <c r="R178" s="349">
        <f t="shared" si="150"/>
        <v>9731040</v>
      </c>
      <c r="S178" s="349">
        <f t="shared" si="151"/>
        <v>75618708</v>
      </c>
      <c r="T178" s="353">
        <f t="array" ref="T178">MAX((IF(MNU_CODIGO_ALIMENTO_ENTREGA=CONCATENATE($C178,"_","P_"),MNU_GRAMAJE_REQUERIDO_TIPOC,"")))</f>
        <v>100</v>
      </c>
      <c r="U178" s="259">
        <f t="shared" si="152"/>
        <v>211134</v>
      </c>
      <c r="V178" s="259">
        <f t="shared" si="153"/>
        <v>38232</v>
      </c>
      <c r="W178" s="259">
        <f t="shared" si="154"/>
        <v>249366</v>
      </c>
      <c r="X178" s="260">
        <f t="shared" si="155"/>
        <v>88254012</v>
      </c>
      <c r="Y178" s="260">
        <f t="shared" si="156"/>
        <v>15980976</v>
      </c>
      <c r="Z178" s="260">
        <f t="shared" si="157"/>
        <v>104234988</v>
      </c>
      <c r="AA178" s="258">
        <f t="array" ref="AA178">MAX((IF(MNU_CODIGO_ALIMENTO_ENTREGA=CONCATENATE($C178,"_","P_"),MNU_GRAMAJE_REQUERIDO_TIPOM,"")))</f>
        <v>100</v>
      </c>
      <c r="AB178" s="261">
        <f t="shared" si="158"/>
        <v>4767</v>
      </c>
      <c r="AC178" s="261">
        <v>0</v>
      </c>
      <c r="AD178" s="261">
        <f t="shared" si="159"/>
        <v>4767</v>
      </c>
      <c r="AE178" s="262">
        <f t="shared" si="160"/>
        <v>1992606</v>
      </c>
      <c r="AF178" s="262">
        <v>0</v>
      </c>
      <c r="AG178" s="262">
        <f t="shared" si="161"/>
        <v>1992606</v>
      </c>
      <c r="AH178" s="353">
        <f t="array" ref="AH178">MAX((IF(MNU_CODIGO_ALIMENTO_ENTREGA=CONCATENATE($C178,"_","P_"),MNU_GRAMAJE_REQUERIDO_TIPOH,"")))</f>
        <v>100</v>
      </c>
      <c r="AI178" s="259">
        <f t="shared" si="162"/>
        <v>5901</v>
      </c>
      <c r="AJ178" s="259">
        <v>0</v>
      </c>
      <c r="AK178" s="259">
        <f t="shared" si="163"/>
        <v>5901</v>
      </c>
      <c r="AL178" s="260">
        <f t="shared" si="164"/>
        <v>2466618</v>
      </c>
      <c r="AM178" s="260">
        <v>0</v>
      </c>
      <c r="AN178" s="260">
        <f t="shared" si="165"/>
        <v>2466618</v>
      </c>
      <c r="AO178" s="457">
        <f t="shared" si="166"/>
        <v>605254</v>
      </c>
      <c r="AP178" s="456">
        <f t="shared" si="167"/>
        <v>252996172</v>
      </c>
      <c r="AQ178" s="263" t="e">
        <f>#REF!+AH178+AA178+T178+M178</f>
        <v>#REF!</v>
      </c>
      <c r="AR178" s="263">
        <f t="shared" si="126"/>
        <v>253375600</v>
      </c>
      <c r="AS178" s="263" t="e">
        <f t="shared" si="127"/>
        <v>#REF!</v>
      </c>
      <c r="AT178" s="263">
        <f t="shared" si="128"/>
        <v>253816540</v>
      </c>
      <c r="AU178" s="263" t="e">
        <f t="shared" si="129"/>
        <v>#REF!</v>
      </c>
      <c r="AV178" s="263">
        <f t="shared" si="130"/>
        <v>279528556</v>
      </c>
      <c r="AW178" s="263" t="e">
        <f t="shared" si="131"/>
        <v>#REF!</v>
      </c>
      <c r="AX178" s="263" t="e">
        <f>AV178+#REF!+AH178+AA178+T178</f>
        <v>#REF!</v>
      </c>
      <c r="AY178" s="263" t="e">
        <f t="shared" si="132"/>
        <v>#REF!</v>
      </c>
      <c r="AZ178" s="263" t="e">
        <f t="shared" si="133"/>
        <v>#REF!</v>
      </c>
      <c r="BA178" s="263" t="e">
        <f t="shared" si="134"/>
        <v>#REF!</v>
      </c>
      <c r="BB178" s="263" t="e">
        <f t="shared" si="135"/>
        <v>#REF!</v>
      </c>
      <c r="BC178" s="263" t="e">
        <f t="shared" si="136"/>
        <v>#REF!</v>
      </c>
      <c r="BD178" s="263" t="e">
        <f t="shared" si="137"/>
        <v>#REF!</v>
      </c>
      <c r="BE178" s="263" t="e">
        <f>BC178+AV178+#REF!+AH178+AA178</f>
        <v>#REF!</v>
      </c>
      <c r="BF178" s="263" t="e">
        <f t="shared" si="138"/>
        <v>#REF!</v>
      </c>
      <c r="BG178" s="263" t="e">
        <f t="shared" si="139"/>
        <v>#REF!</v>
      </c>
    </row>
    <row r="179" spans="1:59" ht="15.75">
      <c r="A179" s="338">
        <v>13</v>
      </c>
      <c r="B179" s="338" t="s">
        <v>1</v>
      </c>
      <c r="C179" s="258">
        <v>58</v>
      </c>
      <c r="D179" s="328" t="s">
        <v>67</v>
      </c>
      <c r="E179" s="258" t="s">
        <v>9</v>
      </c>
      <c r="F179" s="431">
        <f t="array" ref="F179">MAX((IF(MNU_CODIGO_ALIMENTO_ENTREGA=CONCATENATE($C179,"_","P_"),MNU_GRAMAJE_REQUERIDO_TIPOA,"")))</f>
        <v>100</v>
      </c>
      <c r="G179" s="259">
        <f t="shared" si="140"/>
        <v>123888</v>
      </c>
      <c r="H179" s="259">
        <f t="shared" si="141"/>
        <v>9128</v>
      </c>
      <c r="I179" s="259">
        <f t="shared" si="142"/>
        <v>133016</v>
      </c>
      <c r="J179" s="260">
        <f t="shared" si="143"/>
        <v>20069856</v>
      </c>
      <c r="K179" s="260">
        <f t="shared" si="144"/>
        <v>1478736</v>
      </c>
      <c r="L179" s="260">
        <f t="shared" si="145"/>
        <v>21548592</v>
      </c>
      <c r="M179" s="432">
        <f t="array" ref="M179">MAX((IF(MNU_CODIGO_ALIMENTO_ENTREGA=CONCATENATE($C179,"_","P_"),MNU_GRAMAJE_REQUERIDO_TIPOB,"")))</f>
        <v>100</v>
      </c>
      <c r="N179" s="348">
        <f t="shared" si="146"/>
        <v>172638</v>
      </c>
      <c r="O179" s="348">
        <f t="shared" si="147"/>
        <v>22310</v>
      </c>
      <c r="P179" s="348">
        <f t="shared" si="148"/>
        <v>194948</v>
      </c>
      <c r="Q179" s="349">
        <f t="shared" si="149"/>
        <v>27967356</v>
      </c>
      <c r="R179" s="349">
        <f t="shared" si="150"/>
        <v>3614220</v>
      </c>
      <c r="S179" s="349">
        <f t="shared" si="151"/>
        <v>31581576</v>
      </c>
      <c r="T179" s="353">
        <f t="array" ref="T179">MAX((IF(MNU_CODIGO_ALIMENTO_ENTREGA=CONCATENATE($C179,"_","P_"),MNU_GRAMAJE_REQUERIDO_TIPOC,"")))</f>
        <v>100</v>
      </c>
      <c r="U179" s="259">
        <f t="shared" si="152"/>
        <v>231242</v>
      </c>
      <c r="V179" s="259">
        <f t="shared" si="153"/>
        <v>36639</v>
      </c>
      <c r="W179" s="259">
        <f t="shared" si="154"/>
        <v>267881</v>
      </c>
      <c r="X179" s="260">
        <f t="shared" si="155"/>
        <v>37461204</v>
      </c>
      <c r="Y179" s="260">
        <f t="shared" si="156"/>
        <v>5935518</v>
      </c>
      <c r="Z179" s="260">
        <f t="shared" si="157"/>
        <v>43396722</v>
      </c>
      <c r="AA179" s="258">
        <f t="array" ref="AA179">MAX((IF(MNU_CODIGO_ALIMENTO_ENTREGA=CONCATENATE($C179,"_","P_"),MNU_GRAMAJE_REQUERIDO_TIPOM,"")))</f>
        <v>100</v>
      </c>
      <c r="AB179" s="261">
        <f t="shared" si="158"/>
        <v>5221</v>
      </c>
      <c r="AC179" s="261">
        <v>0</v>
      </c>
      <c r="AD179" s="261">
        <f t="shared" si="159"/>
        <v>5221</v>
      </c>
      <c r="AE179" s="262">
        <f t="shared" si="160"/>
        <v>845802</v>
      </c>
      <c r="AF179" s="262">
        <v>0</v>
      </c>
      <c r="AG179" s="262">
        <f t="shared" si="161"/>
        <v>845802</v>
      </c>
      <c r="AH179" s="353">
        <f t="array" ref="AH179">MAX((IF(MNU_CODIGO_ALIMENTO_ENTREGA=CONCATENATE($C179,"_","P_"),MNU_GRAMAJE_REQUERIDO_TIPOH,"")))</f>
        <v>100</v>
      </c>
      <c r="AI179" s="259">
        <f t="shared" si="162"/>
        <v>6463</v>
      </c>
      <c r="AJ179" s="259">
        <v>0</v>
      </c>
      <c r="AK179" s="259">
        <f t="shared" si="163"/>
        <v>6463</v>
      </c>
      <c r="AL179" s="260">
        <f t="shared" si="164"/>
        <v>1047006</v>
      </c>
      <c r="AM179" s="260">
        <v>0</v>
      </c>
      <c r="AN179" s="260">
        <f t="shared" si="165"/>
        <v>1047006</v>
      </c>
      <c r="AO179" s="457">
        <f t="shared" si="166"/>
        <v>607529</v>
      </c>
      <c r="AP179" s="456">
        <f t="shared" si="167"/>
        <v>98419698</v>
      </c>
      <c r="AQ179" s="263" t="e">
        <f>#REF!+AH179+AA179+T179+M179</f>
        <v>#REF!</v>
      </c>
      <c r="AR179" s="263">
        <f t="shared" si="126"/>
        <v>98835262</v>
      </c>
      <c r="AS179" s="263" t="e">
        <f t="shared" si="127"/>
        <v>#REF!</v>
      </c>
      <c r="AT179" s="263">
        <f t="shared" si="128"/>
        <v>99309775</v>
      </c>
      <c r="AU179" s="263" t="e">
        <f t="shared" si="129"/>
        <v>#REF!</v>
      </c>
      <c r="AV179" s="263">
        <f t="shared" si="130"/>
        <v>108859513</v>
      </c>
      <c r="AW179" s="263" t="e">
        <f t="shared" si="131"/>
        <v>#REF!</v>
      </c>
      <c r="AX179" s="263" t="e">
        <f>AV179+#REF!+AH179+AA179+T179</f>
        <v>#REF!</v>
      </c>
      <c r="AY179" s="263" t="e">
        <f t="shared" si="132"/>
        <v>#REF!</v>
      </c>
      <c r="AZ179" s="263" t="e">
        <f t="shared" si="133"/>
        <v>#REF!</v>
      </c>
      <c r="BA179" s="263" t="e">
        <f t="shared" si="134"/>
        <v>#REF!</v>
      </c>
      <c r="BB179" s="263" t="e">
        <f t="shared" si="135"/>
        <v>#REF!</v>
      </c>
      <c r="BC179" s="263" t="e">
        <f t="shared" si="136"/>
        <v>#REF!</v>
      </c>
      <c r="BD179" s="263" t="e">
        <f t="shared" si="137"/>
        <v>#REF!</v>
      </c>
      <c r="BE179" s="263" t="e">
        <f>BC179+AV179+#REF!+AH179+AA179</f>
        <v>#REF!</v>
      </c>
      <c r="BF179" s="263" t="e">
        <f t="shared" si="138"/>
        <v>#REF!</v>
      </c>
      <c r="BG179" s="263" t="e">
        <f t="shared" si="139"/>
        <v>#REF!</v>
      </c>
    </row>
    <row r="180" spans="1:59" ht="15.75">
      <c r="A180" s="338">
        <v>13</v>
      </c>
      <c r="B180" s="338" t="s">
        <v>1</v>
      </c>
      <c r="C180" s="258">
        <v>59</v>
      </c>
      <c r="D180" s="328" t="s">
        <v>99</v>
      </c>
      <c r="E180" s="258" t="s">
        <v>9</v>
      </c>
      <c r="F180" s="431">
        <f t="array" ref="F180">MAX((IF(MNU_CODIGO_ALIMENTO_ENTREGA=CONCATENATE($C180,"_","P_"),MNU_GRAMAJE_REQUERIDO_TIPOA,"")))</f>
        <v>0</v>
      </c>
      <c r="G180" s="259">
        <f t="shared" si="140"/>
        <v>0</v>
      </c>
      <c r="H180" s="259">
        <f t="shared" si="141"/>
        <v>0</v>
      </c>
      <c r="I180" s="259">
        <f t="shared" si="142"/>
        <v>0</v>
      </c>
      <c r="J180" s="260">
        <f t="shared" si="143"/>
        <v>0</v>
      </c>
      <c r="K180" s="260">
        <f t="shared" si="144"/>
        <v>0</v>
      </c>
      <c r="L180" s="260">
        <f t="shared" si="145"/>
        <v>0</v>
      </c>
      <c r="M180" s="432">
        <f t="array" ref="M180">MAX((IF(MNU_CODIGO_ALIMENTO_ENTREGA=CONCATENATE($C180,"_","P_"),MNU_GRAMAJE_REQUERIDO_TIPOB,"")))</f>
        <v>100</v>
      </c>
      <c r="N180" s="348">
        <f t="shared" si="146"/>
        <v>60048</v>
      </c>
      <c r="O180" s="348">
        <f t="shared" si="147"/>
        <v>10670</v>
      </c>
      <c r="P180" s="348">
        <f t="shared" si="148"/>
        <v>70718</v>
      </c>
      <c r="Q180" s="349">
        <f t="shared" si="149"/>
        <v>18014400</v>
      </c>
      <c r="R180" s="349">
        <f t="shared" si="150"/>
        <v>3201000</v>
      </c>
      <c r="S180" s="349">
        <f t="shared" si="151"/>
        <v>21215400</v>
      </c>
      <c r="T180" s="353">
        <f t="array" ref="T180">MAX((IF(MNU_CODIGO_ALIMENTO_ENTREGA=CONCATENATE($C180,"_","P_"),MNU_GRAMAJE_REQUERIDO_TIPOC,"")))</f>
        <v>100</v>
      </c>
      <c r="U180" s="259">
        <f t="shared" si="152"/>
        <v>80432</v>
      </c>
      <c r="V180" s="259">
        <f t="shared" si="153"/>
        <v>17523</v>
      </c>
      <c r="W180" s="259">
        <f t="shared" si="154"/>
        <v>97955</v>
      </c>
      <c r="X180" s="260">
        <f t="shared" si="155"/>
        <v>24129600</v>
      </c>
      <c r="Y180" s="260">
        <f t="shared" si="156"/>
        <v>5256900</v>
      </c>
      <c r="Z180" s="260">
        <f t="shared" si="157"/>
        <v>29386500</v>
      </c>
      <c r="AA180" s="258">
        <f t="array" ref="AA180">MAX((IF(MNU_CODIGO_ALIMENTO_ENTREGA=CONCATENATE($C180,"_","P_"),MNU_GRAMAJE_REQUERIDO_TIPOM,"")))</f>
        <v>100</v>
      </c>
      <c r="AB180" s="261">
        <f t="shared" si="158"/>
        <v>1816</v>
      </c>
      <c r="AC180" s="261">
        <v>0</v>
      </c>
      <c r="AD180" s="261">
        <f t="shared" si="159"/>
        <v>1816</v>
      </c>
      <c r="AE180" s="262">
        <f t="shared" si="160"/>
        <v>544800</v>
      </c>
      <c r="AF180" s="262">
        <v>0</v>
      </c>
      <c r="AG180" s="262">
        <f t="shared" si="161"/>
        <v>544800</v>
      </c>
      <c r="AH180" s="353">
        <f t="array" ref="AH180">MAX((IF(MNU_CODIGO_ALIMENTO_ENTREGA=CONCATENATE($C180,"_","P_"),MNU_GRAMAJE_REQUERIDO_TIPOH,"")))</f>
        <v>100</v>
      </c>
      <c r="AI180" s="259">
        <f t="shared" si="162"/>
        <v>2248</v>
      </c>
      <c r="AJ180" s="259">
        <v>0</v>
      </c>
      <c r="AK180" s="259">
        <f t="shared" si="163"/>
        <v>2248</v>
      </c>
      <c r="AL180" s="260">
        <f t="shared" si="164"/>
        <v>674400</v>
      </c>
      <c r="AM180" s="260">
        <v>0</v>
      </c>
      <c r="AN180" s="260">
        <f t="shared" si="165"/>
        <v>674400</v>
      </c>
      <c r="AO180" s="457">
        <f t="shared" si="166"/>
        <v>172737</v>
      </c>
      <c r="AP180" s="456">
        <f t="shared" si="167"/>
        <v>51821100</v>
      </c>
      <c r="AQ180" s="263" t="e">
        <f>#REF!+AH180+AA180+T180+M180</f>
        <v>#REF!</v>
      </c>
      <c r="AR180" s="263">
        <f t="shared" si="126"/>
        <v>51965644</v>
      </c>
      <c r="AS180" s="263" t="e">
        <f t="shared" si="127"/>
        <v>#REF!</v>
      </c>
      <c r="AT180" s="263">
        <f t="shared" si="128"/>
        <v>52138381</v>
      </c>
      <c r="AU180" s="263" t="e">
        <f t="shared" si="129"/>
        <v>#REF!</v>
      </c>
      <c r="AV180" s="263">
        <f t="shared" si="130"/>
        <v>60596281</v>
      </c>
      <c r="AW180" s="263" t="e">
        <f t="shared" si="131"/>
        <v>#REF!</v>
      </c>
      <c r="AX180" s="263" t="e">
        <f>AV180+#REF!+AH180+AA180+T180</f>
        <v>#REF!</v>
      </c>
      <c r="AY180" s="263" t="e">
        <f t="shared" si="132"/>
        <v>#REF!</v>
      </c>
      <c r="AZ180" s="263" t="e">
        <f t="shared" si="133"/>
        <v>#REF!</v>
      </c>
      <c r="BA180" s="263" t="e">
        <f t="shared" si="134"/>
        <v>#REF!</v>
      </c>
      <c r="BB180" s="263" t="e">
        <f t="shared" si="135"/>
        <v>#REF!</v>
      </c>
      <c r="BC180" s="263" t="e">
        <f t="shared" si="136"/>
        <v>#REF!</v>
      </c>
      <c r="BD180" s="263" t="e">
        <f t="shared" si="137"/>
        <v>#REF!</v>
      </c>
      <c r="BE180" s="263" t="e">
        <f>BC180+AV180+#REF!+AH180+AA180</f>
        <v>#REF!</v>
      </c>
      <c r="BF180" s="263" t="e">
        <f t="shared" si="138"/>
        <v>#REF!</v>
      </c>
      <c r="BG180" s="263" t="e">
        <f t="shared" si="139"/>
        <v>#REF!</v>
      </c>
    </row>
    <row r="181" spans="1:59" ht="15.75">
      <c r="A181" s="338">
        <v>13</v>
      </c>
      <c r="B181" s="338" t="s">
        <v>1</v>
      </c>
      <c r="C181" s="258">
        <v>69</v>
      </c>
      <c r="D181" s="328" t="s">
        <v>70</v>
      </c>
      <c r="E181" s="258" t="s">
        <v>9</v>
      </c>
      <c r="F181" s="431">
        <f t="array" ref="F181">MAX((IF(MNU_CODIGO_ALIMENTO_ENTREGA=CONCATENATE($C181,"_","P_"),MNU_GRAMAJE_REQUERIDO_TIPOA,"")))</f>
        <v>100</v>
      </c>
      <c r="G181" s="259">
        <f t="shared" si="140"/>
        <v>154860</v>
      </c>
      <c r="H181" s="259">
        <f t="shared" si="141"/>
        <v>5868</v>
      </c>
      <c r="I181" s="259">
        <f t="shared" si="142"/>
        <v>160728</v>
      </c>
      <c r="J181" s="260">
        <f t="shared" si="143"/>
        <v>49555200</v>
      </c>
      <c r="K181" s="260">
        <f t="shared" si="144"/>
        <v>1877760</v>
      </c>
      <c r="L181" s="260">
        <f t="shared" si="145"/>
        <v>51432960</v>
      </c>
      <c r="M181" s="432">
        <f t="array" ref="M181">MAX((IF(MNU_CODIGO_ALIMENTO_ENTREGA=CONCATENATE($C181,"_","P_"),MNU_GRAMAJE_REQUERIDO_TIPOB,"")))</f>
        <v>100</v>
      </c>
      <c r="N181" s="348">
        <f t="shared" si="146"/>
        <v>120096</v>
      </c>
      <c r="O181" s="348">
        <f t="shared" si="147"/>
        <v>11640</v>
      </c>
      <c r="P181" s="348">
        <f t="shared" si="148"/>
        <v>131736</v>
      </c>
      <c r="Q181" s="349">
        <f t="shared" si="149"/>
        <v>38430720</v>
      </c>
      <c r="R181" s="349">
        <f t="shared" si="150"/>
        <v>3724800</v>
      </c>
      <c r="S181" s="349">
        <f t="shared" si="151"/>
        <v>42155520</v>
      </c>
      <c r="T181" s="353">
        <f t="array" ref="T181">MAX((IF(MNU_CODIGO_ALIMENTO_ENTREGA=CONCATENATE($C181,"_","P_"),MNU_GRAMAJE_REQUERIDO_TIPOC,"")))</f>
        <v>100</v>
      </c>
      <c r="U181" s="259">
        <f t="shared" si="152"/>
        <v>160864</v>
      </c>
      <c r="V181" s="259">
        <f t="shared" si="153"/>
        <v>19116</v>
      </c>
      <c r="W181" s="259">
        <f t="shared" si="154"/>
        <v>179980</v>
      </c>
      <c r="X181" s="260">
        <f t="shared" si="155"/>
        <v>51476480</v>
      </c>
      <c r="Y181" s="260">
        <f t="shared" si="156"/>
        <v>6117120</v>
      </c>
      <c r="Z181" s="260">
        <f t="shared" si="157"/>
        <v>57593600</v>
      </c>
      <c r="AA181" s="258">
        <f t="array" ref="AA181">MAX((IF(MNU_CODIGO_ALIMENTO_ENTREGA=CONCATENATE($C181,"_","P_"),MNU_GRAMAJE_REQUERIDO_TIPOM,"")))</f>
        <v>100</v>
      </c>
      <c r="AB181" s="261">
        <f t="shared" si="158"/>
        <v>3632</v>
      </c>
      <c r="AC181" s="261">
        <v>0</v>
      </c>
      <c r="AD181" s="261">
        <f t="shared" si="159"/>
        <v>3632</v>
      </c>
      <c r="AE181" s="262">
        <f t="shared" si="160"/>
        <v>1162240</v>
      </c>
      <c r="AF181" s="262">
        <v>0</v>
      </c>
      <c r="AG181" s="262">
        <f t="shared" si="161"/>
        <v>1162240</v>
      </c>
      <c r="AH181" s="353">
        <f t="array" ref="AH181">MAX((IF(MNU_CODIGO_ALIMENTO_ENTREGA=CONCATENATE($C181,"_","P_"),MNU_GRAMAJE_REQUERIDO_TIPOH,"")))</f>
        <v>100</v>
      </c>
      <c r="AI181" s="259">
        <f t="shared" si="162"/>
        <v>4496</v>
      </c>
      <c r="AJ181" s="259">
        <v>0</v>
      </c>
      <c r="AK181" s="259">
        <f t="shared" si="163"/>
        <v>4496</v>
      </c>
      <c r="AL181" s="260">
        <f t="shared" si="164"/>
        <v>1438720</v>
      </c>
      <c r="AM181" s="260">
        <v>0</v>
      </c>
      <c r="AN181" s="260">
        <f t="shared" si="165"/>
        <v>1438720</v>
      </c>
      <c r="AO181" s="457">
        <f t="shared" si="166"/>
        <v>480572</v>
      </c>
      <c r="AP181" s="456">
        <f t="shared" si="167"/>
        <v>153783040</v>
      </c>
      <c r="AQ181" s="263" t="e">
        <f>#REF!+AH181+AA181+T181+M181</f>
        <v>#REF!</v>
      </c>
      <c r="AR181" s="263">
        <f t="shared" si="126"/>
        <v>154072128</v>
      </c>
      <c r="AS181" s="263" t="e">
        <f t="shared" si="127"/>
        <v>#REF!</v>
      </c>
      <c r="AT181" s="263">
        <f t="shared" si="128"/>
        <v>154391972</v>
      </c>
      <c r="AU181" s="263" t="e">
        <f t="shared" si="129"/>
        <v>#REF!</v>
      </c>
      <c r="AV181" s="263">
        <f t="shared" si="130"/>
        <v>164233892</v>
      </c>
      <c r="AW181" s="263" t="e">
        <f t="shared" si="131"/>
        <v>#REF!</v>
      </c>
      <c r="AX181" s="263" t="e">
        <f>AV181+#REF!+AH181+AA181+T181</f>
        <v>#REF!</v>
      </c>
      <c r="AY181" s="263" t="e">
        <f t="shared" si="132"/>
        <v>#REF!</v>
      </c>
      <c r="AZ181" s="263" t="e">
        <f t="shared" si="133"/>
        <v>#REF!</v>
      </c>
      <c r="BA181" s="263" t="e">
        <f t="shared" si="134"/>
        <v>#REF!</v>
      </c>
      <c r="BB181" s="263" t="e">
        <f t="shared" si="135"/>
        <v>#REF!</v>
      </c>
      <c r="BC181" s="263" t="e">
        <f t="shared" si="136"/>
        <v>#REF!</v>
      </c>
      <c r="BD181" s="263" t="e">
        <f t="shared" si="137"/>
        <v>#REF!</v>
      </c>
      <c r="BE181" s="263" t="e">
        <f>BC181+AV181+#REF!+AH181+AA181</f>
        <v>#REF!</v>
      </c>
      <c r="BF181" s="263" t="e">
        <f t="shared" si="138"/>
        <v>#REF!</v>
      </c>
      <c r="BG181" s="263" t="e">
        <f t="shared" si="139"/>
        <v>#REF!</v>
      </c>
    </row>
    <row r="182" spans="1:59" ht="15.75">
      <c r="A182" s="338">
        <v>13</v>
      </c>
      <c r="B182" s="338" t="s">
        <v>1</v>
      </c>
      <c r="C182" s="258">
        <v>70</v>
      </c>
      <c r="D182" s="328" t="s">
        <v>71</v>
      </c>
      <c r="E182" s="258" t="s">
        <v>9</v>
      </c>
      <c r="F182" s="431">
        <f t="array" ref="F182">MAX((IF(MNU_CODIGO_ALIMENTO_ENTREGA=CONCATENATE($C182,"_","P_"),MNU_GRAMAJE_REQUERIDO_TIPOA,"")))</f>
        <v>0</v>
      </c>
      <c r="G182" s="259">
        <f t="shared" si="140"/>
        <v>0</v>
      </c>
      <c r="H182" s="259">
        <f t="shared" si="141"/>
        <v>0</v>
      </c>
      <c r="I182" s="259">
        <f t="shared" si="142"/>
        <v>0</v>
      </c>
      <c r="J182" s="260">
        <f t="shared" si="143"/>
        <v>0</v>
      </c>
      <c r="K182" s="260">
        <f t="shared" si="144"/>
        <v>0</v>
      </c>
      <c r="L182" s="260">
        <f t="shared" si="145"/>
        <v>0</v>
      </c>
      <c r="M182" s="432">
        <f t="array" ref="M182">MAX((IF(MNU_CODIGO_ALIMENTO_ENTREGA=CONCATENATE($C182,"_","P_"),MNU_GRAMAJE_REQUERIDO_TIPOB,"")))</f>
        <v>100</v>
      </c>
      <c r="N182" s="348">
        <f t="shared" si="146"/>
        <v>75060</v>
      </c>
      <c r="O182" s="348">
        <f t="shared" si="147"/>
        <v>7760</v>
      </c>
      <c r="P182" s="348">
        <f t="shared" si="148"/>
        <v>82820</v>
      </c>
      <c r="Q182" s="349">
        <f t="shared" si="149"/>
        <v>34227360</v>
      </c>
      <c r="R182" s="349">
        <f t="shared" si="150"/>
        <v>3538560</v>
      </c>
      <c r="S182" s="349">
        <f t="shared" si="151"/>
        <v>37765920</v>
      </c>
      <c r="T182" s="353">
        <f t="array" ref="T182">MAX((IF(MNU_CODIGO_ALIMENTO_ENTREGA=CONCATENATE($C182,"_","P_"),MNU_GRAMAJE_REQUERIDO_TIPOC,"")))</f>
        <v>100</v>
      </c>
      <c r="U182" s="259">
        <f t="shared" si="152"/>
        <v>100540</v>
      </c>
      <c r="V182" s="259">
        <f t="shared" si="153"/>
        <v>12744</v>
      </c>
      <c r="W182" s="259">
        <f t="shared" si="154"/>
        <v>113284</v>
      </c>
      <c r="X182" s="260">
        <f t="shared" si="155"/>
        <v>45846240</v>
      </c>
      <c r="Y182" s="260">
        <f t="shared" si="156"/>
        <v>5811264</v>
      </c>
      <c r="Z182" s="260">
        <f t="shared" si="157"/>
        <v>51657504</v>
      </c>
      <c r="AA182" s="258">
        <f t="array" ref="AA182">MAX((IF(MNU_CODIGO_ALIMENTO_ENTREGA=CONCATENATE($C182,"_","P_"),MNU_GRAMAJE_REQUERIDO_TIPOM,"")))</f>
        <v>100</v>
      </c>
      <c r="AB182" s="261">
        <f t="shared" si="158"/>
        <v>2270</v>
      </c>
      <c r="AC182" s="261">
        <v>0</v>
      </c>
      <c r="AD182" s="261">
        <f t="shared" si="159"/>
        <v>2270</v>
      </c>
      <c r="AE182" s="262">
        <f t="shared" si="160"/>
        <v>1035120</v>
      </c>
      <c r="AF182" s="262">
        <v>0</v>
      </c>
      <c r="AG182" s="262">
        <f t="shared" si="161"/>
        <v>1035120</v>
      </c>
      <c r="AH182" s="353">
        <f t="array" ref="AH182">MAX((IF(MNU_CODIGO_ALIMENTO_ENTREGA=CONCATENATE($C182,"_","P_"),MNU_GRAMAJE_REQUERIDO_TIPOH,"")))</f>
        <v>100</v>
      </c>
      <c r="AI182" s="259">
        <f t="shared" si="162"/>
        <v>2810</v>
      </c>
      <c r="AJ182" s="259">
        <v>0</v>
      </c>
      <c r="AK182" s="259">
        <f t="shared" si="163"/>
        <v>2810</v>
      </c>
      <c r="AL182" s="260">
        <f t="shared" si="164"/>
        <v>1281360</v>
      </c>
      <c r="AM182" s="260">
        <v>0</v>
      </c>
      <c r="AN182" s="260">
        <f t="shared" si="165"/>
        <v>1281360</v>
      </c>
      <c r="AO182" s="457">
        <f t="shared" si="166"/>
        <v>201184</v>
      </c>
      <c r="AP182" s="456">
        <f t="shared" si="167"/>
        <v>91739904</v>
      </c>
      <c r="AQ182" s="263" t="e">
        <f>#REF!+AH182+AA182+T182+M182</f>
        <v>#REF!</v>
      </c>
      <c r="AR182" s="263">
        <f t="shared" si="126"/>
        <v>91920584</v>
      </c>
      <c r="AS182" s="263" t="e">
        <f t="shared" si="127"/>
        <v>#REF!</v>
      </c>
      <c r="AT182" s="263">
        <f t="shared" si="128"/>
        <v>92121768</v>
      </c>
      <c r="AU182" s="263" t="e">
        <f t="shared" si="129"/>
        <v>#REF!</v>
      </c>
      <c r="AV182" s="263">
        <f t="shared" si="130"/>
        <v>101471592</v>
      </c>
      <c r="AW182" s="263" t="e">
        <f t="shared" si="131"/>
        <v>#REF!</v>
      </c>
      <c r="AX182" s="263" t="e">
        <f>AV182+#REF!+AH182+AA182+T182</f>
        <v>#REF!</v>
      </c>
      <c r="AY182" s="263" t="e">
        <f t="shared" si="132"/>
        <v>#REF!</v>
      </c>
      <c r="AZ182" s="263" t="e">
        <f t="shared" si="133"/>
        <v>#REF!</v>
      </c>
      <c r="BA182" s="263" t="e">
        <f t="shared" si="134"/>
        <v>#REF!</v>
      </c>
      <c r="BB182" s="263" t="e">
        <f t="shared" si="135"/>
        <v>#REF!</v>
      </c>
      <c r="BC182" s="263" t="e">
        <f t="shared" si="136"/>
        <v>#REF!</v>
      </c>
      <c r="BD182" s="263" t="e">
        <f t="shared" si="137"/>
        <v>#REF!</v>
      </c>
      <c r="BE182" s="263" t="e">
        <f>BC182+AV182+#REF!+AH182+AA182</f>
        <v>#REF!</v>
      </c>
      <c r="BF182" s="263" t="e">
        <f t="shared" si="138"/>
        <v>#REF!</v>
      </c>
      <c r="BG182" s="263" t="e">
        <f t="shared" si="139"/>
        <v>#REF!</v>
      </c>
    </row>
    <row r="183" spans="1:59" ht="15.75">
      <c r="A183" s="338">
        <v>14</v>
      </c>
      <c r="B183" s="338" t="s">
        <v>1</v>
      </c>
      <c r="C183" s="258">
        <v>7</v>
      </c>
      <c r="D183" s="328" t="s">
        <v>57</v>
      </c>
      <c r="E183" s="258" t="s">
        <v>9</v>
      </c>
      <c r="F183" s="431">
        <f t="array" ref="F183">MAX((IF(MNU_CODIGO_ALIMENTO_ENTREGA=CONCATENATE($C183,"_","P_"),MNU_GRAMAJE_REQUERIDO_TIPOA,"")))</f>
        <v>100</v>
      </c>
      <c r="G183" s="259">
        <f t="shared" si="140"/>
        <v>102938</v>
      </c>
      <c r="H183" s="259">
        <f t="shared" si="141"/>
        <v>30504</v>
      </c>
      <c r="I183" s="259">
        <f t="shared" si="142"/>
        <v>133442</v>
      </c>
      <c r="J183" s="260">
        <f t="shared" si="143"/>
        <v>11529056</v>
      </c>
      <c r="K183" s="260">
        <f t="shared" si="144"/>
        <v>3416448</v>
      </c>
      <c r="L183" s="260">
        <f t="shared" si="145"/>
        <v>14945504</v>
      </c>
      <c r="M183" s="432">
        <f t="array" ref="M183">MAX((IF(MNU_CODIGO_ALIMENTO_ENTREGA=CONCATENATE($C183,"_","P_"),MNU_GRAMAJE_REQUERIDO_TIPOB,"")))</f>
        <v>100</v>
      </c>
      <c r="N183" s="348">
        <f t="shared" si="146"/>
        <v>56556</v>
      </c>
      <c r="O183" s="348">
        <f t="shared" si="147"/>
        <v>15125</v>
      </c>
      <c r="P183" s="348">
        <f t="shared" si="148"/>
        <v>71681</v>
      </c>
      <c r="Q183" s="349">
        <f t="shared" si="149"/>
        <v>6334272</v>
      </c>
      <c r="R183" s="349">
        <f t="shared" si="150"/>
        <v>1694000</v>
      </c>
      <c r="S183" s="349">
        <f t="shared" si="151"/>
        <v>8028272</v>
      </c>
      <c r="T183" s="353">
        <f t="array" ref="T183">MAX((IF(MNU_CODIGO_ALIMENTO_ENTREGA=CONCATENATE($C183,"_","P_"),MNU_GRAMAJE_REQUERIDO_TIPOC,"")))</f>
        <v>100</v>
      </c>
      <c r="U183" s="259">
        <f t="shared" si="152"/>
        <v>60129</v>
      </c>
      <c r="V183" s="259">
        <f t="shared" si="153"/>
        <v>18821</v>
      </c>
      <c r="W183" s="259">
        <f t="shared" si="154"/>
        <v>78950</v>
      </c>
      <c r="X183" s="260">
        <f t="shared" si="155"/>
        <v>6734448</v>
      </c>
      <c r="Y183" s="260">
        <f t="shared" si="156"/>
        <v>2107952</v>
      </c>
      <c r="Z183" s="260">
        <f t="shared" si="157"/>
        <v>8842400</v>
      </c>
      <c r="AA183" s="258">
        <f t="array" ref="AA183">MAX((IF(MNU_CODIGO_ALIMENTO_ENTREGA=CONCATENATE($C183,"_","P_"),MNU_GRAMAJE_REQUERIDO_TIPOM,"")))</f>
        <v>100</v>
      </c>
      <c r="AB183" s="261">
        <f t="shared" si="158"/>
        <v>4185</v>
      </c>
      <c r="AC183" s="261">
        <v>0</v>
      </c>
      <c r="AD183" s="261">
        <f t="shared" si="159"/>
        <v>4185</v>
      </c>
      <c r="AE183" s="262">
        <f t="shared" si="160"/>
        <v>468720</v>
      </c>
      <c r="AF183" s="262">
        <v>0</v>
      </c>
      <c r="AG183" s="262">
        <f t="shared" si="161"/>
        <v>468720</v>
      </c>
      <c r="AH183" s="353">
        <f t="array" ref="AH183">MAX((IF(MNU_CODIGO_ALIMENTO_ENTREGA=CONCATENATE($C183,"_","P_"),MNU_GRAMAJE_REQUERIDO_TIPOH,"")))</f>
        <v>100</v>
      </c>
      <c r="AI183" s="259">
        <f t="shared" si="162"/>
        <v>3600</v>
      </c>
      <c r="AJ183" s="259">
        <v>0</v>
      </c>
      <c r="AK183" s="259">
        <f t="shared" si="163"/>
        <v>3600</v>
      </c>
      <c r="AL183" s="260">
        <f t="shared" si="164"/>
        <v>403200</v>
      </c>
      <c r="AM183" s="260">
        <v>0</v>
      </c>
      <c r="AN183" s="260">
        <f t="shared" si="165"/>
        <v>403200</v>
      </c>
      <c r="AO183" s="457">
        <f t="shared" si="166"/>
        <v>291858</v>
      </c>
      <c r="AP183" s="456">
        <f t="shared" si="167"/>
        <v>32688096</v>
      </c>
      <c r="AQ183" s="263" t="e">
        <f>#REF!+AH183+AA183+T183+M183</f>
        <v>#REF!</v>
      </c>
      <c r="AR183" s="263">
        <f t="shared" si="126"/>
        <v>32812566</v>
      </c>
      <c r="AS183" s="263" t="e">
        <f t="shared" si="127"/>
        <v>#REF!</v>
      </c>
      <c r="AT183" s="263">
        <f t="shared" si="128"/>
        <v>32970982</v>
      </c>
      <c r="AU183" s="263" t="e">
        <f t="shared" si="129"/>
        <v>#REF!</v>
      </c>
      <c r="AV183" s="263">
        <f t="shared" si="130"/>
        <v>36772934</v>
      </c>
      <c r="AW183" s="263" t="e">
        <f t="shared" si="131"/>
        <v>#REF!</v>
      </c>
      <c r="AX183" s="263" t="e">
        <f>AV183+#REF!+AH183+AA183+T183</f>
        <v>#REF!</v>
      </c>
      <c r="AY183" s="263" t="e">
        <f t="shared" si="132"/>
        <v>#REF!</v>
      </c>
      <c r="AZ183" s="263" t="e">
        <f t="shared" si="133"/>
        <v>#REF!</v>
      </c>
      <c r="BA183" s="263" t="e">
        <f t="shared" si="134"/>
        <v>#REF!</v>
      </c>
      <c r="BB183" s="263" t="e">
        <f t="shared" si="135"/>
        <v>#REF!</v>
      </c>
      <c r="BC183" s="263" t="e">
        <f t="shared" si="136"/>
        <v>#REF!</v>
      </c>
      <c r="BD183" s="263" t="e">
        <f t="shared" si="137"/>
        <v>#REF!</v>
      </c>
      <c r="BE183" s="263" t="e">
        <f>BC183+AV183+#REF!+AH183+AA183</f>
        <v>#REF!</v>
      </c>
      <c r="BF183" s="263" t="e">
        <f t="shared" si="138"/>
        <v>#REF!</v>
      </c>
      <c r="BG183" s="263" t="e">
        <f t="shared" si="139"/>
        <v>#REF!</v>
      </c>
    </row>
    <row r="184" spans="1:59" ht="15.75">
      <c r="A184" s="338">
        <v>14</v>
      </c>
      <c r="B184" s="338" t="s">
        <v>1</v>
      </c>
      <c r="C184" s="258">
        <v>8</v>
      </c>
      <c r="D184" s="328" t="s">
        <v>55</v>
      </c>
      <c r="E184" s="258" t="s">
        <v>9</v>
      </c>
      <c r="F184" s="431">
        <f t="array" ref="F184">MAX((IF(MNU_CODIGO_ALIMENTO_ENTREGA=CONCATENATE($C184,"_","P_"),MNU_GRAMAJE_REQUERIDO_TIPOA,"")))</f>
        <v>100</v>
      </c>
      <c r="G184" s="259">
        <f t="shared" si="140"/>
        <v>46790</v>
      </c>
      <c r="H184" s="259">
        <f t="shared" si="141"/>
        <v>10824</v>
      </c>
      <c r="I184" s="259">
        <f t="shared" si="142"/>
        <v>57614</v>
      </c>
      <c r="J184" s="260">
        <f t="shared" si="143"/>
        <v>6597390</v>
      </c>
      <c r="K184" s="260">
        <f t="shared" si="144"/>
        <v>1526184</v>
      </c>
      <c r="L184" s="260">
        <f t="shared" si="145"/>
        <v>8123574</v>
      </c>
      <c r="M184" s="432">
        <f t="array" ref="M184">MAX((IF(MNU_CODIGO_ALIMENTO_ENTREGA=CONCATENATE($C184,"_","P_"),MNU_GRAMAJE_REQUERIDO_TIPOB,"")))</f>
        <v>100</v>
      </c>
      <c r="N184" s="348">
        <f t="shared" si="146"/>
        <v>50272</v>
      </c>
      <c r="O184" s="348">
        <f t="shared" si="147"/>
        <v>15125</v>
      </c>
      <c r="P184" s="348">
        <f t="shared" si="148"/>
        <v>65397</v>
      </c>
      <c r="Q184" s="349">
        <f t="shared" si="149"/>
        <v>7088352</v>
      </c>
      <c r="R184" s="349">
        <f t="shared" si="150"/>
        <v>2132625</v>
      </c>
      <c r="S184" s="349">
        <f t="shared" si="151"/>
        <v>9220977</v>
      </c>
      <c r="T184" s="353">
        <f t="array" ref="T184">MAX((IF(MNU_CODIGO_ALIMENTO_ENTREGA=CONCATENATE($C184,"_","P_"),MNU_GRAMAJE_REQUERIDO_TIPOC,"")))</f>
        <v>100</v>
      </c>
      <c r="U184" s="259">
        <f t="shared" si="152"/>
        <v>53448</v>
      </c>
      <c r="V184" s="259">
        <f t="shared" si="153"/>
        <v>18821</v>
      </c>
      <c r="W184" s="259">
        <f t="shared" si="154"/>
        <v>72269</v>
      </c>
      <c r="X184" s="260">
        <f t="shared" si="155"/>
        <v>7536168</v>
      </c>
      <c r="Y184" s="260">
        <f t="shared" si="156"/>
        <v>2653761</v>
      </c>
      <c r="Z184" s="260">
        <f t="shared" si="157"/>
        <v>10189929</v>
      </c>
      <c r="AA184" s="258">
        <f t="array" ref="AA184">MAX((IF(MNU_CODIGO_ALIMENTO_ENTREGA=CONCATENATE($C184,"_","P_"),MNU_GRAMAJE_REQUERIDO_TIPOM,"")))</f>
        <v>100</v>
      </c>
      <c r="AB184" s="261">
        <f t="shared" si="158"/>
        <v>3720</v>
      </c>
      <c r="AC184" s="261">
        <v>0</v>
      </c>
      <c r="AD184" s="261">
        <f t="shared" si="159"/>
        <v>3720</v>
      </c>
      <c r="AE184" s="262">
        <f t="shared" si="160"/>
        <v>524520</v>
      </c>
      <c r="AF184" s="262">
        <v>0</v>
      </c>
      <c r="AG184" s="262">
        <f t="shared" si="161"/>
        <v>524520</v>
      </c>
      <c r="AH184" s="353">
        <f t="array" ref="AH184">MAX((IF(MNU_CODIGO_ALIMENTO_ENTREGA=CONCATENATE($C184,"_","P_"),MNU_GRAMAJE_REQUERIDO_TIPOH,"")))</f>
        <v>100</v>
      </c>
      <c r="AI184" s="259">
        <f t="shared" si="162"/>
        <v>3200</v>
      </c>
      <c r="AJ184" s="259">
        <v>0</v>
      </c>
      <c r="AK184" s="259">
        <f t="shared" si="163"/>
        <v>3200</v>
      </c>
      <c r="AL184" s="260">
        <f t="shared" si="164"/>
        <v>451200</v>
      </c>
      <c r="AM184" s="260">
        <v>0</v>
      </c>
      <c r="AN184" s="260">
        <f t="shared" si="165"/>
        <v>451200</v>
      </c>
      <c r="AO184" s="457">
        <f t="shared" si="166"/>
        <v>202200</v>
      </c>
      <c r="AP184" s="456">
        <f t="shared" si="167"/>
        <v>28510200</v>
      </c>
      <c r="AQ184" s="263" t="e">
        <f>#REF!+AH184+AA184+T184+M184</f>
        <v>#REF!</v>
      </c>
      <c r="AR184" s="263">
        <f t="shared" si="126"/>
        <v>28620840</v>
      </c>
      <c r="AS184" s="263" t="e">
        <f t="shared" si="127"/>
        <v>#REF!</v>
      </c>
      <c r="AT184" s="263">
        <f t="shared" si="128"/>
        <v>28765426</v>
      </c>
      <c r="AU184" s="263" t="e">
        <f t="shared" si="129"/>
        <v>#REF!</v>
      </c>
      <c r="AV184" s="263">
        <f t="shared" si="130"/>
        <v>33551812</v>
      </c>
      <c r="AW184" s="263" t="e">
        <f t="shared" si="131"/>
        <v>#REF!</v>
      </c>
      <c r="AX184" s="263" t="e">
        <f>AV184+#REF!+AH184+AA184+T184</f>
        <v>#REF!</v>
      </c>
      <c r="AY184" s="263" t="e">
        <f t="shared" si="132"/>
        <v>#REF!</v>
      </c>
      <c r="AZ184" s="263" t="e">
        <f t="shared" si="133"/>
        <v>#REF!</v>
      </c>
      <c r="BA184" s="263" t="e">
        <f t="shared" si="134"/>
        <v>#REF!</v>
      </c>
      <c r="BB184" s="263" t="e">
        <f t="shared" si="135"/>
        <v>#REF!</v>
      </c>
      <c r="BC184" s="263" t="e">
        <f t="shared" si="136"/>
        <v>#REF!</v>
      </c>
      <c r="BD184" s="263" t="e">
        <f t="shared" si="137"/>
        <v>#REF!</v>
      </c>
      <c r="BE184" s="263" t="e">
        <f>BC184+AV184+#REF!+AH184+AA184</f>
        <v>#REF!</v>
      </c>
      <c r="BF184" s="263" t="e">
        <f t="shared" si="138"/>
        <v>#REF!</v>
      </c>
      <c r="BG184" s="263" t="e">
        <f t="shared" si="139"/>
        <v>#REF!</v>
      </c>
    </row>
    <row r="185" spans="1:59" ht="15.75">
      <c r="A185" s="338">
        <v>14</v>
      </c>
      <c r="B185" s="338" t="s">
        <v>1</v>
      </c>
      <c r="C185" s="258">
        <v>17</v>
      </c>
      <c r="D185" s="328" t="s">
        <v>53</v>
      </c>
      <c r="E185" s="258" t="s">
        <v>9</v>
      </c>
      <c r="F185" s="431">
        <f t="array" ref="F185">MAX((IF(MNU_CODIGO_ALIMENTO_ENTREGA=CONCATENATE($C185,"_","P_"),MNU_GRAMAJE_REQUERIDO_TIPOA,"")))</f>
        <v>0</v>
      </c>
      <c r="G185" s="259">
        <f t="shared" si="140"/>
        <v>0</v>
      </c>
      <c r="H185" s="259">
        <f t="shared" si="141"/>
        <v>0</v>
      </c>
      <c r="I185" s="259">
        <f t="shared" si="142"/>
        <v>0</v>
      </c>
      <c r="J185" s="260">
        <f t="shared" si="143"/>
        <v>0</v>
      </c>
      <c r="K185" s="260">
        <f t="shared" si="144"/>
        <v>0</v>
      </c>
      <c r="L185" s="260">
        <f t="shared" si="145"/>
        <v>0</v>
      </c>
      <c r="M185" s="432">
        <f t="array" ref="M185">MAX((IF(MNU_CODIGO_ALIMENTO_ENTREGA=CONCATENATE($C185,"_","P_"),MNU_GRAMAJE_REQUERIDO_TIPOB,"")))</f>
        <v>100</v>
      </c>
      <c r="N185" s="348">
        <f t="shared" si="146"/>
        <v>131964</v>
      </c>
      <c r="O185" s="348">
        <f t="shared" si="147"/>
        <v>31625</v>
      </c>
      <c r="P185" s="348">
        <f t="shared" si="148"/>
        <v>163589</v>
      </c>
      <c r="Q185" s="349">
        <f t="shared" si="149"/>
        <v>31275468</v>
      </c>
      <c r="R185" s="349">
        <f t="shared" si="150"/>
        <v>7495125</v>
      </c>
      <c r="S185" s="349">
        <f t="shared" si="151"/>
        <v>38770593</v>
      </c>
      <c r="T185" s="353">
        <f t="array" ref="T185">MAX((IF(MNU_CODIGO_ALIMENTO_ENTREGA=CONCATENATE($C185,"_","P_"),MNU_GRAMAJE_REQUERIDO_TIPOC,"")))</f>
        <v>100</v>
      </c>
      <c r="U185" s="259">
        <f t="shared" si="152"/>
        <v>140301</v>
      </c>
      <c r="V185" s="259">
        <f t="shared" si="153"/>
        <v>39353</v>
      </c>
      <c r="W185" s="259">
        <f t="shared" si="154"/>
        <v>179654</v>
      </c>
      <c r="X185" s="260">
        <f t="shared" si="155"/>
        <v>33251337</v>
      </c>
      <c r="Y185" s="260">
        <f t="shared" si="156"/>
        <v>9326661</v>
      </c>
      <c r="Z185" s="260">
        <f t="shared" si="157"/>
        <v>42577998</v>
      </c>
      <c r="AA185" s="258">
        <f t="array" ref="AA185">MAX((IF(MNU_CODIGO_ALIMENTO_ENTREGA=CONCATENATE($C185,"_","P_"),MNU_GRAMAJE_REQUERIDO_TIPOM,"")))</f>
        <v>100</v>
      </c>
      <c r="AB185" s="261">
        <f t="shared" si="158"/>
        <v>9765</v>
      </c>
      <c r="AC185" s="261">
        <v>0</v>
      </c>
      <c r="AD185" s="261">
        <f t="shared" si="159"/>
        <v>9765</v>
      </c>
      <c r="AE185" s="262">
        <f t="shared" si="160"/>
        <v>2314305</v>
      </c>
      <c r="AF185" s="262">
        <v>0</v>
      </c>
      <c r="AG185" s="262">
        <f t="shared" si="161"/>
        <v>2314305</v>
      </c>
      <c r="AH185" s="353">
        <f t="array" ref="AH185">MAX((IF(MNU_CODIGO_ALIMENTO_ENTREGA=CONCATENATE($C185,"_","P_"),MNU_GRAMAJE_REQUERIDO_TIPOH,"")))</f>
        <v>100</v>
      </c>
      <c r="AI185" s="259">
        <f t="shared" si="162"/>
        <v>8400</v>
      </c>
      <c r="AJ185" s="259">
        <v>0</v>
      </c>
      <c r="AK185" s="259">
        <f t="shared" si="163"/>
        <v>8400</v>
      </c>
      <c r="AL185" s="260">
        <f t="shared" si="164"/>
        <v>1990800</v>
      </c>
      <c r="AM185" s="260">
        <v>0</v>
      </c>
      <c r="AN185" s="260">
        <f t="shared" si="165"/>
        <v>1990800</v>
      </c>
      <c r="AO185" s="457">
        <f t="shared" si="166"/>
        <v>361408</v>
      </c>
      <c r="AP185" s="456">
        <f t="shared" si="167"/>
        <v>85653696</v>
      </c>
      <c r="AQ185" s="263" t="e">
        <f>#REF!+AH185+AA185+T185+M185</f>
        <v>#REF!</v>
      </c>
      <c r="AR185" s="263">
        <f t="shared" si="126"/>
        <v>85944126</v>
      </c>
      <c r="AS185" s="263" t="e">
        <f t="shared" si="127"/>
        <v>#REF!</v>
      </c>
      <c r="AT185" s="263">
        <f t="shared" si="128"/>
        <v>86305534</v>
      </c>
      <c r="AU185" s="263" t="e">
        <f t="shared" si="129"/>
        <v>#REF!</v>
      </c>
      <c r="AV185" s="263">
        <f t="shared" si="130"/>
        <v>103127320</v>
      </c>
      <c r="AW185" s="263" t="e">
        <f t="shared" si="131"/>
        <v>#REF!</v>
      </c>
      <c r="AX185" s="263" t="e">
        <f>AV185+#REF!+AH185+AA185+T185</f>
        <v>#REF!</v>
      </c>
      <c r="AY185" s="263" t="e">
        <f t="shared" si="132"/>
        <v>#REF!</v>
      </c>
      <c r="AZ185" s="263" t="e">
        <f t="shared" si="133"/>
        <v>#REF!</v>
      </c>
      <c r="BA185" s="263" t="e">
        <f t="shared" si="134"/>
        <v>#REF!</v>
      </c>
      <c r="BB185" s="263" t="e">
        <f t="shared" si="135"/>
        <v>#REF!</v>
      </c>
      <c r="BC185" s="263" t="e">
        <f t="shared" si="136"/>
        <v>#REF!</v>
      </c>
      <c r="BD185" s="263" t="e">
        <f t="shared" si="137"/>
        <v>#REF!</v>
      </c>
      <c r="BE185" s="263" t="e">
        <f>BC185+AV185+#REF!+AH185+AA185</f>
        <v>#REF!</v>
      </c>
      <c r="BF185" s="263" t="e">
        <f t="shared" si="138"/>
        <v>#REF!</v>
      </c>
      <c r="BG185" s="263" t="e">
        <f t="shared" si="139"/>
        <v>#REF!</v>
      </c>
    </row>
    <row r="186" spans="1:59" ht="15.75">
      <c r="A186" s="338">
        <v>14</v>
      </c>
      <c r="B186" s="338" t="s">
        <v>1</v>
      </c>
      <c r="C186" s="258">
        <v>22</v>
      </c>
      <c r="D186" s="328" t="s">
        <v>51</v>
      </c>
      <c r="E186" s="258" t="s">
        <v>9</v>
      </c>
      <c r="F186" s="431">
        <f t="array" ref="F186">MAX((IF(MNU_CODIGO_ALIMENTO_ENTREGA=CONCATENATE($C186,"_","P_"),MNU_GRAMAJE_REQUERIDO_TIPOA,"")))</f>
        <v>0</v>
      </c>
      <c r="G186" s="259">
        <f t="shared" si="140"/>
        <v>0</v>
      </c>
      <c r="H186" s="259">
        <f t="shared" si="141"/>
        <v>0</v>
      </c>
      <c r="I186" s="259">
        <f t="shared" si="142"/>
        <v>0</v>
      </c>
      <c r="J186" s="260">
        <f t="shared" si="143"/>
        <v>0</v>
      </c>
      <c r="K186" s="260">
        <f t="shared" si="144"/>
        <v>0</v>
      </c>
      <c r="L186" s="260">
        <f t="shared" si="145"/>
        <v>0</v>
      </c>
      <c r="M186" s="432">
        <f t="array" ref="M186">MAX((IF(MNU_CODIGO_ALIMENTO_ENTREGA=CONCATENATE($C186,"_","P_"),MNU_GRAMAJE_REQUERIDO_TIPOB,"")))</f>
        <v>100</v>
      </c>
      <c r="N186" s="348">
        <f t="shared" si="146"/>
        <v>125680</v>
      </c>
      <c r="O186" s="348">
        <f t="shared" si="147"/>
        <v>31625</v>
      </c>
      <c r="P186" s="348">
        <f t="shared" si="148"/>
        <v>157305</v>
      </c>
      <c r="Q186" s="349">
        <f t="shared" si="149"/>
        <v>69249680</v>
      </c>
      <c r="R186" s="349">
        <f t="shared" si="150"/>
        <v>17425375</v>
      </c>
      <c r="S186" s="349">
        <f t="shared" si="151"/>
        <v>86675055</v>
      </c>
      <c r="T186" s="353">
        <f t="array" ref="T186">MAX((IF(MNU_CODIGO_ALIMENTO_ENTREGA=CONCATENATE($C186,"_","P_"),MNU_GRAMAJE_REQUERIDO_TIPOC,"")))</f>
        <v>100</v>
      </c>
      <c r="U186" s="259">
        <f t="shared" si="152"/>
        <v>133620</v>
      </c>
      <c r="V186" s="259">
        <f t="shared" si="153"/>
        <v>39353</v>
      </c>
      <c r="W186" s="259">
        <f t="shared" si="154"/>
        <v>172973</v>
      </c>
      <c r="X186" s="260">
        <f t="shared" si="155"/>
        <v>73624620</v>
      </c>
      <c r="Y186" s="260">
        <f t="shared" si="156"/>
        <v>21683503</v>
      </c>
      <c r="Z186" s="260">
        <f t="shared" si="157"/>
        <v>95308123</v>
      </c>
      <c r="AA186" s="258">
        <f t="array" ref="AA186">MAX((IF(MNU_CODIGO_ALIMENTO_ENTREGA=CONCATENATE($C186,"_","P_"),MNU_GRAMAJE_REQUERIDO_TIPOM,"")))</f>
        <v>100</v>
      </c>
      <c r="AB186" s="261">
        <f t="shared" si="158"/>
        <v>9300</v>
      </c>
      <c r="AC186" s="261">
        <v>0</v>
      </c>
      <c r="AD186" s="261">
        <f t="shared" si="159"/>
        <v>9300</v>
      </c>
      <c r="AE186" s="262">
        <f t="shared" si="160"/>
        <v>5124300</v>
      </c>
      <c r="AF186" s="262">
        <v>0</v>
      </c>
      <c r="AG186" s="262">
        <f t="shared" si="161"/>
        <v>5124300</v>
      </c>
      <c r="AH186" s="353">
        <f t="array" ref="AH186">MAX((IF(MNU_CODIGO_ALIMENTO_ENTREGA=CONCATENATE($C186,"_","P_"),MNU_GRAMAJE_REQUERIDO_TIPOH,"")))</f>
        <v>100</v>
      </c>
      <c r="AI186" s="259">
        <f t="shared" si="162"/>
        <v>8000</v>
      </c>
      <c r="AJ186" s="259">
        <v>0</v>
      </c>
      <c r="AK186" s="259">
        <f t="shared" si="163"/>
        <v>8000</v>
      </c>
      <c r="AL186" s="260">
        <f t="shared" si="164"/>
        <v>4408000</v>
      </c>
      <c r="AM186" s="260">
        <v>0</v>
      </c>
      <c r="AN186" s="260">
        <f t="shared" si="165"/>
        <v>4408000</v>
      </c>
      <c r="AO186" s="457">
        <f t="shared" si="166"/>
        <v>347578</v>
      </c>
      <c r="AP186" s="456">
        <f t="shared" si="167"/>
        <v>191515478</v>
      </c>
      <c r="AQ186" s="263" t="e">
        <f>#REF!+AH186+AA186+T186+M186</f>
        <v>#REF!</v>
      </c>
      <c r="AR186" s="263">
        <f t="shared" si="126"/>
        <v>191792078</v>
      </c>
      <c r="AS186" s="263" t="e">
        <f t="shared" si="127"/>
        <v>#REF!</v>
      </c>
      <c r="AT186" s="263">
        <f t="shared" si="128"/>
        <v>192139656</v>
      </c>
      <c r="AU186" s="263" t="e">
        <f t="shared" si="129"/>
        <v>#REF!</v>
      </c>
      <c r="AV186" s="263">
        <f t="shared" si="130"/>
        <v>231248534</v>
      </c>
      <c r="AW186" s="263" t="e">
        <f t="shared" si="131"/>
        <v>#REF!</v>
      </c>
      <c r="AX186" s="263" t="e">
        <f>AV186+#REF!+AH186+AA186+T186</f>
        <v>#REF!</v>
      </c>
      <c r="AY186" s="263" t="e">
        <f t="shared" si="132"/>
        <v>#REF!</v>
      </c>
      <c r="AZ186" s="263" t="e">
        <f t="shared" si="133"/>
        <v>#REF!</v>
      </c>
      <c r="BA186" s="263" t="e">
        <f t="shared" si="134"/>
        <v>#REF!</v>
      </c>
      <c r="BB186" s="263" t="e">
        <f t="shared" si="135"/>
        <v>#REF!</v>
      </c>
      <c r="BC186" s="263" t="e">
        <f t="shared" si="136"/>
        <v>#REF!</v>
      </c>
      <c r="BD186" s="263" t="e">
        <f t="shared" si="137"/>
        <v>#REF!</v>
      </c>
      <c r="BE186" s="263" t="e">
        <f>BC186+AV186+#REF!+AH186+AA186</f>
        <v>#REF!</v>
      </c>
      <c r="BF186" s="263" t="e">
        <f t="shared" si="138"/>
        <v>#REF!</v>
      </c>
      <c r="BG186" s="263" t="e">
        <f t="shared" si="139"/>
        <v>#REF!</v>
      </c>
    </row>
    <row r="187" spans="1:59" ht="15.75">
      <c r="A187" s="338">
        <v>14</v>
      </c>
      <c r="B187" s="338" t="s">
        <v>1</v>
      </c>
      <c r="C187" s="258">
        <v>33</v>
      </c>
      <c r="D187" s="328" t="s">
        <v>59</v>
      </c>
      <c r="E187" s="258" t="s">
        <v>48</v>
      </c>
      <c r="F187" s="431">
        <v>1</v>
      </c>
      <c r="G187" s="259">
        <f t="shared" si="140"/>
        <v>126333</v>
      </c>
      <c r="H187" s="259">
        <f t="shared" si="141"/>
        <v>28536</v>
      </c>
      <c r="I187" s="259">
        <f t="shared" si="142"/>
        <v>154869</v>
      </c>
      <c r="J187" s="260">
        <f t="shared" si="143"/>
        <v>35752239</v>
      </c>
      <c r="K187" s="260">
        <f t="shared" si="144"/>
        <v>8075688</v>
      </c>
      <c r="L187" s="260">
        <f t="shared" si="145"/>
        <v>43827927</v>
      </c>
      <c r="M187" s="432">
        <v>1</v>
      </c>
      <c r="N187" s="348">
        <f t="shared" si="146"/>
        <v>113112</v>
      </c>
      <c r="O187" s="348">
        <f t="shared" si="147"/>
        <v>31625</v>
      </c>
      <c r="P187" s="348">
        <f t="shared" si="148"/>
        <v>144737</v>
      </c>
      <c r="Q187" s="349">
        <f t="shared" si="149"/>
        <v>32010696</v>
      </c>
      <c r="R187" s="349">
        <f t="shared" si="150"/>
        <v>8949875</v>
      </c>
      <c r="S187" s="349">
        <f t="shared" si="151"/>
        <v>40960571</v>
      </c>
      <c r="T187" s="431">
        <v>1</v>
      </c>
      <c r="U187" s="259">
        <f t="shared" si="152"/>
        <v>120258</v>
      </c>
      <c r="V187" s="259">
        <f t="shared" si="153"/>
        <v>39353</v>
      </c>
      <c r="W187" s="259">
        <f t="shared" si="154"/>
        <v>159611</v>
      </c>
      <c r="X187" s="260">
        <f t="shared" si="155"/>
        <v>34033014</v>
      </c>
      <c r="Y187" s="260">
        <f t="shared" si="156"/>
        <v>11136899</v>
      </c>
      <c r="Z187" s="260">
        <f t="shared" si="157"/>
        <v>45169913</v>
      </c>
      <c r="AA187" s="258">
        <v>1</v>
      </c>
      <c r="AB187" s="261">
        <f t="shared" si="158"/>
        <v>8370</v>
      </c>
      <c r="AC187" s="261">
        <v>0</v>
      </c>
      <c r="AD187" s="261">
        <f t="shared" si="159"/>
        <v>8370</v>
      </c>
      <c r="AE187" s="262">
        <f t="shared" si="160"/>
        <v>2368710</v>
      </c>
      <c r="AF187" s="262">
        <v>0</v>
      </c>
      <c r="AG187" s="262">
        <f t="shared" si="161"/>
        <v>2368710</v>
      </c>
      <c r="AH187" s="353">
        <v>1</v>
      </c>
      <c r="AI187" s="259">
        <f t="shared" si="162"/>
        <v>7200</v>
      </c>
      <c r="AJ187" s="259">
        <v>0</v>
      </c>
      <c r="AK187" s="259">
        <f t="shared" si="163"/>
        <v>7200</v>
      </c>
      <c r="AL187" s="260">
        <f t="shared" si="164"/>
        <v>2037600</v>
      </c>
      <c r="AM187" s="260">
        <v>0</v>
      </c>
      <c r="AN187" s="260">
        <f t="shared" si="165"/>
        <v>2037600</v>
      </c>
      <c r="AO187" s="457">
        <f t="shared" si="166"/>
        <v>474787</v>
      </c>
      <c r="AP187" s="456">
        <f t="shared" si="167"/>
        <v>134364721</v>
      </c>
      <c r="AQ187" s="263" t="e">
        <f>#REF!+AH187+AA187+T187+M187</f>
        <v>#REF!</v>
      </c>
      <c r="AR187" s="263">
        <f t="shared" si="126"/>
        <v>134613661</v>
      </c>
      <c r="AS187" s="263" t="e">
        <f t="shared" si="127"/>
        <v>#REF!</v>
      </c>
      <c r="AT187" s="263">
        <f t="shared" si="128"/>
        <v>134933579</v>
      </c>
      <c r="AU187" s="263" t="e">
        <f t="shared" si="129"/>
        <v>#REF!</v>
      </c>
      <c r="AV187" s="263">
        <f t="shared" si="130"/>
        <v>155020353</v>
      </c>
      <c r="AW187" s="263" t="e">
        <f t="shared" si="131"/>
        <v>#REF!</v>
      </c>
      <c r="AX187" s="263" t="e">
        <f>AV187+#REF!+AH187+AA187+T187</f>
        <v>#REF!</v>
      </c>
      <c r="AY187" s="263" t="e">
        <f t="shared" si="132"/>
        <v>#REF!</v>
      </c>
      <c r="AZ187" s="263" t="e">
        <f t="shared" si="133"/>
        <v>#REF!</v>
      </c>
      <c r="BA187" s="263" t="e">
        <f t="shared" si="134"/>
        <v>#REF!</v>
      </c>
      <c r="BB187" s="263" t="e">
        <f t="shared" si="135"/>
        <v>#REF!</v>
      </c>
      <c r="BC187" s="263" t="e">
        <f t="shared" si="136"/>
        <v>#REF!</v>
      </c>
      <c r="BD187" s="263" t="e">
        <f t="shared" si="137"/>
        <v>#REF!</v>
      </c>
      <c r="BE187" s="263" t="e">
        <f>BC187+AV187+#REF!+AH187+AA187</f>
        <v>#REF!</v>
      </c>
      <c r="BF187" s="263" t="e">
        <f t="shared" si="138"/>
        <v>#REF!</v>
      </c>
      <c r="BG187" s="263" t="e">
        <f t="shared" si="139"/>
        <v>#REF!</v>
      </c>
    </row>
    <row r="188" spans="1:59" ht="15.75">
      <c r="A188" s="338">
        <v>14</v>
      </c>
      <c r="B188" s="338" t="s">
        <v>1</v>
      </c>
      <c r="C188" s="258">
        <v>36</v>
      </c>
      <c r="D188" s="328" t="s">
        <v>1340</v>
      </c>
      <c r="E188" s="258" t="s">
        <v>9</v>
      </c>
      <c r="F188" s="431">
        <f t="array" ref="F188">MAX((IF(MNU_CODIGO_ALIMENTO_ENTREGA=CONCATENATE($C188,"_","P_"),MNU_GRAMAJE_REQUERIDO_TIPOA,"")))</f>
        <v>20</v>
      </c>
      <c r="G188" s="259">
        <f t="shared" si="140"/>
        <v>32753</v>
      </c>
      <c r="H188" s="259">
        <f t="shared" si="141"/>
        <v>7872</v>
      </c>
      <c r="I188" s="259">
        <f t="shared" si="142"/>
        <v>40625</v>
      </c>
      <c r="J188" s="260">
        <f t="shared" si="143"/>
        <v>4323396</v>
      </c>
      <c r="K188" s="260">
        <f t="shared" si="144"/>
        <v>1039104</v>
      </c>
      <c r="L188" s="260">
        <f t="shared" si="145"/>
        <v>5362500</v>
      </c>
      <c r="M188" s="432">
        <f t="array" ref="M188">MAX((IF(MNU_CODIGO_ALIMENTO_ENTREGA=CONCATENATE($C188,"_","P_"),MNU_GRAMAJE_REQUERIDO_TIPOB,"")))</f>
        <v>40</v>
      </c>
      <c r="N188" s="348">
        <f t="shared" si="146"/>
        <v>43988</v>
      </c>
      <c r="O188" s="348">
        <f t="shared" si="147"/>
        <v>11000</v>
      </c>
      <c r="P188" s="348">
        <f t="shared" si="148"/>
        <v>54988</v>
      </c>
      <c r="Q188" s="349">
        <f t="shared" si="149"/>
        <v>11656820</v>
      </c>
      <c r="R188" s="349">
        <f t="shared" si="150"/>
        <v>2915000</v>
      </c>
      <c r="S188" s="349">
        <f t="shared" si="151"/>
        <v>14571820</v>
      </c>
      <c r="T188" s="353">
        <f t="array" ref="T188">MAX((IF(MNU_CODIGO_ALIMENTO_ENTREGA=CONCATENATE($C188,"_","P_"),MNU_GRAMAJE_REQUERIDO_TIPOC,"")))</f>
        <v>40</v>
      </c>
      <c r="U188" s="259">
        <f t="shared" si="152"/>
        <v>46767</v>
      </c>
      <c r="V188" s="259">
        <f t="shared" si="153"/>
        <v>13688</v>
      </c>
      <c r="W188" s="259">
        <f t="shared" si="154"/>
        <v>60455</v>
      </c>
      <c r="X188" s="260">
        <f t="shared" si="155"/>
        <v>12393255</v>
      </c>
      <c r="Y188" s="260">
        <f t="shared" si="156"/>
        <v>3627320</v>
      </c>
      <c r="Z188" s="260">
        <f t="shared" si="157"/>
        <v>16020575</v>
      </c>
      <c r="AA188" s="258">
        <f t="array" ref="AA188">MAX((IF(MNU_CODIGO_ALIMENTO_ENTREGA=CONCATENATE($C188,"_","P_"),MNU_GRAMAJE_REQUERIDO_TIPOM,"")))</f>
        <v>40</v>
      </c>
      <c r="AB188" s="261">
        <f t="shared" si="158"/>
        <v>3255</v>
      </c>
      <c r="AC188" s="261">
        <v>0</v>
      </c>
      <c r="AD188" s="261">
        <f t="shared" si="159"/>
        <v>3255</v>
      </c>
      <c r="AE188" s="262">
        <f t="shared" si="160"/>
        <v>862575</v>
      </c>
      <c r="AF188" s="262">
        <v>0</v>
      </c>
      <c r="AG188" s="262">
        <f t="shared" si="161"/>
        <v>862575</v>
      </c>
      <c r="AH188" s="353">
        <f t="array" ref="AH188">MAX((IF(MNU_CODIGO_ALIMENTO_ENTREGA=CONCATENATE($C188,"_","P_"),MNU_GRAMAJE_REQUERIDO_TIPOH,"")))</f>
        <v>40</v>
      </c>
      <c r="AI188" s="259">
        <f t="shared" si="162"/>
        <v>2800</v>
      </c>
      <c r="AJ188" s="259">
        <v>0</v>
      </c>
      <c r="AK188" s="259">
        <f t="shared" si="163"/>
        <v>2800</v>
      </c>
      <c r="AL188" s="260">
        <f t="shared" si="164"/>
        <v>742000</v>
      </c>
      <c r="AM188" s="260">
        <v>0</v>
      </c>
      <c r="AN188" s="260">
        <f t="shared" si="165"/>
        <v>742000</v>
      </c>
      <c r="AO188" s="457">
        <f t="shared" si="166"/>
        <v>162123</v>
      </c>
      <c r="AP188" s="456">
        <f t="shared" si="167"/>
        <v>37559470</v>
      </c>
      <c r="AQ188" s="263" t="e">
        <f>#REF!+AH188+AA188+T188+M188</f>
        <v>#REF!</v>
      </c>
      <c r="AR188" s="263">
        <f t="shared" si="126"/>
        <v>37656280</v>
      </c>
      <c r="AS188" s="263" t="e">
        <f t="shared" si="127"/>
        <v>#REF!</v>
      </c>
      <c r="AT188" s="263">
        <f t="shared" si="128"/>
        <v>37777778</v>
      </c>
      <c r="AU188" s="263" t="e">
        <f t="shared" si="129"/>
        <v>#REF!</v>
      </c>
      <c r="AV188" s="263">
        <f t="shared" si="130"/>
        <v>44320098</v>
      </c>
      <c r="AW188" s="263" t="e">
        <f t="shared" si="131"/>
        <v>#REF!</v>
      </c>
      <c r="AX188" s="263" t="e">
        <f>AV188+#REF!+AH188+AA188+T188</f>
        <v>#REF!</v>
      </c>
      <c r="AY188" s="263" t="e">
        <f t="shared" si="132"/>
        <v>#REF!</v>
      </c>
      <c r="AZ188" s="263" t="e">
        <f t="shared" si="133"/>
        <v>#REF!</v>
      </c>
      <c r="BA188" s="263" t="e">
        <f t="shared" si="134"/>
        <v>#REF!</v>
      </c>
      <c r="BB188" s="263" t="e">
        <f t="shared" si="135"/>
        <v>#REF!</v>
      </c>
      <c r="BC188" s="263" t="e">
        <f t="shared" si="136"/>
        <v>#REF!</v>
      </c>
      <c r="BD188" s="263" t="e">
        <f t="shared" si="137"/>
        <v>#REF!</v>
      </c>
      <c r="BE188" s="263" t="e">
        <f>BC188+AV188+#REF!+AH188+AA188</f>
        <v>#REF!</v>
      </c>
      <c r="BF188" s="263" t="e">
        <f t="shared" si="138"/>
        <v>#REF!</v>
      </c>
      <c r="BG188" s="263" t="e">
        <f t="shared" si="139"/>
        <v>#REF!</v>
      </c>
    </row>
    <row r="189" spans="1:59" ht="15.75">
      <c r="A189" s="338">
        <v>14</v>
      </c>
      <c r="B189" s="338" t="s">
        <v>1</v>
      </c>
      <c r="C189" s="258">
        <v>42</v>
      </c>
      <c r="D189" s="328" t="s">
        <v>61</v>
      </c>
      <c r="E189" s="258" t="s">
        <v>9</v>
      </c>
      <c r="F189" s="431">
        <f t="array" ref="F189">MAX((IF(MNU_CODIGO_ALIMENTO_ENTREGA=CONCATENATE($C189,"_","P_"),MNU_GRAMAJE_REQUERIDO_TIPOA,"")))</f>
        <v>100</v>
      </c>
      <c r="G189" s="259">
        <f t="shared" si="140"/>
        <v>107617</v>
      </c>
      <c r="H189" s="259">
        <f t="shared" si="141"/>
        <v>35424</v>
      </c>
      <c r="I189" s="259">
        <f t="shared" si="142"/>
        <v>143041</v>
      </c>
      <c r="J189" s="260">
        <f t="shared" si="143"/>
        <v>21953868</v>
      </c>
      <c r="K189" s="260">
        <f t="shared" si="144"/>
        <v>7226496</v>
      </c>
      <c r="L189" s="260">
        <f t="shared" si="145"/>
        <v>29180364</v>
      </c>
      <c r="M189" s="432">
        <f t="array" ref="M189">MAX((IF(MNU_CODIGO_ALIMENTO_ENTREGA=CONCATENATE($C189,"_","P_"),MNU_GRAMAJE_REQUERIDO_TIPOB,"")))</f>
        <v>100</v>
      </c>
      <c r="N189" s="348">
        <f t="shared" si="146"/>
        <v>119396</v>
      </c>
      <c r="O189" s="348">
        <f t="shared" si="147"/>
        <v>26125</v>
      </c>
      <c r="P189" s="348">
        <f t="shared" si="148"/>
        <v>145521</v>
      </c>
      <c r="Q189" s="349">
        <f t="shared" si="149"/>
        <v>24356784</v>
      </c>
      <c r="R189" s="349">
        <f t="shared" si="150"/>
        <v>5329500</v>
      </c>
      <c r="S189" s="349">
        <f t="shared" si="151"/>
        <v>29686284</v>
      </c>
      <c r="T189" s="353">
        <f t="array" ref="T189">MAX((IF(MNU_CODIGO_ALIMENTO_ENTREGA=CONCATENATE($C189,"_","P_"),MNU_GRAMAJE_REQUERIDO_TIPOC,"")))</f>
        <v>100</v>
      </c>
      <c r="U189" s="259">
        <f t="shared" si="152"/>
        <v>126939</v>
      </c>
      <c r="V189" s="259">
        <f t="shared" si="153"/>
        <v>32509</v>
      </c>
      <c r="W189" s="259">
        <f t="shared" si="154"/>
        <v>159448</v>
      </c>
      <c r="X189" s="260">
        <f t="shared" si="155"/>
        <v>25895556</v>
      </c>
      <c r="Y189" s="260">
        <f t="shared" si="156"/>
        <v>6631836</v>
      </c>
      <c r="Z189" s="260">
        <f t="shared" si="157"/>
        <v>32527392</v>
      </c>
      <c r="AA189" s="258">
        <f t="array" ref="AA189">MAX((IF(MNU_CODIGO_ALIMENTO_ENTREGA=CONCATENATE($C189,"_","P_"),MNU_GRAMAJE_REQUERIDO_TIPOM,"")))</f>
        <v>100</v>
      </c>
      <c r="AB189" s="261">
        <f t="shared" si="158"/>
        <v>8835</v>
      </c>
      <c r="AC189" s="261">
        <v>0</v>
      </c>
      <c r="AD189" s="261">
        <f t="shared" si="159"/>
        <v>8835</v>
      </c>
      <c r="AE189" s="262">
        <f t="shared" si="160"/>
        <v>1802340</v>
      </c>
      <c r="AF189" s="262">
        <v>0</v>
      </c>
      <c r="AG189" s="262">
        <f t="shared" si="161"/>
        <v>1802340</v>
      </c>
      <c r="AH189" s="353">
        <f t="array" ref="AH189">MAX((IF(MNU_CODIGO_ALIMENTO_ENTREGA=CONCATENATE($C189,"_","P_"),MNU_GRAMAJE_REQUERIDO_TIPOH,"")))</f>
        <v>100</v>
      </c>
      <c r="AI189" s="259">
        <f t="shared" si="162"/>
        <v>7600</v>
      </c>
      <c r="AJ189" s="259">
        <v>0</v>
      </c>
      <c r="AK189" s="259">
        <f t="shared" si="163"/>
        <v>7600</v>
      </c>
      <c r="AL189" s="260">
        <f t="shared" si="164"/>
        <v>1550400</v>
      </c>
      <c r="AM189" s="260">
        <v>0</v>
      </c>
      <c r="AN189" s="260">
        <f t="shared" si="165"/>
        <v>1550400</v>
      </c>
      <c r="AO189" s="457">
        <f t="shared" si="166"/>
        <v>464445</v>
      </c>
      <c r="AP189" s="456">
        <f t="shared" si="167"/>
        <v>94746780</v>
      </c>
      <c r="AQ189" s="263" t="e">
        <f>#REF!+AH189+AA189+T189+M189</f>
        <v>#REF!</v>
      </c>
      <c r="AR189" s="263">
        <f t="shared" si="126"/>
        <v>95009550</v>
      </c>
      <c r="AS189" s="263" t="e">
        <f t="shared" si="127"/>
        <v>#REF!</v>
      </c>
      <c r="AT189" s="263">
        <f t="shared" si="128"/>
        <v>95330954</v>
      </c>
      <c r="AU189" s="263" t="e">
        <f t="shared" si="129"/>
        <v>#REF!</v>
      </c>
      <c r="AV189" s="263">
        <f t="shared" si="130"/>
        <v>107292290</v>
      </c>
      <c r="AW189" s="263" t="e">
        <f t="shared" si="131"/>
        <v>#REF!</v>
      </c>
      <c r="AX189" s="263" t="e">
        <f>AV189+#REF!+AH189+AA189+T189</f>
        <v>#REF!</v>
      </c>
      <c r="AY189" s="263" t="e">
        <f t="shared" si="132"/>
        <v>#REF!</v>
      </c>
      <c r="AZ189" s="263" t="e">
        <f t="shared" si="133"/>
        <v>#REF!</v>
      </c>
      <c r="BA189" s="263" t="e">
        <f t="shared" si="134"/>
        <v>#REF!</v>
      </c>
      <c r="BB189" s="263" t="e">
        <f t="shared" si="135"/>
        <v>#REF!</v>
      </c>
      <c r="BC189" s="263" t="e">
        <f t="shared" si="136"/>
        <v>#REF!</v>
      </c>
      <c r="BD189" s="263" t="e">
        <f t="shared" si="137"/>
        <v>#REF!</v>
      </c>
      <c r="BE189" s="263" t="e">
        <f>BC189+AV189+#REF!+AH189+AA189</f>
        <v>#REF!</v>
      </c>
      <c r="BF189" s="263" t="e">
        <f t="shared" si="138"/>
        <v>#REF!</v>
      </c>
      <c r="BG189" s="263" t="e">
        <f t="shared" si="139"/>
        <v>#REF!</v>
      </c>
    </row>
    <row r="190" spans="1:59" ht="15.75">
      <c r="A190" s="338">
        <v>14</v>
      </c>
      <c r="B190" s="338" t="s">
        <v>1</v>
      </c>
      <c r="C190" s="258">
        <v>43</v>
      </c>
      <c r="D190" s="328" t="s">
        <v>62</v>
      </c>
      <c r="E190" s="258" t="s">
        <v>9</v>
      </c>
      <c r="F190" s="431">
        <f t="array" ref="F190">MAX((IF(MNU_CODIGO_ALIMENTO_ENTREGA=CONCATENATE($C190,"_","P_"),MNU_GRAMAJE_REQUERIDO_TIPOA,"")))</f>
        <v>100</v>
      </c>
      <c r="G190" s="259">
        <f t="shared" si="140"/>
        <v>112296</v>
      </c>
      <c r="H190" s="259">
        <f t="shared" si="141"/>
        <v>28536</v>
      </c>
      <c r="I190" s="259">
        <f t="shared" si="142"/>
        <v>140832</v>
      </c>
      <c r="J190" s="260">
        <f t="shared" si="143"/>
        <v>19988688</v>
      </c>
      <c r="K190" s="260">
        <f t="shared" si="144"/>
        <v>5079408</v>
      </c>
      <c r="L190" s="260">
        <f t="shared" si="145"/>
        <v>25068096</v>
      </c>
      <c r="M190" s="432">
        <f t="array" ref="M190">MAX((IF(MNU_CODIGO_ALIMENTO_ENTREGA=CONCATENATE($C190,"_","P_"),MNU_GRAMAJE_REQUERIDO_TIPOB,"")))</f>
        <v>100</v>
      </c>
      <c r="N190" s="348">
        <f t="shared" si="146"/>
        <v>106828</v>
      </c>
      <c r="O190" s="348">
        <f t="shared" si="147"/>
        <v>31625</v>
      </c>
      <c r="P190" s="348">
        <f t="shared" si="148"/>
        <v>138453</v>
      </c>
      <c r="Q190" s="349">
        <f t="shared" si="149"/>
        <v>19015384</v>
      </c>
      <c r="R190" s="349">
        <f t="shared" si="150"/>
        <v>5629250</v>
      </c>
      <c r="S190" s="349">
        <f t="shared" si="151"/>
        <v>24644634</v>
      </c>
      <c r="T190" s="353">
        <f t="array" ref="T190">MAX((IF(MNU_CODIGO_ALIMENTO_ENTREGA=CONCATENATE($C190,"_","P_"),MNU_GRAMAJE_REQUERIDO_TIPOC,"")))</f>
        <v>100</v>
      </c>
      <c r="U190" s="259">
        <f t="shared" si="152"/>
        <v>113577</v>
      </c>
      <c r="V190" s="259">
        <f t="shared" si="153"/>
        <v>39353</v>
      </c>
      <c r="W190" s="259">
        <f t="shared" si="154"/>
        <v>152930</v>
      </c>
      <c r="X190" s="260">
        <f t="shared" si="155"/>
        <v>20216706</v>
      </c>
      <c r="Y190" s="260">
        <f t="shared" si="156"/>
        <v>7004834</v>
      </c>
      <c r="Z190" s="260">
        <f t="shared" si="157"/>
        <v>27221540</v>
      </c>
      <c r="AA190" s="258">
        <f t="array" ref="AA190">MAX((IF(MNU_CODIGO_ALIMENTO_ENTREGA=CONCATENATE($C190,"_","P_"),MNU_GRAMAJE_REQUERIDO_TIPOM,"")))</f>
        <v>100</v>
      </c>
      <c r="AB190" s="261">
        <f t="shared" si="158"/>
        <v>7905</v>
      </c>
      <c r="AC190" s="261">
        <v>0</v>
      </c>
      <c r="AD190" s="261">
        <f t="shared" si="159"/>
        <v>7905</v>
      </c>
      <c r="AE190" s="262">
        <f t="shared" si="160"/>
        <v>1407090</v>
      </c>
      <c r="AF190" s="262">
        <v>0</v>
      </c>
      <c r="AG190" s="262">
        <f t="shared" si="161"/>
        <v>1407090</v>
      </c>
      <c r="AH190" s="353">
        <f t="array" ref="AH190">MAX((IF(MNU_CODIGO_ALIMENTO_ENTREGA=CONCATENATE($C190,"_","P_"),MNU_GRAMAJE_REQUERIDO_TIPOH,"")))</f>
        <v>100</v>
      </c>
      <c r="AI190" s="259">
        <f t="shared" si="162"/>
        <v>6800</v>
      </c>
      <c r="AJ190" s="259">
        <v>0</v>
      </c>
      <c r="AK190" s="259">
        <f t="shared" si="163"/>
        <v>6800</v>
      </c>
      <c r="AL190" s="260">
        <f t="shared" si="164"/>
        <v>1210400</v>
      </c>
      <c r="AM190" s="260">
        <v>0</v>
      </c>
      <c r="AN190" s="260">
        <f t="shared" si="165"/>
        <v>1210400</v>
      </c>
      <c r="AO190" s="457">
        <f t="shared" si="166"/>
        <v>446920</v>
      </c>
      <c r="AP190" s="456">
        <f t="shared" si="167"/>
        <v>79551760</v>
      </c>
      <c r="AQ190" s="263" t="e">
        <f>#REF!+AH190+AA190+T190+M190</f>
        <v>#REF!</v>
      </c>
      <c r="AR190" s="263">
        <f t="shared" si="126"/>
        <v>79786870</v>
      </c>
      <c r="AS190" s="263" t="e">
        <f t="shared" si="127"/>
        <v>#REF!</v>
      </c>
      <c r="AT190" s="263">
        <f t="shared" si="128"/>
        <v>80092958</v>
      </c>
      <c r="AU190" s="263" t="e">
        <f t="shared" si="129"/>
        <v>#REF!</v>
      </c>
      <c r="AV190" s="263">
        <f t="shared" si="130"/>
        <v>92727042</v>
      </c>
      <c r="AW190" s="263" t="e">
        <f t="shared" si="131"/>
        <v>#REF!</v>
      </c>
      <c r="AX190" s="263" t="e">
        <f>AV190+#REF!+AH190+AA190+T190</f>
        <v>#REF!</v>
      </c>
      <c r="AY190" s="263" t="e">
        <f t="shared" si="132"/>
        <v>#REF!</v>
      </c>
      <c r="AZ190" s="263" t="e">
        <f t="shared" si="133"/>
        <v>#REF!</v>
      </c>
      <c r="BA190" s="263" t="e">
        <f t="shared" si="134"/>
        <v>#REF!</v>
      </c>
      <c r="BB190" s="263" t="e">
        <f t="shared" si="135"/>
        <v>#REF!</v>
      </c>
      <c r="BC190" s="263" t="e">
        <f t="shared" si="136"/>
        <v>#REF!</v>
      </c>
      <c r="BD190" s="263" t="e">
        <f t="shared" si="137"/>
        <v>#REF!</v>
      </c>
      <c r="BE190" s="263" t="e">
        <f>BC190+AV190+#REF!+AH190+AA190</f>
        <v>#REF!</v>
      </c>
      <c r="BF190" s="263" t="e">
        <f t="shared" si="138"/>
        <v>#REF!</v>
      </c>
      <c r="BG190" s="263" t="e">
        <f t="shared" si="139"/>
        <v>#REF!</v>
      </c>
    </row>
    <row r="191" spans="1:59" ht="15.75">
      <c r="A191" s="338">
        <v>14</v>
      </c>
      <c r="B191" s="338" t="s">
        <v>1</v>
      </c>
      <c r="C191" s="258">
        <v>46</v>
      </c>
      <c r="D191" s="328" t="s">
        <v>64</v>
      </c>
      <c r="E191" s="258" t="s">
        <v>9</v>
      </c>
      <c r="F191" s="431">
        <f t="array" ref="F191">MAX((IF(MNU_CODIGO_ALIMENTO_ENTREGA=CONCATENATE($C191,"_","P_"),MNU_GRAMAJE_REQUERIDO_TIPOA,"")))</f>
        <v>100</v>
      </c>
      <c r="G191" s="259">
        <f t="shared" si="140"/>
        <v>140370</v>
      </c>
      <c r="H191" s="259">
        <f t="shared" si="141"/>
        <v>28536</v>
      </c>
      <c r="I191" s="259">
        <f t="shared" si="142"/>
        <v>168906</v>
      </c>
      <c r="J191" s="260">
        <f t="shared" si="143"/>
        <v>58674660</v>
      </c>
      <c r="K191" s="260">
        <f t="shared" si="144"/>
        <v>11928048</v>
      </c>
      <c r="L191" s="260">
        <f t="shared" si="145"/>
        <v>70602708</v>
      </c>
      <c r="M191" s="432">
        <f t="array" ref="M191">MAX((IF(MNU_CODIGO_ALIMENTO_ENTREGA=CONCATENATE($C191,"_","P_"),MNU_GRAMAJE_REQUERIDO_TIPOB,"")))</f>
        <v>100</v>
      </c>
      <c r="N191" s="348">
        <f t="shared" si="146"/>
        <v>131964</v>
      </c>
      <c r="O191" s="348">
        <f t="shared" si="147"/>
        <v>33000</v>
      </c>
      <c r="P191" s="348">
        <f t="shared" si="148"/>
        <v>164964</v>
      </c>
      <c r="Q191" s="349">
        <f t="shared" si="149"/>
        <v>55160952</v>
      </c>
      <c r="R191" s="349">
        <f t="shared" si="150"/>
        <v>13794000</v>
      </c>
      <c r="S191" s="349">
        <f t="shared" si="151"/>
        <v>68954952</v>
      </c>
      <c r="T191" s="353">
        <f t="array" ref="T191">MAX((IF(MNU_CODIGO_ALIMENTO_ENTREGA=CONCATENATE($C191,"_","P_"),MNU_GRAMAJE_REQUERIDO_TIPOC,"")))</f>
        <v>100</v>
      </c>
      <c r="U191" s="259">
        <f t="shared" si="152"/>
        <v>140301</v>
      </c>
      <c r="V191" s="259">
        <f t="shared" si="153"/>
        <v>41064</v>
      </c>
      <c r="W191" s="259">
        <f t="shared" si="154"/>
        <v>181365</v>
      </c>
      <c r="X191" s="260">
        <f t="shared" si="155"/>
        <v>58645818</v>
      </c>
      <c r="Y191" s="260">
        <f t="shared" si="156"/>
        <v>17164752</v>
      </c>
      <c r="Z191" s="260">
        <f t="shared" si="157"/>
        <v>75810570</v>
      </c>
      <c r="AA191" s="258">
        <f t="array" ref="AA191">MAX((IF(MNU_CODIGO_ALIMENTO_ENTREGA=CONCATENATE($C191,"_","P_"),MNU_GRAMAJE_REQUERIDO_TIPOM,"")))</f>
        <v>100</v>
      </c>
      <c r="AB191" s="261">
        <f t="shared" si="158"/>
        <v>9765</v>
      </c>
      <c r="AC191" s="261">
        <v>0</v>
      </c>
      <c r="AD191" s="261">
        <f t="shared" si="159"/>
        <v>9765</v>
      </c>
      <c r="AE191" s="262">
        <f t="shared" si="160"/>
        <v>4081770</v>
      </c>
      <c r="AF191" s="262">
        <v>0</v>
      </c>
      <c r="AG191" s="262">
        <f t="shared" si="161"/>
        <v>4081770</v>
      </c>
      <c r="AH191" s="353">
        <f t="array" ref="AH191">MAX((IF(MNU_CODIGO_ALIMENTO_ENTREGA=CONCATENATE($C191,"_","P_"),MNU_GRAMAJE_REQUERIDO_TIPOH,"")))</f>
        <v>100</v>
      </c>
      <c r="AI191" s="259">
        <f t="shared" si="162"/>
        <v>8400</v>
      </c>
      <c r="AJ191" s="259">
        <v>0</v>
      </c>
      <c r="AK191" s="259">
        <f t="shared" si="163"/>
        <v>8400</v>
      </c>
      <c r="AL191" s="260">
        <f t="shared" si="164"/>
        <v>3511200</v>
      </c>
      <c r="AM191" s="260">
        <v>0</v>
      </c>
      <c r="AN191" s="260">
        <f t="shared" si="165"/>
        <v>3511200</v>
      </c>
      <c r="AO191" s="457">
        <f t="shared" si="166"/>
        <v>533400</v>
      </c>
      <c r="AP191" s="456">
        <f t="shared" si="167"/>
        <v>222961200</v>
      </c>
      <c r="AQ191" s="263" t="e">
        <f>#REF!+AH191+AA191+T191+M191</f>
        <v>#REF!</v>
      </c>
      <c r="AR191" s="263">
        <f t="shared" si="126"/>
        <v>223251630</v>
      </c>
      <c r="AS191" s="263" t="e">
        <f t="shared" si="127"/>
        <v>#REF!</v>
      </c>
      <c r="AT191" s="263">
        <f t="shared" si="128"/>
        <v>223616124</v>
      </c>
      <c r="AU191" s="263" t="e">
        <f t="shared" si="129"/>
        <v>#REF!</v>
      </c>
      <c r="AV191" s="263">
        <f t="shared" si="130"/>
        <v>254574876</v>
      </c>
      <c r="AW191" s="263" t="e">
        <f t="shared" si="131"/>
        <v>#REF!</v>
      </c>
      <c r="AX191" s="263" t="e">
        <f>AV191+#REF!+AH191+AA191+T191</f>
        <v>#REF!</v>
      </c>
      <c r="AY191" s="263" t="e">
        <f t="shared" si="132"/>
        <v>#REF!</v>
      </c>
      <c r="AZ191" s="263" t="e">
        <f t="shared" si="133"/>
        <v>#REF!</v>
      </c>
      <c r="BA191" s="263" t="e">
        <f t="shared" si="134"/>
        <v>#REF!</v>
      </c>
      <c r="BB191" s="263" t="e">
        <f t="shared" si="135"/>
        <v>#REF!</v>
      </c>
      <c r="BC191" s="263" t="e">
        <f t="shared" si="136"/>
        <v>#REF!</v>
      </c>
      <c r="BD191" s="263" t="e">
        <f t="shared" si="137"/>
        <v>#REF!</v>
      </c>
      <c r="BE191" s="263" t="e">
        <f>BC191+AV191+#REF!+AH191+AA191</f>
        <v>#REF!</v>
      </c>
      <c r="BF191" s="263" t="e">
        <f t="shared" si="138"/>
        <v>#REF!</v>
      </c>
      <c r="BG191" s="263" t="e">
        <f t="shared" si="139"/>
        <v>#REF!</v>
      </c>
    </row>
    <row r="192" spans="1:59" ht="15.75">
      <c r="A192" s="338">
        <v>14</v>
      </c>
      <c r="B192" s="338" t="s">
        <v>1</v>
      </c>
      <c r="C192" s="258">
        <v>58</v>
      </c>
      <c r="D192" s="328" t="s">
        <v>67</v>
      </c>
      <c r="E192" s="258" t="s">
        <v>9</v>
      </c>
      <c r="F192" s="431">
        <f t="array" ref="F192">MAX((IF(MNU_CODIGO_ALIMENTO_ENTREGA=CONCATENATE($C192,"_","P_"),MNU_GRAMAJE_REQUERIDO_TIPOA,"")))</f>
        <v>100</v>
      </c>
      <c r="G192" s="259">
        <f t="shared" si="140"/>
        <v>112296</v>
      </c>
      <c r="H192" s="259">
        <f t="shared" si="141"/>
        <v>27552</v>
      </c>
      <c r="I192" s="259">
        <f t="shared" si="142"/>
        <v>139848</v>
      </c>
      <c r="J192" s="260">
        <f t="shared" si="143"/>
        <v>18191952</v>
      </c>
      <c r="K192" s="260">
        <f t="shared" si="144"/>
        <v>4463424</v>
      </c>
      <c r="L192" s="260">
        <f t="shared" si="145"/>
        <v>22655376</v>
      </c>
      <c r="M192" s="432">
        <f t="array" ref="M192">MAX((IF(MNU_CODIGO_ALIMENTO_ENTREGA=CONCATENATE($C192,"_","P_"),MNU_GRAMAJE_REQUERIDO_TIPOB,"")))</f>
        <v>100</v>
      </c>
      <c r="N192" s="348">
        <f t="shared" si="146"/>
        <v>144532</v>
      </c>
      <c r="O192" s="348">
        <f t="shared" si="147"/>
        <v>31625</v>
      </c>
      <c r="P192" s="348">
        <f t="shared" si="148"/>
        <v>176157</v>
      </c>
      <c r="Q192" s="349">
        <f t="shared" si="149"/>
        <v>23414184</v>
      </c>
      <c r="R192" s="349">
        <f t="shared" si="150"/>
        <v>5123250</v>
      </c>
      <c r="S192" s="349">
        <f t="shared" si="151"/>
        <v>28537434</v>
      </c>
      <c r="T192" s="353">
        <f t="array" ref="T192">MAX((IF(MNU_CODIGO_ALIMENTO_ENTREGA=CONCATENATE($C192,"_","P_"),MNU_GRAMAJE_REQUERIDO_TIPOC,"")))</f>
        <v>100</v>
      </c>
      <c r="U192" s="259">
        <f t="shared" si="152"/>
        <v>153663</v>
      </c>
      <c r="V192" s="259">
        <f t="shared" si="153"/>
        <v>39353</v>
      </c>
      <c r="W192" s="259">
        <f t="shared" si="154"/>
        <v>193016</v>
      </c>
      <c r="X192" s="260">
        <f t="shared" si="155"/>
        <v>24893406</v>
      </c>
      <c r="Y192" s="260">
        <f t="shared" si="156"/>
        <v>6375186</v>
      </c>
      <c r="Z192" s="260">
        <f t="shared" si="157"/>
        <v>31268592</v>
      </c>
      <c r="AA192" s="258">
        <f t="array" ref="AA192">MAX((IF(MNU_CODIGO_ALIMENTO_ENTREGA=CONCATENATE($C192,"_","P_"),MNU_GRAMAJE_REQUERIDO_TIPOM,"")))</f>
        <v>100</v>
      </c>
      <c r="AB192" s="261">
        <f t="shared" si="158"/>
        <v>10695</v>
      </c>
      <c r="AC192" s="261">
        <v>0</v>
      </c>
      <c r="AD192" s="261">
        <f t="shared" si="159"/>
        <v>10695</v>
      </c>
      <c r="AE192" s="262">
        <f t="shared" si="160"/>
        <v>1732590</v>
      </c>
      <c r="AF192" s="262">
        <v>0</v>
      </c>
      <c r="AG192" s="262">
        <f t="shared" si="161"/>
        <v>1732590</v>
      </c>
      <c r="AH192" s="353">
        <f t="array" ref="AH192">MAX((IF(MNU_CODIGO_ALIMENTO_ENTREGA=CONCATENATE($C192,"_","P_"),MNU_GRAMAJE_REQUERIDO_TIPOH,"")))</f>
        <v>100</v>
      </c>
      <c r="AI192" s="259">
        <f t="shared" si="162"/>
        <v>9200</v>
      </c>
      <c r="AJ192" s="259">
        <v>0</v>
      </c>
      <c r="AK192" s="259">
        <f t="shared" si="163"/>
        <v>9200</v>
      </c>
      <c r="AL192" s="260">
        <f t="shared" si="164"/>
        <v>1490400</v>
      </c>
      <c r="AM192" s="260">
        <v>0</v>
      </c>
      <c r="AN192" s="260">
        <f t="shared" si="165"/>
        <v>1490400</v>
      </c>
      <c r="AO192" s="457">
        <f t="shared" si="166"/>
        <v>528916</v>
      </c>
      <c r="AP192" s="456">
        <f t="shared" si="167"/>
        <v>85684392</v>
      </c>
      <c r="AQ192" s="263" t="e">
        <f>#REF!+AH192+AA192+T192+M192</f>
        <v>#REF!</v>
      </c>
      <c r="AR192" s="263">
        <f t="shared" si="126"/>
        <v>86002482</v>
      </c>
      <c r="AS192" s="263" t="e">
        <f t="shared" si="127"/>
        <v>#REF!</v>
      </c>
      <c r="AT192" s="263">
        <f t="shared" si="128"/>
        <v>86391550</v>
      </c>
      <c r="AU192" s="263" t="e">
        <f t="shared" si="129"/>
        <v>#REF!</v>
      </c>
      <c r="AV192" s="263">
        <f t="shared" si="130"/>
        <v>97889986</v>
      </c>
      <c r="AW192" s="263" t="e">
        <f t="shared" si="131"/>
        <v>#REF!</v>
      </c>
      <c r="AX192" s="263" t="e">
        <f>AV192+#REF!+AH192+AA192+T192</f>
        <v>#REF!</v>
      </c>
      <c r="AY192" s="263" t="e">
        <f t="shared" si="132"/>
        <v>#REF!</v>
      </c>
      <c r="AZ192" s="263" t="e">
        <f t="shared" si="133"/>
        <v>#REF!</v>
      </c>
      <c r="BA192" s="263" t="e">
        <f t="shared" si="134"/>
        <v>#REF!</v>
      </c>
      <c r="BB192" s="263" t="e">
        <f t="shared" si="135"/>
        <v>#REF!</v>
      </c>
      <c r="BC192" s="263" t="e">
        <f t="shared" si="136"/>
        <v>#REF!</v>
      </c>
      <c r="BD192" s="263" t="e">
        <f t="shared" si="137"/>
        <v>#REF!</v>
      </c>
      <c r="BE192" s="263" t="e">
        <f>BC192+AV192+#REF!+AH192+AA192</f>
        <v>#REF!</v>
      </c>
      <c r="BF192" s="263" t="e">
        <f t="shared" si="138"/>
        <v>#REF!</v>
      </c>
      <c r="BG192" s="263" t="e">
        <f t="shared" si="139"/>
        <v>#REF!</v>
      </c>
    </row>
    <row r="193" spans="1:59" ht="15.75">
      <c r="A193" s="338">
        <v>14</v>
      </c>
      <c r="B193" s="338" t="s">
        <v>1</v>
      </c>
      <c r="C193" s="258">
        <v>59</v>
      </c>
      <c r="D193" s="328" t="s">
        <v>99</v>
      </c>
      <c r="E193" s="258" t="s">
        <v>9</v>
      </c>
      <c r="F193" s="431">
        <f t="array" ref="F193">MAX((IF(MNU_CODIGO_ALIMENTO_ENTREGA=CONCATENATE($C193,"_","P_"),MNU_GRAMAJE_REQUERIDO_TIPOA,"")))</f>
        <v>0</v>
      </c>
      <c r="G193" s="259">
        <f t="shared" si="140"/>
        <v>0</v>
      </c>
      <c r="H193" s="259">
        <f t="shared" si="141"/>
        <v>0</v>
      </c>
      <c r="I193" s="259">
        <f t="shared" si="142"/>
        <v>0</v>
      </c>
      <c r="J193" s="260">
        <f t="shared" si="143"/>
        <v>0</v>
      </c>
      <c r="K193" s="260">
        <f t="shared" si="144"/>
        <v>0</v>
      </c>
      <c r="L193" s="260">
        <f t="shared" si="145"/>
        <v>0</v>
      </c>
      <c r="M193" s="432">
        <f t="array" ref="M193">MAX((IF(MNU_CODIGO_ALIMENTO_ENTREGA=CONCATENATE($C193,"_","P_"),MNU_GRAMAJE_REQUERIDO_TIPOB,"")))</f>
        <v>100</v>
      </c>
      <c r="N193" s="348">
        <f t="shared" si="146"/>
        <v>50272</v>
      </c>
      <c r="O193" s="348">
        <f t="shared" si="147"/>
        <v>15125</v>
      </c>
      <c r="P193" s="348">
        <f t="shared" si="148"/>
        <v>65397</v>
      </c>
      <c r="Q193" s="349">
        <f t="shared" si="149"/>
        <v>15081600</v>
      </c>
      <c r="R193" s="349">
        <f t="shared" si="150"/>
        <v>4537500</v>
      </c>
      <c r="S193" s="349">
        <f t="shared" si="151"/>
        <v>19619100</v>
      </c>
      <c r="T193" s="353">
        <f t="array" ref="T193">MAX((IF(MNU_CODIGO_ALIMENTO_ENTREGA=CONCATENATE($C193,"_","P_"),MNU_GRAMAJE_REQUERIDO_TIPOC,"")))</f>
        <v>100</v>
      </c>
      <c r="U193" s="259">
        <f t="shared" si="152"/>
        <v>53448</v>
      </c>
      <c r="V193" s="259">
        <f t="shared" si="153"/>
        <v>18821</v>
      </c>
      <c r="W193" s="259">
        <f t="shared" si="154"/>
        <v>72269</v>
      </c>
      <c r="X193" s="260">
        <f t="shared" si="155"/>
        <v>16034400</v>
      </c>
      <c r="Y193" s="260">
        <f t="shared" si="156"/>
        <v>5646300</v>
      </c>
      <c r="Z193" s="260">
        <f t="shared" si="157"/>
        <v>21680700</v>
      </c>
      <c r="AA193" s="258">
        <f t="array" ref="AA193">MAX((IF(MNU_CODIGO_ALIMENTO_ENTREGA=CONCATENATE($C193,"_","P_"),MNU_GRAMAJE_REQUERIDO_TIPOM,"")))</f>
        <v>100</v>
      </c>
      <c r="AB193" s="261">
        <f t="shared" si="158"/>
        <v>3720</v>
      </c>
      <c r="AC193" s="261">
        <v>0</v>
      </c>
      <c r="AD193" s="261">
        <f t="shared" si="159"/>
        <v>3720</v>
      </c>
      <c r="AE193" s="262">
        <f t="shared" si="160"/>
        <v>1116000</v>
      </c>
      <c r="AF193" s="262">
        <v>0</v>
      </c>
      <c r="AG193" s="262">
        <f t="shared" si="161"/>
        <v>1116000</v>
      </c>
      <c r="AH193" s="353">
        <f t="array" ref="AH193">MAX((IF(MNU_CODIGO_ALIMENTO_ENTREGA=CONCATENATE($C193,"_","P_"),MNU_GRAMAJE_REQUERIDO_TIPOH,"")))</f>
        <v>100</v>
      </c>
      <c r="AI193" s="259">
        <f t="shared" si="162"/>
        <v>3200</v>
      </c>
      <c r="AJ193" s="259">
        <v>0</v>
      </c>
      <c r="AK193" s="259">
        <f t="shared" si="163"/>
        <v>3200</v>
      </c>
      <c r="AL193" s="260">
        <f t="shared" si="164"/>
        <v>960000</v>
      </c>
      <c r="AM193" s="260">
        <v>0</v>
      </c>
      <c r="AN193" s="260">
        <f t="shared" si="165"/>
        <v>960000</v>
      </c>
      <c r="AO193" s="457">
        <f t="shared" si="166"/>
        <v>144586</v>
      </c>
      <c r="AP193" s="456">
        <f t="shared" si="167"/>
        <v>43375800</v>
      </c>
      <c r="AQ193" s="263" t="e">
        <f>#REF!+AH193+AA193+T193+M193</f>
        <v>#REF!</v>
      </c>
      <c r="AR193" s="263">
        <f t="shared" si="126"/>
        <v>43486440</v>
      </c>
      <c r="AS193" s="263" t="e">
        <f t="shared" si="127"/>
        <v>#REF!</v>
      </c>
      <c r="AT193" s="263">
        <f t="shared" si="128"/>
        <v>43631026</v>
      </c>
      <c r="AU193" s="263" t="e">
        <f t="shared" si="129"/>
        <v>#REF!</v>
      </c>
      <c r="AV193" s="263">
        <f t="shared" si="130"/>
        <v>53814826</v>
      </c>
      <c r="AW193" s="263" t="e">
        <f t="shared" si="131"/>
        <v>#REF!</v>
      </c>
      <c r="AX193" s="263" t="e">
        <f>AV193+#REF!+AH193+AA193+T193</f>
        <v>#REF!</v>
      </c>
      <c r="AY193" s="263" t="e">
        <f t="shared" si="132"/>
        <v>#REF!</v>
      </c>
      <c r="AZ193" s="263" t="e">
        <f t="shared" si="133"/>
        <v>#REF!</v>
      </c>
      <c r="BA193" s="263" t="e">
        <f t="shared" si="134"/>
        <v>#REF!</v>
      </c>
      <c r="BB193" s="263" t="e">
        <f t="shared" si="135"/>
        <v>#REF!</v>
      </c>
      <c r="BC193" s="263" t="e">
        <f t="shared" si="136"/>
        <v>#REF!</v>
      </c>
      <c r="BD193" s="263" t="e">
        <f t="shared" si="137"/>
        <v>#REF!</v>
      </c>
      <c r="BE193" s="263" t="e">
        <f>BC193+AV193+#REF!+AH193+AA193</f>
        <v>#REF!</v>
      </c>
      <c r="BF193" s="263" t="e">
        <f t="shared" si="138"/>
        <v>#REF!</v>
      </c>
      <c r="BG193" s="263" t="e">
        <f t="shared" si="139"/>
        <v>#REF!</v>
      </c>
    </row>
    <row r="194" spans="1:59" ht="15.75">
      <c r="A194" s="338">
        <v>14</v>
      </c>
      <c r="B194" s="338" t="s">
        <v>1</v>
      </c>
      <c r="C194" s="258">
        <v>69</v>
      </c>
      <c r="D194" s="328" t="s">
        <v>70</v>
      </c>
      <c r="E194" s="258" t="s">
        <v>9</v>
      </c>
      <c r="F194" s="431">
        <f t="array" ref="F194">MAX((IF(MNU_CODIGO_ALIMENTO_ENTREGA=CONCATENATE($C194,"_","P_"),MNU_GRAMAJE_REQUERIDO_TIPOA,"")))</f>
        <v>100</v>
      </c>
      <c r="G194" s="259">
        <f t="shared" si="140"/>
        <v>140370</v>
      </c>
      <c r="H194" s="259">
        <f t="shared" si="141"/>
        <v>17712</v>
      </c>
      <c r="I194" s="259">
        <f t="shared" si="142"/>
        <v>158082</v>
      </c>
      <c r="J194" s="260">
        <f t="shared" si="143"/>
        <v>44918400</v>
      </c>
      <c r="K194" s="260">
        <f t="shared" si="144"/>
        <v>5667840</v>
      </c>
      <c r="L194" s="260">
        <f t="shared" si="145"/>
        <v>50586240</v>
      </c>
      <c r="M194" s="432">
        <f t="array" ref="M194">MAX((IF(MNU_CODIGO_ALIMENTO_ENTREGA=CONCATENATE($C194,"_","P_"),MNU_GRAMAJE_REQUERIDO_TIPOB,"")))</f>
        <v>100</v>
      </c>
      <c r="N194" s="348">
        <f t="shared" si="146"/>
        <v>100544</v>
      </c>
      <c r="O194" s="348">
        <f t="shared" si="147"/>
        <v>16500</v>
      </c>
      <c r="P194" s="348">
        <f t="shared" si="148"/>
        <v>117044</v>
      </c>
      <c r="Q194" s="349">
        <f t="shared" si="149"/>
        <v>32174080</v>
      </c>
      <c r="R194" s="349">
        <f t="shared" si="150"/>
        <v>5280000</v>
      </c>
      <c r="S194" s="349">
        <f t="shared" si="151"/>
        <v>37454080</v>
      </c>
      <c r="T194" s="353">
        <f t="array" ref="T194">MAX((IF(MNU_CODIGO_ALIMENTO_ENTREGA=CONCATENATE($C194,"_","P_"),MNU_GRAMAJE_REQUERIDO_TIPOC,"")))</f>
        <v>100</v>
      </c>
      <c r="U194" s="259">
        <f t="shared" si="152"/>
        <v>106896</v>
      </c>
      <c r="V194" s="259">
        <f t="shared" si="153"/>
        <v>20532</v>
      </c>
      <c r="W194" s="259">
        <f t="shared" si="154"/>
        <v>127428</v>
      </c>
      <c r="X194" s="260">
        <f t="shared" si="155"/>
        <v>34206720</v>
      </c>
      <c r="Y194" s="260">
        <f t="shared" si="156"/>
        <v>6570240</v>
      </c>
      <c r="Z194" s="260">
        <f t="shared" si="157"/>
        <v>40776960</v>
      </c>
      <c r="AA194" s="258">
        <f t="array" ref="AA194">MAX((IF(MNU_CODIGO_ALIMENTO_ENTREGA=CONCATENATE($C194,"_","P_"),MNU_GRAMAJE_REQUERIDO_TIPOM,"")))</f>
        <v>100</v>
      </c>
      <c r="AB194" s="261">
        <f t="shared" si="158"/>
        <v>7440</v>
      </c>
      <c r="AC194" s="261">
        <v>0</v>
      </c>
      <c r="AD194" s="261">
        <f t="shared" si="159"/>
        <v>7440</v>
      </c>
      <c r="AE194" s="262">
        <f t="shared" si="160"/>
        <v>2380800</v>
      </c>
      <c r="AF194" s="262">
        <v>0</v>
      </c>
      <c r="AG194" s="262">
        <f t="shared" si="161"/>
        <v>2380800</v>
      </c>
      <c r="AH194" s="353">
        <f t="array" ref="AH194">MAX((IF(MNU_CODIGO_ALIMENTO_ENTREGA=CONCATENATE($C194,"_","P_"),MNU_GRAMAJE_REQUERIDO_TIPOH,"")))</f>
        <v>100</v>
      </c>
      <c r="AI194" s="259">
        <f t="shared" si="162"/>
        <v>6400</v>
      </c>
      <c r="AJ194" s="259">
        <v>0</v>
      </c>
      <c r="AK194" s="259">
        <f t="shared" si="163"/>
        <v>6400</v>
      </c>
      <c r="AL194" s="260">
        <f t="shared" si="164"/>
        <v>2048000</v>
      </c>
      <c r="AM194" s="260">
        <v>0</v>
      </c>
      <c r="AN194" s="260">
        <f t="shared" si="165"/>
        <v>2048000</v>
      </c>
      <c r="AO194" s="457">
        <f t="shared" si="166"/>
        <v>416394</v>
      </c>
      <c r="AP194" s="456">
        <f t="shared" si="167"/>
        <v>133246080</v>
      </c>
      <c r="AQ194" s="263" t="e">
        <f>#REF!+AH194+AA194+T194+M194</f>
        <v>#REF!</v>
      </c>
      <c r="AR194" s="263">
        <f t="shared" si="126"/>
        <v>133467360</v>
      </c>
      <c r="AS194" s="263" t="e">
        <f t="shared" si="127"/>
        <v>#REF!</v>
      </c>
      <c r="AT194" s="263">
        <f t="shared" si="128"/>
        <v>133725672</v>
      </c>
      <c r="AU194" s="263" t="e">
        <f t="shared" si="129"/>
        <v>#REF!</v>
      </c>
      <c r="AV194" s="263">
        <f t="shared" si="130"/>
        <v>145575912</v>
      </c>
      <c r="AW194" s="263" t="e">
        <f t="shared" si="131"/>
        <v>#REF!</v>
      </c>
      <c r="AX194" s="263" t="e">
        <f>AV194+#REF!+AH194+AA194+T194</f>
        <v>#REF!</v>
      </c>
      <c r="AY194" s="263" t="e">
        <f t="shared" si="132"/>
        <v>#REF!</v>
      </c>
      <c r="AZ194" s="263" t="e">
        <f t="shared" si="133"/>
        <v>#REF!</v>
      </c>
      <c r="BA194" s="263" t="e">
        <f t="shared" si="134"/>
        <v>#REF!</v>
      </c>
      <c r="BB194" s="263" t="e">
        <f t="shared" si="135"/>
        <v>#REF!</v>
      </c>
      <c r="BC194" s="263" t="e">
        <f t="shared" si="136"/>
        <v>#REF!</v>
      </c>
      <c r="BD194" s="263" t="e">
        <f t="shared" si="137"/>
        <v>#REF!</v>
      </c>
      <c r="BE194" s="263" t="e">
        <f>BC194+AV194+#REF!+AH194+AA194</f>
        <v>#REF!</v>
      </c>
      <c r="BF194" s="263" t="e">
        <f t="shared" si="138"/>
        <v>#REF!</v>
      </c>
      <c r="BG194" s="263" t="e">
        <f t="shared" si="139"/>
        <v>#REF!</v>
      </c>
    </row>
    <row r="195" spans="1:59" ht="15.75">
      <c r="A195" s="338">
        <v>14</v>
      </c>
      <c r="B195" s="338" t="s">
        <v>1</v>
      </c>
      <c r="C195" s="258">
        <v>70</v>
      </c>
      <c r="D195" s="328" t="s">
        <v>71</v>
      </c>
      <c r="E195" s="258" t="s">
        <v>9</v>
      </c>
      <c r="F195" s="431">
        <f t="array" ref="F195">MAX((IF(MNU_CODIGO_ALIMENTO_ENTREGA=CONCATENATE($C195,"_","P_"),MNU_GRAMAJE_REQUERIDO_TIPOA,"")))</f>
        <v>0</v>
      </c>
      <c r="G195" s="259">
        <f t="shared" si="140"/>
        <v>0</v>
      </c>
      <c r="H195" s="259">
        <f t="shared" si="141"/>
        <v>0</v>
      </c>
      <c r="I195" s="259">
        <f t="shared" si="142"/>
        <v>0</v>
      </c>
      <c r="J195" s="260">
        <f t="shared" si="143"/>
        <v>0</v>
      </c>
      <c r="K195" s="260">
        <f t="shared" si="144"/>
        <v>0</v>
      </c>
      <c r="L195" s="260">
        <f t="shared" si="145"/>
        <v>0</v>
      </c>
      <c r="M195" s="432">
        <f t="array" ref="M195">MAX((IF(MNU_CODIGO_ALIMENTO_ENTREGA=CONCATENATE($C195,"_","P_"),MNU_GRAMAJE_REQUERIDO_TIPOB,"")))</f>
        <v>100</v>
      </c>
      <c r="N195" s="348">
        <f t="shared" si="146"/>
        <v>62840</v>
      </c>
      <c r="O195" s="348">
        <f t="shared" si="147"/>
        <v>11000</v>
      </c>
      <c r="P195" s="348">
        <f t="shared" si="148"/>
        <v>73840</v>
      </c>
      <c r="Q195" s="349">
        <f t="shared" si="149"/>
        <v>28655040</v>
      </c>
      <c r="R195" s="349">
        <f t="shared" si="150"/>
        <v>5016000</v>
      </c>
      <c r="S195" s="349">
        <f t="shared" si="151"/>
        <v>33671040</v>
      </c>
      <c r="T195" s="353">
        <f t="array" ref="T195">MAX((IF(MNU_CODIGO_ALIMENTO_ENTREGA=CONCATENATE($C195,"_","P_"),MNU_GRAMAJE_REQUERIDO_TIPOC,"")))</f>
        <v>100</v>
      </c>
      <c r="U195" s="259">
        <f t="shared" si="152"/>
        <v>66810</v>
      </c>
      <c r="V195" s="259">
        <f t="shared" si="153"/>
        <v>13688</v>
      </c>
      <c r="W195" s="259">
        <f t="shared" si="154"/>
        <v>80498</v>
      </c>
      <c r="X195" s="260">
        <f t="shared" si="155"/>
        <v>30465360</v>
      </c>
      <c r="Y195" s="260">
        <f t="shared" si="156"/>
        <v>6241728</v>
      </c>
      <c r="Z195" s="260">
        <f t="shared" si="157"/>
        <v>36707088</v>
      </c>
      <c r="AA195" s="258">
        <f t="array" ref="AA195">MAX((IF(MNU_CODIGO_ALIMENTO_ENTREGA=CONCATENATE($C195,"_","P_"),MNU_GRAMAJE_REQUERIDO_TIPOM,"")))</f>
        <v>100</v>
      </c>
      <c r="AB195" s="261">
        <f t="shared" si="158"/>
        <v>4650</v>
      </c>
      <c r="AC195" s="261">
        <v>0</v>
      </c>
      <c r="AD195" s="261">
        <f t="shared" si="159"/>
        <v>4650</v>
      </c>
      <c r="AE195" s="262">
        <f t="shared" si="160"/>
        <v>2120400</v>
      </c>
      <c r="AF195" s="262">
        <v>0</v>
      </c>
      <c r="AG195" s="262">
        <f t="shared" si="161"/>
        <v>2120400</v>
      </c>
      <c r="AH195" s="353">
        <f t="array" ref="AH195">MAX((IF(MNU_CODIGO_ALIMENTO_ENTREGA=CONCATENATE($C195,"_","P_"),MNU_GRAMAJE_REQUERIDO_TIPOH,"")))</f>
        <v>100</v>
      </c>
      <c r="AI195" s="259">
        <f t="shared" si="162"/>
        <v>4000</v>
      </c>
      <c r="AJ195" s="259">
        <v>0</v>
      </c>
      <c r="AK195" s="259">
        <f t="shared" si="163"/>
        <v>4000</v>
      </c>
      <c r="AL195" s="260">
        <f t="shared" si="164"/>
        <v>1824000</v>
      </c>
      <c r="AM195" s="260">
        <v>0</v>
      </c>
      <c r="AN195" s="260">
        <f t="shared" si="165"/>
        <v>1824000</v>
      </c>
      <c r="AO195" s="457">
        <f t="shared" si="166"/>
        <v>162988</v>
      </c>
      <c r="AP195" s="456">
        <f t="shared" si="167"/>
        <v>74322528</v>
      </c>
      <c r="AQ195" s="263" t="e">
        <f>#REF!+AH195+AA195+T195+M195</f>
        <v>#REF!</v>
      </c>
      <c r="AR195" s="263">
        <f t="shared" si="126"/>
        <v>74460828</v>
      </c>
      <c r="AS195" s="263" t="e">
        <f t="shared" si="127"/>
        <v>#REF!</v>
      </c>
      <c r="AT195" s="263">
        <f t="shared" si="128"/>
        <v>74623816</v>
      </c>
      <c r="AU195" s="263" t="e">
        <f t="shared" si="129"/>
        <v>#REF!</v>
      </c>
      <c r="AV195" s="263">
        <f t="shared" si="130"/>
        <v>85881544</v>
      </c>
      <c r="AW195" s="263" t="e">
        <f t="shared" si="131"/>
        <v>#REF!</v>
      </c>
      <c r="AX195" s="263" t="e">
        <f>AV195+#REF!+AH195+AA195+T195</f>
        <v>#REF!</v>
      </c>
      <c r="AY195" s="263" t="e">
        <f t="shared" si="132"/>
        <v>#REF!</v>
      </c>
      <c r="AZ195" s="263" t="e">
        <f t="shared" si="133"/>
        <v>#REF!</v>
      </c>
      <c r="BA195" s="263" t="e">
        <f t="shared" si="134"/>
        <v>#REF!</v>
      </c>
      <c r="BB195" s="263" t="e">
        <f t="shared" si="135"/>
        <v>#REF!</v>
      </c>
      <c r="BC195" s="263" t="e">
        <f t="shared" si="136"/>
        <v>#REF!</v>
      </c>
      <c r="BD195" s="263" t="e">
        <f t="shared" si="137"/>
        <v>#REF!</v>
      </c>
      <c r="BE195" s="263" t="e">
        <f>BC195+AV195+#REF!+AH195+AA195</f>
        <v>#REF!</v>
      </c>
      <c r="BF195" s="263" t="e">
        <f t="shared" si="138"/>
        <v>#REF!</v>
      </c>
      <c r="BG195" s="263" t="e">
        <f t="shared" si="139"/>
        <v>#REF!</v>
      </c>
    </row>
    <row r="196" spans="1:59" ht="15.75">
      <c r="A196" s="338">
        <v>15</v>
      </c>
      <c r="B196" s="338" t="s">
        <v>1</v>
      </c>
      <c r="C196" s="258">
        <v>7</v>
      </c>
      <c r="D196" s="328" t="s">
        <v>57</v>
      </c>
      <c r="E196" s="258" t="s">
        <v>9</v>
      </c>
      <c r="F196" s="431">
        <f t="array" ref="F196">MAX((IF(MNU_CODIGO_ALIMENTO_ENTREGA=CONCATENATE($C196,"_","P_"),MNU_GRAMAJE_REQUERIDO_TIPOA,"")))</f>
        <v>100</v>
      </c>
      <c r="G196" s="259">
        <f t="shared" si="140"/>
        <v>153692</v>
      </c>
      <c r="H196" s="259">
        <f t="shared" si="141"/>
        <v>17236</v>
      </c>
      <c r="I196" s="259">
        <f t="shared" si="142"/>
        <v>170928</v>
      </c>
      <c r="J196" s="260">
        <f t="shared" si="143"/>
        <v>17213504</v>
      </c>
      <c r="K196" s="260">
        <f t="shared" si="144"/>
        <v>1930432</v>
      </c>
      <c r="L196" s="260">
        <f t="shared" si="145"/>
        <v>19143936</v>
      </c>
      <c r="M196" s="432">
        <f t="array" ref="M196">MAX((IF(MNU_CODIGO_ALIMENTO_ENTREGA=CONCATENATE($C196,"_","P_"),MNU_GRAMAJE_REQUERIDO_TIPOB,"")))</f>
        <v>100</v>
      </c>
      <c r="N196" s="348">
        <f t="shared" si="146"/>
        <v>77265</v>
      </c>
      <c r="O196" s="348">
        <f t="shared" si="147"/>
        <v>1133</v>
      </c>
      <c r="P196" s="348">
        <f t="shared" si="148"/>
        <v>78398</v>
      </c>
      <c r="Q196" s="349">
        <f t="shared" si="149"/>
        <v>8653680</v>
      </c>
      <c r="R196" s="349">
        <f t="shared" si="150"/>
        <v>126896</v>
      </c>
      <c r="S196" s="349">
        <f t="shared" si="151"/>
        <v>8780576</v>
      </c>
      <c r="T196" s="353">
        <f t="array" ref="T196">MAX((IF(MNU_CODIGO_ALIMENTO_ENTREGA=CONCATENATE($C196,"_","P_"),MNU_GRAMAJE_REQUERIDO_TIPOC,"")))</f>
        <v>100</v>
      </c>
      <c r="U196" s="259">
        <f t="shared" si="152"/>
        <v>70200</v>
      </c>
      <c r="V196" s="259">
        <f t="shared" si="153"/>
        <v>13354</v>
      </c>
      <c r="W196" s="259">
        <f t="shared" si="154"/>
        <v>83554</v>
      </c>
      <c r="X196" s="260">
        <f t="shared" si="155"/>
        <v>7862400</v>
      </c>
      <c r="Y196" s="260">
        <f t="shared" si="156"/>
        <v>1495648</v>
      </c>
      <c r="Z196" s="260">
        <f t="shared" si="157"/>
        <v>9358048</v>
      </c>
      <c r="AA196" s="258">
        <f t="array" ref="AA196">MAX((IF(MNU_CODIGO_ALIMENTO_ENTREGA=CONCATENATE($C196,"_","P_"),MNU_GRAMAJE_REQUERIDO_TIPOM,"")))</f>
        <v>100</v>
      </c>
      <c r="AB196" s="261">
        <f t="shared" si="158"/>
        <v>0</v>
      </c>
      <c r="AC196" s="261">
        <v>0</v>
      </c>
      <c r="AD196" s="261">
        <f t="shared" si="159"/>
        <v>0</v>
      </c>
      <c r="AE196" s="262">
        <f t="shared" si="160"/>
        <v>0</v>
      </c>
      <c r="AF196" s="262">
        <v>0</v>
      </c>
      <c r="AG196" s="262">
        <f t="shared" si="161"/>
        <v>0</v>
      </c>
      <c r="AH196" s="353">
        <f t="array" ref="AH196">MAX((IF(MNU_CODIGO_ALIMENTO_ENTREGA=CONCATENATE($C196,"_","P_"),MNU_GRAMAJE_REQUERIDO_TIPOH,"")))</f>
        <v>100</v>
      </c>
      <c r="AI196" s="259">
        <f t="shared" si="162"/>
        <v>0</v>
      </c>
      <c r="AJ196" s="259">
        <v>0</v>
      </c>
      <c r="AK196" s="259">
        <f t="shared" si="163"/>
        <v>0</v>
      </c>
      <c r="AL196" s="260">
        <f t="shared" si="164"/>
        <v>0</v>
      </c>
      <c r="AM196" s="260">
        <v>0</v>
      </c>
      <c r="AN196" s="260">
        <f t="shared" si="165"/>
        <v>0</v>
      </c>
      <c r="AO196" s="457">
        <f t="shared" si="166"/>
        <v>332880</v>
      </c>
      <c r="AP196" s="456">
        <f t="shared" si="167"/>
        <v>37282560</v>
      </c>
      <c r="AQ196" s="263" t="e">
        <f>#REF!+AH196+AA196+T196+M196</f>
        <v>#REF!</v>
      </c>
      <c r="AR196" s="263">
        <f t="shared" si="126"/>
        <v>37430025</v>
      </c>
      <c r="AS196" s="263" t="e">
        <f t="shared" si="127"/>
        <v>#REF!</v>
      </c>
      <c r="AT196" s="263">
        <f t="shared" si="128"/>
        <v>37591977</v>
      </c>
      <c r="AU196" s="263" t="e">
        <f t="shared" si="129"/>
        <v>#REF!</v>
      </c>
      <c r="AV196" s="263">
        <f t="shared" si="130"/>
        <v>39214521</v>
      </c>
      <c r="AW196" s="263" t="e">
        <f t="shared" si="131"/>
        <v>#REF!</v>
      </c>
      <c r="AX196" s="263" t="e">
        <f>AV196+#REF!+AH196+AA196+T196</f>
        <v>#REF!</v>
      </c>
      <c r="AY196" s="263" t="e">
        <f t="shared" si="132"/>
        <v>#REF!</v>
      </c>
      <c r="AZ196" s="263" t="e">
        <f t="shared" si="133"/>
        <v>#REF!</v>
      </c>
      <c r="BA196" s="263" t="e">
        <f t="shared" si="134"/>
        <v>#REF!</v>
      </c>
      <c r="BB196" s="263" t="e">
        <f t="shared" si="135"/>
        <v>#REF!</v>
      </c>
      <c r="BC196" s="263" t="e">
        <f t="shared" si="136"/>
        <v>#REF!</v>
      </c>
      <c r="BD196" s="263" t="e">
        <f t="shared" si="137"/>
        <v>#REF!</v>
      </c>
      <c r="BE196" s="263" t="e">
        <f>BC196+AV196+#REF!+AH196+AA196</f>
        <v>#REF!</v>
      </c>
      <c r="BF196" s="263" t="e">
        <f t="shared" si="138"/>
        <v>#REF!</v>
      </c>
      <c r="BG196" s="263" t="e">
        <f t="shared" si="139"/>
        <v>#REF!</v>
      </c>
    </row>
    <row r="197" spans="1:59" ht="15.75">
      <c r="A197" s="338">
        <v>15</v>
      </c>
      <c r="B197" s="338" t="s">
        <v>1</v>
      </c>
      <c r="C197" s="258">
        <v>8</v>
      </c>
      <c r="D197" s="328" t="s">
        <v>55</v>
      </c>
      <c r="E197" s="258" t="s">
        <v>9</v>
      </c>
      <c r="F197" s="431">
        <f t="array" ref="F197">MAX((IF(MNU_CODIGO_ALIMENTO_ENTREGA=CONCATENATE($C197,"_","P_"),MNU_GRAMAJE_REQUERIDO_TIPOA,"")))</f>
        <v>100</v>
      </c>
      <c r="G197" s="259">
        <f t="shared" si="140"/>
        <v>69860</v>
      </c>
      <c r="H197" s="259">
        <f t="shared" si="141"/>
        <v>6116</v>
      </c>
      <c r="I197" s="259">
        <f t="shared" si="142"/>
        <v>75976</v>
      </c>
      <c r="J197" s="260">
        <f t="shared" si="143"/>
        <v>9850260</v>
      </c>
      <c r="K197" s="260">
        <f t="shared" si="144"/>
        <v>862356</v>
      </c>
      <c r="L197" s="260">
        <f t="shared" si="145"/>
        <v>10712616</v>
      </c>
      <c r="M197" s="432">
        <f t="array" ref="M197">MAX((IF(MNU_CODIGO_ALIMENTO_ENTREGA=CONCATENATE($C197,"_","P_"),MNU_GRAMAJE_REQUERIDO_TIPOB,"")))</f>
        <v>100</v>
      </c>
      <c r="N197" s="348">
        <f t="shared" si="146"/>
        <v>68680</v>
      </c>
      <c r="O197" s="348">
        <f t="shared" si="147"/>
        <v>1133</v>
      </c>
      <c r="P197" s="348">
        <f t="shared" si="148"/>
        <v>69813</v>
      </c>
      <c r="Q197" s="349">
        <f t="shared" si="149"/>
        <v>9683880</v>
      </c>
      <c r="R197" s="349">
        <f t="shared" si="150"/>
        <v>159753</v>
      </c>
      <c r="S197" s="349">
        <f t="shared" si="151"/>
        <v>9843633</v>
      </c>
      <c r="T197" s="353">
        <f t="array" ref="T197">MAX((IF(MNU_CODIGO_ALIMENTO_ENTREGA=CONCATENATE($C197,"_","P_"),MNU_GRAMAJE_REQUERIDO_TIPOC,"")))</f>
        <v>100</v>
      </c>
      <c r="U197" s="259">
        <f t="shared" si="152"/>
        <v>62400</v>
      </c>
      <c r="V197" s="259">
        <f t="shared" si="153"/>
        <v>13354</v>
      </c>
      <c r="W197" s="259">
        <f t="shared" si="154"/>
        <v>75754</v>
      </c>
      <c r="X197" s="260">
        <f t="shared" si="155"/>
        <v>8798400</v>
      </c>
      <c r="Y197" s="260">
        <f t="shared" si="156"/>
        <v>1882914</v>
      </c>
      <c r="Z197" s="260">
        <f t="shared" si="157"/>
        <v>10681314</v>
      </c>
      <c r="AA197" s="258">
        <f t="array" ref="AA197">MAX((IF(MNU_CODIGO_ALIMENTO_ENTREGA=CONCATENATE($C197,"_","P_"),MNU_GRAMAJE_REQUERIDO_TIPOM,"")))</f>
        <v>100</v>
      </c>
      <c r="AB197" s="261">
        <f t="shared" si="158"/>
        <v>0</v>
      </c>
      <c r="AC197" s="261">
        <v>0</v>
      </c>
      <c r="AD197" s="261">
        <f t="shared" si="159"/>
        <v>0</v>
      </c>
      <c r="AE197" s="262">
        <f t="shared" si="160"/>
        <v>0</v>
      </c>
      <c r="AF197" s="262">
        <v>0</v>
      </c>
      <c r="AG197" s="262">
        <f t="shared" si="161"/>
        <v>0</v>
      </c>
      <c r="AH197" s="353">
        <f t="array" ref="AH197">MAX((IF(MNU_CODIGO_ALIMENTO_ENTREGA=CONCATENATE($C197,"_","P_"),MNU_GRAMAJE_REQUERIDO_TIPOH,"")))</f>
        <v>100</v>
      </c>
      <c r="AI197" s="259">
        <f t="shared" si="162"/>
        <v>0</v>
      </c>
      <c r="AJ197" s="259">
        <v>0</v>
      </c>
      <c r="AK197" s="259">
        <f t="shared" si="163"/>
        <v>0</v>
      </c>
      <c r="AL197" s="260">
        <f t="shared" si="164"/>
        <v>0</v>
      </c>
      <c r="AM197" s="260">
        <v>0</v>
      </c>
      <c r="AN197" s="260">
        <f t="shared" si="165"/>
        <v>0</v>
      </c>
      <c r="AO197" s="457">
        <f t="shared" si="166"/>
        <v>221543</v>
      </c>
      <c r="AP197" s="456">
        <f t="shared" si="167"/>
        <v>31237563</v>
      </c>
      <c r="AQ197" s="263" t="e">
        <f>#REF!+AH197+AA197+T197+M197</f>
        <v>#REF!</v>
      </c>
      <c r="AR197" s="263">
        <f t="shared" si="126"/>
        <v>31368643</v>
      </c>
      <c r="AS197" s="263" t="e">
        <f t="shared" si="127"/>
        <v>#REF!</v>
      </c>
      <c r="AT197" s="263">
        <f t="shared" si="128"/>
        <v>31514210</v>
      </c>
      <c r="AU197" s="263" t="e">
        <f t="shared" si="129"/>
        <v>#REF!</v>
      </c>
      <c r="AV197" s="263">
        <f t="shared" si="130"/>
        <v>33556877</v>
      </c>
      <c r="AW197" s="263" t="e">
        <f t="shared" si="131"/>
        <v>#REF!</v>
      </c>
      <c r="AX197" s="263" t="e">
        <f>AV197+#REF!+AH197+AA197+T197</f>
        <v>#REF!</v>
      </c>
      <c r="AY197" s="263" t="e">
        <f t="shared" si="132"/>
        <v>#REF!</v>
      </c>
      <c r="AZ197" s="263" t="e">
        <f t="shared" si="133"/>
        <v>#REF!</v>
      </c>
      <c r="BA197" s="263" t="e">
        <f t="shared" si="134"/>
        <v>#REF!</v>
      </c>
      <c r="BB197" s="263" t="e">
        <f t="shared" si="135"/>
        <v>#REF!</v>
      </c>
      <c r="BC197" s="263" t="e">
        <f t="shared" si="136"/>
        <v>#REF!</v>
      </c>
      <c r="BD197" s="263" t="e">
        <f t="shared" si="137"/>
        <v>#REF!</v>
      </c>
      <c r="BE197" s="263" t="e">
        <f>BC197+AV197+#REF!+AH197+AA197</f>
        <v>#REF!</v>
      </c>
      <c r="BF197" s="263" t="e">
        <f t="shared" si="138"/>
        <v>#REF!</v>
      </c>
      <c r="BG197" s="263" t="e">
        <f t="shared" si="139"/>
        <v>#REF!</v>
      </c>
    </row>
    <row r="198" spans="1:59" ht="15.75">
      <c r="A198" s="338">
        <v>15</v>
      </c>
      <c r="B198" s="338" t="s">
        <v>1</v>
      </c>
      <c r="C198" s="258">
        <v>17</v>
      </c>
      <c r="D198" s="328" t="s">
        <v>53</v>
      </c>
      <c r="E198" s="258" t="s">
        <v>9</v>
      </c>
      <c r="F198" s="431">
        <f t="array" ref="F198">MAX((IF(MNU_CODIGO_ALIMENTO_ENTREGA=CONCATENATE($C198,"_","P_"),MNU_GRAMAJE_REQUERIDO_TIPOA,"")))</f>
        <v>0</v>
      </c>
      <c r="G198" s="259">
        <f t="shared" si="140"/>
        <v>0</v>
      </c>
      <c r="H198" s="259">
        <f t="shared" si="141"/>
        <v>0</v>
      </c>
      <c r="I198" s="259">
        <f t="shared" si="142"/>
        <v>0</v>
      </c>
      <c r="J198" s="260">
        <f t="shared" si="143"/>
        <v>0</v>
      </c>
      <c r="K198" s="260">
        <f t="shared" si="144"/>
        <v>0</v>
      </c>
      <c r="L198" s="260">
        <f t="shared" si="145"/>
        <v>0</v>
      </c>
      <c r="M198" s="432">
        <f t="array" ref="M198">MAX((IF(MNU_CODIGO_ALIMENTO_ENTREGA=CONCATENATE($C198,"_","P_"),MNU_GRAMAJE_REQUERIDO_TIPOB,"")))</f>
        <v>100</v>
      </c>
      <c r="N198" s="348">
        <f t="shared" si="146"/>
        <v>180285</v>
      </c>
      <c r="O198" s="348">
        <f t="shared" si="147"/>
        <v>2369</v>
      </c>
      <c r="P198" s="348">
        <f t="shared" si="148"/>
        <v>182654</v>
      </c>
      <c r="Q198" s="349">
        <f t="shared" si="149"/>
        <v>42727545</v>
      </c>
      <c r="R198" s="349">
        <f t="shared" si="150"/>
        <v>561453</v>
      </c>
      <c r="S198" s="349">
        <f t="shared" si="151"/>
        <v>43288998</v>
      </c>
      <c r="T198" s="353">
        <f t="array" ref="T198">MAX((IF(MNU_CODIGO_ALIMENTO_ENTREGA=CONCATENATE($C198,"_","P_"),MNU_GRAMAJE_REQUERIDO_TIPOC,"")))</f>
        <v>100</v>
      </c>
      <c r="U198" s="259">
        <f t="shared" si="152"/>
        <v>163800</v>
      </c>
      <c r="V198" s="259">
        <f t="shared" si="153"/>
        <v>27922</v>
      </c>
      <c r="W198" s="259">
        <f t="shared" si="154"/>
        <v>191722</v>
      </c>
      <c r="X198" s="260">
        <f t="shared" si="155"/>
        <v>38820600</v>
      </c>
      <c r="Y198" s="260">
        <f t="shared" si="156"/>
        <v>6617514</v>
      </c>
      <c r="Z198" s="260">
        <f t="shared" si="157"/>
        <v>45438114</v>
      </c>
      <c r="AA198" s="258">
        <f t="array" ref="AA198">MAX((IF(MNU_CODIGO_ALIMENTO_ENTREGA=CONCATENATE($C198,"_","P_"),MNU_GRAMAJE_REQUERIDO_TIPOM,"")))</f>
        <v>100</v>
      </c>
      <c r="AB198" s="261">
        <f t="shared" si="158"/>
        <v>0</v>
      </c>
      <c r="AC198" s="261">
        <v>0</v>
      </c>
      <c r="AD198" s="261">
        <f t="shared" si="159"/>
        <v>0</v>
      </c>
      <c r="AE198" s="262">
        <f t="shared" si="160"/>
        <v>0</v>
      </c>
      <c r="AF198" s="262">
        <v>0</v>
      </c>
      <c r="AG198" s="262">
        <f t="shared" si="161"/>
        <v>0</v>
      </c>
      <c r="AH198" s="353">
        <f t="array" ref="AH198">MAX((IF(MNU_CODIGO_ALIMENTO_ENTREGA=CONCATENATE($C198,"_","P_"),MNU_GRAMAJE_REQUERIDO_TIPOH,"")))</f>
        <v>100</v>
      </c>
      <c r="AI198" s="259">
        <f t="shared" si="162"/>
        <v>0</v>
      </c>
      <c r="AJ198" s="259">
        <v>0</v>
      </c>
      <c r="AK198" s="259">
        <f t="shared" si="163"/>
        <v>0</v>
      </c>
      <c r="AL198" s="260">
        <f t="shared" si="164"/>
        <v>0</v>
      </c>
      <c r="AM198" s="260">
        <v>0</v>
      </c>
      <c r="AN198" s="260">
        <f t="shared" si="165"/>
        <v>0</v>
      </c>
      <c r="AO198" s="457">
        <f t="shared" si="166"/>
        <v>374376</v>
      </c>
      <c r="AP198" s="456">
        <f t="shared" si="167"/>
        <v>88727112</v>
      </c>
      <c r="AQ198" s="263" t="e">
        <f>#REF!+AH198+AA198+T198+M198</f>
        <v>#REF!</v>
      </c>
      <c r="AR198" s="263">
        <f t="shared" si="126"/>
        <v>89071197</v>
      </c>
      <c r="AS198" s="263" t="e">
        <f t="shared" si="127"/>
        <v>#REF!</v>
      </c>
      <c r="AT198" s="263">
        <f t="shared" si="128"/>
        <v>89445573</v>
      </c>
      <c r="AU198" s="263" t="e">
        <f t="shared" si="129"/>
        <v>#REF!</v>
      </c>
      <c r="AV198" s="263">
        <f t="shared" si="130"/>
        <v>96624540</v>
      </c>
      <c r="AW198" s="263" t="e">
        <f t="shared" si="131"/>
        <v>#REF!</v>
      </c>
      <c r="AX198" s="263" t="e">
        <f>AV198+#REF!+AH198+AA198+T198</f>
        <v>#REF!</v>
      </c>
      <c r="AY198" s="263" t="e">
        <f t="shared" si="132"/>
        <v>#REF!</v>
      </c>
      <c r="AZ198" s="263" t="e">
        <f t="shared" si="133"/>
        <v>#REF!</v>
      </c>
      <c r="BA198" s="263" t="e">
        <f t="shared" si="134"/>
        <v>#REF!</v>
      </c>
      <c r="BB198" s="263" t="e">
        <f t="shared" si="135"/>
        <v>#REF!</v>
      </c>
      <c r="BC198" s="263" t="e">
        <f t="shared" si="136"/>
        <v>#REF!</v>
      </c>
      <c r="BD198" s="263" t="e">
        <f t="shared" si="137"/>
        <v>#REF!</v>
      </c>
      <c r="BE198" s="263" t="e">
        <f>BC198+AV198+#REF!+AH198+AA198</f>
        <v>#REF!</v>
      </c>
      <c r="BF198" s="263" t="e">
        <f t="shared" si="138"/>
        <v>#REF!</v>
      </c>
      <c r="BG198" s="263" t="e">
        <f t="shared" si="139"/>
        <v>#REF!</v>
      </c>
    </row>
    <row r="199" spans="1:59" ht="15.75">
      <c r="A199" s="338">
        <v>15</v>
      </c>
      <c r="B199" s="338" t="s">
        <v>1</v>
      </c>
      <c r="C199" s="258">
        <v>22</v>
      </c>
      <c r="D199" s="328" t="s">
        <v>51</v>
      </c>
      <c r="E199" s="258" t="s">
        <v>9</v>
      </c>
      <c r="F199" s="431">
        <f t="array" ref="F199">MAX((IF(MNU_CODIGO_ALIMENTO_ENTREGA=CONCATENATE($C199,"_","P_"),MNU_GRAMAJE_REQUERIDO_TIPOA,"")))</f>
        <v>0</v>
      </c>
      <c r="G199" s="259">
        <f t="shared" si="140"/>
        <v>0</v>
      </c>
      <c r="H199" s="259">
        <f t="shared" si="141"/>
        <v>0</v>
      </c>
      <c r="I199" s="259">
        <f t="shared" si="142"/>
        <v>0</v>
      </c>
      <c r="J199" s="260">
        <f t="shared" si="143"/>
        <v>0</v>
      </c>
      <c r="K199" s="260">
        <f t="shared" si="144"/>
        <v>0</v>
      </c>
      <c r="L199" s="260">
        <f t="shared" si="145"/>
        <v>0</v>
      </c>
      <c r="M199" s="432">
        <f t="array" ref="M199">MAX((IF(MNU_CODIGO_ALIMENTO_ENTREGA=CONCATENATE($C199,"_","P_"),MNU_GRAMAJE_REQUERIDO_TIPOB,"")))</f>
        <v>100</v>
      </c>
      <c r="N199" s="348">
        <f t="shared" si="146"/>
        <v>171700</v>
      </c>
      <c r="O199" s="348">
        <f t="shared" si="147"/>
        <v>2369</v>
      </c>
      <c r="P199" s="348">
        <f t="shared" si="148"/>
        <v>174069</v>
      </c>
      <c r="Q199" s="349">
        <f t="shared" si="149"/>
        <v>94606700</v>
      </c>
      <c r="R199" s="349">
        <f t="shared" si="150"/>
        <v>1305319</v>
      </c>
      <c r="S199" s="349">
        <f t="shared" si="151"/>
        <v>95912019</v>
      </c>
      <c r="T199" s="353">
        <f t="array" ref="T199">MAX((IF(MNU_CODIGO_ALIMENTO_ENTREGA=CONCATENATE($C199,"_","P_"),MNU_GRAMAJE_REQUERIDO_TIPOC,"")))</f>
        <v>100</v>
      </c>
      <c r="U199" s="259">
        <f t="shared" si="152"/>
        <v>156000</v>
      </c>
      <c r="V199" s="259">
        <f t="shared" si="153"/>
        <v>27922</v>
      </c>
      <c r="W199" s="259">
        <f t="shared" si="154"/>
        <v>183922</v>
      </c>
      <c r="X199" s="260">
        <f t="shared" si="155"/>
        <v>85956000</v>
      </c>
      <c r="Y199" s="260">
        <f t="shared" si="156"/>
        <v>15385022</v>
      </c>
      <c r="Z199" s="260">
        <f t="shared" si="157"/>
        <v>101341022</v>
      </c>
      <c r="AA199" s="258">
        <f t="array" ref="AA199">MAX((IF(MNU_CODIGO_ALIMENTO_ENTREGA=CONCATENATE($C199,"_","P_"),MNU_GRAMAJE_REQUERIDO_TIPOM,"")))</f>
        <v>100</v>
      </c>
      <c r="AB199" s="261">
        <f t="shared" si="158"/>
        <v>0</v>
      </c>
      <c r="AC199" s="261">
        <v>0</v>
      </c>
      <c r="AD199" s="261">
        <f t="shared" si="159"/>
        <v>0</v>
      </c>
      <c r="AE199" s="262">
        <f t="shared" si="160"/>
        <v>0</v>
      </c>
      <c r="AF199" s="262">
        <v>0</v>
      </c>
      <c r="AG199" s="262">
        <f t="shared" si="161"/>
        <v>0</v>
      </c>
      <c r="AH199" s="353">
        <f t="array" ref="AH199">MAX((IF(MNU_CODIGO_ALIMENTO_ENTREGA=CONCATENATE($C199,"_","P_"),MNU_GRAMAJE_REQUERIDO_TIPOH,"")))</f>
        <v>100</v>
      </c>
      <c r="AI199" s="259">
        <f t="shared" si="162"/>
        <v>0</v>
      </c>
      <c r="AJ199" s="259">
        <v>0</v>
      </c>
      <c r="AK199" s="259">
        <f t="shared" si="163"/>
        <v>0</v>
      </c>
      <c r="AL199" s="260">
        <f t="shared" si="164"/>
        <v>0</v>
      </c>
      <c r="AM199" s="260">
        <v>0</v>
      </c>
      <c r="AN199" s="260">
        <f t="shared" si="165"/>
        <v>0</v>
      </c>
      <c r="AO199" s="457">
        <f t="shared" si="166"/>
        <v>357991</v>
      </c>
      <c r="AP199" s="456">
        <f t="shared" si="167"/>
        <v>197253041</v>
      </c>
      <c r="AQ199" s="263" t="e">
        <f>#REF!+AH199+AA199+T199+M199</f>
        <v>#REF!</v>
      </c>
      <c r="AR199" s="263">
        <f t="shared" si="126"/>
        <v>197580741</v>
      </c>
      <c r="AS199" s="263" t="e">
        <f t="shared" si="127"/>
        <v>#REF!</v>
      </c>
      <c r="AT199" s="263">
        <f t="shared" si="128"/>
        <v>197938732</v>
      </c>
      <c r="AU199" s="263" t="e">
        <f t="shared" si="129"/>
        <v>#REF!</v>
      </c>
      <c r="AV199" s="263">
        <f t="shared" si="130"/>
        <v>214629073</v>
      </c>
      <c r="AW199" s="263" t="e">
        <f t="shared" si="131"/>
        <v>#REF!</v>
      </c>
      <c r="AX199" s="263" t="e">
        <f>AV199+#REF!+AH199+AA199+T199</f>
        <v>#REF!</v>
      </c>
      <c r="AY199" s="263" t="e">
        <f t="shared" si="132"/>
        <v>#REF!</v>
      </c>
      <c r="AZ199" s="263" t="e">
        <f t="shared" si="133"/>
        <v>#REF!</v>
      </c>
      <c r="BA199" s="263" t="e">
        <f t="shared" si="134"/>
        <v>#REF!</v>
      </c>
      <c r="BB199" s="263" t="e">
        <f t="shared" si="135"/>
        <v>#REF!</v>
      </c>
      <c r="BC199" s="263" t="e">
        <f t="shared" si="136"/>
        <v>#REF!</v>
      </c>
      <c r="BD199" s="263" t="e">
        <f t="shared" si="137"/>
        <v>#REF!</v>
      </c>
      <c r="BE199" s="263" t="e">
        <f>BC199+AV199+#REF!+AH199+AA199</f>
        <v>#REF!</v>
      </c>
      <c r="BF199" s="263" t="e">
        <f t="shared" si="138"/>
        <v>#REF!</v>
      </c>
      <c r="BG199" s="263" t="e">
        <f t="shared" si="139"/>
        <v>#REF!</v>
      </c>
    </row>
    <row r="200" spans="1:59" ht="15.75">
      <c r="A200" s="338">
        <v>15</v>
      </c>
      <c r="B200" s="338" t="s">
        <v>1</v>
      </c>
      <c r="C200" s="258">
        <v>33</v>
      </c>
      <c r="D200" s="328" t="s">
        <v>59</v>
      </c>
      <c r="E200" s="258" t="s">
        <v>48</v>
      </c>
      <c r="F200" s="431">
        <v>1</v>
      </c>
      <c r="G200" s="259">
        <f t="shared" si="140"/>
        <v>188622</v>
      </c>
      <c r="H200" s="259">
        <f t="shared" si="141"/>
        <v>16124</v>
      </c>
      <c r="I200" s="259">
        <f t="shared" si="142"/>
        <v>204746</v>
      </c>
      <c r="J200" s="260">
        <f t="shared" si="143"/>
        <v>53380026</v>
      </c>
      <c r="K200" s="260">
        <f t="shared" si="144"/>
        <v>4563092</v>
      </c>
      <c r="L200" s="260">
        <f t="shared" si="145"/>
        <v>57943118</v>
      </c>
      <c r="M200" s="432">
        <v>1</v>
      </c>
      <c r="N200" s="348">
        <f t="shared" si="146"/>
        <v>154530</v>
      </c>
      <c r="O200" s="348">
        <f t="shared" si="147"/>
        <v>2369</v>
      </c>
      <c r="P200" s="348">
        <f t="shared" si="148"/>
        <v>156899</v>
      </c>
      <c r="Q200" s="349">
        <f t="shared" si="149"/>
        <v>43731990</v>
      </c>
      <c r="R200" s="349">
        <f t="shared" si="150"/>
        <v>670427</v>
      </c>
      <c r="S200" s="349">
        <f t="shared" si="151"/>
        <v>44402417</v>
      </c>
      <c r="T200" s="431">
        <v>1</v>
      </c>
      <c r="U200" s="259">
        <f t="shared" si="152"/>
        <v>140400</v>
      </c>
      <c r="V200" s="259">
        <f t="shared" si="153"/>
        <v>27922</v>
      </c>
      <c r="W200" s="259">
        <f t="shared" si="154"/>
        <v>168322</v>
      </c>
      <c r="X200" s="260">
        <f t="shared" si="155"/>
        <v>39733200</v>
      </c>
      <c r="Y200" s="260">
        <f t="shared" si="156"/>
        <v>7901926</v>
      </c>
      <c r="Z200" s="260">
        <f t="shared" si="157"/>
        <v>47635126</v>
      </c>
      <c r="AA200" s="258">
        <v>1</v>
      </c>
      <c r="AB200" s="261">
        <f t="shared" si="158"/>
        <v>0</v>
      </c>
      <c r="AC200" s="261">
        <v>0</v>
      </c>
      <c r="AD200" s="261">
        <f t="shared" si="159"/>
        <v>0</v>
      </c>
      <c r="AE200" s="262">
        <f t="shared" si="160"/>
        <v>0</v>
      </c>
      <c r="AF200" s="262">
        <v>0</v>
      </c>
      <c r="AG200" s="262">
        <f t="shared" si="161"/>
        <v>0</v>
      </c>
      <c r="AH200" s="353">
        <v>1</v>
      </c>
      <c r="AI200" s="259">
        <f t="shared" si="162"/>
        <v>0</v>
      </c>
      <c r="AJ200" s="259">
        <v>0</v>
      </c>
      <c r="AK200" s="259">
        <f t="shared" si="163"/>
        <v>0</v>
      </c>
      <c r="AL200" s="260">
        <f t="shared" si="164"/>
        <v>0</v>
      </c>
      <c r="AM200" s="260">
        <v>0</v>
      </c>
      <c r="AN200" s="260">
        <f t="shared" si="165"/>
        <v>0</v>
      </c>
      <c r="AO200" s="457">
        <f t="shared" si="166"/>
        <v>529967</v>
      </c>
      <c r="AP200" s="456">
        <f t="shared" si="167"/>
        <v>149980661</v>
      </c>
      <c r="AQ200" s="263" t="e">
        <f>#REF!+AH200+AA200+T200+M200</f>
        <v>#REF!</v>
      </c>
      <c r="AR200" s="263">
        <f t="shared" si="126"/>
        <v>150275591</v>
      </c>
      <c r="AS200" s="263" t="e">
        <f t="shared" si="127"/>
        <v>#REF!</v>
      </c>
      <c r="AT200" s="263">
        <f t="shared" si="128"/>
        <v>150600812</v>
      </c>
      <c r="AU200" s="263" t="e">
        <f t="shared" si="129"/>
        <v>#REF!</v>
      </c>
      <c r="AV200" s="263">
        <f t="shared" si="130"/>
        <v>159173165</v>
      </c>
      <c r="AW200" s="263" t="e">
        <f t="shared" si="131"/>
        <v>#REF!</v>
      </c>
      <c r="AX200" s="263" t="e">
        <f>AV200+#REF!+AH200+AA200+T200</f>
        <v>#REF!</v>
      </c>
      <c r="AY200" s="263" t="e">
        <f t="shared" si="132"/>
        <v>#REF!</v>
      </c>
      <c r="AZ200" s="263" t="e">
        <f t="shared" si="133"/>
        <v>#REF!</v>
      </c>
      <c r="BA200" s="263" t="e">
        <f t="shared" si="134"/>
        <v>#REF!</v>
      </c>
      <c r="BB200" s="263" t="e">
        <f t="shared" si="135"/>
        <v>#REF!</v>
      </c>
      <c r="BC200" s="263" t="e">
        <f t="shared" si="136"/>
        <v>#REF!</v>
      </c>
      <c r="BD200" s="263" t="e">
        <f t="shared" si="137"/>
        <v>#REF!</v>
      </c>
      <c r="BE200" s="263" t="e">
        <f>BC200+AV200+#REF!+AH200+AA200</f>
        <v>#REF!</v>
      </c>
      <c r="BF200" s="263" t="e">
        <f t="shared" si="138"/>
        <v>#REF!</v>
      </c>
      <c r="BG200" s="263" t="e">
        <f t="shared" si="139"/>
        <v>#REF!</v>
      </c>
    </row>
    <row r="201" spans="1:59" ht="15.75">
      <c r="A201" s="338">
        <v>15</v>
      </c>
      <c r="B201" s="338" t="s">
        <v>1</v>
      </c>
      <c r="C201" s="258">
        <v>36</v>
      </c>
      <c r="D201" s="328" t="s">
        <v>1340</v>
      </c>
      <c r="E201" s="258" t="s">
        <v>9</v>
      </c>
      <c r="F201" s="431">
        <f t="array" ref="F201">MAX((IF(MNU_CODIGO_ALIMENTO_ENTREGA=CONCATENATE($C201,"_","P_"),MNU_GRAMAJE_REQUERIDO_TIPOA,"")))</f>
        <v>20</v>
      </c>
      <c r="G201" s="259">
        <f t="shared" si="140"/>
        <v>48902</v>
      </c>
      <c r="H201" s="259">
        <f t="shared" si="141"/>
        <v>4448</v>
      </c>
      <c r="I201" s="259">
        <f t="shared" si="142"/>
        <v>53350</v>
      </c>
      <c r="J201" s="260">
        <f t="shared" si="143"/>
        <v>6455064</v>
      </c>
      <c r="K201" s="260">
        <f t="shared" si="144"/>
        <v>587136</v>
      </c>
      <c r="L201" s="260">
        <f t="shared" si="145"/>
        <v>7042200</v>
      </c>
      <c r="M201" s="432">
        <f t="array" ref="M201">MAX((IF(MNU_CODIGO_ALIMENTO_ENTREGA=CONCATENATE($C201,"_","P_"),MNU_GRAMAJE_REQUERIDO_TIPOB,"")))</f>
        <v>40</v>
      </c>
      <c r="N201" s="348">
        <f t="shared" si="146"/>
        <v>60095</v>
      </c>
      <c r="O201" s="348">
        <f t="shared" si="147"/>
        <v>824</v>
      </c>
      <c r="P201" s="348">
        <f t="shared" si="148"/>
        <v>60919</v>
      </c>
      <c r="Q201" s="349">
        <f t="shared" si="149"/>
        <v>15925175</v>
      </c>
      <c r="R201" s="349">
        <f t="shared" si="150"/>
        <v>218360</v>
      </c>
      <c r="S201" s="349">
        <f t="shared" si="151"/>
        <v>16143535</v>
      </c>
      <c r="T201" s="353">
        <f t="array" ref="T201">MAX((IF(MNU_CODIGO_ALIMENTO_ENTREGA=CONCATENATE($C201,"_","P_"),MNU_GRAMAJE_REQUERIDO_TIPOC,"")))</f>
        <v>40</v>
      </c>
      <c r="U201" s="259">
        <f t="shared" si="152"/>
        <v>54600</v>
      </c>
      <c r="V201" s="259">
        <f t="shared" si="153"/>
        <v>9712</v>
      </c>
      <c r="W201" s="259">
        <f t="shared" si="154"/>
        <v>64312</v>
      </c>
      <c r="X201" s="260">
        <f t="shared" si="155"/>
        <v>14469000</v>
      </c>
      <c r="Y201" s="260">
        <f t="shared" si="156"/>
        <v>2573680</v>
      </c>
      <c r="Z201" s="260">
        <f t="shared" si="157"/>
        <v>17042680</v>
      </c>
      <c r="AA201" s="258">
        <f t="array" ref="AA201">MAX((IF(MNU_CODIGO_ALIMENTO_ENTREGA=CONCATENATE($C201,"_","P_"),MNU_GRAMAJE_REQUERIDO_TIPOM,"")))</f>
        <v>40</v>
      </c>
      <c r="AB201" s="261">
        <f t="shared" si="158"/>
        <v>0</v>
      </c>
      <c r="AC201" s="261">
        <v>0</v>
      </c>
      <c r="AD201" s="261">
        <f t="shared" si="159"/>
        <v>0</v>
      </c>
      <c r="AE201" s="262">
        <f t="shared" si="160"/>
        <v>0</v>
      </c>
      <c r="AF201" s="262">
        <v>0</v>
      </c>
      <c r="AG201" s="262">
        <f t="shared" si="161"/>
        <v>0</v>
      </c>
      <c r="AH201" s="353">
        <f t="array" ref="AH201">MAX((IF(MNU_CODIGO_ALIMENTO_ENTREGA=CONCATENATE($C201,"_","P_"),MNU_GRAMAJE_REQUERIDO_TIPOH,"")))</f>
        <v>40</v>
      </c>
      <c r="AI201" s="259">
        <f t="shared" si="162"/>
        <v>0</v>
      </c>
      <c r="AJ201" s="259">
        <v>0</v>
      </c>
      <c r="AK201" s="259">
        <f t="shared" si="163"/>
        <v>0</v>
      </c>
      <c r="AL201" s="260">
        <f t="shared" si="164"/>
        <v>0</v>
      </c>
      <c r="AM201" s="260">
        <v>0</v>
      </c>
      <c r="AN201" s="260">
        <f t="shared" si="165"/>
        <v>0</v>
      </c>
      <c r="AO201" s="457">
        <f t="shared" si="166"/>
        <v>178581</v>
      </c>
      <c r="AP201" s="456">
        <f t="shared" si="167"/>
        <v>40228415</v>
      </c>
      <c r="AQ201" s="263" t="e">
        <f>#REF!+AH201+AA201+T201+M201</f>
        <v>#REF!</v>
      </c>
      <c r="AR201" s="263">
        <f t="shared" si="126"/>
        <v>40343110</v>
      </c>
      <c r="AS201" s="263" t="e">
        <f t="shared" si="127"/>
        <v>#REF!</v>
      </c>
      <c r="AT201" s="263">
        <f t="shared" si="128"/>
        <v>40468341</v>
      </c>
      <c r="AU201" s="263" t="e">
        <f t="shared" si="129"/>
        <v>#REF!</v>
      </c>
      <c r="AV201" s="263">
        <f t="shared" si="130"/>
        <v>43260381</v>
      </c>
      <c r="AW201" s="263" t="e">
        <f t="shared" si="131"/>
        <v>#REF!</v>
      </c>
      <c r="AX201" s="263" t="e">
        <f>AV201+#REF!+AH201+AA201+T201</f>
        <v>#REF!</v>
      </c>
      <c r="AY201" s="263" t="e">
        <f t="shared" si="132"/>
        <v>#REF!</v>
      </c>
      <c r="AZ201" s="263" t="e">
        <f t="shared" si="133"/>
        <v>#REF!</v>
      </c>
      <c r="BA201" s="263" t="e">
        <f t="shared" si="134"/>
        <v>#REF!</v>
      </c>
      <c r="BB201" s="263" t="e">
        <f t="shared" si="135"/>
        <v>#REF!</v>
      </c>
      <c r="BC201" s="263" t="e">
        <f t="shared" si="136"/>
        <v>#REF!</v>
      </c>
      <c r="BD201" s="263" t="e">
        <f t="shared" si="137"/>
        <v>#REF!</v>
      </c>
      <c r="BE201" s="263" t="e">
        <f>BC201+AV201+#REF!+AH201+AA201</f>
        <v>#REF!</v>
      </c>
      <c r="BF201" s="263" t="e">
        <f t="shared" si="138"/>
        <v>#REF!</v>
      </c>
      <c r="BG201" s="263" t="e">
        <f t="shared" si="139"/>
        <v>#REF!</v>
      </c>
    </row>
    <row r="202" spans="1:59" ht="15.75">
      <c r="A202" s="338">
        <v>15</v>
      </c>
      <c r="B202" s="338" t="s">
        <v>1</v>
      </c>
      <c r="C202" s="258">
        <v>42</v>
      </c>
      <c r="D202" s="328" t="s">
        <v>61</v>
      </c>
      <c r="E202" s="258" t="s">
        <v>9</v>
      </c>
      <c r="F202" s="431">
        <f t="array" ref="F202">MAX((IF(MNU_CODIGO_ALIMENTO_ENTREGA=CONCATENATE($C202,"_","P_"),MNU_GRAMAJE_REQUERIDO_TIPOA,"")))</f>
        <v>100</v>
      </c>
      <c r="G202" s="259">
        <f t="shared" si="140"/>
        <v>160678</v>
      </c>
      <c r="H202" s="259">
        <f t="shared" si="141"/>
        <v>20016</v>
      </c>
      <c r="I202" s="259">
        <f t="shared" si="142"/>
        <v>180694</v>
      </c>
      <c r="J202" s="260">
        <f t="shared" si="143"/>
        <v>32778312</v>
      </c>
      <c r="K202" s="260">
        <f t="shared" si="144"/>
        <v>4083264</v>
      </c>
      <c r="L202" s="260">
        <f t="shared" si="145"/>
        <v>36861576</v>
      </c>
      <c r="M202" s="432">
        <f t="array" ref="M202">MAX((IF(MNU_CODIGO_ALIMENTO_ENTREGA=CONCATENATE($C202,"_","P_"),MNU_GRAMAJE_REQUERIDO_TIPOB,"")))</f>
        <v>100</v>
      </c>
      <c r="N202" s="348">
        <f t="shared" si="146"/>
        <v>163115</v>
      </c>
      <c r="O202" s="348">
        <f t="shared" si="147"/>
        <v>1957</v>
      </c>
      <c r="P202" s="348">
        <f t="shared" si="148"/>
        <v>165072</v>
      </c>
      <c r="Q202" s="349">
        <f t="shared" si="149"/>
        <v>33275460</v>
      </c>
      <c r="R202" s="349">
        <f t="shared" si="150"/>
        <v>399228</v>
      </c>
      <c r="S202" s="349">
        <f t="shared" si="151"/>
        <v>33674688</v>
      </c>
      <c r="T202" s="353">
        <f t="array" ref="T202">MAX((IF(MNU_CODIGO_ALIMENTO_ENTREGA=CONCATENATE($C202,"_","P_"),MNU_GRAMAJE_REQUERIDO_TIPOC,"")))</f>
        <v>100</v>
      </c>
      <c r="U202" s="259">
        <f t="shared" si="152"/>
        <v>148200</v>
      </c>
      <c r="V202" s="259">
        <f t="shared" si="153"/>
        <v>23066</v>
      </c>
      <c r="W202" s="259">
        <f t="shared" si="154"/>
        <v>171266</v>
      </c>
      <c r="X202" s="260">
        <f t="shared" si="155"/>
        <v>30232800</v>
      </c>
      <c r="Y202" s="260">
        <f t="shared" si="156"/>
        <v>4705464</v>
      </c>
      <c r="Z202" s="260">
        <f t="shared" si="157"/>
        <v>34938264</v>
      </c>
      <c r="AA202" s="258">
        <f t="array" ref="AA202">MAX((IF(MNU_CODIGO_ALIMENTO_ENTREGA=CONCATENATE($C202,"_","P_"),MNU_GRAMAJE_REQUERIDO_TIPOM,"")))</f>
        <v>100</v>
      </c>
      <c r="AB202" s="261">
        <f t="shared" si="158"/>
        <v>0</v>
      </c>
      <c r="AC202" s="261">
        <v>0</v>
      </c>
      <c r="AD202" s="261">
        <f t="shared" si="159"/>
        <v>0</v>
      </c>
      <c r="AE202" s="262">
        <f t="shared" si="160"/>
        <v>0</v>
      </c>
      <c r="AF202" s="262">
        <v>0</v>
      </c>
      <c r="AG202" s="262">
        <f t="shared" si="161"/>
        <v>0</v>
      </c>
      <c r="AH202" s="353">
        <f t="array" ref="AH202">MAX((IF(MNU_CODIGO_ALIMENTO_ENTREGA=CONCATENATE($C202,"_","P_"),MNU_GRAMAJE_REQUERIDO_TIPOH,"")))</f>
        <v>100</v>
      </c>
      <c r="AI202" s="259">
        <f t="shared" si="162"/>
        <v>0</v>
      </c>
      <c r="AJ202" s="259">
        <v>0</v>
      </c>
      <c r="AK202" s="259">
        <f t="shared" si="163"/>
        <v>0</v>
      </c>
      <c r="AL202" s="260">
        <f t="shared" si="164"/>
        <v>0</v>
      </c>
      <c r="AM202" s="260">
        <v>0</v>
      </c>
      <c r="AN202" s="260">
        <f t="shared" si="165"/>
        <v>0</v>
      </c>
      <c r="AO202" s="457">
        <f t="shared" si="166"/>
        <v>517032</v>
      </c>
      <c r="AP202" s="456">
        <f t="shared" si="167"/>
        <v>105474528</v>
      </c>
      <c r="AQ202" s="263" t="e">
        <f>#REF!+AH202+AA202+T202+M202</f>
        <v>#REF!</v>
      </c>
      <c r="AR202" s="263">
        <f t="shared" si="126"/>
        <v>105785843</v>
      </c>
      <c r="AS202" s="263" t="e">
        <f t="shared" si="127"/>
        <v>#REF!</v>
      </c>
      <c r="AT202" s="263">
        <f t="shared" si="128"/>
        <v>106122181</v>
      </c>
      <c r="AU202" s="263" t="e">
        <f t="shared" si="129"/>
        <v>#REF!</v>
      </c>
      <c r="AV202" s="263">
        <f t="shared" si="130"/>
        <v>111226873</v>
      </c>
      <c r="AW202" s="263" t="e">
        <f t="shared" si="131"/>
        <v>#REF!</v>
      </c>
      <c r="AX202" s="263" t="e">
        <f>AV202+#REF!+AH202+AA202+T202</f>
        <v>#REF!</v>
      </c>
      <c r="AY202" s="263" t="e">
        <f t="shared" si="132"/>
        <v>#REF!</v>
      </c>
      <c r="AZ202" s="263" t="e">
        <f t="shared" si="133"/>
        <v>#REF!</v>
      </c>
      <c r="BA202" s="263" t="e">
        <f t="shared" si="134"/>
        <v>#REF!</v>
      </c>
      <c r="BB202" s="263" t="e">
        <f t="shared" si="135"/>
        <v>#REF!</v>
      </c>
      <c r="BC202" s="263" t="e">
        <f t="shared" si="136"/>
        <v>#REF!</v>
      </c>
      <c r="BD202" s="263" t="e">
        <f t="shared" si="137"/>
        <v>#REF!</v>
      </c>
      <c r="BE202" s="263" t="e">
        <f>BC202+AV202+#REF!+AH202+AA202</f>
        <v>#REF!</v>
      </c>
      <c r="BF202" s="263" t="e">
        <f t="shared" si="138"/>
        <v>#REF!</v>
      </c>
      <c r="BG202" s="263" t="e">
        <f t="shared" si="139"/>
        <v>#REF!</v>
      </c>
    </row>
    <row r="203" spans="1:59" ht="15.75">
      <c r="A203" s="338">
        <v>15</v>
      </c>
      <c r="B203" s="338" t="s">
        <v>1</v>
      </c>
      <c r="C203" s="258">
        <v>43</v>
      </c>
      <c r="D203" s="328" t="s">
        <v>62</v>
      </c>
      <c r="E203" s="258" t="s">
        <v>9</v>
      </c>
      <c r="F203" s="431">
        <f t="array" ref="F203">MAX((IF(MNU_CODIGO_ALIMENTO_ENTREGA=CONCATENATE($C203,"_","P_"),MNU_GRAMAJE_REQUERIDO_TIPOA,"")))</f>
        <v>100</v>
      </c>
      <c r="G203" s="259">
        <f t="shared" si="140"/>
        <v>167664</v>
      </c>
      <c r="H203" s="259">
        <f t="shared" si="141"/>
        <v>16124</v>
      </c>
      <c r="I203" s="259">
        <f t="shared" si="142"/>
        <v>183788</v>
      </c>
      <c r="J203" s="260">
        <f t="shared" si="143"/>
        <v>29844192</v>
      </c>
      <c r="K203" s="260">
        <f t="shared" si="144"/>
        <v>2870072</v>
      </c>
      <c r="L203" s="260">
        <f t="shared" si="145"/>
        <v>32714264</v>
      </c>
      <c r="M203" s="432">
        <f t="array" ref="M203">MAX((IF(MNU_CODIGO_ALIMENTO_ENTREGA=CONCATENATE($C203,"_","P_"),MNU_GRAMAJE_REQUERIDO_TIPOB,"")))</f>
        <v>100</v>
      </c>
      <c r="N203" s="348">
        <f t="shared" si="146"/>
        <v>145945</v>
      </c>
      <c r="O203" s="348">
        <f t="shared" si="147"/>
        <v>2369</v>
      </c>
      <c r="P203" s="348">
        <f t="shared" si="148"/>
        <v>148314</v>
      </c>
      <c r="Q203" s="349">
        <f t="shared" si="149"/>
        <v>25978210</v>
      </c>
      <c r="R203" s="349">
        <f t="shared" si="150"/>
        <v>421682</v>
      </c>
      <c r="S203" s="349">
        <f t="shared" si="151"/>
        <v>26399892</v>
      </c>
      <c r="T203" s="353">
        <f t="array" ref="T203">MAX((IF(MNU_CODIGO_ALIMENTO_ENTREGA=CONCATENATE($C203,"_","P_"),MNU_GRAMAJE_REQUERIDO_TIPOC,"")))</f>
        <v>100</v>
      </c>
      <c r="U203" s="259">
        <f t="shared" si="152"/>
        <v>132600</v>
      </c>
      <c r="V203" s="259">
        <f t="shared" si="153"/>
        <v>27922</v>
      </c>
      <c r="W203" s="259">
        <f t="shared" si="154"/>
        <v>160522</v>
      </c>
      <c r="X203" s="260">
        <f t="shared" si="155"/>
        <v>23602800</v>
      </c>
      <c r="Y203" s="260">
        <f t="shared" si="156"/>
        <v>4970116</v>
      </c>
      <c r="Z203" s="260">
        <f t="shared" si="157"/>
        <v>28572916</v>
      </c>
      <c r="AA203" s="258">
        <f t="array" ref="AA203">MAX((IF(MNU_CODIGO_ALIMENTO_ENTREGA=CONCATENATE($C203,"_","P_"),MNU_GRAMAJE_REQUERIDO_TIPOM,"")))</f>
        <v>100</v>
      </c>
      <c r="AB203" s="261">
        <f t="shared" si="158"/>
        <v>0</v>
      </c>
      <c r="AC203" s="261">
        <v>0</v>
      </c>
      <c r="AD203" s="261">
        <f t="shared" si="159"/>
        <v>0</v>
      </c>
      <c r="AE203" s="262">
        <f t="shared" si="160"/>
        <v>0</v>
      </c>
      <c r="AF203" s="262">
        <v>0</v>
      </c>
      <c r="AG203" s="262">
        <f t="shared" si="161"/>
        <v>0</v>
      </c>
      <c r="AH203" s="353">
        <f t="array" ref="AH203">MAX((IF(MNU_CODIGO_ALIMENTO_ENTREGA=CONCATENATE($C203,"_","P_"),MNU_GRAMAJE_REQUERIDO_TIPOH,"")))</f>
        <v>100</v>
      </c>
      <c r="AI203" s="259">
        <f t="shared" si="162"/>
        <v>0</v>
      </c>
      <c r="AJ203" s="259">
        <v>0</v>
      </c>
      <c r="AK203" s="259">
        <f t="shared" si="163"/>
        <v>0</v>
      </c>
      <c r="AL203" s="260">
        <f t="shared" si="164"/>
        <v>0</v>
      </c>
      <c r="AM203" s="260">
        <v>0</v>
      </c>
      <c r="AN203" s="260">
        <f t="shared" si="165"/>
        <v>0</v>
      </c>
      <c r="AO203" s="457">
        <f t="shared" si="166"/>
        <v>492624</v>
      </c>
      <c r="AP203" s="456">
        <f t="shared" si="167"/>
        <v>87687072</v>
      </c>
      <c r="AQ203" s="263" t="e">
        <f>#REF!+AH203+AA203+T203+M203</f>
        <v>#REF!</v>
      </c>
      <c r="AR203" s="263">
        <f t="shared" si="126"/>
        <v>87965617</v>
      </c>
      <c r="AS203" s="263" t="e">
        <f t="shared" si="127"/>
        <v>#REF!</v>
      </c>
      <c r="AT203" s="263">
        <f t="shared" si="128"/>
        <v>88274453</v>
      </c>
      <c r="AU203" s="263" t="e">
        <f t="shared" si="129"/>
        <v>#REF!</v>
      </c>
      <c r="AV203" s="263">
        <f t="shared" si="130"/>
        <v>93666251</v>
      </c>
      <c r="AW203" s="263" t="e">
        <f t="shared" si="131"/>
        <v>#REF!</v>
      </c>
      <c r="AX203" s="263" t="e">
        <f>AV203+#REF!+AH203+AA203+T203</f>
        <v>#REF!</v>
      </c>
      <c r="AY203" s="263" t="e">
        <f t="shared" si="132"/>
        <v>#REF!</v>
      </c>
      <c r="AZ203" s="263" t="e">
        <f t="shared" si="133"/>
        <v>#REF!</v>
      </c>
      <c r="BA203" s="263" t="e">
        <f t="shared" si="134"/>
        <v>#REF!</v>
      </c>
      <c r="BB203" s="263" t="e">
        <f t="shared" si="135"/>
        <v>#REF!</v>
      </c>
      <c r="BC203" s="263" t="e">
        <f t="shared" si="136"/>
        <v>#REF!</v>
      </c>
      <c r="BD203" s="263" t="e">
        <f t="shared" si="137"/>
        <v>#REF!</v>
      </c>
      <c r="BE203" s="263" t="e">
        <f>BC203+AV203+#REF!+AH203+AA203</f>
        <v>#REF!</v>
      </c>
      <c r="BF203" s="263" t="e">
        <f t="shared" si="138"/>
        <v>#REF!</v>
      </c>
      <c r="BG203" s="263" t="e">
        <f t="shared" si="139"/>
        <v>#REF!</v>
      </c>
    </row>
    <row r="204" spans="1:59" ht="15.75">
      <c r="A204" s="338">
        <v>15</v>
      </c>
      <c r="B204" s="338" t="s">
        <v>1</v>
      </c>
      <c r="C204" s="258">
        <v>46</v>
      </c>
      <c r="D204" s="328" t="s">
        <v>64</v>
      </c>
      <c r="E204" s="258" t="s">
        <v>9</v>
      </c>
      <c r="F204" s="431">
        <f t="array" ref="F204">MAX((IF(MNU_CODIGO_ALIMENTO_ENTREGA=CONCATENATE($C204,"_","P_"),MNU_GRAMAJE_REQUERIDO_TIPOA,"")))</f>
        <v>100</v>
      </c>
      <c r="G204" s="259">
        <f t="shared" si="140"/>
        <v>209580</v>
      </c>
      <c r="H204" s="259">
        <f t="shared" si="141"/>
        <v>16124</v>
      </c>
      <c r="I204" s="259">
        <f t="shared" si="142"/>
        <v>225704</v>
      </c>
      <c r="J204" s="260">
        <f t="shared" si="143"/>
        <v>87604440</v>
      </c>
      <c r="K204" s="260">
        <f t="shared" si="144"/>
        <v>6739832</v>
      </c>
      <c r="L204" s="260">
        <f t="shared" si="145"/>
        <v>94344272</v>
      </c>
      <c r="M204" s="432">
        <f t="array" ref="M204">MAX((IF(MNU_CODIGO_ALIMENTO_ENTREGA=CONCATENATE($C204,"_","P_"),MNU_GRAMAJE_REQUERIDO_TIPOB,"")))</f>
        <v>100</v>
      </c>
      <c r="N204" s="348">
        <f t="shared" si="146"/>
        <v>180285</v>
      </c>
      <c r="O204" s="348">
        <f t="shared" si="147"/>
        <v>2472</v>
      </c>
      <c r="P204" s="348">
        <f t="shared" si="148"/>
        <v>182757</v>
      </c>
      <c r="Q204" s="349">
        <f t="shared" si="149"/>
        <v>75359130</v>
      </c>
      <c r="R204" s="349">
        <f t="shared" si="150"/>
        <v>1033296</v>
      </c>
      <c r="S204" s="349">
        <f t="shared" si="151"/>
        <v>76392426</v>
      </c>
      <c r="T204" s="353">
        <f t="array" ref="T204">MAX((IF(MNU_CODIGO_ALIMENTO_ENTREGA=CONCATENATE($C204,"_","P_"),MNU_GRAMAJE_REQUERIDO_TIPOC,"")))</f>
        <v>100</v>
      </c>
      <c r="U204" s="259">
        <f t="shared" si="152"/>
        <v>163800</v>
      </c>
      <c r="V204" s="259">
        <f t="shared" si="153"/>
        <v>29136</v>
      </c>
      <c r="W204" s="259">
        <f t="shared" si="154"/>
        <v>192936</v>
      </c>
      <c r="X204" s="260">
        <f t="shared" si="155"/>
        <v>68468400</v>
      </c>
      <c r="Y204" s="260">
        <f t="shared" si="156"/>
        <v>12178848</v>
      </c>
      <c r="Z204" s="260">
        <f t="shared" si="157"/>
        <v>80647248</v>
      </c>
      <c r="AA204" s="258">
        <f t="array" ref="AA204">MAX((IF(MNU_CODIGO_ALIMENTO_ENTREGA=CONCATENATE($C204,"_","P_"),MNU_GRAMAJE_REQUERIDO_TIPOM,"")))</f>
        <v>100</v>
      </c>
      <c r="AB204" s="261">
        <f t="shared" si="158"/>
        <v>0</v>
      </c>
      <c r="AC204" s="261">
        <v>0</v>
      </c>
      <c r="AD204" s="261">
        <f t="shared" si="159"/>
        <v>0</v>
      </c>
      <c r="AE204" s="262">
        <f t="shared" si="160"/>
        <v>0</v>
      </c>
      <c r="AF204" s="262">
        <v>0</v>
      </c>
      <c r="AG204" s="262">
        <f t="shared" si="161"/>
        <v>0</v>
      </c>
      <c r="AH204" s="353">
        <f t="array" ref="AH204">MAX((IF(MNU_CODIGO_ALIMENTO_ENTREGA=CONCATENATE($C204,"_","P_"),MNU_GRAMAJE_REQUERIDO_TIPOH,"")))</f>
        <v>100</v>
      </c>
      <c r="AI204" s="259">
        <f t="shared" si="162"/>
        <v>0</v>
      </c>
      <c r="AJ204" s="259">
        <v>0</v>
      </c>
      <c r="AK204" s="259">
        <f t="shared" si="163"/>
        <v>0</v>
      </c>
      <c r="AL204" s="260">
        <f t="shared" si="164"/>
        <v>0</v>
      </c>
      <c r="AM204" s="260">
        <v>0</v>
      </c>
      <c r="AN204" s="260">
        <f t="shared" si="165"/>
        <v>0</v>
      </c>
      <c r="AO204" s="457">
        <f t="shared" si="166"/>
        <v>601397</v>
      </c>
      <c r="AP204" s="456">
        <f t="shared" si="167"/>
        <v>251383946</v>
      </c>
      <c r="AQ204" s="263" t="e">
        <f>#REF!+AH204+AA204+T204+M204</f>
        <v>#REF!</v>
      </c>
      <c r="AR204" s="263">
        <f t="shared" si="126"/>
        <v>251728031</v>
      </c>
      <c r="AS204" s="263" t="e">
        <f t="shared" si="127"/>
        <v>#REF!</v>
      </c>
      <c r="AT204" s="263">
        <f t="shared" si="128"/>
        <v>252103724</v>
      </c>
      <c r="AU204" s="263" t="e">
        <f t="shared" si="129"/>
        <v>#REF!</v>
      </c>
      <c r="AV204" s="263">
        <f t="shared" si="130"/>
        <v>265315868</v>
      </c>
      <c r="AW204" s="263" t="e">
        <f t="shared" si="131"/>
        <v>#REF!</v>
      </c>
      <c r="AX204" s="263" t="e">
        <f>AV204+#REF!+AH204+AA204+T204</f>
        <v>#REF!</v>
      </c>
      <c r="AY204" s="263" t="e">
        <f t="shared" si="132"/>
        <v>#REF!</v>
      </c>
      <c r="AZ204" s="263" t="e">
        <f t="shared" si="133"/>
        <v>#REF!</v>
      </c>
      <c r="BA204" s="263" t="e">
        <f t="shared" si="134"/>
        <v>#REF!</v>
      </c>
      <c r="BB204" s="263" t="e">
        <f t="shared" si="135"/>
        <v>#REF!</v>
      </c>
      <c r="BC204" s="263" t="e">
        <f t="shared" si="136"/>
        <v>#REF!</v>
      </c>
      <c r="BD204" s="263" t="e">
        <f t="shared" si="137"/>
        <v>#REF!</v>
      </c>
      <c r="BE204" s="263" t="e">
        <f>BC204+AV204+#REF!+AH204+AA204</f>
        <v>#REF!</v>
      </c>
      <c r="BF204" s="263" t="e">
        <f t="shared" si="138"/>
        <v>#REF!</v>
      </c>
      <c r="BG204" s="263" t="e">
        <f t="shared" si="139"/>
        <v>#REF!</v>
      </c>
    </row>
    <row r="205" spans="1:59" ht="15.75">
      <c r="A205" s="338">
        <v>15</v>
      </c>
      <c r="B205" s="338" t="s">
        <v>1</v>
      </c>
      <c r="C205" s="258">
        <v>58</v>
      </c>
      <c r="D205" s="328" t="s">
        <v>67</v>
      </c>
      <c r="E205" s="258" t="s">
        <v>9</v>
      </c>
      <c r="F205" s="431">
        <f t="array" ref="F205">MAX((IF(MNU_CODIGO_ALIMENTO_ENTREGA=CONCATENATE($C205,"_","P_"),MNU_GRAMAJE_REQUERIDO_TIPOA,"")))</f>
        <v>100</v>
      </c>
      <c r="G205" s="259">
        <f t="shared" si="140"/>
        <v>167664</v>
      </c>
      <c r="H205" s="259">
        <f t="shared" si="141"/>
        <v>15568</v>
      </c>
      <c r="I205" s="259">
        <f t="shared" si="142"/>
        <v>183232</v>
      </c>
      <c r="J205" s="260">
        <f t="shared" si="143"/>
        <v>27161568</v>
      </c>
      <c r="K205" s="260">
        <f t="shared" si="144"/>
        <v>2522016</v>
      </c>
      <c r="L205" s="260">
        <f t="shared" si="145"/>
        <v>29683584</v>
      </c>
      <c r="M205" s="432">
        <f t="array" ref="M205">MAX((IF(MNU_CODIGO_ALIMENTO_ENTREGA=CONCATENATE($C205,"_","P_"),MNU_GRAMAJE_REQUERIDO_TIPOB,"")))</f>
        <v>100</v>
      </c>
      <c r="N205" s="348">
        <f t="shared" si="146"/>
        <v>197455</v>
      </c>
      <c r="O205" s="348">
        <f t="shared" si="147"/>
        <v>2369</v>
      </c>
      <c r="P205" s="348">
        <f t="shared" si="148"/>
        <v>199824</v>
      </c>
      <c r="Q205" s="349">
        <f t="shared" si="149"/>
        <v>31987710</v>
      </c>
      <c r="R205" s="349">
        <f t="shared" si="150"/>
        <v>383778</v>
      </c>
      <c r="S205" s="349">
        <f t="shared" si="151"/>
        <v>32371488</v>
      </c>
      <c r="T205" s="353">
        <f t="array" ref="T205">MAX((IF(MNU_CODIGO_ALIMENTO_ENTREGA=CONCATENATE($C205,"_","P_"),MNU_GRAMAJE_REQUERIDO_TIPOC,"")))</f>
        <v>100</v>
      </c>
      <c r="U205" s="259">
        <f t="shared" si="152"/>
        <v>179400</v>
      </c>
      <c r="V205" s="259">
        <f t="shared" si="153"/>
        <v>27922</v>
      </c>
      <c r="W205" s="259">
        <f t="shared" si="154"/>
        <v>207322</v>
      </c>
      <c r="X205" s="260">
        <f t="shared" si="155"/>
        <v>29062800</v>
      </c>
      <c r="Y205" s="260">
        <f t="shared" si="156"/>
        <v>4523364</v>
      </c>
      <c r="Z205" s="260">
        <f t="shared" si="157"/>
        <v>33586164</v>
      </c>
      <c r="AA205" s="258">
        <f t="array" ref="AA205">MAX((IF(MNU_CODIGO_ALIMENTO_ENTREGA=CONCATENATE($C205,"_","P_"),MNU_GRAMAJE_REQUERIDO_TIPOM,"")))</f>
        <v>100</v>
      </c>
      <c r="AB205" s="261">
        <f t="shared" si="158"/>
        <v>0</v>
      </c>
      <c r="AC205" s="261">
        <v>0</v>
      </c>
      <c r="AD205" s="261">
        <f t="shared" si="159"/>
        <v>0</v>
      </c>
      <c r="AE205" s="262">
        <f t="shared" si="160"/>
        <v>0</v>
      </c>
      <c r="AF205" s="262">
        <v>0</v>
      </c>
      <c r="AG205" s="262">
        <f t="shared" si="161"/>
        <v>0</v>
      </c>
      <c r="AH205" s="353">
        <f t="array" ref="AH205">MAX((IF(MNU_CODIGO_ALIMENTO_ENTREGA=CONCATENATE($C205,"_","P_"),MNU_GRAMAJE_REQUERIDO_TIPOH,"")))</f>
        <v>100</v>
      </c>
      <c r="AI205" s="259">
        <f t="shared" si="162"/>
        <v>0</v>
      </c>
      <c r="AJ205" s="259">
        <v>0</v>
      </c>
      <c r="AK205" s="259">
        <f t="shared" si="163"/>
        <v>0</v>
      </c>
      <c r="AL205" s="260">
        <f t="shared" si="164"/>
        <v>0</v>
      </c>
      <c r="AM205" s="260">
        <v>0</v>
      </c>
      <c r="AN205" s="260">
        <f t="shared" si="165"/>
        <v>0</v>
      </c>
      <c r="AO205" s="457">
        <f t="shared" si="166"/>
        <v>590378</v>
      </c>
      <c r="AP205" s="456">
        <f t="shared" si="167"/>
        <v>95641236</v>
      </c>
      <c r="AQ205" s="263" t="e">
        <f>#REF!+AH205+AA205+T205+M205</f>
        <v>#REF!</v>
      </c>
      <c r="AR205" s="263">
        <f t="shared" si="126"/>
        <v>96018091</v>
      </c>
      <c r="AS205" s="263" t="e">
        <f t="shared" si="127"/>
        <v>#REF!</v>
      </c>
      <c r="AT205" s="263">
        <f t="shared" si="128"/>
        <v>96425237</v>
      </c>
      <c r="AU205" s="263" t="e">
        <f t="shared" si="129"/>
        <v>#REF!</v>
      </c>
      <c r="AV205" s="263">
        <f t="shared" si="130"/>
        <v>101332379</v>
      </c>
      <c r="AW205" s="263" t="e">
        <f t="shared" si="131"/>
        <v>#REF!</v>
      </c>
      <c r="AX205" s="263" t="e">
        <f>AV205+#REF!+AH205+AA205+T205</f>
        <v>#REF!</v>
      </c>
      <c r="AY205" s="263" t="e">
        <f t="shared" si="132"/>
        <v>#REF!</v>
      </c>
      <c r="AZ205" s="263" t="e">
        <f t="shared" si="133"/>
        <v>#REF!</v>
      </c>
      <c r="BA205" s="263" t="e">
        <f t="shared" si="134"/>
        <v>#REF!</v>
      </c>
      <c r="BB205" s="263" t="e">
        <f t="shared" si="135"/>
        <v>#REF!</v>
      </c>
      <c r="BC205" s="263" t="e">
        <f t="shared" si="136"/>
        <v>#REF!</v>
      </c>
      <c r="BD205" s="263" t="e">
        <f t="shared" si="137"/>
        <v>#REF!</v>
      </c>
      <c r="BE205" s="263" t="e">
        <f>BC205+AV205+#REF!+AH205+AA205</f>
        <v>#REF!</v>
      </c>
      <c r="BF205" s="263" t="e">
        <f t="shared" si="138"/>
        <v>#REF!</v>
      </c>
      <c r="BG205" s="263" t="e">
        <f t="shared" si="139"/>
        <v>#REF!</v>
      </c>
    </row>
    <row r="206" spans="1:59" ht="15.75">
      <c r="A206" s="338">
        <v>15</v>
      </c>
      <c r="B206" s="338" t="s">
        <v>1</v>
      </c>
      <c r="C206" s="258">
        <v>59</v>
      </c>
      <c r="D206" s="328" t="s">
        <v>99</v>
      </c>
      <c r="E206" s="258" t="s">
        <v>9</v>
      </c>
      <c r="F206" s="431">
        <f t="array" ref="F206">MAX((IF(MNU_CODIGO_ALIMENTO_ENTREGA=CONCATENATE($C206,"_","P_"),MNU_GRAMAJE_REQUERIDO_TIPOA,"")))</f>
        <v>0</v>
      </c>
      <c r="G206" s="259">
        <f t="shared" si="140"/>
        <v>0</v>
      </c>
      <c r="H206" s="259">
        <f t="shared" si="141"/>
        <v>0</v>
      </c>
      <c r="I206" s="259">
        <f t="shared" si="142"/>
        <v>0</v>
      </c>
      <c r="J206" s="260">
        <f t="shared" si="143"/>
        <v>0</v>
      </c>
      <c r="K206" s="260">
        <f t="shared" si="144"/>
        <v>0</v>
      </c>
      <c r="L206" s="260">
        <f t="shared" si="145"/>
        <v>0</v>
      </c>
      <c r="M206" s="432">
        <f t="array" ref="M206">MAX((IF(MNU_CODIGO_ALIMENTO_ENTREGA=CONCATENATE($C206,"_","P_"),MNU_GRAMAJE_REQUERIDO_TIPOB,"")))</f>
        <v>100</v>
      </c>
      <c r="N206" s="348">
        <f t="shared" si="146"/>
        <v>68680</v>
      </c>
      <c r="O206" s="348">
        <f t="shared" si="147"/>
        <v>1133</v>
      </c>
      <c r="P206" s="348">
        <f t="shared" si="148"/>
        <v>69813</v>
      </c>
      <c r="Q206" s="349">
        <f t="shared" si="149"/>
        <v>20604000</v>
      </c>
      <c r="R206" s="349">
        <f t="shared" si="150"/>
        <v>339900</v>
      </c>
      <c r="S206" s="349">
        <f t="shared" si="151"/>
        <v>20943900</v>
      </c>
      <c r="T206" s="353">
        <f t="array" ref="T206">MAX((IF(MNU_CODIGO_ALIMENTO_ENTREGA=CONCATENATE($C206,"_","P_"),MNU_GRAMAJE_REQUERIDO_TIPOC,"")))</f>
        <v>100</v>
      </c>
      <c r="U206" s="259">
        <f t="shared" si="152"/>
        <v>62400</v>
      </c>
      <c r="V206" s="259">
        <f t="shared" si="153"/>
        <v>13354</v>
      </c>
      <c r="W206" s="259">
        <f t="shared" si="154"/>
        <v>75754</v>
      </c>
      <c r="X206" s="260">
        <f t="shared" si="155"/>
        <v>18720000</v>
      </c>
      <c r="Y206" s="260">
        <f t="shared" si="156"/>
        <v>4006200</v>
      </c>
      <c r="Z206" s="260">
        <f t="shared" si="157"/>
        <v>22726200</v>
      </c>
      <c r="AA206" s="258">
        <f t="array" ref="AA206">MAX((IF(MNU_CODIGO_ALIMENTO_ENTREGA=CONCATENATE($C206,"_","P_"),MNU_GRAMAJE_REQUERIDO_TIPOM,"")))</f>
        <v>100</v>
      </c>
      <c r="AB206" s="261">
        <f t="shared" si="158"/>
        <v>0</v>
      </c>
      <c r="AC206" s="261">
        <v>0</v>
      </c>
      <c r="AD206" s="261">
        <f t="shared" si="159"/>
        <v>0</v>
      </c>
      <c r="AE206" s="262">
        <f t="shared" si="160"/>
        <v>0</v>
      </c>
      <c r="AF206" s="262">
        <v>0</v>
      </c>
      <c r="AG206" s="262">
        <f t="shared" si="161"/>
        <v>0</v>
      </c>
      <c r="AH206" s="353">
        <f t="array" ref="AH206">MAX((IF(MNU_CODIGO_ALIMENTO_ENTREGA=CONCATENATE($C206,"_","P_"),MNU_GRAMAJE_REQUERIDO_TIPOH,"")))</f>
        <v>100</v>
      </c>
      <c r="AI206" s="259">
        <f t="shared" si="162"/>
        <v>0</v>
      </c>
      <c r="AJ206" s="259">
        <v>0</v>
      </c>
      <c r="AK206" s="259">
        <f t="shared" si="163"/>
        <v>0</v>
      </c>
      <c r="AL206" s="260">
        <f t="shared" si="164"/>
        <v>0</v>
      </c>
      <c r="AM206" s="260">
        <v>0</v>
      </c>
      <c r="AN206" s="260">
        <f t="shared" si="165"/>
        <v>0</v>
      </c>
      <c r="AO206" s="457">
        <f t="shared" si="166"/>
        <v>145567</v>
      </c>
      <c r="AP206" s="456">
        <f t="shared" si="167"/>
        <v>43670100</v>
      </c>
      <c r="AQ206" s="263" t="e">
        <f>#REF!+AH206+AA206+T206+M206</f>
        <v>#REF!</v>
      </c>
      <c r="AR206" s="263">
        <f t="shared" si="126"/>
        <v>43801180</v>
      </c>
      <c r="AS206" s="263" t="e">
        <f t="shared" si="127"/>
        <v>#REF!</v>
      </c>
      <c r="AT206" s="263">
        <f t="shared" si="128"/>
        <v>43946747</v>
      </c>
      <c r="AU206" s="263" t="e">
        <f t="shared" si="129"/>
        <v>#REF!</v>
      </c>
      <c r="AV206" s="263">
        <f t="shared" si="130"/>
        <v>48292847</v>
      </c>
      <c r="AW206" s="263" t="e">
        <f t="shared" si="131"/>
        <v>#REF!</v>
      </c>
      <c r="AX206" s="263" t="e">
        <f>AV206+#REF!+AH206+AA206+T206</f>
        <v>#REF!</v>
      </c>
      <c r="AY206" s="263" t="e">
        <f t="shared" si="132"/>
        <v>#REF!</v>
      </c>
      <c r="AZ206" s="263" t="e">
        <f t="shared" si="133"/>
        <v>#REF!</v>
      </c>
      <c r="BA206" s="263" t="e">
        <f t="shared" si="134"/>
        <v>#REF!</v>
      </c>
      <c r="BB206" s="263" t="e">
        <f t="shared" si="135"/>
        <v>#REF!</v>
      </c>
      <c r="BC206" s="263" t="e">
        <f t="shared" si="136"/>
        <v>#REF!</v>
      </c>
      <c r="BD206" s="263" t="e">
        <f t="shared" si="137"/>
        <v>#REF!</v>
      </c>
      <c r="BE206" s="263" t="e">
        <f>BC206+AV206+#REF!+AH206+AA206</f>
        <v>#REF!</v>
      </c>
      <c r="BF206" s="263" t="e">
        <f t="shared" si="138"/>
        <v>#REF!</v>
      </c>
      <c r="BG206" s="263" t="e">
        <f t="shared" si="139"/>
        <v>#REF!</v>
      </c>
    </row>
    <row r="207" spans="1:59" ht="15.75">
      <c r="A207" s="338">
        <v>15</v>
      </c>
      <c r="B207" s="338" t="s">
        <v>1</v>
      </c>
      <c r="C207" s="258">
        <v>69</v>
      </c>
      <c r="D207" s="328" t="s">
        <v>70</v>
      </c>
      <c r="E207" s="258" t="s">
        <v>9</v>
      </c>
      <c r="F207" s="431">
        <f t="array" ref="F207">MAX((IF(MNU_CODIGO_ALIMENTO_ENTREGA=CONCATENATE($C207,"_","P_"),MNU_GRAMAJE_REQUERIDO_TIPOA,"")))</f>
        <v>100</v>
      </c>
      <c r="G207" s="259">
        <f t="shared" si="140"/>
        <v>209580</v>
      </c>
      <c r="H207" s="259">
        <f t="shared" si="141"/>
        <v>10008</v>
      </c>
      <c r="I207" s="259">
        <f t="shared" si="142"/>
        <v>219588</v>
      </c>
      <c r="J207" s="260">
        <f t="shared" si="143"/>
        <v>67065600</v>
      </c>
      <c r="K207" s="260">
        <f t="shared" si="144"/>
        <v>3202560</v>
      </c>
      <c r="L207" s="260">
        <f t="shared" si="145"/>
        <v>70268160</v>
      </c>
      <c r="M207" s="432">
        <f t="array" ref="M207">MAX((IF(MNU_CODIGO_ALIMENTO_ENTREGA=CONCATENATE($C207,"_","P_"),MNU_GRAMAJE_REQUERIDO_TIPOB,"")))</f>
        <v>100</v>
      </c>
      <c r="N207" s="348">
        <f t="shared" si="146"/>
        <v>137360</v>
      </c>
      <c r="O207" s="348">
        <f t="shared" si="147"/>
        <v>1236</v>
      </c>
      <c r="P207" s="348">
        <f t="shared" si="148"/>
        <v>138596</v>
      </c>
      <c r="Q207" s="349">
        <f t="shared" si="149"/>
        <v>43955200</v>
      </c>
      <c r="R207" s="349">
        <f t="shared" si="150"/>
        <v>395520</v>
      </c>
      <c r="S207" s="349">
        <f t="shared" si="151"/>
        <v>44350720</v>
      </c>
      <c r="T207" s="353">
        <f t="array" ref="T207">MAX((IF(MNU_CODIGO_ALIMENTO_ENTREGA=CONCATENATE($C207,"_","P_"),MNU_GRAMAJE_REQUERIDO_TIPOC,"")))</f>
        <v>100</v>
      </c>
      <c r="U207" s="259">
        <f t="shared" si="152"/>
        <v>124800</v>
      </c>
      <c r="V207" s="259">
        <f t="shared" si="153"/>
        <v>14568</v>
      </c>
      <c r="W207" s="259">
        <f t="shared" si="154"/>
        <v>139368</v>
      </c>
      <c r="X207" s="260">
        <f t="shared" si="155"/>
        <v>39936000</v>
      </c>
      <c r="Y207" s="260">
        <f t="shared" si="156"/>
        <v>4661760</v>
      </c>
      <c r="Z207" s="260">
        <f t="shared" si="157"/>
        <v>44597760</v>
      </c>
      <c r="AA207" s="258">
        <f t="array" ref="AA207">MAX((IF(MNU_CODIGO_ALIMENTO_ENTREGA=CONCATENATE($C207,"_","P_"),MNU_GRAMAJE_REQUERIDO_TIPOM,"")))</f>
        <v>100</v>
      </c>
      <c r="AB207" s="261">
        <f t="shared" si="158"/>
        <v>0</v>
      </c>
      <c r="AC207" s="261">
        <v>0</v>
      </c>
      <c r="AD207" s="261">
        <f t="shared" si="159"/>
        <v>0</v>
      </c>
      <c r="AE207" s="262">
        <f t="shared" si="160"/>
        <v>0</v>
      </c>
      <c r="AF207" s="262">
        <v>0</v>
      </c>
      <c r="AG207" s="262">
        <f t="shared" si="161"/>
        <v>0</v>
      </c>
      <c r="AH207" s="353">
        <f t="array" ref="AH207">MAX((IF(MNU_CODIGO_ALIMENTO_ENTREGA=CONCATENATE($C207,"_","P_"),MNU_GRAMAJE_REQUERIDO_TIPOH,"")))</f>
        <v>100</v>
      </c>
      <c r="AI207" s="259">
        <f t="shared" si="162"/>
        <v>0</v>
      </c>
      <c r="AJ207" s="259">
        <v>0</v>
      </c>
      <c r="AK207" s="259">
        <f t="shared" si="163"/>
        <v>0</v>
      </c>
      <c r="AL207" s="260">
        <f t="shared" si="164"/>
        <v>0</v>
      </c>
      <c r="AM207" s="260">
        <v>0</v>
      </c>
      <c r="AN207" s="260">
        <f t="shared" si="165"/>
        <v>0</v>
      </c>
      <c r="AO207" s="457">
        <f t="shared" si="166"/>
        <v>497552</v>
      </c>
      <c r="AP207" s="456">
        <f t="shared" si="167"/>
        <v>159216640</v>
      </c>
      <c r="AQ207" s="263" t="e">
        <f>#REF!+AH207+AA207+T207+M207</f>
        <v>#REF!</v>
      </c>
      <c r="AR207" s="263">
        <f t="shared" si="126"/>
        <v>159478800</v>
      </c>
      <c r="AS207" s="263" t="e">
        <f t="shared" si="127"/>
        <v>#REF!</v>
      </c>
      <c r="AT207" s="263">
        <f t="shared" si="128"/>
        <v>159756764</v>
      </c>
      <c r="AU207" s="263" t="e">
        <f t="shared" si="129"/>
        <v>#REF!</v>
      </c>
      <c r="AV207" s="263">
        <f t="shared" si="130"/>
        <v>164814044</v>
      </c>
      <c r="AW207" s="263" t="e">
        <f t="shared" si="131"/>
        <v>#REF!</v>
      </c>
      <c r="AX207" s="263" t="e">
        <f>AV207+#REF!+AH207+AA207+T207</f>
        <v>#REF!</v>
      </c>
      <c r="AY207" s="263" t="e">
        <f t="shared" si="132"/>
        <v>#REF!</v>
      </c>
      <c r="AZ207" s="263" t="e">
        <f t="shared" si="133"/>
        <v>#REF!</v>
      </c>
      <c r="BA207" s="263" t="e">
        <f t="shared" si="134"/>
        <v>#REF!</v>
      </c>
      <c r="BB207" s="263" t="e">
        <f t="shared" si="135"/>
        <v>#REF!</v>
      </c>
      <c r="BC207" s="263" t="e">
        <f t="shared" si="136"/>
        <v>#REF!</v>
      </c>
      <c r="BD207" s="263" t="e">
        <f t="shared" si="137"/>
        <v>#REF!</v>
      </c>
      <c r="BE207" s="263" t="e">
        <f>BC207+AV207+#REF!+AH207+AA207</f>
        <v>#REF!</v>
      </c>
      <c r="BF207" s="263" t="e">
        <f t="shared" si="138"/>
        <v>#REF!</v>
      </c>
      <c r="BG207" s="263" t="e">
        <f t="shared" si="139"/>
        <v>#REF!</v>
      </c>
    </row>
    <row r="208" spans="1:59" ht="15.75">
      <c r="A208" s="338">
        <v>15</v>
      </c>
      <c r="B208" s="338" t="s">
        <v>1</v>
      </c>
      <c r="C208" s="258">
        <v>70</v>
      </c>
      <c r="D208" s="328" t="s">
        <v>71</v>
      </c>
      <c r="E208" s="258" t="s">
        <v>9</v>
      </c>
      <c r="F208" s="431">
        <f t="array" ref="F208">MAX((IF(MNU_CODIGO_ALIMENTO_ENTREGA=CONCATENATE($C208,"_","P_"),MNU_GRAMAJE_REQUERIDO_TIPOA,"")))</f>
        <v>0</v>
      </c>
      <c r="G208" s="259">
        <f t="shared" si="140"/>
        <v>0</v>
      </c>
      <c r="H208" s="259">
        <f t="shared" si="141"/>
        <v>0</v>
      </c>
      <c r="I208" s="259">
        <f t="shared" si="142"/>
        <v>0</v>
      </c>
      <c r="J208" s="260">
        <f t="shared" si="143"/>
        <v>0</v>
      </c>
      <c r="K208" s="260">
        <f t="shared" si="144"/>
        <v>0</v>
      </c>
      <c r="L208" s="260">
        <f t="shared" si="145"/>
        <v>0</v>
      </c>
      <c r="M208" s="432">
        <f t="array" ref="M208">MAX((IF(MNU_CODIGO_ALIMENTO_ENTREGA=CONCATENATE($C208,"_","P_"),MNU_GRAMAJE_REQUERIDO_TIPOB,"")))</f>
        <v>100</v>
      </c>
      <c r="N208" s="348">
        <f t="shared" si="146"/>
        <v>85850</v>
      </c>
      <c r="O208" s="348">
        <f t="shared" si="147"/>
        <v>824</v>
      </c>
      <c r="P208" s="348">
        <f t="shared" si="148"/>
        <v>86674</v>
      </c>
      <c r="Q208" s="349">
        <f t="shared" si="149"/>
        <v>39147600</v>
      </c>
      <c r="R208" s="349">
        <f t="shared" si="150"/>
        <v>375744</v>
      </c>
      <c r="S208" s="349">
        <f t="shared" si="151"/>
        <v>39523344</v>
      </c>
      <c r="T208" s="353">
        <f t="array" ref="T208">MAX((IF(MNU_CODIGO_ALIMENTO_ENTREGA=CONCATENATE($C208,"_","P_"),MNU_GRAMAJE_REQUERIDO_TIPOC,"")))</f>
        <v>100</v>
      </c>
      <c r="U208" s="259">
        <f t="shared" si="152"/>
        <v>78000</v>
      </c>
      <c r="V208" s="259">
        <f t="shared" si="153"/>
        <v>9712</v>
      </c>
      <c r="W208" s="259">
        <f t="shared" si="154"/>
        <v>87712</v>
      </c>
      <c r="X208" s="260">
        <f t="shared" si="155"/>
        <v>35568000</v>
      </c>
      <c r="Y208" s="260">
        <f t="shared" si="156"/>
        <v>4428672</v>
      </c>
      <c r="Z208" s="260">
        <f t="shared" si="157"/>
        <v>39996672</v>
      </c>
      <c r="AA208" s="258">
        <f t="array" ref="AA208">MAX((IF(MNU_CODIGO_ALIMENTO_ENTREGA=CONCATENATE($C208,"_","P_"),MNU_GRAMAJE_REQUERIDO_TIPOM,"")))</f>
        <v>100</v>
      </c>
      <c r="AB208" s="261">
        <f t="shared" si="158"/>
        <v>0</v>
      </c>
      <c r="AC208" s="261">
        <v>0</v>
      </c>
      <c r="AD208" s="261">
        <f t="shared" si="159"/>
        <v>0</v>
      </c>
      <c r="AE208" s="262">
        <f t="shared" si="160"/>
        <v>0</v>
      </c>
      <c r="AF208" s="262">
        <v>0</v>
      </c>
      <c r="AG208" s="262">
        <f t="shared" si="161"/>
        <v>0</v>
      </c>
      <c r="AH208" s="353">
        <f t="array" ref="AH208">MAX((IF(MNU_CODIGO_ALIMENTO_ENTREGA=CONCATENATE($C208,"_","P_"),MNU_GRAMAJE_REQUERIDO_TIPOH,"")))</f>
        <v>100</v>
      </c>
      <c r="AI208" s="259">
        <f t="shared" si="162"/>
        <v>0</v>
      </c>
      <c r="AJ208" s="259">
        <v>0</v>
      </c>
      <c r="AK208" s="259">
        <f t="shared" si="163"/>
        <v>0</v>
      </c>
      <c r="AL208" s="260">
        <f t="shared" si="164"/>
        <v>0</v>
      </c>
      <c r="AM208" s="260">
        <v>0</v>
      </c>
      <c r="AN208" s="260">
        <f t="shared" si="165"/>
        <v>0</v>
      </c>
      <c r="AO208" s="457">
        <f t="shared" si="166"/>
        <v>174386</v>
      </c>
      <c r="AP208" s="456">
        <f t="shared" si="167"/>
        <v>79520016</v>
      </c>
      <c r="AQ208" s="263" t="e">
        <f>#REF!+AH208+AA208+T208+M208</f>
        <v>#REF!</v>
      </c>
      <c r="AR208" s="263">
        <f t="shared" si="126"/>
        <v>79683866</v>
      </c>
      <c r="AS208" s="263" t="e">
        <f t="shared" si="127"/>
        <v>#REF!</v>
      </c>
      <c r="AT208" s="263">
        <f t="shared" si="128"/>
        <v>79858252</v>
      </c>
      <c r="AU208" s="263" t="e">
        <f t="shared" si="129"/>
        <v>#REF!</v>
      </c>
      <c r="AV208" s="263">
        <f t="shared" si="130"/>
        <v>84662668</v>
      </c>
      <c r="AW208" s="263" t="e">
        <f t="shared" si="131"/>
        <v>#REF!</v>
      </c>
      <c r="AX208" s="263" t="e">
        <f>AV208+#REF!+AH208+AA208+T208</f>
        <v>#REF!</v>
      </c>
      <c r="AY208" s="263" t="e">
        <f t="shared" si="132"/>
        <v>#REF!</v>
      </c>
      <c r="AZ208" s="263" t="e">
        <f t="shared" si="133"/>
        <v>#REF!</v>
      </c>
      <c r="BA208" s="263" t="e">
        <f t="shared" si="134"/>
        <v>#REF!</v>
      </c>
      <c r="BB208" s="263" t="e">
        <f t="shared" si="135"/>
        <v>#REF!</v>
      </c>
      <c r="BC208" s="263" t="e">
        <f t="shared" si="136"/>
        <v>#REF!</v>
      </c>
      <c r="BD208" s="263" t="e">
        <f t="shared" si="137"/>
        <v>#REF!</v>
      </c>
      <c r="BE208" s="263" t="e">
        <f>BC208+AV208+#REF!+AH208+AA208</f>
        <v>#REF!</v>
      </c>
      <c r="BF208" s="263" t="e">
        <f t="shared" si="138"/>
        <v>#REF!</v>
      </c>
      <c r="BG208" s="263" t="e">
        <f t="shared" si="139"/>
        <v>#REF!</v>
      </c>
    </row>
    <row r="209" spans="1:59" ht="15.75">
      <c r="A209" s="338">
        <v>16</v>
      </c>
      <c r="B209" s="338" t="s">
        <v>1</v>
      </c>
      <c r="C209" s="258">
        <v>7</v>
      </c>
      <c r="D209" s="328" t="s">
        <v>57</v>
      </c>
      <c r="E209" s="258" t="s">
        <v>9</v>
      </c>
      <c r="F209" s="431">
        <f t="array" ref="F209">MAX((IF(MNU_CODIGO_ALIMENTO_ENTREGA=CONCATENATE($C209,"_","P_"),MNU_GRAMAJE_REQUERIDO_TIPOA,"")))</f>
        <v>100</v>
      </c>
      <c r="G209" s="259">
        <f t="shared" si="140"/>
        <v>105754</v>
      </c>
      <c r="H209" s="259">
        <f t="shared" si="141"/>
        <v>28737</v>
      </c>
      <c r="I209" s="259">
        <f t="shared" si="142"/>
        <v>134491</v>
      </c>
      <c r="J209" s="260">
        <f t="shared" si="143"/>
        <v>11844448</v>
      </c>
      <c r="K209" s="260">
        <f t="shared" si="144"/>
        <v>3218544</v>
      </c>
      <c r="L209" s="260">
        <f t="shared" si="145"/>
        <v>15062992</v>
      </c>
      <c r="M209" s="432">
        <f t="array" ref="M209">MAX((IF(MNU_CODIGO_ALIMENTO_ENTREGA=CONCATENATE($C209,"_","P_"),MNU_GRAMAJE_REQUERIDO_TIPOB,"")))</f>
        <v>100</v>
      </c>
      <c r="N209" s="348">
        <f t="shared" si="146"/>
        <v>61218</v>
      </c>
      <c r="O209" s="348">
        <f t="shared" si="147"/>
        <v>18029</v>
      </c>
      <c r="P209" s="348">
        <f t="shared" si="148"/>
        <v>79247</v>
      </c>
      <c r="Q209" s="349">
        <f t="shared" si="149"/>
        <v>6856416</v>
      </c>
      <c r="R209" s="349">
        <f t="shared" si="150"/>
        <v>2019248</v>
      </c>
      <c r="S209" s="349">
        <f t="shared" si="151"/>
        <v>8875664</v>
      </c>
      <c r="T209" s="353">
        <f t="array" ref="T209">MAX((IF(MNU_CODIGO_ALIMENTO_ENTREGA=CONCATENATE($C209,"_","P_"),MNU_GRAMAJE_REQUERIDO_TIPOC,"")))</f>
        <v>100</v>
      </c>
      <c r="U209" s="259">
        <f t="shared" si="152"/>
        <v>61191</v>
      </c>
      <c r="V209" s="259">
        <f t="shared" si="153"/>
        <v>23298</v>
      </c>
      <c r="W209" s="259">
        <f t="shared" si="154"/>
        <v>84489</v>
      </c>
      <c r="X209" s="260">
        <f t="shared" si="155"/>
        <v>6853392</v>
      </c>
      <c r="Y209" s="260">
        <f t="shared" si="156"/>
        <v>2609376</v>
      </c>
      <c r="Z209" s="260">
        <f t="shared" si="157"/>
        <v>9462768</v>
      </c>
      <c r="AA209" s="258">
        <f t="array" ref="AA209">MAX((IF(MNU_CODIGO_ALIMENTO_ENTREGA=CONCATENATE($C209,"_","P_"),MNU_GRAMAJE_REQUERIDO_TIPOM,"")))</f>
        <v>100</v>
      </c>
      <c r="AB209" s="261">
        <f t="shared" si="158"/>
        <v>3303</v>
      </c>
      <c r="AC209" s="261">
        <v>0</v>
      </c>
      <c r="AD209" s="261">
        <f t="shared" si="159"/>
        <v>3303</v>
      </c>
      <c r="AE209" s="262">
        <f t="shared" si="160"/>
        <v>369936</v>
      </c>
      <c r="AF209" s="262">
        <v>0</v>
      </c>
      <c r="AG209" s="262">
        <f t="shared" si="161"/>
        <v>369936</v>
      </c>
      <c r="AH209" s="353">
        <f t="array" ref="AH209">MAX((IF(MNU_CODIGO_ALIMENTO_ENTREGA=CONCATENATE($C209,"_","P_"),MNU_GRAMAJE_REQUERIDO_TIPOH,"")))</f>
        <v>100</v>
      </c>
      <c r="AI209" s="259">
        <f t="shared" si="162"/>
        <v>3618</v>
      </c>
      <c r="AJ209" s="259">
        <v>0</v>
      </c>
      <c r="AK209" s="259">
        <f t="shared" si="163"/>
        <v>3618</v>
      </c>
      <c r="AL209" s="260">
        <f t="shared" si="164"/>
        <v>405216</v>
      </c>
      <c r="AM209" s="260">
        <v>0</v>
      </c>
      <c r="AN209" s="260">
        <f t="shared" si="165"/>
        <v>405216</v>
      </c>
      <c r="AO209" s="457">
        <f t="shared" si="166"/>
        <v>305148</v>
      </c>
      <c r="AP209" s="456">
        <f t="shared" si="167"/>
        <v>34176576</v>
      </c>
      <c r="AQ209" s="263" t="e">
        <f>#REF!+AH209+AA209+T209+M209</f>
        <v>#REF!</v>
      </c>
      <c r="AR209" s="263">
        <f t="shared" si="126"/>
        <v>34305906</v>
      </c>
      <c r="AS209" s="263" t="e">
        <f t="shared" si="127"/>
        <v>#REF!</v>
      </c>
      <c r="AT209" s="263">
        <f t="shared" si="128"/>
        <v>34476563</v>
      </c>
      <c r="AU209" s="263" t="e">
        <f t="shared" si="129"/>
        <v>#REF!</v>
      </c>
      <c r="AV209" s="263">
        <f t="shared" si="130"/>
        <v>39105187</v>
      </c>
      <c r="AW209" s="263" t="e">
        <f t="shared" si="131"/>
        <v>#REF!</v>
      </c>
      <c r="AX209" s="263" t="e">
        <f>AV209+#REF!+AH209+AA209+T209</f>
        <v>#REF!</v>
      </c>
      <c r="AY209" s="263" t="e">
        <f t="shared" si="132"/>
        <v>#REF!</v>
      </c>
      <c r="AZ209" s="263" t="e">
        <f t="shared" si="133"/>
        <v>#REF!</v>
      </c>
      <c r="BA209" s="263" t="e">
        <f t="shared" si="134"/>
        <v>#REF!</v>
      </c>
      <c r="BB209" s="263" t="e">
        <f t="shared" si="135"/>
        <v>#REF!</v>
      </c>
      <c r="BC209" s="263" t="e">
        <f t="shared" si="136"/>
        <v>#REF!</v>
      </c>
      <c r="BD209" s="263" t="e">
        <f t="shared" si="137"/>
        <v>#REF!</v>
      </c>
      <c r="BE209" s="263" t="e">
        <f>BC209+AV209+#REF!+AH209+AA209</f>
        <v>#REF!</v>
      </c>
      <c r="BF209" s="263" t="e">
        <f t="shared" si="138"/>
        <v>#REF!</v>
      </c>
      <c r="BG209" s="263" t="e">
        <f t="shared" si="139"/>
        <v>#REF!</v>
      </c>
    </row>
    <row r="210" spans="1:59" ht="15.75">
      <c r="A210" s="338">
        <v>16</v>
      </c>
      <c r="B210" s="338" t="s">
        <v>1</v>
      </c>
      <c r="C210" s="258">
        <v>8</v>
      </c>
      <c r="D210" s="328" t="s">
        <v>55</v>
      </c>
      <c r="E210" s="258" t="s">
        <v>9</v>
      </c>
      <c r="F210" s="431">
        <f t="array" ref="F210">MAX((IF(MNU_CODIGO_ALIMENTO_ENTREGA=CONCATENATE($C210,"_","P_"),MNU_GRAMAJE_REQUERIDO_TIPOA,"")))</f>
        <v>100</v>
      </c>
      <c r="G210" s="259">
        <f t="shared" si="140"/>
        <v>48070</v>
      </c>
      <c r="H210" s="259">
        <f t="shared" si="141"/>
        <v>10197</v>
      </c>
      <c r="I210" s="259">
        <f t="shared" si="142"/>
        <v>58267</v>
      </c>
      <c r="J210" s="260">
        <f t="shared" si="143"/>
        <v>6777870</v>
      </c>
      <c r="K210" s="260">
        <f t="shared" si="144"/>
        <v>1437777</v>
      </c>
      <c r="L210" s="260">
        <f t="shared" si="145"/>
        <v>8215647</v>
      </c>
      <c r="M210" s="432">
        <f t="array" ref="M210">MAX((IF(MNU_CODIGO_ALIMENTO_ENTREGA=CONCATENATE($C210,"_","P_"),MNU_GRAMAJE_REQUERIDO_TIPOB,"")))</f>
        <v>100</v>
      </c>
      <c r="N210" s="348">
        <f t="shared" si="146"/>
        <v>54416</v>
      </c>
      <c r="O210" s="348">
        <f t="shared" si="147"/>
        <v>18029</v>
      </c>
      <c r="P210" s="348">
        <f t="shared" si="148"/>
        <v>72445</v>
      </c>
      <c r="Q210" s="349">
        <f t="shared" si="149"/>
        <v>7672656</v>
      </c>
      <c r="R210" s="349">
        <f t="shared" si="150"/>
        <v>2542089</v>
      </c>
      <c r="S210" s="349">
        <f t="shared" si="151"/>
        <v>10214745</v>
      </c>
      <c r="T210" s="353">
        <f t="array" ref="T210">MAX((IF(MNU_CODIGO_ALIMENTO_ENTREGA=CONCATENATE($C210,"_","P_"),MNU_GRAMAJE_REQUERIDO_TIPOC,"")))</f>
        <v>100</v>
      </c>
      <c r="U210" s="259">
        <f t="shared" si="152"/>
        <v>54392</v>
      </c>
      <c r="V210" s="259">
        <f t="shared" si="153"/>
        <v>23298</v>
      </c>
      <c r="W210" s="259">
        <f t="shared" si="154"/>
        <v>77690</v>
      </c>
      <c r="X210" s="260">
        <f t="shared" si="155"/>
        <v>7669272</v>
      </c>
      <c r="Y210" s="260">
        <f t="shared" si="156"/>
        <v>3285018</v>
      </c>
      <c r="Z210" s="260">
        <f t="shared" si="157"/>
        <v>10954290</v>
      </c>
      <c r="AA210" s="258">
        <f t="array" ref="AA210">MAX((IF(MNU_CODIGO_ALIMENTO_ENTREGA=CONCATENATE($C210,"_","P_"),MNU_GRAMAJE_REQUERIDO_TIPOM,"")))</f>
        <v>100</v>
      </c>
      <c r="AB210" s="261">
        <f t="shared" si="158"/>
        <v>2936</v>
      </c>
      <c r="AC210" s="261">
        <v>0</v>
      </c>
      <c r="AD210" s="261">
        <f t="shared" si="159"/>
        <v>2936</v>
      </c>
      <c r="AE210" s="262">
        <f t="shared" si="160"/>
        <v>413976</v>
      </c>
      <c r="AF210" s="262">
        <v>0</v>
      </c>
      <c r="AG210" s="262">
        <f t="shared" si="161"/>
        <v>413976</v>
      </c>
      <c r="AH210" s="353">
        <f t="array" ref="AH210">MAX((IF(MNU_CODIGO_ALIMENTO_ENTREGA=CONCATENATE($C210,"_","P_"),MNU_GRAMAJE_REQUERIDO_TIPOH,"")))</f>
        <v>100</v>
      </c>
      <c r="AI210" s="259">
        <f t="shared" si="162"/>
        <v>3216</v>
      </c>
      <c r="AJ210" s="259">
        <v>0</v>
      </c>
      <c r="AK210" s="259">
        <f t="shared" si="163"/>
        <v>3216</v>
      </c>
      <c r="AL210" s="260">
        <f t="shared" si="164"/>
        <v>453456</v>
      </c>
      <c r="AM210" s="260">
        <v>0</v>
      </c>
      <c r="AN210" s="260">
        <f t="shared" si="165"/>
        <v>453456</v>
      </c>
      <c r="AO210" s="457">
        <f t="shared" si="166"/>
        <v>214554</v>
      </c>
      <c r="AP210" s="456">
        <f t="shared" si="167"/>
        <v>30252114</v>
      </c>
      <c r="AQ210" s="263" t="e">
        <f>#REF!+AH210+AA210+T210+M210</f>
        <v>#REF!</v>
      </c>
      <c r="AR210" s="263">
        <f t="shared" si="126"/>
        <v>30367074</v>
      </c>
      <c r="AS210" s="263" t="e">
        <f t="shared" si="127"/>
        <v>#REF!</v>
      </c>
      <c r="AT210" s="263">
        <f t="shared" si="128"/>
        <v>30523361</v>
      </c>
      <c r="AU210" s="263" t="e">
        <f t="shared" si="129"/>
        <v>#REF!</v>
      </c>
      <c r="AV210" s="263">
        <f t="shared" si="130"/>
        <v>36350468</v>
      </c>
      <c r="AW210" s="263" t="e">
        <f t="shared" si="131"/>
        <v>#REF!</v>
      </c>
      <c r="AX210" s="263" t="e">
        <f>AV210+#REF!+AH210+AA210+T210</f>
        <v>#REF!</v>
      </c>
      <c r="AY210" s="263" t="e">
        <f t="shared" si="132"/>
        <v>#REF!</v>
      </c>
      <c r="AZ210" s="263" t="e">
        <f t="shared" si="133"/>
        <v>#REF!</v>
      </c>
      <c r="BA210" s="263" t="e">
        <f t="shared" si="134"/>
        <v>#REF!</v>
      </c>
      <c r="BB210" s="263" t="e">
        <f t="shared" si="135"/>
        <v>#REF!</v>
      </c>
      <c r="BC210" s="263" t="e">
        <f t="shared" si="136"/>
        <v>#REF!</v>
      </c>
      <c r="BD210" s="263" t="e">
        <f t="shared" si="137"/>
        <v>#REF!</v>
      </c>
      <c r="BE210" s="263" t="e">
        <f>BC210+AV210+#REF!+AH210+AA210</f>
        <v>#REF!</v>
      </c>
      <c r="BF210" s="263" t="e">
        <f t="shared" si="138"/>
        <v>#REF!</v>
      </c>
      <c r="BG210" s="263" t="e">
        <f t="shared" si="139"/>
        <v>#REF!</v>
      </c>
    </row>
    <row r="211" spans="1:59" ht="15.75">
      <c r="A211" s="338">
        <v>16</v>
      </c>
      <c r="B211" s="338" t="s">
        <v>1</v>
      </c>
      <c r="C211" s="258">
        <v>17</v>
      </c>
      <c r="D211" s="328" t="s">
        <v>53</v>
      </c>
      <c r="E211" s="258" t="s">
        <v>9</v>
      </c>
      <c r="F211" s="431">
        <f t="array" ref="F211">MAX((IF(MNU_CODIGO_ALIMENTO_ENTREGA=CONCATENATE($C211,"_","P_"),MNU_GRAMAJE_REQUERIDO_TIPOA,"")))</f>
        <v>0</v>
      </c>
      <c r="G211" s="259">
        <f t="shared" si="140"/>
        <v>0</v>
      </c>
      <c r="H211" s="259">
        <f t="shared" si="141"/>
        <v>0</v>
      </c>
      <c r="I211" s="259">
        <f t="shared" si="142"/>
        <v>0</v>
      </c>
      <c r="J211" s="260">
        <f t="shared" si="143"/>
        <v>0</v>
      </c>
      <c r="K211" s="260">
        <f t="shared" si="144"/>
        <v>0</v>
      </c>
      <c r="L211" s="260">
        <f t="shared" si="145"/>
        <v>0</v>
      </c>
      <c r="M211" s="432">
        <f t="array" ref="M211">MAX((IF(MNU_CODIGO_ALIMENTO_ENTREGA=CONCATENATE($C211,"_","P_"),MNU_GRAMAJE_REQUERIDO_TIPOB,"")))</f>
        <v>100</v>
      </c>
      <c r="N211" s="348">
        <f t="shared" si="146"/>
        <v>142842</v>
      </c>
      <c r="O211" s="348">
        <f t="shared" si="147"/>
        <v>37697</v>
      </c>
      <c r="P211" s="348">
        <f t="shared" si="148"/>
        <v>180539</v>
      </c>
      <c r="Q211" s="349">
        <f t="shared" si="149"/>
        <v>33853554</v>
      </c>
      <c r="R211" s="349">
        <f t="shared" si="150"/>
        <v>8934189</v>
      </c>
      <c r="S211" s="349">
        <f t="shared" si="151"/>
        <v>42787743</v>
      </c>
      <c r="T211" s="353">
        <f t="array" ref="T211">MAX((IF(MNU_CODIGO_ALIMENTO_ENTREGA=CONCATENATE($C211,"_","P_"),MNU_GRAMAJE_REQUERIDO_TIPOC,"")))</f>
        <v>100</v>
      </c>
      <c r="U211" s="259">
        <f t="shared" si="152"/>
        <v>142779</v>
      </c>
      <c r="V211" s="259">
        <f t="shared" si="153"/>
        <v>48714</v>
      </c>
      <c r="W211" s="259">
        <f t="shared" si="154"/>
        <v>191493</v>
      </c>
      <c r="X211" s="260">
        <f t="shared" si="155"/>
        <v>33838623</v>
      </c>
      <c r="Y211" s="260">
        <f t="shared" si="156"/>
        <v>11545218</v>
      </c>
      <c r="Z211" s="260">
        <f t="shared" si="157"/>
        <v>45383841</v>
      </c>
      <c r="AA211" s="258">
        <f t="array" ref="AA211">MAX((IF(MNU_CODIGO_ALIMENTO_ENTREGA=CONCATENATE($C211,"_","P_"),MNU_GRAMAJE_REQUERIDO_TIPOM,"")))</f>
        <v>100</v>
      </c>
      <c r="AB211" s="261">
        <f t="shared" si="158"/>
        <v>7707</v>
      </c>
      <c r="AC211" s="261">
        <v>0</v>
      </c>
      <c r="AD211" s="261">
        <f t="shared" si="159"/>
        <v>7707</v>
      </c>
      <c r="AE211" s="262">
        <f t="shared" si="160"/>
        <v>1826559</v>
      </c>
      <c r="AF211" s="262">
        <v>0</v>
      </c>
      <c r="AG211" s="262">
        <f t="shared" si="161"/>
        <v>1826559</v>
      </c>
      <c r="AH211" s="353">
        <f t="array" ref="AH211">MAX((IF(MNU_CODIGO_ALIMENTO_ENTREGA=CONCATENATE($C211,"_","P_"),MNU_GRAMAJE_REQUERIDO_TIPOH,"")))</f>
        <v>100</v>
      </c>
      <c r="AI211" s="259">
        <f t="shared" si="162"/>
        <v>8442</v>
      </c>
      <c r="AJ211" s="259">
        <v>0</v>
      </c>
      <c r="AK211" s="259">
        <f t="shared" si="163"/>
        <v>8442</v>
      </c>
      <c r="AL211" s="260">
        <f t="shared" si="164"/>
        <v>2000754</v>
      </c>
      <c r="AM211" s="260">
        <v>0</v>
      </c>
      <c r="AN211" s="260">
        <f t="shared" si="165"/>
        <v>2000754</v>
      </c>
      <c r="AO211" s="457">
        <f t="shared" si="166"/>
        <v>388181</v>
      </c>
      <c r="AP211" s="456">
        <f t="shared" si="167"/>
        <v>91998897</v>
      </c>
      <c r="AQ211" s="263" t="e">
        <f>#REF!+AH211+AA211+T211+M211</f>
        <v>#REF!</v>
      </c>
      <c r="AR211" s="263">
        <f t="shared" si="126"/>
        <v>92300667</v>
      </c>
      <c r="AS211" s="263" t="e">
        <f t="shared" si="127"/>
        <v>#REF!</v>
      </c>
      <c r="AT211" s="263">
        <f t="shared" si="128"/>
        <v>92688848</v>
      </c>
      <c r="AU211" s="263" t="e">
        <f t="shared" si="129"/>
        <v>#REF!</v>
      </c>
      <c r="AV211" s="263">
        <f t="shared" si="130"/>
        <v>113168255</v>
      </c>
      <c r="AW211" s="263" t="e">
        <f t="shared" si="131"/>
        <v>#REF!</v>
      </c>
      <c r="AX211" s="263" t="e">
        <f>AV211+#REF!+AH211+AA211+T211</f>
        <v>#REF!</v>
      </c>
      <c r="AY211" s="263" t="e">
        <f t="shared" si="132"/>
        <v>#REF!</v>
      </c>
      <c r="AZ211" s="263" t="e">
        <f t="shared" si="133"/>
        <v>#REF!</v>
      </c>
      <c r="BA211" s="263" t="e">
        <f t="shared" si="134"/>
        <v>#REF!</v>
      </c>
      <c r="BB211" s="263" t="e">
        <f t="shared" si="135"/>
        <v>#REF!</v>
      </c>
      <c r="BC211" s="263" t="e">
        <f t="shared" si="136"/>
        <v>#REF!</v>
      </c>
      <c r="BD211" s="263" t="e">
        <f t="shared" si="137"/>
        <v>#REF!</v>
      </c>
      <c r="BE211" s="263" t="e">
        <f>BC211+AV211+#REF!+AH211+AA211</f>
        <v>#REF!</v>
      </c>
      <c r="BF211" s="263" t="e">
        <f t="shared" si="138"/>
        <v>#REF!</v>
      </c>
      <c r="BG211" s="263" t="e">
        <f t="shared" si="139"/>
        <v>#REF!</v>
      </c>
    </row>
    <row r="212" spans="1:59" ht="15.75">
      <c r="A212" s="338">
        <v>16</v>
      </c>
      <c r="B212" s="338" t="s">
        <v>1</v>
      </c>
      <c r="C212" s="258">
        <v>22</v>
      </c>
      <c r="D212" s="328" t="s">
        <v>51</v>
      </c>
      <c r="E212" s="258" t="s">
        <v>9</v>
      </c>
      <c r="F212" s="431">
        <f t="array" ref="F212">MAX((IF(MNU_CODIGO_ALIMENTO_ENTREGA=CONCATENATE($C212,"_","P_"),MNU_GRAMAJE_REQUERIDO_TIPOA,"")))</f>
        <v>0</v>
      </c>
      <c r="G212" s="259">
        <f t="shared" si="140"/>
        <v>0</v>
      </c>
      <c r="H212" s="259">
        <f t="shared" si="141"/>
        <v>0</v>
      </c>
      <c r="I212" s="259">
        <f t="shared" si="142"/>
        <v>0</v>
      </c>
      <c r="J212" s="260">
        <f t="shared" si="143"/>
        <v>0</v>
      </c>
      <c r="K212" s="260">
        <f t="shared" si="144"/>
        <v>0</v>
      </c>
      <c r="L212" s="260">
        <f t="shared" si="145"/>
        <v>0</v>
      </c>
      <c r="M212" s="432">
        <f t="array" ref="M212">MAX((IF(MNU_CODIGO_ALIMENTO_ENTREGA=CONCATENATE($C212,"_","P_"),MNU_GRAMAJE_REQUERIDO_TIPOB,"")))</f>
        <v>100</v>
      </c>
      <c r="N212" s="348">
        <f t="shared" si="146"/>
        <v>136040</v>
      </c>
      <c r="O212" s="348">
        <f t="shared" si="147"/>
        <v>37697</v>
      </c>
      <c r="P212" s="348">
        <f t="shared" si="148"/>
        <v>173737</v>
      </c>
      <c r="Q212" s="349">
        <f t="shared" si="149"/>
        <v>74958040</v>
      </c>
      <c r="R212" s="349">
        <f t="shared" si="150"/>
        <v>20771047</v>
      </c>
      <c r="S212" s="349">
        <f t="shared" si="151"/>
        <v>95729087</v>
      </c>
      <c r="T212" s="353">
        <f t="array" ref="T212">MAX((IF(MNU_CODIGO_ALIMENTO_ENTREGA=CONCATENATE($C212,"_","P_"),MNU_GRAMAJE_REQUERIDO_TIPOC,"")))</f>
        <v>100</v>
      </c>
      <c r="U212" s="259">
        <f t="shared" si="152"/>
        <v>135980</v>
      </c>
      <c r="V212" s="259">
        <f t="shared" si="153"/>
        <v>48714</v>
      </c>
      <c r="W212" s="259">
        <f t="shared" si="154"/>
        <v>184694</v>
      </c>
      <c r="X212" s="260">
        <f t="shared" si="155"/>
        <v>74924980</v>
      </c>
      <c r="Y212" s="260">
        <f t="shared" si="156"/>
        <v>26841414</v>
      </c>
      <c r="Z212" s="260">
        <f t="shared" si="157"/>
        <v>101766394</v>
      </c>
      <c r="AA212" s="258">
        <f t="array" ref="AA212">MAX((IF(MNU_CODIGO_ALIMENTO_ENTREGA=CONCATENATE($C212,"_","P_"),MNU_GRAMAJE_REQUERIDO_TIPOM,"")))</f>
        <v>100</v>
      </c>
      <c r="AB212" s="261">
        <f t="shared" si="158"/>
        <v>7340</v>
      </c>
      <c r="AC212" s="261">
        <v>0</v>
      </c>
      <c r="AD212" s="261">
        <f t="shared" si="159"/>
        <v>7340</v>
      </c>
      <c r="AE212" s="262">
        <f t="shared" si="160"/>
        <v>4044340</v>
      </c>
      <c r="AF212" s="262">
        <v>0</v>
      </c>
      <c r="AG212" s="262">
        <f t="shared" si="161"/>
        <v>4044340</v>
      </c>
      <c r="AH212" s="353">
        <f t="array" ref="AH212">MAX((IF(MNU_CODIGO_ALIMENTO_ENTREGA=CONCATENATE($C212,"_","P_"),MNU_GRAMAJE_REQUERIDO_TIPOH,"")))</f>
        <v>100</v>
      </c>
      <c r="AI212" s="259">
        <f t="shared" si="162"/>
        <v>8040</v>
      </c>
      <c r="AJ212" s="259">
        <v>0</v>
      </c>
      <c r="AK212" s="259">
        <f t="shared" si="163"/>
        <v>8040</v>
      </c>
      <c r="AL212" s="260">
        <f t="shared" si="164"/>
        <v>4430040</v>
      </c>
      <c r="AM212" s="260">
        <v>0</v>
      </c>
      <c r="AN212" s="260">
        <f t="shared" si="165"/>
        <v>4430040</v>
      </c>
      <c r="AO212" s="457">
        <f t="shared" si="166"/>
        <v>373811</v>
      </c>
      <c r="AP212" s="456">
        <f t="shared" si="167"/>
        <v>205969861</v>
      </c>
      <c r="AQ212" s="263" t="e">
        <f>#REF!+AH212+AA212+T212+M212</f>
        <v>#REF!</v>
      </c>
      <c r="AR212" s="263">
        <f t="shared" si="126"/>
        <v>206257261</v>
      </c>
      <c r="AS212" s="263" t="e">
        <f t="shared" si="127"/>
        <v>#REF!</v>
      </c>
      <c r="AT212" s="263">
        <f t="shared" si="128"/>
        <v>206631072</v>
      </c>
      <c r="AU212" s="263" t="e">
        <f t="shared" si="129"/>
        <v>#REF!</v>
      </c>
      <c r="AV212" s="263">
        <f t="shared" si="130"/>
        <v>254243533</v>
      </c>
      <c r="AW212" s="263" t="e">
        <f t="shared" si="131"/>
        <v>#REF!</v>
      </c>
      <c r="AX212" s="263" t="e">
        <f>AV212+#REF!+AH212+AA212+T212</f>
        <v>#REF!</v>
      </c>
      <c r="AY212" s="263" t="e">
        <f t="shared" si="132"/>
        <v>#REF!</v>
      </c>
      <c r="AZ212" s="263" t="e">
        <f t="shared" si="133"/>
        <v>#REF!</v>
      </c>
      <c r="BA212" s="263" t="e">
        <f t="shared" si="134"/>
        <v>#REF!</v>
      </c>
      <c r="BB212" s="263" t="e">
        <f t="shared" si="135"/>
        <v>#REF!</v>
      </c>
      <c r="BC212" s="263" t="e">
        <f t="shared" si="136"/>
        <v>#REF!</v>
      </c>
      <c r="BD212" s="263" t="e">
        <f t="shared" si="137"/>
        <v>#REF!</v>
      </c>
      <c r="BE212" s="263" t="e">
        <f>BC212+AV212+#REF!+AH212+AA212</f>
        <v>#REF!</v>
      </c>
      <c r="BF212" s="263" t="e">
        <f t="shared" si="138"/>
        <v>#REF!</v>
      </c>
      <c r="BG212" s="263" t="e">
        <f t="shared" si="139"/>
        <v>#REF!</v>
      </c>
    </row>
    <row r="213" spans="1:59" ht="15.75">
      <c r="A213" s="338">
        <v>16</v>
      </c>
      <c r="B213" s="338" t="s">
        <v>1</v>
      </c>
      <c r="C213" s="258">
        <v>33</v>
      </c>
      <c r="D213" s="328" t="s">
        <v>59</v>
      </c>
      <c r="E213" s="258" t="s">
        <v>48</v>
      </c>
      <c r="F213" s="431">
        <v>1</v>
      </c>
      <c r="G213" s="259">
        <f t="shared" si="140"/>
        <v>129789</v>
      </c>
      <c r="H213" s="259">
        <f t="shared" si="141"/>
        <v>26883</v>
      </c>
      <c r="I213" s="259">
        <f t="shared" si="142"/>
        <v>156672</v>
      </c>
      <c r="J213" s="260">
        <f t="shared" si="143"/>
        <v>36730287</v>
      </c>
      <c r="K213" s="260">
        <f t="shared" si="144"/>
        <v>7607889</v>
      </c>
      <c r="L213" s="260">
        <f t="shared" si="145"/>
        <v>44338176</v>
      </c>
      <c r="M213" s="432">
        <v>1</v>
      </c>
      <c r="N213" s="348">
        <f t="shared" si="146"/>
        <v>122436</v>
      </c>
      <c r="O213" s="348">
        <f t="shared" si="147"/>
        <v>37697</v>
      </c>
      <c r="P213" s="348">
        <f t="shared" si="148"/>
        <v>160133</v>
      </c>
      <c r="Q213" s="349">
        <f t="shared" si="149"/>
        <v>34649388</v>
      </c>
      <c r="R213" s="349">
        <f t="shared" si="150"/>
        <v>10668251</v>
      </c>
      <c r="S213" s="349">
        <f t="shared" si="151"/>
        <v>45317639</v>
      </c>
      <c r="T213" s="431">
        <v>1</v>
      </c>
      <c r="U213" s="259">
        <f t="shared" si="152"/>
        <v>122382</v>
      </c>
      <c r="V213" s="259">
        <f t="shared" si="153"/>
        <v>48714</v>
      </c>
      <c r="W213" s="259">
        <f t="shared" si="154"/>
        <v>171096</v>
      </c>
      <c r="X213" s="260">
        <f t="shared" si="155"/>
        <v>34634106</v>
      </c>
      <c r="Y213" s="260">
        <f t="shared" si="156"/>
        <v>13786062</v>
      </c>
      <c r="Z213" s="260">
        <f t="shared" si="157"/>
        <v>48420168</v>
      </c>
      <c r="AA213" s="258">
        <v>1</v>
      </c>
      <c r="AB213" s="261">
        <f t="shared" si="158"/>
        <v>6606</v>
      </c>
      <c r="AC213" s="261">
        <v>0</v>
      </c>
      <c r="AD213" s="261">
        <f t="shared" si="159"/>
        <v>6606</v>
      </c>
      <c r="AE213" s="262">
        <f t="shared" si="160"/>
        <v>1869498</v>
      </c>
      <c r="AF213" s="262">
        <v>0</v>
      </c>
      <c r="AG213" s="262">
        <f t="shared" si="161"/>
        <v>1869498</v>
      </c>
      <c r="AH213" s="353">
        <v>1</v>
      </c>
      <c r="AI213" s="259">
        <f t="shared" si="162"/>
        <v>7236</v>
      </c>
      <c r="AJ213" s="259">
        <v>0</v>
      </c>
      <c r="AK213" s="259">
        <f t="shared" si="163"/>
        <v>7236</v>
      </c>
      <c r="AL213" s="260">
        <f t="shared" si="164"/>
        <v>2047788</v>
      </c>
      <c r="AM213" s="260">
        <v>0</v>
      </c>
      <c r="AN213" s="260">
        <f t="shared" si="165"/>
        <v>2047788</v>
      </c>
      <c r="AO213" s="457">
        <f t="shared" si="166"/>
        <v>501743</v>
      </c>
      <c r="AP213" s="456">
        <f t="shared" si="167"/>
        <v>141993269</v>
      </c>
      <c r="AQ213" s="263" t="e">
        <f>#REF!+AH213+AA213+T213+M213</f>
        <v>#REF!</v>
      </c>
      <c r="AR213" s="263">
        <f t="shared" si="126"/>
        <v>142251929</v>
      </c>
      <c r="AS213" s="263" t="e">
        <f t="shared" si="127"/>
        <v>#REF!</v>
      </c>
      <c r="AT213" s="263">
        <f t="shared" si="128"/>
        <v>142597000</v>
      </c>
      <c r="AU213" s="263" t="e">
        <f t="shared" si="129"/>
        <v>#REF!</v>
      </c>
      <c r="AV213" s="263">
        <f t="shared" si="130"/>
        <v>167051313</v>
      </c>
      <c r="AW213" s="263" t="e">
        <f t="shared" si="131"/>
        <v>#REF!</v>
      </c>
      <c r="AX213" s="263" t="e">
        <f>AV213+#REF!+AH213+AA213+T213</f>
        <v>#REF!</v>
      </c>
      <c r="AY213" s="263" t="e">
        <f t="shared" si="132"/>
        <v>#REF!</v>
      </c>
      <c r="AZ213" s="263" t="e">
        <f t="shared" si="133"/>
        <v>#REF!</v>
      </c>
      <c r="BA213" s="263" t="e">
        <f t="shared" si="134"/>
        <v>#REF!</v>
      </c>
      <c r="BB213" s="263" t="e">
        <f t="shared" si="135"/>
        <v>#REF!</v>
      </c>
      <c r="BC213" s="263" t="e">
        <f t="shared" si="136"/>
        <v>#REF!</v>
      </c>
      <c r="BD213" s="263" t="e">
        <f t="shared" si="137"/>
        <v>#REF!</v>
      </c>
      <c r="BE213" s="263" t="e">
        <f>BC213+AV213+#REF!+AH213+AA213</f>
        <v>#REF!</v>
      </c>
      <c r="BF213" s="263" t="e">
        <f t="shared" si="138"/>
        <v>#REF!</v>
      </c>
      <c r="BG213" s="263" t="e">
        <f t="shared" si="139"/>
        <v>#REF!</v>
      </c>
    </row>
    <row r="214" spans="1:59" ht="15.75">
      <c r="A214" s="338">
        <v>16</v>
      </c>
      <c r="B214" s="338" t="s">
        <v>1</v>
      </c>
      <c r="C214" s="258">
        <v>36</v>
      </c>
      <c r="D214" s="328" t="s">
        <v>1340</v>
      </c>
      <c r="E214" s="258" t="s">
        <v>9</v>
      </c>
      <c r="F214" s="431">
        <f t="array" ref="F214">MAX((IF(MNU_CODIGO_ALIMENTO_ENTREGA=CONCATENATE($C214,"_","P_"),MNU_GRAMAJE_REQUERIDO_TIPOA,"")))</f>
        <v>20</v>
      </c>
      <c r="G214" s="259">
        <f t="shared" si="140"/>
        <v>33649</v>
      </c>
      <c r="H214" s="259">
        <f t="shared" si="141"/>
        <v>7416</v>
      </c>
      <c r="I214" s="259">
        <f t="shared" si="142"/>
        <v>41065</v>
      </c>
      <c r="J214" s="260">
        <f t="shared" si="143"/>
        <v>4441668</v>
      </c>
      <c r="K214" s="260">
        <f t="shared" si="144"/>
        <v>978912</v>
      </c>
      <c r="L214" s="260">
        <f t="shared" si="145"/>
        <v>5420580</v>
      </c>
      <c r="M214" s="432">
        <f t="array" ref="M214">MAX((IF(MNU_CODIGO_ALIMENTO_ENTREGA=CONCATENATE($C214,"_","P_"),MNU_GRAMAJE_REQUERIDO_TIPOB,"")))</f>
        <v>40</v>
      </c>
      <c r="N214" s="348">
        <f t="shared" si="146"/>
        <v>47614</v>
      </c>
      <c r="O214" s="348">
        <f t="shared" si="147"/>
        <v>13112</v>
      </c>
      <c r="P214" s="348">
        <f t="shared" si="148"/>
        <v>60726</v>
      </c>
      <c r="Q214" s="349">
        <f t="shared" si="149"/>
        <v>12617710</v>
      </c>
      <c r="R214" s="349">
        <f t="shared" si="150"/>
        <v>3474680</v>
      </c>
      <c r="S214" s="349">
        <f t="shared" si="151"/>
        <v>16092390</v>
      </c>
      <c r="T214" s="353">
        <f t="array" ref="T214">MAX((IF(MNU_CODIGO_ALIMENTO_ENTREGA=CONCATENATE($C214,"_","P_"),MNU_GRAMAJE_REQUERIDO_TIPOC,"")))</f>
        <v>40</v>
      </c>
      <c r="U214" s="259">
        <f t="shared" si="152"/>
        <v>47593</v>
      </c>
      <c r="V214" s="259">
        <f t="shared" si="153"/>
        <v>16944</v>
      </c>
      <c r="W214" s="259">
        <f t="shared" si="154"/>
        <v>64537</v>
      </c>
      <c r="X214" s="260">
        <f t="shared" si="155"/>
        <v>12612145</v>
      </c>
      <c r="Y214" s="260">
        <f t="shared" si="156"/>
        <v>4490160</v>
      </c>
      <c r="Z214" s="260">
        <f t="shared" si="157"/>
        <v>17102305</v>
      </c>
      <c r="AA214" s="258">
        <f t="array" ref="AA214">MAX((IF(MNU_CODIGO_ALIMENTO_ENTREGA=CONCATENATE($C214,"_","P_"),MNU_GRAMAJE_REQUERIDO_TIPOM,"")))</f>
        <v>40</v>
      </c>
      <c r="AB214" s="261">
        <f t="shared" si="158"/>
        <v>2569</v>
      </c>
      <c r="AC214" s="261">
        <v>0</v>
      </c>
      <c r="AD214" s="261">
        <f t="shared" si="159"/>
        <v>2569</v>
      </c>
      <c r="AE214" s="262">
        <f t="shared" si="160"/>
        <v>680785</v>
      </c>
      <c r="AF214" s="262">
        <v>0</v>
      </c>
      <c r="AG214" s="262">
        <f t="shared" si="161"/>
        <v>680785</v>
      </c>
      <c r="AH214" s="353">
        <f t="array" ref="AH214">MAX((IF(MNU_CODIGO_ALIMENTO_ENTREGA=CONCATENATE($C214,"_","P_"),MNU_GRAMAJE_REQUERIDO_TIPOH,"")))</f>
        <v>40</v>
      </c>
      <c r="AI214" s="259">
        <f t="shared" si="162"/>
        <v>2814</v>
      </c>
      <c r="AJ214" s="259">
        <v>0</v>
      </c>
      <c r="AK214" s="259">
        <f t="shared" si="163"/>
        <v>2814</v>
      </c>
      <c r="AL214" s="260">
        <f t="shared" si="164"/>
        <v>745710</v>
      </c>
      <c r="AM214" s="260">
        <v>0</v>
      </c>
      <c r="AN214" s="260">
        <f t="shared" si="165"/>
        <v>745710</v>
      </c>
      <c r="AO214" s="457">
        <f t="shared" si="166"/>
        <v>171711</v>
      </c>
      <c r="AP214" s="456">
        <f t="shared" si="167"/>
        <v>40041770</v>
      </c>
      <c r="AQ214" s="263" t="e">
        <f>#REF!+AH214+AA214+T214+M214</f>
        <v>#REF!</v>
      </c>
      <c r="AR214" s="263">
        <f t="shared" si="126"/>
        <v>40142360</v>
      </c>
      <c r="AS214" s="263" t="e">
        <f t="shared" si="127"/>
        <v>#REF!</v>
      </c>
      <c r="AT214" s="263">
        <f t="shared" si="128"/>
        <v>40273006</v>
      </c>
      <c r="AU214" s="263" t="e">
        <f t="shared" si="129"/>
        <v>#REF!</v>
      </c>
      <c r="AV214" s="263">
        <f t="shared" si="130"/>
        <v>48237846</v>
      </c>
      <c r="AW214" s="263" t="e">
        <f t="shared" si="131"/>
        <v>#REF!</v>
      </c>
      <c r="AX214" s="263" t="e">
        <f>AV214+#REF!+AH214+AA214+T214</f>
        <v>#REF!</v>
      </c>
      <c r="AY214" s="263" t="e">
        <f t="shared" si="132"/>
        <v>#REF!</v>
      </c>
      <c r="AZ214" s="263" t="e">
        <f t="shared" si="133"/>
        <v>#REF!</v>
      </c>
      <c r="BA214" s="263" t="e">
        <f t="shared" si="134"/>
        <v>#REF!</v>
      </c>
      <c r="BB214" s="263" t="e">
        <f t="shared" si="135"/>
        <v>#REF!</v>
      </c>
      <c r="BC214" s="263" t="e">
        <f t="shared" si="136"/>
        <v>#REF!</v>
      </c>
      <c r="BD214" s="263" t="e">
        <f t="shared" si="137"/>
        <v>#REF!</v>
      </c>
      <c r="BE214" s="263" t="e">
        <f>BC214+AV214+#REF!+AH214+AA214</f>
        <v>#REF!</v>
      </c>
      <c r="BF214" s="263" t="e">
        <f t="shared" si="138"/>
        <v>#REF!</v>
      </c>
      <c r="BG214" s="263" t="e">
        <f t="shared" si="139"/>
        <v>#REF!</v>
      </c>
    </row>
    <row r="215" spans="1:59" ht="15.75">
      <c r="A215" s="338">
        <v>16</v>
      </c>
      <c r="B215" s="338" t="s">
        <v>1</v>
      </c>
      <c r="C215" s="258">
        <v>42</v>
      </c>
      <c r="D215" s="328" t="s">
        <v>61</v>
      </c>
      <c r="E215" s="258" t="s">
        <v>9</v>
      </c>
      <c r="F215" s="431">
        <f t="array" ref="F215">MAX((IF(MNU_CODIGO_ALIMENTO_ENTREGA=CONCATENATE($C215,"_","P_"),MNU_GRAMAJE_REQUERIDO_TIPOA,"")))</f>
        <v>100</v>
      </c>
      <c r="G215" s="259">
        <f t="shared" si="140"/>
        <v>110561</v>
      </c>
      <c r="H215" s="259">
        <f t="shared" si="141"/>
        <v>33372</v>
      </c>
      <c r="I215" s="259">
        <f t="shared" si="142"/>
        <v>143933</v>
      </c>
      <c r="J215" s="260">
        <f t="shared" si="143"/>
        <v>22554444</v>
      </c>
      <c r="K215" s="260">
        <f t="shared" si="144"/>
        <v>6807888</v>
      </c>
      <c r="L215" s="260">
        <f t="shared" si="145"/>
        <v>29362332</v>
      </c>
      <c r="M215" s="432">
        <f t="array" ref="M215">MAX((IF(MNU_CODIGO_ALIMENTO_ENTREGA=CONCATENATE($C215,"_","P_"),MNU_GRAMAJE_REQUERIDO_TIPOB,"")))</f>
        <v>100</v>
      </c>
      <c r="N215" s="348">
        <f t="shared" si="146"/>
        <v>129238</v>
      </c>
      <c r="O215" s="348">
        <f t="shared" si="147"/>
        <v>31141</v>
      </c>
      <c r="P215" s="348">
        <f t="shared" si="148"/>
        <v>160379</v>
      </c>
      <c r="Q215" s="349">
        <f t="shared" si="149"/>
        <v>26364552</v>
      </c>
      <c r="R215" s="349">
        <f t="shared" si="150"/>
        <v>6352764</v>
      </c>
      <c r="S215" s="349">
        <f t="shared" si="151"/>
        <v>32717316</v>
      </c>
      <c r="T215" s="353">
        <f t="array" ref="T215">MAX((IF(MNU_CODIGO_ALIMENTO_ENTREGA=CONCATENATE($C215,"_","P_"),MNU_GRAMAJE_REQUERIDO_TIPOC,"")))</f>
        <v>100</v>
      </c>
      <c r="U215" s="259">
        <f t="shared" si="152"/>
        <v>129181</v>
      </c>
      <c r="V215" s="259">
        <f t="shared" si="153"/>
        <v>40242</v>
      </c>
      <c r="W215" s="259">
        <f t="shared" si="154"/>
        <v>169423</v>
      </c>
      <c r="X215" s="260">
        <f t="shared" si="155"/>
        <v>26352924</v>
      </c>
      <c r="Y215" s="260">
        <f t="shared" si="156"/>
        <v>8209368</v>
      </c>
      <c r="Z215" s="260">
        <f t="shared" si="157"/>
        <v>34562292</v>
      </c>
      <c r="AA215" s="258">
        <f t="array" ref="AA215">MAX((IF(MNU_CODIGO_ALIMENTO_ENTREGA=CONCATENATE($C215,"_","P_"),MNU_GRAMAJE_REQUERIDO_TIPOM,"")))</f>
        <v>100</v>
      </c>
      <c r="AB215" s="261">
        <f t="shared" si="158"/>
        <v>6973</v>
      </c>
      <c r="AC215" s="261">
        <v>0</v>
      </c>
      <c r="AD215" s="261">
        <f t="shared" si="159"/>
        <v>6973</v>
      </c>
      <c r="AE215" s="262">
        <f t="shared" si="160"/>
        <v>1422492</v>
      </c>
      <c r="AF215" s="262">
        <v>0</v>
      </c>
      <c r="AG215" s="262">
        <f t="shared" si="161"/>
        <v>1422492</v>
      </c>
      <c r="AH215" s="353">
        <f t="array" ref="AH215">MAX((IF(MNU_CODIGO_ALIMENTO_ENTREGA=CONCATENATE($C215,"_","P_"),MNU_GRAMAJE_REQUERIDO_TIPOH,"")))</f>
        <v>100</v>
      </c>
      <c r="AI215" s="259">
        <f t="shared" si="162"/>
        <v>7638</v>
      </c>
      <c r="AJ215" s="259">
        <v>0</v>
      </c>
      <c r="AK215" s="259">
        <f t="shared" si="163"/>
        <v>7638</v>
      </c>
      <c r="AL215" s="260">
        <f t="shared" si="164"/>
        <v>1558152</v>
      </c>
      <c r="AM215" s="260">
        <v>0</v>
      </c>
      <c r="AN215" s="260">
        <f t="shared" si="165"/>
        <v>1558152</v>
      </c>
      <c r="AO215" s="457">
        <f t="shared" si="166"/>
        <v>488346</v>
      </c>
      <c r="AP215" s="456">
        <f t="shared" si="167"/>
        <v>99622584</v>
      </c>
      <c r="AQ215" s="263" t="e">
        <f>#REF!+AH215+AA215+T215+M215</f>
        <v>#REF!</v>
      </c>
      <c r="AR215" s="263">
        <f t="shared" si="126"/>
        <v>99895614</v>
      </c>
      <c r="AS215" s="263" t="e">
        <f t="shared" si="127"/>
        <v>#REF!</v>
      </c>
      <c r="AT215" s="263">
        <f t="shared" si="128"/>
        <v>100240027</v>
      </c>
      <c r="AU215" s="263" t="e">
        <f t="shared" si="129"/>
        <v>#REF!</v>
      </c>
      <c r="AV215" s="263">
        <f t="shared" si="130"/>
        <v>114802159</v>
      </c>
      <c r="AW215" s="263" t="e">
        <f t="shared" si="131"/>
        <v>#REF!</v>
      </c>
      <c r="AX215" s="263" t="e">
        <f>AV215+#REF!+AH215+AA215+T215</f>
        <v>#REF!</v>
      </c>
      <c r="AY215" s="263" t="e">
        <f t="shared" si="132"/>
        <v>#REF!</v>
      </c>
      <c r="AZ215" s="263" t="e">
        <f t="shared" si="133"/>
        <v>#REF!</v>
      </c>
      <c r="BA215" s="263" t="e">
        <f t="shared" si="134"/>
        <v>#REF!</v>
      </c>
      <c r="BB215" s="263" t="e">
        <f t="shared" si="135"/>
        <v>#REF!</v>
      </c>
      <c r="BC215" s="263" t="e">
        <f t="shared" si="136"/>
        <v>#REF!</v>
      </c>
      <c r="BD215" s="263" t="e">
        <f t="shared" si="137"/>
        <v>#REF!</v>
      </c>
      <c r="BE215" s="263" t="e">
        <f>BC215+AV215+#REF!+AH215+AA215</f>
        <v>#REF!</v>
      </c>
      <c r="BF215" s="263" t="e">
        <f t="shared" si="138"/>
        <v>#REF!</v>
      </c>
      <c r="BG215" s="263" t="e">
        <f t="shared" si="139"/>
        <v>#REF!</v>
      </c>
    </row>
    <row r="216" spans="1:59" ht="15.75">
      <c r="A216" s="338">
        <v>16</v>
      </c>
      <c r="B216" s="338" t="s">
        <v>1</v>
      </c>
      <c r="C216" s="258">
        <v>43</v>
      </c>
      <c r="D216" s="328" t="s">
        <v>62</v>
      </c>
      <c r="E216" s="258" t="s">
        <v>9</v>
      </c>
      <c r="F216" s="431">
        <f t="array" ref="F216">MAX((IF(MNU_CODIGO_ALIMENTO_ENTREGA=CONCATENATE($C216,"_","P_"),MNU_GRAMAJE_REQUERIDO_TIPOA,"")))</f>
        <v>100</v>
      </c>
      <c r="G216" s="259">
        <f t="shared" si="140"/>
        <v>115368</v>
      </c>
      <c r="H216" s="259">
        <f t="shared" si="141"/>
        <v>26883</v>
      </c>
      <c r="I216" s="259">
        <f t="shared" si="142"/>
        <v>142251</v>
      </c>
      <c r="J216" s="260">
        <f t="shared" si="143"/>
        <v>20535504</v>
      </c>
      <c r="K216" s="260">
        <f t="shared" si="144"/>
        <v>4785174</v>
      </c>
      <c r="L216" s="260">
        <f t="shared" si="145"/>
        <v>25320678</v>
      </c>
      <c r="M216" s="432">
        <f t="array" ref="M216">MAX((IF(MNU_CODIGO_ALIMENTO_ENTREGA=CONCATENATE($C216,"_","P_"),MNU_GRAMAJE_REQUERIDO_TIPOB,"")))</f>
        <v>100</v>
      </c>
      <c r="N216" s="348">
        <f t="shared" si="146"/>
        <v>115634</v>
      </c>
      <c r="O216" s="348">
        <f t="shared" si="147"/>
        <v>37697</v>
      </c>
      <c r="P216" s="348">
        <f t="shared" si="148"/>
        <v>153331</v>
      </c>
      <c r="Q216" s="349">
        <f t="shared" si="149"/>
        <v>20582852</v>
      </c>
      <c r="R216" s="349">
        <f t="shared" si="150"/>
        <v>6710066</v>
      </c>
      <c r="S216" s="349">
        <f t="shared" si="151"/>
        <v>27292918</v>
      </c>
      <c r="T216" s="353">
        <f t="array" ref="T216">MAX((IF(MNU_CODIGO_ALIMENTO_ENTREGA=CONCATENATE($C216,"_","P_"),MNU_GRAMAJE_REQUERIDO_TIPOC,"")))</f>
        <v>100</v>
      </c>
      <c r="U216" s="259">
        <f t="shared" si="152"/>
        <v>115583</v>
      </c>
      <c r="V216" s="259">
        <f t="shared" si="153"/>
        <v>48714</v>
      </c>
      <c r="W216" s="259">
        <f t="shared" si="154"/>
        <v>164297</v>
      </c>
      <c r="X216" s="260">
        <f t="shared" si="155"/>
        <v>20573774</v>
      </c>
      <c r="Y216" s="260">
        <f t="shared" si="156"/>
        <v>8671092</v>
      </c>
      <c r="Z216" s="260">
        <f t="shared" si="157"/>
        <v>29244866</v>
      </c>
      <c r="AA216" s="258">
        <f t="array" ref="AA216">MAX((IF(MNU_CODIGO_ALIMENTO_ENTREGA=CONCATENATE($C216,"_","P_"),MNU_GRAMAJE_REQUERIDO_TIPOM,"")))</f>
        <v>100</v>
      </c>
      <c r="AB216" s="261">
        <f t="shared" si="158"/>
        <v>6239</v>
      </c>
      <c r="AC216" s="261">
        <v>0</v>
      </c>
      <c r="AD216" s="261">
        <f t="shared" si="159"/>
        <v>6239</v>
      </c>
      <c r="AE216" s="262">
        <f t="shared" si="160"/>
        <v>1110542</v>
      </c>
      <c r="AF216" s="262">
        <v>0</v>
      </c>
      <c r="AG216" s="262">
        <f t="shared" si="161"/>
        <v>1110542</v>
      </c>
      <c r="AH216" s="353">
        <f t="array" ref="AH216">MAX((IF(MNU_CODIGO_ALIMENTO_ENTREGA=CONCATENATE($C216,"_","P_"),MNU_GRAMAJE_REQUERIDO_TIPOH,"")))</f>
        <v>100</v>
      </c>
      <c r="AI216" s="259">
        <f t="shared" si="162"/>
        <v>6834</v>
      </c>
      <c r="AJ216" s="259">
        <v>0</v>
      </c>
      <c r="AK216" s="259">
        <f t="shared" si="163"/>
        <v>6834</v>
      </c>
      <c r="AL216" s="260">
        <f t="shared" si="164"/>
        <v>1216452</v>
      </c>
      <c r="AM216" s="260">
        <v>0</v>
      </c>
      <c r="AN216" s="260">
        <f t="shared" si="165"/>
        <v>1216452</v>
      </c>
      <c r="AO216" s="457">
        <f t="shared" si="166"/>
        <v>472952</v>
      </c>
      <c r="AP216" s="456">
        <f t="shared" si="167"/>
        <v>84185456</v>
      </c>
      <c r="AQ216" s="263" t="e">
        <f>#REF!+AH216+AA216+T216+M216</f>
        <v>#REF!</v>
      </c>
      <c r="AR216" s="263">
        <f t="shared" si="126"/>
        <v>84429746</v>
      </c>
      <c r="AS216" s="263" t="e">
        <f t="shared" si="127"/>
        <v>#REF!</v>
      </c>
      <c r="AT216" s="263">
        <f t="shared" si="128"/>
        <v>84760447</v>
      </c>
      <c r="AU216" s="263" t="e">
        <f t="shared" si="129"/>
        <v>#REF!</v>
      </c>
      <c r="AV216" s="263">
        <f t="shared" si="130"/>
        <v>100141605</v>
      </c>
      <c r="AW216" s="263" t="e">
        <f t="shared" si="131"/>
        <v>#REF!</v>
      </c>
      <c r="AX216" s="263" t="e">
        <f>AV216+#REF!+AH216+AA216+T216</f>
        <v>#REF!</v>
      </c>
      <c r="AY216" s="263" t="e">
        <f t="shared" si="132"/>
        <v>#REF!</v>
      </c>
      <c r="AZ216" s="263" t="e">
        <f t="shared" si="133"/>
        <v>#REF!</v>
      </c>
      <c r="BA216" s="263" t="e">
        <f t="shared" si="134"/>
        <v>#REF!</v>
      </c>
      <c r="BB216" s="263" t="e">
        <f t="shared" si="135"/>
        <v>#REF!</v>
      </c>
      <c r="BC216" s="263" t="e">
        <f t="shared" si="136"/>
        <v>#REF!</v>
      </c>
      <c r="BD216" s="263" t="e">
        <f t="shared" si="137"/>
        <v>#REF!</v>
      </c>
      <c r="BE216" s="263" t="e">
        <f>BC216+AV216+#REF!+AH216+AA216</f>
        <v>#REF!</v>
      </c>
      <c r="BF216" s="263" t="e">
        <f t="shared" si="138"/>
        <v>#REF!</v>
      </c>
      <c r="BG216" s="263" t="e">
        <f t="shared" si="139"/>
        <v>#REF!</v>
      </c>
    </row>
    <row r="217" spans="1:59" ht="15.75">
      <c r="A217" s="338">
        <v>16</v>
      </c>
      <c r="B217" s="338" t="s">
        <v>1</v>
      </c>
      <c r="C217" s="258">
        <v>46</v>
      </c>
      <c r="D217" s="328" t="s">
        <v>64</v>
      </c>
      <c r="E217" s="258" t="s">
        <v>9</v>
      </c>
      <c r="F217" s="431">
        <f t="array" ref="F217">MAX((IF(MNU_CODIGO_ALIMENTO_ENTREGA=CONCATENATE($C217,"_","P_"),MNU_GRAMAJE_REQUERIDO_TIPOA,"")))</f>
        <v>100</v>
      </c>
      <c r="G217" s="259">
        <f t="shared" si="140"/>
        <v>144210</v>
      </c>
      <c r="H217" s="259">
        <f t="shared" si="141"/>
        <v>26883</v>
      </c>
      <c r="I217" s="259">
        <f t="shared" si="142"/>
        <v>171093</v>
      </c>
      <c r="J217" s="260">
        <f t="shared" si="143"/>
        <v>60279780</v>
      </c>
      <c r="K217" s="260">
        <f t="shared" si="144"/>
        <v>11237094</v>
      </c>
      <c r="L217" s="260">
        <f t="shared" si="145"/>
        <v>71516874</v>
      </c>
      <c r="M217" s="432">
        <f t="array" ref="M217">MAX((IF(MNU_CODIGO_ALIMENTO_ENTREGA=CONCATENATE($C217,"_","P_"),MNU_GRAMAJE_REQUERIDO_TIPOB,"")))</f>
        <v>100</v>
      </c>
      <c r="N217" s="348">
        <f t="shared" si="146"/>
        <v>142842</v>
      </c>
      <c r="O217" s="348">
        <f t="shared" si="147"/>
        <v>39336</v>
      </c>
      <c r="P217" s="348">
        <f t="shared" si="148"/>
        <v>182178</v>
      </c>
      <c r="Q217" s="349">
        <f t="shared" si="149"/>
        <v>59707956</v>
      </c>
      <c r="R217" s="349">
        <f t="shared" si="150"/>
        <v>16442448</v>
      </c>
      <c r="S217" s="349">
        <f t="shared" si="151"/>
        <v>76150404</v>
      </c>
      <c r="T217" s="353">
        <f t="array" ref="T217">MAX((IF(MNU_CODIGO_ALIMENTO_ENTREGA=CONCATENATE($C217,"_","P_"),MNU_GRAMAJE_REQUERIDO_TIPOC,"")))</f>
        <v>100</v>
      </c>
      <c r="U217" s="259">
        <f t="shared" si="152"/>
        <v>142779</v>
      </c>
      <c r="V217" s="259">
        <f t="shared" si="153"/>
        <v>50832</v>
      </c>
      <c r="W217" s="259">
        <f t="shared" si="154"/>
        <v>193611</v>
      </c>
      <c r="X217" s="260">
        <f t="shared" si="155"/>
        <v>59681622</v>
      </c>
      <c r="Y217" s="260">
        <f t="shared" si="156"/>
        <v>21247776</v>
      </c>
      <c r="Z217" s="260">
        <f t="shared" si="157"/>
        <v>80929398</v>
      </c>
      <c r="AA217" s="258">
        <f t="array" ref="AA217">MAX((IF(MNU_CODIGO_ALIMENTO_ENTREGA=CONCATENATE($C217,"_","P_"),MNU_GRAMAJE_REQUERIDO_TIPOM,"")))</f>
        <v>100</v>
      </c>
      <c r="AB217" s="261">
        <f t="shared" si="158"/>
        <v>7707</v>
      </c>
      <c r="AC217" s="261">
        <v>0</v>
      </c>
      <c r="AD217" s="261">
        <f t="shared" si="159"/>
        <v>7707</v>
      </c>
      <c r="AE217" s="262">
        <f t="shared" si="160"/>
        <v>3221526</v>
      </c>
      <c r="AF217" s="262">
        <v>0</v>
      </c>
      <c r="AG217" s="262">
        <f t="shared" si="161"/>
        <v>3221526</v>
      </c>
      <c r="AH217" s="353">
        <f t="array" ref="AH217">MAX((IF(MNU_CODIGO_ALIMENTO_ENTREGA=CONCATENATE($C217,"_","P_"),MNU_GRAMAJE_REQUERIDO_TIPOH,"")))</f>
        <v>100</v>
      </c>
      <c r="AI217" s="259">
        <f t="shared" si="162"/>
        <v>8442</v>
      </c>
      <c r="AJ217" s="259">
        <v>0</v>
      </c>
      <c r="AK217" s="259">
        <f t="shared" si="163"/>
        <v>8442</v>
      </c>
      <c r="AL217" s="260">
        <f t="shared" si="164"/>
        <v>3528756</v>
      </c>
      <c r="AM217" s="260">
        <v>0</v>
      </c>
      <c r="AN217" s="260">
        <f t="shared" si="165"/>
        <v>3528756</v>
      </c>
      <c r="AO217" s="457">
        <f t="shared" si="166"/>
        <v>563031</v>
      </c>
      <c r="AP217" s="456">
        <f t="shared" si="167"/>
        <v>235346958</v>
      </c>
      <c r="AQ217" s="263" t="e">
        <f>#REF!+AH217+AA217+T217+M217</f>
        <v>#REF!</v>
      </c>
      <c r="AR217" s="263">
        <f t="shared" si="126"/>
        <v>235648728</v>
      </c>
      <c r="AS217" s="263" t="e">
        <f t="shared" si="127"/>
        <v>#REF!</v>
      </c>
      <c r="AT217" s="263">
        <f t="shared" si="128"/>
        <v>236040666</v>
      </c>
      <c r="AU217" s="263" t="e">
        <f t="shared" si="129"/>
        <v>#REF!</v>
      </c>
      <c r="AV217" s="263">
        <f t="shared" si="130"/>
        <v>273730890</v>
      </c>
      <c r="AW217" s="263" t="e">
        <f t="shared" si="131"/>
        <v>#REF!</v>
      </c>
      <c r="AX217" s="263" t="e">
        <f>AV217+#REF!+AH217+AA217+T217</f>
        <v>#REF!</v>
      </c>
      <c r="AY217" s="263" t="e">
        <f t="shared" si="132"/>
        <v>#REF!</v>
      </c>
      <c r="AZ217" s="263" t="e">
        <f t="shared" si="133"/>
        <v>#REF!</v>
      </c>
      <c r="BA217" s="263" t="e">
        <f t="shared" si="134"/>
        <v>#REF!</v>
      </c>
      <c r="BB217" s="263" t="e">
        <f t="shared" si="135"/>
        <v>#REF!</v>
      </c>
      <c r="BC217" s="263" t="e">
        <f t="shared" si="136"/>
        <v>#REF!</v>
      </c>
      <c r="BD217" s="263" t="e">
        <f t="shared" si="137"/>
        <v>#REF!</v>
      </c>
      <c r="BE217" s="263" t="e">
        <f>BC217+AV217+#REF!+AH217+AA217</f>
        <v>#REF!</v>
      </c>
      <c r="BF217" s="263" t="e">
        <f t="shared" si="138"/>
        <v>#REF!</v>
      </c>
      <c r="BG217" s="263" t="e">
        <f t="shared" si="139"/>
        <v>#REF!</v>
      </c>
    </row>
    <row r="218" spans="1:59" ht="15.75">
      <c r="A218" s="338">
        <v>16</v>
      </c>
      <c r="B218" s="338" t="s">
        <v>1</v>
      </c>
      <c r="C218" s="258">
        <v>58</v>
      </c>
      <c r="D218" s="328" t="s">
        <v>67</v>
      </c>
      <c r="E218" s="258" t="s">
        <v>9</v>
      </c>
      <c r="F218" s="431">
        <f t="array" ref="F218">MAX((IF(MNU_CODIGO_ALIMENTO_ENTREGA=CONCATENATE($C218,"_","P_"),MNU_GRAMAJE_REQUERIDO_TIPOA,"")))</f>
        <v>100</v>
      </c>
      <c r="G218" s="259">
        <f t="shared" si="140"/>
        <v>115368</v>
      </c>
      <c r="H218" s="259">
        <f t="shared" si="141"/>
        <v>25956</v>
      </c>
      <c r="I218" s="259">
        <f t="shared" si="142"/>
        <v>141324</v>
      </c>
      <c r="J218" s="260">
        <f t="shared" si="143"/>
        <v>18689616</v>
      </c>
      <c r="K218" s="260">
        <f t="shared" si="144"/>
        <v>4204872</v>
      </c>
      <c r="L218" s="260">
        <f t="shared" si="145"/>
        <v>22894488</v>
      </c>
      <c r="M218" s="432">
        <f t="array" ref="M218">MAX((IF(MNU_CODIGO_ALIMENTO_ENTREGA=CONCATENATE($C218,"_","P_"),MNU_GRAMAJE_REQUERIDO_TIPOB,"")))</f>
        <v>100</v>
      </c>
      <c r="N218" s="348">
        <f t="shared" si="146"/>
        <v>156446</v>
      </c>
      <c r="O218" s="348">
        <f t="shared" si="147"/>
        <v>37697</v>
      </c>
      <c r="P218" s="348">
        <f t="shared" si="148"/>
        <v>194143</v>
      </c>
      <c r="Q218" s="349">
        <f t="shared" si="149"/>
        <v>25344252</v>
      </c>
      <c r="R218" s="349">
        <f t="shared" si="150"/>
        <v>6106914</v>
      </c>
      <c r="S218" s="349">
        <f t="shared" si="151"/>
        <v>31451166</v>
      </c>
      <c r="T218" s="353">
        <f t="array" ref="T218">MAX((IF(MNU_CODIGO_ALIMENTO_ENTREGA=CONCATENATE($C218,"_","P_"),MNU_GRAMAJE_REQUERIDO_TIPOC,"")))</f>
        <v>100</v>
      </c>
      <c r="U218" s="259">
        <f t="shared" si="152"/>
        <v>156377</v>
      </c>
      <c r="V218" s="259">
        <f t="shared" si="153"/>
        <v>48714</v>
      </c>
      <c r="W218" s="259">
        <f t="shared" si="154"/>
        <v>205091</v>
      </c>
      <c r="X218" s="260">
        <f t="shared" si="155"/>
        <v>25333074</v>
      </c>
      <c r="Y218" s="260">
        <f t="shared" si="156"/>
        <v>7891668</v>
      </c>
      <c r="Z218" s="260">
        <f t="shared" si="157"/>
        <v>33224742</v>
      </c>
      <c r="AA218" s="258">
        <f t="array" ref="AA218">MAX((IF(MNU_CODIGO_ALIMENTO_ENTREGA=CONCATENATE($C218,"_","P_"),MNU_GRAMAJE_REQUERIDO_TIPOM,"")))</f>
        <v>100</v>
      </c>
      <c r="AB218" s="261">
        <f t="shared" si="158"/>
        <v>8441</v>
      </c>
      <c r="AC218" s="261">
        <v>0</v>
      </c>
      <c r="AD218" s="261">
        <f t="shared" si="159"/>
        <v>8441</v>
      </c>
      <c r="AE218" s="262">
        <f t="shared" si="160"/>
        <v>1367442</v>
      </c>
      <c r="AF218" s="262">
        <v>0</v>
      </c>
      <c r="AG218" s="262">
        <f t="shared" si="161"/>
        <v>1367442</v>
      </c>
      <c r="AH218" s="353">
        <f t="array" ref="AH218">MAX((IF(MNU_CODIGO_ALIMENTO_ENTREGA=CONCATENATE($C218,"_","P_"),MNU_GRAMAJE_REQUERIDO_TIPOH,"")))</f>
        <v>100</v>
      </c>
      <c r="AI218" s="259">
        <f t="shared" si="162"/>
        <v>9246</v>
      </c>
      <c r="AJ218" s="259">
        <v>0</v>
      </c>
      <c r="AK218" s="259">
        <f t="shared" si="163"/>
        <v>9246</v>
      </c>
      <c r="AL218" s="260">
        <f t="shared" si="164"/>
        <v>1497852</v>
      </c>
      <c r="AM218" s="260">
        <v>0</v>
      </c>
      <c r="AN218" s="260">
        <f t="shared" si="165"/>
        <v>1497852</v>
      </c>
      <c r="AO218" s="457">
        <f t="shared" si="166"/>
        <v>558245</v>
      </c>
      <c r="AP218" s="456">
        <f t="shared" si="167"/>
        <v>90435690</v>
      </c>
      <c r="AQ218" s="263" t="e">
        <f>#REF!+AH218+AA218+T218+M218</f>
        <v>#REF!</v>
      </c>
      <c r="AR218" s="263">
        <f t="shared" si="126"/>
        <v>90766200</v>
      </c>
      <c r="AS218" s="263" t="e">
        <f t="shared" si="127"/>
        <v>#REF!</v>
      </c>
      <c r="AT218" s="263">
        <f t="shared" si="128"/>
        <v>91183121</v>
      </c>
      <c r="AU218" s="263" t="e">
        <f t="shared" si="129"/>
        <v>#REF!</v>
      </c>
      <c r="AV218" s="263">
        <f t="shared" si="130"/>
        <v>105181703</v>
      </c>
      <c r="AW218" s="263" t="e">
        <f t="shared" si="131"/>
        <v>#REF!</v>
      </c>
      <c r="AX218" s="263" t="e">
        <f>AV218+#REF!+AH218+AA218+T218</f>
        <v>#REF!</v>
      </c>
      <c r="AY218" s="263" t="e">
        <f t="shared" si="132"/>
        <v>#REF!</v>
      </c>
      <c r="AZ218" s="263" t="e">
        <f t="shared" si="133"/>
        <v>#REF!</v>
      </c>
      <c r="BA218" s="263" t="e">
        <f t="shared" si="134"/>
        <v>#REF!</v>
      </c>
      <c r="BB218" s="263" t="e">
        <f t="shared" si="135"/>
        <v>#REF!</v>
      </c>
      <c r="BC218" s="263" t="e">
        <f t="shared" si="136"/>
        <v>#REF!</v>
      </c>
      <c r="BD218" s="263" t="e">
        <f t="shared" si="137"/>
        <v>#REF!</v>
      </c>
      <c r="BE218" s="263" t="e">
        <f>BC218+AV218+#REF!+AH218+AA218</f>
        <v>#REF!</v>
      </c>
      <c r="BF218" s="263" t="e">
        <f t="shared" si="138"/>
        <v>#REF!</v>
      </c>
      <c r="BG218" s="263" t="e">
        <f t="shared" si="139"/>
        <v>#REF!</v>
      </c>
    </row>
    <row r="219" spans="1:59" ht="15.75">
      <c r="A219" s="338">
        <v>16</v>
      </c>
      <c r="B219" s="338" t="s">
        <v>1</v>
      </c>
      <c r="C219" s="258">
        <v>59</v>
      </c>
      <c r="D219" s="328" t="s">
        <v>99</v>
      </c>
      <c r="E219" s="258" t="s">
        <v>9</v>
      </c>
      <c r="F219" s="431">
        <f t="array" ref="F219">MAX((IF(MNU_CODIGO_ALIMENTO_ENTREGA=CONCATENATE($C219,"_","P_"),MNU_GRAMAJE_REQUERIDO_TIPOA,"")))</f>
        <v>0</v>
      </c>
      <c r="G219" s="259">
        <f t="shared" si="140"/>
        <v>0</v>
      </c>
      <c r="H219" s="259">
        <f t="shared" si="141"/>
        <v>0</v>
      </c>
      <c r="I219" s="259">
        <f t="shared" si="142"/>
        <v>0</v>
      </c>
      <c r="J219" s="260">
        <f t="shared" si="143"/>
        <v>0</v>
      </c>
      <c r="K219" s="260">
        <f t="shared" si="144"/>
        <v>0</v>
      </c>
      <c r="L219" s="260">
        <f t="shared" si="145"/>
        <v>0</v>
      </c>
      <c r="M219" s="432">
        <f t="array" ref="M219">MAX((IF(MNU_CODIGO_ALIMENTO_ENTREGA=CONCATENATE($C219,"_","P_"),MNU_GRAMAJE_REQUERIDO_TIPOB,"")))</f>
        <v>100</v>
      </c>
      <c r="N219" s="348">
        <f t="shared" si="146"/>
        <v>54416</v>
      </c>
      <c r="O219" s="348">
        <f t="shared" si="147"/>
        <v>18029</v>
      </c>
      <c r="P219" s="348">
        <f t="shared" si="148"/>
        <v>72445</v>
      </c>
      <c r="Q219" s="349">
        <f t="shared" si="149"/>
        <v>16324800</v>
      </c>
      <c r="R219" s="349">
        <f t="shared" si="150"/>
        <v>5408700</v>
      </c>
      <c r="S219" s="349">
        <f t="shared" si="151"/>
        <v>21733500</v>
      </c>
      <c r="T219" s="353">
        <f t="array" ref="T219">MAX((IF(MNU_CODIGO_ALIMENTO_ENTREGA=CONCATENATE($C219,"_","P_"),MNU_GRAMAJE_REQUERIDO_TIPOC,"")))</f>
        <v>100</v>
      </c>
      <c r="U219" s="259">
        <f t="shared" si="152"/>
        <v>54392</v>
      </c>
      <c r="V219" s="259">
        <f t="shared" si="153"/>
        <v>23298</v>
      </c>
      <c r="W219" s="259">
        <f t="shared" si="154"/>
        <v>77690</v>
      </c>
      <c r="X219" s="260">
        <f t="shared" si="155"/>
        <v>16317600</v>
      </c>
      <c r="Y219" s="260">
        <f t="shared" si="156"/>
        <v>6989400</v>
      </c>
      <c r="Z219" s="260">
        <f t="shared" si="157"/>
        <v>23307000</v>
      </c>
      <c r="AA219" s="258">
        <f t="array" ref="AA219">MAX((IF(MNU_CODIGO_ALIMENTO_ENTREGA=CONCATENATE($C219,"_","P_"),MNU_GRAMAJE_REQUERIDO_TIPOM,"")))</f>
        <v>100</v>
      </c>
      <c r="AB219" s="261">
        <f t="shared" si="158"/>
        <v>2936</v>
      </c>
      <c r="AC219" s="261">
        <v>0</v>
      </c>
      <c r="AD219" s="261">
        <f t="shared" si="159"/>
        <v>2936</v>
      </c>
      <c r="AE219" s="262">
        <f t="shared" si="160"/>
        <v>880800</v>
      </c>
      <c r="AF219" s="262">
        <v>0</v>
      </c>
      <c r="AG219" s="262">
        <f t="shared" si="161"/>
        <v>880800</v>
      </c>
      <c r="AH219" s="353">
        <f t="array" ref="AH219">MAX((IF(MNU_CODIGO_ALIMENTO_ENTREGA=CONCATENATE($C219,"_","P_"),MNU_GRAMAJE_REQUERIDO_TIPOH,"")))</f>
        <v>100</v>
      </c>
      <c r="AI219" s="259">
        <f t="shared" si="162"/>
        <v>3216</v>
      </c>
      <c r="AJ219" s="259">
        <v>0</v>
      </c>
      <c r="AK219" s="259">
        <f t="shared" si="163"/>
        <v>3216</v>
      </c>
      <c r="AL219" s="260">
        <f t="shared" si="164"/>
        <v>964800</v>
      </c>
      <c r="AM219" s="260">
        <v>0</v>
      </c>
      <c r="AN219" s="260">
        <f t="shared" si="165"/>
        <v>964800</v>
      </c>
      <c r="AO219" s="457">
        <f t="shared" si="166"/>
        <v>156287</v>
      </c>
      <c r="AP219" s="456">
        <f t="shared" si="167"/>
        <v>46886100</v>
      </c>
      <c r="AQ219" s="263" t="e">
        <f>#REF!+AH219+AA219+T219+M219</f>
        <v>#REF!</v>
      </c>
      <c r="AR219" s="263">
        <f t="shared" si="126"/>
        <v>47001060</v>
      </c>
      <c r="AS219" s="263" t="e">
        <f t="shared" si="127"/>
        <v>#REF!</v>
      </c>
      <c r="AT219" s="263">
        <f t="shared" si="128"/>
        <v>47157347</v>
      </c>
      <c r="AU219" s="263" t="e">
        <f t="shared" si="129"/>
        <v>#REF!</v>
      </c>
      <c r="AV219" s="263">
        <f t="shared" si="130"/>
        <v>59555447</v>
      </c>
      <c r="AW219" s="263" t="e">
        <f t="shared" si="131"/>
        <v>#REF!</v>
      </c>
      <c r="AX219" s="263" t="e">
        <f>AV219+#REF!+AH219+AA219+T219</f>
        <v>#REF!</v>
      </c>
      <c r="AY219" s="263" t="e">
        <f t="shared" si="132"/>
        <v>#REF!</v>
      </c>
      <c r="AZ219" s="263" t="e">
        <f t="shared" si="133"/>
        <v>#REF!</v>
      </c>
      <c r="BA219" s="263" t="e">
        <f t="shared" si="134"/>
        <v>#REF!</v>
      </c>
      <c r="BB219" s="263" t="e">
        <f t="shared" si="135"/>
        <v>#REF!</v>
      </c>
      <c r="BC219" s="263" t="e">
        <f t="shared" si="136"/>
        <v>#REF!</v>
      </c>
      <c r="BD219" s="263" t="e">
        <f t="shared" si="137"/>
        <v>#REF!</v>
      </c>
      <c r="BE219" s="263" t="e">
        <f>BC219+AV219+#REF!+AH219+AA219</f>
        <v>#REF!</v>
      </c>
      <c r="BF219" s="263" t="e">
        <f t="shared" si="138"/>
        <v>#REF!</v>
      </c>
      <c r="BG219" s="263" t="e">
        <f t="shared" si="139"/>
        <v>#REF!</v>
      </c>
    </row>
    <row r="220" spans="1:59" ht="15.75">
      <c r="A220" s="338">
        <v>16</v>
      </c>
      <c r="B220" s="338" t="s">
        <v>1</v>
      </c>
      <c r="C220" s="258">
        <v>69</v>
      </c>
      <c r="D220" s="328" t="s">
        <v>70</v>
      </c>
      <c r="E220" s="258" t="s">
        <v>9</v>
      </c>
      <c r="F220" s="431">
        <f t="array" ref="F220">MAX((IF(MNU_CODIGO_ALIMENTO_ENTREGA=CONCATENATE($C220,"_","P_"),MNU_GRAMAJE_REQUERIDO_TIPOA,"")))</f>
        <v>100</v>
      </c>
      <c r="G220" s="259">
        <f t="shared" si="140"/>
        <v>144210</v>
      </c>
      <c r="H220" s="259">
        <f t="shared" si="141"/>
        <v>16686</v>
      </c>
      <c r="I220" s="259">
        <f t="shared" si="142"/>
        <v>160896</v>
      </c>
      <c r="J220" s="260">
        <f t="shared" si="143"/>
        <v>46147200</v>
      </c>
      <c r="K220" s="260">
        <f t="shared" si="144"/>
        <v>5339520</v>
      </c>
      <c r="L220" s="260">
        <f t="shared" si="145"/>
        <v>51486720</v>
      </c>
      <c r="M220" s="432">
        <f t="array" ref="M220">MAX((IF(MNU_CODIGO_ALIMENTO_ENTREGA=CONCATENATE($C220,"_","P_"),MNU_GRAMAJE_REQUERIDO_TIPOB,"")))</f>
        <v>100</v>
      </c>
      <c r="N220" s="348">
        <f t="shared" si="146"/>
        <v>108832</v>
      </c>
      <c r="O220" s="348">
        <f t="shared" si="147"/>
        <v>19668</v>
      </c>
      <c r="P220" s="348">
        <f t="shared" si="148"/>
        <v>128500</v>
      </c>
      <c r="Q220" s="349">
        <f t="shared" si="149"/>
        <v>34826240</v>
      </c>
      <c r="R220" s="349">
        <f t="shared" si="150"/>
        <v>6293760</v>
      </c>
      <c r="S220" s="349">
        <f t="shared" si="151"/>
        <v>41120000</v>
      </c>
      <c r="T220" s="353">
        <f t="array" ref="T220">MAX((IF(MNU_CODIGO_ALIMENTO_ENTREGA=CONCATENATE($C220,"_","P_"),MNU_GRAMAJE_REQUERIDO_TIPOC,"")))</f>
        <v>100</v>
      </c>
      <c r="U220" s="259">
        <f t="shared" si="152"/>
        <v>108784</v>
      </c>
      <c r="V220" s="259">
        <f t="shared" si="153"/>
        <v>25416</v>
      </c>
      <c r="W220" s="259">
        <f t="shared" si="154"/>
        <v>134200</v>
      </c>
      <c r="X220" s="260">
        <f t="shared" si="155"/>
        <v>34810880</v>
      </c>
      <c r="Y220" s="260">
        <f t="shared" si="156"/>
        <v>8133120</v>
      </c>
      <c r="Z220" s="260">
        <f t="shared" si="157"/>
        <v>42944000</v>
      </c>
      <c r="AA220" s="258">
        <f t="array" ref="AA220">MAX((IF(MNU_CODIGO_ALIMENTO_ENTREGA=CONCATENATE($C220,"_","P_"),MNU_GRAMAJE_REQUERIDO_TIPOM,"")))</f>
        <v>100</v>
      </c>
      <c r="AB220" s="261">
        <f t="shared" si="158"/>
        <v>5872</v>
      </c>
      <c r="AC220" s="261">
        <v>0</v>
      </c>
      <c r="AD220" s="261">
        <f t="shared" si="159"/>
        <v>5872</v>
      </c>
      <c r="AE220" s="262">
        <f t="shared" si="160"/>
        <v>1879040</v>
      </c>
      <c r="AF220" s="262">
        <v>0</v>
      </c>
      <c r="AG220" s="262">
        <f t="shared" si="161"/>
        <v>1879040</v>
      </c>
      <c r="AH220" s="353">
        <f t="array" ref="AH220">MAX((IF(MNU_CODIGO_ALIMENTO_ENTREGA=CONCATENATE($C220,"_","P_"),MNU_GRAMAJE_REQUERIDO_TIPOH,"")))</f>
        <v>100</v>
      </c>
      <c r="AI220" s="259">
        <f t="shared" si="162"/>
        <v>6432</v>
      </c>
      <c r="AJ220" s="259">
        <v>0</v>
      </c>
      <c r="AK220" s="259">
        <f t="shared" si="163"/>
        <v>6432</v>
      </c>
      <c r="AL220" s="260">
        <f t="shared" si="164"/>
        <v>2058240</v>
      </c>
      <c r="AM220" s="260">
        <v>0</v>
      </c>
      <c r="AN220" s="260">
        <f t="shared" si="165"/>
        <v>2058240</v>
      </c>
      <c r="AO220" s="457">
        <f t="shared" si="166"/>
        <v>435900</v>
      </c>
      <c r="AP220" s="456">
        <f t="shared" si="167"/>
        <v>139488000</v>
      </c>
      <c r="AQ220" s="263" t="e">
        <f>#REF!+AH220+AA220+T220+M220</f>
        <v>#REF!</v>
      </c>
      <c r="AR220" s="263">
        <f t="shared" si="126"/>
        <v>139717920</v>
      </c>
      <c r="AS220" s="263" t="e">
        <f t="shared" si="127"/>
        <v>#REF!</v>
      </c>
      <c r="AT220" s="263">
        <f t="shared" si="128"/>
        <v>139992924</v>
      </c>
      <c r="AU220" s="263" t="e">
        <f t="shared" si="129"/>
        <v>#REF!</v>
      </c>
      <c r="AV220" s="263">
        <f t="shared" si="130"/>
        <v>154419804</v>
      </c>
      <c r="AW220" s="263" t="e">
        <f t="shared" si="131"/>
        <v>#REF!</v>
      </c>
      <c r="AX220" s="263" t="e">
        <f>AV220+#REF!+AH220+AA220+T220</f>
        <v>#REF!</v>
      </c>
      <c r="AY220" s="263" t="e">
        <f t="shared" si="132"/>
        <v>#REF!</v>
      </c>
      <c r="AZ220" s="263" t="e">
        <f t="shared" si="133"/>
        <v>#REF!</v>
      </c>
      <c r="BA220" s="263" t="e">
        <f t="shared" si="134"/>
        <v>#REF!</v>
      </c>
      <c r="BB220" s="263" t="e">
        <f t="shared" si="135"/>
        <v>#REF!</v>
      </c>
      <c r="BC220" s="263" t="e">
        <f t="shared" si="136"/>
        <v>#REF!</v>
      </c>
      <c r="BD220" s="263" t="e">
        <f t="shared" si="137"/>
        <v>#REF!</v>
      </c>
      <c r="BE220" s="263" t="e">
        <f>BC220+AV220+#REF!+AH220+AA220</f>
        <v>#REF!</v>
      </c>
      <c r="BF220" s="263" t="e">
        <f t="shared" si="138"/>
        <v>#REF!</v>
      </c>
      <c r="BG220" s="263" t="e">
        <f t="shared" si="139"/>
        <v>#REF!</v>
      </c>
    </row>
    <row r="221" spans="1:59" ht="15.75">
      <c r="A221" s="338">
        <v>16</v>
      </c>
      <c r="B221" s="338" t="s">
        <v>1</v>
      </c>
      <c r="C221" s="258">
        <v>70</v>
      </c>
      <c r="D221" s="328" t="s">
        <v>71</v>
      </c>
      <c r="E221" s="258" t="s">
        <v>9</v>
      </c>
      <c r="F221" s="431">
        <f t="array" ref="F221">MAX((IF(MNU_CODIGO_ALIMENTO_ENTREGA=CONCATENATE($C221,"_","P_"),MNU_GRAMAJE_REQUERIDO_TIPOA,"")))</f>
        <v>0</v>
      </c>
      <c r="G221" s="259">
        <f t="shared" si="140"/>
        <v>0</v>
      </c>
      <c r="H221" s="259">
        <f t="shared" si="141"/>
        <v>0</v>
      </c>
      <c r="I221" s="259">
        <f t="shared" si="142"/>
        <v>0</v>
      </c>
      <c r="J221" s="260">
        <f t="shared" si="143"/>
        <v>0</v>
      </c>
      <c r="K221" s="260">
        <f t="shared" si="144"/>
        <v>0</v>
      </c>
      <c r="L221" s="260">
        <f t="shared" si="145"/>
        <v>0</v>
      </c>
      <c r="M221" s="432">
        <f t="array" ref="M221">MAX((IF(MNU_CODIGO_ALIMENTO_ENTREGA=CONCATENATE($C221,"_","P_"),MNU_GRAMAJE_REQUERIDO_TIPOB,"")))</f>
        <v>100</v>
      </c>
      <c r="N221" s="348">
        <f t="shared" si="146"/>
        <v>68020</v>
      </c>
      <c r="O221" s="348">
        <f t="shared" si="147"/>
        <v>13112</v>
      </c>
      <c r="P221" s="348">
        <f t="shared" si="148"/>
        <v>81132</v>
      </c>
      <c r="Q221" s="349">
        <f t="shared" si="149"/>
        <v>31017120</v>
      </c>
      <c r="R221" s="349">
        <f t="shared" si="150"/>
        <v>5979072</v>
      </c>
      <c r="S221" s="349">
        <f t="shared" si="151"/>
        <v>36996192</v>
      </c>
      <c r="T221" s="353">
        <f t="array" ref="T221">MAX((IF(MNU_CODIGO_ALIMENTO_ENTREGA=CONCATENATE($C221,"_","P_"),MNU_GRAMAJE_REQUERIDO_TIPOC,"")))</f>
        <v>100</v>
      </c>
      <c r="U221" s="259">
        <f t="shared" si="152"/>
        <v>67990</v>
      </c>
      <c r="V221" s="259">
        <f t="shared" si="153"/>
        <v>16944</v>
      </c>
      <c r="W221" s="259">
        <f t="shared" si="154"/>
        <v>84934</v>
      </c>
      <c r="X221" s="260">
        <f t="shared" si="155"/>
        <v>31003440</v>
      </c>
      <c r="Y221" s="260">
        <f t="shared" si="156"/>
        <v>7726464</v>
      </c>
      <c r="Z221" s="260">
        <f t="shared" si="157"/>
        <v>38729904</v>
      </c>
      <c r="AA221" s="258">
        <f t="array" ref="AA221">MAX((IF(MNU_CODIGO_ALIMENTO_ENTREGA=CONCATENATE($C221,"_","P_"),MNU_GRAMAJE_REQUERIDO_TIPOM,"")))</f>
        <v>100</v>
      </c>
      <c r="AB221" s="261">
        <f t="shared" si="158"/>
        <v>3670</v>
      </c>
      <c r="AC221" s="261">
        <v>0</v>
      </c>
      <c r="AD221" s="261">
        <f t="shared" si="159"/>
        <v>3670</v>
      </c>
      <c r="AE221" s="262">
        <f t="shared" si="160"/>
        <v>1673520</v>
      </c>
      <c r="AF221" s="262">
        <v>0</v>
      </c>
      <c r="AG221" s="262">
        <f t="shared" si="161"/>
        <v>1673520</v>
      </c>
      <c r="AH221" s="353">
        <f t="array" ref="AH221">MAX((IF(MNU_CODIGO_ALIMENTO_ENTREGA=CONCATENATE($C221,"_","P_"),MNU_GRAMAJE_REQUERIDO_TIPOH,"")))</f>
        <v>100</v>
      </c>
      <c r="AI221" s="259">
        <f t="shared" si="162"/>
        <v>4020</v>
      </c>
      <c r="AJ221" s="259">
        <v>0</v>
      </c>
      <c r="AK221" s="259">
        <f t="shared" si="163"/>
        <v>4020</v>
      </c>
      <c r="AL221" s="260">
        <f t="shared" si="164"/>
        <v>1833120</v>
      </c>
      <c r="AM221" s="260">
        <v>0</v>
      </c>
      <c r="AN221" s="260">
        <f t="shared" si="165"/>
        <v>1833120</v>
      </c>
      <c r="AO221" s="457">
        <f t="shared" si="166"/>
        <v>173756</v>
      </c>
      <c r="AP221" s="456">
        <f t="shared" si="167"/>
        <v>79232736</v>
      </c>
      <c r="AQ221" s="263" t="e">
        <f>#REF!+AH221+AA221+T221+M221</f>
        <v>#REF!</v>
      </c>
      <c r="AR221" s="263">
        <f t="shared" si="126"/>
        <v>79376436</v>
      </c>
      <c r="AS221" s="263" t="e">
        <f t="shared" si="127"/>
        <v>#REF!</v>
      </c>
      <c r="AT221" s="263">
        <f t="shared" si="128"/>
        <v>79550192</v>
      </c>
      <c r="AU221" s="263" t="e">
        <f t="shared" si="129"/>
        <v>#REF!</v>
      </c>
      <c r="AV221" s="263">
        <f t="shared" si="130"/>
        <v>93255728</v>
      </c>
      <c r="AW221" s="263" t="e">
        <f t="shared" si="131"/>
        <v>#REF!</v>
      </c>
      <c r="AX221" s="263" t="e">
        <f>AV221+#REF!+AH221+AA221+T221</f>
        <v>#REF!</v>
      </c>
      <c r="AY221" s="263" t="e">
        <f t="shared" si="132"/>
        <v>#REF!</v>
      </c>
      <c r="AZ221" s="263" t="e">
        <f t="shared" si="133"/>
        <v>#REF!</v>
      </c>
      <c r="BA221" s="263" t="e">
        <f t="shared" si="134"/>
        <v>#REF!</v>
      </c>
      <c r="BB221" s="263" t="e">
        <f t="shared" si="135"/>
        <v>#REF!</v>
      </c>
      <c r="BC221" s="263" t="e">
        <f t="shared" si="136"/>
        <v>#REF!</v>
      </c>
      <c r="BD221" s="263" t="e">
        <f t="shared" si="137"/>
        <v>#REF!</v>
      </c>
      <c r="BE221" s="263" t="e">
        <f>BC221+AV221+#REF!+AH221+AA221</f>
        <v>#REF!</v>
      </c>
      <c r="BF221" s="263" t="e">
        <f t="shared" si="138"/>
        <v>#REF!</v>
      </c>
      <c r="BG221" s="263" t="e">
        <f t="shared" si="139"/>
        <v>#REF!</v>
      </c>
    </row>
    <row r="222" spans="1:59" ht="15.75">
      <c r="A222" s="338">
        <v>17</v>
      </c>
      <c r="B222" s="338" t="s">
        <v>1</v>
      </c>
      <c r="C222" s="258">
        <v>7</v>
      </c>
      <c r="D222" s="328" t="s">
        <v>57</v>
      </c>
      <c r="E222" s="258" t="s">
        <v>9</v>
      </c>
      <c r="F222" s="431">
        <f t="array" ref="F222">MAX((IF(MNU_CODIGO_ALIMENTO_ENTREGA=CONCATENATE($C222,"_","P_"),MNU_GRAMAJE_REQUERIDO_TIPOA,"")))</f>
        <v>100</v>
      </c>
      <c r="G222" s="259">
        <f t="shared" si="140"/>
        <v>124410</v>
      </c>
      <c r="H222" s="259">
        <f t="shared" si="141"/>
        <v>37169</v>
      </c>
      <c r="I222" s="259">
        <f t="shared" si="142"/>
        <v>161579</v>
      </c>
      <c r="J222" s="260">
        <f t="shared" si="143"/>
        <v>13933920</v>
      </c>
      <c r="K222" s="260">
        <f t="shared" si="144"/>
        <v>4162928</v>
      </c>
      <c r="L222" s="260">
        <f t="shared" si="145"/>
        <v>18096848</v>
      </c>
      <c r="M222" s="432">
        <f t="array" ref="M222">MAX((IF(MNU_CODIGO_ALIMENTO_ENTREGA=CONCATENATE($C222,"_","P_"),MNU_GRAMAJE_REQUERIDO_TIPOB,"")))</f>
        <v>100</v>
      </c>
      <c r="N222" s="348">
        <f t="shared" si="146"/>
        <v>69804</v>
      </c>
      <c r="O222" s="348">
        <f t="shared" si="147"/>
        <v>18524</v>
      </c>
      <c r="P222" s="348">
        <f t="shared" si="148"/>
        <v>88328</v>
      </c>
      <c r="Q222" s="349">
        <f t="shared" si="149"/>
        <v>7818048</v>
      </c>
      <c r="R222" s="349">
        <f t="shared" si="150"/>
        <v>2074688</v>
      </c>
      <c r="S222" s="349">
        <f t="shared" si="151"/>
        <v>9892736</v>
      </c>
      <c r="T222" s="353">
        <f t="array" ref="T222">MAX((IF(MNU_CODIGO_ALIMENTO_ENTREGA=CONCATENATE($C222,"_","P_"),MNU_GRAMAJE_REQUERIDO_TIPOC,"")))</f>
        <v>100</v>
      </c>
      <c r="U222" s="259">
        <f t="shared" si="152"/>
        <v>71802</v>
      </c>
      <c r="V222" s="259">
        <f t="shared" si="153"/>
        <v>18161</v>
      </c>
      <c r="W222" s="259">
        <f t="shared" si="154"/>
        <v>89963</v>
      </c>
      <c r="X222" s="260">
        <f t="shared" si="155"/>
        <v>8041824</v>
      </c>
      <c r="Y222" s="260">
        <f t="shared" si="156"/>
        <v>2034032</v>
      </c>
      <c r="Z222" s="260">
        <f t="shared" si="157"/>
        <v>10075856</v>
      </c>
      <c r="AA222" s="258">
        <f t="array" ref="AA222">MAX((IF(MNU_CODIGO_ALIMENTO_ENTREGA=CONCATENATE($C222,"_","P_"),MNU_GRAMAJE_REQUERIDO_TIPOM,"")))</f>
        <v>100</v>
      </c>
      <c r="AB222" s="261">
        <f t="shared" si="158"/>
        <v>2565</v>
      </c>
      <c r="AC222" s="261">
        <v>0</v>
      </c>
      <c r="AD222" s="261">
        <f t="shared" si="159"/>
        <v>2565</v>
      </c>
      <c r="AE222" s="262">
        <f t="shared" si="160"/>
        <v>287280</v>
      </c>
      <c r="AF222" s="262">
        <v>0</v>
      </c>
      <c r="AG222" s="262">
        <f t="shared" si="161"/>
        <v>287280</v>
      </c>
      <c r="AH222" s="353">
        <f t="array" ref="AH222">MAX((IF(MNU_CODIGO_ALIMENTO_ENTREGA=CONCATENATE($C222,"_","P_"),MNU_GRAMAJE_REQUERIDO_TIPOH,"")))</f>
        <v>100</v>
      </c>
      <c r="AI222" s="259">
        <f t="shared" si="162"/>
        <v>2646</v>
      </c>
      <c r="AJ222" s="259">
        <v>0</v>
      </c>
      <c r="AK222" s="259">
        <f t="shared" si="163"/>
        <v>2646</v>
      </c>
      <c r="AL222" s="260">
        <f t="shared" si="164"/>
        <v>296352</v>
      </c>
      <c r="AM222" s="260">
        <v>0</v>
      </c>
      <c r="AN222" s="260">
        <f t="shared" si="165"/>
        <v>296352</v>
      </c>
      <c r="AO222" s="457">
        <f t="shared" si="166"/>
        <v>345081</v>
      </c>
      <c r="AP222" s="456">
        <f t="shared" si="167"/>
        <v>38649072</v>
      </c>
      <c r="AQ222" s="263" t="e">
        <f>#REF!+AH222+AA222+T222+M222</f>
        <v>#REF!</v>
      </c>
      <c r="AR222" s="263">
        <f t="shared" si="126"/>
        <v>38795889</v>
      </c>
      <c r="AS222" s="263" t="e">
        <f t="shared" si="127"/>
        <v>#REF!</v>
      </c>
      <c r="AT222" s="263">
        <f t="shared" si="128"/>
        <v>38979391</v>
      </c>
      <c r="AU222" s="263" t="e">
        <f t="shared" si="129"/>
        <v>#REF!</v>
      </c>
      <c r="AV222" s="263">
        <f t="shared" si="130"/>
        <v>43088111</v>
      </c>
      <c r="AW222" s="263" t="e">
        <f t="shared" si="131"/>
        <v>#REF!</v>
      </c>
      <c r="AX222" s="263" t="e">
        <f>AV222+#REF!+AH222+AA222+T222</f>
        <v>#REF!</v>
      </c>
      <c r="AY222" s="263" t="e">
        <f t="shared" si="132"/>
        <v>#REF!</v>
      </c>
      <c r="AZ222" s="263" t="e">
        <f t="shared" si="133"/>
        <v>#REF!</v>
      </c>
      <c r="BA222" s="263" t="e">
        <f t="shared" si="134"/>
        <v>#REF!</v>
      </c>
      <c r="BB222" s="263" t="e">
        <f t="shared" si="135"/>
        <v>#REF!</v>
      </c>
      <c r="BC222" s="263" t="e">
        <f t="shared" si="136"/>
        <v>#REF!</v>
      </c>
      <c r="BD222" s="263" t="e">
        <f t="shared" si="137"/>
        <v>#REF!</v>
      </c>
      <c r="BE222" s="263" t="e">
        <f>BC222+AV222+#REF!+AH222+AA222</f>
        <v>#REF!</v>
      </c>
      <c r="BF222" s="263" t="e">
        <f t="shared" si="138"/>
        <v>#REF!</v>
      </c>
      <c r="BG222" s="263" t="e">
        <f t="shared" si="139"/>
        <v>#REF!</v>
      </c>
    </row>
    <row r="223" spans="1:59" ht="15.75">
      <c r="A223" s="338">
        <v>17</v>
      </c>
      <c r="B223" s="338" t="s">
        <v>1</v>
      </c>
      <c r="C223" s="258">
        <v>8</v>
      </c>
      <c r="D223" s="328" t="s">
        <v>55</v>
      </c>
      <c r="E223" s="258" t="s">
        <v>9</v>
      </c>
      <c r="F223" s="431">
        <f t="array" ref="F223">MAX((IF(MNU_CODIGO_ALIMENTO_ENTREGA=CONCATENATE($C223,"_","P_"),MNU_GRAMAJE_REQUERIDO_TIPOA,"")))</f>
        <v>100</v>
      </c>
      <c r="G223" s="259">
        <f t="shared" si="140"/>
        <v>56550</v>
      </c>
      <c r="H223" s="259">
        <f t="shared" si="141"/>
        <v>13189</v>
      </c>
      <c r="I223" s="259">
        <f t="shared" si="142"/>
        <v>69739</v>
      </c>
      <c r="J223" s="260">
        <f t="shared" si="143"/>
        <v>7973550</v>
      </c>
      <c r="K223" s="260">
        <f t="shared" si="144"/>
        <v>1859649</v>
      </c>
      <c r="L223" s="260">
        <f t="shared" si="145"/>
        <v>9833199</v>
      </c>
      <c r="M223" s="432">
        <f t="array" ref="M223">MAX((IF(MNU_CODIGO_ALIMENTO_ENTREGA=CONCATENATE($C223,"_","P_"),MNU_GRAMAJE_REQUERIDO_TIPOB,"")))</f>
        <v>100</v>
      </c>
      <c r="N223" s="348">
        <f t="shared" si="146"/>
        <v>62048</v>
      </c>
      <c r="O223" s="348">
        <f t="shared" si="147"/>
        <v>18524</v>
      </c>
      <c r="P223" s="348">
        <f t="shared" si="148"/>
        <v>80572</v>
      </c>
      <c r="Q223" s="349">
        <f t="shared" si="149"/>
        <v>8748768</v>
      </c>
      <c r="R223" s="349">
        <f t="shared" si="150"/>
        <v>2611884</v>
      </c>
      <c r="S223" s="349">
        <f t="shared" si="151"/>
        <v>11360652</v>
      </c>
      <c r="T223" s="353">
        <f t="array" ref="T223">MAX((IF(MNU_CODIGO_ALIMENTO_ENTREGA=CONCATENATE($C223,"_","P_"),MNU_GRAMAJE_REQUERIDO_TIPOC,"")))</f>
        <v>100</v>
      </c>
      <c r="U223" s="259">
        <f t="shared" si="152"/>
        <v>63824</v>
      </c>
      <c r="V223" s="259">
        <f t="shared" si="153"/>
        <v>18161</v>
      </c>
      <c r="W223" s="259">
        <f t="shared" si="154"/>
        <v>81985</v>
      </c>
      <c r="X223" s="260">
        <f t="shared" si="155"/>
        <v>8999184</v>
      </c>
      <c r="Y223" s="260">
        <f t="shared" si="156"/>
        <v>2560701</v>
      </c>
      <c r="Z223" s="260">
        <f t="shared" si="157"/>
        <v>11559885</v>
      </c>
      <c r="AA223" s="258">
        <f t="array" ref="AA223">MAX((IF(MNU_CODIGO_ALIMENTO_ENTREGA=CONCATENATE($C223,"_","P_"),MNU_GRAMAJE_REQUERIDO_TIPOM,"")))</f>
        <v>100</v>
      </c>
      <c r="AB223" s="261">
        <f t="shared" si="158"/>
        <v>2280</v>
      </c>
      <c r="AC223" s="261">
        <v>0</v>
      </c>
      <c r="AD223" s="261">
        <f t="shared" si="159"/>
        <v>2280</v>
      </c>
      <c r="AE223" s="262">
        <f t="shared" si="160"/>
        <v>321480</v>
      </c>
      <c r="AF223" s="262">
        <v>0</v>
      </c>
      <c r="AG223" s="262">
        <f t="shared" si="161"/>
        <v>321480</v>
      </c>
      <c r="AH223" s="353">
        <f t="array" ref="AH223">MAX((IF(MNU_CODIGO_ALIMENTO_ENTREGA=CONCATENATE($C223,"_","P_"),MNU_GRAMAJE_REQUERIDO_TIPOH,"")))</f>
        <v>100</v>
      </c>
      <c r="AI223" s="259">
        <f t="shared" si="162"/>
        <v>2352</v>
      </c>
      <c r="AJ223" s="259">
        <v>0</v>
      </c>
      <c r="AK223" s="259">
        <f t="shared" si="163"/>
        <v>2352</v>
      </c>
      <c r="AL223" s="260">
        <f t="shared" si="164"/>
        <v>331632</v>
      </c>
      <c r="AM223" s="260">
        <v>0</v>
      </c>
      <c r="AN223" s="260">
        <f t="shared" si="165"/>
        <v>331632</v>
      </c>
      <c r="AO223" s="457">
        <f t="shared" si="166"/>
        <v>236928</v>
      </c>
      <c r="AP223" s="456">
        <f t="shared" si="167"/>
        <v>33406848</v>
      </c>
      <c r="AQ223" s="263" t="e">
        <f>#REF!+AH223+AA223+T223+M223</f>
        <v>#REF!</v>
      </c>
      <c r="AR223" s="263">
        <f t="shared" si="126"/>
        <v>33537352</v>
      </c>
      <c r="AS223" s="263" t="e">
        <f t="shared" si="127"/>
        <v>#REF!</v>
      </c>
      <c r="AT223" s="263">
        <f t="shared" si="128"/>
        <v>33704541</v>
      </c>
      <c r="AU223" s="263" t="e">
        <f t="shared" si="129"/>
        <v>#REF!</v>
      </c>
      <c r="AV223" s="263">
        <f t="shared" si="130"/>
        <v>38877126</v>
      </c>
      <c r="AW223" s="263" t="e">
        <f t="shared" si="131"/>
        <v>#REF!</v>
      </c>
      <c r="AX223" s="263" t="e">
        <f>AV223+#REF!+AH223+AA223+T223</f>
        <v>#REF!</v>
      </c>
      <c r="AY223" s="263" t="e">
        <f t="shared" si="132"/>
        <v>#REF!</v>
      </c>
      <c r="AZ223" s="263" t="e">
        <f t="shared" si="133"/>
        <v>#REF!</v>
      </c>
      <c r="BA223" s="263" t="e">
        <f t="shared" si="134"/>
        <v>#REF!</v>
      </c>
      <c r="BB223" s="263" t="e">
        <f t="shared" si="135"/>
        <v>#REF!</v>
      </c>
      <c r="BC223" s="263" t="e">
        <f t="shared" si="136"/>
        <v>#REF!</v>
      </c>
      <c r="BD223" s="263" t="e">
        <f t="shared" si="137"/>
        <v>#REF!</v>
      </c>
      <c r="BE223" s="263" t="e">
        <f>BC223+AV223+#REF!+AH223+AA223</f>
        <v>#REF!</v>
      </c>
      <c r="BF223" s="263" t="e">
        <f t="shared" si="138"/>
        <v>#REF!</v>
      </c>
      <c r="BG223" s="263" t="e">
        <f t="shared" si="139"/>
        <v>#REF!</v>
      </c>
    </row>
    <row r="224" spans="1:59" ht="15.75">
      <c r="A224" s="338">
        <v>17</v>
      </c>
      <c r="B224" s="338" t="s">
        <v>1</v>
      </c>
      <c r="C224" s="258">
        <v>17</v>
      </c>
      <c r="D224" s="328" t="s">
        <v>53</v>
      </c>
      <c r="E224" s="258" t="s">
        <v>9</v>
      </c>
      <c r="F224" s="431">
        <f t="array" ref="F224">MAX((IF(MNU_CODIGO_ALIMENTO_ENTREGA=CONCATENATE($C224,"_","P_"),MNU_GRAMAJE_REQUERIDO_TIPOA,"")))</f>
        <v>0</v>
      </c>
      <c r="G224" s="259">
        <f t="shared" si="140"/>
        <v>0</v>
      </c>
      <c r="H224" s="259">
        <f t="shared" si="141"/>
        <v>0</v>
      </c>
      <c r="I224" s="259">
        <f t="shared" si="142"/>
        <v>0</v>
      </c>
      <c r="J224" s="260">
        <f t="shared" si="143"/>
        <v>0</v>
      </c>
      <c r="K224" s="260">
        <f t="shared" si="144"/>
        <v>0</v>
      </c>
      <c r="L224" s="260">
        <f t="shared" si="145"/>
        <v>0</v>
      </c>
      <c r="M224" s="432">
        <f t="array" ref="M224">MAX((IF(MNU_CODIGO_ALIMENTO_ENTREGA=CONCATENATE($C224,"_","P_"),MNU_GRAMAJE_REQUERIDO_TIPOB,"")))</f>
        <v>100</v>
      </c>
      <c r="N224" s="348">
        <f t="shared" si="146"/>
        <v>162876</v>
      </c>
      <c r="O224" s="348">
        <f t="shared" si="147"/>
        <v>38732</v>
      </c>
      <c r="P224" s="348">
        <f t="shared" si="148"/>
        <v>201608</v>
      </c>
      <c r="Q224" s="349">
        <f t="shared" si="149"/>
        <v>38601612</v>
      </c>
      <c r="R224" s="349">
        <f t="shared" si="150"/>
        <v>9179484</v>
      </c>
      <c r="S224" s="349">
        <f t="shared" si="151"/>
        <v>47781096</v>
      </c>
      <c r="T224" s="353">
        <f t="array" ref="T224">MAX((IF(MNU_CODIGO_ALIMENTO_ENTREGA=CONCATENATE($C224,"_","P_"),MNU_GRAMAJE_REQUERIDO_TIPOC,"")))</f>
        <v>100</v>
      </c>
      <c r="U224" s="259">
        <f t="shared" si="152"/>
        <v>167538</v>
      </c>
      <c r="V224" s="259">
        <f t="shared" si="153"/>
        <v>37973</v>
      </c>
      <c r="W224" s="259">
        <f t="shared" si="154"/>
        <v>205511</v>
      </c>
      <c r="X224" s="260">
        <f t="shared" si="155"/>
        <v>39706506</v>
      </c>
      <c r="Y224" s="260">
        <f t="shared" si="156"/>
        <v>8999601</v>
      </c>
      <c r="Z224" s="260">
        <f t="shared" si="157"/>
        <v>48706107</v>
      </c>
      <c r="AA224" s="258">
        <f t="array" ref="AA224">MAX((IF(MNU_CODIGO_ALIMENTO_ENTREGA=CONCATENATE($C224,"_","P_"),MNU_GRAMAJE_REQUERIDO_TIPOM,"")))</f>
        <v>100</v>
      </c>
      <c r="AB224" s="261">
        <f t="shared" si="158"/>
        <v>5985</v>
      </c>
      <c r="AC224" s="261">
        <v>0</v>
      </c>
      <c r="AD224" s="261">
        <f t="shared" si="159"/>
        <v>5985</v>
      </c>
      <c r="AE224" s="262">
        <f t="shared" si="160"/>
        <v>1418445</v>
      </c>
      <c r="AF224" s="262">
        <v>0</v>
      </c>
      <c r="AG224" s="262">
        <f t="shared" si="161"/>
        <v>1418445</v>
      </c>
      <c r="AH224" s="353">
        <f t="array" ref="AH224">MAX((IF(MNU_CODIGO_ALIMENTO_ENTREGA=CONCATENATE($C224,"_","P_"),MNU_GRAMAJE_REQUERIDO_TIPOH,"")))</f>
        <v>100</v>
      </c>
      <c r="AI224" s="259">
        <f t="shared" si="162"/>
        <v>6174</v>
      </c>
      <c r="AJ224" s="259">
        <v>0</v>
      </c>
      <c r="AK224" s="259">
        <f t="shared" si="163"/>
        <v>6174</v>
      </c>
      <c r="AL224" s="260">
        <f t="shared" si="164"/>
        <v>1463238</v>
      </c>
      <c r="AM224" s="260">
        <v>0</v>
      </c>
      <c r="AN224" s="260">
        <f t="shared" si="165"/>
        <v>1463238</v>
      </c>
      <c r="AO224" s="457">
        <f t="shared" si="166"/>
        <v>419278</v>
      </c>
      <c r="AP224" s="456">
        <f t="shared" si="167"/>
        <v>99368886</v>
      </c>
      <c r="AQ224" s="263" t="e">
        <f>#REF!+AH224+AA224+T224+M224</f>
        <v>#REF!</v>
      </c>
      <c r="AR224" s="263">
        <f t="shared" si="126"/>
        <v>99711459</v>
      </c>
      <c r="AS224" s="263" t="e">
        <f t="shared" si="127"/>
        <v>#REF!</v>
      </c>
      <c r="AT224" s="263">
        <f t="shared" si="128"/>
        <v>100130737</v>
      </c>
      <c r="AU224" s="263" t="e">
        <f t="shared" si="129"/>
        <v>#REF!</v>
      </c>
      <c r="AV224" s="263">
        <f t="shared" si="130"/>
        <v>118309822</v>
      </c>
      <c r="AW224" s="263" t="e">
        <f t="shared" si="131"/>
        <v>#REF!</v>
      </c>
      <c r="AX224" s="263" t="e">
        <f>AV224+#REF!+AH224+AA224+T224</f>
        <v>#REF!</v>
      </c>
      <c r="AY224" s="263" t="e">
        <f t="shared" si="132"/>
        <v>#REF!</v>
      </c>
      <c r="AZ224" s="263" t="e">
        <f t="shared" si="133"/>
        <v>#REF!</v>
      </c>
      <c r="BA224" s="263" t="e">
        <f t="shared" si="134"/>
        <v>#REF!</v>
      </c>
      <c r="BB224" s="263" t="e">
        <f t="shared" si="135"/>
        <v>#REF!</v>
      </c>
      <c r="BC224" s="263" t="e">
        <f t="shared" si="136"/>
        <v>#REF!</v>
      </c>
      <c r="BD224" s="263" t="e">
        <f t="shared" si="137"/>
        <v>#REF!</v>
      </c>
      <c r="BE224" s="263" t="e">
        <f>BC224+AV224+#REF!+AH224+AA224</f>
        <v>#REF!</v>
      </c>
      <c r="BF224" s="263" t="e">
        <f t="shared" si="138"/>
        <v>#REF!</v>
      </c>
      <c r="BG224" s="263" t="e">
        <f t="shared" si="139"/>
        <v>#REF!</v>
      </c>
    </row>
    <row r="225" spans="1:59" ht="15.75">
      <c r="A225" s="338">
        <v>17</v>
      </c>
      <c r="B225" s="338" t="s">
        <v>1</v>
      </c>
      <c r="C225" s="258">
        <v>22</v>
      </c>
      <c r="D225" s="328" t="s">
        <v>51</v>
      </c>
      <c r="E225" s="258" t="s">
        <v>9</v>
      </c>
      <c r="F225" s="431">
        <f t="array" ref="F225">MAX((IF(MNU_CODIGO_ALIMENTO_ENTREGA=CONCATENATE($C225,"_","P_"),MNU_GRAMAJE_REQUERIDO_TIPOA,"")))</f>
        <v>0</v>
      </c>
      <c r="G225" s="259">
        <f t="shared" si="140"/>
        <v>0</v>
      </c>
      <c r="H225" s="259">
        <f t="shared" si="141"/>
        <v>0</v>
      </c>
      <c r="I225" s="259">
        <f t="shared" si="142"/>
        <v>0</v>
      </c>
      <c r="J225" s="260">
        <f t="shared" si="143"/>
        <v>0</v>
      </c>
      <c r="K225" s="260">
        <f t="shared" si="144"/>
        <v>0</v>
      </c>
      <c r="L225" s="260">
        <f t="shared" si="145"/>
        <v>0</v>
      </c>
      <c r="M225" s="432">
        <f t="array" ref="M225">MAX((IF(MNU_CODIGO_ALIMENTO_ENTREGA=CONCATENATE($C225,"_","P_"),MNU_GRAMAJE_REQUERIDO_TIPOB,"")))</f>
        <v>100</v>
      </c>
      <c r="N225" s="348">
        <f t="shared" si="146"/>
        <v>155120</v>
      </c>
      <c r="O225" s="348">
        <f t="shared" si="147"/>
        <v>38732</v>
      </c>
      <c r="P225" s="348">
        <f t="shared" si="148"/>
        <v>193852</v>
      </c>
      <c r="Q225" s="349">
        <f t="shared" si="149"/>
        <v>85471120</v>
      </c>
      <c r="R225" s="349">
        <f t="shared" si="150"/>
        <v>21341332</v>
      </c>
      <c r="S225" s="349">
        <f t="shared" si="151"/>
        <v>106812452</v>
      </c>
      <c r="T225" s="353">
        <f t="array" ref="T225">MAX((IF(MNU_CODIGO_ALIMENTO_ENTREGA=CONCATENATE($C225,"_","P_"),MNU_GRAMAJE_REQUERIDO_TIPOC,"")))</f>
        <v>100</v>
      </c>
      <c r="U225" s="259">
        <f t="shared" si="152"/>
        <v>159560</v>
      </c>
      <c r="V225" s="259">
        <f t="shared" si="153"/>
        <v>37973</v>
      </c>
      <c r="W225" s="259">
        <f t="shared" si="154"/>
        <v>197533</v>
      </c>
      <c r="X225" s="260">
        <f t="shared" si="155"/>
        <v>87917560</v>
      </c>
      <c r="Y225" s="260">
        <f t="shared" si="156"/>
        <v>20923123</v>
      </c>
      <c r="Z225" s="260">
        <f t="shared" si="157"/>
        <v>108840683</v>
      </c>
      <c r="AA225" s="258">
        <f t="array" ref="AA225">MAX((IF(MNU_CODIGO_ALIMENTO_ENTREGA=CONCATENATE($C225,"_","P_"),MNU_GRAMAJE_REQUERIDO_TIPOM,"")))</f>
        <v>100</v>
      </c>
      <c r="AB225" s="261">
        <f t="shared" si="158"/>
        <v>5700</v>
      </c>
      <c r="AC225" s="261">
        <v>0</v>
      </c>
      <c r="AD225" s="261">
        <f t="shared" si="159"/>
        <v>5700</v>
      </c>
      <c r="AE225" s="262">
        <f t="shared" si="160"/>
        <v>3140700</v>
      </c>
      <c r="AF225" s="262">
        <v>0</v>
      </c>
      <c r="AG225" s="262">
        <f t="shared" si="161"/>
        <v>3140700</v>
      </c>
      <c r="AH225" s="353">
        <f t="array" ref="AH225">MAX((IF(MNU_CODIGO_ALIMENTO_ENTREGA=CONCATENATE($C225,"_","P_"),MNU_GRAMAJE_REQUERIDO_TIPOH,"")))</f>
        <v>100</v>
      </c>
      <c r="AI225" s="259">
        <f t="shared" si="162"/>
        <v>5880</v>
      </c>
      <c r="AJ225" s="259">
        <v>0</v>
      </c>
      <c r="AK225" s="259">
        <f t="shared" si="163"/>
        <v>5880</v>
      </c>
      <c r="AL225" s="260">
        <f t="shared" si="164"/>
        <v>3239880</v>
      </c>
      <c r="AM225" s="260">
        <v>0</v>
      </c>
      <c r="AN225" s="260">
        <f t="shared" si="165"/>
        <v>3239880</v>
      </c>
      <c r="AO225" s="457">
        <f t="shared" si="166"/>
        <v>402965</v>
      </c>
      <c r="AP225" s="456">
        <f t="shared" si="167"/>
        <v>222033715</v>
      </c>
      <c r="AQ225" s="263" t="e">
        <f>#REF!+AH225+AA225+T225+M225</f>
        <v>#REF!</v>
      </c>
      <c r="AR225" s="263">
        <f t="shared" si="126"/>
        <v>222359975</v>
      </c>
      <c r="AS225" s="263" t="e">
        <f t="shared" si="127"/>
        <v>#REF!</v>
      </c>
      <c r="AT225" s="263">
        <f t="shared" si="128"/>
        <v>222762940</v>
      </c>
      <c r="AU225" s="263" t="e">
        <f t="shared" si="129"/>
        <v>#REF!</v>
      </c>
      <c r="AV225" s="263">
        <f t="shared" si="130"/>
        <v>265027395</v>
      </c>
      <c r="AW225" s="263" t="e">
        <f t="shared" si="131"/>
        <v>#REF!</v>
      </c>
      <c r="AX225" s="263" t="e">
        <f>AV225+#REF!+AH225+AA225+T225</f>
        <v>#REF!</v>
      </c>
      <c r="AY225" s="263" t="e">
        <f t="shared" si="132"/>
        <v>#REF!</v>
      </c>
      <c r="AZ225" s="263" t="e">
        <f t="shared" si="133"/>
        <v>#REF!</v>
      </c>
      <c r="BA225" s="263" t="e">
        <f t="shared" si="134"/>
        <v>#REF!</v>
      </c>
      <c r="BB225" s="263" t="e">
        <f t="shared" si="135"/>
        <v>#REF!</v>
      </c>
      <c r="BC225" s="263" t="e">
        <f t="shared" si="136"/>
        <v>#REF!</v>
      </c>
      <c r="BD225" s="263" t="e">
        <f t="shared" si="137"/>
        <v>#REF!</v>
      </c>
      <c r="BE225" s="263" t="e">
        <f>BC225+AV225+#REF!+AH225+AA225</f>
        <v>#REF!</v>
      </c>
      <c r="BF225" s="263" t="e">
        <f t="shared" si="138"/>
        <v>#REF!</v>
      </c>
      <c r="BG225" s="263" t="e">
        <f t="shared" si="139"/>
        <v>#REF!</v>
      </c>
    </row>
    <row r="226" spans="1:59" ht="15.75">
      <c r="A226" s="338">
        <v>17</v>
      </c>
      <c r="B226" s="338" t="s">
        <v>1</v>
      </c>
      <c r="C226" s="258">
        <v>33</v>
      </c>
      <c r="D226" s="328" t="s">
        <v>59</v>
      </c>
      <c r="E226" s="258" t="s">
        <v>48</v>
      </c>
      <c r="F226" s="431">
        <v>1</v>
      </c>
      <c r="G226" s="259">
        <f t="shared" si="140"/>
        <v>152685</v>
      </c>
      <c r="H226" s="259">
        <f t="shared" si="141"/>
        <v>34771</v>
      </c>
      <c r="I226" s="259">
        <f t="shared" si="142"/>
        <v>187456</v>
      </c>
      <c r="J226" s="260">
        <f t="shared" si="143"/>
        <v>43209855</v>
      </c>
      <c r="K226" s="260">
        <f t="shared" si="144"/>
        <v>9840193</v>
      </c>
      <c r="L226" s="260">
        <f t="shared" si="145"/>
        <v>53050048</v>
      </c>
      <c r="M226" s="432">
        <v>1</v>
      </c>
      <c r="N226" s="348">
        <f t="shared" si="146"/>
        <v>139608</v>
      </c>
      <c r="O226" s="348">
        <f t="shared" si="147"/>
        <v>38732</v>
      </c>
      <c r="P226" s="348">
        <f t="shared" si="148"/>
        <v>178340</v>
      </c>
      <c r="Q226" s="349">
        <f t="shared" si="149"/>
        <v>39509064</v>
      </c>
      <c r="R226" s="349">
        <f t="shared" si="150"/>
        <v>10961156</v>
      </c>
      <c r="S226" s="349">
        <f t="shared" si="151"/>
        <v>50470220</v>
      </c>
      <c r="T226" s="431">
        <v>1</v>
      </c>
      <c r="U226" s="259">
        <f t="shared" si="152"/>
        <v>143604</v>
      </c>
      <c r="V226" s="259">
        <f t="shared" si="153"/>
        <v>37973</v>
      </c>
      <c r="W226" s="259">
        <f t="shared" si="154"/>
        <v>181577</v>
      </c>
      <c r="X226" s="260">
        <f t="shared" si="155"/>
        <v>40639932</v>
      </c>
      <c r="Y226" s="260">
        <f t="shared" si="156"/>
        <v>10746359</v>
      </c>
      <c r="Z226" s="260">
        <f t="shared" si="157"/>
        <v>51386291</v>
      </c>
      <c r="AA226" s="258">
        <v>1</v>
      </c>
      <c r="AB226" s="261">
        <f t="shared" si="158"/>
        <v>5130</v>
      </c>
      <c r="AC226" s="261">
        <v>0</v>
      </c>
      <c r="AD226" s="261">
        <f t="shared" si="159"/>
        <v>5130</v>
      </c>
      <c r="AE226" s="262">
        <f t="shared" si="160"/>
        <v>1451790</v>
      </c>
      <c r="AF226" s="262">
        <v>0</v>
      </c>
      <c r="AG226" s="262">
        <f t="shared" si="161"/>
        <v>1451790</v>
      </c>
      <c r="AH226" s="353">
        <v>1</v>
      </c>
      <c r="AI226" s="259">
        <f t="shared" si="162"/>
        <v>5292</v>
      </c>
      <c r="AJ226" s="259">
        <v>0</v>
      </c>
      <c r="AK226" s="259">
        <f t="shared" si="163"/>
        <v>5292</v>
      </c>
      <c r="AL226" s="260">
        <f t="shared" si="164"/>
        <v>1497636</v>
      </c>
      <c r="AM226" s="260">
        <v>0</v>
      </c>
      <c r="AN226" s="260">
        <f t="shared" si="165"/>
        <v>1497636</v>
      </c>
      <c r="AO226" s="457">
        <f t="shared" si="166"/>
        <v>557795</v>
      </c>
      <c r="AP226" s="456">
        <f t="shared" si="167"/>
        <v>157855985</v>
      </c>
      <c r="AQ226" s="263" t="e">
        <f>#REF!+AH226+AA226+T226+M226</f>
        <v>#REF!</v>
      </c>
      <c r="AR226" s="263">
        <f t="shared" si="126"/>
        <v>158149619</v>
      </c>
      <c r="AS226" s="263" t="e">
        <f t="shared" si="127"/>
        <v>#REF!</v>
      </c>
      <c r="AT226" s="263">
        <f t="shared" si="128"/>
        <v>158519958</v>
      </c>
      <c r="AU226" s="263" t="e">
        <f t="shared" si="129"/>
        <v>#REF!</v>
      </c>
      <c r="AV226" s="263">
        <f t="shared" si="130"/>
        <v>180227473</v>
      </c>
      <c r="AW226" s="263" t="e">
        <f t="shared" si="131"/>
        <v>#REF!</v>
      </c>
      <c r="AX226" s="263" t="e">
        <f>AV226+#REF!+AH226+AA226+T226</f>
        <v>#REF!</v>
      </c>
      <c r="AY226" s="263" t="e">
        <f t="shared" si="132"/>
        <v>#REF!</v>
      </c>
      <c r="AZ226" s="263" t="e">
        <f t="shared" si="133"/>
        <v>#REF!</v>
      </c>
      <c r="BA226" s="263" t="e">
        <f t="shared" si="134"/>
        <v>#REF!</v>
      </c>
      <c r="BB226" s="263" t="e">
        <f t="shared" si="135"/>
        <v>#REF!</v>
      </c>
      <c r="BC226" s="263" t="e">
        <f t="shared" si="136"/>
        <v>#REF!</v>
      </c>
      <c r="BD226" s="263" t="e">
        <f t="shared" si="137"/>
        <v>#REF!</v>
      </c>
      <c r="BE226" s="263" t="e">
        <f>BC226+AV226+#REF!+AH226+AA226</f>
        <v>#REF!</v>
      </c>
      <c r="BF226" s="263" t="e">
        <f t="shared" si="138"/>
        <v>#REF!</v>
      </c>
      <c r="BG226" s="263" t="e">
        <f t="shared" si="139"/>
        <v>#REF!</v>
      </c>
    </row>
    <row r="227" spans="1:59" ht="15.75">
      <c r="A227" s="338">
        <v>17</v>
      </c>
      <c r="B227" s="338" t="s">
        <v>1</v>
      </c>
      <c r="C227" s="258">
        <v>36</v>
      </c>
      <c r="D227" s="328" t="s">
        <v>1340</v>
      </c>
      <c r="E227" s="258" t="s">
        <v>9</v>
      </c>
      <c r="F227" s="431">
        <f t="array" ref="F227">MAX((IF(MNU_CODIGO_ALIMENTO_ENTREGA=CONCATENATE($C227,"_","P_"),MNU_GRAMAJE_REQUERIDO_TIPOA,"")))</f>
        <v>20</v>
      </c>
      <c r="G227" s="259">
        <f t="shared" si="140"/>
        <v>39585</v>
      </c>
      <c r="H227" s="259">
        <f t="shared" si="141"/>
        <v>9592</v>
      </c>
      <c r="I227" s="259">
        <f t="shared" si="142"/>
        <v>49177</v>
      </c>
      <c r="J227" s="260">
        <f t="shared" si="143"/>
        <v>5225220</v>
      </c>
      <c r="K227" s="260">
        <f t="shared" si="144"/>
        <v>1266144</v>
      </c>
      <c r="L227" s="260">
        <f t="shared" si="145"/>
        <v>6491364</v>
      </c>
      <c r="M227" s="432">
        <f t="array" ref="M227">MAX((IF(MNU_CODIGO_ALIMENTO_ENTREGA=CONCATENATE($C227,"_","P_"),MNU_GRAMAJE_REQUERIDO_TIPOB,"")))</f>
        <v>40</v>
      </c>
      <c r="N227" s="348">
        <f t="shared" si="146"/>
        <v>54292</v>
      </c>
      <c r="O227" s="348">
        <f t="shared" si="147"/>
        <v>13472</v>
      </c>
      <c r="P227" s="348">
        <f t="shared" si="148"/>
        <v>67764</v>
      </c>
      <c r="Q227" s="349">
        <f t="shared" si="149"/>
        <v>14387380</v>
      </c>
      <c r="R227" s="349">
        <f t="shared" si="150"/>
        <v>3570080</v>
      </c>
      <c r="S227" s="349">
        <f t="shared" si="151"/>
        <v>17957460</v>
      </c>
      <c r="T227" s="353">
        <f t="array" ref="T227">MAX((IF(MNU_CODIGO_ALIMENTO_ENTREGA=CONCATENATE($C227,"_","P_"),MNU_GRAMAJE_REQUERIDO_TIPOC,"")))</f>
        <v>40</v>
      </c>
      <c r="U227" s="259">
        <f t="shared" si="152"/>
        <v>55846</v>
      </c>
      <c r="V227" s="259">
        <f t="shared" si="153"/>
        <v>13208</v>
      </c>
      <c r="W227" s="259">
        <f t="shared" si="154"/>
        <v>69054</v>
      </c>
      <c r="X227" s="260">
        <f t="shared" si="155"/>
        <v>14799190</v>
      </c>
      <c r="Y227" s="260">
        <f t="shared" si="156"/>
        <v>3500120</v>
      </c>
      <c r="Z227" s="260">
        <f t="shared" si="157"/>
        <v>18299310</v>
      </c>
      <c r="AA227" s="258">
        <f t="array" ref="AA227">MAX((IF(MNU_CODIGO_ALIMENTO_ENTREGA=CONCATENATE($C227,"_","P_"),MNU_GRAMAJE_REQUERIDO_TIPOM,"")))</f>
        <v>40</v>
      </c>
      <c r="AB227" s="261">
        <f t="shared" si="158"/>
        <v>1995</v>
      </c>
      <c r="AC227" s="261">
        <v>0</v>
      </c>
      <c r="AD227" s="261">
        <f t="shared" si="159"/>
        <v>1995</v>
      </c>
      <c r="AE227" s="262">
        <f t="shared" si="160"/>
        <v>528675</v>
      </c>
      <c r="AF227" s="262">
        <v>0</v>
      </c>
      <c r="AG227" s="262">
        <f t="shared" si="161"/>
        <v>528675</v>
      </c>
      <c r="AH227" s="353">
        <f t="array" ref="AH227">MAX((IF(MNU_CODIGO_ALIMENTO_ENTREGA=CONCATENATE($C227,"_","P_"),MNU_GRAMAJE_REQUERIDO_TIPOH,"")))</f>
        <v>40</v>
      </c>
      <c r="AI227" s="259">
        <f t="shared" si="162"/>
        <v>2058</v>
      </c>
      <c r="AJ227" s="259">
        <v>0</v>
      </c>
      <c r="AK227" s="259">
        <f t="shared" si="163"/>
        <v>2058</v>
      </c>
      <c r="AL227" s="260">
        <f t="shared" si="164"/>
        <v>545370</v>
      </c>
      <c r="AM227" s="260">
        <v>0</v>
      </c>
      <c r="AN227" s="260">
        <f t="shared" si="165"/>
        <v>545370</v>
      </c>
      <c r="AO227" s="457">
        <f t="shared" si="166"/>
        <v>190048</v>
      </c>
      <c r="AP227" s="456">
        <f t="shared" si="167"/>
        <v>43822179</v>
      </c>
      <c r="AQ227" s="263" t="e">
        <f>#REF!+AH227+AA227+T227+M227</f>
        <v>#REF!</v>
      </c>
      <c r="AR227" s="263">
        <f t="shared" si="126"/>
        <v>43936370</v>
      </c>
      <c r="AS227" s="263" t="e">
        <f t="shared" si="127"/>
        <v>#REF!</v>
      </c>
      <c r="AT227" s="263">
        <f t="shared" si="128"/>
        <v>44077241</v>
      </c>
      <c r="AU227" s="263" t="e">
        <f t="shared" si="129"/>
        <v>#REF!</v>
      </c>
      <c r="AV227" s="263">
        <f t="shared" si="130"/>
        <v>51147441</v>
      </c>
      <c r="AW227" s="263" t="e">
        <f t="shared" si="131"/>
        <v>#REF!</v>
      </c>
      <c r="AX227" s="263" t="e">
        <f>AV227+#REF!+AH227+AA227+T227</f>
        <v>#REF!</v>
      </c>
      <c r="AY227" s="263" t="e">
        <f t="shared" si="132"/>
        <v>#REF!</v>
      </c>
      <c r="AZ227" s="263" t="e">
        <f t="shared" si="133"/>
        <v>#REF!</v>
      </c>
      <c r="BA227" s="263" t="e">
        <f t="shared" si="134"/>
        <v>#REF!</v>
      </c>
      <c r="BB227" s="263" t="e">
        <f t="shared" si="135"/>
        <v>#REF!</v>
      </c>
      <c r="BC227" s="263" t="e">
        <f t="shared" si="136"/>
        <v>#REF!</v>
      </c>
      <c r="BD227" s="263" t="e">
        <f t="shared" si="137"/>
        <v>#REF!</v>
      </c>
      <c r="BE227" s="263" t="e">
        <f>BC227+AV227+#REF!+AH227+AA227</f>
        <v>#REF!</v>
      </c>
      <c r="BF227" s="263" t="e">
        <f t="shared" si="138"/>
        <v>#REF!</v>
      </c>
      <c r="BG227" s="263" t="e">
        <f t="shared" si="139"/>
        <v>#REF!</v>
      </c>
    </row>
    <row r="228" spans="1:59" ht="15.75">
      <c r="A228" s="338">
        <v>17</v>
      </c>
      <c r="B228" s="338" t="s">
        <v>1</v>
      </c>
      <c r="C228" s="258">
        <v>42</v>
      </c>
      <c r="D228" s="328" t="s">
        <v>61</v>
      </c>
      <c r="E228" s="258" t="s">
        <v>9</v>
      </c>
      <c r="F228" s="431">
        <f t="array" ref="F228">MAX((IF(MNU_CODIGO_ALIMENTO_ENTREGA=CONCATENATE($C228,"_","P_"),MNU_GRAMAJE_REQUERIDO_TIPOA,"")))</f>
        <v>100</v>
      </c>
      <c r="G228" s="259">
        <f t="shared" si="140"/>
        <v>130065</v>
      </c>
      <c r="H228" s="259">
        <f t="shared" si="141"/>
        <v>43164</v>
      </c>
      <c r="I228" s="259">
        <f t="shared" si="142"/>
        <v>173229</v>
      </c>
      <c r="J228" s="260">
        <f t="shared" si="143"/>
        <v>26533260</v>
      </c>
      <c r="K228" s="260">
        <f t="shared" si="144"/>
        <v>8805456</v>
      </c>
      <c r="L228" s="260">
        <f t="shared" si="145"/>
        <v>35338716</v>
      </c>
      <c r="M228" s="432">
        <f t="array" ref="M228">MAX((IF(MNU_CODIGO_ALIMENTO_ENTREGA=CONCATENATE($C228,"_","P_"),MNU_GRAMAJE_REQUERIDO_TIPOB,"")))</f>
        <v>100</v>
      </c>
      <c r="N228" s="348">
        <f t="shared" si="146"/>
        <v>147364</v>
      </c>
      <c r="O228" s="348">
        <f t="shared" si="147"/>
        <v>31996</v>
      </c>
      <c r="P228" s="348">
        <f t="shared" si="148"/>
        <v>179360</v>
      </c>
      <c r="Q228" s="349">
        <f t="shared" si="149"/>
        <v>30062256</v>
      </c>
      <c r="R228" s="349">
        <f t="shared" si="150"/>
        <v>6527184</v>
      </c>
      <c r="S228" s="349">
        <f t="shared" si="151"/>
        <v>36589440</v>
      </c>
      <c r="T228" s="353">
        <f t="array" ref="T228">MAX((IF(MNU_CODIGO_ALIMENTO_ENTREGA=CONCATENATE($C228,"_","P_"),MNU_GRAMAJE_REQUERIDO_TIPOC,"")))</f>
        <v>100</v>
      </c>
      <c r="U228" s="259">
        <f t="shared" si="152"/>
        <v>151582</v>
      </c>
      <c r="V228" s="259">
        <f t="shared" si="153"/>
        <v>31369</v>
      </c>
      <c r="W228" s="259">
        <f t="shared" si="154"/>
        <v>182951</v>
      </c>
      <c r="X228" s="260">
        <f t="shared" si="155"/>
        <v>30922728</v>
      </c>
      <c r="Y228" s="260">
        <f t="shared" si="156"/>
        <v>6399276</v>
      </c>
      <c r="Z228" s="260">
        <f t="shared" si="157"/>
        <v>37322004</v>
      </c>
      <c r="AA228" s="258">
        <f t="array" ref="AA228">MAX((IF(MNU_CODIGO_ALIMENTO_ENTREGA=CONCATENATE($C228,"_","P_"),MNU_GRAMAJE_REQUERIDO_TIPOM,"")))</f>
        <v>100</v>
      </c>
      <c r="AB228" s="261">
        <f t="shared" si="158"/>
        <v>5415</v>
      </c>
      <c r="AC228" s="261">
        <v>0</v>
      </c>
      <c r="AD228" s="261">
        <f t="shared" si="159"/>
        <v>5415</v>
      </c>
      <c r="AE228" s="262">
        <f t="shared" si="160"/>
        <v>1104660</v>
      </c>
      <c r="AF228" s="262">
        <v>0</v>
      </c>
      <c r="AG228" s="262">
        <f t="shared" si="161"/>
        <v>1104660</v>
      </c>
      <c r="AH228" s="353">
        <f t="array" ref="AH228">MAX((IF(MNU_CODIGO_ALIMENTO_ENTREGA=CONCATENATE($C228,"_","P_"),MNU_GRAMAJE_REQUERIDO_TIPOH,"")))</f>
        <v>100</v>
      </c>
      <c r="AI228" s="259">
        <f t="shared" si="162"/>
        <v>5586</v>
      </c>
      <c r="AJ228" s="259">
        <v>0</v>
      </c>
      <c r="AK228" s="259">
        <f t="shared" si="163"/>
        <v>5586</v>
      </c>
      <c r="AL228" s="260">
        <f t="shared" si="164"/>
        <v>1139544</v>
      </c>
      <c r="AM228" s="260">
        <v>0</v>
      </c>
      <c r="AN228" s="260">
        <f t="shared" si="165"/>
        <v>1139544</v>
      </c>
      <c r="AO228" s="457">
        <f t="shared" si="166"/>
        <v>546541</v>
      </c>
      <c r="AP228" s="456">
        <f t="shared" si="167"/>
        <v>111494364</v>
      </c>
      <c r="AQ228" s="263" t="e">
        <f>#REF!+AH228+AA228+T228+M228</f>
        <v>#REF!</v>
      </c>
      <c r="AR228" s="263">
        <f t="shared" si="126"/>
        <v>111804311</v>
      </c>
      <c r="AS228" s="263" t="e">
        <f t="shared" si="127"/>
        <v>#REF!</v>
      </c>
      <c r="AT228" s="263">
        <f t="shared" si="128"/>
        <v>112177623</v>
      </c>
      <c r="AU228" s="263" t="e">
        <f t="shared" si="129"/>
        <v>#REF!</v>
      </c>
      <c r="AV228" s="263">
        <f t="shared" si="130"/>
        <v>125104083</v>
      </c>
      <c r="AW228" s="263" t="e">
        <f t="shared" si="131"/>
        <v>#REF!</v>
      </c>
      <c r="AX228" s="263" t="e">
        <f>AV228+#REF!+AH228+AA228+T228</f>
        <v>#REF!</v>
      </c>
      <c r="AY228" s="263" t="e">
        <f t="shared" si="132"/>
        <v>#REF!</v>
      </c>
      <c r="AZ228" s="263" t="e">
        <f t="shared" si="133"/>
        <v>#REF!</v>
      </c>
      <c r="BA228" s="263" t="e">
        <f t="shared" si="134"/>
        <v>#REF!</v>
      </c>
      <c r="BB228" s="263" t="e">
        <f t="shared" si="135"/>
        <v>#REF!</v>
      </c>
      <c r="BC228" s="263" t="e">
        <f t="shared" si="136"/>
        <v>#REF!</v>
      </c>
      <c r="BD228" s="263" t="e">
        <f t="shared" si="137"/>
        <v>#REF!</v>
      </c>
      <c r="BE228" s="263" t="e">
        <f>BC228+AV228+#REF!+AH228+AA228</f>
        <v>#REF!</v>
      </c>
      <c r="BF228" s="263" t="e">
        <f t="shared" si="138"/>
        <v>#REF!</v>
      </c>
      <c r="BG228" s="263" t="e">
        <f t="shared" si="139"/>
        <v>#REF!</v>
      </c>
    </row>
    <row r="229" spans="1:59" ht="15.75">
      <c r="A229" s="338">
        <v>17</v>
      </c>
      <c r="B229" s="338" t="s">
        <v>1</v>
      </c>
      <c r="C229" s="258">
        <v>43</v>
      </c>
      <c r="D229" s="328" t="s">
        <v>62</v>
      </c>
      <c r="E229" s="258" t="s">
        <v>9</v>
      </c>
      <c r="F229" s="431">
        <f t="array" ref="F229">MAX((IF(MNU_CODIGO_ALIMENTO_ENTREGA=CONCATENATE($C229,"_","P_"),MNU_GRAMAJE_REQUERIDO_TIPOA,"")))</f>
        <v>100</v>
      </c>
      <c r="G229" s="259">
        <f t="shared" si="140"/>
        <v>135720</v>
      </c>
      <c r="H229" s="259">
        <f t="shared" si="141"/>
        <v>34771</v>
      </c>
      <c r="I229" s="259">
        <f t="shared" si="142"/>
        <v>170491</v>
      </c>
      <c r="J229" s="260">
        <f t="shared" si="143"/>
        <v>24158160</v>
      </c>
      <c r="K229" s="260">
        <f t="shared" si="144"/>
        <v>6189238</v>
      </c>
      <c r="L229" s="260">
        <f t="shared" si="145"/>
        <v>30347398</v>
      </c>
      <c r="M229" s="432">
        <f t="array" ref="M229">MAX((IF(MNU_CODIGO_ALIMENTO_ENTREGA=CONCATENATE($C229,"_","P_"),MNU_GRAMAJE_REQUERIDO_TIPOB,"")))</f>
        <v>100</v>
      </c>
      <c r="N229" s="348">
        <f t="shared" si="146"/>
        <v>131852</v>
      </c>
      <c r="O229" s="348">
        <f t="shared" si="147"/>
        <v>38732</v>
      </c>
      <c r="P229" s="348">
        <f t="shared" si="148"/>
        <v>170584</v>
      </c>
      <c r="Q229" s="349">
        <f t="shared" si="149"/>
        <v>23469656</v>
      </c>
      <c r="R229" s="349">
        <f t="shared" si="150"/>
        <v>6894296</v>
      </c>
      <c r="S229" s="349">
        <f t="shared" si="151"/>
        <v>30363952</v>
      </c>
      <c r="T229" s="353">
        <f t="array" ref="T229">MAX((IF(MNU_CODIGO_ALIMENTO_ENTREGA=CONCATENATE($C229,"_","P_"),MNU_GRAMAJE_REQUERIDO_TIPOC,"")))</f>
        <v>100</v>
      </c>
      <c r="U229" s="259">
        <f t="shared" si="152"/>
        <v>135626</v>
      </c>
      <c r="V229" s="259">
        <f t="shared" si="153"/>
        <v>37973</v>
      </c>
      <c r="W229" s="259">
        <f t="shared" si="154"/>
        <v>173599</v>
      </c>
      <c r="X229" s="260">
        <f t="shared" si="155"/>
        <v>24141428</v>
      </c>
      <c r="Y229" s="260">
        <f t="shared" si="156"/>
        <v>6759194</v>
      </c>
      <c r="Z229" s="260">
        <f t="shared" si="157"/>
        <v>30900622</v>
      </c>
      <c r="AA229" s="258">
        <f t="array" ref="AA229">MAX((IF(MNU_CODIGO_ALIMENTO_ENTREGA=CONCATENATE($C229,"_","P_"),MNU_GRAMAJE_REQUERIDO_TIPOM,"")))</f>
        <v>100</v>
      </c>
      <c r="AB229" s="261">
        <f t="shared" si="158"/>
        <v>4845</v>
      </c>
      <c r="AC229" s="261">
        <v>0</v>
      </c>
      <c r="AD229" s="261">
        <f t="shared" si="159"/>
        <v>4845</v>
      </c>
      <c r="AE229" s="262">
        <f t="shared" si="160"/>
        <v>862410</v>
      </c>
      <c r="AF229" s="262">
        <v>0</v>
      </c>
      <c r="AG229" s="262">
        <f t="shared" si="161"/>
        <v>862410</v>
      </c>
      <c r="AH229" s="353">
        <f t="array" ref="AH229">MAX((IF(MNU_CODIGO_ALIMENTO_ENTREGA=CONCATENATE($C229,"_","P_"),MNU_GRAMAJE_REQUERIDO_TIPOH,"")))</f>
        <v>100</v>
      </c>
      <c r="AI229" s="259">
        <f t="shared" si="162"/>
        <v>4998</v>
      </c>
      <c r="AJ229" s="259">
        <v>0</v>
      </c>
      <c r="AK229" s="259">
        <f t="shared" si="163"/>
        <v>4998</v>
      </c>
      <c r="AL229" s="260">
        <f t="shared" si="164"/>
        <v>889644</v>
      </c>
      <c r="AM229" s="260">
        <v>0</v>
      </c>
      <c r="AN229" s="260">
        <f t="shared" si="165"/>
        <v>889644</v>
      </c>
      <c r="AO229" s="457">
        <f t="shared" si="166"/>
        <v>524517</v>
      </c>
      <c r="AP229" s="456">
        <f t="shared" si="167"/>
        <v>93364026</v>
      </c>
      <c r="AQ229" s="263" t="e">
        <f>#REF!+AH229+AA229+T229+M229</f>
        <v>#REF!</v>
      </c>
      <c r="AR229" s="263">
        <f t="shared" si="126"/>
        <v>93641347</v>
      </c>
      <c r="AS229" s="263" t="e">
        <f t="shared" si="127"/>
        <v>#REF!</v>
      </c>
      <c r="AT229" s="263">
        <f t="shared" si="128"/>
        <v>93995373</v>
      </c>
      <c r="AU229" s="263" t="e">
        <f t="shared" si="129"/>
        <v>#REF!</v>
      </c>
      <c r="AV229" s="263">
        <f t="shared" si="130"/>
        <v>107648863</v>
      </c>
      <c r="AW229" s="263" t="e">
        <f t="shared" si="131"/>
        <v>#REF!</v>
      </c>
      <c r="AX229" s="263" t="e">
        <f>AV229+#REF!+AH229+AA229+T229</f>
        <v>#REF!</v>
      </c>
      <c r="AY229" s="263" t="e">
        <f t="shared" si="132"/>
        <v>#REF!</v>
      </c>
      <c r="AZ229" s="263" t="e">
        <f t="shared" si="133"/>
        <v>#REF!</v>
      </c>
      <c r="BA229" s="263" t="e">
        <f t="shared" si="134"/>
        <v>#REF!</v>
      </c>
      <c r="BB229" s="263" t="e">
        <f t="shared" si="135"/>
        <v>#REF!</v>
      </c>
      <c r="BC229" s="263" t="e">
        <f t="shared" si="136"/>
        <v>#REF!</v>
      </c>
      <c r="BD229" s="263" t="e">
        <f t="shared" si="137"/>
        <v>#REF!</v>
      </c>
      <c r="BE229" s="263" t="e">
        <f>BC229+AV229+#REF!+AH229+AA229</f>
        <v>#REF!</v>
      </c>
      <c r="BF229" s="263" t="e">
        <f t="shared" si="138"/>
        <v>#REF!</v>
      </c>
      <c r="BG229" s="263" t="e">
        <f t="shared" si="139"/>
        <v>#REF!</v>
      </c>
    </row>
    <row r="230" spans="1:59" ht="15.75">
      <c r="A230" s="338">
        <v>17</v>
      </c>
      <c r="B230" s="338" t="s">
        <v>1</v>
      </c>
      <c r="C230" s="258">
        <v>46</v>
      </c>
      <c r="D230" s="328" t="s">
        <v>64</v>
      </c>
      <c r="E230" s="258" t="s">
        <v>9</v>
      </c>
      <c r="F230" s="431">
        <f t="array" ref="F230">MAX((IF(MNU_CODIGO_ALIMENTO_ENTREGA=CONCATENATE($C230,"_","P_"),MNU_GRAMAJE_REQUERIDO_TIPOA,"")))</f>
        <v>100</v>
      </c>
      <c r="G230" s="259">
        <f t="shared" si="140"/>
        <v>169650</v>
      </c>
      <c r="H230" s="259">
        <f t="shared" si="141"/>
        <v>34771</v>
      </c>
      <c r="I230" s="259">
        <f t="shared" si="142"/>
        <v>204421</v>
      </c>
      <c r="J230" s="260">
        <f t="shared" si="143"/>
        <v>70913700</v>
      </c>
      <c r="K230" s="260">
        <f t="shared" si="144"/>
        <v>14534278</v>
      </c>
      <c r="L230" s="260">
        <f t="shared" si="145"/>
        <v>85447978</v>
      </c>
      <c r="M230" s="432">
        <f t="array" ref="M230">MAX((IF(MNU_CODIGO_ALIMENTO_ENTREGA=CONCATENATE($C230,"_","P_"),MNU_GRAMAJE_REQUERIDO_TIPOB,"")))</f>
        <v>100</v>
      </c>
      <c r="N230" s="348">
        <f t="shared" si="146"/>
        <v>162876</v>
      </c>
      <c r="O230" s="348">
        <f t="shared" si="147"/>
        <v>40416</v>
      </c>
      <c r="P230" s="348">
        <f t="shared" si="148"/>
        <v>203292</v>
      </c>
      <c r="Q230" s="349">
        <f t="shared" si="149"/>
        <v>68082168</v>
      </c>
      <c r="R230" s="349">
        <f t="shared" si="150"/>
        <v>16893888</v>
      </c>
      <c r="S230" s="349">
        <f t="shared" si="151"/>
        <v>84976056</v>
      </c>
      <c r="T230" s="353">
        <f t="array" ref="T230">MAX((IF(MNU_CODIGO_ALIMENTO_ENTREGA=CONCATENATE($C230,"_","P_"),MNU_GRAMAJE_REQUERIDO_TIPOC,"")))</f>
        <v>100</v>
      </c>
      <c r="U230" s="259">
        <f t="shared" si="152"/>
        <v>167538</v>
      </c>
      <c r="V230" s="259">
        <f t="shared" si="153"/>
        <v>39624</v>
      </c>
      <c r="W230" s="259">
        <f t="shared" si="154"/>
        <v>207162</v>
      </c>
      <c r="X230" s="260">
        <f t="shared" si="155"/>
        <v>70030884</v>
      </c>
      <c r="Y230" s="260">
        <f t="shared" si="156"/>
        <v>16562832</v>
      </c>
      <c r="Z230" s="260">
        <f t="shared" si="157"/>
        <v>86593716</v>
      </c>
      <c r="AA230" s="258">
        <f t="array" ref="AA230">MAX((IF(MNU_CODIGO_ALIMENTO_ENTREGA=CONCATENATE($C230,"_","P_"),MNU_GRAMAJE_REQUERIDO_TIPOM,"")))</f>
        <v>100</v>
      </c>
      <c r="AB230" s="261">
        <f t="shared" si="158"/>
        <v>5985</v>
      </c>
      <c r="AC230" s="261">
        <v>0</v>
      </c>
      <c r="AD230" s="261">
        <f t="shared" si="159"/>
        <v>5985</v>
      </c>
      <c r="AE230" s="262">
        <f t="shared" si="160"/>
        <v>2501730</v>
      </c>
      <c r="AF230" s="262">
        <v>0</v>
      </c>
      <c r="AG230" s="262">
        <f t="shared" si="161"/>
        <v>2501730</v>
      </c>
      <c r="AH230" s="353">
        <f t="array" ref="AH230">MAX((IF(MNU_CODIGO_ALIMENTO_ENTREGA=CONCATENATE($C230,"_","P_"),MNU_GRAMAJE_REQUERIDO_TIPOH,"")))</f>
        <v>100</v>
      </c>
      <c r="AI230" s="259">
        <f t="shared" si="162"/>
        <v>6174</v>
      </c>
      <c r="AJ230" s="259">
        <v>0</v>
      </c>
      <c r="AK230" s="259">
        <f t="shared" si="163"/>
        <v>6174</v>
      </c>
      <c r="AL230" s="260">
        <f t="shared" si="164"/>
        <v>2580732</v>
      </c>
      <c r="AM230" s="260">
        <v>0</v>
      </c>
      <c r="AN230" s="260">
        <f t="shared" si="165"/>
        <v>2580732</v>
      </c>
      <c r="AO230" s="457">
        <f t="shared" si="166"/>
        <v>627034</v>
      </c>
      <c r="AP230" s="456">
        <f t="shared" si="167"/>
        <v>262100212</v>
      </c>
      <c r="AQ230" s="263" t="e">
        <f>#REF!+AH230+AA230+T230+M230</f>
        <v>#REF!</v>
      </c>
      <c r="AR230" s="263">
        <f t="shared" si="126"/>
        <v>262442785</v>
      </c>
      <c r="AS230" s="263" t="e">
        <f t="shared" si="127"/>
        <v>#REF!</v>
      </c>
      <c r="AT230" s="263">
        <f t="shared" si="128"/>
        <v>262865398</v>
      </c>
      <c r="AU230" s="263" t="e">
        <f t="shared" si="129"/>
        <v>#REF!</v>
      </c>
      <c r="AV230" s="263">
        <f t="shared" si="130"/>
        <v>296322118</v>
      </c>
      <c r="AW230" s="263" t="e">
        <f t="shared" si="131"/>
        <v>#REF!</v>
      </c>
      <c r="AX230" s="263" t="e">
        <f>AV230+#REF!+AH230+AA230+T230</f>
        <v>#REF!</v>
      </c>
      <c r="AY230" s="263" t="e">
        <f t="shared" si="132"/>
        <v>#REF!</v>
      </c>
      <c r="AZ230" s="263" t="e">
        <f t="shared" si="133"/>
        <v>#REF!</v>
      </c>
      <c r="BA230" s="263" t="e">
        <f t="shared" si="134"/>
        <v>#REF!</v>
      </c>
      <c r="BB230" s="263" t="e">
        <f t="shared" si="135"/>
        <v>#REF!</v>
      </c>
      <c r="BC230" s="263" t="e">
        <f t="shared" si="136"/>
        <v>#REF!</v>
      </c>
      <c r="BD230" s="263" t="e">
        <f t="shared" si="137"/>
        <v>#REF!</v>
      </c>
      <c r="BE230" s="263" t="e">
        <f>BC230+AV230+#REF!+AH230+AA230</f>
        <v>#REF!</v>
      </c>
      <c r="BF230" s="263" t="e">
        <f t="shared" si="138"/>
        <v>#REF!</v>
      </c>
      <c r="BG230" s="263" t="e">
        <f t="shared" si="139"/>
        <v>#REF!</v>
      </c>
    </row>
    <row r="231" spans="1:59" ht="15.75">
      <c r="A231" s="338">
        <v>17</v>
      </c>
      <c r="B231" s="338" t="s">
        <v>1</v>
      </c>
      <c r="C231" s="258">
        <v>58</v>
      </c>
      <c r="D231" s="328" t="s">
        <v>67</v>
      </c>
      <c r="E231" s="258" t="s">
        <v>9</v>
      </c>
      <c r="F231" s="431">
        <f t="array" ref="F231">MAX((IF(MNU_CODIGO_ALIMENTO_ENTREGA=CONCATENATE($C231,"_","P_"),MNU_GRAMAJE_REQUERIDO_TIPOA,"")))</f>
        <v>100</v>
      </c>
      <c r="G231" s="259">
        <f t="shared" si="140"/>
        <v>135720</v>
      </c>
      <c r="H231" s="259">
        <f t="shared" si="141"/>
        <v>33572</v>
      </c>
      <c r="I231" s="259">
        <f t="shared" si="142"/>
        <v>169292</v>
      </c>
      <c r="J231" s="260">
        <f t="shared" si="143"/>
        <v>21986640</v>
      </c>
      <c r="K231" s="260">
        <f t="shared" si="144"/>
        <v>5438664</v>
      </c>
      <c r="L231" s="260">
        <f t="shared" si="145"/>
        <v>27425304</v>
      </c>
      <c r="M231" s="432">
        <f t="array" ref="M231">MAX((IF(MNU_CODIGO_ALIMENTO_ENTREGA=CONCATENATE($C231,"_","P_"),MNU_GRAMAJE_REQUERIDO_TIPOB,"")))</f>
        <v>100</v>
      </c>
      <c r="N231" s="348">
        <f t="shared" si="146"/>
        <v>178388</v>
      </c>
      <c r="O231" s="348">
        <f t="shared" si="147"/>
        <v>38732</v>
      </c>
      <c r="P231" s="348">
        <f t="shared" si="148"/>
        <v>217120</v>
      </c>
      <c r="Q231" s="349">
        <f t="shared" si="149"/>
        <v>28898856</v>
      </c>
      <c r="R231" s="349">
        <f t="shared" si="150"/>
        <v>6274584</v>
      </c>
      <c r="S231" s="349">
        <f t="shared" si="151"/>
        <v>35173440</v>
      </c>
      <c r="T231" s="353">
        <f t="array" ref="T231">MAX((IF(MNU_CODIGO_ALIMENTO_ENTREGA=CONCATENATE($C231,"_","P_"),MNU_GRAMAJE_REQUERIDO_TIPOC,"")))</f>
        <v>100</v>
      </c>
      <c r="U231" s="259">
        <f t="shared" si="152"/>
        <v>183494</v>
      </c>
      <c r="V231" s="259">
        <f t="shared" si="153"/>
        <v>37973</v>
      </c>
      <c r="W231" s="259">
        <f t="shared" si="154"/>
        <v>221467</v>
      </c>
      <c r="X231" s="260">
        <f t="shared" si="155"/>
        <v>29726028</v>
      </c>
      <c r="Y231" s="260">
        <f t="shared" si="156"/>
        <v>6151626</v>
      </c>
      <c r="Z231" s="260">
        <f t="shared" si="157"/>
        <v>35877654</v>
      </c>
      <c r="AA231" s="258">
        <f t="array" ref="AA231">MAX((IF(MNU_CODIGO_ALIMENTO_ENTREGA=CONCATENATE($C231,"_","P_"),MNU_GRAMAJE_REQUERIDO_TIPOM,"")))</f>
        <v>100</v>
      </c>
      <c r="AB231" s="261">
        <f t="shared" si="158"/>
        <v>6555</v>
      </c>
      <c r="AC231" s="261">
        <v>0</v>
      </c>
      <c r="AD231" s="261">
        <f t="shared" si="159"/>
        <v>6555</v>
      </c>
      <c r="AE231" s="262">
        <f t="shared" si="160"/>
        <v>1061910</v>
      </c>
      <c r="AF231" s="262">
        <v>0</v>
      </c>
      <c r="AG231" s="262">
        <f t="shared" si="161"/>
        <v>1061910</v>
      </c>
      <c r="AH231" s="353">
        <f t="array" ref="AH231">MAX((IF(MNU_CODIGO_ALIMENTO_ENTREGA=CONCATENATE($C231,"_","P_"),MNU_GRAMAJE_REQUERIDO_TIPOH,"")))</f>
        <v>100</v>
      </c>
      <c r="AI231" s="259">
        <f t="shared" si="162"/>
        <v>6762</v>
      </c>
      <c r="AJ231" s="259">
        <v>0</v>
      </c>
      <c r="AK231" s="259">
        <f t="shared" si="163"/>
        <v>6762</v>
      </c>
      <c r="AL231" s="260">
        <f t="shared" si="164"/>
        <v>1095444</v>
      </c>
      <c r="AM231" s="260">
        <v>0</v>
      </c>
      <c r="AN231" s="260">
        <f t="shared" si="165"/>
        <v>1095444</v>
      </c>
      <c r="AO231" s="457">
        <f t="shared" si="166"/>
        <v>621196</v>
      </c>
      <c r="AP231" s="456">
        <f t="shared" si="167"/>
        <v>100633752</v>
      </c>
      <c r="AQ231" s="263" t="e">
        <f>#REF!+AH231+AA231+T231+M231</f>
        <v>#REF!</v>
      </c>
      <c r="AR231" s="263">
        <f t="shared" si="126"/>
        <v>101008951</v>
      </c>
      <c r="AS231" s="263" t="e">
        <f t="shared" si="127"/>
        <v>#REF!</v>
      </c>
      <c r="AT231" s="263">
        <f t="shared" si="128"/>
        <v>101460855</v>
      </c>
      <c r="AU231" s="263" t="e">
        <f t="shared" si="129"/>
        <v>#REF!</v>
      </c>
      <c r="AV231" s="263">
        <f t="shared" si="130"/>
        <v>113887065</v>
      </c>
      <c r="AW231" s="263" t="e">
        <f t="shared" si="131"/>
        <v>#REF!</v>
      </c>
      <c r="AX231" s="263" t="e">
        <f>AV231+#REF!+AH231+AA231+T231</f>
        <v>#REF!</v>
      </c>
      <c r="AY231" s="263" t="e">
        <f t="shared" si="132"/>
        <v>#REF!</v>
      </c>
      <c r="AZ231" s="263" t="e">
        <f t="shared" si="133"/>
        <v>#REF!</v>
      </c>
      <c r="BA231" s="263" t="e">
        <f t="shared" si="134"/>
        <v>#REF!</v>
      </c>
      <c r="BB231" s="263" t="e">
        <f t="shared" si="135"/>
        <v>#REF!</v>
      </c>
      <c r="BC231" s="263" t="e">
        <f t="shared" si="136"/>
        <v>#REF!</v>
      </c>
      <c r="BD231" s="263" t="e">
        <f t="shared" si="137"/>
        <v>#REF!</v>
      </c>
      <c r="BE231" s="263" t="e">
        <f>BC231+AV231+#REF!+AH231+AA231</f>
        <v>#REF!</v>
      </c>
      <c r="BF231" s="263" t="e">
        <f t="shared" si="138"/>
        <v>#REF!</v>
      </c>
      <c r="BG231" s="263" t="e">
        <f t="shared" si="139"/>
        <v>#REF!</v>
      </c>
    </row>
    <row r="232" spans="1:59" ht="15.75">
      <c r="A232" s="338">
        <v>17</v>
      </c>
      <c r="B232" s="338" t="s">
        <v>1</v>
      </c>
      <c r="C232" s="258">
        <v>59</v>
      </c>
      <c r="D232" s="328" t="s">
        <v>99</v>
      </c>
      <c r="E232" s="258" t="s">
        <v>9</v>
      </c>
      <c r="F232" s="431">
        <f t="array" ref="F232">MAX((IF(MNU_CODIGO_ALIMENTO_ENTREGA=CONCATENATE($C232,"_","P_"),MNU_GRAMAJE_REQUERIDO_TIPOA,"")))</f>
        <v>0</v>
      </c>
      <c r="G232" s="259">
        <f t="shared" si="140"/>
        <v>0</v>
      </c>
      <c r="H232" s="259">
        <f t="shared" si="141"/>
        <v>0</v>
      </c>
      <c r="I232" s="259">
        <f t="shared" si="142"/>
        <v>0</v>
      </c>
      <c r="J232" s="260">
        <f t="shared" si="143"/>
        <v>0</v>
      </c>
      <c r="K232" s="260">
        <f t="shared" si="144"/>
        <v>0</v>
      </c>
      <c r="L232" s="260">
        <f t="shared" si="145"/>
        <v>0</v>
      </c>
      <c r="M232" s="432">
        <f t="array" ref="M232">MAX((IF(MNU_CODIGO_ALIMENTO_ENTREGA=CONCATENATE($C232,"_","P_"),MNU_GRAMAJE_REQUERIDO_TIPOB,"")))</f>
        <v>100</v>
      </c>
      <c r="N232" s="348">
        <f t="shared" si="146"/>
        <v>62048</v>
      </c>
      <c r="O232" s="348">
        <f t="shared" si="147"/>
        <v>18524</v>
      </c>
      <c r="P232" s="348">
        <f t="shared" si="148"/>
        <v>80572</v>
      </c>
      <c r="Q232" s="349">
        <f t="shared" si="149"/>
        <v>18614400</v>
      </c>
      <c r="R232" s="349">
        <f t="shared" si="150"/>
        <v>5557200</v>
      </c>
      <c r="S232" s="349">
        <f t="shared" si="151"/>
        <v>24171600</v>
      </c>
      <c r="T232" s="353">
        <f t="array" ref="T232">MAX((IF(MNU_CODIGO_ALIMENTO_ENTREGA=CONCATENATE($C232,"_","P_"),MNU_GRAMAJE_REQUERIDO_TIPOC,"")))</f>
        <v>100</v>
      </c>
      <c r="U232" s="259">
        <f t="shared" si="152"/>
        <v>63824</v>
      </c>
      <c r="V232" s="259">
        <f t="shared" si="153"/>
        <v>18161</v>
      </c>
      <c r="W232" s="259">
        <f t="shared" si="154"/>
        <v>81985</v>
      </c>
      <c r="X232" s="260">
        <f t="shared" si="155"/>
        <v>19147200</v>
      </c>
      <c r="Y232" s="260">
        <f t="shared" si="156"/>
        <v>5448300</v>
      </c>
      <c r="Z232" s="260">
        <f t="shared" si="157"/>
        <v>24595500</v>
      </c>
      <c r="AA232" s="258">
        <f t="array" ref="AA232">MAX((IF(MNU_CODIGO_ALIMENTO_ENTREGA=CONCATENATE($C232,"_","P_"),MNU_GRAMAJE_REQUERIDO_TIPOM,"")))</f>
        <v>100</v>
      </c>
      <c r="AB232" s="261">
        <f t="shared" si="158"/>
        <v>2280</v>
      </c>
      <c r="AC232" s="261">
        <v>0</v>
      </c>
      <c r="AD232" s="261">
        <f t="shared" si="159"/>
        <v>2280</v>
      </c>
      <c r="AE232" s="262">
        <f t="shared" si="160"/>
        <v>684000</v>
      </c>
      <c r="AF232" s="262">
        <v>0</v>
      </c>
      <c r="AG232" s="262">
        <f t="shared" si="161"/>
        <v>684000</v>
      </c>
      <c r="AH232" s="353">
        <f t="array" ref="AH232">MAX((IF(MNU_CODIGO_ALIMENTO_ENTREGA=CONCATENATE($C232,"_","P_"),MNU_GRAMAJE_REQUERIDO_TIPOH,"")))</f>
        <v>100</v>
      </c>
      <c r="AI232" s="259">
        <f t="shared" si="162"/>
        <v>2352</v>
      </c>
      <c r="AJ232" s="259">
        <v>0</v>
      </c>
      <c r="AK232" s="259">
        <f t="shared" si="163"/>
        <v>2352</v>
      </c>
      <c r="AL232" s="260">
        <f t="shared" si="164"/>
        <v>705600</v>
      </c>
      <c r="AM232" s="260">
        <v>0</v>
      </c>
      <c r="AN232" s="260">
        <f t="shared" si="165"/>
        <v>705600</v>
      </c>
      <c r="AO232" s="457">
        <f t="shared" si="166"/>
        <v>167189</v>
      </c>
      <c r="AP232" s="456">
        <f t="shared" si="167"/>
        <v>50156700</v>
      </c>
      <c r="AQ232" s="263" t="e">
        <f>#REF!+AH232+AA232+T232+M232</f>
        <v>#REF!</v>
      </c>
      <c r="AR232" s="263">
        <f t="shared" si="126"/>
        <v>50287204</v>
      </c>
      <c r="AS232" s="263" t="e">
        <f t="shared" si="127"/>
        <v>#REF!</v>
      </c>
      <c r="AT232" s="263">
        <f t="shared" si="128"/>
        <v>50454393</v>
      </c>
      <c r="AU232" s="263" t="e">
        <f t="shared" si="129"/>
        <v>#REF!</v>
      </c>
      <c r="AV232" s="263">
        <f t="shared" si="130"/>
        <v>61459893</v>
      </c>
      <c r="AW232" s="263" t="e">
        <f t="shared" si="131"/>
        <v>#REF!</v>
      </c>
      <c r="AX232" s="263" t="e">
        <f>AV232+#REF!+AH232+AA232+T232</f>
        <v>#REF!</v>
      </c>
      <c r="AY232" s="263" t="e">
        <f t="shared" si="132"/>
        <v>#REF!</v>
      </c>
      <c r="AZ232" s="263" t="e">
        <f t="shared" si="133"/>
        <v>#REF!</v>
      </c>
      <c r="BA232" s="263" t="e">
        <f t="shared" si="134"/>
        <v>#REF!</v>
      </c>
      <c r="BB232" s="263" t="e">
        <f t="shared" si="135"/>
        <v>#REF!</v>
      </c>
      <c r="BC232" s="263" t="e">
        <f t="shared" si="136"/>
        <v>#REF!</v>
      </c>
      <c r="BD232" s="263" t="e">
        <f t="shared" si="137"/>
        <v>#REF!</v>
      </c>
      <c r="BE232" s="263" t="e">
        <f>BC232+AV232+#REF!+AH232+AA232</f>
        <v>#REF!</v>
      </c>
      <c r="BF232" s="263" t="e">
        <f t="shared" si="138"/>
        <v>#REF!</v>
      </c>
      <c r="BG232" s="263" t="e">
        <f t="shared" si="139"/>
        <v>#REF!</v>
      </c>
    </row>
    <row r="233" spans="1:59" ht="15.75">
      <c r="A233" s="338">
        <v>17</v>
      </c>
      <c r="B233" s="338" t="s">
        <v>1</v>
      </c>
      <c r="C233" s="258">
        <v>69</v>
      </c>
      <c r="D233" s="328" t="s">
        <v>70</v>
      </c>
      <c r="E233" s="258" t="s">
        <v>9</v>
      </c>
      <c r="F233" s="431">
        <f t="array" ref="F233">MAX((IF(MNU_CODIGO_ALIMENTO_ENTREGA=CONCATENATE($C233,"_","P_"),MNU_GRAMAJE_REQUERIDO_TIPOA,"")))</f>
        <v>100</v>
      </c>
      <c r="G233" s="259">
        <f t="shared" si="140"/>
        <v>169650</v>
      </c>
      <c r="H233" s="259">
        <f t="shared" si="141"/>
        <v>21582</v>
      </c>
      <c r="I233" s="259">
        <f t="shared" si="142"/>
        <v>191232</v>
      </c>
      <c r="J233" s="260">
        <f t="shared" si="143"/>
        <v>54288000</v>
      </c>
      <c r="K233" s="260">
        <f t="shared" si="144"/>
        <v>6906240</v>
      </c>
      <c r="L233" s="260">
        <f t="shared" si="145"/>
        <v>61194240</v>
      </c>
      <c r="M233" s="432">
        <f t="array" ref="M233">MAX((IF(MNU_CODIGO_ALIMENTO_ENTREGA=CONCATENATE($C233,"_","P_"),MNU_GRAMAJE_REQUERIDO_TIPOB,"")))</f>
        <v>100</v>
      </c>
      <c r="N233" s="348">
        <f t="shared" si="146"/>
        <v>124096</v>
      </c>
      <c r="O233" s="348">
        <f t="shared" si="147"/>
        <v>20208</v>
      </c>
      <c r="P233" s="348">
        <f t="shared" si="148"/>
        <v>144304</v>
      </c>
      <c r="Q233" s="349">
        <f t="shared" si="149"/>
        <v>39710720</v>
      </c>
      <c r="R233" s="349">
        <f t="shared" si="150"/>
        <v>6466560</v>
      </c>
      <c r="S233" s="349">
        <f t="shared" si="151"/>
        <v>46177280</v>
      </c>
      <c r="T233" s="353">
        <f t="array" ref="T233">MAX((IF(MNU_CODIGO_ALIMENTO_ENTREGA=CONCATENATE($C233,"_","P_"),MNU_GRAMAJE_REQUERIDO_TIPOC,"")))</f>
        <v>100</v>
      </c>
      <c r="U233" s="259">
        <f t="shared" si="152"/>
        <v>127648</v>
      </c>
      <c r="V233" s="259">
        <f t="shared" si="153"/>
        <v>19812</v>
      </c>
      <c r="W233" s="259">
        <f t="shared" si="154"/>
        <v>147460</v>
      </c>
      <c r="X233" s="260">
        <f t="shared" si="155"/>
        <v>40847360</v>
      </c>
      <c r="Y233" s="260">
        <f t="shared" si="156"/>
        <v>6339840</v>
      </c>
      <c r="Z233" s="260">
        <f t="shared" si="157"/>
        <v>47187200</v>
      </c>
      <c r="AA233" s="258">
        <f t="array" ref="AA233">MAX((IF(MNU_CODIGO_ALIMENTO_ENTREGA=CONCATENATE($C233,"_","P_"),MNU_GRAMAJE_REQUERIDO_TIPOM,"")))</f>
        <v>100</v>
      </c>
      <c r="AB233" s="261">
        <f t="shared" si="158"/>
        <v>4560</v>
      </c>
      <c r="AC233" s="261">
        <v>0</v>
      </c>
      <c r="AD233" s="261">
        <f t="shared" si="159"/>
        <v>4560</v>
      </c>
      <c r="AE233" s="262">
        <f t="shared" si="160"/>
        <v>1459200</v>
      </c>
      <c r="AF233" s="262">
        <v>0</v>
      </c>
      <c r="AG233" s="262">
        <f t="shared" si="161"/>
        <v>1459200</v>
      </c>
      <c r="AH233" s="353">
        <f t="array" ref="AH233">MAX((IF(MNU_CODIGO_ALIMENTO_ENTREGA=CONCATENATE($C233,"_","P_"),MNU_GRAMAJE_REQUERIDO_TIPOH,"")))</f>
        <v>100</v>
      </c>
      <c r="AI233" s="259">
        <f t="shared" si="162"/>
        <v>4704</v>
      </c>
      <c r="AJ233" s="259">
        <v>0</v>
      </c>
      <c r="AK233" s="259">
        <f t="shared" si="163"/>
        <v>4704</v>
      </c>
      <c r="AL233" s="260">
        <f t="shared" si="164"/>
        <v>1505280</v>
      </c>
      <c r="AM233" s="260">
        <v>0</v>
      </c>
      <c r="AN233" s="260">
        <f t="shared" si="165"/>
        <v>1505280</v>
      </c>
      <c r="AO233" s="457">
        <f t="shared" si="166"/>
        <v>492260</v>
      </c>
      <c r="AP233" s="456">
        <f t="shared" si="167"/>
        <v>157523200</v>
      </c>
      <c r="AQ233" s="263" t="e">
        <f>#REF!+AH233+AA233+T233+M233</f>
        <v>#REF!</v>
      </c>
      <c r="AR233" s="263">
        <f t="shared" ref="AR233:AR296" si="168">AP233+AI233+AB233+U233+N233</f>
        <v>157784208</v>
      </c>
      <c r="AS233" s="263" t="e">
        <f t="shared" ref="AS233:AS296" si="169">AQ233+AJ233+AC233+V233+O233</f>
        <v>#REF!</v>
      </c>
      <c r="AT233" s="263">
        <f t="shared" ref="AT233:AT296" si="170">AR233+AK233+AD233+W233+P233</f>
        <v>158085236</v>
      </c>
      <c r="AU233" s="263" t="e">
        <f t="shared" ref="AU233:AU296" si="171">AS233+AL233+AE233+X233+Q233</f>
        <v>#REF!</v>
      </c>
      <c r="AV233" s="263">
        <f t="shared" ref="AV233:AV296" si="172">AT233+AM233+AF233+Y233+R233</f>
        <v>170891636</v>
      </c>
      <c r="AW233" s="263" t="e">
        <f t="shared" ref="AW233:AW296" si="173">AU233+AN233+AG233+Z233+S233</f>
        <v>#REF!</v>
      </c>
      <c r="AX233" s="263" t="e">
        <f>AV233+#REF!+AH233+AA233+T233</f>
        <v>#REF!</v>
      </c>
      <c r="AY233" s="263" t="e">
        <f t="shared" ref="AY233:AY296" si="174">AW233+AP233+AI233+AB233+U233</f>
        <v>#REF!</v>
      </c>
      <c r="AZ233" s="263" t="e">
        <f t="shared" ref="AZ233:AZ296" si="175">AX233+AQ233+AJ233+AC233+V233</f>
        <v>#REF!</v>
      </c>
      <c r="BA233" s="263" t="e">
        <f t="shared" ref="BA233:BA296" si="176">AY233+AR233+AK233+AD233+W233</f>
        <v>#REF!</v>
      </c>
      <c r="BB233" s="263" t="e">
        <f t="shared" ref="BB233:BB296" si="177">AZ233+AS233+AL233+AE233+X233</f>
        <v>#REF!</v>
      </c>
      <c r="BC233" s="263" t="e">
        <f t="shared" ref="BC233:BC296" si="178">BA233+AT233+AM233+AF233+Y233</f>
        <v>#REF!</v>
      </c>
      <c r="BD233" s="263" t="e">
        <f t="shared" ref="BD233:BD296" si="179">BB233+AU233+AN233+AG233+Z233</f>
        <v>#REF!</v>
      </c>
      <c r="BE233" s="263" t="e">
        <f>BC233+AV233+#REF!+AH233+AA233</f>
        <v>#REF!</v>
      </c>
      <c r="BF233" s="263" t="e">
        <f t="shared" ref="BF233:BF296" si="180">BD233+AW233+AP233+AI233+AB233</f>
        <v>#REF!</v>
      </c>
      <c r="BG233" s="263" t="e">
        <f t="shared" ref="BG233:BG296" si="181">BE233+AX233+AQ233+AJ233+AC233</f>
        <v>#REF!</v>
      </c>
    </row>
    <row r="234" spans="1:59" ht="15.75">
      <c r="A234" s="338">
        <v>17</v>
      </c>
      <c r="B234" s="338" t="s">
        <v>1</v>
      </c>
      <c r="C234" s="258">
        <v>70</v>
      </c>
      <c r="D234" s="328" t="s">
        <v>71</v>
      </c>
      <c r="E234" s="258" t="s">
        <v>9</v>
      </c>
      <c r="F234" s="431">
        <f t="array" ref="F234">MAX((IF(MNU_CODIGO_ALIMENTO_ENTREGA=CONCATENATE($C234,"_","P_"),MNU_GRAMAJE_REQUERIDO_TIPOA,"")))</f>
        <v>0</v>
      </c>
      <c r="G234" s="259">
        <f t="shared" si="140"/>
        <v>0</v>
      </c>
      <c r="H234" s="259">
        <f t="shared" si="141"/>
        <v>0</v>
      </c>
      <c r="I234" s="259">
        <f t="shared" si="142"/>
        <v>0</v>
      </c>
      <c r="J234" s="260">
        <f t="shared" si="143"/>
        <v>0</v>
      </c>
      <c r="K234" s="260">
        <f t="shared" si="144"/>
        <v>0</v>
      </c>
      <c r="L234" s="260">
        <f t="shared" si="145"/>
        <v>0</v>
      </c>
      <c r="M234" s="432">
        <f t="array" ref="M234">MAX((IF(MNU_CODIGO_ALIMENTO_ENTREGA=CONCATENATE($C234,"_","P_"),MNU_GRAMAJE_REQUERIDO_TIPOB,"")))</f>
        <v>100</v>
      </c>
      <c r="N234" s="348">
        <f t="shared" si="146"/>
        <v>77560</v>
      </c>
      <c r="O234" s="348">
        <f t="shared" si="147"/>
        <v>13472</v>
      </c>
      <c r="P234" s="348">
        <f t="shared" si="148"/>
        <v>91032</v>
      </c>
      <c r="Q234" s="349">
        <f t="shared" si="149"/>
        <v>35367360</v>
      </c>
      <c r="R234" s="349">
        <f t="shared" si="150"/>
        <v>6143232</v>
      </c>
      <c r="S234" s="349">
        <f t="shared" si="151"/>
        <v>41510592</v>
      </c>
      <c r="T234" s="353">
        <f t="array" ref="T234">MAX((IF(MNU_CODIGO_ALIMENTO_ENTREGA=CONCATENATE($C234,"_","P_"),MNU_GRAMAJE_REQUERIDO_TIPOC,"")))</f>
        <v>100</v>
      </c>
      <c r="U234" s="259">
        <f t="shared" si="152"/>
        <v>79780</v>
      </c>
      <c r="V234" s="259">
        <f t="shared" si="153"/>
        <v>13208</v>
      </c>
      <c r="W234" s="259">
        <f t="shared" si="154"/>
        <v>92988</v>
      </c>
      <c r="X234" s="260">
        <f t="shared" si="155"/>
        <v>36379680</v>
      </c>
      <c r="Y234" s="260">
        <f t="shared" si="156"/>
        <v>6022848</v>
      </c>
      <c r="Z234" s="260">
        <f t="shared" si="157"/>
        <v>42402528</v>
      </c>
      <c r="AA234" s="258">
        <f t="array" ref="AA234">MAX((IF(MNU_CODIGO_ALIMENTO_ENTREGA=CONCATENATE($C234,"_","P_"),MNU_GRAMAJE_REQUERIDO_TIPOM,"")))</f>
        <v>100</v>
      </c>
      <c r="AB234" s="261">
        <f t="shared" si="158"/>
        <v>2850</v>
      </c>
      <c r="AC234" s="261">
        <v>0</v>
      </c>
      <c r="AD234" s="261">
        <f t="shared" si="159"/>
        <v>2850</v>
      </c>
      <c r="AE234" s="262">
        <f t="shared" si="160"/>
        <v>1299600</v>
      </c>
      <c r="AF234" s="262">
        <v>0</v>
      </c>
      <c r="AG234" s="262">
        <f t="shared" si="161"/>
        <v>1299600</v>
      </c>
      <c r="AH234" s="353">
        <f t="array" ref="AH234">MAX((IF(MNU_CODIGO_ALIMENTO_ENTREGA=CONCATENATE($C234,"_","P_"),MNU_GRAMAJE_REQUERIDO_TIPOH,"")))</f>
        <v>100</v>
      </c>
      <c r="AI234" s="259">
        <f t="shared" si="162"/>
        <v>2940</v>
      </c>
      <c r="AJ234" s="259">
        <v>0</v>
      </c>
      <c r="AK234" s="259">
        <f t="shared" si="163"/>
        <v>2940</v>
      </c>
      <c r="AL234" s="260">
        <f t="shared" si="164"/>
        <v>1340640</v>
      </c>
      <c r="AM234" s="260">
        <v>0</v>
      </c>
      <c r="AN234" s="260">
        <f t="shared" si="165"/>
        <v>1340640</v>
      </c>
      <c r="AO234" s="457">
        <f t="shared" si="166"/>
        <v>189810</v>
      </c>
      <c r="AP234" s="456">
        <f t="shared" si="167"/>
        <v>86553360</v>
      </c>
      <c r="AQ234" s="263" t="e">
        <f>#REF!+AH234+AA234+T234+M234</f>
        <v>#REF!</v>
      </c>
      <c r="AR234" s="263">
        <f t="shared" si="168"/>
        <v>86716490</v>
      </c>
      <c r="AS234" s="263" t="e">
        <f t="shared" si="169"/>
        <v>#REF!</v>
      </c>
      <c r="AT234" s="263">
        <f t="shared" si="170"/>
        <v>86906300</v>
      </c>
      <c r="AU234" s="263" t="e">
        <f t="shared" si="171"/>
        <v>#REF!</v>
      </c>
      <c r="AV234" s="263">
        <f t="shared" si="172"/>
        <v>99072380</v>
      </c>
      <c r="AW234" s="263" t="e">
        <f t="shared" si="173"/>
        <v>#REF!</v>
      </c>
      <c r="AX234" s="263" t="e">
        <f>AV234+#REF!+AH234+AA234+T234</f>
        <v>#REF!</v>
      </c>
      <c r="AY234" s="263" t="e">
        <f t="shared" si="174"/>
        <v>#REF!</v>
      </c>
      <c r="AZ234" s="263" t="e">
        <f t="shared" si="175"/>
        <v>#REF!</v>
      </c>
      <c r="BA234" s="263" t="e">
        <f t="shared" si="176"/>
        <v>#REF!</v>
      </c>
      <c r="BB234" s="263" t="e">
        <f t="shared" si="177"/>
        <v>#REF!</v>
      </c>
      <c r="BC234" s="263" t="e">
        <f t="shared" si="178"/>
        <v>#REF!</v>
      </c>
      <c r="BD234" s="263" t="e">
        <f t="shared" si="179"/>
        <v>#REF!</v>
      </c>
      <c r="BE234" s="263" t="e">
        <f>BC234+AV234+#REF!+AH234+AA234</f>
        <v>#REF!</v>
      </c>
      <c r="BF234" s="263" t="e">
        <f t="shared" si="180"/>
        <v>#REF!</v>
      </c>
      <c r="BG234" s="263" t="e">
        <f t="shared" si="181"/>
        <v>#REF!</v>
      </c>
    </row>
    <row r="235" spans="1:59" ht="15.75">
      <c r="A235" s="338">
        <v>18</v>
      </c>
      <c r="B235" s="338" t="s">
        <v>1</v>
      </c>
      <c r="C235" s="258">
        <v>7</v>
      </c>
      <c r="D235" s="328" t="s">
        <v>57</v>
      </c>
      <c r="E235" s="258" t="s">
        <v>9</v>
      </c>
      <c r="F235" s="431">
        <f t="array" ref="F235">MAX((IF(MNU_CODIGO_ALIMENTO_ENTREGA=CONCATENATE($C235,"_","P_"),MNU_GRAMAJE_REQUERIDO_TIPOA,"")))</f>
        <v>100</v>
      </c>
      <c r="G235" s="259">
        <f t="shared" si="140"/>
        <v>146234</v>
      </c>
      <c r="H235" s="259">
        <f t="shared" si="141"/>
        <v>27900</v>
      </c>
      <c r="I235" s="259">
        <f t="shared" si="142"/>
        <v>174134</v>
      </c>
      <c r="J235" s="260">
        <f t="shared" si="143"/>
        <v>16378208</v>
      </c>
      <c r="K235" s="260">
        <f t="shared" si="144"/>
        <v>3124800</v>
      </c>
      <c r="L235" s="260">
        <f t="shared" si="145"/>
        <v>19503008</v>
      </c>
      <c r="M235" s="432">
        <f t="array" ref="M235">MAX((IF(MNU_CODIGO_ALIMENTO_ENTREGA=CONCATENATE($C235,"_","P_"),MNU_GRAMAJE_REQUERIDO_TIPOB,"")))</f>
        <v>100</v>
      </c>
      <c r="N235" s="348">
        <f t="shared" si="146"/>
        <v>63198</v>
      </c>
      <c r="O235" s="348">
        <f t="shared" si="147"/>
        <v>11836</v>
      </c>
      <c r="P235" s="348">
        <f t="shared" si="148"/>
        <v>75034</v>
      </c>
      <c r="Q235" s="349">
        <f t="shared" si="149"/>
        <v>7078176</v>
      </c>
      <c r="R235" s="349">
        <f t="shared" si="150"/>
        <v>1325632</v>
      </c>
      <c r="S235" s="349">
        <f t="shared" si="151"/>
        <v>8403808</v>
      </c>
      <c r="T235" s="353">
        <f t="array" ref="T235">MAX((IF(MNU_CODIGO_ALIMENTO_ENTREGA=CONCATENATE($C235,"_","P_"),MNU_GRAMAJE_REQUERIDO_TIPOC,"")))</f>
        <v>100</v>
      </c>
      <c r="U235" s="259">
        <f t="shared" si="152"/>
        <v>50328</v>
      </c>
      <c r="V235" s="259">
        <f t="shared" si="153"/>
        <v>9988</v>
      </c>
      <c r="W235" s="259">
        <f t="shared" si="154"/>
        <v>60316</v>
      </c>
      <c r="X235" s="260">
        <f t="shared" si="155"/>
        <v>5636736</v>
      </c>
      <c r="Y235" s="260">
        <f t="shared" si="156"/>
        <v>1118656</v>
      </c>
      <c r="Z235" s="260">
        <f t="shared" si="157"/>
        <v>6755392</v>
      </c>
      <c r="AA235" s="258">
        <f t="array" ref="AA235">MAX((IF(MNU_CODIGO_ALIMENTO_ENTREGA=CONCATENATE($C235,"_","P_"),MNU_GRAMAJE_REQUERIDO_TIPOM,"")))</f>
        <v>100</v>
      </c>
      <c r="AB235" s="261">
        <f t="shared" si="158"/>
        <v>3042</v>
      </c>
      <c r="AC235" s="261">
        <v>0</v>
      </c>
      <c r="AD235" s="261">
        <f t="shared" si="159"/>
        <v>3042</v>
      </c>
      <c r="AE235" s="262">
        <f t="shared" si="160"/>
        <v>340704</v>
      </c>
      <c r="AF235" s="262">
        <v>0</v>
      </c>
      <c r="AG235" s="262">
        <f t="shared" si="161"/>
        <v>340704</v>
      </c>
      <c r="AH235" s="353">
        <f t="array" ref="AH235">MAX((IF(MNU_CODIGO_ALIMENTO_ENTREGA=CONCATENATE($C235,"_","P_"),MNU_GRAMAJE_REQUERIDO_TIPOH,"")))</f>
        <v>100</v>
      </c>
      <c r="AI235" s="259">
        <f t="shared" si="162"/>
        <v>3186</v>
      </c>
      <c r="AJ235" s="259">
        <v>0</v>
      </c>
      <c r="AK235" s="259">
        <f t="shared" si="163"/>
        <v>3186</v>
      </c>
      <c r="AL235" s="260">
        <f t="shared" si="164"/>
        <v>356832</v>
      </c>
      <c r="AM235" s="260">
        <v>0</v>
      </c>
      <c r="AN235" s="260">
        <f t="shared" si="165"/>
        <v>356832</v>
      </c>
      <c r="AO235" s="457">
        <f t="shared" si="166"/>
        <v>315712</v>
      </c>
      <c r="AP235" s="456">
        <f t="shared" si="167"/>
        <v>35359744</v>
      </c>
      <c r="AQ235" s="263" t="e">
        <f>#REF!+AH235+AA235+T235+M235</f>
        <v>#REF!</v>
      </c>
      <c r="AR235" s="263">
        <f t="shared" si="168"/>
        <v>35479498</v>
      </c>
      <c r="AS235" s="263" t="e">
        <f t="shared" si="169"/>
        <v>#REF!</v>
      </c>
      <c r="AT235" s="263">
        <f t="shared" si="170"/>
        <v>35621076</v>
      </c>
      <c r="AU235" s="263" t="e">
        <f t="shared" si="171"/>
        <v>#REF!</v>
      </c>
      <c r="AV235" s="263">
        <f t="shared" si="172"/>
        <v>38065364</v>
      </c>
      <c r="AW235" s="263" t="e">
        <f t="shared" si="173"/>
        <v>#REF!</v>
      </c>
      <c r="AX235" s="263" t="e">
        <f>AV235+#REF!+AH235+AA235+T235</f>
        <v>#REF!</v>
      </c>
      <c r="AY235" s="263" t="e">
        <f t="shared" si="174"/>
        <v>#REF!</v>
      </c>
      <c r="AZ235" s="263" t="e">
        <f t="shared" si="175"/>
        <v>#REF!</v>
      </c>
      <c r="BA235" s="263" t="e">
        <f t="shared" si="176"/>
        <v>#REF!</v>
      </c>
      <c r="BB235" s="263" t="e">
        <f t="shared" si="177"/>
        <v>#REF!</v>
      </c>
      <c r="BC235" s="263" t="e">
        <f t="shared" si="178"/>
        <v>#REF!</v>
      </c>
      <c r="BD235" s="263" t="e">
        <f t="shared" si="179"/>
        <v>#REF!</v>
      </c>
      <c r="BE235" s="263" t="e">
        <f>BC235+AV235+#REF!+AH235+AA235</f>
        <v>#REF!</v>
      </c>
      <c r="BF235" s="263" t="e">
        <f t="shared" si="180"/>
        <v>#REF!</v>
      </c>
      <c r="BG235" s="263" t="e">
        <f t="shared" si="181"/>
        <v>#REF!</v>
      </c>
    </row>
    <row r="236" spans="1:59" ht="15.75">
      <c r="A236" s="338">
        <v>18</v>
      </c>
      <c r="B236" s="338" t="s">
        <v>1</v>
      </c>
      <c r="C236" s="258">
        <v>8</v>
      </c>
      <c r="D236" s="328" t="s">
        <v>55</v>
      </c>
      <c r="E236" s="258" t="s">
        <v>9</v>
      </c>
      <c r="F236" s="431">
        <f t="array" ref="F236">MAX((IF(MNU_CODIGO_ALIMENTO_ENTREGA=CONCATENATE($C236,"_","P_"),MNU_GRAMAJE_REQUERIDO_TIPOA,"")))</f>
        <v>100</v>
      </c>
      <c r="G236" s="259">
        <f t="shared" ref="G236:G299" si="182">SUMIF(COSTPE_G_ALIMENTO_GRUPO,CONCATENATE($C236,"_",$A236),COSTPE_G_VOLUMEN_TOTAL_TIPOA)</f>
        <v>66470</v>
      </c>
      <c r="H236" s="259">
        <f t="shared" ref="H236:H299" si="183">SUMIF(COSTSE_G_ALIMENTO_GRUPO,CONCATENATE($C236,"_",$A236),COSTSE_G_VOLUMEN_TOTAL_TIPOA)</f>
        <v>9900</v>
      </c>
      <c r="I236" s="259">
        <f t="shared" ref="I236:I299" si="184">G236+H236</f>
        <v>76370</v>
      </c>
      <c r="J236" s="260">
        <f t="shared" ref="J236:J299" si="185">SUMIF(COSTPE_G_ALIMENTO_GRUPO,CONCATENATE($C236,"_",$A236),COSTPE_G_VALOR_TOTAL_TIPOA)</f>
        <v>9372270</v>
      </c>
      <c r="K236" s="260">
        <f t="shared" ref="K236:K299" si="186">SUMIF(COSTSE_G_ALIMENTO_GRUPO,CONCATENATE($C236,"_",$A236),COSTSE_G_VALOR_TOTAL_TIPOA)</f>
        <v>1395900</v>
      </c>
      <c r="L236" s="260">
        <f t="shared" ref="L236:L299" si="187">J236+K236</f>
        <v>10768170</v>
      </c>
      <c r="M236" s="432">
        <f t="array" ref="M236">MAX((IF(MNU_CODIGO_ALIMENTO_ENTREGA=CONCATENATE($C236,"_","P_"),MNU_GRAMAJE_REQUERIDO_TIPOB,"")))</f>
        <v>100</v>
      </c>
      <c r="N236" s="348">
        <f t="shared" ref="N236:N299" si="188">SUMIF(COSTPE_G_ALIMENTO_GRUPO,CONCATENATE($C236,"_",$A236),COSTPE_G_VOLUMEN_TOTAL_TIPOB)</f>
        <v>56176</v>
      </c>
      <c r="O236" s="348">
        <f t="shared" ref="O236:O299" si="189">SUMIF(COSTSE_G_ALIMENTO_GRUPO,CONCATENATE($C236,"_",$A236),COSTSE_G_VOLUMEN_TOTAL_TIPOB)</f>
        <v>11836</v>
      </c>
      <c r="P236" s="348">
        <f t="shared" ref="P236:P299" si="190">N236+O236</f>
        <v>68012</v>
      </c>
      <c r="Q236" s="349">
        <f t="shared" ref="Q236:Q299" si="191">SUMIF(COSTPE_G_ALIMENTO_GRUPO,CONCATENATE($C236,"_",$A236),COSTPE_G_VALOR_TOTAL_TIPOB)</f>
        <v>7920816</v>
      </c>
      <c r="R236" s="349">
        <f t="shared" ref="R236:R299" si="192">SUMIF(COSTSE_G_ALIMENTO_GRUPO,CONCATENATE($C236,"_",$A236),COSTSE_G_VALOR_TOTAL_TIPOB)</f>
        <v>1668876</v>
      </c>
      <c r="S236" s="349">
        <f t="shared" ref="S236:S299" si="193">Q236+R236</f>
        <v>9589692</v>
      </c>
      <c r="T236" s="353">
        <f t="array" ref="T236">MAX((IF(MNU_CODIGO_ALIMENTO_ENTREGA=CONCATENATE($C236,"_","P_"),MNU_GRAMAJE_REQUERIDO_TIPOC,"")))</f>
        <v>100</v>
      </c>
      <c r="U236" s="259">
        <f t="shared" ref="U236:U299" si="194">SUMIF(COSTPE_G_ALIMENTO_GRUPO,CONCATENATE($C236,"_",$A236),COSTPE_G_VOLUMEN_TOTAL_TIPOC)</f>
        <v>44736</v>
      </c>
      <c r="V236" s="259">
        <f t="shared" ref="V236:V299" si="195">SUMIF(COSTSE_G_ALIMENTO_GRUPO,CONCATENATE($C236,"_",$A236),COSTSE_G_VOLUMEN_TOTAL_TIPOC)</f>
        <v>9988</v>
      </c>
      <c r="W236" s="259">
        <f t="shared" ref="W236:W299" si="196">U236+V236</f>
        <v>54724</v>
      </c>
      <c r="X236" s="260">
        <f t="shared" ref="X236:X299" si="197">SUMIF(COSTPE_G_ALIMENTO_GRUPO,CONCATENATE($C236,"_",$A236),COSTPE_G_VALOR_TOTAL_TIPOC)</f>
        <v>6307776</v>
      </c>
      <c r="Y236" s="260">
        <f t="shared" ref="Y236:Y299" si="198">SUMIF(COSTSE_G_ALIMENTO_GRUPO,CONCATENATE($C236,"_",$A236),COSTSE_G_VALOR_TOTAL_TIPOC)</f>
        <v>1408308</v>
      </c>
      <c r="Z236" s="260">
        <f t="shared" ref="Z236:Z299" si="199">X236+Y236</f>
        <v>7716084</v>
      </c>
      <c r="AA236" s="258">
        <f t="array" ref="AA236">MAX((IF(MNU_CODIGO_ALIMENTO_ENTREGA=CONCATENATE($C236,"_","P_"),MNU_GRAMAJE_REQUERIDO_TIPOM,"")))</f>
        <v>100</v>
      </c>
      <c r="AB236" s="261">
        <f t="shared" ref="AB236:AB299" si="200">SUMIF(COSTPE_G_ALIMENTO_GRUPO,CONCATENATE($C236,"_",$A236),COSTPE_G_VOLUMEN_TOTAL_TIPOM)</f>
        <v>2704</v>
      </c>
      <c r="AC236" s="261">
        <v>0</v>
      </c>
      <c r="AD236" s="261">
        <f t="shared" ref="AD236:AD299" si="201">AB236+AC236</f>
        <v>2704</v>
      </c>
      <c r="AE236" s="262">
        <f t="shared" ref="AE236:AE299" si="202">SUMIF(COSTPE_G_ALIMENTO_GRUPO,CONCATENATE($C236,"_",$A236),COSTPE_G_VALOR_TOTAL_TIPOM)</f>
        <v>381264</v>
      </c>
      <c r="AF236" s="262">
        <v>0</v>
      </c>
      <c r="AG236" s="262">
        <f t="shared" ref="AG236:AG299" si="203">AE236+AF236</f>
        <v>381264</v>
      </c>
      <c r="AH236" s="353">
        <f t="array" ref="AH236">MAX((IF(MNU_CODIGO_ALIMENTO_ENTREGA=CONCATENATE($C236,"_","P_"),MNU_GRAMAJE_REQUERIDO_TIPOH,"")))</f>
        <v>100</v>
      </c>
      <c r="AI236" s="259">
        <f t="shared" ref="AI236:AI299" si="204">SUMIF(COSTPE_G_ALIMENTO_GRUPO,CONCATENATE($C236,"_",$A236),COSTPE_G_VOLUMEN_TOTAL_TIPOH)</f>
        <v>2832</v>
      </c>
      <c r="AJ236" s="259">
        <v>0</v>
      </c>
      <c r="AK236" s="259">
        <f t="shared" ref="AK236:AK299" si="205">AI236+AJ236</f>
        <v>2832</v>
      </c>
      <c r="AL236" s="260">
        <f t="shared" ref="AL236:AL299" si="206">SUMIF(COSTPE_G_ALIMENTO_GRUPO,CONCATENATE($C236,"_",$A236),COSTPE_G_VALOR_TOTAL_TIPOH)</f>
        <v>399312</v>
      </c>
      <c r="AM236" s="260">
        <v>0</v>
      </c>
      <c r="AN236" s="260">
        <f t="shared" ref="AN236:AN299" si="207">AL236+AM236</f>
        <v>399312</v>
      </c>
      <c r="AO236" s="457">
        <f t="shared" ref="AO236:AO299" si="208">AK236+AD236+W236+P236+I236</f>
        <v>204642</v>
      </c>
      <c r="AP236" s="456">
        <f t="shared" ref="AP236:AP299" si="209">AN236+AG236+Z236+S236+L236</f>
        <v>28854522</v>
      </c>
      <c r="AQ236" s="263" t="e">
        <f>#REF!+AH236+AA236+T236+M236</f>
        <v>#REF!</v>
      </c>
      <c r="AR236" s="263">
        <f t="shared" si="168"/>
        <v>28960970</v>
      </c>
      <c r="AS236" s="263" t="e">
        <f t="shared" si="169"/>
        <v>#REF!</v>
      </c>
      <c r="AT236" s="263">
        <f t="shared" si="170"/>
        <v>29089242</v>
      </c>
      <c r="AU236" s="263" t="e">
        <f t="shared" si="171"/>
        <v>#REF!</v>
      </c>
      <c r="AV236" s="263">
        <f t="shared" si="172"/>
        <v>32166426</v>
      </c>
      <c r="AW236" s="263" t="e">
        <f t="shared" si="173"/>
        <v>#REF!</v>
      </c>
      <c r="AX236" s="263" t="e">
        <f>AV236+#REF!+AH236+AA236+T236</f>
        <v>#REF!</v>
      </c>
      <c r="AY236" s="263" t="e">
        <f t="shared" si="174"/>
        <v>#REF!</v>
      </c>
      <c r="AZ236" s="263" t="e">
        <f t="shared" si="175"/>
        <v>#REF!</v>
      </c>
      <c r="BA236" s="263" t="e">
        <f t="shared" si="176"/>
        <v>#REF!</v>
      </c>
      <c r="BB236" s="263" t="e">
        <f t="shared" si="177"/>
        <v>#REF!</v>
      </c>
      <c r="BC236" s="263" t="e">
        <f t="shared" si="178"/>
        <v>#REF!</v>
      </c>
      <c r="BD236" s="263" t="e">
        <f t="shared" si="179"/>
        <v>#REF!</v>
      </c>
      <c r="BE236" s="263" t="e">
        <f>BC236+AV236+#REF!+AH236+AA236</f>
        <v>#REF!</v>
      </c>
      <c r="BF236" s="263" t="e">
        <f t="shared" si="180"/>
        <v>#REF!</v>
      </c>
      <c r="BG236" s="263" t="e">
        <f t="shared" si="181"/>
        <v>#REF!</v>
      </c>
    </row>
    <row r="237" spans="1:59" ht="15.75">
      <c r="A237" s="338">
        <v>18</v>
      </c>
      <c r="B237" s="338" t="s">
        <v>1</v>
      </c>
      <c r="C237" s="258">
        <v>17</v>
      </c>
      <c r="D237" s="328" t="s">
        <v>53</v>
      </c>
      <c r="E237" s="258" t="s">
        <v>9</v>
      </c>
      <c r="F237" s="431">
        <f t="array" ref="F237">MAX((IF(MNU_CODIGO_ALIMENTO_ENTREGA=CONCATENATE($C237,"_","P_"),MNU_GRAMAJE_REQUERIDO_TIPOA,"")))</f>
        <v>0</v>
      </c>
      <c r="G237" s="259">
        <f t="shared" si="182"/>
        <v>0</v>
      </c>
      <c r="H237" s="259">
        <f t="shared" si="183"/>
        <v>0</v>
      </c>
      <c r="I237" s="259">
        <f t="shared" si="184"/>
        <v>0</v>
      </c>
      <c r="J237" s="260">
        <f t="shared" si="185"/>
        <v>0</v>
      </c>
      <c r="K237" s="260">
        <f t="shared" si="186"/>
        <v>0</v>
      </c>
      <c r="L237" s="260">
        <f t="shared" si="187"/>
        <v>0</v>
      </c>
      <c r="M237" s="432">
        <f t="array" ref="M237">MAX((IF(MNU_CODIGO_ALIMENTO_ENTREGA=CONCATENATE($C237,"_","P_"),MNU_GRAMAJE_REQUERIDO_TIPOB,"")))</f>
        <v>100</v>
      </c>
      <c r="N237" s="348">
        <f t="shared" si="188"/>
        <v>147462</v>
      </c>
      <c r="O237" s="348">
        <f t="shared" si="189"/>
        <v>25588</v>
      </c>
      <c r="P237" s="348">
        <f t="shared" si="190"/>
        <v>173050</v>
      </c>
      <c r="Q237" s="349">
        <f t="shared" si="191"/>
        <v>34948494</v>
      </c>
      <c r="R237" s="349">
        <f t="shared" si="192"/>
        <v>6064356</v>
      </c>
      <c r="S237" s="349">
        <f t="shared" si="193"/>
        <v>41012850</v>
      </c>
      <c r="T237" s="353">
        <f t="array" ref="T237">MAX((IF(MNU_CODIGO_ALIMENTO_ENTREGA=CONCATENATE($C237,"_","P_"),MNU_GRAMAJE_REQUERIDO_TIPOC,"")))</f>
        <v>100</v>
      </c>
      <c r="U237" s="259">
        <f t="shared" si="194"/>
        <v>117432</v>
      </c>
      <c r="V237" s="259">
        <f t="shared" si="195"/>
        <v>22744</v>
      </c>
      <c r="W237" s="259">
        <f t="shared" si="196"/>
        <v>140176</v>
      </c>
      <c r="X237" s="260">
        <f t="shared" si="197"/>
        <v>27831384</v>
      </c>
      <c r="Y237" s="260">
        <f t="shared" si="198"/>
        <v>5390328</v>
      </c>
      <c r="Z237" s="260">
        <f t="shared" si="199"/>
        <v>33221712</v>
      </c>
      <c r="AA237" s="258">
        <f t="array" ref="AA237">MAX((IF(MNU_CODIGO_ALIMENTO_ENTREGA=CONCATENATE($C237,"_","P_"),MNU_GRAMAJE_REQUERIDO_TIPOM,"")))</f>
        <v>100</v>
      </c>
      <c r="AB237" s="261">
        <f t="shared" si="200"/>
        <v>7098</v>
      </c>
      <c r="AC237" s="261">
        <v>0</v>
      </c>
      <c r="AD237" s="261">
        <f t="shared" si="201"/>
        <v>7098</v>
      </c>
      <c r="AE237" s="262">
        <f t="shared" si="202"/>
        <v>1682226</v>
      </c>
      <c r="AF237" s="262">
        <v>0</v>
      </c>
      <c r="AG237" s="262">
        <f t="shared" si="203"/>
        <v>1682226</v>
      </c>
      <c r="AH237" s="353">
        <f t="array" ref="AH237">MAX((IF(MNU_CODIGO_ALIMENTO_ENTREGA=CONCATENATE($C237,"_","P_"),MNU_GRAMAJE_REQUERIDO_TIPOH,"")))</f>
        <v>100</v>
      </c>
      <c r="AI237" s="259">
        <f t="shared" si="204"/>
        <v>7434</v>
      </c>
      <c r="AJ237" s="259">
        <v>0</v>
      </c>
      <c r="AK237" s="259">
        <f t="shared" si="205"/>
        <v>7434</v>
      </c>
      <c r="AL237" s="260">
        <f t="shared" si="206"/>
        <v>1761858</v>
      </c>
      <c r="AM237" s="260">
        <v>0</v>
      </c>
      <c r="AN237" s="260">
        <f t="shared" si="207"/>
        <v>1761858</v>
      </c>
      <c r="AO237" s="457">
        <f t="shared" si="208"/>
        <v>327758</v>
      </c>
      <c r="AP237" s="456">
        <f t="shared" si="209"/>
        <v>77678646</v>
      </c>
      <c r="AQ237" s="263" t="e">
        <f>#REF!+AH237+AA237+T237+M237</f>
        <v>#REF!</v>
      </c>
      <c r="AR237" s="263">
        <f t="shared" si="168"/>
        <v>77958072</v>
      </c>
      <c r="AS237" s="263" t="e">
        <f t="shared" si="169"/>
        <v>#REF!</v>
      </c>
      <c r="AT237" s="263">
        <f t="shared" si="170"/>
        <v>78285830</v>
      </c>
      <c r="AU237" s="263" t="e">
        <f t="shared" si="171"/>
        <v>#REF!</v>
      </c>
      <c r="AV237" s="263">
        <f t="shared" si="172"/>
        <v>89740514</v>
      </c>
      <c r="AW237" s="263" t="e">
        <f t="shared" si="173"/>
        <v>#REF!</v>
      </c>
      <c r="AX237" s="263" t="e">
        <f>AV237+#REF!+AH237+AA237+T237</f>
        <v>#REF!</v>
      </c>
      <c r="AY237" s="263" t="e">
        <f t="shared" si="174"/>
        <v>#REF!</v>
      </c>
      <c r="AZ237" s="263" t="e">
        <f t="shared" si="175"/>
        <v>#REF!</v>
      </c>
      <c r="BA237" s="263" t="e">
        <f t="shared" si="176"/>
        <v>#REF!</v>
      </c>
      <c r="BB237" s="263" t="e">
        <f t="shared" si="177"/>
        <v>#REF!</v>
      </c>
      <c r="BC237" s="263" t="e">
        <f t="shared" si="178"/>
        <v>#REF!</v>
      </c>
      <c r="BD237" s="263" t="e">
        <f t="shared" si="179"/>
        <v>#REF!</v>
      </c>
      <c r="BE237" s="263" t="e">
        <f>BC237+AV237+#REF!+AH237+AA237</f>
        <v>#REF!</v>
      </c>
      <c r="BF237" s="263" t="e">
        <f t="shared" si="180"/>
        <v>#REF!</v>
      </c>
      <c r="BG237" s="263" t="e">
        <f t="shared" si="181"/>
        <v>#REF!</v>
      </c>
    </row>
    <row r="238" spans="1:59" ht="15.75">
      <c r="A238" s="338">
        <v>18</v>
      </c>
      <c r="B238" s="338" t="s">
        <v>1</v>
      </c>
      <c r="C238" s="258">
        <v>22</v>
      </c>
      <c r="D238" s="328" t="s">
        <v>51</v>
      </c>
      <c r="E238" s="258" t="s">
        <v>9</v>
      </c>
      <c r="F238" s="431">
        <f t="array" ref="F238">MAX((IF(MNU_CODIGO_ALIMENTO_ENTREGA=CONCATENATE($C238,"_","P_"),MNU_GRAMAJE_REQUERIDO_TIPOA,"")))</f>
        <v>0</v>
      </c>
      <c r="G238" s="259">
        <f t="shared" si="182"/>
        <v>0</v>
      </c>
      <c r="H238" s="259">
        <f t="shared" si="183"/>
        <v>0</v>
      </c>
      <c r="I238" s="259">
        <f t="shared" si="184"/>
        <v>0</v>
      </c>
      <c r="J238" s="260">
        <f t="shared" si="185"/>
        <v>0</v>
      </c>
      <c r="K238" s="260">
        <f t="shared" si="186"/>
        <v>0</v>
      </c>
      <c r="L238" s="260">
        <f t="shared" si="187"/>
        <v>0</v>
      </c>
      <c r="M238" s="432">
        <f t="array" ref="M238">MAX((IF(MNU_CODIGO_ALIMENTO_ENTREGA=CONCATENATE($C238,"_","P_"),MNU_GRAMAJE_REQUERIDO_TIPOB,"")))</f>
        <v>100</v>
      </c>
      <c r="N238" s="348">
        <f t="shared" si="188"/>
        <v>140440</v>
      </c>
      <c r="O238" s="348">
        <f t="shared" si="189"/>
        <v>25588</v>
      </c>
      <c r="P238" s="348">
        <f t="shared" si="190"/>
        <v>166028</v>
      </c>
      <c r="Q238" s="349">
        <f t="shared" si="191"/>
        <v>77382440</v>
      </c>
      <c r="R238" s="349">
        <f t="shared" si="192"/>
        <v>14098988</v>
      </c>
      <c r="S238" s="349">
        <f t="shared" si="193"/>
        <v>91481428</v>
      </c>
      <c r="T238" s="353">
        <f t="array" ref="T238">MAX((IF(MNU_CODIGO_ALIMENTO_ENTREGA=CONCATENATE($C238,"_","P_"),MNU_GRAMAJE_REQUERIDO_TIPOC,"")))</f>
        <v>100</v>
      </c>
      <c r="U238" s="259">
        <f t="shared" si="194"/>
        <v>111840</v>
      </c>
      <c r="V238" s="259">
        <f t="shared" si="195"/>
        <v>22744</v>
      </c>
      <c r="W238" s="259">
        <f t="shared" si="196"/>
        <v>134584</v>
      </c>
      <c r="X238" s="260">
        <f t="shared" si="197"/>
        <v>61623840</v>
      </c>
      <c r="Y238" s="260">
        <f t="shared" si="198"/>
        <v>12531944</v>
      </c>
      <c r="Z238" s="260">
        <f t="shared" si="199"/>
        <v>74155784</v>
      </c>
      <c r="AA238" s="258">
        <f t="array" ref="AA238">MAX((IF(MNU_CODIGO_ALIMENTO_ENTREGA=CONCATENATE($C238,"_","P_"),MNU_GRAMAJE_REQUERIDO_TIPOM,"")))</f>
        <v>100</v>
      </c>
      <c r="AB238" s="261">
        <f t="shared" si="200"/>
        <v>6760</v>
      </c>
      <c r="AC238" s="261">
        <v>0</v>
      </c>
      <c r="AD238" s="261">
        <f t="shared" si="201"/>
        <v>6760</v>
      </c>
      <c r="AE238" s="262">
        <f t="shared" si="202"/>
        <v>3724760</v>
      </c>
      <c r="AF238" s="262">
        <v>0</v>
      </c>
      <c r="AG238" s="262">
        <f t="shared" si="203"/>
        <v>3724760</v>
      </c>
      <c r="AH238" s="353">
        <f t="array" ref="AH238">MAX((IF(MNU_CODIGO_ALIMENTO_ENTREGA=CONCATENATE($C238,"_","P_"),MNU_GRAMAJE_REQUERIDO_TIPOH,"")))</f>
        <v>100</v>
      </c>
      <c r="AI238" s="259">
        <f t="shared" si="204"/>
        <v>7080</v>
      </c>
      <c r="AJ238" s="259">
        <v>0</v>
      </c>
      <c r="AK238" s="259">
        <f t="shared" si="205"/>
        <v>7080</v>
      </c>
      <c r="AL238" s="260">
        <f t="shared" si="206"/>
        <v>3901080</v>
      </c>
      <c r="AM238" s="260">
        <v>0</v>
      </c>
      <c r="AN238" s="260">
        <f t="shared" si="207"/>
        <v>3901080</v>
      </c>
      <c r="AO238" s="457">
        <f t="shared" si="208"/>
        <v>314452</v>
      </c>
      <c r="AP238" s="456">
        <f t="shared" si="209"/>
        <v>173263052</v>
      </c>
      <c r="AQ238" s="263" t="e">
        <f>#REF!+AH238+AA238+T238+M238</f>
        <v>#REF!</v>
      </c>
      <c r="AR238" s="263">
        <f t="shared" si="168"/>
        <v>173529172</v>
      </c>
      <c r="AS238" s="263" t="e">
        <f t="shared" si="169"/>
        <v>#REF!</v>
      </c>
      <c r="AT238" s="263">
        <f t="shared" si="170"/>
        <v>173843624</v>
      </c>
      <c r="AU238" s="263" t="e">
        <f t="shared" si="171"/>
        <v>#REF!</v>
      </c>
      <c r="AV238" s="263">
        <f t="shared" si="172"/>
        <v>200474556</v>
      </c>
      <c r="AW238" s="263" t="e">
        <f t="shared" si="173"/>
        <v>#REF!</v>
      </c>
      <c r="AX238" s="263" t="e">
        <f>AV238+#REF!+AH238+AA238+T238</f>
        <v>#REF!</v>
      </c>
      <c r="AY238" s="263" t="e">
        <f t="shared" si="174"/>
        <v>#REF!</v>
      </c>
      <c r="AZ238" s="263" t="e">
        <f t="shared" si="175"/>
        <v>#REF!</v>
      </c>
      <c r="BA238" s="263" t="e">
        <f t="shared" si="176"/>
        <v>#REF!</v>
      </c>
      <c r="BB238" s="263" t="e">
        <f t="shared" si="177"/>
        <v>#REF!</v>
      </c>
      <c r="BC238" s="263" t="e">
        <f t="shared" si="178"/>
        <v>#REF!</v>
      </c>
      <c r="BD238" s="263" t="e">
        <f t="shared" si="179"/>
        <v>#REF!</v>
      </c>
      <c r="BE238" s="263" t="e">
        <f>BC238+AV238+#REF!+AH238+AA238</f>
        <v>#REF!</v>
      </c>
      <c r="BF238" s="263" t="e">
        <f t="shared" si="180"/>
        <v>#REF!</v>
      </c>
      <c r="BG238" s="263" t="e">
        <f t="shared" si="181"/>
        <v>#REF!</v>
      </c>
    </row>
    <row r="239" spans="1:59" ht="15.75">
      <c r="A239" s="338">
        <v>18</v>
      </c>
      <c r="B239" s="338" t="s">
        <v>1</v>
      </c>
      <c r="C239" s="258">
        <v>33</v>
      </c>
      <c r="D239" s="328" t="s">
        <v>59</v>
      </c>
      <c r="E239" s="258" t="s">
        <v>48</v>
      </c>
      <c r="F239" s="431">
        <v>1</v>
      </c>
      <c r="G239" s="259">
        <f t="shared" si="182"/>
        <v>179469</v>
      </c>
      <c r="H239" s="259">
        <f t="shared" si="183"/>
        <v>26100</v>
      </c>
      <c r="I239" s="259">
        <f t="shared" si="184"/>
        <v>205569</v>
      </c>
      <c r="J239" s="260">
        <f t="shared" si="185"/>
        <v>50789727</v>
      </c>
      <c r="K239" s="260">
        <f t="shared" si="186"/>
        <v>7386300</v>
      </c>
      <c r="L239" s="260">
        <f t="shared" si="187"/>
        <v>58176027</v>
      </c>
      <c r="M239" s="432">
        <v>1</v>
      </c>
      <c r="N239" s="348">
        <f t="shared" si="188"/>
        <v>126396</v>
      </c>
      <c r="O239" s="348">
        <f t="shared" si="189"/>
        <v>25168</v>
      </c>
      <c r="P239" s="348">
        <f t="shared" si="190"/>
        <v>151564</v>
      </c>
      <c r="Q239" s="349">
        <f t="shared" si="191"/>
        <v>35770068</v>
      </c>
      <c r="R239" s="349">
        <f t="shared" si="192"/>
        <v>7122544</v>
      </c>
      <c r="S239" s="349">
        <f t="shared" si="193"/>
        <v>42892612</v>
      </c>
      <c r="T239" s="431">
        <v>1</v>
      </c>
      <c r="U239" s="259">
        <f t="shared" si="194"/>
        <v>100656</v>
      </c>
      <c r="V239" s="259">
        <f t="shared" si="195"/>
        <v>21814</v>
      </c>
      <c r="W239" s="259">
        <f t="shared" si="196"/>
        <v>122470</v>
      </c>
      <c r="X239" s="260">
        <f t="shared" si="197"/>
        <v>28485648</v>
      </c>
      <c r="Y239" s="260">
        <f t="shared" si="198"/>
        <v>6173362</v>
      </c>
      <c r="Z239" s="260">
        <f t="shared" si="199"/>
        <v>34659010</v>
      </c>
      <c r="AA239" s="258">
        <v>1</v>
      </c>
      <c r="AB239" s="261">
        <f t="shared" si="200"/>
        <v>6084</v>
      </c>
      <c r="AC239" s="261">
        <v>0</v>
      </c>
      <c r="AD239" s="261">
        <f t="shared" si="201"/>
        <v>6084</v>
      </c>
      <c r="AE239" s="262">
        <f t="shared" si="202"/>
        <v>1721772</v>
      </c>
      <c r="AF239" s="262">
        <v>0</v>
      </c>
      <c r="AG239" s="262">
        <f t="shared" si="203"/>
        <v>1721772</v>
      </c>
      <c r="AH239" s="353">
        <v>1</v>
      </c>
      <c r="AI239" s="259">
        <f t="shared" si="204"/>
        <v>6372</v>
      </c>
      <c r="AJ239" s="259">
        <v>0</v>
      </c>
      <c r="AK239" s="259">
        <f t="shared" si="205"/>
        <v>6372</v>
      </c>
      <c r="AL239" s="260">
        <f t="shared" si="206"/>
        <v>1803276</v>
      </c>
      <c r="AM239" s="260">
        <v>0</v>
      </c>
      <c r="AN239" s="260">
        <f t="shared" si="207"/>
        <v>1803276</v>
      </c>
      <c r="AO239" s="457">
        <f t="shared" si="208"/>
        <v>492059</v>
      </c>
      <c r="AP239" s="456">
        <f t="shared" si="209"/>
        <v>139252697</v>
      </c>
      <c r="AQ239" s="263" t="e">
        <f>#REF!+AH239+AA239+T239+M239</f>
        <v>#REF!</v>
      </c>
      <c r="AR239" s="263">
        <f t="shared" si="168"/>
        <v>139492205</v>
      </c>
      <c r="AS239" s="263" t="e">
        <f t="shared" si="169"/>
        <v>#REF!</v>
      </c>
      <c r="AT239" s="263">
        <f t="shared" si="170"/>
        <v>139778695</v>
      </c>
      <c r="AU239" s="263" t="e">
        <f t="shared" si="171"/>
        <v>#REF!</v>
      </c>
      <c r="AV239" s="263">
        <f t="shared" si="172"/>
        <v>153074601</v>
      </c>
      <c r="AW239" s="263" t="e">
        <f t="shared" si="173"/>
        <v>#REF!</v>
      </c>
      <c r="AX239" s="263" t="e">
        <f>AV239+#REF!+AH239+AA239+T239</f>
        <v>#REF!</v>
      </c>
      <c r="AY239" s="263" t="e">
        <f t="shared" si="174"/>
        <v>#REF!</v>
      </c>
      <c r="AZ239" s="263" t="e">
        <f t="shared" si="175"/>
        <v>#REF!</v>
      </c>
      <c r="BA239" s="263" t="e">
        <f t="shared" si="176"/>
        <v>#REF!</v>
      </c>
      <c r="BB239" s="263" t="e">
        <f t="shared" si="177"/>
        <v>#REF!</v>
      </c>
      <c r="BC239" s="263" t="e">
        <f t="shared" si="178"/>
        <v>#REF!</v>
      </c>
      <c r="BD239" s="263" t="e">
        <f t="shared" si="179"/>
        <v>#REF!</v>
      </c>
      <c r="BE239" s="263" t="e">
        <f>BC239+AV239+#REF!+AH239+AA239</f>
        <v>#REF!</v>
      </c>
      <c r="BF239" s="263" t="e">
        <f t="shared" si="180"/>
        <v>#REF!</v>
      </c>
      <c r="BG239" s="263" t="e">
        <f t="shared" si="181"/>
        <v>#REF!</v>
      </c>
    </row>
    <row r="240" spans="1:59" ht="15.75">
      <c r="A240" s="338">
        <v>18</v>
      </c>
      <c r="B240" s="338" t="s">
        <v>1</v>
      </c>
      <c r="C240" s="258">
        <v>36</v>
      </c>
      <c r="D240" s="328" t="s">
        <v>1340</v>
      </c>
      <c r="E240" s="258" t="s">
        <v>9</v>
      </c>
      <c r="F240" s="431">
        <f t="array" ref="F240">MAX((IF(MNU_CODIGO_ALIMENTO_ENTREGA=CONCATENATE($C240,"_","P_"),MNU_GRAMAJE_REQUERIDO_TIPOA,"")))</f>
        <v>20</v>
      </c>
      <c r="G240" s="259">
        <f t="shared" si="182"/>
        <v>46529</v>
      </c>
      <c r="H240" s="259">
        <f t="shared" si="183"/>
        <v>7200</v>
      </c>
      <c r="I240" s="259">
        <f t="shared" si="184"/>
        <v>53729</v>
      </c>
      <c r="J240" s="260">
        <f t="shared" si="185"/>
        <v>6141828</v>
      </c>
      <c r="K240" s="260">
        <f t="shared" si="186"/>
        <v>950400</v>
      </c>
      <c r="L240" s="260">
        <f t="shared" si="187"/>
        <v>7092228</v>
      </c>
      <c r="M240" s="432">
        <f t="array" ref="M240">MAX((IF(MNU_CODIGO_ALIMENTO_ENTREGA=CONCATENATE($C240,"_","P_"),MNU_GRAMAJE_REQUERIDO_TIPOB,"")))</f>
        <v>40</v>
      </c>
      <c r="N240" s="348">
        <f t="shared" si="188"/>
        <v>49154</v>
      </c>
      <c r="O240" s="348">
        <f t="shared" si="189"/>
        <v>8608</v>
      </c>
      <c r="P240" s="348">
        <f t="shared" si="190"/>
        <v>57762</v>
      </c>
      <c r="Q240" s="349">
        <f t="shared" si="191"/>
        <v>13025810</v>
      </c>
      <c r="R240" s="349">
        <f t="shared" si="192"/>
        <v>2281120</v>
      </c>
      <c r="S240" s="349">
        <f t="shared" si="193"/>
        <v>15306930</v>
      </c>
      <c r="T240" s="353">
        <f t="array" ref="T240">MAX((IF(MNU_CODIGO_ALIMENTO_ENTREGA=CONCATENATE($C240,"_","P_"),MNU_GRAMAJE_REQUERIDO_TIPOC,"")))</f>
        <v>40</v>
      </c>
      <c r="U240" s="259">
        <f t="shared" si="194"/>
        <v>39144</v>
      </c>
      <c r="V240" s="259">
        <f t="shared" si="195"/>
        <v>7264</v>
      </c>
      <c r="W240" s="259">
        <f t="shared" si="196"/>
        <v>46408</v>
      </c>
      <c r="X240" s="260">
        <f t="shared" si="197"/>
        <v>10373160</v>
      </c>
      <c r="Y240" s="260">
        <f t="shared" si="198"/>
        <v>1924960</v>
      </c>
      <c r="Z240" s="260">
        <f t="shared" si="199"/>
        <v>12298120</v>
      </c>
      <c r="AA240" s="258">
        <f t="array" ref="AA240">MAX((IF(MNU_CODIGO_ALIMENTO_ENTREGA=CONCATENATE($C240,"_","P_"),MNU_GRAMAJE_REQUERIDO_TIPOM,"")))</f>
        <v>40</v>
      </c>
      <c r="AB240" s="261">
        <f t="shared" si="200"/>
        <v>2366</v>
      </c>
      <c r="AC240" s="261">
        <v>0</v>
      </c>
      <c r="AD240" s="261">
        <f t="shared" si="201"/>
        <v>2366</v>
      </c>
      <c r="AE240" s="262">
        <f t="shared" si="202"/>
        <v>626990</v>
      </c>
      <c r="AF240" s="262">
        <v>0</v>
      </c>
      <c r="AG240" s="262">
        <f t="shared" si="203"/>
        <v>626990</v>
      </c>
      <c r="AH240" s="353">
        <f t="array" ref="AH240">MAX((IF(MNU_CODIGO_ALIMENTO_ENTREGA=CONCATENATE($C240,"_","P_"),MNU_GRAMAJE_REQUERIDO_TIPOH,"")))</f>
        <v>40</v>
      </c>
      <c r="AI240" s="259">
        <f t="shared" si="204"/>
        <v>2478</v>
      </c>
      <c r="AJ240" s="259">
        <v>0</v>
      </c>
      <c r="AK240" s="259">
        <f t="shared" si="205"/>
        <v>2478</v>
      </c>
      <c r="AL240" s="260">
        <f t="shared" si="206"/>
        <v>656670</v>
      </c>
      <c r="AM240" s="260">
        <v>0</v>
      </c>
      <c r="AN240" s="260">
        <f t="shared" si="207"/>
        <v>656670</v>
      </c>
      <c r="AO240" s="457">
        <f t="shared" si="208"/>
        <v>162743</v>
      </c>
      <c r="AP240" s="456">
        <f t="shared" si="209"/>
        <v>35980938</v>
      </c>
      <c r="AQ240" s="263" t="e">
        <f>#REF!+AH240+AA240+T240+M240</f>
        <v>#REF!</v>
      </c>
      <c r="AR240" s="263">
        <f t="shared" si="168"/>
        <v>36074080</v>
      </c>
      <c r="AS240" s="263" t="e">
        <f t="shared" si="169"/>
        <v>#REF!</v>
      </c>
      <c r="AT240" s="263">
        <f t="shared" si="170"/>
        <v>36183094</v>
      </c>
      <c r="AU240" s="263" t="e">
        <f t="shared" si="171"/>
        <v>#REF!</v>
      </c>
      <c r="AV240" s="263">
        <f t="shared" si="172"/>
        <v>40389174</v>
      </c>
      <c r="AW240" s="263" t="e">
        <f t="shared" si="173"/>
        <v>#REF!</v>
      </c>
      <c r="AX240" s="263" t="e">
        <f>AV240+#REF!+AH240+AA240+T240</f>
        <v>#REF!</v>
      </c>
      <c r="AY240" s="263" t="e">
        <f t="shared" si="174"/>
        <v>#REF!</v>
      </c>
      <c r="AZ240" s="263" t="e">
        <f t="shared" si="175"/>
        <v>#REF!</v>
      </c>
      <c r="BA240" s="263" t="e">
        <f t="shared" si="176"/>
        <v>#REF!</v>
      </c>
      <c r="BB240" s="263" t="e">
        <f t="shared" si="177"/>
        <v>#REF!</v>
      </c>
      <c r="BC240" s="263" t="e">
        <f t="shared" si="178"/>
        <v>#REF!</v>
      </c>
      <c r="BD240" s="263" t="e">
        <f t="shared" si="179"/>
        <v>#REF!</v>
      </c>
      <c r="BE240" s="263" t="e">
        <f>BC240+AV240+#REF!+AH240+AA240</f>
        <v>#REF!</v>
      </c>
      <c r="BF240" s="263" t="e">
        <f t="shared" si="180"/>
        <v>#REF!</v>
      </c>
      <c r="BG240" s="263" t="e">
        <f t="shared" si="181"/>
        <v>#REF!</v>
      </c>
    </row>
    <row r="241" spans="1:59" ht="15.75">
      <c r="A241" s="338">
        <v>18</v>
      </c>
      <c r="B241" s="338" t="s">
        <v>1</v>
      </c>
      <c r="C241" s="258">
        <v>42</v>
      </c>
      <c r="D241" s="328" t="s">
        <v>61</v>
      </c>
      <c r="E241" s="258" t="s">
        <v>9</v>
      </c>
      <c r="F241" s="431">
        <f t="array" ref="F241">MAX((IF(MNU_CODIGO_ALIMENTO_ENTREGA=CONCATENATE($C241,"_","P_"),MNU_GRAMAJE_REQUERIDO_TIPOA,"")))</f>
        <v>100</v>
      </c>
      <c r="G241" s="259">
        <f t="shared" si="182"/>
        <v>152881</v>
      </c>
      <c r="H241" s="259">
        <f t="shared" si="183"/>
        <v>32400</v>
      </c>
      <c r="I241" s="259">
        <f t="shared" si="184"/>
        <v>185281</v>
      </c>
      <c r="J241" s="260">
        <f t="shared" si="185"/>
        <v>31187724</v>
      </c>
      <c r="K241" s="260">
        <f t="shared" si="186"/>
        <v>6609600</v>
      </c>
      <c r="L241" s="260">
        <f t="shared" si="187"/>
        <v>37797324</v>
      </c>
      <c r="M241" s="432">
        <f t="array" ref="M241">MAX((IF(MNU_CODIGO_ALIMENTO_ENTREGA=CONCATENATE($C241,"_","P_"),MNU_GRAMAJE_REQUERIDO_TIPOB,"")))</f>
        <v>100</v>
      </c>
      <c r="N241" s="348">
        <f t="shared" si="188"/>
        <v>133418</v>
      </c>
      <c r="O241" s="348">
        <f t="shared" si="189"/>
        <v>22124</v>
      </c>
      <c r="P241" s="348">
        <f t="shared" si="190"/>
        <v>155542</v>
      </c>
      <c r="Q241" s="349">
        <f t="shared" si="191"/>
        <v>27217272</v>
      </c>
      <c r="R241" s="349">
        <f t="shared" si="192"/>
        <v>4513296</v>
      </c>
      <c r="S241" s="349">
        <f t="shared" si="193"/>
        <v>31730568</v>
      </c>
      <c r="T241" s="353">
        <f t="array" ref="T241">MAX((IF(MNU_CODIGO_ALIMENTO_ENTREGA=CONCATENATE($C241,"_","P_"),MNU_GRAMAJE_REQUERIDO_TIPOC,"")))</f>
        <v>100</v>
      </c>
      <c r="U241" s="259">
        <f t="shared" si="194"/>
        <v>106248</v>
      </c>
      <c r="V241" s="259">
        <f t="shared" si="195"/>
        <v>20972</v>
      </c>
      <c r="W241" s="259">
        <f t="shared" si="196"/>
        <v>127220</v>
      </c>
      <c r="X241" s="260">
        <f t="shared" si="197"/>
        <v>21674592</v>
      </c>
      <c r="Y241" s="260">
        <f t="shared" si="198"/>
        <v>4278288</v>
      </c>
      <c r="Z241" s="260">
        <f t="shared" si="199"/>
        <v>25952880</v>
      </c>
      <c r="AA241" s="258">
        <f t="array" ref="AA241">MAX((IF(MNU_CODIGO_ALIMENTO_ENTREGA=CONCATENATE($C241,"_","P_"),MNU_GRAMAJE_REQUERIDO_TIPOM,"")))</f>
        <v>100</v>
      </c>
      <c r="AB241" s="261">
        <f t="shared" si="200"/>
        <v>6422</v>
      </c>
      <c r="AC241" s="261">
        <v>0</v>
      </c>
      <c r="AD241" s="261">
        <f t="shared" si="201"/>
        <v>6422</v>
      </c>
      <c r="AE241" s="262">
        <f t="shared" si="202"/>
        <v>1310088</v>
      </c>
      <c r="AF241" s="262">
        <v>0</v>
      </c>
      <c r="AG241" s="262">
        <f t="shared" si="203"/>
        <v>1310088</v>
      </c>
      <c r="AH241" s="353">
        <f t="array" ref="AH241">MAX((IF(MNU_CODIGO_ALIMENTO_ENTREGA=CONCATENATE($C241,"_","P_"),MNU_GRAMAJE_REQUERIDO_TIPOH,"")))</f>
        <v>100</v>
      </c>
      <c r="AI241" s="259">
        <f t="shared" si="204"/>
        <v>6726</v>
      </c>
      <c r="AJ241" s="259">
        <v>0</v>
      </c>
      <c r="AK241" s="259">
        <f t="shared" si="205"/>
        <v>6726</v>
      </c>
      <c r="AL241" s="260">
        <f t="shared" si="206"/>
        <v>1372104</v>
      </c>
      <c r="AM241" s="260">
        <v>0</v>
      </c>
      <c r="AN241" s="260">
        <f t="shared" si="207"/>
        <v>1372104</v>
      </c>
      <c r="AO241" s="457">
        <f t="shared" si="208"/>
        <v>481191</v>
      </c>
      <c r="AP241" s="456">
        <f t="shared" si="209"/>
        <v>98162964</v>
      </c>
      <c r="AQ241" s="263" t="e">
        <f>#REF!+AH241+AA241+T241+M241</f>
        <v>#REF!</v>
      </c>
      <c r="AR241" s="263">
        <f t="shared" si="168"/>
        <v>98415778</v>
      </c>
      <c r="AS241" s="263" t="e">
        <f t="shared" si="169"/>
        <v>#REF!</v>
      </c>
      <c r="AT241" s="263">
        <f t="shared" si="170"/>
        <v>98711688</v>
      </c>
      <c r="AU241" s="263" t="e">
        <f t="shared" si="171"/>
        <v>#REF!</v>
      </c>
      <c r="AV241" s="263">
        <f t="shared" si="172"/>
        <v>107503272</v>
      </c>
      <c r="AW241" s="263" t="e">
        <f t="shared" si="173"/>
        <v>#REF!</v>
      </c>
      <c r="AX241" s="263" t="e">
        <f>AV241+#REF!+AH241+AA241+T241</f>
        <v>#REF!</v>
      </c>
      <c r="AY241" s="263" t="e">
        <f t="shared" si="174"/>
        <v>#REF!</v>
      </c>
      <c r="AZ241" s="263" t="e">
        <f t="shared" si="175"/>
        <v>#REF!</v>
      </c>
      <c r="BA241" s="263" t="e">
        <f t="shared" si="176"/>
        <v>#REF!</v>
      </c>
      <c r="BB241" s="263" t="e">
        <f t="shared" si="177"/>
        <v>#REF!</v>
      </c>
      <c r="BC241" s="263" t="e">
        <f t="shared" si="178"/>
        <v>#REF!</v>
      </c>
      <c r="BD241" s="263" t="e">
        <f t="shared" si="179"/>
        <v>#REF!</v>
      </c>
      <c r="BE241" s="263" t="e">
        <f>BC241+AV241+#REF!+AH241+AA241</f>
        <v>#REF!</v>
      </c>
      <c r="BF241" s="263" t="e">
        <f t="shared" si="180"/>
        <v>#REF!</v>
      </c>
      <c r="BG241" s="263" t="e">
        <f t="shared" si="181"/>
        <v>#REF!</v>
      </c>
    </row>
    <row r="242" spans="1:59" ht="15.75">
      <c r="A242" s="338">
        <v>18</v>
      </c>
      <c r="B242" s="338" t="s">
        <v>1</v>
      </c>
      <c r="C242" s="258">
        <v>43</v>
      </c>
      <c r="D242" s="328" t="s">
        <v>62</v>
      </c>
      <c r="E242" s="258" t="s">
        <v>9</v>
      </c>
      <c r="F242" s="431">
        <f t="array" ref="F242">MAX((IF(MNU_CODIGO_ALIMENTO_ENTREGA=CONCATENATE($C242,"_","P_"),MNU_GRAMAJE_REQUERIDO_TIPOA,"")))</f>
        <v>100</v>
      </c>
      <c r="G242" s="259">
        <f t="shared" si="182"/>
        <v>159528</v>
      </c>
      <c r="H242" s="259">
        <f t="shared" si="183"/>
        <v>26100</v>
      </c>
      <c r="I242" s="259">
        <f t="shared" si="184"/>
        <v>185628</v>
      </c>
      <c r="J242" s="260">
        <f t="shared" si="185"/>
        <v>28395984</v>
      </c>
      <c r="K242" s="260">
        <f t="shared" si="186"/>
        <v>4645800</v>
      </c>
      <c r="L242" s="260">
        <f t="shared" si="187"/>
        <v>33041784</v>
      </c>
      <c r="M242" s="432">
        <f t="array" ref="M242">MAX((IF(MNU_CODIGO_ALIMENTO_ENTREGA=CONCATENATE($C242,"_","P_"),MNU_GRAMAJE_REQUERIDO_TIPOB,"")))</f>
        <v>100</v>
      </c>
      <c r="N242" s="348">
        <f t="shared" si="188"/>
        <v>119374</v>
      </c>
      <c r="O242" s="348">
        <f t="shared" si="189"/>
        <v>24958</v>
      </c>
      <c r="P242" s="348">
        <f t="shared" si="190"/>
        <v>144332</v>
      </c>
      <c r="Q242" s="349">
        <f t="shared" si="191"/>
        <v>21248572</v>
      </c>
      <c r="R242" s="349">
        <f t="shared" si="192"/>
        <v>4442524</v>
      </c>
      <c r="S242" s="349">
        <f t="shared" si="193"/>
        <v>25691096</v>
      </c>
      <c r="T242" s="353">
        <f t="array" ref="T242">MAX((IF(MNU_CODIGO_ALIMENTO_ENTREGA=CONCATENATE($C242,"_","P_"),MNU_GRAMAJE_REQUERIDO_TIPOC,"")))</f>
        <v>100</v>
      </c>
      <c r="U242" s="259">
        <f t="shared" si="194"/>
        <v>95064</v>
      </c>
      <c r="V242" s="259">
        <f t="shared" si="195"/>
        <v>21349</v>
      </c>
      <c r="W242" s="259">
        <f t="shared" si="196"/>
        <v>116413</v>
      </c>
      <c r="X242" s="260">
        <f t="shared" si="197"/>
        <v>16921392</v>
      </c>
      <c r="Y242" s="260">
        <f t="shared" si="198"/>
        <v>3800122</v>
      </c>
      <c r="Z242" s="260">
        <f t="shared" si="199"/>
        <v>20721514</v>
      </c>
      <c r="AA242" s="258">
        <f t="array" ref="AA242">MAX((IF(MNU_CODIGO_ALIMENTO_ENTREGA=CONCATENATE($C242,"_","P_"),MNU_GRAMAJE_REQUERIDO_TIPOM,"")))</f>
        <v>100</v>
      </c>
      <c r="AB242" s="261">
        <f t="shared" si="200"/>
        <v>5746</v>
      </c>
      <c r="AC242" s="261">
        <v>0</v>
      </c>
      <c r="AD242" s="261">
        <f t="shared" si="201"/>
        <v>5746</v>
      </c>
      <c r="AE242" s="262">
        <f t="shared" si="202"/>
        <v>1022788</v>
      </c>
      <c r="AF242" s="262">
        <v>0</v>
      </c>
      <c r="AG242" s="262">
        <f t="shared" si="203"/>
        <v>1022788</v>
      </c>
      <c r="AH242" s="353">
        <f t="array" ref="AH242">MAX((IF(MNU_CODIGO_ALIMENTO_ENTREGA=CONCATENATE($C242,"_","P_"),MNU_GRAMAJE_REQUERIDO_TIPOH,"")))</f>
        <v>100</v>
      </c>
      <c r="AI242" s="259">
        <f t="shared" si="204"/>
        <v>6018</v>
      </c>
      <c r="AJ242" s="259">
        <v>0</v>
      </c>
      <c r="AK242" s="259">
        <f t="shared" si="205"/>
        <v>6018</v>
      </c>
      <c r="AL242" s="260">
        <f t="shared" si="206"/>
        <v>1071204</v>
      </c>
      <c r="AM242" s="260">
        <v>0</v>
      </c>
      <c r="AN242" s="260">
        <f t="shared" si="207"/>
        <v>1071204</v>
      </c>
      <c r="AO242" s="457">
        <f t="shared" si="208"/>
        <v>458137</v>
      </c>
      <c r="AP242" s="456">
        <f t="shared" si="209"/>
        <v>81548386</v>
      </c>
      <c r="AQ242" s="263" t="e">
        <f>#REF!+AH242+AA242+T242+M242</f>
        <v>#REF!</v>
      </c>
      <c r="AR242" s="263">
        <f t="shared" si="168"/>
        <v>81774588</v>
      </c>
      <c r="AS242" s="263" t="e">
        <f t="shared" si="169"/>
        <v>#REF!</v>
      </c>
      <c r="AT242" s="263">
        <f t="shared" si="170"/>
        <v>82047097</v>
      </c>
      <c r="AU242" s="263" t="e">
        <f t="shared" si="171"/>
        <v>#REF!</v>
      </c>
      <c r="AV242" s="263">
        <f t="shared" si="172"/>
        <v>90289743</v>
      </c>
      <c r="AW242" s="263" t="e">
        <f t="shared" si="173"/>
        <v>#REF!</v>
      </c>
      <c r="AX242" s="263" t="e">
        <f>AV242+#REF!+AH242+AA242+T242</f>
        <v>#REF!</v>
      </c>
      <c r="AY242" s="263" t="e">
        <f t="shared" si="174"/>
        <v>#REF!</v>
      </c>
      <c r="AZ242" s="263" t="e">
        <f t="shared" si="175"/>
        <v>#REF!</v>
      </c>
      <c r="BA242" s="263" t="e">
        <f t="shared" si="176"/>
        <v>#REF!</v>
      </c>
      <c r="BB242" s="263" t="e">
        <f t="shared" si="177"/>
        <v>#REF!</v>
      </c>
      <c r="BC242" s="263" t="e">
        <f t="shared" si="178"/>
        <v>#REF!</v>
      </c>
      <c r="BD242" s="263" t="e">
        <f t="shared" si="179"/>
        <v>#REF!</v>
      </c>
      <c r="BE242" s="263" t="e">
        <f>BC242+AV242+#REF!+AH242+AA242</f>
        <v>#REF!</v>
      </c>
      <c r="BF242" s="263" t="e">
        <f t="shared" si="180"/>
        <v>#REF!</v>
      </c>
      <c r="BG242" s="263" t="e">
        <f t="shared" si="181"/>
        <v>#REF!</v>
      </c>
    </row>
    <row r="243" spans="1:59" ht="15.75">
      <c r="A243" s="338">
        <v>18</v>
      </c>
      <c r="B243" s="338" t="s">
        <v>1</v>
      </c>
      <c r="C243" s="258">
        <v>46</v>
      </c>
      <c r="D243" s="328" t="s">
        <v>64</v>
      </c>
      <c r="E243" s="258" t="s">
        <v>9</v>
      </c>
      <c r="F243" s="431">
        <f t="array" ref="F243">MAX((IF(MNU_CODIGO_ALIMENTO_ENTREGA=CONCATENATE($C243,"_","P_"),MNU_GRAMAJE_REQUERIDO_TIPOA,"")))</f>
        <v>100</v>
      </c>
      <c r="G243" s="259">
        <f t="shared" si="182"/>
        <v>199410</v>
      </c>
      <c r="H243" s="259">
        <f t="shared" si="183"/>
        <v>26100</v>
      </c>
      <c r="I243" s="259">
        <f t="shared" si="184"/>
        <v>225510</v>
      </c>
      <c r="J243" s="260">
        <f t="shared" si="185"/>
        <v>83353380</v>
      </c>
      <c r="K243" s="260">
        <f t="shared" si="186"/>
        <v>10909800</v>
      </c>
      <c r="L243" s="260">
        <f t="shared" si="187"/>
        <v>94263180</v>
      </c>
      <c r="M243" s="432">
        <f t="array" ref="M243">MAX((IF(MNU_CODIGO_ALIMENTO_ENTREGA=CONCATENATE($C243,"_","P_"),MNU_GRAMAJE_REQUERIDO_TIPOB,"")))</f>
        <v>100</v>
      </c>
      <c r="N243" s="348">
        <f t="shared" si="188"/>
        <v>147462</v>
      </c>
      <c r="O243" s="348">
        <f t="shared" si="189"/>
        <v>26454</v>
      </c>
      <c r="P243" s="348">
        <f t="shared" si="190"/>
        <v>173916</v>
      </c>
      <c r="Q243" s="349">
        <f t="shared" si="191"/>
        <v>61639116</v>
      </c>
      <c r="R243" s="349">
        <f t="shared" si="192"/>
        <v>11057772</v>
      </c>
      <c r="S243" s="349">
        <f t="shared" si="193"/>
        <v>72696888</v>
      </c>
      <c r="T243" s="353">
        <f t="array" ref="T243">MAX((IF(MNU_CODIGO_ALIMENTO_ENTREGA=CONCATENATE($C243,"_","P_"),MNU_GRAMAJE_REQUERIDO_TIPOC,"")))</f>
        <v>100</v>
      </c>
      <c r="U243" s="259">
        <f t="shared" si="194"/>
        <v>117432</v>
      </c>
      <c r="V243" s="259">
        <f t="shared" si="195"/>
        <v>23187</v>
      </c>
      <c r="W243" s="259">
        <f t="shared" si="196"/>
        <v>140619</v>
      </c>
      <c r="X243" s="260">
        <f t="shared" si="197"/>
        <v>49086576</v>
      </c>
      <c r="Y243" s="260">
        <f t="shared" si="198"/>
        <v>9692166</v>
      </c>
      <c r="Z243" s="260">
        <f t="shared" si="199"/>
        <v>58778742</v>
      </c>
      <c r="AA243" s="258">
        <f t="array" ref="AA243">MAX((IF(MNU_CODIGO_ALIMENTO_ENTREGA=CONCATENATE($C243,"_","P_"),MNU_GRAMAJE_REQUERIDO_TIPOM,"")))</f>
        <v>100</v>
      </c>
      <c r="AB243" s="261">
        <f t="shared" si="200"/>
        <v>7098</v>
      </c>
      <c r="AC243" s="261">
        <v>0</v>
      </c>
      <c r="AD243" s="261">
        <f t="shared" si="201"/>
        <v>7098</v>
      </c>
      <c r="AE243" s="262">
        <f t="shared" si="202"/>
        <v>2966964</v>
      </c>
      <c r="AF243" s="262">
        <v>0</v>
      </c>
      <c r="AG243" s="262">
        <f t="shared" si="203"/>
        <v>2966964</v>
      </c>
      <c r="AH243" s="353">
        <f t="array" ref="AH243">MAX((IF(MNU_CODIGO_ALIMENTO_ENTREGA=CONCATENATE($C243,"_","P_"),MNU_GRAMAJE_REQUERIDO_TIPOH,"")))</f>
        <v>100</v>
      </c>
      <c r="AI243" s="259">
        <f t="shared" si="204"/>
        <v>7434</v>
      </c>
      <c r="AJ243" s="259">
        <v>0</v>
      </c>
      <c r="AK243" s="259">
        <f t="shared" si="205"/>
        <v>7434</v>
      </c>
      <c r="AL243" s="260">
        <f t="shared" si="206"/>
        <v>3107412</v>
      </c>
      <c r="AM243" s="260">
        <v>0</v>
      </c>
      <c r="AN243" s="260">
        <f t="shared" si="207"/>
        <v>3107412</v>
      </c>
      <c r="AO243" s="457">
        <f t="shared" si="208"/>
        <v>554577</v>
      </c>
      <c r="AP243" s="456">
        <f t="shared" si="209"/>
        <v>231813186</v>
      </c>
      <c r="AQ243" s="263" t="e">
        <f>#REF!+AH243+AA243+T243+M243</f>
        <v>#REF!</v>
      </c>
      <c r="AR243" s="263">
        <f t="shared" si="168"/>
        <v>232092612</v>
      </c>
      <c r="AS243" s="263" t="e">
        <f t="shared" si="169"/>
        <v>#REF!</v>
      </c>
      <c r="AT243" s="263">
        <f t="shared" si="170"/>
        <v>232421679</v>
      </c>
      <c r="AU243" s="263" t="e">
        <f t="shared" si="171"/>
        <v>#REF!</v>
      </c>
      <c r="AV243" s="263">
        <f t="shared" si="172"/>
        <v>253171617</v>
      </c>
      <c r="AW243" s="263" t="e">
        <f t="shared" si="173"/>
        <v>#REF!</v>
      </c>
      <c r="AX243" s="263" t="e">
        <f>AV243+#REF!+AH243+AA243+T243</f>
        <v>#REF!</v>
      </c>
      <c r="AY243" s="263" t="e">
        <f t="shared" si="174"/>
        <v>#REF!</v>
      </c>
      <c r="AZ243" s="263" t="e">
        <f t="shared" si="175"/>
        <v>#REF!</v>
      </c>
      <c r="BA243" s="263" t="e">
        <f t="shared" si="176"/>
        <v>#REF!</v>
      </c>
      <c r="BB243" s="263" t="e">
        <f t="shared" si="177"/>
        <v>#REF!</v>
      </c>
      <c r="BC243" s="263" t="e">
        <f t="shared" si="178"/>
        <v>#REF!</v>
      </c>
      <c r="BD243" s="263" t="e">
        <f t="shared" si="179"/>
        <v>#REF!</v>
      </c>
      <c r="BE243" s="263" t="e">
        <f>BC243+AV243+#REF!+AH243+AA243</f>
        <v>#REF!</v>
      </c>
      <c r="BF243" s="263" t="e">
        <f t="shared" si="180"/>
        <v>#REF!</v>
      </c>
      <c r="BG243" s="263" t="e">
        <f t="shared" si="181"/>
        <v>#REF!</v>
      </c>
    </row>
    <row r="244" spans="1:59" ht="15.75">
      <c r="A244" s="338">
        <v>18</v>
      </c>
      <c r="B244" s="338" t="s">
        <v>1</v>
      </c>
      <c r="C244" s="258">
        <v>58</v>
      </c>
      <c r="D244" s="328" t="s">
        <v>67</v>
      </c>
      <c r="E244" s="258" t="s">
        <v>9</v>
      </c>
      <c r="F244" s="431">
        <f t="array" ref="F244">MAX((IF(MNU_CODIGO_ALIMENTO_ENTREGA=CONCATENATE($C244,"_","P_"),MNU_GRAMAJE_REQUERIDO_TIPOA,"")))</f>
        <v>100</v>
      </c>
      <c r="G244" s="259">
        <f t="shared" si="182"/>
        <v>159528</v>
      </c>
      <c r="H244" s="259">
        <f t="shared" si="183"/>
        <v>25200</v>
      </c>
      <c r="I244" s="259">
        <f t="shared" si="184"/>
        <v>184728</v>
      </c>
      <c r="J244" s="260">
        <f t="shared" si="185"/>
        <v>25843536</v>
      </c>
      <c r="K244" s="260">
        <f t="shared" si="186"/>
        <v>4082400</v>
      </c>
      <c r="L244" s="260">
        <f t="shared" si="187"/>
        <v>29925936</v>
      </c>
      <c r="M244" s="432">
        <f t="array" ref="M244">MAX((IF(MNU_CODIGO_ALIMENTO_ENTREGA=CONCATENATE($C244,"_","P_"),MNU_GRAMAJE_REQUERIDO_TIPOB,"")))</f>
        <v>100</v>
      </c>
      <c r="N244" s="348">
        <f t="shared" si="188"/>
        <v>161506</v>
      </c>
      <c r="O244" s="348">
        <f t="shared" si="189"/>
        <v>25378</v>
      </c>
      <c r="P244" s="348">
        <f t="shared" si="190"/>
        <v>186884</v>
      </c>
      <c r="Q244" s="349">
        <f t="shared" si="191"/>
        <v>26163972</v>
      </c>
      <c r="R244" s="349">
        <f t="shared" si="192"/>
        <v>4111236</v>
      </c>
      <c r="S244" s="349">
        <f t="shared" si="193"/>
        <v>30275208</v>
      </c>
      <c r="T244" s="353">
        <f t="array" ref="T244">MAX((IF(MNU_CODIGO_ALIMENTO_ENTREGA=CONCATENATE($C244,"_","P_"),MNU_GRAMAJE_REQUERIDO_TIPOC,"")))</f>
        <v>100</v>
      </c>
      <c r="U244" s="259">
        <f t="shared" si="194"/>
        <v>128616</v>
      </c>
      <c r="V244" s="259">
        <f t="shared" si="195"/>
        <v>22279</v>
      </c>
      <c r="W244" s="259">
        <f t="shared" si="196"/>
        <v>150895</v>
      </c>
      <c r="X244" s="260">
        <f t="shared" si="197"/>
        <v>20835792</v>
      </c>
      <c r="Y244" s="260">
        <f t="shared" si="198"/>
        <v>3609198</v>
      </c>
      <c r="Z244" s="260">
        <f t="shared" si="199"/>
        <v>24444990</v>
      </c>
      <c r="AA244" s="258">
        <f t="array" ref="AA244">MAX((IF(MNU_CODIGO_ALIMENTO_ENTREGA=CONCATENATE($C244,"_","P_"),MNU_GRAMAJE_REQUERIDO_TIPOM,"")))</f>
        <v>100</v>
      </c>
      <c r="AB244" s="261">
        <f t="shared" si="200"/>
        <v>7774</v>
      </c>
      <c r="AC244" s="261">
        <v>0</v>
      </c>
      <c r="AD244" s="261">
        <f t="shared" si="201"/>
        <v>7774</v>
      </c>
      <c r="AE244" s="262">
        <f t="shared" si="202"/>
        <v>1259388</v>
      </c>
      <c r="AF244" s="262">
        <v>0</v>
      </c>
      <c r="AG244" s="262">
        <f t="shared" si="203"/>
        <v>1259388</v>
      </c>
      <c r="AH244" s="353">
        <f t="array" ref="AH244">MAX((IF(MNU_CODIGO_ALIMENTO_ENTREGA=CONCATENATE($C244,"_","P_"),MNU_GRAMAJE_REQUERIDO_TIPOH,"")))</f>
        <v>100</v>
      </c>
      <c r="AI244" s="259">
        <f t="shared" si="204"/>
        <v>8142</v>
      </c>
      <c r="AJ244" s="259">
        <v>0</v>
      </c>
      <c r="AK244" s="259">
        <f t="shared" si="205"/>
        <v>8142</v>
      </c>
      <c r="AL244" s="260">
        <f t="shared" si="206"/>
        <v>1319004</v>
      </c>
      <c r="AM244" s="260">
        <v>0</v>
      </c>
      <c r="AN244" s="260">
        <f t="shared" si="207"/>
        <v>1319004</v>
      </c>
      <c r="AO244" s="457">
        <f t="shared" si="208"/>
        <v>538423</v>
      </c>
      <c r="AP244" s="456">
        <f t="shared" si="209"/>
        <v>87224526</v>
      </c>
      <c r="AQ244" s="263" t="e">
        <f>#REF!+AH244+AA244+T244+M244</f>
        <v>#REF!</v>
      </c>
      <c r="AR244" s="263">
        <f t="shared" si="168"/>
        <v>87530564</v>
      </c>
      <c r="AS244" s="263" t="e">
        <f t="shared" si="169"/>
        <v>#REF!</v>
      </c>
      <c r="AT244" s="263">
        <f t="shared" si="170"/>
        <v>87884259</v>
      </c>
      <c r="AU244" s="263" t="e">
        <f t="shared" si="171"/>
        <v>#REF!</v>
      </c>
      <c r="AV244" s="263">
        <f t="shared" si="172"/>
        <v>95604693</v>
      </c>
      <c r="AW244" s="263" t="e">
        <f t="shared" si="173"/>
        <v>#REF!</v>
      </c>
      <c r="AX244" s="263" t="e">
        <f>AV244+#REF!+AH244+AA244+T244</f>
        <v>#REF!</v>
      </c>
      <c r="AY244" s="263" t="e">
        <f t="shared" si="174"/>
        <v>#REF!</v>
      </c>
      <c r="AZ244" s="263" t="e">
        <f t="shared" si="175"/>
        <v>#REF!</v>
      </c>
      <c r="BA244" s="263" t="e">
        <f t="shared" si="176"/>
        <v>#REF!</v>
      </c>
      <c r="BB244" s="263" t="e">
        <f t="shared" si="177"/>
        <v>#REF!</v>
      </c>
      <c r="BC244" s="263" t="e">
        <f t="shared" si="178"/>
        <v>#REF!</v>
      </c>
      <c r="BD244" s="263" t="e">
        <f t="shared" si="179"/>
        <v>#REF!</v>
      </c>
      <c r="BE244" s="263" t="e">
        <f>BC244+AV244+#REF!+AH244+AA244</f>
        <v>#REF!</v>
      </c>
      <c r="BF244" s="263" t="e">
        <f t="shared" si="180"/>
        <v>#REF!</v>
      </c>
      <c r="BG244" s="263" t="e">
        <f t="shared" si="181"/>
        <v>#REF!</v>
      </c>
    </row>
    <row r="245" spans="1:59" ht="15.75">
      <c r="A245" s="338">
        <v>18</v>
      </c>
      <c r="B245" s="338" t="s">
        <v>1</v>
      </c>
      <c r="C245" s="258">
        <v>59</v>
      </c>
      <c r="D245" s="328" t="s">
        <v>99</v>
      </c>
      <c r="E245" s="258" t="s">
        <v>9</v>
      </c>
      <c r="F245" s="431">
        <f t="array" ref="F245">MAX((IF(MNU_CODIGO_ALIMENTO_ENTREGA=CONCATENATE($C245,"_","P_"),MNU_GRAMAJE_REQUERIDO_TIPOA,"")))</f>
        <v>0</v>
      </c>
      <c r="G245" s="259">
        <f t="shared" si="182"/>
        <v>0</v>
      </c>
      <c r="H245" s="259">
        <f t="shared" si="183"/>
        <v>0</v>
      </c>
      <c r="I245" s="259">
        <f t="shared" si="184"/>
        <v>0</v>
      </c>
      <c r="J245" s="260">
        <f t="shared" si="185"/>
        <v>0</v>
      </c>
      <c r="K245" s="260">
        <f t="shared" si="186"/>
        <v>0</v>
      </c>
      <c r="L245" s="260">
        <f t="shared" si="187"/>
        <v>0</v>
      </c>
      <c r="M245" s="432">
        <f t="array" ref="M245">MAX((IF(MNU_CODIGO_ALIMENTO_ENTREGA=CONCATENATE($C245,"_","P_"),MNU_GRAMAJE_REQUERIDO_TIPOB,"")))</f>
        <v>100</v>
      </c>
      <c r="N245" s="348">
        <f t="shared" si="188"/>
        <v>56176</v>
      </c>
      <c r="O245" s="348">
        <f t="shared" si="189"/>
        <v>11836</v>
      </c>
      <c r="P245" s="348">
        <f t="shared" si="190"/>
        <v>68012</v>
      </c>
      <c r="Q245" s="349">
        <f t="shared" si="191"/>
        <v>16852800</v>
      </c>
      <c r="R245" s="349">
        <f t="shared" si="192"/>
        <v>3550800</v>
      </c>
      <c r="S245" s="349">
        <f t="shared" si="193"/>
        <v>20403600</v>
      </c>
      <c r="T245" s="353">
        <f t="array" ref="T245">MAX((IF(MNU_CODIGO_ALIMENTO_ENTREGA=CONCATENATE($C245,"_","P_"),MNU_GRAMAJE_REQUERIDO_TIPOC,"")))</f>
        <v>100</v>
      </c>
      <c r="U245" s="259">
        <f t="shared" si="194"/>
        <v>44736</v>
      </c>
      <c r="V245" s="259">
        <f t="shared" si="195"/>
        <v>9988</v>
      </c>
      <c r="W245" s="259">
        <f t="shared" si="196"/>
        <v>54724</v>
      </c>
      <c r="X245" s="260">
        <f t="shared" si="197"/>
        <v>13420800</v>
      </c>
      <c r="Y245" s="260">
        <f t="shared" si="198"/>
        <v>2996400</v>
      </c>
      <c r="Z245" s="260">
        <f t="shared" si="199"/>
        <v>16417200</v>
      </c>
      <c r="AA245" s="258">
        <f t="array" ref="AA245">MAX((IF(MNU_CODIGO_ALIMENTO_ENTREGA=CONCATENATE($C245,"_","P_"),MNU_GRAMAJE_REQUERIDO_TIPOM,"")))</f>
        <v>100</v>
      </c>
      <c r="AB245" s="261">
        <f t="shared" si="200"/>
        <v>2704</v>
      </c>
      <c r="AC245" s="261">
        <v>0</v>
      </c>
      <c r="AD245" s="261">
        <f t="shared" si="201"/>
        <v>2704</v>
      </c>
      <c r="AE245" s="262">
        <f t="shared" si="202"/>
        <v>811200</v>
      </c>
      <c r="AF245" s="262">
        <v>0</v>
      </c>
      <c r="AG245" s="262">
        <f t="shared" si="203"/>
        <v>811200</v>
      </c>
      <c r="AH245" s="353">
        <f t="array" ref="AH245">MAX((IF(MNU_CODIGO_ALIMENTO_ENTREGA=CONCATENATE($C245,"_","P_"),MNU_GRAMAJE_REQUERIDO_TIPOH,"")))</f>
        <v>100</v>
      </c>
      <c r="AI245" s="259">
        <f t="shared" si="204"/>
        <v>2832</v>
      </c>
      <c r="AJ245" s="259">
        <v>0</v>
      </c>
      <c r="AK245" s="259">
        <f t="shared" si="205"/>
        <v>2832</v>
      </c>
      <c r="AL245" s="260">
        <f t="shared" si="206"/>
        <v>849600</v>
      </c>
      <c r="AM245" s="260">
        <v>0</v>
      </c>
      <c r="AN245" s="260">
        <f t="shared" si="207"/>
        <v>849600</v>
      </c>
      <c r="AO245" s="457">
        <f t="shared" si="208"/>
        <v>128272</v>
      </c>
      <c r="AP245" s="456">
        <f t="shared" si="209"/>
        <v>38481600</v>
      </c>
      <c r="AQ245" s="263" t="e">
        <f>#REF!+AH245+AA245+T245+M245</f>
        <v>#REF!</v>
      </c>
      <c r="AR245" s="263">
        <f t="shared" si="168"/>
        <v>38588048</v>
      </c>
      <c r="AS245" s="263" t="e">
        <f t="shared" si="169"/>
        <v>#REF!</v>
      </c>
      <c r="AT245" s="263">
        <f t="shared" si="170"/>
        <v>38716320</v>
      </c>
      <c r="AU245" s="263" t="e">
        <f t="shared" si="171"/>
        <v>#REF!</v>
      </c>
      <c r="AV245" s="263">
        <f t="shared" si="172"/>
        <v>45263520</v>
      </c>
      <c r="AW245" s="263" t="e">
        <f t="shared" si="173"/>
        <v>#REF!</v>
      </c>
      <c r="AX245" s="263" t="e">
        <f>AV245+#REF!+AH245+AA245+T245</f>
        <v>#REF!</v>
      </c>
      <c r="AY245" s="263" t="e">
        <f t="shared" si="174"/>
        <v>#REF!</v>
      </c>
      <c r="AZ245" s="263" t="e">
        <f t="shared" si="175"/>
        <v>#REF!</v>
      </c>
      <c r="BA245" s="263" t="e">
        <f t="shared" si="176"/>
        <v>#REF!</v>
      </c>
      <c r="BB245" s="263" t="e">
        <f t="shared" si="177"/>
        <v>#REF!</v>
      </c>
      <c r="BC245" s="263" t="e">
        <f t="shared" si="178"/>
        <v>#REF!</v>
      </c>
      <c r="BD245" s="263" t="e">
        <f t="shared" si="179"/>
        <v>#REF!</v>
      </c>
      <c r="BE245" s="263" t="e">
        <f>BC245+AV245+#REF!+AH245+AA245</f>
        <v>#REF!</v>
      </c>
      <c r="BF245" s="263" t="e">
        <f t="shared" si="180"/>
        <v>#REF!</v>
      </c>
      <c r="BG245" s="263" t="e">
        <f t="shared" si="181"/>
        <v>#REF!</v>
      </c>
    </row>
    <row r="246" spans="1:59" ht="15.75">
      <c r="A246" s="338">
        <v>18</v>
      </c>
      <c r="B246" s="338" t="s">
        <v>1</v>
      </c>
      <c r="C246" s="258">
        <v>69</v>
      </c>
      <c r="D246" s="328" t="s">
        <v>70</v>
      </c>
      <c r="E246" s="258" t="s">
        <v>9</v>
      </c>
      <c r="F246" s="431">
        <f t="array" ref="F246">MAX((IF(MNU_CODIGO_ALIMENTO_ENTREGA=CONCATENATE($C246,"_","P_"),MNU_GRAMAJE_REQUERIDO_TIPOA,"")))</f>
        <v>100</v>
      </c>
      <c r="G246" s="259">
        <f t="shared" si="182"/>
        <v>199410</v>
      </c>
      <c r="H246" s="259">
        <f t="shared" si="183"/>
        <v>16200</v>
      </c>
      <c r="I246" s="259">
        <f t="shared" si="184"/>
        <v>215610</v>
      </c>
      <c r="J246" s="260">
        <f t="shared" si="185"/>
        <v>63811200</v>
      </c>
      <c r="K246" s="260">
        <f t="shared" si="186"/>
        <v>5184000</v>
      </c>
      <c r="L246" s="260">
        <f t="shared" si="187"/>
        <v>68995200</v>
      </c>
      <c r="M246" s="432">
        <f t="array" ref="M246">MAX((IF(MNU_CODIGO_ALIMENTO_ENTREGA=CONCATENATE($C246,"_","P_"),MNU_GRAMAJE_REQUERIDO_TIPOB,"")))</f>
        <v>100</v>
      </c>
      <c r="N246" s="348">
        <f t="shared" si="188"/>
        <v>112352</v>
      </c>
      <c r="O246" s="348">
        <f t="shared" si="189"/>
        <v>13332</v>
      </c>
      <c r="P246" s="348">
        <f t="shared" si="190"/>
        <v>125684</v>
      </c>
      <c r="Q246" s="349">
        <f t="shared" si="191"/>
        <v>35952640</v>
      </c>
      <c r="R246" s="349">
        <f t="shared" si="192"/>
        <v>4266240</v>
      </c>
      <c r="S246" s="349">
        <f t="shared" si="193"/>
        <v>40218880</v>
      </c>
      <c r="T246" s="353">
        <f t="array" ref="T246">MAX((IF(MNU_CODIGO_ALIMENTO_ENTREGA=CONCATENATE($C246,"_","P_"),MNU_GRAMAJE_REQUERIDO_TIPOC,"")))</f>
        <v>100</v>
      </c>
      <c r="U246" s="259">
        <f t="shared" si="194"/>
        <v>89472</v>
      </c>
      <c r="V246" s="259">
        <f t="shared" si="195"/>
        <v>11826</v>
      </c>
      <c r="W246" s="259">
        <f t="shared" si="196"/>
        <v>101298</v>
      </c>
      <c r="X246" s="260">
        <f t="shared" si="197"/>
        <v>28631040</v>
      </c>
      <c r="Y246" s="260">
        <f t="shared" si="198"/>
        <v>3784320</v>
      </c>
      <c r="Z246" s="260">
        <f t="shared" si="199"/>
        <v>32415360</v>
      </c>
      <c r="AA246" s="258">
        <f t="array" ref="AA246">MAX((IF(MNU_CODIGO_ALIMENTO_ENTREGA=CONCATENATE($C246,"_","P_"),MNU_GRAMAJE_REQUERIDO_TIPOM,"")))</f>
        <v>100</v>
      </c>
      <c r="AB246" s="261">
        <f t="shared" si="200"/>
        <v>5408</v>
      </c>
      <c r="AC246" s="261">
        <v>0</v>
      </c>
      <c r="AD246" s="261">
        <f t="shared" si="201"/>
        <v>5408</v>
      </c>
      <c r="AE246" s="262">
        <f t="shared" si="202"/>
        <v>1730560</v>
      </c>
      <c r="AF246" s="262">
        <v>0</v>
      </c>
      <c r="AG246" s="262">
        <f t="shared" si="203"/>
        <v>1730560</v>
      </c>
      <c r="AH246" s="353">
        <f t="array" ref="AH246">MAX((IF(MNU_CODIGO_ALIMENTO_ENTREGA=CONCATENATE($C246,"_","P_"),MNU_GRAMAJE_REQUERIDO_TIPOH,"")))</f>
        <v>100</v>
      </c>
      <c r="AI246" s="259">
        <f t="shared" si="204"/>
        <v>5664</v>
      </c>
      <c r="AJ246" s="259">
        <v>0</v>
      </c>
      <c r="AK246" s="259">
        <f t="shared" si="205"/>
        <v>5664</v>
      </c>
      <c r="AL246" s="260">
        <f t="shared" si="206"/>
        <v>1812480</v>
      </c>
      <c r="AM246" s="260">
        <v>0</v>
      </c>
      <c r="AN246" s="260">
        <f t="shared" si="207"/>
        <v>1812480</v>
      </c>
      <c r="AO246" s="457">
        <f t="shared" si="208"/>
        <v>453664</v>
      </c>
      <c r="AP246" s="456">
        <f t="shared" si="209"/>
        <v>145172480</v>
      </c>
      <c r="AQ246" s="263" t="e">
        <f>#REF!+AH246+AA246+T246+M246</f>
        <v>#REF!</v>
      </c>
      <c r="AR246" s="263">
        <f t="shared" si="168"/>
        <v>145385376</v>
      </c>
      <c r="AS246" s="263" t="e">
        <f t="shared" si="169"/>
        <v>#REF!</v>
      </c>
      <c r="AT246" s="263">
        <f t="shared" si="170"/>
        <v>145623430</v>
      </c>
      <c r="AU246" s="263" t="e">
        <f t="shared" si="171"/>
        <v>#REF!</v>
      </c>
      <c r="AV246" s="263">
        <f t="shared" si="172"/>
        <v>153673990</v>
      </c>
      <c r="AW246" s="263" t="e">
        <f t="shared" si="173"/>
        <v>#REF!</v>
      </c>
      <c r="AX246" s="263" t="e">
        <f>AV246+#REF!+AH246+AA246+T246</f>
        <v>#REF!</v>
      </c>
      <c r="AY246" s="263" t="e">
        <f t="shared" si="174"/>
        <v>#REF!</v>
      </c>
      <c r="AZ246" s="263" t="e">
        <f t="shared" si="175"/>
        <v>#REF!</v>
      </c>
      <c r="BA246" s="263" t="e">
        <f t="shared" si="176"/>
        <v>#REF!</v>
      </c>
      <c r="BB246" s="263" t="e">
        <f t="shared" si="177"/>
        <v>#REF!</v>
      </c>
      <c r="BC246" s="263" t="e">
        <f t="shared" si="178"/>
        <v>#REF!</v>
      </c>
      <c r="BD246" s="263" t="e">
        <f t="shared" si="179"/>
        <v>#REF!</v>
      </c>
      <c r="BE246" s="263" t="e">
        <f>BC246+AV246+#REF!+AH246+AA246</f>
        <v>#REF!</v>
      </c>
      <c r="BF246" s="263" t="e">
        <f t="shared" si="180"/>
        <v>#REF!</v>
      </c>
      <c r="BG246" s="263" t="e">
        <f t="shared" si="181"/>
        <v>#REF!</v>
      </c>
    </row>
    <row r="247" spans="1:59" ht="15.75">
      <c r="A247" s="338">
        <v>18</v>
      </c>
      <c r="B247" s="338" t="s">
        <v>1</v>
      </c>
      <c r="C247" s="258">
        <v>70</v>
      </c>
      <c r="D247" s="328" t="s">
        <v>71</v>
      </c>
      <c r="E247" s="258" t="s">
        <v>9</v>
      </c>
      <c r="F247" s="431">
        <f t="array" ref="F247">MAX((IF(MNU_CODIGO_ALIMENTO_ENTREGA=CONCATENATE($C247,"_","P_"),MNU_GRAMAJE_REQUERIDO_TIPOA,"")))</f>
        <v>0</v>
      </c>
      <c r="G247" s="259">
        <f t="shared" si="182"/>
        <v>0</v>
      </c>
      <c r="H247" s="259">
        <f t="shared" si="183"/>
        <v>0</v>
      </c>
      <c r="I247" s="259">
        <f t="shared" si="184"/>
        <v>0</v>
      </c>
      <c r="J247" s="260">
        <f t="shared" si="185"/>
        <v>0</v>
      </c>
      <c r="K247" s="260">
        <f t="shared" si="186"/>
        <v>0</v>
      </c>
      <c r="L247" s="260">
        <f t="shared" si="187"/>
        <v>0</v>
      </c>
      <c r="M247" s="432">
        <f t="array" ref="M247">MAX((IF(MNU_CODIGO_ALIMENTO_ENTREGA=CONCATENATE($C247,"_","P_"),MNU_GRAMAJE_REQUERIDO_TIPOB,"")))</f>
        <v>100</v>
      </c>
      <c r="N247" s="348">
        <f t="shared" si="188"/>
        <v>70220</v>
      </c>
      <c r="O247" s="348">
        <f t="shared" si="189"/>
        <v>9448</v>
      </c>
      <c r="P247" s="348">
        <f t="shared" si="190"/>
        <v>79668</v>
      </c>
      <c r="Q247" s="349">
        <f t="shared" si="191"/>
        <v>32020320</v>
      </c>
      <c r="R247" s="349">
        <f t="shared" si="192"/>
        <v>4308288</v>
      </c>
      <c r="S247" s="349">
        <f t="shared" si="193"/>
        <v>36328608</v>
      </c>
      <c r="T247" s="353">
        <f t="array" ref="T247">MAX((IF(MNU_CODIGO_ALIMENTO_ENTREGA=CONCATENATE($C247,"_","P_"),MNU_GRAMAJE_REQUERIDO_TIPOC,"")))</f>
        <v>100</v>
      </c>
      <c r="U247" s="259">
        <f t="shared" si="194"/>
        <v>55920</v>
      </c>
      <c r="V247" s="259">
        <f t="shared" si="195"/>
        <v>9124</v>
      </c>
      <c r="W247" s="259">
        <f t="shared" si="196"/>
        <v>65044</v>
      </c>
      <c r="X247" s="260">
        <f t="shared" si="197"/>
        <v>25499520</v>
      </c>
      <c r="Y247" s="260">
        <f t="shared" si="198"/>
        <v>4160544</v>
      </c>
      <c r="Z247" s="260">
        <f t="shared" si="199"/>
        <v>29660064</v>
      </c>
      <c r="AA247" s="258">
        <f t="array" ref="AA247">MAX((IF(MNU_CODIGO_ALIMENTO_ENTREGA=CONCATENATE($C247,"_","P_"),MNU_GRAMAJE_REQUERIDO_TIPOM,"")))</f>
        <v>100</v>
      </c>
      <c r="AB247" s="261">
        <f t="shared" si="200"/>
        <v>3380</v>
      </c>
      <c r="AC247" s="261">
        <v>0</v>
      </c>
      <c r="AD247" s="261">
        <f t="shared" si="201"/>
        <v>3380</v>
      </c>
      <c r="AE247" s="262">
        <f t="shared" si="202"/>
        <v>1541280</v>
      </c>
      <c r="AF247" s="262">
        <v>0</v>
      </c>
      <c r="AG247" s="262">
        <f t="shared" si="203"/>
        <v>1541280</v>
      </c>
      <c r="AH247" s="353">
        <f t="array" ref="AH247">MAX((IF(MNU_CODIGO_ALIMENTO_ENTREGA=CONCATENATE($C247,"_","P_"),MNU_GRAMAJE_REQUERIDO_TIPOH,"")))</f>
        <v>100</v>
      </c>
      <c r="AI247" s="259">
        <f t="shared" si="204"/>
        <v>3540</v>
      </c>
      <c r="AJ247" s="259">
        <v>0</v>
      </c>
      <c r="AK247" s="259">
        <f t="shared" si="205"/>
        <v>3540</v>
      </c>
      <c r="AL247" s="260">
        <f t="shared" si="206"/>
        <v>1614240</v>
      </c>
      <c r="AM247" s="260">
        <v>0</v>
      </c>
      <c r="AN247" s="260">
        <f t="shared" si="207"/>
        <v>1614240</v>
      </c>
      <c r="AO247" s="457">
        <f t="shared" si="208"/>
        <v>151632</v>
      </c>
      <c r="AP247" s="456">
        <f t="shared" si="209"/>
        <v>69144192</v>
      </c>
      <c r="AQ247" s="263" t="e">
        <f>#REF!+AH247+AA247+T247+M247</f>
        <v>#REF!</v>
      </c>
      <c r="AR247" s="263">
        <f t="shared" si="168"/>
        <v>69277252</v>
      </c>
      <c r="AS247" s="263" t="e">
        <f t="shared" si="169"/>
        <v>#REF!</v>
      </c>
      <c r="AT247" s="263">
        <f t="shared" si="170"/>
        <v>69428884</v>
      </c>
      <c r="AU247" s="263" t="e">
        <f t="shared" si="171"/>
        <v>#REF!</v>
      </c>
      <c r="AV247" s="263">
        <f t="shared" si="172"/>
        <v>77897716</v>
      </c>
      <c r="AW247" s="263" t="e">
        <f t="shared" si="173"/>
        <v>#REF!</v>
      </c>
      <c r="AX247" s="263" t="e">
        <f>AV247+#REF!+AH247+AA247+T247</f>
        <v>#REF!</v>
      </c>
      <c r="AY247" s="263" t="e">
        <f t="shared" si="174"/>
        <v>#REF!</v>
      </c>
      <c r="AZ247" s="263" t="e">
        <f t="shared" si="175"/>
        <v>#REF!</v>
      </c>
      <c r="BA247" s="263" t="e">
        <f t="shared" si="176"/>
        <v>#REF!</v>
      </c>
      <c r="BB247" s="263" t="e">
        <f t="shared" si="177"/>
        <v>#REF!</v>
      </c>
      <c r="BC247" s="263" t="e">
        <f t="shared" si="178"/>
        <v>#REF!</v>
      </c>
      <c r="BD247" s="263" t="e">
        <f t="shared" si="179"/>
        <v>#REF!</v>
      </c>
      <c r="BE247" s="263" t="e">
        <f>BC247+AV247+#REF!+AH247+AA247</f>
        <v>#REF!</v>
      </c>
      <c r="BF247" s="263" t="e">
        <f t="shared" si="180"/>
        <v>#REF!</v>
      </c>
      <c r="BG247" s="263" t="e">
        <f t="shared" si="181"/>
        <v>#REF!</v>
      </c>
    </row>
    <row r="248" spans="1:59" ht="15.75">
      <c r="A248" s="338">
        <v>19</v>
      </c>
      <c r="B248" s="338" t="s">
        <v>1</v>
      </c>
      <c r="C248" s="258">
        <v>7</v>
      </c>
      <c r="D248" s="328" t="s">
        <v>57</v>
      </c>
      <c r="E248" s="258" t="s">
        <v>9</v>
      </c>
      <c r="F248" s="431">
        <f t="array" ref="F248">MAX((IF(MNU_CODIGO_ALIMENTO_ENTREGA=CONCATENATE($C248,"_","P_"),MNU_GRAMAJE_REQUERIDO_TIPOA,"")))</f>
        <v>100</v>
      </c>
      <c r="G248" s="259">
        <f t="shared" si="182"/>
        <v>132748</v>
      </c>
      <c r="H248" s="259">
        <f t="shared" si="183"/>
        <v>12276</v>
      </c>
      <c r="I248" s="259">
        <f t="shared" si="184"/>
        <v>145024</v>
      </c>
      <c r="J248" s="260">
        <f t="shared" si="185"/>
        <v>14867776</v>
      </c>
      <c r="K248" s="260">
        <f t="shared" si="186"/>
        <v>1374912</v>
      </c>
      <c r="L248" s="260">
        <f t="shared" si="187"/>
        <v>16242688</v>
      </c>
      <c r="M248" s="432">
        <f t="array" ref="M248">MAX((IF(MNU_CODIGO_ALIMENTO_ENTREGA=CONCATENATE($C248,"_","P_"),MNU_GRAMAJE_REQUERIDO_TIPOB,"")))</f>
        <v>100</v>
      </c>
      <c r="N248" s="348">
        <f t="shared" si="188"/>
        <v>79155</v>
      </c>
      <c r="O248" s="348">
        <f t="shared" si="189"/>
        <v>9801</v>
      </c>
      <c r="P248" s="348">
        <f t="shared" si="190"/>
        <v>88956</v>
      </c>
      <c r="Q248" s="349">
        <f t="shared" si="191"/>
        <v>8865360</v>
      </c>
      <c r="R248" s="349">
        <f t="shared" si="192"/>
        <v>1097712</v>
      </c>
      <c r="S248" s="349">
        <f t="shared" si="193"/>
        <v>9963072</v>
      </c>
      <c r="T248" s="353">
        <f t="array" ref="T248">MAX((IF(MNU_CODIGO_ALIMENTO_ENTREGA=CONCATENATE($C248,"_","P_"),MNU_GRAMAJE_REQUERIDO_TIPOC,"")))</f>
        <v>100</v>
      </c>
      <c r="U248" s="259">
        <f t="shared" si="194"/>
        <v>99549</v>
      </c>
      <c r="V248" s="259">
        <f t="shared" si="195"/>
        <v>11605</v>
      </c>
      <c r="W248" s="259">
        <f t="shared" si="196"/>
        <v>111154</v>
      </c>
      <c r="X248" s="260">
        <f t="shared" si="197"/>
        <v>11149488</v>
      </c>
      <c r="Y248" s="260">
        <f t="shared" si="198"/>
        <v>1299760</v>
      </c>
      <c r="Z248" s="260">
        <f t="shared" si="199"/>
        <v>12449248</v>
      </c>
      <c r="AA248" s="258">
        <f t="array" ref="AA248">MAX((IF(MNU_CODIGO_ALIMENTO_ENTREGA=CONCATENATE($C248,"_","P_"),MNU_GRAMAJE_REQUERIDO_TIPOM,"")))</f>
        <v>100</v>
      </c>
      <c r="AB248" s="261">
        <f t="shared" si="200"/>
        <v>1692</v>
      </c>
      <c r="AC248" s="261">
        <v>0</v>
      </c>
      <c r="AD248" s="261">
        <f t="shared" si="201"/>
        <v>1692</v>
      </c>
      <c r="AE248" s="262">
        <f t="shared" si="202"/>
        <v>189504</v>
      </c>
      <c r="AF248" s="262">
        <v>0</v>
      </c>
      <c r="AG248" s="262">
        <f t="shared" si="203"/>
        <v>189504</v>
      </c>
      <c r="AH248" s="353">
        <f t="array" ref="AH248">MAX((IF(MNU_CODIGO_ALIMENTO_ENTREGA=CONCATENATE($C248,"_","P_"),MNU_GRAMAJE_REQUERIDO_TIPOH,"")))</f>
        <v>100</v>
      </c>
      <c r="AI248" s="259">
        <f t="shared" si="204"/>
        <v>1647</v>
      </c>
      <c r="AJ248" s="259">
        <v>0</v>
      </c>
      <c r="AK248" s="259">
        <f t="shared" si="205"/>
        <v>1647</v>
      </c>
      <c r="AL248" s="260">
        <f t="shared" si="206"/>
        <v>184464</v>
      </c>
      <c r="AM248" s="260">
        <v>0</v>
      </c>
      <c r="AN248" s="260">
        <f t="shared" si="207"/>
        <v>184464</v>
      </c>
      <c r="AO248" s="457">
        <f t="shared" si="208"/>
        <v>348473</v>
      </c>
      <c r="AP248" s="456">
        <f t="shared" si="209"/>
        <v>39028976</v>
      </c>
      <c r="AQ248" s="263" t="e">
        <f>#REF!+AH248+AA248+T248+M248</f>
        <v>#REF!</v>
      </c>
      <c r="AR248" s="263">
        <f t="shared" si="168"/>
        <v>39211019</v>
      </c>
      <c r="AS248" s="263" t="e">
        <f t="shared" si="169"/>
        <v>#REF!</v>
      </c>
      <c r="AT248" s="263">
        <f t="shared" si="170"/>
        <v>39414468</v>
      </c>
      <c r="AU248" s="263" t="e">
        <f t="shared" si="171"/>
        <v>#REF!</v>
      </c>
      <c r="AV248" s="263">
        <f t="shared" si="172"/>
        <v>41811940</v>
      </c>
      <c r="AW248" s="263" t="e">
        <f t="shared" si="173"/>
        <v>#REF!</v>
      </c>
      <c r="AX248" s="263" t="e">
        <f>AV248+#REF!+AH248+AA248+T248</f>
        <v>#REF!</v>
      </c>
      <c r="AY248" s="263" t="e">
        <f t="shared" si="174"/>
        <v>#REF!</v>
      </c>
      <c r="AZ248" s="263" t="e">
        <f t="shared" si="175"/>
        <v>#REF!</v>
      </c>
      <c r="BA248" s="263" t="e">
        <f t="shared" si="176"/>
        <v>#REF!</v>
      </c>
      <c r="BB248" s="263" t="e">
        <f t="shared" si="177"/>
        <v>#REF!</v>
      </c>
      <c r="BC248" s="263" t="e">
        <f t="shared" si="178"/>
        <v>#REF!</v>
      </c>
      <c r="BD248" s="263" t="e">
        <f t="shared" si="179"/>
        <v>#REF!</v>
      </c>
      <c r="BE248" s="263" t="e">
        <f>BC248+AV248+#REF!+AH248+AA248</f>
        <v>#REF!</v>
      </c>
      <c r="BF248" s="263" t="e">
        <f t="shared" si="180"/>
        <v>#REF!</v>
      </c>
      <c r="BG248" s="263" t="e">
        <f t="shared" si="181"/>
        <v>#REF!</v>
      </c>
    </row>
    <row r="249" spans="1:59" ht="15.75">
      <c r="A249" s="338">
        <v>19</v>
      </c>
      <c r="B249" s="338" t="s">
        <v>1</v>
      </c>
      <c r="C249" s="258">
        <v>8</v>
      </c>
      <c r="D249" s="328" t="s">
        <v>55</v>
      </c>
      <c r="E249" s="258" t="s">
        <v>9</v>
      </c>
      <c r="F249" s="431">
        <f t="array" ref="F249">MAX((IF(MNU_CODIGO_ALIMENTO_ENTREGA=CONCATENATE($C249,"_","P_"),MNU_GRAMAJE_REQUERIDO_TIPOA,"")))</f>
        <v>100</v>
      </c>
      <c r="G249" s="259">
        <f t="shared" si="182"/>
        <v>60340</v>
      </c>
      <c r="H249" s="259">
        <f t="shared" si="183"/>
        <v>4356</v>
      </c>
      <c r="I249" s="259">
        <f t="shared" si="184"/>
        <v>64696</v>
      </c>
      <c r="J249" s="260">
        <f t="shared" si="185"/>
        <v>8507940</v>
      </c>
      <c r="K249" s="260">
        <f t="shared" si="186"/>
        <v>614196</v>
      </c>
      <c r="L249" s="260">
        <f t="shared" si="187"/>
        <v>9122136</v>
      </c>
      <c r="M249" s="432">
        <f t="array" ref="M249">MAX((IF(MNU_CODIGO_ALIMENTO_ENTREGA=CONCATENATE($C249,"_","P_"),MNU_GRAMAJE_REQUERIDO_TIPOB,"")))</f>
        <v>100</v>
      </c>
      <c r="N249" s="348">
        <f t="shared" si="188"/>
        <v>70360</v>
      </c>
      <c r="O249" s="348">
        <f t="shared" si="189"/>
        <v>9801</v>
      </c>
      <c r="P249" s="348">
        <f t="shared" si="190"/>
        <v>80161</v>
      </c>
      <c r="Q249" s="349">
        <f t="shared" si="191"/>
        <v>9920760</v>
      </c>
      <c r="R249" s="349">
        <f t="shared" si="192"/>
        <v>1381941</v>
      </c>
      <c r="S249" s="349">
        <f t="shared" si="193"/>
        <v>11302701</v>
      </c>
      <c r="T249" s="353">
        <f t="array" ref="T249">MAX((IF(MNU_CODIGO_ALIMENTO_ENTREGA=CONCATENATE($C249,"_","P_"),MNU_GRAMAJE_REQUERIDO_TIPOC,"")))</f>
        <v>100</v>
      </c>
      <c r="U249" s="259">
        <f t="shared" si="194"/>
        <v>88488</v>
      </c>
      <c r="V249" s="259">
        <f t="shared" si="195"/>
        <v>11605</v>
      </c>
      <c r="W249" s="259">
        <f t="shared" si="196"/>
        <v>100093</v>
      </c>
      <c r="X249" s="260">
        <f t="shared" si="197"/>
        <v>12476808</v>
      </c>
      <c r="Y249" s="260">
        <f t="shared" si="198"/>
        <v>1636305</v>
      </c>
      <c r="Z249" s="260">
        <f t="shared" si="199"/>
        <v>14113113</v>
      </c>
      <c r="AA249" s="258">
        <f t="array" ref="AA249">MAX((IF(MNU_CODIGO_ALIMENTO_ENTREGA=CONCATENATE($C249,"_","P_"),MNU_GRAMAJE_REQUERIDO_TIPOM,"")))</f>
        <v>100</v>
      </c>
      <c r="AB249" s="261">
        <f t="shared" si="200"/>
        <v>1504</v>
      </c>
      <c r="AC249" s="261">
        <v>0</v>
      </c>
      <c r="AD249" s="261">
        <f t="shared" si="201"/>
        <v>1504</v>
      </c>
      <c r="AE249" s="262">
        <f t="shared" si="202"/>
        <v>212064</v>
      </c>
      <c r="AF249" s="262">
        <v>0</v>
      </c>
      <c r="AG249" s="262">
        <f t="shared" si="203"/>
        <v>212064</v>
      </c>
      <c r="AH249" s="353">
        <f t="array" ref="AH249">MAX((IF(MNU_CODIGO_ALIMENTO_ENTREGA=CONCATENATE($C249,"_","P_"),MNU_GRAMAJE_REQUERIDO_TIPOH,"")))</f>
        <v>100</v>
      </c>
      <c r="AI249" s="259">
        <f t="shared" si="204"/>
        <v>1464</v>
      </c>
      <c r="AJ249" s="259">
        <v>0</v>
      </c>
      <c r="AK249" s="259">
        <f t="shared" si="205"/>
        <v>1464</v>
      </c>
      <c r="AL249" s="260">
        <f t="shared" si="206"/>
        <v>206424</v>
      </c>
      <c r="AM249" s="260">
        <v>0</v>
      </c>
      <c r="AN249" s="260">
        <f t="shared" si="207"/>
        <v>206424</v>
      </c>
      <c r="AO249" s="457">
        <f t="shared" si="208"/>
        <v>247918</v>
      </c>
      <c r="AP249" s="456">
        <f t="shared" si="209"/>
        <v>34956438</v>
      </c>
      <c r="AQ249" s="263" t="e">
        <f>#REF!+AH249+AA249+T249+M249</f>
        <v>#REF!</v>
      </c>
      <c r="AR249" s="263">
        <f t="shared" si="168"/>
        <v>35118254</v>
      </c>
      <c r="AS249" s="263" t="e">
        <f t="shared" si="169"/>
        <v>#REF!</v>
      </c>
      <c r="AT249" s="263">
        <f t="shared" si="170"/>
        <v>35301476</v>
      </c>
      <c r="AU249" s="263" t="e">
        <f t="shared" si="171"/>
        <v>#REF!</v>
      </c>
      <c r="AV249" s="263">
        <f t="shared" si="172"/>
        <v>38319722</v>
      </c>
      <c r="AW249" s="263" t="e">
        <f t="shared" si="173"/>
        <v>#REF!</v>
      </c>
      <c r="AX249" s="263" t="e">
        <f>AV249+#REF!+AH249+AA249+T249</f>
        <v>#REF!</v>
      </c>
      <c r="AY249" s="263" t="e">
        <f t="shared" si="174"/>
        <v>#REF!</v>
      </c>
      <c r="AZ249" s="263" t="e">
        <f t="shared" si="175"/>
        <v>#REF!</v>
      </c>
      <c r="BA249" s="263" t="e">
        <f t="shared" si="176"/>
        <v>#REF!</v>
      </c>
      <c r="BB249" s="263" t="e">
        <f t="shared" si="177"/>
        <v>#REF!</v>
      </c>
      <c r="BC249" s="263" t="e">
        <f t="shared" si="178"/>
        <v>#REF!</v>
      </c>
      <c r="BD249" s="263" t="e">
        <f t="shared" si="179"/>
        <v>#REF!</v>
      </c>
      <c r="BE249" s="263" t="e">
        <f>BC249+AV249+#REF!+AH249+AA249</f>
        <v>#REF!</v>
      </c>
      <c r="BF249" s="263" t="e">
        <f t="shared" si="180"/>
        <v>#REF!</v>
      </c>
      <c r="BG249" s="263" t="e">
        <f t="shared" si="181"/>
        <v>#REF!</v>
      </c>
    </row>
    <row r="250" spans="1:59" ht="15.75">
      <c r="A250" s="338">
        <v>19</v>
      </c>
      <c r="B250" s="338" t="s">
        <v>1</v>
      </c>
      <c r="C250" s="258">
        <v>17</v>
      </c>
      <c r="D250" s="328" t="s">
        <v>53</v>
      </c>
      <c r="E250" s="258" t="s">
        <v>9</v>
      </c>
      <c r="F250" s="431">
        <f t="array" ref="F250">MAX((IF(MNU_CODIGO_ALIMENTO_ENTREGA=CONCATENATE($C250,"_","P_"),MNU_GRAMAJE_REQUERIDO_TIPOA,"")))</f>
        <v>0</v>
      </c>
      <c r="G250" s="259">
        <f t="shared" si="182"/>
        <v>0</v>
      </c>
      <c r="H250" s="259">
        <f t="shared" si="183"/>
        <v>0</v>
      </c>
      <c r="I250" s="259">
        <f t="shared" si="184"/>
        <v>0</v>
      </c>
      <c r="J250" s="260">
        <f t="shared" si="185"/>
        <v>0</v>
      </c>
      <c r="K250" s="260">
        <f t="shared" si="186"/>
        <v>0</v>
      </c>
      <c r="L250" s="260">
        <f t="shared" si="187"/>
        <v>0</v>
      </c>
      <c r="M250" s="432">
        <f t="array" ref="M250">MAX((IF(MNU_CODIGO_ALIMENTO_ENTREGA=CONCATENATE($C250,"_","P_"),MNU_GRAMAJE_REQUERIDO_TIPOB,"")))</f>
        <v>100</v>
      </c>
      <c r="N250" s="348">
        <f t="shared" si="188"/>
        <v>184695</v>
      </c>
      <c r="O250" s="348">
        <f t="shared" si="189"/>
        <v>20493</v>
      </c>
      <c r="P250" s="348">
        <f t="shared" si="190"/>
        <v>205188</v>
      </c>
      <c r="Q250" s="349">
        <f t="shared" si="191"/>
        <v>43772715</v>
      </c>
      <c r="R250" s="349">
        <f t="shared" si="192"/>
        <v>4856841</v>
      </c>
      <c r="S250" s="349">
        <f t="shared" si="193"/>
        <v>48629556</v>
      </c>
      <c r="T250" s="353">
        <f t="array" ref="T250">MAX((IF(MNU_CODIGO_ALIMENTO_ENTREGA=CONCATENATE($C250,"_","P_"),MNU_GRAMAJE_REQUERIDO_TIPOC,"")))</f>
        <v>100</v>
      </c>
      <c r="U250" s="259">
        <f t="shared" si="194"/>
        <v>232281</v>
      </c>
      <c r="V250" s="259">
        <f t="shared" si="195"/>
        <v>24265</v>
      </c>
      <c r="W250" s="259">
        <f t="shared" si="196"/>
        <v>256546</v>
      </c>
      <c r="X250" s="260">
        <f t="shared" si="197"/>
        <v>55050597</v>
      </c>
      <c r="Y250" s="260">
        <f t="shared" si="198"/>
        <v>5750805</v>
      </c>
      <c r="Z250" s="260">
        <f t="shared" si="199"/>
        <v>60801402</v>
      </c>
      <c r="AA250" s="258">
        <f t="array" ref="AA250">MAX((IF(MNU_CODIGO_ALIMENTO_ENTREGA=CONCATENATE($C250,"_","P_"),MNU_GRAMAJE_REQUERIDO_TIPOM,"")))</f>
        <v>100</v>
      </c>
      <c r="AB250" s="261">
        <f t="shared" si="200"/>
        <v>3948</v>
      </c>
      <c r="AC250" s="261">
        <v>0</v>
      </c>
      <c r="AD250" s="261">
        <f t="shared" si="201"/>
        <v>3948</v>
      </c>
      <c r="AE250" s="262">
        <f t="shared" si="202"/>
        <v>935676</v>
      </c>
      <c r="AF250" s="262">
        <v>0</v>
      </c>
      <c r="AG250" s="262">
        <f t="shared" si="203"/>
        <v>935676</v>
      </c>
      <c r="AH250" s="353">
        <f t="array" ref="AH250">MAX((IF(MNU_CODIGO_ALIMENTO_ENTREGA=CONCATENATE($C250,"_","P_"),MNU_GRAMAJE_REQUERIDO_TIPOH,"")))</f>
        <v>100</v>
      </c>
      <c r="AI250" s="259">
        <f t="shared" si="204"/>
        <v>3843</v>
      </c>
      <c r="AJ250" s="259">
        <v>0</v>
      </c>
      <c r="AK250" s="259">
        <f t="shared" si="205"/>
        <v>3843</v>
      </c>
      <c r="AL250" s="260">
        <f t="shared" si="206"/>
        <v>910791</v>
      </c>
      <c r="AM250" s="260">
        <v>0</v>
      </c>
      <c r="AN250" s="260">
        <f t="shared" si="207"/>
        <v>910791</v>
      </c>
      <c r="AO250" s="457">
        <f t="shared" si="208"/>
        <v>469525</v>
      </c>
      <c r="AP250" s="456">
        <f t="shared" si="209"/>
        <v>111277425</v>
      </c>
      <c r="AQ250" s="263" t="e">
        <f>#REF!+AH250+AA250+T250+M250</f>
        <v>#REF!</v>
      </c>
      <c r="AR250" s="263">
        <f t="shared" si="168"/>
        <v>111702192</v>
      </c>
      <c r="AS250" s="263" t="e">
        <f t="shared" si="169"/>
        <v>#REF!</v>
      </c>
      <c r="AT250" s="263">
        <f t="shared" si="170"/>
        <v>112171717</v>
      </c>
      <c r="AU250" s="263" t="e">
        <f t="shared" si="171"/>
        <v>#REF!</v>
      </c>
      <c r="AV250" s="263">
        <f t="shared" si="172"/>
        <v>122779363</v>
      </c>
      <c r="AW250" s="263" t="e">
        <f t="shared" si="173"/>
        <v>#REF!</v>
      </c>
      <c r="AX250" s="263" t="e">
        <f>AV250+#REF!+AH250+AA250+T250</f>
        <v>#REF!</v>
      </c>
      <c r="AY250" s="263" t="e">
        <f t="shared" si="174"/>
        <v>#REF!</v>
      </c>
      <c r="AZ250" s="263" t="e">
        <f t="shared" si="175"/>
        <v>#REF!</v>
      </c>
      <c r="BA250" s="263" t="e">
        <f t="shared" si="176"/>
        <v>#REF!</v>
      </c>
      <c r="BB250" s="263" t="e">
        <f t="shared" si="177"/>
        <v>#REF!</v>
      </c>
      <c r="BC250" s="263" t="e">
        <f t="shared" si="178"/>
        <v>#REF!</v>
      </c>
      <c r="BD250" s="263" t="e">
        <f t="shared" si="179"/>
        <v>#REF!</v>
      </c>
      <c r="BE250" s="263" t="e">
        <f>BC250+AV250+#REF!+AH250+AA250</f>
        <v>#REF!</v>
      </c>
      <c r="BF250" s="263" t="e">
        <f t="shared" si="180"/>
        <v>#REF!</v>
      </c>
      <c r="BG250" s="263" t="e">
        <f t="shared" si="181"/>
        <v>#REF!</v>
      </c>
    </row>
    <row r="251" spans="1:59" ht="15.75">
      <c r="A251" s="338">
        <v>19</v>
      </c>
      <c r="B251" s="338" t="s">
        <v>1</v>
      </c>
      <c r="C251" s="258">
        <v>22</v>
      </c>
      <c r="D251" s="328" t="s">
        <v>51</v>
      </c>
      <c r="E251" s="258" t="s">
        <v>9</v>
      </c>
      <c r="F251" s="431">
        <f t="array" ref="F251">MAX((IF(MNU_CODIGO_ALIMENTO_ENTREGA=CONCATENATE($C251,"_","P_"),MNU_GRAMAJE_REQUERIDO_TIPOA,"")))</f>
        <v>0</v>
      </c>
      <c r="G251" s="259">
        <f t="shared" si="182"/>
        <v>0</v>
      </c>
      <c r="H251" s="259">
        <f t="shared" si="183"/>
        <v>0</v>
      </c>
      <c r="I251" s="259">
        <f t="shared" si="184"/>
        <v>0</v>
      </c>
      <c r="J251" s="260">
        <f t="shared" si="185"/>
        <v>0</v>
      </c>
      <c r="K251" s="260">
        <f t="shared" si="186"/>
        <v>0</v>
      </c>
      <c r="L251" s="260">
        <f t="shared" si="187"/>
        <v>0</v>
      </c>
      <c r="M251" s="432">
        <f t="array" ref="M251">MAX((IF(MNU_CODIGO_ALIMENTO_ENTREGA=CONCATENATE($C251,"_","P_"),MNU_GRAMAJE_REQUERIDO_TIPOB,"")))</f>
        <v>100</v>
      </c>
      <c r="N251" s="348">
        <f t="shared" si="188"/>
        <v>175900</v>
      </c>
      <c r="O251" s="348">
        <f t="shared" si="189"/>
        <v>20493</v>
      </c>
      <c r="P251" s="348">
        <f t="shared" si="190"/>
        <v>196393</v>
      </c>
      <c r="Q251" s="349">
        <f t="shared" si="191"/>
        <v>96920900</v>
      </c>
      <c r="R251" s="349">
        <f t="shared" si="192"/>
        <v>11291643</v>
      </c>
      <c r="S251" s="349">
        <f t="shared" si="193"/>
        <v>108212543</v>
      </c>
      <c r="T251" s="353">
        <f t="array" ref="T251">MAX((IF(MNU_CODIGO_ALIMENTO_ENTREGA=CONCATENATE($C251,"_","P_"),MNU_GRAMAJE_REQUERIDO_TIPOC,"")))</f>
        <v>100</v>
      </c>
      <c r="U251" s="259">
        <f t="shared" si="194"/>
        <v>221220</v>
      </c>
      <c r="V251" s="259">
        <f t="shared" si="195"/>
        <v>24265</v>
      </c>
      <c r="W251" s="259">
        <f t="shared" si="196"/>
        <v>245485</v>
      </c>
      <c r="X251" s="260">
        <f t="shared" si="197"/>
        <v>121892220</v>
      </c>
      <c r="Y251" s="260">
        <f t="shared" si="198"/>
        <v>13370015</v>
      </c>
      <c r="Z251" s="260">
        <f t="shared" si="199"/>
        <v>135262235</v>
      </c>
      <c r="AA251" s="258">
        <f t="array" ref="AA251">MAX((IF(MNU_CODIGO_ALIMENTO_ENTREGA=CONCATENATE($C251,"_","P_"),MNU_GRAMAJE_REQUERIDO_TIPOM,"")))</f>
        <v>100</v>
      </c>
      <c r="AB251" s="261">
        <f t="shared" si="200"/>
        <v>3760</v>
      </c>
      <c r="AC251" s="261">
        <v>0</v>
      </c>
      <c r="AD251" s="261">
        <f t="shared" si="201"/>
        <v>3760</v>
      </c>
      <c r="AE251" s="262">
        <f t="shared" si="202"/>
        <v>2071760</v>
      </c>
      <c r="AF251" s="262">
        <v>0</v>
      </c>
      <c r="AG251" s="262">
        <f t="shared" si="203"/>
        <v>2071760</v>
      </c>
      <c r="AH251" s="353">
        <f t="array" ref="AH251">MAX((IF(MNU_CODIGO_ALIMENTO_ENTREGA=CONCATENATE($C251,"_","P_"),MNU_GRAMAJE_REQUERIDO_TIPOH,"")))</f>
        <v>100</v>
      </c>
      <c r="AI251" s="259">
        <f t="shared" si="204"/>
        <v>3660</v>
      </c>
      <c r="AJ251" s="259">
        <v>0</v>
      </c>
      <c r="AK251" s="259">
        <f t="shared" si="205"/>
        <v>3660</v>
      </c>
      <c r="AL251" s="260">
        <f t="shared" si="206"/>
        <v>2016660</v>
      </c>
      <c r="AM251" s="260">
        <v>0</v>
      </c>
      <c r="AN251" s="260">
        <f t="shared" si="207"/>
        <v>2016660</v>
      </c>
      <c r="AO251" s="457">
        <f t="shared" si="208"/>
        <v>449298</v>
      </c>
      <c r="AP251" s="456">
        <f t="shared" si="209"/>
        <v>247563198</v>
      </c>
      <c r="AQ251" s="263" t="e">
        <f>#REF!+AH251+AA251+T251+M251</f>
        <v>#REF!</v>
      </c>
      <c r="AR251" s="263">
        <f t="shared" si="168"/>
        <v>247967738</v>
      </c>
      <c r="AS251" s="263" t="e">
        <f t="shared" si="169"/>
        <v>#REF!</v>
      </c>
      <c r="AT251" s="263">
        <f t="shared" si="170"/>
        <v>248417036</v>
      </c>
      <c r="AU251" s="263" t="e">
        <f t="shared" si="171"/>
        <v>#REF!</v>
      </c>
      <c r="AV251" s="263">
        <f t="shared" si="172"/>
        <v>273078694</v>
      </c>
      <c r="AW251" s="263" t="e">
        <f t="shared" si="173"/>
        <v>#REF!</v>
      </c>
      <c r="AX251" s="263" t="e">
        <f>AV251+#REF!+AH251+AA251+T251</f>
        <v>#REF!</v>
      </c>
      <c r="AY251" s="263" t="e">
        <f t="shared" si="174"/>
        <v>#REF!</v>
      </c>
      <c r="AZ251" s="263" t="e">
        <f t="shared" si="175"/>
        <v>#REF!</v>
      </c>
      <c r="BA251" s="263" t="e">
        <f t="shared" si="176"/>
        <v>#REF!</v>
      </c>
      <c r="BB251" s="263" t="e">
        <f t="shared" si="177"/>
        <v>#REF!</v>
      </c>
      <c r="BC251" s="263" t="e">
        <f t="shared" si="178"/>
        <v>#REF!</v>
      </c>
      <c r="BD251" s="263" t="e">
        <f t="shared" si="179"/>
        <v>#REF!</v>
      </c>
      <c r="BE251" s="263" t="e">
        <f>BC251+AV251+#REF!+AH251+AA251</f>
        <v>#REF!</v>
      </c>
      <c r="BF251" s="263" t="e">
        <f t="shared" si="180"/>
        <v>#REF!</v>
      </c>
      <c r="BG251" s="263" t="e">
        <f t="shared" si="181"/>
        <v>#REF!</v>
      </c>
    </row>
    <row r="252" spans="1:59" ht="15.75">
      <c r="A252" s="338">
        <v>19</v>
      </c>
      <c r="B252" s="338" t="s">
        <v>1</v>
      </c>
      <c r="C252" s="258">
        <v>33</v>
      </c>
      <c r="D252" s="328" t="s">
        <v>59</v>
      </c>
      <c r="E252" s="258" t="s">
        <v>48</v>
      </c>
      <c r="F252" s="431">
        <v>1</v>
      </c>
      <c r="G252" s="259">
        <f t="shared" si="182"/>
        <v>162918</v>
      </c>
      <c r="H252" s="259">
        <f t="shared" si="183"/>
        <v>11484</v>
      </c>
      <c r="I252" s="259">
        <f t="shared" si="184"/>
        <v>174402</v>
      </c>
      <c r="J252" s="260">
        <f t="shared" si="185"/>
        <v>46105794</v>
      </c>
      <c r="K252" s="260">
        <f t="shared" si="186"/>
        <v>3249972</v>
      </c>
      <c r="L252" s="260">
        <f t="shared" si="187"/>
        <v>49355766</v>
      </c>
      <c r="M252" s="432">
        <v>1</v>
      </c>
      <c r="N252" s="348">
        <f t="shared" si="188"/>
        <v>158310</v>
      </c>
      <c r="O252" s="348">
        <f t="shared" si="189"/>
        <v>20493</v>
      </c>
      <c r="P252" s="348">
        <f t="shared" si="190"/>
        <v>178803</v>
      </c>
      <c r="Q252" s="349">
        <f t="shared" si="191"/>
        <v>44801730</v>
      </c>
      <c r="R252" s="349">
        <f t="shared" si="192"/>
        <v>5799519</v>
      </c>
      <c r="S252" s="349">
        <f t="shared" si="193"/>
        <v>50601249</v>
      </c>
      <c r="T252" s="431">
        <v>1</v>
      </c>
      <c r="U252" s="259">
        <f t="shared" si="194"/>
        <v>199098</v>
      </c>
      <c r="V252" s="259">
        <f t="shared" si="195"/>
        <v>24265</v>
      </c>
      <c r="W252" s="259">
        <f t="shared" si="196"/>
        <v>223363</v>
      </c>
      <c r="X252" s="260">
        <f t="shared" si="197"/>
        <v>56344734</v>
      </c>
      <c r="Y252" s="260">
        <f t="shared" si="198"/>
        <v>6866995</v>
      </c>
      <c r="Z252" s="260">
        <f t="shared" si="199"/>
        <v>63211729</v>
      </c>
      <c r="AA252" s="258">
        <v>1</v>
      </c>
      <c r="AB252" s="261">
        <f t="shared" si="200"/>
        <v>3384</v>
      </c>
      <c r="AC252" s="261">
        <v>0</v>
      </c>
      <c r="AD252" s="261">
        <f t="shared" si="201"/>
        <v>3384</v>
      </c>
      <c r="AE252" s="262">
        <f t="shared" si="202"/>
        <v>957672</v>
      </c>
      <c r="AF252" s="262">
        <v>0</v>
      </c>
      <c r="AG252" s="262">
        <f t="shared" si="203"/>
        <v>957672</v>
      </c>
      <c r="AH252" s="353">
        <v>1</v>
      </c>
      <c r="AI252" s="259">
        <f t="shared" si="204"/>
        <v>3294</v>
      </c>
      <c r="AJ252" s="259">
        <v>0</v>
      </c>
      <c r="AK252" s="259">
        <f t="shared" si="205"/>
        <v>3294</v>
      </c>
      <c r="AL252" s="260">
        <f t="shared" si="206"/>
        <v>932202</v>
      </c>
      <c r="AM252" s="260">
        <v>0</v>
      </c>
      <c r="AN252" s="260">
        <f t="shared" si="207"/>
        <v>932202</v>
      </c>
      <c r="AO252" s="457">
        <f t="shared" si="208"/>
        <v>583246</v>
      </c>
      <c r="AP252" s="456">
        <f t="shared" si="209"/>
        <v>165058618</v>
      </c>
      <c r="AQ252" s="263" t="e">
        <f>#REF!+AH252+AA252+T252+M252</f>
        <v>#REF!</v>
      </c>
      <c r="AR252" s="263">
        <f t="shared" si="168"/>
        <v>165422704</v>
      </c>
      <c r="AS252" s="263" t="e">
        <f t="shared" si="169"/>
        <v>#REF!</v>
      </c>
      <c r="AT252" s="263">
        <f t="shared" si="170"/>
        <v>165831548</v>
      </c>
      <c r="AU252" s="263" t="e">
        <f t="shared" si="171"/>
        <v>#REF!</v>
      </c>
      <c r="AV252" s="263">
        <f t="shared" si="172"/>
        <v>178498062</v>
      </c>
      <c r="AW252" s="263" t="e">
        <f t="shared" si="173"/>
        <v>#REF!</v>
      </c>
      <c r="AX252" s="263" t="e">
        <f>AV252+#REF!+AH252+AA252+T252</f>
        <v>#REF!</v>
      </c>
      <c r="AY252" s="263" t="e">
        <f t="shared" si="174"/>
        <v>#REF!</v>
      </c>
      <c r="AZ252" s="263" t="e">
        <f t="shared" si="175"/>
        <v>#REF!</v>
      </c>
      <c r="BA252" s="263" t="e">
        <f t="shared" si="176"/>
        <v>#REF!</v>
      </c>
      <c r="BB252" s="263" t="e">
        <f t="shared" si="177"/>
        <v>#REF!</v>
      </c>
      <c r="BC252" s="263" t="e">
        <f t="shared" si="178"/>
        <v>#REF!</v>
      </c>
      <c r="BD252" s="263" t="e">
        <f t="shared" si="179"/>
        <v>#REF!</v>
      </c>
      <c r="BE252" s="263" t="e">
        <f>BC252+AV252+#REF!+AH252+AA252</f>
        <v>#REF!</v>
      </c>
      <c r="BF252" s="263" t="e">
        <f t="shared" si="180"/>
        <v>#REF!</v>
      </c>
      <c r="BG252" s="263" t="e">
        <f t="shared" si="181"/>
        <v>#REF!</v>
      </c>
    </row>
    <row r="253" spans="1:59" ht="15.75">
      <c r="A253" s="338">
        <v>19</v>
      </c>
      <c r="B253" s="338" t="s">
        <v>1</v>
      </c>
      <c r="C253" s="258">
        <v>36</v>
      </c>
      <c r="D253" s="328" t="s">
        <v>1340</v>
      </c>
      <c r="E253" s="258" t="s">
        <v>9</v>
      </c>
      <c r="F253" s="431">
        <f t="array" ref="F253">MAX((IF(MNU_CODIGO_ALIMENTO_ENTREGA=CONCATENATE($C253,"_","P_"),MNU_GRAMAJE_REQUERIDO_TIPOA,"")))</f>
        <v>20</v>
      </c>
      <c r="G253" s="259">
        <f t="shared" si="182"/>
        <v>42238</v>
      </c>
      <c r="H253" s="259">
        <f t="shared" si="183"/>
        <v>3168</v>
      </c>
      <c r="I253" s="259">
        <f t="shared" si="184"/>
        <v>45406</v>
      </c>
      <c r="J253" s="260">
        <f t="shared" si="185"/>
        <v>5575416</v>
      </c>
      <c r="K253" s="260">
        <f t="shared" si="186"/>
        <v>418176</v>
      </c>
      <c r="L253" s="260">
        <f t="shared" si="187"/>
        <v>5993592</v>
      </c>
      <c r="M253" s="432">
        <f t="array" ref="M253">MAX((IF(MNU_CODIGO_ALIMENTO_ENTREGA=CONCATENATE($C253,"_","P_"),MNU_GRAMAJE_REQUERIDO_TIPOB,"")))</f>
        <v>40</v>
      </c>
      <c r="N253" s="348">
        <f t="shared" si="188"/>
        <v>61565</v>
      </c>
      <c r="O253" s="348">
        <f t="shared" si="189"/>
        <v>7128</v>
      </c>
      <c r="P253" s="348">
        <f t="shared" si="190"/>
        <v>68693</v>
      </c>
      <c r="Q253" s="349">
        <f t="shared" si="191"/>
        <v>16314725</v>
      </c>
      <c r="R253" s="349">
        <f t="shared" si="192"/>
        <v>1888920</v>
      </c>
      <c r="S253" s="349">
        <f t="shared" si="193"/>
        <v>18203645</v>
      </c>
      <c r="T253" s="353">
        <f t="array" ref="T253">MAX((IF(MNU_CODIGO_ALIMENTO_ENTREGA=CONCATENATE($C253,"_","P_"),MNU_GRAMAJE_REQUERIDO_TIPOC,"")))</f>
        <v>40</v>
      </c>
      <c r="U253" s="259">
        <f t="shared" si="194"/>
        <v>77427</v>
      </c>
      <c r="V253" s="259">
        <f t="shared" si="195"/>
        <v>8440</v>
      </c>
      <c r="W253" s="259">
        <f t="shared" si="196"/>
        <v>85867</v>
      </c>
      <c r="X253" s="260">
        <f t="shared" si="197"/>
        <v>20518155</v>
      </c>
      <c r="Y253" s="260">
        <f t="shared" si="198"/>
        <v>2236600</v>
      </c>
      <c r="Z253" s="260">
        <f t="shared" si="199"/>
        <v>22754755</v>
      </c>
      <c r="AA253" s="258">
        <f t="array" ref="AA253">MAX((IF(MNU_CODIGO_ALIMENTO_ENTREGA=CONCATENATE($C253,"_","P_"),MNU_GRAMAJE_REQUERIDO_TIPOM,"")))</f>
        <v>40</v>
      </c>
      <c r="AB253" s="261">
        <f t="shared" si="200"/>
        <v>1316</v>
      </c>
      <c r="AC253" s="261">
        <v>0</v>
      </c>
      <c r="AD253" s="261">
        <f t="shared" si="201"/>
        <v>1316</v>
      </c>
      <c r="AE253" s="262">
        <f t="shared" si="202"/>
        <v>348740</v>
      </c>
      <c r="AF253" s="262">
        <v>0</v>
      </c>
      <c r="AG253" s="262">
        <f t="shared" si="203"/>
        <v>348740</v>
      </c>
      <c r="AH253" s="353">
        <f t="array" ref="AH253">MAX((IF(MNU_CODIGO_ALIMENTO_ENTREGA=CONCATENATE($C253,"_","P_"),MNU_GRAMAJE_REQUERIDO_TIPOH,"")))</f>
        <v>40</v>
      </c>
      <c r="AI253" s="259">
        <f t="shared" si="204"/>
        <v>1281</v>
      </c>
      <c r="AJ253" s="259">
        <v>0</v>
      </c>
      <c r="AK253" s="259">
        <f t="shared" si="205"/>
        <v>1281</v>
      </c>
      <c r="AL253" s="260">
        <f t="shared" si="206"/>
        <v>339465</v>
      </c>
      <c r="AM253" s="260">
        <v>0</v>
      </c>
      <c r="AN253" s="260">
        <f t="shared" si="207"/>
        <v>339465</v>
      </c>
      <c r="AO253" s="457">
        <f t="shared" si="208"/>
        <v>202563</v>
      </c>
      <c r="AP253" s="456">
        <f t="shared" si="209"/>
        <v>47640197</v>
      </c>
      <c r="AQ253" s="263" t="e">
        <f>#REF!+AH253+AA253+T253+M253</f>
        <v>#REF!</v>
      </c>
      <c r="AR253" s="263">
        <f t="shared" si="168"/>
        <v>47781786</v>
      </c>
      <c r="AS253" s="263" t="e">
        <f t="shared" si="169"/>
        <v>#REF!</v>
      </c>
      <c r="AT253" s="263">
        <f t="shared" si="170"/>
        <v>47938943</v>
      </c>
      <c r="AU253" s="263" t="e">
        <f t="shared" si="171"/>
        <v>#REF!</v>
      </c>
      <c r="AV253" s="263">
        <f t="shared" si="172"/>
        <v>52064463</v>
      </c>
      <c r="AW253" s="263" t="e">
        <f t="shared" si="173"/>
        <v>#REF!</v>
      </c>
      <c r="AX253" s="263" t="e">
        <f>AV253+#REF!+AH253+AA253+T253</f>
        <v>#REF!</v>
      </c>
      <c r="AY253" s="263" t="e">
        <f t="shared" si="174"/>
        <v>#REF!</v>
      </c>
      <c r="AZ253" s="263" t="e">
        <f t="shared" si="175"/>
        <v>#REF!</v>
      </c>
      <c r="BA253" s="263" t="e">
        <f t="shared" si="176"/>
        <v>#REF!</v>
      </c>
      <c r="BB253" s="263" t="e">
        <f t="shared" si="177"/>
        <v>#REF!</v>
      </c>
      <c r="BC253" s="263" t="e">
        <f t="shared" si="178"/>
        <v>#REF!</v>
      </c>
      <c r="BD253" s="263" t="e">
        <f t="shared" si="179"/>
        <v>#REF!</v>
      </c>
      <c r="BE253" s="263" t="e">
        <f>BC253+AV253+#REF!+AH253+AA253</f>
        <v>#REF!</v>
      </c>
      <c r="BF253" s="263" t="e">
        <f t="shared" si="180"/>
        <v>#REF!</v>
      </c>
      <c r="BG253" s="263" t="e">
        <f t="shared" si="181"/>
        <v>#REF!</v>
      </c>
    </row>
    <row r="254" spans="1:59" ht="15.75">
      <c r="A254" s="338">
        <v>19</v>
      </c>
      <c r="B254" s="338" t="s">
        <v>1</v>
      </c>
      <c r="C254" s="258">
        <v>42</v>
      </c>
      <c r="D254" s="328" t="s">
        <v>61</v>
      </c>
      <c r="E254" s="258" t="s">
        <v>9</v>
      </c>
      <c r="F254" s="431">
        <f t="array" ref="F254">MAX((IF(MNU_CODIGO_ALIMENTO_ENTREGA=CONCATENATE($C254,"_","P_"),MNU_GRAMAJE_REQUERIDO_TIPOA,"")))</f>
        <v>100</v>
      </c>
      <c r="G254" s="259">
        <f t="shared" si="182"/>
        <v>138782</v>
      </c>
      <c r="H254" s="259">
        <f t="shared" si="183"/>
        <v>14256</v>
      </c>
      <c r="I254" s="259">
        <f t="shared" si="184"/>
        <v>153038</v>
      </c>
      <c r="J254" s="260">
        <f t="shared" si="185"/>
        <v>28311528</v>
      </c>
      <c r="K254" s="260">
        <f t="shared" si="186"/>
        <v>2908224</v>
      </c>
      <c r="L254" s="260">
        <f t="shared" si="187"/>
        <v>31219752</v>
      </c>
      <c r="M254" s="432">
        <f t="array" ref="M254">MAX((IF(MNU_CODIGO_ALIMENTO_ENTREGA=CONCATENATE($C254,"_","P_"),MNU_GRAMAJE_REQUERIDO_TIPOB,"")))</f>
        <v>100</v>
      </c>
      <c r="N254" s="348">
        <f t="shared" si="188"/>
        <v>167105</v>
      </c>
      <c r="O254" s="348">
        <f t="shared" si="189"/>
        <v>16929</v>
      </c>
      <c r="P254" s="348">
        <f t="shared" si="190"/>
        <v>184034</v>
      </c>
      <c r="Q254" s="349">
        <f t="shared" si="191"/>
        <v>34089420</v>
      </c>
      <c r="R254" s="349">
        <f t="shared" si="192"/>
        <v>3453516</v>
      </c>
      <c r="S254" s="349">
        <f t="shared" si="193"/>
        <v>37542936</v>
      </c>
      <c r="T254" s="353">
        <f t="array" ref="T254">MAX((IF(MNU_CODIGO_ALIMENTO_ENTREGA=CONCATENATE($C254,"_","P_"),MNU_GRAMAJE_REQUERIDO_TIPOC,"")))</f>
        <v>100</v>
      </c>
      <c r="U254" s="259">
        <f t="shared" si="194"/>
        <v>210159</v>
      </c>
      <c r="V254" s="259">
        <f t="shared" si="195"/>
        <v>20045</v>
      </c>
      <c r="W254" s="259">
        <f t="shared" si="196"/>
        <v>230204</v>
      </c>
      <c r="X254" s="260">
        <f t="shared" si="197"/>
        <v>42872436</v>
      </c>
      <c r="Y254" s="260">
        <f t="shared" si="198"/>
        <v>4089180</v>
      </c>
      <c r="Z254" s="260">
        <f t="shared" si="199"/>
        <v>46961616</v>
      </c>
      <c r="AA254" s="258">
        <f t="array" ref="AA254">MAX((IF(MNU_CODIGO_ALIMENTO_ENTREGA=CONCATENATE($C254,"_","P_"),MNU_GRAMAJE_REQUERIDO_TIPOM,"")))</f>
        <v>100</v>
      </c>
      <c r="AB254" s="261">
        <f t="shared" si="200"/>
        <v>3572</v>
      </c>
      <c r="AC254" s="261">
        <v>0</v>
      </c>
      <c r="AD254" s="261">
        <f t="shared" si="201"/>
        <v>3572</v>
      </c>
      <c r="AE254" s="262">
        <f t="shared" si="202"/>
        <v>728688</v>
      </c>
      <c r="AF254" s="262">
        <v>0</v>
      </c>
      <c r="AG254" s="262">
        <f t="shared" si="203"/>
        <v>728688</v>
      </c>
      <c r="AH254" s="353">
        <f t="array" ref="AH254">MAX((IF(MNU_CODIGO_ALIMENTO_ENTREGA=CONCATENATE($C254,"_","P_"),MNU_GRAMAJE_REQUERIDO_TIPOH,"")))</f>
        <v>100</v>
      </c>
      <c r="AI254" s="259">
        <f t="shared" si="204"/>
        <v>3477</v>
      </c>
      <c r="AJ254" s="259">
        <v>0</v>
      </c>
      <c r="AK254" s="259">
        <f t="shared" si="205"/>
        <v>3477</v>
      </c>
      <c r="AL254" s="260">
        <f t="shared" si="206"/>
        <v>709308</v>
      </c>
      <c r="AM254" s="260">
        <v>0</v>
      </c>
      <c r="AN254" s="260">
        <f t="shared" si="207"/>
        <v>709308</v>
      </c>
      <c r="AO254" s="457">
        <f t="shared" si="208"/>
        <v>574325</v>
      </c>
      <c r="AP254" s="456">
        <f t="shared" si="209"/>
        <v>117162300</v>
      </c>
      <c r="AQ254" s="263" t="e">
        <f>#REF!+AH254+AA254+T254+M254</f>
        <v>#REF!</v>
      </c>
      <c r="AR254" s="263">
        <f t="shared" si="168"/>
        <v>117546613</v>
      </c>
      <c r="AS254" s="263" t="e">
        <f t="shared" si="169"/>
        <v>#REF!</v>
      </c>
      <c r="AT254" s="263">
        <f t="shared" si="170"/>
        <v>117967900</v>
      </c>
      <c r="AU254" s="263" t="e">
        <f t="shared" si="171"/>
        <v>#REF!</v>
      </c>
      <c r="AV254" s="263">
        <f t="shared" si="172"/>
        <v>125510596</v>
      </c>
      <c r="AW254" s="263" t="e">
        <f t="shared" si="173"/>
        <v>#REF!</v>
      </c>
      <c r="AX254" s="263" t="e">
        <f>AV254+#REF!+AH254+AA254+T254</f>
        <v>#REF!</v>
      </c>
      <c r="AY254" s="263" t="e">
        <f t="shared" si="174"/>
        <v>#REF!</v>
      </c>
      <c r="AZ254" s="263" t="e">
        <f t="shared" si="175"/>
        <v>#REF!</v>
      </c>
      <c r="BA254" s="263" t="e">
        <f t="shared" si="176"/>
        <v>#REF!</v>
      </c>
      <c r="BB254" s="263" t="e">
        <f t="shared" si="177"/>
        <v>#REF!</v>
      </c>
      <c r="BC254" s="263" t="e">
        <f t="shared" si="178"/>
        <v>#REF!</v>
      </c>
      <c r="BD254" s="263" t="e">
        <f t="shared" si="179"/>
        <v>#REF!</v>
      </c>
      <c r="BE254" s="263" t="e">
        <f>BC254+AV254+#REF!+AH254+AA254</f>
        <v>#REF!</v>
      </c>
      <c r="BF254" s="263" t="e">
        <f t="shared" si="180"/>
        <v>#REF!</v>
      </c>
      <c r="BG254" s="263" t="e">
        <f t="shared" si="181"/>
        <v>#REF!</v>
      </c>
    </row>
    <row r="255" spans="1:59" ht="15.75">
      <c r="A255" s="338">
        <v>19</v>
      </c>
      <c r="B255" s="338" t="s">
        <v>1</v>
      </c>
      <c r="C255" s="258">
        <v>43</v>
      </c>
      <c r="D255" s="328" t="s">
        <v>62</v>
      </c>
      <c r="E255" s="258" t="s">
        <v>9</v>
      </c>
      <c r="F255" s="431">
        <f t="array" ref="F255">MAX((IF(MNU_CODIGO_ALIMENTO_ENTREGA=CONCATENATE($C255,"_","P_"),MNU_GRAMAJE_REQUERIDO_TIPOA,"")))</f>
        <v>100</v>
      </c>
      <c r="G255" s="259">
        <f t="shared" si="182"/>
        <v>144816</v>
      </c>
      <c r="H255" s="259">
        <f t="shared" si="183"/>
        <v>11484</v>
      </c>
      <c r="I255" s="259">
        <f t="shared" si="184"/>
        <v>156300</v>
      </c>
      <c r="J255" s="260">
        <f t="shared" si="185"/>
        <v>25777248</v>
      </c>
      <c r="K255" s="260">
        <f t="shared" si="186"/>
        <v>2044152</v>
      </c>
      <c r="L255" s="260">
        <f t="shared" si="187"/>
        <v>27821400</v>
      </c>
      <c r="M255" s="432">
        <f t="array" ref="M255">MAX((IF(MNU_CODIGO_ALIMENTO_ENTREGA=CONCATENATE($C255,"_","P_"),MNU_GRAMAJE_REQUERIDO_TIPOB,"")))</f>
        <v>100</v>
      </c>
      <c r="N255" s="348">
        <f t="shared" si="188"/>
        <v>149515</v>
      </c>
      <c r="O255" s="348">
        <f t="shared" si="189"/>
        <v>20493</v>
      </c>
      <c r="P255" s="348">
        <f t="shared" si="190"/>
        <v>170008</v>
      </c>
      <c r="Q255" s="349">
        <f t="shared" si="191"/>
        <v>26613670</v>
      </c>
      <c r="R255" s="349">
        <f t="shared" si="192"/>
        <v>3647754</v>
      </c>
      <c r="S255" s="349">
        <f t="shared" si="193"/>
        <v>30261424</v>
      </c>
      <c r="T255" s="353">
        <f t="array" ref="T255">MAX((IF(MNU_CODIGO_ALIMENTO_ENTREGA=CONCATENATE($C255,"_","P_"),MNU_GRAMAJE_REQUERIDO_TIPOC,"")))</f>
        <v>100</v>
      </c>
      <c r="U255" s="259">
        <f t="shared" si="194"/>
        <v>188037</v>
      </c>
      <c r="V255" s="259">
        <f t="shared" si="195"/>
        <v>24265</v>
      </c>
      <c r="W255" s="259">
        <f t="shared" si="196"/>
        <v>212302</v>
      </c>
      <c r="X255" s="260">
        <f t="shared" si="197"/>
        <v>33470586</v>
      </c>
      <c r="Y255" s="260">
        <f t="shared" si="198"/>
        <v>4319170</v>
      </c>
      <c r="Z255" s="260">
        <f t="shared" si="199"/>
        <v>37789756</v>
      </c>
      <c r="AA255" s="258">
        <f t="array" ref="AA255">MAX((IF(MNU_CODIGO_ALIMENTO_ENTREGA=CONCATENATE($C255,"_","P_"),MNU_GRAMAJE_REQUERIDO_TIPOM,"")))</f>
        <v>100</v>
      </c>
      <c r="AB255" s="261">
        <f t="shared" si="200"/>
        <v>3196</v>
      </c>
      <c r="AC255" s="261">
        <v>0</v>
      </c>
      <c r="AD255" s="261">
        <f t="shared" si="201"/>
        <v>3196</v>
      </c>
      <c r="AE255" s="262">
        <f t="shared" si="202"/>
        <v>568888</v>
      </c>
      <c r="AF255" s="262">
        <v>0</v>
      </c>
      <c r="AG255" s="262">
        <f t="shared" si="203"/>
        <v>568888</v>
      </c>
      <c r="AH255" s="353">
        <f t="array" ref="AH255">MAX((IF(MNU_CODIGO_ALIMENTO_ENTREGA=CONCATENATE($C255,"_","P_"),MNU_GRAMAJE_REQUERIDO_TIPOH,"")))</f>
        <v>100</v>
      </c>
      <c r="AI255" s="259">
        <f t="shared" si="204"/>
        <v>3111</v>
      </c>
      <c r="AJ255" s="259">
        <v>0</v>
      </c>
      <c r="AK255" s="259">
        <f t="shared" si="205"/>
        <v>3111</v>
      </c>
      <c r="AL255" s="260">
        <f t="shared" si="206"/>
        <v>553758</v>
      </c>
      <c r="AM255" s="260">
        <v>0</v>
      </c>
      <c r="AN255" s="260">
        <f t="shared" si="207"/>
        <v>553758</v>
      </c>
      <c r="AO255" s="457">
        <f t="shared" si="208"/>
        <v>544917</v>
      </c>
      <c r="AP255" s="456">
        <f t="shared" si="209"/>
        <v>96995226</v>
      </c>
      <c r="AQ255" s="263" t="e">
        <f>#REF!+AH255+AA255+T255+M255</f>
        <v>#REF!</v>
      </c>
      <c r="AR255" s="263">
        <f t="shared" si="168"/>
        <v>97339085</v>
      </c>
      <c r="AS255" s="263" t="e">
        <f t="shared" si="169"/>
        <v>#REF!</v>
      </c>
      <c r="AT255" s="263">
        <f t="shared" si="170"/>
        <v>97727702</v>
      </c>
      <c r="AU255" s="263" t="e">
        <f t="shared" si="171"/>
        <v>#REF!</v>
      </c>
      <c r="AV255" s="263">
        <f t="shared" si="172"/>
        <v>105694626</v>
      </c>
      <c r="AW255" s="263" t="e">
        <f t="shared" si="173"/>
        <v>#REF!</v>
      </c>
      <c r="AX255" s="263" t="e">
        <f>AV255+#REF!+AH255+AA255+T255</f>
        <v>#REF!</v>
      </c>
      <c r="AY255" s="263" t="e">
        <f t="shared" si="174"/>
        <v>#REF!</v>
      </c>
      <c r="AZ255" s="263" t="e">
        <f t="shared" si="175"/>
        <v>#REF!</v>
      </c>
      <c r="BA255" s="263" t="e">
        <f t="shared" si="176"/>
        <v>#REF!</v>
      </c>
      <c r="BB255" s="263" t="e">
        <f t="shared" si="177"/>
        <v>#REF!</v>
      </c>
      <c r="BC255" s="263" t="e">
        <f t="shared" si="178"/>
        <v>#REF!</v>
      </c>
      <c r="BD255" s="263" t="e">
        <f t="shared" si="179"/>
        <v>#REF!</v>
      </c>
      <c r="BE255" s="263" t="e">
        <f>BC255+AV255+#REF!+AH255+AA255</f>
        <v>#REF!</v>
      </c>
      <c r="BF255" s="263" t="e">
        <f t="shared" si="180"/>
        <v>#REF!</v>
      </c>
      <c r="BG255" s="263" t="e">
        <f t="shared" si="181"/>
        <v>#REF!</v>
      </c>
    </row>
    <row r="256" spans="1:59" ht="15.75">
      <c r="A256" s="338">
        <v>19</v>
      </c>
      <c r="B256" s="338" t="s">
        <v>1</v>
      </c>
      <c r="C256" s="258">
        <v>46</v>
      </c>
      <c r="D256" s="328" t="s">
        <v>64</v>
      </c>
      <c r="E256" s="258" t="s">
        <v>9</v>
      </c>
      <c r="F256" s="431">
        <f t="array" ref="F256">MAX((IF(MNU_CODIGO_ALIMENTO_ENTREGA=CONCATENATE($C256,"_","P_"),MNU_GRAMAJE_REQUERIDO_TIPOA,"")))</f>
        <v>100</v>
      </c>
      <c r="G256" s="259">
        <f t="shared" si="182"/>
        <v>181020</v>
      </c>
      <c r="H256" s="259">
        <f t="shared" si="183"/>
        <v>11484</v>
      </c>
      <c r="I256" s="259">
        <f t="shared" si="184"/>
        <v>192504</v>
      </c>
      <c r="J256" s="260">
        <f t="shared" si="185"/>
        <v>75666360</v>
      </c>
      <c r="K256" s="260">
        <f t="shared" si="186"/>
        <v>4800312</v>
      </c>
      <c r="L256" s="260">
        <f t="shared" si="187"/>
        <v>80466672</v>
      </c>
      <c r="M256" s="432">
        <f t="array" ref="M256">MAX((IF(MNU_CODIGO_ALIMENTO_ENTREGA=CONCATENATE($C256,"_","P_"),MNU_GRAMAJE_REQUERIDO_TIPOB,"")))</f>
        <v>100</v>
      </c>
      <c r="N256" s="348">
        <f t="shared" si="188"/>
        <v>184695</v>
      </c>
      <c r="O256" s="348">
        <f t="shared" si="189"/>
        <v>21384</v>
      </c>
      <c r="P256" s="348">
        <f t="shared" si="190"/>
        <v>206079</v>
      </c>
      <c r="Q256" s="349">
        <f t="shared" si="191"/>
        <v>77202510</v>
      </c>
      <c r="R256" s="349">
        <f t="shared" si="192"/>
        <v>8938512</v>
      </c>
      <c r="S256" s="349">
        <f t="shared" si="193"/>
        <v>86141022</v>
      </c>
      <c r="T256" s="353">
        <f t="array" ref="T256">MAX((IF(MNU_CODIGO_ALIMENTO_ENTREGA=CONCATENATE($C256,"_","P_"),MNU_GRAMAJE_REQUERIDO_TIPOC,"")))</f>
        <v>100</v>
      </c>
      <c r="U256" s="259">
        <f t="shared" si="194"/>
        <v>232281</v>
      </c>
      <c r="V256" s="259">
        <f t="shared" si="195"/>
        <v>25320</v>
      </c>
      <c r="W256" s="259">
        <f t="shared" si="196"/>
        <v>257601</v>
      </c>
      <c r="X256" s="260">
        <f t="shared" si="197"/>
        <v>97093458</v>
      </c>
      <c r="Y256" s="260">
        <f t="shared" si="198"/>
        <v>10583760</v>
      </c>
      <c r="Z256" s="260">
        <f t="shared" si="199"/>
        <v>107677218</v>
      </c>
      <c r="AA256" s="258">
        <f t="array" ref="AA256">MAX((IF(MNU_CODIGO_ALIMENTO_ENTREGA=CONCATENATE($C256,"_","P_"),MNU_GRAMAJE_REQUERIDO_TIPOM,"")))</f>
        <v>100</v>
      </c>
      <c r="AB256" s="261">
        <f t="shared" si="200"/>
        <v>3948</v>
      </c>
      <c r="AC256" s="261">
        <v>0</v>
      </c>
      <c r="AD256" s="261">
        <f t="shared" si="201"/>
        <v>3948</v>
      </c>
      <c r="AE256" s="262">
        <f t="shared" si="202"/>
        <v>1650264</v>
      </c>
      <c r="AF256" s="262">
        <v>0</v>
      </c>
      <c r="AG256" s="262">
        <f t="shared" si="203"/>
        <v>1650264</v>
      </c>
      <c r="AH256" s="353">
        <f t="array" ref="AH256">MAX((IF(MNU_CODIGO_ALIMENTO_ENTREGA=CONCATENATE($C256,"_","P_"),MNU_GRAMAJE_REQUERIDO_TIPOH,"")))</f>
        <v>100</v>
      </c>
      <c r="AI256" s="259">
        <f t="shared" si="204"/>
        <v>3843</v>
      </c>
      <c r="AJ256" s="259">
        <v>0</v>
      </c>
      <c r="AK256" s="259">
        <f t="shared" si="205"/>
        <v>3843</v>
      </c>
      <c r="AL256" s="260">
        <f t="shared" si="206"/>
        <v>1606374</v>
      </c>
      <c r="AM256" s="260">
        <v>0</v>
      </c>
      <c r="AN256" s="260">
        <f t="shared" si="207"/>
        <v>1606374</v>
      </c>
      <c r="AO256" s="457">
        <f t="shared" si="208"/>
        <v>663975</v>
      </c>
      <c r="AP256" s="456">
        <f t="shared" si="209"/>
        <v>277541550</v>
      </c>
      <c r="AQ256" s="263" t="e">
        <f>#REF!+AH256+AA256+T256+M256</f>
        <v>#REF!</v>
      </c>
      <c r="AR256" s="263">
        <f t="shared" si="168"/>
        <v>277966317</v>
      </c>
      <c r="AS256" s="263" t="e">
        <f t="shared" si="169"/>
        <v>#REF!</v>
      </c>
      <c r="AT256" s="263">
        <f t="shared" si="170"/>
        <v>278437788</v>
      </c>
      <c r="AU256" s="263" t="e">
        <f t="shared" si="171"/>
        <v>#REF!</v>
      </c>
      <c r="AV256" s="263">
        <f t="shared" si="172"/>
        <v>297960060</v>
      </c>
      <c r="AW256" s="263" t="e">
        <f t="shared" si="173"/>
        <v>#REF!</v>
      </c>
      <c r="AX256" s="263" t="e">
        <f>AV256+#REF!+AH256+AA256+T256</f>
        <v>#REF!</v>
      </c>
      <c r="AY256" s="263" t="e">
        <f t="shared" si="174"/>
        <v>#REF!</v>
      </c>
      <c r="AZ256" s="263" t="e">
        <f t="shared" si="175"/>
        <v>#REF!</v>
      </c>
      <c r="BA256" s="263" t="e">
        <f t="shared" si="176"/>
        <v>#REF!</v>
      </c>
      <c r="BB256" s="263" t="e">
        <f t="shared" si="177"/>
        <v>#REF!</v>
      </c>
      <c r="BC256" s="263" t="e">
        <f t="shared" si="178"/>
        <v>#REF!</v>
      </c>
      <c r="BD256" s="263" t="e">
        <f t="shared" si="179"/>
        <v>#REF!</v>
      </c>
      <c r="BE256" s="263" t="e">
        <f>BC256+AV256+#REF!+AH256+AA256</f>
        <v>#REF!</v>
      </c>
      <c r="BF256" s="263" t="e">
        <f t="shared" si="180"/>
        <v>#REF!</v>
      </c>
      <c r="BG256" s="263" t="e">
        <f t="shared" si="181"/>
        <v>#REF!</v>
      </c>
    </row>
    <row r="257" spans="1:59" ht="15.75">
      <c r="A257" s="338">
        <v>19</v>
      </c>
      <c r="B257" s="338" t="s">
        <v>1</v>
      </c>
      <c r="C257" s="258">
        <v>58</v>
      </c>
      <c r="D257" s="328" t="s">
        <v>67</v>
      </c>
      <c r="E257" s="258" t="s">
        <v>9</v>
      </c>
      <c r="F257" s="431">
        <f t="array" ref="F257">MAX((IF(MNU_CODIGO_ALIMENTO_ENTREGA=CONCATENATE($C257,"_","P_"),MNU_GRAMAJE_REQUERIDO_TIPOA,"")))</f>
        <v>100</v>
      </c>
      <c r="G257" s="259">
        <f t="shared" si="182"/>
        <v>144816</v>
      </c>
      <c r="H257" s="259">
        <f t="shared" si="183"/>
        <v>11088</v>
      </c>
      <c r="I257" s="259">
        <f t="shared" si="184"/>
        <v>155904</v>
      </c>
      <c r="J257" s="260">
        <f t="shared" si="185"/>
        <v>23460192</v>
      </c>
      <c r="K257" s="260">
        <f t="shared" si="186"/>
        <v>1796256</v>
      </c>
      <c r="L257" s="260">
        <f t="shared" si="187"/>
        <v>25256448</v>
      </c>
      <c r="M257" s="432">
        <f t="array" ref="M257">MAX((IF(MNU_CODIGO_ALIMENTO_ENTREGA=CONCATENATE($C257,"_","P_"),MNU_GRAMAJE_REQUERIDO_TIPOB,"")))</f>
        <v>100</v>
      </c>
      <c r="N257" s="348">
        <f t="shared" si="188"/>
        <v>202285</v>
      </c>
      <c r="O257" s="348">
        <f t="shared" si="189"/>
        <v>20493</v>
      </c>
      <c r="P257" s="348">
        <f t="shared" si="190"/>
        <v>222778</v>
      </c>
      <c r="Q257" s="349">
        <f t="shared" si="191"/>
        <v>32770170</v>
      </c>
      <c r="R257" s="349">
        <f t="shared" si="192"/>
        <v>3319866</v>
      </c>
      <c r="S257" s="349">
        <f t="shared" si="193"/>
        <v>36090036</v>
      </c>
      <c r="T257" s="353">
        <f t="array" ref="T257">MAX((IF(MNU_CODIGO_ALIMENTO_ENTREGA=CONCATENATE($C257,"_","P_"),MNU_GRAMAJE_REQUERIDO_TIPOC,"")))</f>
        <v>100</v>
      </c>
      <c r="U257" s="259">
        <f t="shared" si="194"/>
        <v>254403</v>
      </c>
      <c r="V257" s="259">
        <f t="shared" si="195"/>
        <v>24265</v>
      </c>
      <c r="W257" s="259">
        <f t="shared" si="196"/>
        <v>278668</v>
      </c>
      <c r="X257" s="260">
        <f t="shared" si="197"/>
        <v>41213286</v>
      </c>
      <c r="Y257" s="260">
        <f t="shared" si="198"/>
        <v>3930930</v>
      </c>
      <c r="Z257" s="260">
        <f t="shared" si="199"/>
        <v>45144216</v>
      </c>
      <c r="AA257" s="258">
        <f t="array" ref="AA257">MAX((IF(MNU_CODIGO_ALIMENTO_ENTREGA=CONCATENATE($C257,"_","P_"),MNU_GRAMAJE_REQUERIDO_TIPOM,"")))</f>
        <v>100</v>
      </c>
      <c r="AB257" s="261">
        <f t="shared" si="200"/>
        <v>4324</v>
      </c>
      <c r="AC257" s="261">
        <v>0</v>
      </c>
      <c r="AD257" s="261">
        <f t="shared" si="201"/>
        <v>4324</v>
      </c>
      <c r="AE257" s="262">
        <f t="shared" si="202"/>
        <v>700488</v>
      </c>
      <c r="AF257" s="262">
        <v>0</v>
      </c>
      <c r="AG257" s="262">
        <f t="shared" si="203"/>
        <v>700488</v>
      </c>
      <c r="AH257" s="353">
        <f t="array" ref="AH257">MAX((IF(MNU_CODIGO_ALIMENTO_ENTREGA=CONCATENATE($C257,"_","P_"),MNU_GRAMAJE_REQUERIDO_TIPOH,"")))</f>
        <v>100</v>
      </c>
      <c r="AI257" s="259">
        <f t="shared" si="204"/>
        <v>4209</v>
      </c>
      <c r="AJ257" s="259">
        <v>0</v>
      </c>
      <c r="AK257" s="259">
        <f t="shared" si="205"/>
        <v>4209</v>
      </c>
      <c r="AL257" s="260">
        <f t="shared" si="206"/>
        <v>681858</v>
      </c>
      <c r="AM257" s="260">
        <v>0</v>
      </c>
      <c r="AN257" s="260">
        <f t="shared" si="207"/>
        <v>681858</v>
      </c>
      <c r="AO257" s="457">
        <f t="shared" si="208"/>
        <v>665883</v>
      </c>
      <c r="AP257" s="456">
        <f t="shared" si="209"/>
        <v>107873046</v>
      </c>
      <c r="AQ257" s="263" t="e">
        <f>#REF!+AH257+AA257+T257+M257</f>
        <v>#REF!</v>
      </c>
      <c r="AR257" s="263">
        <f t="shared" si="168"/>
        <v>108338267</v>
      </c>
      <c r="AS257" s="263" t="e">
        <f t="shared" si="169"/>
        <v>#REF!</v>
      </c>
      <c r="AT257" s="263">
        <f t="shared" si="170"/>
        <v>108848246</v>
      </c>
      <c r="AU257" s="263" t="e">
        <f t="shared" si="171"/>
        <v>#REF!</v>
      </c>
      <c r="AV257" s="263">
        <f t="shared" si="172"/>
        <v>116099042</v>
      </c>
      <c r="AW257" s="263" t="e">
        <f t="shared" si="173"/>
        <v>#REF!</v>
      </c>
      <c r="AX257" s="263" t="e">
        <f>AV257+#REF!+AH257+AA257+T257</f>
        <v>#REF!</v>
      </c>
      <c r="AY257" s="263" t="e">
        <f t="shared" si="174"/>
        <v>#REF!</v>
      </c>
      <c r="AZ257" s="263" t="e">
        <f t="shared" si="175"/>
        <v>#REF!</v>
      </c>
      <c r="BA257" s="263" t="e">
        <f t="shared" si="176"/>
        <v>#REF!</v>
      </c>
      <c r="BB257" s="263" t="e">
        <f t="shared" si="177"/>
        <v>#REF!</v>
      </c>
      <c r="BC257" s="263" t="e">
        <f t="shared" si="178"/>
        <v>#REF!</v>
      </c>
      <c r="BD257" s="263" t="e">
        <f t="shared" si="179"/>
        <v>#REF!</v>
      </c>
      <c r="BE257" s="263" t="e">
        <f>BC257+AV257+#REF!+AH257+AA257</f>
        <v>#REF!</v>
      </c>
      <c r="BF257" s="263" t="e">
        <f t="shared" si="180"/>
        <v>#REF!</v>
      </c>
      <c r="BG257" s="263" t="e">
        <f t="shared" si="181"/>
        <v>#REF!</v>
      </c>
    </row>
    <row r="258" spans="1:59" ht="15.75">
      <c r="A258" s="338">
        <v>19</v>
      </c>
      <c r="B258" s="338" t="s">
        <v>1</v>
      </c>
      <c r="C258" s="258">
        <v>59</v>
      </c>
      <c r="D258" s="328" t="s">
        <v>99</v>
      </c>
      <c r="E258" s="258" t="s">
        <v>9</v>
      </c>
      <c r="F258" s="431">
        <f t="array" ref="F258">MAX((IF(MNU_CODIGO_ALIMENTO_ENTREGA=CONCATENATE($C258,"_","P_"),MNU_GRAMAJE_REQUERIDO_TIPOA,"")))</f>
        <v>0</v>
      </c>
      <c r="G258" s="259">
        <f t="shared" si="182"/>
        <v>0</v>
      </c>
      <c r="H258" s="259">
        <f t="shared" si="183"/>
        <v>0</v>
      </c>
      <c r="I258" s="259">
        <f t="shared" si="184"/>
        <v>0</v>
      </c>
      <c r="J258" s="260">
        <f t="shared" si="185"/>
        <v>0</v>
      </c>
      <c r="K258" s="260">
        <f t="shared" si="186"/>
        <v>0</v>
      </c>
      <c r="L258" s="260">
        <f t="shared" si="187"/>
        <v>0</v>
      </c>
      <c r="M258" s="432">
        <f t="array" ref="M258">MAX((IF(MNU_CODIGO_ALIMENTO_ENTREGA=CONCATENATE($C258,"_","P_"),MNU_GRAMAJE_REQUERIDO_TIPOB,"")))</f>
        <v>100</v>
      </c>
      <c r="N258" s="348">
        <f t="shared" si="188"/>
        <v>70360</v>
      </c>
      <c r="O258" s="348">
        <f t="shared" si="189"/>
        <v>9801</v>
      </c>
      <c r="P258" s="348">
        <f t="shared" si="190"/>
        <v>80161</v>
      </c>
      <c r="Q258" s="349">
        <f t="shared" si="191"/>
        <v>21108000</v>
      </c>
      <c r="R258" s="349">
        <f t="shared" si="192"/>
        <v>2940300</v>
      </c>
      <c r="S258" s="349">
        <f t="shared" si="193"/>
        <v>24048300</v>
      </c>
      <c r="T258" s="353">
        <f t="array" ref="T258">MAX((IF(MNU_CODIGO_ALIMENTO_ENTREGA=CONCATENATE($C258,"_","P_"),MNU_GRAMAJE_REQUERIDO_TIPOC,"")))</f>
        <v>100</v>
      </c>
      <c r="U258" s="259">
        <f t="shared" si="194"/>
        <v>88488</v>
      </c>
      <c r="V258" s="259">
        <f t="shared" si="195"/>
        <v>11605</v>
      </c>
      <c r="W258" s="259">
        <f t="shared" si="196"/>
        <v>100093</v>
      </c>
      <c r="X258" s="260">
        <f t="shared" si="197"/>
        <v>26546400</v>
      </c>
      <c r="Y258" s="260">
        <f t="shared" si="198"/>
        <v>3481500</v>
      </c>
      <c r="Z258" s="260">
        <f t="shared" si="199"/>
        <v>30027900</v>
      </c>
      <c r="AA258" s="258">
        <f t="array" ref="AA258">MAX((IF(MNU_CODIGO_ALIMENTO_ENTREGA=CONCATENATE($C258,"_","P_"),MNU_GRAMAJE_REQUERIDO_TIPOM,"")))</f>
        <v>100</v>
      </c>
      <c r="AB258" s="261">
        <f t="shared" si="200"/>
        <v>1504</v>
      </c>
      <c r="AC258" s="261">
        <v>0</v>
      </c>
      <c r="AD258" s="261">
        <f t="shared" si="201"/>
        <v>1504</v>
      </c>
      <c r="AE258" s="262">
        <f t="shared" si="202"/>
        <v>451200</v>
      </c>
      <c r="AF258" s="262">
        <v>0</v>
      </c>
      <c r="AG258" s="262">
        <f t="shared" si="203"/>
        <v>451200</v>
      </c>
      <c r="AH258" s="353">
        <f t="array" ref="AH258">MAX((IF(MNU_CODIGO_ALIMENTO_ENTREGA=CONCATENATE($C258,"_","P_"),MNU_GRAMAJE_REQUERIDO_TIPOH,"")))</f>
        <v>100</v>
      </c>
      <c r="AI258" s="259">
        <f t="shared" si="204"/>
        <v>1464</v>
      </c>
      <c r="AJ258" s="259">
        <v>0</v>
      </c>
      <c r="AK258" s="259">
        <f t="shared" si="205"/>
        <v>1464</v>
      </c>
      <c r="AL258" s="260">
        <f t="shared" si="206"/>
        <v>439200</v>
      </c>
      <c r="AM258" s="260">
        <v>0</v>
      </c>
      <c r="AN258" s="260">
        <f t="shared" si="207"/>
        <v>439200</v>
      </c>
      <c r="AO258" s="457">
        <f t="shared" si="208"/>
        <v>183222</v>
      </c>
      <c r="AP258" s="456">
        <f t="shared" si="209"/>
        <v>54966600</v>
      </c>
      <c r="AQ258" s="263" t="e">
        <f>#REF!+AH258+AA258+T258+M258</f>
        <v>#REF!</v>
      </c>
      <c r="AR258" s="263">
        <f t="shared" si="168"/>
        <v>55128416</v>
      </c>
      <c r="AS258" s="263" t="e">
        <f t="shared" si="169"/>
        <v>#REF!</v>
      </c>
      <c r="AT258" s="263">
        <f t="shared" si="170"/>
        <v>55311638</v>
      </c>
      <c r="AU258" s="263" t="e">
        <f t="shared" si="171"/>
        <v>#REF!</v>
      </c>
      <c r="AV258" s="263">
        <f t="shared" si="172"/>
        <v>61733438</v>
      </c>
      <c r="AW258" s="263" t="e">
        <f t="shared" si="173"/>
        <v>#REF!</v>
      </c>
      <c r="AX258" s="263" t="e">
        <f>AV258+#REF!+AH258+AA258+T258</f>
        <v>#REF!</v>
      </c>
      <c r="AY258" s="263" t="e">
        <f t="shared" si="174"/>
        <v>#REF!</v>
      </c>
      <c r="AZ258" s="263" t="e">
        <f t="shared" si="175"/>
        <v>#REF!</v>
      </c>
      <c r="BA258" s="263" t="e">
        <f t="shared" si="176"/>
        <v>#REF!</v>
      </c>
      <c r="BB258" s="263" t="e">
        <f t="shared" si="177"/>
        <v>#REF!</v>
      </c>
      <c r="BC258" s="263" t="e">
        <f t="shared" si="178"/>
        <v>#REF!</v>
      </c>
      <c r="BD258" s="263" t="e">
        <f t="shared" si="179"/>
        <v>#REF!</v>
      </c>
      <c r="BE258" s="263" t="e">
        <f>BC258+AV258+#REF!+AH258+AA258</f>
        <v>#REF!</v>
      </c>
      <c r="BF258" s="263" t="e">
        <f t="shared" si="180"/>
        <v>#REF!</v>
      </c>
      <c r="BG258" s="263" t="e">
        <f t="shared" si="181"/>
        <v>#REF!</v>
      </c>
    </row>
    <row r="259" spans="1:59" ht="15.75">
      <c r="A259" s="338">
        <v>19</v>
      </c>
      <c r="B259" s="338" t="s">
        <v>1</v>
      </c>
      <c r="C259" s="258">
        <v>69</v>
      </c>
      <c r="D259" s="328" t="s">
        <v>70</v>
      </c>
      <c r="E259" s="258" t="s">
        <v>9</v>
      </c>
      <c r="F259" s="431">
        <f t="array" ref="F259">MAX((IF(MNU_CODIGO_ALIMENTO_ENTREGA=CONCATENATE($C259,"_","P_"),MNU_GRAMAJE_REQUERIDO_TIPOA,"")))</f>
        <v>100</v>
      </c>
      <c r="G259" s="259">
        <f t="shared" si="182"/>
        <v>181020</v>
      </c>
      <c r="H259" s="259">
        <f t="shared" si="183"/>
        <v>7128</v>
      </c>
      <c r="I259" s="259">
        <f t="shared" si="184"/>
        <v>188148</v>
      </c>
      <c r="J259" s="260">
        <f t="shared" si="185"/>
        <v>57926400</v>
      </c>
      <c r="K259" s="260">
        <f t="shared" si="186"/>
        <v>2280960</v>
      </c>
      <c r="L259" s="260">
        <f t="shared" si="187"/>
        <v>60207360</v>
      </c>
      <c r="M259" s="432">
        <f t="array" ref="M259">MAX((IF(MNU_CODIGO_ALIMENTO_ENTREGA=CONCATENATE($C259,"_","P_"),MNU_GRAMAJE_REQUERIDO_TIPOB,"")))</f>
        <v>100</v>
      </c>
      <c r="N259" s="348">
        <f t="shared" si="188"/>
        <v>140720</v>
      </c>
      <c r="O259" s="348">
        <f t="shared" si="189"/>
        <v>10692</v>
      </c>
      <c r="P259" s="348">
        <f t="shared" si="190"/>
        <v>151412</v>
      </c>
      <c r="Q259" s="349">
        <f t="shared" si="191"/>
        <v>45030400</v>
      </c>
      <c r="R259" s="349">
        <f t="shared" si="192"/>
        <v>3421440</v>
      </c>
      <c r="S259" s="349">
        <f t="shared" si="193"/>
        <v>48451840</v>
      </c>
      <c r="T259" s="353">
        <f t="array" ref="T259">MAX((IF(MNU_CODIGO_ALIMENTO_ENTREGA=CONCATENATE($C259,"_","P_"),MNU_GRAMAJE_REQUERIDO_TIPOC,"")))</f>
        <v>100</v>
      </c>
      <c r="U259" s="259">
        <f t="shared" si="194"/>
        <v>176976</v>
      </c>
      <c r="V259" s="259">
        <f t="shared" si="195"/>
        <v>12660</v>
      </c>
      <c r="W259" s="259">
        <f t="shared" si="196"/>
        <v>189636</v>
      </c>
      <c r="X259" s="260">
        <f t="shared" si="197"/>
        <v>56632320</v>
      </c>
      <c r="Y259" s="260">
        <f t="shared" si="198"/>
        <v>4051200</v>
      </c>
      <c r="Z259" s="260">
        <f t="shared" si="199"/>
        <v>60683520</v>
      </c>
      <c r="AA259" s="258">
        <f t="array" ref="AA259">MAX((IF(MNU_CODIGO_ALIMENTO_ENTREGA=CONCATENATE($C259,"_","P_"),MNU_GRAMAJE_REQUERIDO_TIPOM,"")))</f>
        <v>100</v>
      </c>
      <c r="AB259" s="261">
        <f t="shared" si="200"/>
        <v>3008</v>
      </c>
      <c r="AC259" s="261">
        <v>0</v>
      </c>
      <c r="AD259" s="261">
        <f t="shared" si="201"/>
        <v>3008</v>
      </c>
      <c r="AE259" s="262">
        <f t="shared" si="202"/>
        <v>962560</v>
      </c>
      <c r="AF259" s="262">
        <v>0</v>
      </c>
      <c r="AG259" s="262">
        <f t="shared" si="203"/>
        <v>962560</v>
      </c>
      <c r="AH259" s="353">
        <f t="array" ref="AH259">MAX((IF(MNU_CODIGO_ALIMENTO_ENTREGA=CONCATENATE($C259,"_","P_"),MNU_GRAMAJE_REQUERIDO_TIPOH,"")))</f>
        <v>100</v>
      </c>
      <c r="AI259" s="259">
        <f t="shared" si="204"/>
        <v>2928</v>
      </c>
      <c r="AJ259" s="259">
        <v>0</v>
      </c>
      <c r="AK259" s="259">
        <f t="shared" si="205"/>
        <v>2928</v>
      </c>
      <c r="AL259" s="260">
        <f t="shared" si="206"/>
        <v>936960</v>
      </c>
      <c r="AM259" s="260">
        <v>0</v>
      </c>
      <c r="AN259" s="260">
        <f t="shared" si="207"/>
        <v>936960</v>
      </c>
      <c r="AO259" s="457">
        <f t="shared" si="208"/>
        <v>535132</v>
      </c>
      <c r="AP259" s="456">
        <f t="shared" si="209"/>
        <v>171242240</v>
      </c>
      <c r="AQ259" s="263" t="e">
        <f>#REF!+AH259+AA259+T259+M259</f>
        <v>#REF!</v>
      </c>
      <c r="AR259" s="263">
        <f t="shared" si="168"/>
        <v>171565872</v>
      </c>
      <c r="AS259" s="263" t="e">
        <f t="shared" si="169"/>
        <v>#REF!</v>
      </c>
      <c r="AT259" s="263">
        <f t="shared" si="170"/>
        <v>171912856</v>
      </c>
      <c r="AU259" s="263" t="e">
        <f t="shared" si="171"/>
        <v>#REF!</v>
      </c>
      <c r="AV259" s="263">
        <f t="shared" si="172"/>
        <v>179385496</v>
      </c>
      <c r="AW259" s="263" t="e">
        <f t="shared" si="173"/>
        <v>#REF!</v>
      </c>
      <c r="AX259" s="263" t="e">
        <f>AV259+#REF!+AH259+AA259+T259</f>
        <v>#REF!</v>
      </c>
      <c r="AY259" s="263" t="e">
        <f t="shared" si="174"/>
        <v>#REF!</v>
      </c>
      <c r="AZ259" s="263" t="e">
        <f t="shared" si="175"/>
        <v>#REF!</v>
      </c>
      <c r="BA259" s="263" t="e">
        <f t="shared" si="176"/>
        <v>#REF!</v>
      </c>
      <c r="BB259" s="263" t="e">
        <f t="shared" si="177"/>
        <v>#REF!</v>
      </c>
      <c r="BC259" s="263" t="e">
        <f t="shared" si="178"/>
        <v>#REF!</v>
      </c>
      <c r="BD259" s="263" t="e">
        <f t="shared" si="179"/>
        <v>#REF!</v>
      </c>
      <c r="BE259" s="263" t="e">
        <f>BC259+AV259+#REF!+AH259+AA259</f>
        <v>#REF!</v>
      </c>
      <c r="BF259" s="263" t="e">
        <f t="shared" si="180"/>
        <v>#REF!</v>
      </c>
      <c r="BG259" s="263" t="e">
        <f t="shared" si="181"/>
        <v>#REF!</v>
      </c>
    </row>
    <row r="260" spans="1:59" ht="15.75">
      <c r="A260" s="338">
        <v>19</v>
      </c>
      <c r="B260" s="338" t="s">
        <v>1</v>
      </c>
      <c r="C260" s="258">
        <v>70</v>
      </c>
      <c r="D260" s="328" t="s">
        <v>71</v>
      </c>
      <c r="E260" s="258" t="s">
        <v>9</v>
      </c>
      <c r="F260" s="431">
        <f t="array" ref="F260">MAX((IF(MNU_CODIGO_ALIMENTO_ENTREGA=CONCATENATE($C260,"_","P_"),MNU_GRAMAJE_REQUERIDO_TIPOA,"")))</f>
        <v>0</v>
      </c>
      <c r="G260" s="259">
        <f t="shared" si="182"/>
        <v>0</v>
      </c>
      <c r="H260" s="259">
        <f t="shared" si="183"/>
        <v>0</v>
      </c>
      <c r="I260" s="259">
        <f t="shared" si="184"/>
        <v>0</v>
      </c>
      <c r="J260" s="260">
        <f t="shared" si="185"/>
        <v>0</v>
      </c>
      <c r="K260" s="260">
        <f t="shared" si="186"/>
        <v>0</v>
      </c>
      <c r="L260" s="260">
        <f t="shared" si="187"/>
        <v>0</v>
      </c>
      <c r="M260" s="432">
        <f t="array" ref="M260">MAX((IF(MNU_CODIGO_ALIMENTO_ENTREGA=CONCATENATE($C260,"_","P_"),MNU_GRAMAJE_REQUERIDO_TIPOB,"")))</f>
        <v>100</v>
      </c>
      <c r="N260" s="348">
        <f t="shared" si="188"/>
        <v>87950</v>
      </c>
      <c r="O260" s="348">
        <f t="shared" si="189"/>
        <v>7128</v>
      </c>
      <c r="P260" s="348">
        <f t="shared" si="190"/>
        <v>95078</v>
      </c>
      <c r="Q260" s="349">
        <f t="shared" si="191"/>
        <v>40105200</v>
      </c>
      <c r="R260" s="349">
        <f t="shared" si="192"/>
        <v>3250368</v>
      </c>
      <c r="S260" s="349">
        <f t="shared" si="193"/>
        <v>43355568</v>
      </c>
      <c r="T260" s="353">
        <f t="array" ref="T260">MAX((IF(MNU_CODIGO_ALIMENTO_ENTREGA=CONCATENATE($C260,"_","P_"),MNU_GRAMAJE_REQUERIDO_TIPOC,"")))</f>
        <v>100</v>
      </c>
      <c r="U260" s="259">
        <f t="shared" si="194"/>
        <v>110610</v>
      </c>
      <c r="V260" s="259">
        <f t="shared" si="195"/>
        <v>8440</v>
      </c>
      <c r="W260" s="259">
        <f t="shared" si="196"/>
        <v>119050</v>
      </c>
      <c r="X260" s="260">
        <f t="shared" si="197"/>
        <v>50438160</v>
      </c>
      <c r="Y260" s="260">
        <f t="shared" si="198"/>
        <v>3848640</v>
      </c>
      <c r="Z260" s="260">
        <f t="shared" si="199"/>
        <v>54286800</v>
      </c>
      <c r="AA260" s="258">
        <f t="array" ref="AA260">MAX((IF(MNU_CODIGO_ALIMENTO_ENTREGA=CONCATENATE($C260,"_","P_"),MNU_GRAMAJE_REQUERIDO_TIPOM,"")))</f>
        <v>100</v>
      </c>
      <c r="AB260" s="261">
        <f t="shared" si="200"/>
        <v>1880</v>
      </c>
      <c r="AC260" s="261">
        <v>0</v>
      </c>
      <c r="AD260" s="261">
        <f t="shared" si="201"/>
        <v>1880</v>
      </c>
      <c r="AE260" s="262">
        <f t="shared" si="202"/>
        <v>857280</v>
      </c>
      <c r="AF260" s="262">
        <v>0</v>
      </c>
      <c r="AG260" s="262">
        <f t="shared" si="203"/>
        <v>857280</v>
      </c>
      <c r="AH260" s="353">
        <f t="array" ref="AH260">MAX((IF(MNU_CODIGO_ALIMENTO_ENTREGA=CONCATENATE($C260,"_","P_"),MNU_GRAMAJE_REQUERIDO_TIPOH,"")))</f>
        <v>100</v>
      </c>
      <c r="AI260" s="259">
        <f t="shared" si="204"/>
        <v>1830</v>
      </c>
      <c r="AJ260" s="259">
        <v>0</v>
      </c>
      <c r="AK260" s="259">
        <f t="shared" si="205"/>
        <v>1830</v>
      </c>
      <c r="AL260" s="260">
        <f t="shared" si="206"/>
        <v>834480</v>
      </c>
      <c r="AM260" s="260">
        <v>0</v>
      </c>
      <c r="AN260" s="260">
        <f t="shared" si="207"/>
        <v>834480</v>
      </c>
      <c r="AO260" s="457">
        <f t="shared" si="208"/>
        <v>217838</v>
      </c>
      <c r="AP260" s="456">
        <f t="shared" si="209"/>
        <v>99334128</v>
      </c>
      <c r="AQ260" s="263" t="e">
        <f>#REF!+AH260+AA260+T260+M260</f>
        <v>#REF!</v>
      </c>
      <c r="AR260" s="263">
        <f t="shared" si="168"/>
        <v>99536398</v>
      </c>
      <c r="AS260" s="263" t="e">
        <f t="shared" si="169"/>
        <v>#REF!</v>
      </c>
      <c r="AT260" s="263">
        <f t="shared" si="170"/>
        <v>99754236</v>
      </c>
      <c r="AU260" s="263" t="e">
        <f t="shared" si="171"/>
        <v>#REF!</v>
      </c>
      <c r="AV260" s="263">
        <f t="shared" si="172"/>
        <v>106853244</v>
      </c>
      <c r="AW260" s="263" t="e">
        <f t="shared" si="173"/>
        <v>#REF!</v>
      </c>
      <c r="AX260" s="263" t="e">
        <f>AV260+#REF!+AH260+AA260+T260</f>
        <v>#REF!</v>
      </c>
      <c r="AY260" s="263" t="e">
        <f t="shared" si="174"/>
        <v>#REF!</v>
      </c>
      <c r="AZ260" s="263" t="e">
        <f t="shared" si="175"/>
        <v>#REF!</v>
      </c>
      <c r="BA260" s="263" t="e">
        <f t="shared" si="176"/>
        <v>#REF!</v>
      </c>
      <c r="BB260" s="263" t="e">
        <f t="shared" si="177"/>
        <v>#REF!</v>
      </c>
      <c r="BC260" s="263" t="e">
        <f t="shared" si="178"/>
        <v>#REF!</v>
      </c>
      <c r="BD260" s="263" t="e">
        <f t="shared" si="179"/>
        <v>#REF!</v>
      </c>
      <c r="BE260" s="263" t="e">
        <f>BC260+AV260+#REF!+AH260+AA260</f>
        <v>#REF!</v>
      </c>
      <c r="BF260" s="263" t="e">
        <f t="shared" si="180"/>
        <v>#REF!</v>
      </c>
      <c r="BG260" s="263" t="e">
        <f t="shared" si="181"/>
        <v>#REF!</v>
      </c>
    </row>
    <row r="261" spans="1:59" ht="15.75">
      <c r="A261" s="338">
        <v>20</v>
      </c>
      <c r="B261" s="338" t="s">
        <v>1</v>
      </c>
      <c r="C261" s="258">
        <v>7</v>
      </c>
      <c r="D261" s="328" t="s">
        <v>57</v>
      </c>
      <c r="E261" s="258" t="s">
        <v>9</v>
      </c>
      <c r="F261" s="431">
        <f t="array" ref="F261">MAX((IF(MNU_CODIGO_ALIMENTO_ENTREGA=CONCATENATE($C261,"_","P_"),MNU_GRAMAJE_REQUERIDO_TIPOA,"")))</f>
        <v>100</v>
      </c>
      <c r="G261" s="259">
        <f t="shared" si="182"/>
        <v>124938</v>
      </c>
      <c r="H261" s="259">
        <f t="shared" si="183"/>
        <v>40424</v>
      </c>
      <c r="I261" s="259">
        <f t="shared" si="184"/>
        <v>165362</v>
      </c>
      <c r="J261" s="260">
        <f t="shared" si="185"/>
        <v>13993056</v>
      </c>
      <c r="K261" s="260">
        <f t="shared" si="186"/>
        <v>4527488</v>
      </c>
      <c r="L261" s="260">
        <f t="shared" si="187"/>
        <v>18520544</v>
      </c>
      <c r="M261" s="432">
        <f t="array" ref="M261">MAX((IF(MNU_CODIGO_ALIMENTO_ENTREGA=CONCATENATE($C261,"_","P_"),MNU_GRAMAJE_REQUERIDO_TIPOB,"")))</f>
        <v>100</v>
      </c>
      <c r="N261" s="348">
        <f t="shared" si="188"/>
        <v>80289</v>
      </c>
      <c r="O261" s="348">
        <f t="shared" si="189"/>
        <v>6325</v>
      </c>
      <c r="P261" s="348">
        <f t="shared" si="190"/>
        <v>86614</v>
      </c>
      <c r="Q261" s="349">
        <f t="shared" si="191"/>
        <v>8992368</v>
      </c>
      <c r="R261" s="349">
        <f t="shared" si="192"/>
        <v>708400</v>
      </c>
      <c r="S261" s="349">
        <f t="shared" si="193"/>
        <v>9700768</v>
      </c>
      <c r="T261" s="353">
        <f t="array" ref="T261">MAX((IF(MNU_CODIGO_ALIMENTO_ENTREGA=CONCATENATE($C261,"_","P_"),MNU_GRAMAJE_REQUERIDO_TIPOC,"")))</f>
        <v>100</v>
      </c>
      <c r="U261" s="259">
        <f t="shared" si="194"/>
        <v>97938</v>
      </c>
      <c r="V261" s="259">
        <f t="shared" si="195"/>
        <v>9548</v>
      </c>
      <c r="W261" s="259">
        <f t="shared" si="196"/>
        <v>107486</v>
      </c>
      <c r="X261" s="260">
        <f t="shared" si="197"/>
        <v>10969056</v>
      </c>
      <c r="Y261" s="260">
        <f t="shared" si="198"/>
        <v>1069376</v>
      </c>
      <c r="Z261" s="260">
        <f t="shared" si="199"/>
        <v>12038432</v>
      </c>
      <c r="AA261" s="258">
        <f t="array" ref="AA261">MAX((IF(MNU_CODIGO_ALIMENTO_ENTREGA=CONCATENATE($C261,"_","P_"),MNU_GRAMAJE_REQUERIDO_TIPOM,"")))</f>
        <v>100</v>
      </c>
      <c r="AB261" s="261">
        <f t="shared" si="200"/>
        <v>1314</v>
      </c>
      <c r="AC261" s="261">
        <v>0</v>
      </c>
      <c r="AD261" s="261">
        <f t="shared" si="201"/>
        <v>1314</v>
      </c>
      <c r="AE261" s="262">
        <f t="shared" si="202"/>
        <v>147168</v>
      </c>
      <c r="AF261" s="262">
        <v>0</v>
      </c>
      <c r="AG261" s="262">
        <f t="shared" si="203"/>
        <v>147168</v>
      </c>
      <c r="AH261" s="353">
        <f t="array" ref="AH261">MAX((IF(MNU_CODIGO_ALIMENTO_ENTREGA=CONCATENATE($C261,"_","P_"),MNU_GRAMAJE_REQUERIDO_TIPOH,"")))</f>
        <v>100</v>
      </c>
      <c r="AI261" s="259">
        <f t="shared" si="204"/>
        <v>1359</v>
      </c>
      <c r="AJ261" s="259">
        <v>0</v>
      </c>
      <c r="AK261" s="259">
        <f t="shared" si="205"/>
        <v>1359</v>
      </c>
      <c r="AL261" s="260">
        <f t="shared" si="206"/>
        <v>152208</v>
      </c>
      <c r="AM261" s="260">
        <v>0</v>
      </c>
      <c r="AN261" s="260">
        <f t="shared" si="207"/>
        <v>152208</v>
      </c>
      <c r="AO261" s="457">
        <f t="shared" si="208"/>
        <v>362135</v>
      </c>
      <c r="AP261" s="456">
        <f t="shared" si="209"/>
        <v>40559120</v>
      </c>
      <c r="AQ261" s="263" t="e">
        <f>#REF!+AH261+AA261+T261+M261</f>
        <v>#REF!</v>
      </c>
      <c r="AR261" s="263">
        <f t="shared" si="168"/>
        <v>40740020</v>
      </c>
      <c r="AS261" s="263" t="e">
        <f t="shared" si="169"/>
        <v>#REF!</v>
      </c>
      <c r="AT261" s="263">
        <f t="shared" si="170"/>
        <v>40936793</v>
      </c>
      <c r="AU261" s="263" t="e">
        <f t="shared" si="171"/>
        <v>#REF!</v>
      </c>
      <c r="AV261" s="263">
        <f t="shared" si="172"/>
        <v>42714569</v>
      </c>
      <c r="AW261" s="263" t="e">
        <f t="shared" si="173"/>
        <v>#REF!</v>
      </c>
      <c r="AX261" s="263" t="e">
        <f>AV261+#REF!+AH261+AA261+T261</f>
        <v>#REF!</v>
      </c>
      <c r="AY261" s="263" t="e">
        <f t="shared" si="174"/>
        <v>#REF!</v>
      </c>
      <c r="AZ261" s="263" t="e">
        <f t="shared" si="175"/>
        <v>#REF!</v>
      </c>
      <c r="BA261" s="263" t="e">
        <f t="shared" si="176"/>
        <v>#REF!</v>
      </c>
      <c r="BB261" s="263" t="e">
        <f t="shared" si="177"/>
        <v>#REF!</v>
      </c>
      <c r="BC261" s="263" t="e">
        <f t="shared" si="178"/>
        <v>#REF!</v>
      </c>
      <c r="BD261" s="263" t="e">
        <f t="shared" si="179"/>
        <v>#REF!</v>
      </c>
      <c r="BE261" s="263" t="e">
        <f>BC261+AV261+#REF!+AH261+AA261</f>
        <v>#REF!</v>
      </c>
      <c r="BF261" s="263" t="e">
        <f t="shared" si="180"/>
        <v>#REF!</v>
      </c>
      <c r="BG261" s="263" t="e">
        <f t="shared" si="181"/>
        <v>#REF!</v>
      </c>
    </row>
    <row r="262" spans="1:59" ht="15.75">
      <c r="A262" s="338">
        <v>20</v>
      </c>
      <c r="B262" s="338" t="s">
        <v>1</v>
      </c>
      <c r="C262" s="258">
        <v>8</v>
      </c>
      <c r="D262" s="328" t="s">
        <v>55</v>
      </c>
      <c r="E262" s="258" t="s">
        <v>9</v>
      </c>
      <c r="F262" s="431">
        <f t="array" ref="F262">MAX((IF(MNU_CODIGO_ALIMENTO_ENTREGA=CONCATENATE($C262,"_","P_"),MNU_GRAMAJE_REQUERIDO_TIPOA,"")))</f>
        <v>100</v>
      </c>
      <c r="G262" s="259">
        <f t="shared" si="182"/>
        <v>56790</v>
      </c>
      <c r="H262" s="259">
        <f t="shared" si="183"/>
        <v>14344</v>
      </c>
      <c r="I262" s="259">
        <f t="shared" si="184"/>
        <v>71134</v>
      </c>
      <c r="J262" s="260">
        <f t="shared" si="185"/>
        <v>8007390</v>
      </c>
      <c r="K262" s="260">
        <f t="shared" si="186"/>
        <v>2022504</v>
      </c>
      <c r="L262" s="260">
        <f t="shared" si="187"/>
        <v>10029894</v>
      </c>
      <c r="M262" s="432">
        <f t="array" ref="M262">MAX((IF(MNU_CODIGO_ALIMENTO_ENTREGA=CONCATENATE($C262,"_","P_"),MNU_GRAMAJE_REQUERIDO_TIPOB,"")))</f>
        <v>100</v>
      </c>
      <c r="N262" s="348">
        <f t="shared" si="188"/>
        <v>71368</v>
      </c>
      <c r="O262" s="348">
        <f t="shared" si="189"/>
        <v>6325</v>
      </c>
      <c r="P262" s="348">
        <f t="shared" si="190"/>
        <v>77693</v>
      </c>
      <c r="Q262" s="349">
        <f t="shared" si="191"/>
        <v>10062888</v>
      </c>
      <c r="R262" s="349">
        <f t="shared" si="192"/>
        <v>891825</v>
      </c>
      <c r="S262" s="349">
        <f t="shared" si="193"/>
        <v>10954713</v>
      </c>
      <c r="T262" s="353">
        <f t="array" ref="T262">MAX((IF(MNU_CODIGO_ALIMENTO_ENTREGA=CONCATENATE($C262,"_","P_"),MNU_GRAMAJE_REQUERIDO_TIPOC,"")))</f>
        <v>100</v>
      </c>
      <c r="U262" s="259">
        <f t="shared" si="194"/>
        <v>87056</v>
      </c>
      <c r="V262" s="259">
        <f t="shared" si="195"/>
        <v>9548</v>
      </c>
      <c r="W262" s="259">
        <f t="shared" si="196"/>
        <v>96604</v>
      </c>
      <c r="X262" s="260">
        <f t="shared" si="197"/>
        <v>12274896</v>
      </c>
      <c r="Y262" s="260">
        <f t="shared" si="198"/>
        <v>1346268</v>
      </c>
      <c r="Z262" s="260">
        <f t="shared" si="199"/>
        <v>13621164</v>
      </c>
      <c r="AA262" s="258">
        <f t="array" ref="AA262">MAX((IF(MNU_CODIGO_ALIMENTO_ENTREGA=CONCATENATE($C262,"_","P_"),MNU_GRAMAJE_REQUERIDO_TIPOM,"")))</f>
        <v>100</v>
      </c>
      <c r="AB262" s="261">
        <f t="shared" si="200"/>
        <v>1168</v>
      </c>
      <c r="AC262" s="261">
        <v>0</v>
      </c>
      <c r="AD262" s="261">
        <f t="shared" si="201"/>
        <v>1168</v>
      </c>
      <c r="AE262" s="262">
        <f t="shared" si="202"/>
        <v>164688</v>
      </c>
      <c r="AF262" s="262">
        <v>0</v>
      </c>
      <c r="AG262" s="262">
        <f t="shared" si="203"/>
        <v>164688</v>
      </c>
      <c r="AH262" s="353">
        <f t="array" ref="AH262">MAX((IF(MNU_CODIGO_ALIMENTO_ENTREGA=CONCATENATE($C262,"_","P_"),MNU_GRAMAJE_REQUERIDO_TIPOH,"")))</f>
        <v>100</v>
      </c>
      <c r="AI262" s="259">
        <f t="shared" si="204"/>
        <v>1208</v>
      </c>
      <c r="AJ262" s="259">
        <v>0</v>
      </c>
      <c r="AK262" s="259">
        <f t="shared" si="205"/>
        <v>1208</v>
      </c>
      <c r="AL262" s="260">
        <f t="shared" si="206"/>
        <v>170328</v>
      </c>
      <c r="AM262" s="260">
        <v>0</v>
      </c>
      <c r="AN262" s="260">
        <f t="shared" si="207"/>
        <v>170328</v>
      </c>
      <c r="AO262" s="457">
        <f t="shared" si="208"/>
        <v>247807</v>
      </c>
      <c r="AP262" s="456">
        <f t="shared" si="209"/>
        <v>34940787</v>
      </c>
      <c r="AQ262" s="263" t="e">
        <f>#REF!+AH262+AA262+T262+M262</f>
        <v>#REF!</v>
      </c>
      <c r="AR262" s="263">
        <f t="shared" si="168"/>
        <v>35101587</v>
      </c>
      <c r="AS262" s="263" t="e">
        <f t="shared" si="169"/>
        <v>#REF!</v>
      </c>
      <c r="AT262" s="263">
        <f t="shared" si="170"/>
        <v>35278260</v>
      </c>
      <c r="AU262" s="263" t="e">
        <f t="shared" si="171"/>
        <v>#REF!</v>
      </c>
      <c r="AV262" s="263">
        <f t="shared" si="172"/>
        <v>37516353</v>
      </c>
      <c r="AW262" s="263" t="e">
        <f t="shared" si="173"/>
        <v>#REF!</v>
      </c>
      <c r="AX262" s="263" t="e">
        <f>AV262+#REF!+AH262+AA262+T262</f>
        <v>#REF!</v>
      </c>
      <c r="AY262" s="263" t="e">
        <f t="shared" si="174"/>
        <v>#REF!</v>
      </c>
      <c r="AZ262" s="263" t="e">
        <f t="shared" si="175"/>
        <v>#REF!</v>
      </c>
      <c r="BA262" s="263" t="e">
        <f t="shared" si="176"/>
        <v>#REF!</v>
      </c>
      <c r="BB262" s="263" t="e">
        <f t="shared" si="177"/>
        <v>#REF!</v>
      </c>
      <c r="BC262" s="263" t="e">
        <f t="shared" si="178"/>
        <v>#REF!</v>
      </c>
      <c r="BD262" s="263" t="e">
        <f t="shared" si="179"/>
        <v>#REF!</v>
      </c>
      <c r="BE262" s="263" t="e">
        <f>BC262+AV262+#REF!+AH262+AA262</f>
        <v>#REF!</v>
      </c>
      <c r="BF262" s="263" t="e">
        <f t="shared" si="180"/>
        <v>#REF!</v>
      </c>
      <c r="BG262" s="263" t="e">
        <f t="shared" si="181"/>
        <v>#REF!</v>
      </c>
    </row>
    <row r="263" spans="1:59" ht="15.75">
      <c r="A263" s="338">
        <v>20</v>
      </c>
      <c r="B263" s="338" t="s">
        <v>1</v>
      </c>
      <c r="C263" s="258">
        <v>17</v>
      </c>
      <c r="D263" s="328" t="s">
        <v>53</v>
      </c>
      <c r="E263" s="258" t="s">
        <v>9</v>
      </c>
      <c r="F263" s="431">
        <f t="array" ref="F263">MAX((IF(MNU_CODIGO_ALIMENTO_ENTREGA=CONCATENATE($C263,"_","P_"),MNU_GRAMAJE_REQUERIDO_TIPOA,"")))</f>
        <v>0</v>
      </c>
      <c r="G263" s="259">
        <f t="shared" si="182"/>
        <v>0</v>
      </c>
      <c r="H263" s="259">
        <f t="shared" si="183"/>
        <v>0</v>
      </c>
      <c r="I263" s="259">
        <f t="shared" si="184"/>
        <v>0</v>
      </c>
      <c r="J263" s="260">
        <f t="shared" si="185"/>
        <v>0</v>
      </c>
      <c r="K263" s="260">
        <f t="shared" si="186"/>
        <v>0</v>
      </c>
      <c r="L263" s="260">
        <f t="shared" si="187"/>
        <v>0</v>
      </c>
      <c r="M263" s="432">
        <f t="array" ref="M263">MAX((IF(MNU_CODIGO_ALIMENTO_ENTREGA=CONCATENATE($C263,"_","P_"),MNU_GRAMAJE_REQUERIDO_TIPOB,"")))</f>
        <v>100</v>
      </c>
      <c r="N263" s="348">
        <f t="shared" si="188"/>
        <v>187341</v>
      </c>
      <c r="O263" s="348">
        <f t="shared" si="189"/>
        <v>13225</v>
      </c>
      <c r="P263" s="348">
        <f t="shared" si="190"/>
        <v>200566</v>
      </c>
      <c r="Q263" s="349">
        <f t="shared" si="191"/>
        <v>44399817</v>
      </c>
      <c r="R263" s="349">
        <f t="shared" si="192"/>
        <v>3134325</v>
      </c>
      <c r="S263" s="349">
        <f t="shared" si="193"/>
        <v>47534142</v>
      </c>
      <c r="T263" s="353">
        <f t="array" ref="T263">MAX((IF(MNU_CODIGO_ALIMENTO_ENTREGA=CONCATENATE($C263,"_","P_"),MNU_GRAMAJE_REQUERIDO_TIPOC,"")))</f>
        <v>100</v>
      </c>
      <c r="U263" s="259">
        <f t="shared" si="194"/>
        <v>228522</v>
      </c>
      <c r="V263" s="259">
        <f t="shared" si="195"/>
        <v>19964</v>
      </c>
      <c r="W263" s="259">
        <f t="shared" si="196"/>
        <v>248486</v>
      </c>
      <c r="X263" s="260">
        <f t="shared" si="197"/>
        <v>54159714</v>
      </c>
      <c r="Y263" s="260">
        <f t="shared" si="198"/>
        <v>4731468</v>
      </c>
      <c r="Z263" s="260">
        <f t="shared" si="199"/>
        <v>58891182</v>
      </c>
      <c r="AA263" s="258">
        <f t="array" ref="AA263">MAX((IF(MNU_CODIGO_ALIMENTO_ENTREGA=CONCATENATE($C263,"_","P_"),MNU_GRAMAJE_REQUERIDO_TIPOM,"")))</f>
        <v>100</v>
      </c>
      <c r="AB263" s="261">
        <f t="shared" si="200"/>
        <v>3066</v>
      </c>
      <c r="AC263" s="261">
        <v>0</v>
      </c>
      <c r="AD263" s="261">
        <f t="shared" si="201"/>
        <v>3066</v>
      </c>
      <c r="AE263" s="262">
        <f t="shared" si="202"/>
        <v>726642</v>
      </c>
      <c r="AF263" s="262">
        <v>0</v>
      </c>
      <c r="AG263" s="262">
        <f t="shared" si="203"/>
        <v>726642</v>
      </c>
      <c r="AH263" s="353">
        <f t="array" ref="AH263">MAX((IF(MNU_CODIGO_ALIMENTO_ENTREGA=CONCATENATE($C263,"_","P_"),MNU_GRAMAJE_REQUERIDO_TIPOH,"")))</f>
        <v>100</v>
      </c>
      <c r="AI263" s="259">
        <f t="shared" si="204"/>
        <v>3171</v>
      </c>
      <c r="AJ263" s="259">
        <v>0</v>
      </c>
      <c r="AK263" s="259">
        <f t="shared" si="205"/>
        <v>3171</v>
      </c>
      <c r="AL263" s="260">
        <f t="shared" si="206"/>
        <v>751527</v>
      </c>
      <c r="AM263" s="260">
        <v>0</v>
      </c>
      <c r="AN263" s="260">
        <f t="shared" si="207"/>
        <v>751527</v>
      </c>
      <c r="AO263" s="457">
        <f t="shared" si="208"/>
        <v>455289</v>
      </c>
      <c r="AP263" s="456">
        <f t="shared" si="209"/>
        <v>107903493</v>
      </c>
      <c r="AQ263" s="263" t="e">
        <f>#REF!+AH263+AA263+T263+M263</f>
        <v>#REF!</v>
      </c>
      <c r="AR263" s="263">
        <f t="shared" si="168"/>
        <v>108325593</v>
      </c>
      <c r="AS263" s="263" t="e">
        <f t="shared" si="169"/>
        <v>#REF!</v>
      </c>
      <c r="AT263" s="263">
        <f t="shared" si="170"/>
        <v>108780882</v>
      </c>
      <c r="AU263" s="263" t="e">
        <f t="shared" si="171"/>
        <v>#REF!</v>
      </c>
      <c r="AV263" s="263">
        <f t="shared" si="172"/>
        <v>116646675</v>
      </c>
      <c r="AW263" s="263" t="e">
        <f t="shared" si="173"/>
        <v>#REF!</v>
      </c>
      <c r="AX263" s="263" t="e">
        <f>AV263+#REF!+AH263+AA263+T263</f>
        <v>#REF!</v>
      </c>
      <c r="AY263" s="263" t="e">
        <f t="shared" si="174"/>
        <v>#REF!</v>
      </c>
      <c r="AZ263" s="263" t="e">
        <f t="shared" si="175"/>
        <v>#REF!</v>
      </c>
      <c r="BA263" s="263" t="e">
        <f t="shared" si="176"/>
        <v>#REF!</v>
      </c>
      <c r="BB263" s="263" t="e">
        <f t="shared" si="177"/>
        <v>#REF!</v>
      </c>
      <c r="BC263" s="263" t="e">
        <f t="shared" si="178"/>
        <v>#REF!</v>
      </c>
      <c r="BD263" s="263" t="e">
        <f t="shared" si="179"/>
        <v>#REF!</v>
      </c>
      <c r="BE263" s="263" t="e">
        <f>BC263+AV263+#REF!+AH263+AA263</f>
        <v>#REF!</v>
      </c>
      <c r="BF263" s="263" t="e">
        <f t="shared" si="180"/>
        <v>#REF!</v>
      </c>
      <c r="BG263" s="263" t="e">
        <f t="shared" si="181"/>
        <v>#REF!</v>
      </c>
    </row>
    <row r="264" spans="1:59" ht="15.75">
      <c r="A264" s="338">
        <v>20</v>
      </c>
      <c r="B264" s="338" t="s">
        <v>1</v>
      </c>
      <c r="C264" s="258">
        <v>22</v>
      </c>
      <c r="D264" s="328" t="s">
        <v>51</v>
      </c>
      <c r="E264" s="258" t="s">
        <v>9</v>
      </c>
      <c r="F264" s="431">
        <f t="array" ref="F264">MAX((IF(MNU_CODIGO_ALIMENTO_ENTREGA=CONCATENATE($C264,"_","P_"),MNU_GRAMAJE_REQUERIDO_TIPOA,"")))</f>
        <v>0</v>
      </c>
      <c r="G264" s="259">
        <f t="shared" si="182"/>
        <v>0</v>
      </c>
      <c r="H264" s="259">
        <f t="shared" si="183"/>
        <v>0</v>
      </c>
      <c r="I264" s="259">
        <f t="shared" si="184"/>
        <v>0</v>
      </c>
      <c r="J264" s="260">
        <f t="shared" si="185"/>
        <v>0</v>
      </c>
      <c r="K264" s="260">
        <f t="shared" si="186"/>
        <v>0</v>
      </c>
      <c r="L264" s="260">
        <f t="shared" si="187"/>
        <v>0</v>
      </c>
      <c r="M264" s="432">
        <f t="array" ref="M264">MAX((IF(MNU_CODIGO_ALIMENTO_ENTREGA=CONCATENATE($C264,"_","P_"),MNU_GRAMAJE_REQUERIDO_TIPOB,"")))</f>
        <v>100</v>
      </c>
      <c r="N264" s="348">
        <f t="shared" si="188"/>
        <v>178420</v>
      </c>
      <c r="O264" s="348">
        <f t="shared" si="189"/>
        <v>13225</v>
      </c>
      <c r="P264" s="348">
        <f t="shared" si="190"/>
        <v>191645</v>
      </c>
      <c r="Q264" s="349">
        <f t="shared" si="191"/>
        <v>98309420</v>
      </c>
      <c r="R264" s="349">
        <f t="shared" si="192"/>
        <v>7286975</v>
      </c>
      <c r="S264" s="349">
        <f t="shared" si="193"/>
        <v>105596395</v>
      </c>
      <c r="T264" s="353">
        <f t="array" ref="T264">MAX((IF(MNU_CODIGO_ALIMENTO_ENTREGA=CONCATENATE($C264,"_","P_"),MNU_GRAMAJE_REQUERIDO_TIPOC,"")))</f>
        <v>100</v>
      </c>
      <c r="U264" s="259">
        <f t="shared" si="194"/>
        <v>217640</v>
      </c>
      <c r="V264" s="259">
        <f t="shared" si="195"/>
        <v>19964</v>
      </c>
      <c r="W264" s="259">
        <f t="shared" si="196"/>
        <v>237604</v>
      </c>
      <c r="X264" s="260">
        <f t="shared" si="197"/>
        <v>119919640</v>
      </c>
      <c r="Y264" s="260">
        <f t="shared" si="198"/>
        <v>11000164</v>
      </c>
      <c r="Z264" s="260">
        <f t="shared" si="199"/>
        <v>130919804</v>
      </c>
      <c r="AA264" s="258">
        <f t="array" ref="AA264">MAX((IF(MNU_CODIGO_ALIMENTO_ENTREGA=CONCATENATE($C264,"_","P_"),MNU_GRAMAJE_REQUERIDO_TIPOM,"")))</f>
        <v>100</v>
      </c>
      <c r="AB264" s="261">
        <f t="shared" si="200"/>
        <v>2920</v>
      </c>
      <c r="AC264" s="261">
        <v>0</v>
      </c>
      <c r="AD264" s="261">
        <f t="shared" si="201"/>
        <v>2920</v>
      </c>
      <c r="AE264" s="262">
        <f t="shared" si="202"/>
        <v>1608920</v>
      </c>
      <c r="AF264" s="262">
        <v>0</v>
      </c>
      <c r="AG264" s="262">
        <f t="shared" si="203"/>
        <v>1608920</v>
      </c>
      <c r="AH264" s="353">
        <f t="array" ref="AH264">MAX((IF(MNU_CODIGO_ALIMENTO_ENTREGA=CONCATENATE($C264,"_","P_"),MNU_GRAMAJE_REQUERIDO_TIPOH,"")))</f>
        <v>100</v>
      </c>
      <c r="AI264" s="259">
        <f t="shared" si="204"/>
        <v>3020</v>
      </c>
      <c r="AJ264" s="259">
        <v>0</v>
      </c>
      <c r="AK264" s="259">
        <f t="shared" si="205"/>
        <v>3020</v>
      </c>
      <c r="AL264" s="260">
        <f t="shared" si="206"/>
        <v>1664020</v>
      </c>
      <c r="AM264" s="260">
        <v>0</v>
      </c>
      <c r="AN264" s="260">
        <f t="shared" si="207"/>
        <v>1664020</v>
      </c>
      <c r="AO264" s="457">
        <f t="shared" si="208"/>
        <v>435189</v>
      </c>
      <c r="AP264" s="456">
        <f t="shared" si="209"/>
        <v>239789139</v>
      </c>
      <c r="AQ264" s="263" t="e">
        <f>#REF!+AH264+AA264+T264+M264</f>
        <v>#REF!</v>
      </c>
      <c r="AR264" s="263">
        <f t="shared" si="168"/>
        <v>240191139</v>
      </c>
      <c r="AS264" s="263" t="e">
        <f t="shared" si="169"/>
        <v>#REF!</v>
      </c>
      <c r="AT264" s="263">
        <f t="shared" si="170"/>
        <v>240626328</v>
      </c>
      <c r="AU264" s="263" t="e">
        <f t="shared" si="171"/>
        <v>#REF!</v>
      </c>
      <c r="AV264" s="263">
        <f t="shared" si="172"/>
        <v>258913467</v>
      </c>
      <c r="AW264" s="263" t="e">
        <f t="shared" si="173"/>
        <v>#REF!</v>
      </c>
      <c r="AX264" s="263" t="e">
        <f>AV264+#REF!+AH264+AA264+T264</f>
        <v>#REF!</v>
      </c>
      <c r="AY264" s="263" t="e">
        <f t="shared" si="174"/>
        <v>#REF!</v>
      </c>
      <c r="AZ264" s="263" t="e">
        <f t="shared" si="175"/>
        <v>#REF!</v>
      </c>
      <c r="BA264" s="263" t="e">
        <f t="shared" si="176"/>
        <v>#REF!</v>
      </c>
      <c r="BB264" s="263" t="e">
        <f t="shared" si="177"/>
        <v>#REF!</v>
      </c>
      <c r="BC264" s="263" t="e">
        <f t="shared" si="178"/>
        <v>#REF!</v>
      </c>
      <c r="BD264" s="263" t="e">
        <f t="shared" si="179"/>
        <v>#REF!</v>
      </c>
      <c r="BE264" s="263" t="e">
        <f>BC264+AV264+#REF!+AH264+AA264</f>
        <v>#REF!</v>
      </c>
      <c r="BF264" s="263" t="e">
        <f t="shared" si="180"/>
        <v>#REF!</v>
      </c>
      <c r="BG264" s="263" t="e">
        <f t="shared" si="181"/>
        <v>#REF!</v>
      </c>
    </row>
    <row r="265" spans="1:59" ht="15.75">
      <c r="A265" s="338">
        <v>20</v>
      </c>
      <c r="B265" s="338" t="s">
        <v>1</v>
      </c>
      <c r="C265" s="258">
        <v>33</v>
      </c>
      <c r="D265" s="328" t="s">
        <v>59</v>
      </c>
      <c r="E265" s="258" t="s">
        <v>48</v>
      </c>
      <c r="F265" s="431">
        <v>1</v>
      </c>
      <c r="G265" s="259">
        <f t="shared" si="182"/>
        <v>153333</v>
      </c>
      <c r="H265" s="259">
        <f t="shared" si="183"/>
        <v>37816</v>
      </c>
      <c r="I265" s="259">
        <f t="shared" si="184"/>
        <v>191149</v>
      </c>
      <c r="J265" s="260">
        <f t="shared" si="185"/>
        <v>43393239</v>
      </c>
      <c r="K265" s="260">
        <f t="shared" si="186"/>
        <v>10701928</v>
      </c>
      <c r="L265" s="260">
        <f t="shared" si="187"/>
        <v>54095167</v>
      </c>
      <c r="M265" s="432">
        <v>1</v>
      </c>
      <c r="N265" s="348">
        <f t="shared" si="188"/>
        <v>160578</v>
      </c>
      <c r="O265" s="348">
        <f t="shared" si="189"/>
        <v>13225</v>
      </c>
      <c r="P265" s="348">
        <f t="shared" si="190"/>
        <v>173803</v>
      </c>
      <c r="Q265" s="349">
        <f t="shared" si="191"/>
        <v>45443574</v>
      </c>
      <c r="R265" s="349">
        <f t="shared" si="192"/>
        <v>3742675</v>
      </c>
      <c r="S265" s="349">
        <f t="shared" si="193"/>
        <v>49186249</v>
      </c>
      <c r="T265" s="431">
        <v>1</v>
      </c>
      <c r="U265" s="259">
        <f t="shared" si="194"/>
        <v>195876</v>
      </c>
      <c r="V265" s="259">
        <f t="shared" si="195"/>
        <v>19964</v>
      </c>
      <c r="W265" s="259">
        <f t="shared" si="196"/>
        <v>215840</v>
      </c>
      <c r="X265" s="260">
        <f t="shared" si="197"/>
        <v>55432908</v>
      </c>
      <c r="Y265" s="260">
        <f t="shared" si="198"/>
        <v>5649812</v>
      </c>
      <c r="Z265" s="260">
        <f t="shared" si="199"/>
        <v>61082720</v>
      </c>
      <c r="AA265" s="258">
        <v>1</v>
      </c>
      <c r="AB265" s="261">
        <f t="shared" si="200"/>
        <v>2628</v>
      </c>
      <c r="AC265" s="261">
        <v>0</v>
      </c>
      <c r="AD265" s="261">
        <f t="shared" si="201"/>
        <v>2628</v>
      </c>
      <c r="AE265" s="262">
        <f t="shared" si="202"/>
        <v>743724</v>
      </c>
      <c r="AF265" s="262">
        <v>0</v>
      </c>
      <c r="AG265" s="262">
        <f t="shared" si="203"/>
        <v>743724</v>
      </c>
      <c r="AH265" s="353">
        <v>1</v>
      </c>
      <c r="AI265" s="259">
        <f t="shared" si="204"/>
        <v>2718</v>
      </c>
      <c r="AJ265" s="259">
        <v>0</v>
      </c>
      <c r="AK265" s="259">
        <f t="shared" si="205"/>
        <v>2718</v>
      </c>
      <c r="AL265" s="260">
        <f t="shared" si="206"/>
        <v>769194</v>
      </c>
      <c r="AM265" s="260">
        <v>0</v>
      </c>
      <c r="AN265" s="260">
        <f t="shared" si="207"/>
        <v>769194</v>
      </c>
      <c r="AO265" s="457">
        <f t="shared" si="208"/>
        <v>586138</v>
      </c>
      <c r="AP265" s="456">
        <f t="shared" si="209"/>
        <v>165877054</v>
      </c>
      <c r="AQ265" s="263" t="e">
        <f>#REF!+AH265+AA265+T265+M265</f>
        <v>#REF!</v>
      </c>
      <c r="AR265" s="263">
        <f t="shared" si="168"/>
        <v>166238854</v>
      </c>
      <c r="AS265" s="263" t="e">
        <f t="shared" si="169"/>
        <v>#REF!</v>
      </c>
      <c r="AT265" s="263">
        <f t="shared" si="170"/>
        <v>166633843</v>
      </c>
      <c r="AU265" s="263" t="e">
        <f t="shared" si="171"/>
        <v>#REF!</v>
      </c>
      <c r="AV265" s="263">
        <f t="shared" si="172"/>
        <v>176026330</v>
      </c>
      <c r="AW265" s="263" t="e">
        <f t="shared" si="173"/>
        <v>#REF!</v>
      </c>
      <c r="AX265" s="263" t="e">
        <f>AV265+#REF!+AH265+AA265+T265</f>
        <v>#REF!</v>
      </c>
      <c r="AY265" s="263" t="e">
        <f t="shared" si="174"/>
        <v>#REF!</v>
      </c>
      <c r="AZ265" s="263" t="e">
        <f t="shared" si="175"/>
        <v>#REF!</v>
      </c>
      <c r="BA265" s="263" t="e">
        <f t="shared" si="176"/>
        <v>#REF!</v>
      </c>
      <c r="BB265" s="263" t="e">
        <f t="shared" si="177"/>
        <v>#REF!</v>
      </c>
      <c r="BC265" s="263" t="e">
        <f t="shared" si="178"/>
        <v>#REF!</v>
      </c>
      <c r="BD265" s="263" t="e">
        <f t="shared" si="179"/>
        <v>#REF!</v>
      </c>
      <c r="BE265" s="263" t="e">
        <f>BC265+AV265+#REF!+AH265+AA265</f>
        <v>#REF!</v>
      </c>
      <c r="BF265" s="263" t="e">
        <f t="shared" si="180"/>
        <v>#REF!</v>
      </c>
      <c r="BG265" s="263" t="e">
        <f t="shared" si="181"/>
        <v>#REF!</v>
      </c>
    </row>
    <row r="266" spans="1:59" ht="15.75">
      <c r="A266" s="338">
        <v>20</v>
      </c>
      <c r="B266" s="338" t="s">
        <v>1</v>
      </c>
      <c r="C266" s="258">
        <v>36</v>
      </c>
      <c r="D266" s="328" t="s">
        <v>1340</v>
      </c>
      <c r="E266" s="258" t="s">
        <v>9</v>
      </c>
      <c r="F266" s="431">
        <f t="array" ref="F266">MAX((IF(MNU_CODIGO_ALIMENTO_ENTREGA=CONCATENATE($C266,"_","P_"),MNU_GRAMAJE_REQUERIDO_TIPOA,"")))</f>
        <v>20</v>
      </c>
      <c r="G266" s="259">
        <f t="shared" si="182"/>
        <v>39753</v>
      </c>
      <c r="H266" s="259">
        <f t="shared" si="183"/>
        <v>10432</v>
      </c>
      <c r="I266" s="259">
        <f t="shared" si="184"/>
        <v>50185</v>
      </c>
      <c r="J266" s="260">
        <f t="shared" si="185"/>
        <v>5247396</v>
      </c>
      <c r="K266" s="260">
        <f t="shared" si="186"/>
        <v>1377024</v>
      </c>
      <c r="L266" s="260">
        <f t="shared" si="187"/>
        <v>6624420</v>
      </c>
      <c r="M266" s="432">
        <f t="array" ref="M266">MAX((IF(MNU_CODIGO_ALIMENTO_ENTREGA=CONCATENATE($C266,"_","P_"),MNU_GRAMAJE_REQUERIDO_TIPOB,"")))</f>
        <v>40</v>
      </c>
      <c r="N266" s="348">
        <f t="shared" si="188"/>
        <v>62447</v>
      </c>
      <c r="O266" s="348">
        <f t="shared" si="189"/>
        <v>4600</v>
      </c>
      <c r="P266" s="348">
        <f t="shared" si="190"/>
        <v>67047</v>
      </c>
      <c r="Q266" s="349">
        <f t="shared" si="191"/>
        <v>16548455</v>
      </c>
      <c r="R266" s="349">
        <f t="shared" si="192"/>
        <v>1219000</v>
      </c>
      <c r="S266" s="349">
        <f t="shared" si="193"/>
        <v>17767455</v>
      </c>
      <c r="T266" s="353">
        <f t="array" ref="T266">MAX((IF(MNU_CODIGO_ALIMENTO_ENTREGA=CONCATENATE($C266,"_","P_"),MNU_GRAMAJE_REQUERIDO_TIPOC,"")))</f>
        <v>40</v>
      </c>
      <c r="U266" s="259">
        <f t="shared" si="194"/>
        <v>76174</v>
      </c>
      <c r="V266" s="259">
        <f t="shared" si="195"/>
        <v>6944</v>
      </c>
      <c r="W266" s="259">
        <f t="shared" si="196"/>
        <v>83118</v>
      </c>
      <c r="X266" s="260">
        <f t="shared" si="197"/>
        <v>20186110</v>
      </c>
      <c r="Y266" s="260">
        <f t="shared" si="198"/>
        <v>1840160</v>
      </c>
      <c r="Z266" s="260">
        <f t="shared" si="199"/>
        <v>22026270</v>
      </c>
      <c r="AA266" s="258">
        <f t="array" ref="AA266">MAX((IF(MNU_CODIGO_ALIMENTO_ENTREGA=CONCATENATE($C266,"_","P_"),MNU_GRAMAJE_REQUERIDO_TIPOM,"")))</f>
        <v>40</v>
      </c>
      <c r="AB266" s="261">
        <f t="shared" si="200"/>
        <v>1022</v>
      </c>
      <c r="AC266" s="261">
        <v>0</v>
      </c>
      <c r="AD266" s="261">
        <f t="shared" si="201"/>
        <v>1022</v>
      </c>
      <c r="AE266" s="262">
        <f t="shared" si="202"/>
        <v>270830</v>
      </c>
      <c r="AF266" s="262">
        <v>0</v>
      </c>
      <c r="AG266" s="262">
        <f t="shared" si="203"/>
        <v>270830</v>
      </c>
      <c r="AH266" s="353">
        <f t="array" ref="AH266">MAX((IF(MNU_CODIGO_ALIMENTO_ENTREGA=CONCATENATE($C266,"_","P_"),MNU_GRAMAJE_REQUERIDO_TIPOH,"")))</f>
        <v>40</v>
      </c>
      <c r="AI266" s="259">
        <f t="shared" si="204"/>
        <v>1057</v>
      </c>
      <c r="AJ266" s="259">
        <v>0</v>
      </c>
      <c r="AK266" s="259">
        <f t="shared" si="205"/>
        <v>1057</v>
      </c>
      <c r="AL266" s="260">
        <f t="shared" si="206"/>
        <v>280105</v>
      </c>
      <c r="AM266" s="260">
        <v>0</v>
      </c>
      <c r="AN266" s="260">
        <f t="shared" si="207"/>
        <v>280105</v>
      </c>
      <c r="AO266" s="457">
        <f t="shared" si="208"/>
        <v>202429</v>
      </c>
      <c r="AP266" s="456">
        <f t="shared" si="209"/>
        <v>46969080</v>
      </c>
      <c r="AQ266" s="263" t="e">
        <f>#REF!+AH266+AA266+T266+M266</f>
        <v>#REF!</v>
      </c>
      <c r="AR266" s="263">
        <f t="shared" si="168"/>
        <v>47109780</v>
      </c>
      <c r="AS266" s="263" t="e">
        <f t="shared" si="169"/>
        <v>#REF!</v>
      </c>
      <c r="AT266" s="263">
        <f t="shared" si="170"/>
        <v>47262024</v>
      </c>
      <c r="AU266" s="263" t="e">
        <f t="shared" si="171"/>
        <v>#REF!</v>
      </c>
      <c r="AV266" s="263">
        <f t="shared" si="172"/>
        <v>50321184</v>
      </c>
      <c r="AW266" s="263" t="e">
        <f t="shared" si="173"/>
        <v>#REF!</v>
      </c>
      <c r="AX266" s="263" t="e">
        <f>AV266+#REF!+AH266+AA266+T266</f>
        <v>#REF!</v>
      </c>
      <c r="AY266" s="263" t="e">
        <f t="shared" si="174"/>
        <v>#REF!</v>
      </c>
      <c r="AZ266" s="263" t="e">
        <f t="shared" si="175"/>
        <v>#REF!</v>
      </c>
      <c r="BA266" s="263" t="e">
        <f t="shared" si="176"/>
        <v>#REF!</v>
      </c>
      <c r="BB266" s="263" t="e">
        <f t="shared" si="177"/>
        <v>#REF!</v>
      </c>
      <c r="BC266" s="263" t="e">
        <f t="shared" si="178"/>
        <v>#REF!</v>
      </c>
      <c r="BD266" s="263" t="e">
        <f t="shared" si="179"/>
        <v>#REF!</v>
      </c>
      <c r="BE266" s="263" t="e">
        <f>BC266+AV266+#REF!+AH266+AA266</f>
        <v>#REF!</v>
      </c>
      <c r="BF266" s="263" t="e">
        <f t="shared" si="180"/>
        <v>#REF!</v>
      </c>
      <c r="BG266" s="263" t="e">
        <f t="shared" si="181"/>
        <v>#REF!</v>
      </c>
    </row>
    <row r="267" spans="1:59" ht="15.75">
      <c r="A267" s="338">
        <v>20</v>
      </c>
      <c r="B267" s="338" t="s">
        <v>1</v>
      </c>
      <c r="C267" s="258">
        <v>42</v>
      </c>
      <c r="D267" s="328" t="s">
        <v>61</v>
      </c>
      <c r="E267" s="258" t="s">
        <v>9</v>
      </c>
      <c r="F267" s="431">
        <f t="array" ref="F267">MAX((IF(MNU_CODIGO_ALIMENTO_ENTREGA=CONCATENATE($C267,"_","P_"),MNU_GRAMAJE_REQUERIDO_TIPOA,"")))</f>
        <v>100</v>
      </c>
      <c r="G267" s="259">
        <f t="shared" si="182"/>
        <v>130617</v>
      </c>
      <c r="H267" s="259">
        <f t="shared" si="183"/>
        <v>46944</v>
      </c>
      <c r="I267" s="259">
        <f t="shared" si="184"/>
        <v>177561</v>
      </c>
      <c r="J267" s="260">
        <f t="shared" si="185"/>
        <v>26645868</v>
      </c>
      <c r="K267" s="260">
        <f t="shared" si="186"/>
        <v>9576576</v>
      </c>
      <c r="L267" s="260">
        <f t="shared" si="187"/>
        <v>36222444</v>
      </c>
      <c r="M267" s="432">
        <f t="array" ref="M267">MAX((IF(MNU_CODIGO_ALIMENTO_ENTREGA=CONCATENATE($C267,"_","P_"),MNU_GRAMAJE_REQUERIDO_TIPOB,"")))</f>
        <v>100</v>
      </c>
      <c r="N267" s="348">
        <f t="shared" si="188"/>
        <v>169499</v>
      </c>
      <c r="O267" s="348">
        <f t="shared" si="189"/>
        <v>10925</v>
      </c>
      <c r="P267" s="348">
        <f t="shared" si="190"/>
        <v>180424</v>
      </c>
      <c r="Q267" s="349">
        <f t="shared" si="191"/>
        <v>34577796</v>
      </c>
      <c r="R267" s="349">
        <f t="shared" si="192"/>
        <v>2228700</v>
      </c>
      <c r="S267" s="349">
        <f t="shared" si="193"/>
        <v>36806496</v>
      </c>
      <c r="T267" s="353">
        <f t="array" ref="T267">MAX((IF(MNU_CODIGO_ALIMENTO_ENTREGA=CONCATENATE($C267,"_","P_"),MNU_GRAMAJE_REQUERIDO_TIPOC,"")))</f>
        <v>100</v>
      </c>
      <c r="U267" s="259">
        <f t="shared" si="194"/>
        <v>206758</v>
      </c>
      <c r="V267" s="259">
        <f t="shared" si="195"/>
        <v>16492</v>
      </c>
      <c r="W267" s="259">
        <f t="shared" si="196"/>
        <v>223250</v>
      </c>
      <c r="X267" s="260">
        <f t="shared" si="197"/>
        <v>42178632</v>
      </c>
      <c r="Y267" s="260">
        <f t="shared" si="198"/>
        <v>3364368</v>
      </c>
      <c r="Z267" s="260">
        <f t="shared" si="199"/>
        <v>45543000</v>
      </c>
      <c r="AA267" s="258">
        <f t="array" ref="AA267">MAX((IF(MNU_CODIGO_ALIMENTO_ENTREGA=CONCATENATE($C267,"_","P_"),MNU_GRAMAJE_REQUERIDO_TIPOM,"")))</f>
        <v>100</v>
      </c>
      <c r="AB267" s="261">
        <f t="shared" si="200"/>
        <v>2774</v>
      </c>
      <c r="AC267" s="261">
        <v>0</v>
      </c>
      <c r="AD267" s="261">
        <f t="shared" si="201"/>
        <v>2774</v>
      </c>
      <c r="AE267" s="262">
        <f t="shared" si="202"/>
        <v>565896</v>
      </c>
      <c r="AF267" s="262">
        <v>0</v>
      </c>
      <c r="AG267" s="262">
        <f t="shared" si="203"/>
        <v>565896</v>
      </c>
      <c r="AH267" s="353">
        <f t="array" ref="AH267">MAX((IF(MNU_CODIGO_ALIMENTO_ENTREGA=CONCATENATE($C267,"_","P_"),MNU_GRAMAJE_REQUERIDO_TIPOH,"")))</f>
        <v>100</v>
      </c>
      <c r="AI267" s="259">
        <f t="shared" si="204"/>
        <v>2869</v>
      </c>
      <c r="AJ267" s="259">
        <v>0</v>
      </c>
      <c r="AK267" s="259">
        <f t="shared" si="205"/>
        <v>2869</v>
      </c>
      <c r="AL267" s="260">
        <f t="shared" si="206"/>
        <v>585276</v>
      </c>
      <c r="AM267" s="260">
        <v>0</v>
      </c>
      <c r="AN267" s="260">
        <f t="shared" si="207"/>
        <v>585276</v>
      </c>
      <c r="AO267" s="457">
        <f t="shared" si="208"/>
        <v>586878</v>
      </c>
      <c r="AP267" s="456">
        <f t="shared" si="209"/>
        <v>119723112</v>
      </c>
      <c r="AQ267" s="263" t="e">
        <f>#REF!+AH267+AA267+T267+M267</f>
        <v>#REF!</v>
      </c>
      <c r="AR267" s="263">
        <f t="shared" si="168"/>
        <v>120105012</v>
      </c>
      <c r="AS267" s="263" t="e">
        <f t="shared" si="169"/>
        <v>#REF!</v>
      </c>
      <c r="AT267" s="263">
        <f t="shared" si="170"/>
        <v>120514329</v>
      </c>
      <c r="AU267" s="263" t="e">
        <f t="shared" si="171"/>
        <v>#REF!</v>
      </c>
      <c r="AV267" s="263">
        <f t="shared" si="172"/>
        <v>126107397</v>
      </c>
      <c r="AW267" s="263" t="e">
        <f t="shared" si="173"/>
        <v>#REF!</v>
      </c>
      <c r="AX267" s="263" t="e">
        <f>AV267+#REF!+AH267+AA267+T267</f>
        <v>#REF!</v>
      </c>
      <c r="AY267" s="263" t="e">
        <f t="shared" si="174"/>
        <v>#REF!</v>
      </c>
      <c r="AZ267" s="263" t="e">
        <f t="shared" si="175"/>
        <v>#REF!</v>
      </c>
      <c r="BA267" s="263" t="e">
        <f t="shared" si="176"/>
        <v>#REF!</v>
      </c>
      <c r="BB267" s="263" t="e">
        <f t="shared" si="177"/>
        <v>#REF!</v>
      </c>
      <c r="BC267" s="263" t="e">
        <f t="shared" si="178"/>
        <v>#REF!</v>
      </c>
      <c r="BD267" s="263" t="e">
        <f t="shared" si="179"/>
        <v>#REF!</v>
      </c>
      <c r="BE267" s="263" t="e">
        <f>BC267+AV267+#REF!+AH267+AA267</f>
        <v>#REF!</v>
      </c>
      <c r="BF267" s="263" t="e">
        <f t="shared" si="180"/>
        <v>#REF!</v>
      </c>
      <c r="BG267" s="263" t="e">
        <f t="shared" si="181"/>
        <v>#REF!</v>
      </c>
    </row>
    <row r="268" spans="1:59" ht="15.75">
      <c r="A268" s="338">
        <v>20</v>
      </c>
      <c r="B268" s="338" t="s">
        <v>1</v>
      </c>
      <c r="C268" s="258">
        <v>43</v>
      </c>
      <c r="D268" s="328" t="s">
        <v>62</v>
      </c>
      <c r="E268" s="258" t="s">
        <v>9</v>
      </c>
      <c r="F268" s="431">
        <f t="array" ref="F268">MAX((IF(MNU_CODIGO_ALIMENTO_ENTREGA=CONCATENATE($C268,"_","P_"),MNU_GRAMAJE_REQUERIDO_TIPOA,"")))</f>
        <v>100</v>
      </c>
      <c r="G268" s="259">
        <f t="shared" si="182"/>
        <v>136296</v>
      </c>
      <c r="H268" s="259">
        <f t="shared" si="183"/>
        <v>37816</v>
      </c>
      <c r="I268" s="259">
        <f t="shared" si="184"/>
        <v>174112</v>
      </c>
      <c r="J268" s="260">
        <f t="shared" si="185"/>
        <v>24260688</v>
      </c>
      <c r="K268" s="260">
        <f t="shared" si="186"/>
        <v>6731248</v>
      </c>
      <c r="L268" s="260">
        <f t="shared" si="187"/>
        <v>30991936</v>
      </c>
      <c r="M268" s="432">
        <f t="array" ref="M268">MAX((IF(MNU_CODIGO_ALIMENTO_ENTREGA=CONCATENATE($C268,"_","P_"),MNU_GRAMAJE_REQUERIDO_TIPOB,"")))</f>
        <v>100</v>
      </c>
      <c r="N268" s="348">
        <f t="shared" si="188"/>
        <v>151657</v>
      </c>
      <c r="O268" s="348">
        <f t="shared" si="189"/>
        <v>13225</v>
      </c>
      <c r="P268" s="348">
        <f t="shared" si="190"/>
        <v>164882</v>
      </c>
      <c r="Q268" s="349">
        <f t="shared" si="191"/>
        <v>26994946</v>
      </c>
      <c r="R268" s="349">
        <f t="shared" si="192"/>
        <v>2354050</v>
      </c>
      <c r="S268" s="349">
        <f t="shared" si="193"/>
        <v>29348996</v>
      </c>
      <c r="T268" s="353">
        <f t="array" ref="T268">MAX((IF(MNU_CODIGO_ALIMENTO_ENTREGA=CONCATENATE($C268,"_","P_"),MNU_GRAMAJE_REQUERIDO_TIPOC,"")))</f>
        <v>100</v>
      </c>
      <c r="U268" s="259">
        <f t="shared" si="194"/>
        <v>184994</v>
      </c>
      <c r="V268" s="259">
        <f t="shared" si="195"/>
        <v>19964</v>
      </c>
      <c r="W268" s="259">
        <f t="shared" si="196"/>
        <v>204958</v>
      </c>
      <c r="X268" s="260">
        <f t="shared" si="197"/>
        <v>32928932</v>
      </c>
      <c r="Y268" s="260">
        <f t="shared" si="198"/>
        <v>3553592</v>
      </c>
      <c r="Z268" s="260">
        <f t="shared" si="199"/>
        <v>36482524</v>
      </c>
      <c r="AA268" s="258">
        <f t="array" ref="AA268">MAX((IF(MNU_CODIGO_ALIMENTO_ENTREGA=CONCATENATE($C268,"_","P_"),MNU_GRAMAJE_REQUERIDO_TIPOM,"")))</f>
        <v>100</v>
      </c>
      <c r="AB268" s="261">
        <f t="shared" si="200"/>
        <v>2482</v>
      </c>
      <c r="AC268" s="261">
        <v>0</v>
      </c>
      <c r="AD268" s="261">
        <f t="shared" si="201"/>
        <v>2482</v>
      </c>
      <c r="AE268" s="262">
        <f t="shared" si="202"/>
        <v>441796</v>
      </c>
      <c r="AF268" s="262">
        <v>0</v>
      </c>
      <c r="AG268" s="262">
        <f t="shared" si="203"/>
        <v>441796</v>
      </c>
      <c r="AH268" s="353">
        <f t="array" ref="AH268">MAX((IF(MNU_CODIGO_ALIMENTO_ENTREGA=CONCATENATE($C268,"_","P_"),MNU_GRAMAJE_REQUERIDO_TIPOH,"")))</f>
        <v>100</v>
      </c>
      <c r="AI268" s="259">
        <f t="shared" si="204"/>
        <v>2567</v>
      </c>
      <c r="AJ268" s="259">
        <v>0</v>
      </c>
      <c r="AK268" s="259">
        <f t="shared" si="205"/>
        <v>2567</v>
      </c>
      <c r="AL268" s="260">
        <f t="shared" si="206"/>
        <v>456926</v>
      </c>
      <c r="AM268" s="260">
        <v>0</v>
      </c>
      <c r="AN268" s="260">
        <f t="shared" si="207"/>
        <v>456926</v>
      </c>
      <c r="AO268" s="457">
        <f t="shared" si="208"/>
        <v>549001</v>
      </c>
      <c r="AP268" s="456">
        <f t="shared" si="209"/>
        <v>97722178</v>
      </c>
      <c r="AQ268" s="263" t="e">
        <f>#REF!+AH268+AA268+T268+M268</f>
        <v>#REF!</v>
      </c>
      <c r="AR268" s="263">
        <f t="shared" si="168"/>
        <v>98063878</v>
      </c>
      <c r="AS268" s="263" t="e">
        <f t="shared" si="169"/>
        <v>#REF!</v>
      </c>
      <c r="AT268" s="263">
        <f t="shared" si="170"/>
        <v>98438767</v>
      </c>
      <c r="AU268" s="263" t="e">
        <f t="shared" si="171"/>
        <v>#REF!</v>
      </c>
      <c r="AV268" s="263">
        <f t="shared" si="172"/>
        <v>104346409</v>
      </c>
      <c r="AW268" s="263" t="e">
        <f t="shared" si="173"/>
        <v>#REF!</v>
      </c>
      <c r="AX268" s="263" t="e">
        <f>AV268+#REF!+AH268+AA268+T268</f>
        <v>#REF!</v>
      </c>
      <c r="AY268" s="263" t="e">
        <f t="shared" si="174"/>
        <v>#REF!</v>
      </c>
      <c r="AZ268" s="263" t="e">
        <f t="shared" si="175"/>
        <v>#REF!</v>
      </c>
      <c r="BA268" s="263" t="e">
        <f t="shared" si="176"/>
        <v>#REF!</v>
      </c>
      <c r="BB268" s="263" t="e">
        <f t="shared" si="177"/>
        <v>#REF!</v>
      </c>
      <c r="BC268" s="263" t="e">
        <f t="shared" si="178"/>
        <v>#REF!</v>
      </c>
      <c r="BD268" s="263" t="e">
        <f t="shared" si="179"/>
        <v>#REF!</v>
      </c>
      <c r="BE268" s="263" t="e">
        <f>BC268+AV268+#REF!+AH268+AA268</f>
        <v>#REF!</v>
      </c>
      <c r="BF268" s="263" t="e">
        <f t="shared" si="180"/>
        <v>#REF!</v>
      </c>
      <c r="BG268" s="263" t="e">
        <f t="shared" si="181"/>
        <v>#REF!</v>
      </c>
    </row>
    <row r="269" spans="1:59" ht="15.75">
      <c r="A269" s="338">
        <v>20</v>
      </c>
      <c r="B269" s="338" t="s">
        <v>1</v>
      </c>
      <c r="C269" s="258">
        <v>46</v>
      </c>
      <c r="D269" s="328" t="s">
        <v>64</v>
      </c>
      <c r="E269" s="258" t="s">
        <v>9</v>
      </c>
      <c r="F269" s="431">
        <f t="array" ref="F269">MAX((IF(MNU_CODIGO_ALIMENTO_ENTREGA=CONCATENATE($C269,"_","P_"),MNU_GRAMAJE_REQUERIDO_TIPOA,"")))</f>
        <v>100</v>
      </c>
      <c r="G269" s="259">
        <f t="shared" si="182"/>
        <v>170370</v>
      </c>
      <c r="H269" s="259">
        <f t="shared" si="183"/>
        <v>37816</v>
      </c>
      <c r="I269" s="259">
        <f t="shared" si="184"/>
        <v>208186</v>
      </c>
      <c r="J269" s="260">
        <f t="shared" si="185"/>
        <v>71214660</v>
      </c>
      <c r="K269" s="260">
        <f t="shared" si="186"/>
        <v>15807088</v>
      </c>
      <c r="L269" s="260">
        <f t="shared" si="187"/>
        <v>87021748</v>
      </c>
      <c r="M269" s="432">
        <f t="array" ref="M269">MAX((IF(MNU_CODIGO_ALIMENTO_ENTREGA=CONCATENATE($C269,"_","P_"),MNU_GRAMAJE_REQUERIDO_TIPOB,"")))</f>
        <v>100</v>
      </c>
      <c r="N269" s="348">
        <f t="shared" si="188"/>
        <v>187341</v>
      </c>
      <c r="O269" s="348">
        <f t="shared" si="189"/>
        <v>13800</v>
      </c>
      <c r="P269" s="348">
        <f t="shared" si="190"/>
        <v>201141</v>
      </c>
      <c r="Q269" s="349">
        <f t="shared" si="191"/>
        <v>78308538</v>
      </c>
      <c r="R269" s="349">
        <f t="shared" si="192"/>
        <v>5768400</v>
      </c>
      <c r="S269" s="349">
        <f t="shared" si="193"/>
        <v>84076938</v>
      </c>
      <c r="T269" s="353">
        <f t="array" ref="T269">MAX((IF(MNU_CODIGO_ALIMENTO_ENTREGA=CONCATENATE($C269,"_","P_"),MNU_GRAMAJE_REQUERIDO_TIPOC,"")))</f>
        <v>100</v>
      </c>
      <c r="U269" s="259">
        <f t="shared" si="194"/>
        <v>228522</v>
      </c>
      <c r="V269" s="259">
        <f t="shared" si="195"/>
        <v>20832</v>
      </c>
      <c r="W269" s="259">
        <f t="shared" si="196"/>
        <v>249354</v>
      </c>
      <c r="X269" s="260">
        <f t="shared" si="197"/>
        <v>95522196</v>
      </c>
      <c r="Y269" s="260">
        <f t="shared" si="198"/>
        <v>8707776</v>
      </c>
      <c r="Z269" s="260">
        <f t="shared" si="199"/>
        <v>104229972</v>
      </c>
      <c r="AA269" s="258">
        <f t="array" ref="AA269">MAX((IF(MNU_CODIGO_ALIMENTO_ENTREGA=CONCATENATE($C269,"_","P_"),MNU_GRAMAJE_REQUERIDO_TIPOM,"")))</f>
        <v>100</v>
      </c>
      <c r="AB269" s="261">
        <f t="shared" si="200"/>
        <v>3066</v>
      </c>
      <c r="AC269" s="261">
        <v>0</v>
      </c>
      <c r="AD269" s="261">
        <f t="shared" si="201"/>
        <v>3066</v>
      </c>
      <c r="AE269" s="262">
        <f t="shared" si="202"/>
        <v>1281588</v>
      </c>
      <c r="AF269" s="262">
        <v>0</v>
      </c>
      <c r="AG269" s="262">
        <f t="shared" si="203"/>
        <v>1281588</v>
      </c>
      <c r="AH269" s="353">
        <f t="array" ref="AH269">MAX((IF(MNU_CODIGO_ALIMENTO_ENTREGA=CONCATENATE($C269,"_","P_"),MNU_GRAMAJE_REQUERIDO_TIPOH,"")))</f>
        <v>100</v>
      </c>
      <c r="AI269" s="259">
        <f t="shared" si="204"/>
        <v>3171</v>
      </c>
      <c r="AJ269" s="259">
        <v>0</v>
      </c>
      <c r="AK269" s="259">
        <f t="shared" si="205"/>
        <v>3171</v>
      </c>
      <c r="AL269" s="260">
        <f t="shared" si="206"/>
        <v>1325478</v>
      </c>
      <c r="AM269" s="260">
        <v>0</v>
      </c>
      <c r="AN269" s="260">
        <f t="shared" si="207"/>
        <v>1325478</v>
      </c>
      <c r="AO269" s="457">
        <f t="shared" si="208"/>
        <v>664918</v>
      </c>
      <c r="AP269" s="456">
        <f t="shared" si="209"/>
        <v>277935724</v>
      </c>
      <c r="AQ269" s="263" t="e">
        <f>#REF!+AH269+AA269+T269+M269</f>
        <v>#REF!</v>
      </c>
      <c r="AR269" s="263">
        <f t="shared" si="168"/>
        <v>278357824</v>
      </c>
      <c r="AS269" s="263" t="e">
        <f t="shared" si="169"/>
        <v>#REF!</v>
      </c>
      <c r="AT269" s="263">
        <f t="shared" si="170"/>
        <v>278814556</v>
      </c>
      <c r="AU269" s="263" t="e">
        <f t="shared" si="171"/>
        <v>#REF!</v>
      </c>
      <c r="AV269" s="263">
        <f t="shared" si="172"/>
        <v>293290732</v>
      </c>
      <c r="AW269" s="263" t="e">
        <f t="shared" si="173"/>
        <v>#REF!</v>
      </c>
      <c r="AX269" s="263" t="e">
        <f>AV269+#REF!+AH269+AA269+T269</f>
        <v>#REF!</v>
      </c>
      <c r="AY269" s="263" t="e">
        <f t="shared" si="174"/>
        <v>#REF!</v>
      </c>
      <c r="AZ269" s="263" t="e">
        <f t="shared" si="175"/>
        <v>#REF!</v>
      </c>
      <c r="BA269" s="263" t="e">
        <f t="shared" si="176"/>
        <v>#REF!</v>
      </c>
      <c r="BB269" s="263" t="e">
        <f t="shared" si="177"/>
        <v>#REF!</v>
      </c>
      <c r="BC269" s="263" t="e">
        <f t="shared" si="178"/>
        <v>#REF!</v>
      </c>
      <c r="BD269" s="263" t="e">
        <f t="shared" si="179"/>
        <v>#REF!</v>
      </c>
      <c r="BE269" s="263" t="e">
        <f>BC269+AV269+#REF!+AH269+AA269</f>
        <v>#REF!</v>
      </c>
      <c r="BF269" s="263" t="e">
        <f t="shared" si="180"/>
        <v>#REF!</v>
      </c>
      <c r="BG269" s="263" t="e">
        <f t="shared" si="181"/>
        <v>#REF!</v>
      </c>
    </row>
    <row r="270" spans="1:59" ht="15.75">
      <c r="A270" s="338">
        <v>20</v>
      </c>
      <c r="B270" s="338" t="s">
        <v>1</v>
      </c>
      <c r="C270" s="258">
        <v>58</v>
      </c>
      <c r="D270" s="328" t="s">
        <v>67</v>
      </c>
      <c r="E270" s="258" t="s">
        <v>9</v>
      </c>
      <c r="F270" s="431">
        <f t="array" ref="F270">MAX((IF(MNU_CODIGO_ALIMENTO_ENTREGA=CONCATENATE($C270,"_","P_"),MNU_GRAMAJE_REQUERIDO_TIPOA,"")))</f>
        <v>100</v>
      </c>
      <c r="G270" s="259">
        <f t="shared" si="182"/>
        <v>136296</v>
      </c>
      <c r="H270" s="259">
        <f t="shared" si="183"/>
        <v>36512</v>
      </c>
      <c r="I270" s="259">
        <f t="shared" si="184"/>
        <v>172808</v>
      </c>
      <c r="J270" s="260">
        <f t="shared" si="185"/>
        <v>22079952</v>
      </c>
      <c r="K270" s="260">
        <f t="shared" si="186"/>
        <v>5914944</v>
      </c>
      <c r="L270" s="260">
        <f t="shared" si="187"/>
        <v>27994896</v>
      </c>
      <c r="M270" s="432">
        <f t="array" ref="M270">MAX((IF(MNU_CODIGO_ALIMENTO_ENTREGA=CONCATENATE($C270,"_","P_"),MNU_GRAMAJE_REQUERIDO_TIPOB,"")))</f>
        <v>100</v>
      </c>
      <c r="N270" s="348">
        <f t="shared" si="188"/>
        <v>205183</v>
      </c>
      <c r="O270" s="348">
        <f t="shared" si="189"/>
        <v>13225</v>
      </c>
      <c r="P270" s="348">
        <f t="shared" si="190"/>
        <v>218408</v>
      </c>
      <c r="Q270" s="349">
        <f t="shared" si="191"/>
        <v>33239646</v>
      </c>
      <c r="R270" s="349">
        <f t="shared" si="192"/>
        <v>2142450</v>
      </c>
      <c r="S270" s="349">
        <f t="shared" si="193"/>
        <v>35382096</v>
      </c>
      <c r="T270" s="353">
        <f t="array" ref="T270">MAX((IF(MNU_CODIGO_ALIMENTO_ENTREGA=CONCATENATE($C270,"_","P_"),MNU_GRAMAJE_REQUERIDO_TIPOC,"")))</f>
        <v>100</v>
      </c>
      <c r="U270" s="259">
        <f t="shared" si="194"/>
        <v>250286</v>
      </c>
      <c r="V270" s="259">
        <f t="shared" si="195"/>
        <v>19964</v>
      </c>
      <c r="W270" s="259">
        <f t="shared" si="196"/>
        <v>270250</v>
      </c>
      <c r="X270" s="260">
        <f t="shared" si="197"/>
        <v>40546332</v>
      </c>
      <c r="Y270" s="260">
        <f t="shared" si="198"/>
        <v>3234168</v>
      </c>
      <c r="Z270" s="260">
        <f t="shared" si="199"/>
        <v>43780500</v>
      </c>
      <c r="AA270" s="258">
        <f t="array" ref="AA270">MAX((IF(MNU_CODIGO_ALIMENTO_ENTREGA=CONCATENATE($C270,"_","P_"),MNU_GRAMAJE_REQUERIDO_TIPOM,"")))</f>
        <v>100</v>
      </c>
      <c r="AB270" s="261">
        <f t="shared" si="200"/>
        <v>3358</v>
      </c>
      <c r="AC270" s="261">
        <v>0</v>
      </c>
      <c r="AD270" s="261">
        <f t="shared" si="201"/>
        <v>3358</v>
      </c>
      <c r="AE270" s="262">
        <f t="shared" si="202"/>
        <v>543996</v>
      </c>
      <c r="AF270" s="262">
        <v>0</v>
      </c>
      <c r="AG270" s="262">
        <f t="shared" si="203"/>
        <v>543996</v>
      </c>
      <c r="AH270" s="353">
        <f t="array" ref="AH270">MAX((IF(MNU_CODIGO_ALIMENTO_ENTREGA=CONCATENATE($C270,"_","P_"),MNU_GRAMAJE_REQUERIDO_TIPOH,"")))</f>
        <v>100</v>
      </c>
      <c r="AI270" s="259">
        <f t="shared" si="204"/>
        <v>3473</v>
      </c>
      <c r="AJ270" s="259">
        <v>0</v>
      </c>
      <c r="AK270" s="259">
        <f t="shared" si="205"/>
        <v>3473</v>
      </c>
      <c r="AL270" s="260">
        <f t="shared" si="206"/>
        <v>562626</v>
      </c>
      <c r="AM270" s="260">
        <v>0</v>
      </c>
      <c r="AN270" s="260">
        <f t="shared" si="207"/>
        <v>562626</v>
      </c>
      <c r="AO270" s="457">
        <f t="shared" si="208"/>
        <v>668297</v>
      </c>
      <c r="AP270" s="456">
        <f t="shared" si="209"/>
        <v>108264114</v>
      </c>
      <c r="AQ270" s="263" t="e">
        <f>#REF!+AH270+AA270+T270+M270</f>
        <v>#REF!</v>
      </c>
      <c r="AR270" s="263">
        <f t="shared" si="168"/>
        <v>108726414</v>
      </c>
      <c r="AS270" s="263" t="e">
        <f t="shared" si="169"/>
        <v>#REF!</v>
      </c>
      <c r="AT270" s="263">
        <f t="shared" si="170"/>
        <v>109221903</v>
      </c>
      <c r="AU270" s="263" t="e">
        <f t="shared" si="171"/>
        <v>#REF!</v>
      </c>
      <c r="AV270" s="263">
        <f t="shared" si="172"/>
        <v>114598521</v>
      </c>
      <c r="AW270" s="263" t="e">
        <f t="shared" si="173"/>
        <v>#REF!</v>
      </c>
      <c r="AX270" s="263" t="e">
        <f>AV270+#REF!+AH270+AA270+T270</f>
        <v>#REF!</v>
      </c>
      <c r="AY270" s="263" t="e">
        <f t="shared" si="174"/>
        <v>#REF!</v>
      </c>
      <c r="AZ270" s="263" t="e">
        <f t="shared" si="175"/>
        <v>#REF!</v>
      </c>
      <c r="BA270" s="263" t="e">
        <f t="shared" si="176"/>
        <v>#REF!</v>
      </c>
      <c r="BB270" s="263" t="e">
        <f t="shared" si="177"/>
        <v>#REF!</v>
      </c>
      <c r="BC270" s="263" t="e">
        <f t="shared" si="178"/>
        <v>#REF!</v>
      </c>
      <c r="BD270" s="263" t="e">
        <f t="shared" si="179"/>
        <v>#REF!</v>
      </c>
      <c r="BE270" s="263" t="e">
        <f>BC270+AV270+#REF!+AH270+AA270</f>
        <v>#REF!</v>
      </c>
      <c r="BF270" s="263" t="e">
        <f t="shared" si="180"/>
        <v>#REF!</v>
      </c>
      <c r="BG270" s="263" t="e">
        <f t="shared" si="181"/>
        <v>#REF!</v>
      </c>
    </row>
    <row r="271" spans="1:59" ht="15.75">
      <c r="A271" s="338">
        <v>20</v>
      </c>
      <c r="B271" s="338" t="s">
        <v>1</v>
      </c>
      <c r="C271" s="258">
        <v>59</v>
      </c>
      <c r="D271" s="328" t="s">
        <v>99</v>
      </c>
      <c r="E271" s="258" t="s">
        <v>9</v>
      </c>
      <c r="F271" s="431">
        <f t="array" ref="F271">MAX((IF(MNU_CODIGO_ALIMENTO_ENTREGA=CONCATENATE($C271,"_","P_"),MNU_GRAMAJE_REQUERIDO_TIPOA,"")))</f>
        <v>0</v>
      </c>
      <c r="G271" s="259">
        <f t="shared" si="182"/>
        <v>0</v>
      </c>
      <c r="H271" s="259">
        <f t="shared" si="183"/>
        <v>0</v>
      </c>
      <c r="I271" s="259">
        <f t="shared" si="184"/>
        <v>0</v>
      </c>
      <c r="J271" s="260">
        <f t="shared" si="185"/>
        <v>0</v>
      </c>
      <c r="K271" s="260">
        <f t="shared" si="186"/>
        <v>0</v>
      </c>
      <c r="L271" s="260">
        <f t="shared" si="187"/>
        <v>0</v>
      </c>
      <c r="M271" s="432">
        <f t="array" ref="M271">MAX((IF(MNU_CODIGO_ALIMENTO_ENTREGA=CONCATENATE($C271,"_","P_"),MNU_GRAMAJE_REQUERIDO_TIPOB,"")))</f>
        <v>100</v>
      </c>
      <c r="N271" s="348">
        <f t="shared" si="188"/>
        <v>71368</v>
      </c>
      <c r="O271" s="348">
        <f t="shared" si="189"/>
        <v>6325</v>
      </c>
      <c r="P271" s="348">
        <f t="shared" si="190"/>
        <v>77693</v>
      </c>
      <c r="Q271" s="349">
        <f t="shared" si="191"/>
        <v>21410400</v>
      </c>
      <c r="R271" s="349">
        <f t="shared" si="192"/>
        <v>1897500</v>
      </c>
      <c r="S271" s="349">
        <f t="shared" si="193"/>
        <v>23307900</v>
      </c>
      <c r="T271" s="353">
        <f t="array" ref="T271">MAX((IF(MNU_CODIGO_ALIMENTO_ENTREGA=CONCATENATE($C271,"_","P_"),MNU_GRAMAJE_REQUERIDO_TIPOC,"")))</f>
        <v>100</v>
      </c>
      <c r="U271" s="259">
        <f t="shared" si="194"/>
        <v>87056</v>
      </c>
      <c r="V271" s="259">
        <f t="shared" si="195"/>
        <v>9548</v>
      </c>
      <c r="W271" s="259">
        <f t="shared" si="196"/>
        <v>96604</v>
      </c>
      <c r="X271" s="260">
        <f t="shared" si="197"/>
        <v>26116800</v>
      </c>
      <c r="Y271" s="260">
        <f t="shared" si="198"/>
        <v>2864400</v>
      </c>
      <c r="Z271" s="260">
        <f t="shared" si="199"/>
        <v>28981200</v>
      </c>
      <c r="AA271" s="258">
        <f t="array" ref="AA271">MAX((IF(MNU_CODIGO_ALIMENTO_ENTREGA=CONCATENATE($C271,"_","P_"),MNU_GRAMAJE_REQUERIDO_TIPOM,"")))</f>
        <v>100</v>
      </c>
      <c r="AB271" s="261">
        <f t="shared" si="200"/>
        <v>1168</v>
      </c>
      <c r="AC271" s="261">
        <v>0</v>
      </c>
      <c r="AD271" s="261">
        <f t="shared" si="201"/>
        <v>1168</v>
      </c>
      <c r="AE271" s="262">
        <f t="shared" si="202"/>
        <v>350400</v>
      </c>
      <c r="AF271" s="262">
        <v>0</v>
      </c>
      <c r="AG271" s="262">
        <f t="shared" si="203"/>
        <v>350400</v>
      </c>
      <c r="AH271" s="353">
        <f t="array" ref="AH271">MAX((IF(MNU_CODIGO_ALIMENTO_ENTREGA=CONCATENATE($C271,"_","P_"),MNU_GRAMAJE_REQUERIDO_TIPOH,"")))</f>
        <v>100</v>
      </c>
      <c r="AI271" s="259">
        <f t="shared" si="204"/>
        <v>1208</v>
      </c>
      <c r="AJ271" s="259">
        <v>0</v>
      </c>
      <c r="AK271" s="259">
        <f t="shared" si="205"/>
        <v>1208</v>
      </c>
      <c r="AL271" s="260">
        <f t="shared" si="206"/>
        <v>362400</v>
      </c>
      <c r="AM271" s="260">
        <v>0</v>
      </c>
      <c r="AN271" s="260">
        <f t="shared" si="207"/>
        <v>362400</v>
      </c>
      <c r="AO271" s="457">
        <f t="shared" si="208"/>
        <v>176673</v>
      </c>
      <c r="AP271" s="456">
        <f t="shared" si="209"/>
        <v>53001900</v>
      </c>
      <c r="AQ271" s="263" t="e">
        <f>#REF!+AH271+AA271+T271+M271</f>
        <v>#REF!</v>
      </c>
      <c r="AR271" s="263">
        <f t="shared" si="168"/>
        <v>53162700</v>
      </c>
      <c r="AS271" s="263" t="e">
        <f t="shared" si="169"/>
        <v>#REF!</v>
      </c>
      <c r="AT271" s="263">
        <f t="shared" si="170"/>
        <v>53339373</v>
      </c>
      <c r="AU271" s="263" t="e">
        <f t="shared" si="171"/>
        <v>#REF!</v>
      </c>
      <c r="AV271" s="263">
        <f t="shared" si="172"/>
        <v>58101273</v>
      </c>
      <c r="AW271" s="263" t="e">
        <f t="shared" si="173"/>
        <v>#REF!</v>
      </c>
      <c r="AX271" s="263" t="e">
        <f>AV271+#REF!+AH271+AA271+T271</f>
        <v>#REF!</v>
      </c>
      <c r="AY271" s="263" t="e">
        <f t="shared" si="174"/>
        <v>#REF!</v>
      </c>
      <c r="AZ271" s="263" t="e">
        <f t="shared" si="175"/>
        <v>#REF!</v>
      </c>
      <c r="BA271" s="263" t="e">
        <f t="shared" si="176"/>
        <v>#REF!</v>
      </c>
      <c r="BB271" s="263" t="e">
        <f t="shared" si="177"/>
        <v>#REF!</v>
      </c>
      <c r="BC271" s="263" t="e">
        <f t="shared" si="178"/>
        <v>#REF!</v>
      </c>
      <c r="BD271" s="263" t="e">
        <f t="shared" si="179"/>
        <v>#REF!</v>
      </c>
      <c r="BE271" s="263" t="e">
        <f>BC271+AV271+#REF!+AH271+AA271</f>
        <v>#REF!</v>
      </c>
      <c r="BF271" s="263" t="e">
        <f t="shared" si="180"/>
        <v>#REF!</v>
      </c>
      <c r="BG271" s="263" t="e">
        <f t="shared" si="181"/>
        <v>#REF!</v>
      </c>
    </row>
    <row r="272" spans="1:59" ht="15.75">
      <c r="A272" s="338">
        <v>20</v>
      </c>
      <c r="B272" s="338" t="s">
        <v>1</v>
      </c>
      <c r="C272" s="258">
        <v>69</v>
      </c>
      <c r="D272" s="328" t="s">
        <v>70</v>
      </c>
      <c r="E272" s="258" t="s">
        <v>9</v>
      </c>
      <c r="F272" s="431">
        <f t="array" ref="F272">MAX((IF(MNU_CODIGO_ALIMENTO_ENTREGA=CONCATENATE($C272,"_","P_"),MNU_GRAMAJE_REQUERIDO_TIPOA,"")))</f>
        <v>100</v>
      </c>
      <c r="G272" s="259">
        <f t="shared" si="182"/>
        <v>170370</v>
      </c>
      <c r="H272" s="259">
        <f t="shared" si="183"/>
        <v>23472</v>
      </c>
      <c r="I272" s="259">
        <f t="shared" si="184"/>
        <v>193842</v>
      </c>
      <c r="J272" s="260">
        <f t="shared" si="185"/>
        <v>54518400</v>
      </c>
      <c r="K272" s="260">
        <f t="shared" si="186"/>
        <v>7511040</v>
      </c>
      <c r="L272" s="260">
        <f t="shared" si="187"/>
        <v>62029440</v>
      </c>
      <c r="M272" s="432">
        <f t="array" ref="M272">MAX((IF(MNU_CODIGO_ALIMENTO_ENTREGA=CONCATENATE($C272,"_","P_"),MNU_GRAMAJE_REQUERIDO_TIPOB,"")))</f>
        <v>100</v>
      </c>
      <c r="N272" s="348">
        <f t="shared" si="188"/>
        <v>142736</v>
      </c>
      <c r="O272" s="348">
        <f t="shared" si="189"/>
        <v>6900</v>
      </c>
      <c r="P272" s="348">
        <f t="shared" si="190"/>
        <v>149636</v>
      </c>
      <c r="Q272" s="349">
        <f t="shared" si="191"/>
        <v>45675520</v>
      </c>
      <c r="R272" s="349">
        <f t="shared" si="192"/>
        <v>2208000</v>
      </c>
      <c r="S272" s="349">
        <f t="shared" si="193"/>
        <v>47883520</v>
      </c>
      <c r="T272" s="353">
        <f t="array" ref="T272">MAX((IF(MNU_CODIGO_ALIMENTO_ENTREGA=CONCATENATE($C272,"_","P_"),MNU_GRAMAJE_REQUERIDO_TIPOC,"")))</f>
        <v>100</v>
      </c>
      <c r="U272" s="259">
        <f t="shared" si="194"/>
        <v>174112</v>
      </c>
      <c r="V272" s="259">
        <f t="shared" si="195"/>
        <v>10416</v>
      </c>
      <c r="W272" s="259">
        <f t="shared" si="196"/>
        <v>184528</v>
      </c>
      <c r="X272" s="260">
        <f t="shared" si="197"/>
        <v>55715840</v>
      </c>
      <c r="Y272" s="260">
        <f t="shared" si="198"/>
        <v>3333120</v>
      </c>
      <c r="Z272" s="260">
        <f t="shared" si="199"/>
        <v>59048960</v>
      </c>
      <c r="AA272" s="258">
        <f t="array" ref="AA272">MAX((IF(MNU_CODIGO_ALIMENTO_ENTREGA=CONCATENATE($C272,"_","P_"),MNU_GRAMAJE_REQUERIDO_TIPOM,"")))</f>
        <v>100</v>
      </c>
      <c r="AB272" s="261">
        <f t="shared" si="200"/>
        <v>2336</v>
      </c>
      <c r="AC272" s="261">
        <v>0</v>
      </c>
      <c r="AD272" s="261">
        <f t="shared" si="201"/>
        <v>2336</v>
      </c>
      <c r="AE272" s="262">
        <f t="shared" si="202"/>
        <v>747520</v>
      </c>
      <c r="AF272" s="262">
        <v>0</v>
      </c>
      <c r="AG272" s="262">
        <f t="shared" si="203"/>
        <v>747520</v>
      </c>
      <c r="AH272" s="353">
        <f t="array" ref="AH272">MAX((IF(MNU_CODIGO_ALIMENTO_ENTREGA=CONCATENATE($C272,"_","P_"),MNU_GRAMAJE_REQUERIDO_TIPOH,"")))</f>
        <v>100</v>
      </c>
      <c r="AI272" s="259">
        <f t="shared" si="204"/>
        <v>2416</v>
      </c>
      <c r="AJ272" s="259">
        <v>0</v>
      </c>
      <c r="AK272" s="259">
        <f t="shared" si="205"/>
        <v>2416</v>
      </c>
      <c r="AL272" s="260">
        <f t="shared" si="206"/>
        <v>773120</v>
      </c>
      <c r="AM272" s="260">
        <v>0</v>
      </c>
      <c r="AN272" s="260">
        <f t="shared" si="207"/>
        <v>773120</v>
      </c>
      <c r="AO272" s="457">
        <f t="shared" si="208"/>
        <v>532758</v>
      </c>
      <c r="AP272" s="456">
        <f t="shared" si="209"/>
        <v>170482560</v>
      </c>
      <c r="AQ272" s="263" t="e">
        <f>#REF!+AH272+AA272+T272+M272</f>
        <v>#REF!</v>
      </c>
      <c r="AR272" s="263">
        <f t="shared" si="168"/>
        <v>170804160</v>
      </c>
      <c r="AS272" s="263" t="e">
        <f t="shared" si="169"/>
        <v>#REF!</v>
      </c>
      <c r="AT272" s="263">
        <f t="shared" si="170"/>
        <v>171143076</v>
      </c>
      <c r="AU272" s="263" t="e">
        <f t="shared" si="171"/>
        <v>#REF!</v>
      </c>
      <c r="AV272" s="263">
        <f t="shared" si="172"/>
        <v>176684196</v>
      </c>
      <c r="AW272" s="263" t="e">
        <f t="shared" si="173"/>
        <v>#REF!</v>
      </c>
      <c r="AX272" s="263" t="e">
        <f>AV272+#REF!+AH272+AA272+T272</f>
        <v>#REF!</v>
      </c>
      <c r="AY272" s="263" t="e">
        <f t="shared" si="174"/>
        <v>#REF!</v>
      </c>
      <c r="AZ272" s="263" t="e">
        <f t="shared" si="175"/>
        <v>#REF!</v>
      </c>
      <c r="BA272" s="263" t="e">
        <f t="shared" si="176"/>
        <v>#REF!</v>
      </c>
      <c r="BB272" s="263" t="e">
        <f t="shared" si="177"/>
        <v>#REF!</v>
      </c>
      <c r="BC272" s="263" t="e">
        <f t="shared" si="178"/>
        <v>#REF!</v>
      </c>
      <c r="BD272" s="263" t="e">
        <f t="shared" si="179"/>
        <v>#REF!</v>
      </c>
      <c r="BE272" s="263" t="e">
        <f>BC272+AV272+#REF!+AH272+AA272</f>
        <v>#REF!</v>
      </c>
      <c r="BF272" s="263" t="e">
        <f t="shared" si="180"/>
        <v>#REF!</v>
      </c>
      <c r="BG272" s="263" t="e">
        <f t="shared" si="181"/>
        <v>#REF!</v>
      </c>
    </row>
    <row r="273" spans="1:59" ht="15.75">
      <c r="A273" s="338">
        <v>20</v>
      </c>
      <c r="B273" s="338" t="s">
        <v>1</v>
      </c>
      <c r="C273" s="258">
        <v>70</v>
      </c>
      <c r="D273" s="328" t="s">
        <v>71</v>
      </c>
      <c r="E273" s="258" t="s">
        <v>9</v>
      </c>
      <c r="F273" s="431">
        <f t="array" ref="F273">MAX((IF(MNU_CODIGO_ALIMENTO_ENTREGA=CONCATENATE($C273,"_","P_"),MNU_GRAMAJE_REQUERIDO_TIPOA,"")))</f>
        <v>0</v>
      </c>
      <c r="G273" s="259">
        <f t="shared" si="182"/>
        <v>0</v>
      </c>
      <c r="H273" s="259">
        <f t="shared" si="183"/>
        <v>0</v>
      </c>
      <c r="I273" s="259">
        <f t="shared" si="184"/>
        <v>0</v>
      </c>
      <c r="J273" s="260">
        <f t="shared" si="185"/>
        <v>0</v>
      </c>
      <c r="K273" s="260">
        <f t="shared" si="186"/>
        <v>0</v>
      </c>
      <c r="L273" s="260">
        <f t="shared" si="187"/>
        <v>0</v>
      </c>
      <c r="M273" s="432">
        <f t="array" ref="M273">MAX((IF(MNU_CODIGO_ALIMENTO_ENTREGA=CONCATENATE($C273,"_","P_"),MNU_GRAMAJE_REQUERIDO_TIPOB,"")))</f>
        <v>100</v>
      </c>
      <c r="N273" s="348">
        <f t="shared" si="188"/>
        <v>89210</v>
      </c>
      <c r="O273" s="348">
        <f t="shared" si="189"/>
        <v>4600</v>
      </c>
      <c r="P273" s="348">
        <f t="shared" si="190"/>
        <v>93810</v>
      </c>
      <c r="Q273" s="349">
        <f t="shared" si="191"/>
        <v>40679760</v>
      </c>
      <c r="R273" s="349">
        <f t="shared" si="192"/>
        <v>2097600</v>
      </c>
      <c r="S273" s="349">
        <f t="shared" si="193"/>
        <v>42777360</v>
      </c>
      <c r="T273" s="353">
        <f t="array" ref="T273">MAX((IF(MNU_CODIGO_ALIMENTO_ENTREGA=CONCATENATE($C273,"_","P_"),MNU_GRAMAJE_REQUERIDO_TIPOC,"")))</f>
        <v>100</v>
      </c>
      <c r="U273" s="259">
        <f t="shared" si="194"/>
        <v>108820</v>
      </c>
      <c r="V273" s="259">
        <f t="shared" si="195"/>
        <v>6944</v>
      </c>
      <c r="W273" s="259">
        <f t="shared" si="196"/>
        <v>115764</v>
      </c>
      <c r="X273" s="260">
        <f t="shared" si="197"/>
        <v>49621920</v>
      </c>
      <c r="Y273" s="260">
        <f t="shared" si="198"/>
        <v>3166464</v>
      </c>
      <c r="Z273" s="260">
        <f t="shared" si="199"/>
        <v>52788384</v>
      </c>
      <c r="AA273" s="258">
        <f t="array" ref="AA273">MAX((IF(MNU_CODIGO_ALIMENTO_ENTREGA=CONCATENATE($C273,"_","P_"),MNU_GRAMAJE_REQUERIDO_TIPOM,"")))</f>
        <v>100</v>
      </c>
      <c r="AB273" s="261">
        <f t="shared" si="200"/>
        <v>1460</v>
      </c>
      <c r="AC273" s="261">
        <v>0</v>
      </c>
      <c r="AD273" s="261">
        <f t="shared" si="201"/>
        <v>1460</v>
      </c>
      <c r="AE273" s="262">
        <f t="shared" si="202"/>
        <v>665760</v>
      </c>
      <c r="AF273" s="262">
        <v>0</v>
      </c>
      <c r="AG273" s="262">
        <f t="shared" si="203"/>
        <v>665760</v>
      </c>
      <c r="AH273" s="353">
        <f t="array" ref="AH273">MAX((IF(MNU_CODIGO_ALIMENTO_ENTREGA=CONCATENATE($C273,"_","P_"),MNU_GRAMAJE_REQUERIDO_TIPOH,"")))</f>
        <v>100</v>
      </c>
      <c r="AI273" s="259">
        <f t="shared" si="204"/>
        <v>1510</v>
      </c>
      <c r="AJ273" s="259">
        <v>0</v>
      </c>
      <c r="AK273" s="259">
        <f t="shared" si="205"/>
        <v>1510</v>
      </c>
      <c r="AL273" s="260">
        <f t="shared" si="206"/>
        <v>688560</v>
      </c>
      <c r="AM273" s="260">
        <v>0</v>
      </c>
      <c r="AN273" s="260">
        <f t="shared" si="207"/>
        <v>688560</v>
      </c>
      <c r="AO273" s="457">
        <f t="shared" si="208"/>
        <v>212544</v>
      </c>
      <c r="AP273" s="456">
        <f t="shared" si="209"/>
        <v>96920064</v>
      </c>
      <c r="AQ273" s="263" t="e">
        <f>#REF!+AH273+AA273+T273+M273</f>
        <v>#REF!</v>
      </c>
      <c r="AR273" s="263">
        <f t="shared" si="168"/>
        <v>97121064</v>
      </c>
      <c r="AS273" s="263" t="e">
        <f t="shared" si="169"/>
        <v>#REF!</v>
      </c>
      <c r="AT273" s="263">
        <f t="shared" si="170"/>
        <v>97333608</v>
      </c>
      <c r="AU273" s="263" t="e">
        <f t="shared" si="171"/>
        <v>#REF!</v>
      </c>
      <c r="AV273" s="263">
        <f t="shared" si="172"/>
        <v>102597672</v>
      </c>
      <c r="AW273" s="263" t="e">
        <f t="shared" si="173"/>
        <v>#REF!</v>
      </c>
      <c r="AX273" s="263" t="e">
        <f>AV273+#REF!+AH273+AA273+T273</f>
        <v>#REF!</v>
      </c>
      <c r="AY273" s="263" t="e">
        <f t="shared" si="174"/>
        <v>#REF!</v>
      </c>
      <c r="AZ273" s="263" t="e">
        <f t="shared" si="175"/>
        <v>#REF!</v>
      </c>
      <c r="BA273" s="263" t="e">
        <f t="shared" si="176"/>
        <v>#REF!</v>
      </c>
      <c r="BB273" s="263" t="e">
        <f t="shared" si="177"/>
        <v>#REF!</v>
      </c>
      <c r="BC273" s="263" t="e">
        <f t="shared" si="178"/>
        <v>#REF!</v>
      </c>
      <c r="BD273" s="263" t="e">
        <f t="shared" si="179"/>
        <v>#REF!</v>
      </c>
      <c r="BE273" s="263" t="e">
        <f>BC273+AV273+#REF!+AH273+AA273</f>
        <v>#REF!</v>
      </c>
      <c r="BF273" s="263" t="e">
        <f t="shared" si="180"/>
        <v>#REF!</v>
      </c>
      <c r="BG273" s="263" t="e">
        <f t="shared" si="181"/>
        <v>#REF!</v>
      </c>
    </row>
    <row r="274" spans="1:59" ht="15.75">
      <c r="A274" s="338">
        <v>21</v>
      </c>
      <c r="B274" s="338" t="s">
        <v>1</v>
      </c>
      <c r="C274" s="258">
        <v>7</v>
      </c>
      <c r="D274" s="328" t="s">
        <v>57</v>
      </c>
      <c r="E274" s="258" t="s">
        <v>9</v>
      </c>
      <c r="F274" s="431">
        <f t="array" ref="F274">MAX((IF(MNU_CODIGO_ALIMENTO_ENTREGA=CONCATENATE($C274,"_","P_"),MNU_GRAMAJE_REQUERIDO_TIPOA,"")))</f>
        <v>100</v>
      </c>
      <c r="G274" s="259">
        <f t="shared" si="182"/>
        <v>98736</v>
      </c>
      <c r="H274" s="259">
        <f t="shared" si="183"/>
        <v>36983</v>
      </c>
      <c r="I274" s="259">
        <f t="shared" si="184"/>
        <v>135719</v>
      </c>
      <c r="J274" s="260">
        <f t="shared" si="185"/>
        <v>11058432</v>
      </c>
      <c r="K274" s="260">
        <f t="shared" si="186"/>
        <v>4142096</v>
      </c>
      <c r="L274" s="260">
        <f t="shared" si="187"/>
        <v>15200528</v>
      </c>
      <c r="M274" s="432">
        <f t="array" ref="M274">MAX((IF(MNU_CODIGO_ALIMENTO_ENTREGA=CONCATENATE($C274,"_","P_"),MNU_GRAMAJE_REQUERIDO_TIPOB,"")))</f>
        <v>100</v>
      </c>
      <c r="N274" s="348">
        <f t="shared" si="188"/>
        <v>52686</v>
      </c>
      <c r="O274" s="348">
        <f t="shared" si="189"/>
        <v>7744</v>
      </c>
      <c r="P274" s="348">
        <f t="shared" si="190"/>
        <v>60430</v>
      </c>
      <c r="Q274" s="349">
        <f t="shared" si="191"/>
        <v>5900832</v>
      </c>
      <c r="R274" s="349">
        <f t="shared" si="192"/>
        <v>867328</v>
      </c>
      <c r="S274" s="349">
        <f t="shared" si="193"/>
        <v>6768160</v>
      </c>
      <c r="T274" s="353">
        <f t="array" ref="T274">MAX((IF(MNU_CODIGO_ALIMENTO_ENTREGA=CONCATENATE($C274,"_","P_"),MNU_GRAMAJE_REQUERIDO_TIPOC,"")))</f>
        <v>100</v>
      </c>
      <c r="U274" s="259">
        <f t="shared" si="194"/>
        <v>51741</v>
      </c>
      <c r="V274" s="259">
        <f t="shared" si="195"/>
        <v>12111</v>
      </c>
      <c r="W274" s="259">
        <f t="shared" si="196"/>
        <v>63852</v>
      </c>
      <c r="X274" s="260">
        <f t="shared" si="197"/>
        <v>5794992</v>
      </c>
      <c r="Y274" s="260">
        <f t="shared" si="198"/>
        <v>1356432</v>
      </c>
      <c r="Z274" s="260">
        <f t="shared" si="199"/>
        <v>7151424</v>
      </c>
      <c r="AA274" s="258">
        <f t="array" ref="AA274">MAX((IF(MNU_CODIGO_ALIMENTO_ENTREGA=CONCATENATE($C274,"_","P_"),MNU_GRAMAJE_REQUERIDO_TIPOM,"")))</f>
        <v>100</v>
      </c>
      <c r="AB274" s="261">
        <f t="shared" si="200"/>
        <v>1017</v>
      </c>
      <c r="AC274" s="261">
        <v>0</v>
      </c>
      <c r="AD274" s="261">
        <f t="shared" si="201"/>
        <v>1017</v>
      </c>
      <c r="AE274" s="262">
        <f t="shared" si="202"/>
        <v>113904</v>
      </c>
      <c r="AF274" s="262">
        <v>0</v>
      </c>
      <c r="AG274" s="262">
        <f t="shared" si="203"/>
        <v>113904</v>
      </c>
      <c r="AH274" s="353">
        <f t="array" ref="AH274">MAX((IF(MNU_CODIGO_ALIMENTO_ENTREGA=CONCATENATE($C274,"_","P_"),MNU_GRAMAJE_REQUERIDO_TIPOH,"")))</f>
        <v>100</v>
      </c>
      <c r="AI274" s="259">
        <f t="shared" si="204"/>
        <v>999</v>
      </c>
      <c r="AJ274" s="259">
        <v>0</v>
      </c>
      <c r="AK274" s="259">
        <f t="shared" si="205"/>
        <v>999</v>
      </c>
      <c r="AL274" s="260">
        <f t="shared" si="206"/>
        <v>111888</v>
      </c>
      <c r="AM274" s="260">
        <v>0</v>
      </c>
      <c r="AN274" s="260">
        <f t="shared" si="207"/>
        <v>111888</v>
      </c>
      <c r="AO274" s="457">
        <f t="shared" si="208"/>
        <v>262017</v>
      </c>
      <c r="AP274" s="456">
        <f t="shared" si="209"/>
        <v>29345904</v>
      </c>
      <c r="AQ274" s="263" t="e">
        <f>#REF!+AH274+AA274+T274+M274</f>
        <v>#REF!</v>
      </c>
      <c r="AR274" s="263">
        <f t="shared" si="168"/>
        <v>29452347</v>
      </c>
      <c r="AS274" s="263" t="e">
        <f t="shared" si="169"/>
        <v>#REF!</v>
      </c>
      <c r="AT274" s="263">
        <f t="shared" si="170"/>
        <v>29578645</v>
      </c>
      <c r="AU274" s="263" t="e">
        <f t="shared" si="171"/>
        <v>#REF!</v>
      </c>
      <c r="AV274" s="263">
        <f t="shared" si="172"/>
        <v>31802405</v>
      </c>
      <c r="AW274" s="263" t="e">
        <f t="shared" si="173"/>
        <v>#REF!</v>
      </c>
      <c r="AX274" s="263" t="e">
        <f>AV274+#REF!+AH274+AA274+T274</f>
        <v>#REF!</v>
      </c>
      <c r="AY274" s="263" t="e">
        <f t="shared" si="174"/>
        <v>#REF!</v>
      </c>
      <c r="AZ274" s="263" t="e">
        <f t="shared" si="175"/>
        <v>#REF!</v>
      </c>
      <c r="BA274" s="263" t="e">
        <f t="shared" si="176"/>
        <v>#REF!</v>
      </c>
      <c r="BB274" s="263" t="e">
        <f t="shared" si="177"/>
        <v>#REF!</v>
      </c>
      <c r="BC274" s="263" t="e">
        <f t="shared" si="178"/>
        <v>#REF!</v>
      </c>
      <c r="BD274" s="263" t="e">
        <f t="shared" si="179"/>
        <v>#REF!</v>
      </c>
      <c r="BE274" s="263" t="e">
        <f>BC274+AV274+#REF!+AH274+AA274</f>
        <v>#REF!</v>
      </c>
      <c r="BF274" s="263" t="e">
        <f t="shared" si="180"/>
        <v>#REF!</v>
      </c>
      <c r="BG274" s="263" t="e">
        <f t="shared" si="181"/>
        <v>#REF!</v>
      </c>
    </row>
    <row r="275" spans="1:59" ht="15.75">
      <c r="A275" s="338">
        <v>21</v>
      </c>
      <c r="B275" s="338" t="s">
        <v>1</v>
      </c>
      <c r="C275" s="258">
        <v>8</v>
      </c>
      <c r="D275" s="328" t="s">
        <v>55</v>
      </c>
      <c r="E275" s="258" t="s">
        <v>9</v>
      </c>
      <c r="F275" s="431">
        <f t="array" ref="F275">MAX((IF(MNU_CODIGO_ALIMENTO_ENTREGA=CONCATENATE($C275,"_","P_"),MNU_GRAMAJE_REQUERIDO_TIPOA,"")))</f>
        <v>100</v>
      </c>
      <c r="G275" s="259">
        <f t="shared" si="182"/>
        <v>44880</v>
      </c>
      <c r="H275" s="259">
        <f t="shared" si="183"/>
        <v>13123</v>
      </c>
      <c r="I275" s="259">
        <f t="shared" si="184"/>
        <v>58003</v>
      </c>
      <c r="J275" s="260">
        <f t="shared" si="185"/>
        <v>6328080</v>
      </c>
      <c r="K275" s="260">
        <f t="shared" si="186"/>
        <v>1850343</v>
      </c>
      <c r="L275" s="260">
        <f t="shared" si="187"/>
        <v>8178423</v>
      </c>
      <c r="M275" s="432">
        <f t="array" ref="M275">MAX((IF(MNU_CODIGO_ALIMENTO_ENTREGA=CONCATENATE($C275,"_","P_"),MNU_GRAMAJE_REQUERIDO_TIPOB,"")))</f>
        <v>100</v>
      </c>
      <c r="N275" s="348">
        <f t="shared" si="188"/>
        <v>46832</v>
      </c>
      <c r="O275" s="348">
        <f t="shared" si="189"/>
        <v>7744</v>
      </c>
      <c r="P275" s="348">
        <f t="shared" si="190"/>
        <v>54576</v>
      </c>
      <c r="Q275" s="349">
        <f t="shared" si="191"/>
        <v>6603312</v>
      </c>
      <c r="R275" s="349">
        <f t="shared" si="192"/>
        <v>1091904</v>
      </c>
      <c r="S275" s="349">
        <f t="shared" si="193"/>
        <v>7695216</v>
      </c>
      <c r="T275" s="353">
        <f t="array" ref="T275">MAX((IF(MNU_CODIGO_ALIMENTO_ENTREGA=CONCATENATE($C275,"_","P_"),MNU_GRAMAJE_REQUERIDO_TIPOC,"")))</f>
        <v>100</v>
      </c>
      <c r="U275" s="259">
        <f t="shared" si="194"/>
        <v>45992</v>
      </c>
      <c r="V275" s="259">
        <f t="shared" si="195"/>
        <v>12111</v>
      </c>
      <c r="W275" s="259">
        <f t="shared" si="196"/>
        <v>58103</v>
      </c>
      <c r="X275" s="260">
        <f t="shared" si="197"/>
        <v>6484872</v>
      </c>
      <c r="Y275" s="260">
        <f t="shared" si="198"/>
        <v>1707651</v>
      </c>
      <c r="Z275" s="260">
        <f t="shared" si="199"/>
        <v>8192523</v>
      </c>
      <c r="AA275" s="258">
        <f t="array" ref="AA275">MAX((IF(MNU_CODIGO_ALIMENTO_ENTREGA=CONCATENATE($C275,"_","P_"),MNU_GRAMAJE_REQUERIDO_TIPOM,"")))</f>
        <v>100</v>
      </c>
      <c r="AB275" s="261">
        <f t="shared" si="200"/>
        <v>904</v>
      </c>
      <c r="AC275" s="261">
        <v>0</v>
      </c>
      <c r="AD275" s="261">
        <f t="shared" si="201"/>
        <v>904</v>
      </c>
      <c r="AE275" s="262">
        <f t="shared" si="202"/>
        <v>127464</v>
      </c>
      <c r="AF275" s="262">
        <v>0</v>
      </c>
      <c r="AG275" s="262">
        <f t="shared" si="203"/>
        <v>127464</v>
      </c>
      <c r="AH275" s="353">
        <f t="array" ref="AH275">MAX((IF(MNU_CODIGO_ALIMENTO_ENTREGA=CONCATENATE($C275,"_","P_"),MNU_GRAMAJE_REQUERIDO_TIPOH,"")))</f>
        <v>100</v>
      </c>
      <c r="AI275" s="259">
        <f t="shared" si="204"/>
        <v>888</v>
      </c>
      <c r="AJ275" s="259">
        <v>0</v>
      </c>
      <c r="AK275" s="259">
        <f t="shared" si="205"/>
        <v>888</v>
      </c>
      <c r="AL275" s="260">
        <f t="shared" si="206"/>
        <v>125208</v>
      </c>
      <c r="AM275" s="260">
        <v>0</v>
      </c>
      <c r="AN275" s="260">
        <f t="shared" si="207"/>
        <v>125208</v>
      </c>
      <c r="AO275" s="457">
        <f t="shared" si="208"/>
        <v>172474</v>
      </c>
      <c r="AP275" s="456">
        <f t="shared" si="209"/>
        <v>24318834</v>
      </c>
      <c r="AQ275" s="263" t="e">
        <f>#REF!+AH275+AA275+T275+M275</f>
        <v>#REF!</v>
      </c>
      <c r="AR275" s="263">
        <f t="shared" si="168"/>
        <v>24413450</v>
      </c>
      <c r="AS275" s="263" t="e">
        <f t="shared" si="169"/>
        <v>#REF!</v>
      </c>
      <c r="AT275" s="263">
        <f t="shared" si="170"/>
        <v>24527921</v>
      </c>
      <c r="AU275" s="263" t="e">
        <f t="shared" si="171"/>
        <v>#REF!</v>
      </c>
      <c r="AV275" s="263">
        <f t="shared" si="172"/>
        <v>27327476</v>
      </c>
      <c r="AW275" s="263" t="e">
        <f t="shared" si="173"/>
        <v>#REF!</v>
      </c>
      <c r="AX275" s="263" t="e">
        <f>AV275+#REF!+AH275+AA275+T275</f>
        <v>#REF!</v>
      </c>
      <c r="AY275" s="263" t="e">
        <f t="shared" si="174"/>
        <v>#REF!</v>
      </c>
      <c r="AZ275" s="263" t="e">
        <f t="shared" si="175"/>
        <v>#REF!</v>
      </c>
      <c r="BA275" s="263" t="e">
        <f t="shared" si="176"/>
        <v>#REF!</v>
      </c>
      <c r="BB275" s="263" t="e">
        <f t="shared" si="177"/>
        <v>#REF!</v>
      </c>
      <c r="BC275" s="263" t="e">
        <f t="shared" si="178"/>
        <v>#REF!</v>
      </c>
      <c r="BD275" s="263" t="e">
        <f t="shared" si="179"/>
        <v>#REF!</v>
      </c>
      <c r="BE275" s="263" t="e">
        <f>BC275+AV275+#REF!+AH275+AA275</f>
        <v>#REF!</v>
      </c>
      <c r="BF275" s="263" t="e">
        <f t="shared" si="180"/>
        <v>#REF!</v>
      </c>
      <c r="BG275" s="263" t="e">
        <f t="shared" si="181"/>
        <v>#REF!</v>
      </c>
    </row>
    <row r="276" spans="1:59" ht="15.75">
      <c r="A276" s="338">
        <v>21</v>
      </c>
      <c r="B276" s="338" t="s">
        <v>1</v>
      </c>
      <c r="C276" s="258">
        <v>17</v>
      </c>
      <c r="D276" s="328" t="s">
        <v>53</v>
      </c>
      <c r="E276" s="258" t="s">
        <v>9</v>
      </c>
      <c r="F276" s="431">
        <f t="array" ref="F276">MAX((IF(MNU_CODIGO_ALIMENTO_ENTREGA=CONCATENATE($C276,"_","P_"),MNU_GRAMAJE_REQUERIDO_TIPOA,"")))</f>
        <v>0</v>
      </c>
      <c r="G276" s="259">
        <f t="shared" si="182"/>
        <v>0</v>
      </c>
      <c r="H276" s="259">
        <f t="shared" si="183"/>
        <v>0</v>
      </c>
      <c r="I276" s="259">
        <f t="shared" si="184"/>
        <v>0</v>
      </c>
      <c r="J276" s="260">
        <f t="shared" si="185"/>
        <v>0</v>
      </c>
      <c r="K276" s="260">
        <f t="shared" si="186"/>
        <v>0</v>
      </c>
      <c r="L276" s="260">
        <f t="shared" si="187"/>
        <v>0</v>
      </c>
      <c r="M276" s="432">
        <f t="array" ref="M276">MAX((IF(MNU_CODIGO_ALIMENTO_ENTREGA=CONCATENATE($C276,"_","P_"),MNU_GRAMAJE_REQUERIDO_TIPOB,"")))</f>
        <v>100</v>
      </c>
      <c r="N276" s="348">
        <f t="shared" si="188"/>
        <v>122934</v>
      </c>
      <c r="O276" s="348">
        <f t="shared" si="189"/>
        <v>16192</v>
      </c>
      <c r="P276" s="348">
        <f t="shared" si="190"/>
        <v>139126</v>
      </c>
      <c r="Q276" s="349">
        <f t="shared" si="191"/>
        <v>29135358</v>
      </c>
      <c r="R276" s="349">
        <f t="shared" si="192"/>
        <v>3837504</v>
      </c>
      <c r="S276" s="349">
        <f t="shared" si="193"/>
        <v>32972862</v>
      </c>
      <c r="T276" s="353">
        <f t="array" ref="T276">MAX((IF(MNU_CODIGO_ALIMENTO_ENTREGA=CONCATENATE($C276,"_","P_"),MNU_GRAMAJE_REQUERIDO_TIPOC,"")))</f>
        <v>100</v>
      </c>
      <c r="U276" s="259">
        <f t="shared" si="194"/>
        <v>120729</v>
      </c>
      <c r="V276" s="259">
        <f t="shared" si="195"/>
        <v>25323</v>
      </c>
      <c r="W276" s="259">
        <f t="shared" si="196"/>
        <v>146052</v>
      </c>
      <c r="X276" s="260">
        <f t="shared" si="197"/>
        <v>28612773</v>
      </c>
      <c r="Y276" s="260">
        <f t="shared" si="198"/>
        <v>6001551</v>
      </c>
      <c r="Z276" s="260">
        <f t="shared" si="199"/>
        <v>34614324</v>
      </c>
      <c r="AA276" s="258">
        <f t="array" ref="AA276">MAX((IF(MNU_CODIGO_ALIMENTO_ENTREGA=CONCATENATE($C276,"_","P_"),MNU_GRAMAJE_REQUERIDO_TIPOM,"")))</f>
        <v>100</v>
      </c>
      <c r="AB276" s="261">
        <f t="shared" si="200"/>
        <v>2373</v>
      </c>
      <c r="AC276" s="261">
        <v>0</v>
      </c>
      <c r="AD276" s="261">
        <f t="shared" si="201"/>
        <v>2373</v>
      </c>
      <c r="AE276" s="262">
        <f t="shared" si="202"/>
        <v>562401</v>
      </c>
      <c r="AF276" s="262">
        <v>0</v>
      </c>
      <c r="AG276" s="262">
        <f t="shared" si="203"/>
        <v>562401</v>
      </c>
      <c r="AH276" s="353">
        <f t="array" ref="AH276">MAX((IF(MNU_CODIGO_ALIMENTO_ENTREGA=CONCATENATE($C276,"_","P_"),MNU_GRAMAJE_REQUERIDO_TIPOH,"")))</f>
        <v>100</v>
      </c>
      <c r="AI276" s="259">
        <f t="shared" si="204"/>
        <v>2331</v>
      </c>
      <c r="AJ276" s="259">
        <v>0</v>
      </c>
      <c r="AK276" s="259">
        <f t="shared" si="205"/>
        <v>2331</v>
      </c>
      <c r="AL276" s="260">
        <f t="shared" si="206"/>
        <v>552447</v>
      </c>
      <c r="AM276" s="260">
        <v>0</v>
      </c>
      <c r="AN276" s="260">
        <f t="shared" si="207"/>
        <v>552447</v>
      </c>
      <c r="AO276" s="457">
        <f t="shared" si="208"/>
        <v>289882</v>
      </c>
      <c r="AP276" s="456">
        <f t="shared" si="209"/>
        <v>68702034</v>
      </c>
      <c r="AQ276" s="263" t="e">
        <f>#REF!+AH276+AA276+T276+M276</f>
        <v>#REF!</v>
      </c>
      <c r="AR276" s="263">
        <f t="shared" si="168"/>
        <v>68950401</v>
      </c>
      <c r="AS276" s="263" t="e">
        <f t="shared" si="169"/>
        <v>#REF!</v>
      </c>
      <c r="AT276" s="263">
        <f t="shared" si="170"/>
        <v>69240283</v>
      </c>
      <c r="AU276" s="263" t="e">
        <f t="shared" si="171"/>
        <v>#REF!</v>
      </c>
      <c r="AV276" s="263">
        <f t="shared" si="172"/>
        <v>79079338</v>
      </c>
      <c r="AW276" s="263" t="e">
        <f t="shared" si="173"/>
        <v>#REF!</v>
      </c>
      <c r="AX276" s="263" t="e">
        <f>AV276+#REF!+AH276+AA276+T276</f>
        <v>#REF!</v>
      </c>
      <c r="AY276" s="263" t="e">
        <f t="shared" si="174"/>
        <v>#REF!</v>
      </c>
      <c r="AZ276" s="263" t="e">
        <f t="shared" si="175"/>
        <v>#REF!</v>
      </c>
      <c r="BA276" s="263" t="e">
        <f t="shared" si="176"/>
        <v>#REF!</v>
      </c>
      <c r="BB276" s="263" t="e">
        <f t="shared" si="177"/>
        <v>#REF!</v>
      </c>
      <c r="BC276" s="263" t="e">
        <f t="shared" si="178"/>
        <v>#REF!</v>
      </c>
      <c r="BD276" s="263" t="e">
        <f t="shared" si="179"/>
        <v>#REF!</v>
      </c>
      <c r="BE276" s="263" t="e">
        <f>BC276+AV276+#REF!+AH276+AA276</f>
        <v>#REF!</v>
      </c>
      <c r="BF276" s="263" t="e">
        <f t="shared" si="180"/>
        <v>#REF!</v>
      </c>
      <c r="BG276" s="263" t="e">
        <f t="shared" si="181"/>
        <v>#REF!</v>
      </c>
    </row>
    <row r="277" spans="1:59" ht="15.75">
      <c r="A277" s="338">
        <v>21</v>
      </c>
      <c r="B277" s="338" t="s">
        <v>1</v>
      </c>
      <c r="C277" s="258">
        <v>22</v>
      </c>
      <c r="D277" s="328" t="s">
        <v>51</v>
      </c>
      <c r="E277" s="258" t="s">
        <v>9</v>
      </c>
      <c r="F277" s="431">
        <f t="array" ref="F277">MAX((IF(MNU_CODIGO_ALIMENTO_ENTREGA=CONCATENATE($C277,"_","P_"),MNU_GRAMAJE_REQUERIDO_TIPOA,"")))</f>
        <v>0</v>
      </c>
      <c r="G277" s="259">
        <f t="shared" si="182"/>
        <v>0</v>
      </c>
      <c r="H277" s="259">
        <f t="shared" si="183"/>
        <v>0</v>
      </c>
      <c r="I277" s="259">
        <f t="shared" si="184"/>
        <v>0</v>
      </c>
      <c r="J277" s="260">
        <f t="shared" si="185"/>
        <v>0</v>
      </c>
      <c r="K277" s="260">
        <f t="shared" si="186"/>
        <v>0</v>
      </c>
      <c r="L277" s="260">
        <f t="shared" si="187"/>
        <v>0</v>
      </c>
      <c r="M277" s="432">
        <f t="array" ref="M277">MAX((IF(MNU_CODIGO_ALIMENTO_ENTREGA=CONCATENATE($C277,"_","P_"),MNU_GRAMAJE_REQUERIDO_TIPOB,"")))</f>
        <v>100</v>
      </c>
      <c r="N277" s="348">
        <f t="shared" si="188"/>
        <v>117080</v>
      </c>
      <c r="O277" s="348">
        <f t="shared" si="189"/>
        <v>16192</v>
      </c>
      <c r="P277" s="348">
        <f t="shared" si="190"/>
        <v>133272</v>
      </c>
      <c r="Q277" s="349">
        <f t="shared" si="191"/>
        <v>64511080</v>
      </c>
      <c r="R277" s="349">
        <f t="shared" si="192"/>
        <v>8921792</v>
      </c>
      <c r="S277" s="349">
        <f t="shared" si="193"/>
        <v>73432872</v>
      </c>
      <c r="T277" s="353">
        <f t="array" ref="T277">MAX((IF(MNU_CODIGO_ALIMENTO_ENTREGA=CONCATENATE($C277,"_","P_"),MNU_GRAMAJE_REQUERIDO_TIPOC,"")))</f>
        <v>100</v>
      </c>
      <c r="U277" s="259">
        <f t="shared" si="194"/>
        <v>114980</v>
      </c>
      <c r="V277" s="259">
        <f t="shared" si="195"/>
        <v>25323</v>
      </c>
      <c r="W277" s="259">
        <f t="shared" si="196"/>
        <v>140303</v>
      </c>
      <c r="X277" s="260">
        <f t="shared" si="197"/>
        <v>63353980</v>
      </c>
      <c r="Y277" s="260">
        <f t="shared" si="198"/>
        <v>13952973</v>
      </c>
      <c r="Z277" s="260">
        <f t="shared" si="199"/>
        <v>77306953</v>
      </c>
      <c r="AA277" s="258">
        <f t="array" ref="AA277">MAX((IF(MNU_CODIGO_ALIMENTO_ENTREGA=CONCATENATE($C277,"_","P_"),MNU_GRAMAJE_REQUERIDO_TIPOM,"")))</f>
        <v>100</v>
      </c>
      <c r="AB277" s="261">
        <f t="shared" si="200"/>
        <v>2260</v>
      </c>
      <c r="AC277" s="261">
        <v>0</v>
      </c>
      <c r="AD277" s="261">
        <f t="shared" si="201"/>
        <v>2260</v>
      </c>
      <c r="AE277" s="262">
        <f t="shared" si="202"/>
        <v>1245260</v>
      </c>
      <c r="AF277" s="262">
        <v>0</v>
      </c>
      <c r="AG277" s="262">
        <f t="shared" si="203"/>
        <v>1245260</v>
      </c>
      <c r="AH277" s="353">
        <f t="array" ref="AH277">MAX((IF(MNU_CODIGO_ALIMENTO_ENTREGA=CONCATENATE($C277,"_","P_"),MNU_GRAMAJE_REQUERIDO_TIPOH,"")))</f>
        <v>100</v>
      </c>
      <c r="AI277" s="259">
        <f t="shared" si="204"/>
        <v>2220</v>
      </c>
      <c r="AJ277" s="259">
        <v>0</v>
      </c>
      <c r="AK277" s="259">
        <f t="shared" si="205"/>
        <v>2220</v>
      </c>
      <c r="AL277" s="260">
        <f t="shared" si="206"/>
        <v>1223220</v>
      </c>
      <c r="AM277" s="260">
        <v>0</v>
      </c>
      <c r="AN277" s="260">
        <f t="shared" si="207"/>
        <v>1223220</v>
      </c>
      <c r="AO277" s="457">
        <f t="shared" si="208"/>
        <v>278055</v>
      </c>
      <c r="AP277" s="456">
        <f t="shared" si="209"/>
        <v>153208305</v>
      </c>
      <c r="AQ277" s="263" t="e">
        <f>#REF!+AH277+AA277+T277+M277</f>
        <v>#REF!</v>
      </c>
      <c r="AR277" s="263">
        <f t="shared" si="168"/>
        <v>153444845</v>
      </c>
      <c r="AS277" s="263" t="e">
        <f t="shared" si="169"/>
        <v>#REF!</v>
      </c>
      <c r="AT277" s="263">
        <f t="shared" si="170"/>
        <v>153722900</v>
      </c>
      <c r="AU277" s="263" t="e">
        <f t="shared" si="171"/>
        <v>#REF!</v>
      </c>
      <c r="AV277" s="263">
        <f t="shared" si="172"/>
        <v>176597665</v>
      </c>
      <c r="AW277" s="263" t="e">
        <f t="shared" si="173"/>
        <v>#REF!</v>
      </c>
      <c r="AX277" s="263" t="e">
        <f>AV277+#REF!+AH277+AA277+T277</f>
        <v>#REF!</v>
      </c>
      <c r="AY277" s="263" t="e">
        <f t="shared" si="174"/>
        <v>#REF!</v>
      </c>
      <c r="AZ277" s="263" t="e">
        <f t="shared" si="175"/>
        <v>#REF!</v>
      </c>
      <c r="BA277" s="263" t="e">
        <f t="shared" si="176"/>
        <v>#REF!</v>
      </c>
      <c r="BB277" s="263" t="e">
        <f t="shared" si="177"/>
        <v>#REF!</v>
      </c>
      <c r="BC277" s="263" t="e">
        <f t="shared" si="178"/>
        <v>#REF!</v>
      </c>
      <c r="BD277" s="263" t="e">
        <f t="shared" si="179"/>
        <v>#REF!</v>
      </c>
      <c r="BE277" s="263" t="e">
        <f>BC277+AV277+#REF!+AH277+AA277</f>
        <v>#REF!</v>
      </c>
      <c r="BF277" s="263" t="e">
        <f t="shared" si="180"/>
        <v>#REF!</v>
      </c>
      <c r="BG277" s="263" t="e">
        <f t="shared" si="181"/>
        <v>#REF!</v>
      </c>
    </row>
    <row r="278" spans="1:59" ht="15.75">
      <c r="A278" s="338">
        <v>21</v>
      </c>
      <c r="B278" s="338" t="s">
        <v>1</v>
      </c>
      <c r="C278" s="258">
        <v>33</v>
      </c>
      <c r="D278" s="328" t="s">
        <v>59</v>
      </c>
      <c r="E278" s="258" t="s">
        <v>48</v>
      </c>
      <c r="F278" s="431">
        <v>1</v>
      </c>
      <c r="G278" s="259">
        <f t="shared" si="182"/>
        <v>121176</v>
      </c>
      <c r="H278" s="259">
        <f t="shared" si="183"/>
        <v>34597</v>
      </c>
      <c r="I278" s="259">
        <f t="shared" si="184"/>
        <v>155773</v>
      </c>
      <c r="J278" s="260">
        <f t="shared" si="185"/>
        <v>34292808</v>
      </c>
      <c r="K278" s="260">
        <f t="shared" si="186"/>
        <v>9790951</v>
      </c>
      <c r="L278" s="260">
        <f t="shared" si="187"/>
        <v>44083759</v>
      </c>
      <c r="M278" s="432">
        <v>1</v>
      </c>
      <c r="N278" s="348">
        <f t="shared" si="188"/>
        <v>105372</v>
      </c>
      <c r="O278" s="348">
        <f t="shared" si="189"/>
        <v>16192</v>
      </c>
      <c r="P278" s="348">
        <f t="shared" si="190"/>
        <v>121564</v>
      </c>
      <c r="Q278" s="349">
        <f t="shared" si="191"/>
        <v>29820276</v>
      </c>
      <c r="R278" s="349">
        <f t="shared" si="192"/>
        <v>4582336</v>
      </c>
      <c r="S278" s="349">
        <f t="shared" si="193"/>
        <v>34402612</v>
      </c>
      <c r="T278" s="431">
        <v>1</v>
      </c>
      <c r="U278" s="259">
        <f t="shared" si="194"/>
        <v>103482</v>
      </c>
      <c r="V278" s="259">
        <f t="shared" si="195"/>
        <v>25323</v>
      </c>
      <c r="W278" s="259">
        <f t="shared" si="196"/>
        <v>128805</v>
      </c>
      <c r="X278" s="260">
        <f t="shared" si="197"/>
        <v>29285406</v>
      </c>
      <c r="Y278" s="260">
        <f t="shared" si="198"/>
        <v>7166409</v>
      </c>
      <c r="Z278" s="260">
        <f t="shared" si="199"/>
        <v>36451815</v>
      </c>
      <c r="AA278" s="258">
        <v>1</v>
      </c>
      <c r="AB278" s="261">
        <f t="shared" si="200"/>
        <v>2034</v>
      </c>
      <c r="AC278" s="261">
        <v>0</v>
      </c>
      <c r="AD278" s="261">
        <f t="shared" si="201"/>
        <v>2034</v>
      </c>
      <c r="AE278" s="262">
        <f t="shared" si="202"/>
        <v>575622</v>
      </c>
      <c r="AF278" s="262">
        <v>0</v>
      </c>
      <c r="AG278" s="262">
        <f t="shared" si="203"/>
        <v>575622</v>
      </c>
      <c r="AH278" s="353">
        <v>1</v>
      </c>
      <c r="AI278" s="259">
        <f t="shared" si="204"/>
        <v>1998</v>
      </c>
      <c r="AJ278" s="259">
        <v>0</v>
      </c>
      <c r="AK278" s="259">
        <f t="shared" si="205"/>
        <v>1998</v>
      </c>
      <c r="AL278" s="260">
        <f t="shared" si="206"/>
        <v>565434</v>
      </c>
      <c r="AM278" s="260">
        <v>0</v>
      </c>
      <c r="AN278" s="260">
        <f t="shared" si="207"/>
        <v>565434</v>
      </c>
      <c r="AO278" s="457">
        <f t="shared" si="208"/>
        <v>410174</v>
      </c>
      <c r="AP278" s="456">
        <f t="shared" si="209"/>
        <v>116079242</v>
      </c>
      <c r="AQ278" s="263" t="e">
        <f>#REF!+AH278+AA278+T278+M278</f>
        <v>#REF!</v>
      </c>
      <c r="AR278" s="263">
        <f t="shared" si="168"/>
        <v>116292128</v>
      </c>
      <c r="AS278" s="263" t="e">
        <f t="shared" si="169"/>
        <v>#REF!</v>
      </c>
      <c r="AT278" s="263">
        <f t="shared" si="170"/>
        <v>116546529</v>
      </c>
      <c r="AU278" s="263" t="e">
        <f t="shared" si="171"/>
        <v>#REF!</v>
      </c>
      <c r="AV278" s="263">
        <f t="shared" si="172"/>
        <v>128295274</v>
      </c>
      <c r="AW278" s="263" t="e">
        <f t="shared" si="173"/>
        <v>#REF!</v>
      </c>
      <c r="AX278" s="263" t="e">
        <f>AV278+#REF!+AH278+AA278+T278</f>
        <v>#REF!</v>
      </c>
      <c r="AY278" s="263" t="e">
        <f t="shared" si="174"/>
        <v>#REF!</v>
      </c>
      <c r="AZ278" s="263" t="e">
        <f t="shared" si="175"/>
        <v>#REF!</v>
      </c>
      <c r="BA278" s="263" t="e">
        <f t="shared" si="176"/>
        <v>#REF!</v>
      </c>
      <c r="BB278" s="263" t="e">
        <f t="shared" si="177"/>
        <v>#REF!</v>
      </c>
      <c r="BC278" s="263" t="e">
        <f t="shared" si="178"/>
        <v>#REF!</v>
      </c>
      <c r="BD278" s="263" t="e">
        <f t="shared" si="179"/>
        <v>#REF!</v>
      </c>
      <c r="BE278" s="263" t="e">
        <f>BC278+AV278+#REF!+AH278+AA278</f>
        <v>#REF!</v>
      </c>
      <c r="BF278" s="263" t="e">
        <f t="shared" si="180"/>
        <v>#REF!</v>
      </c>
      <c r="BG278" s="263" t="e">
        <f t="shared" si="181"/>
        <v>#REF!</v>
      </c>
    </row>
    <row r="279" spans="1:59" ht="15.75">
      <c r="A279" s="338">
        <v>21</v>
      </c>
      <c r="B279" s="338" t="s">
        <v>1</v>
      </c>
      <c r="C279" s="258">
        <v>36</v>
      </c>
      <c r="D279" s="328" t="s">
        <v>1340</v>
      </c>
      <c r="E279" s="258" t="s">
        <v>9</v>
      </c>
      <c r="F279" s="431">
        <f t="array" ref="F279">MAX((IF(MNU_CODIGO_ALIMENTO_ENTREGA=CONCATENATE($C279,"_","P_"),MNU_GRAMAJE_REQUERIDO_TIPOA,"")))</f>
        <v>20</v>
      </c>
      <c r="G279" s="259">
        <f t="shared" si="182"/>
        <v>31416</v>
      </c>
      <c r="H279" s="259">
        <f t="shared" si="183"/>
        <v>9544</v>
      </c>
      <c r="I279" s="259">
        <f t="shared" si="184"/>
        <v>40960</v>
      </c>
      <c r="J279" s="260">
        <f t="shared" si="185"/>
        <v>4146912</v>
      </c>
      <c r="K279" s="260">
        <f t="shared" si="186"/>
        <v>1259808</v>
      </c>
      <c r="L279" s="260">
        <f t="shared" si="187"/>
        <v>5406720</v>
      </c>
      <c r="M279" s="432">
        <f t="array" ref="M279">MAX((IF(MNU_CODIGO_ALIMENTO_ENTREGA=CONCATENATE($C279,"_","P_"),MNU_GRAMAJE_REQUERIDO_TIPOB,"")))</f>
        <v>40</v>
      </c>
      <c r="N279" s="348">
        <f t="shared" si="188"/>
        <v>40978</v>
      </c>
      <c r="O279" s="348">
        <f t="shared" si="189"/>
        <v>5632</v>
      </c>
      <c r="P279" s="348">
        <f t="shared" si="190"/>
        <v>46610</v>
      </c>
      <c r="Q279" s="349">
        <f t="shared" si="191"/>
        <v>10859170</v>
      </c>
      <c r="R279" s="349">
        <f t="shared" si="192"/>
        <v>1492480</v>
      </c>
      <c r="S279" s="349">
        <f t="shared" si="193"/>
        <v>12351650</v>
      </c>
      <c r="T279" s="353">
        <f t="array" ref="T279">MAX((IF(MNU_CODIGO_ALIMENTO_ENTREGA=CONCATENATE($C279,"_","P_"),MNU_GRAMAJE_REQUERIDO_TIPOC,"")))</f>
        <v>40</v>
      </c>
      <c r="U279" s="259">
        <f t="shared" si="194"/>
        <v>40243</v>
      </c>
      <c r="V279" s="259">
        <f t="shared" si="195"/>
        <v>8808</v>
      </c>
      <c r="W279" s="259">
        <f t="shared" si="196"/>
        <v>49051</v>
      </c>
      <c r="X279" s="260">
        <f t="shared" si="197"/>
        <v>10664395</v>
      </c>
      <c r="Y279" s="260">
        <f t="shared" si="198"/>
        <v>2334120</v>
      </c>
      <c r="Z279" s="260">
        <f t="shared" si="199"/>
        <v>12998515</v>
      </c>
      <c r="AA279" s="258">
        <f t="array" ref="AA279">MAX((IF(MNU_CODIGO_ALIMENTO_ENTREGA=CONCATENATE($C279,"_","P_"),MNU_GRAMAJE_REQUERIDO_TIPOM,"")))</f>
        <v>40</v>
      </c>
      <c r="AB279" s="261">
        <f t="shared" si="200"/>
        <v>791</v>
      </c>
      <c r="AC279" s="261">
        <v>0</v>
      </c>
      <c r="AD279" s="261">
        <f t="shared" si="201"/>
        <v>791</v>
      </c>
      <c r="AE279" s="262">
        <f t="shared" si="202"/>
        <v>209615</v>
      </c>
      <c r="AF279" s="262">
        <v>0</v>
      </c>
      <c r="AG279" s="262">
        <f t="shared" si="203"/>
        <v>209615</v>
      </c>
      <c r="AH279" s="353">
        <f t="array" ref="AH279">MAX((IF(MNU_CODIGO_ALIMENTO_ENTREGA=CONCATENATE($C279,"_","P_"),MNU_GRAMAJE_REQUERIDO_TIPOH,"")))</f>
        <v>40</v>
      </c>
      <c r="AI279" s="259">
        <f t="shared" si="204"/>
        <v>777</v>
      </c>
      <c r="AJ279" s="259">
        <v>0</v>
      </c>
      <c r="AK279" s="259">
        <f t="shared" si="205"/>
        <v>777</v>
      </c>
      <c r="AL279" s="260">
        <f t="shared" si="206"/>
        <v>205905</v>
      </c>
      <c r="AM279" s="260">
        <v>0</v>
      </c>
      <c r="AN279" s="260">
        <f t="shared" si="207"/>
        <v>205905</v>
      </c>
      <c r="AO279" s="457">
        <f t="shared" si="208"/>
        <v>138189</v>
      </c>
      <c r="AP279" s="456">
        <f t="shared" si="209"/>
        <v>31172405</v>
      </c>
      <c r="AQ279" s="263" t="e">
        <f>#REF!+AH279+AA279+T279+M279</f>
        <v>#REF!</v>
      </c>
      <c r="AR279" s="263">
        <f t="shared" si="168"/>
        <v>31255194</v>
      </c>
      <c r="AS279" s="263" t="e">
        <f t="shared" si="169"/>
        <v>#REF!</v>
      </c>
      <c r="AT279" s="263">
        <f t="shared" si="170"/>
        <v>31352423</v>
      </c>
      <c r="AU279" s="263" t="e">
        <f t="shared" si="171"/>
        <v>#REF!</v>
      </c>
      <c r="AV279" s="263">
        <f t="shared" si="172"/>
        <v>35179023</v>
      </c>
      <c r="AW279" s="263" t="e">
        <f t="shared" si="173"/>
        <v>#REF!</v>
      </c>
      <c r="AX279" s="263" t="e">
        <f>AV279+#REF!+AH279+AA279+T279</f>
        <v>#REF!</v>
      </c>
      <c r="AY279" s="263" t="e">
        <f t="shared" si="174"/>
        <v>#REF!</v>
      </c>
      <c r="AZ279" s="263" t="e">
        <f t="shared" si="175"/>
        <v>#REF!</v>
      </c>
      <c r="BA279" s="263" t="e">
        <f t="shared" si="176"/>
        <v>#REF!</v>
      </c>
      <c r="BB279" s="263" t="e">
        <f t="shared" si="177"/>
        <v>#REF!</v>
      </c>
      <c r="BC279" s="263" t="e">
        <f t="shared" si="178"/>
        <v>#REF!</v>
      </c>
      <c r="BD279" s="263" t="e">
        <f t="shared" si="179"/>
        <v>#REF!</v>
      </c>
      <c r="BE279" s="263" t="e">
        <f>BC279+AV279+#REF!+AH279+AA279</f>
        <v>#REF!</v>
      </c>
      <c r="BF279" s="263" t="e">
        <f t="shared" si="180"/>
        <v>#REF!</v>
      </c>
      <c r="BG279" s="263" t="e">
        <f t="shared" si="181"/>
        <v>#REF!</v>
      </c>
    </row>
    <row r="280" spans="1:59" ht="15.75">
      <c r="A280" s="338">
        <v>21</v>
      </c>
      <c r="B280" s="338" t="s">
        <v>1</v>
      </c>
      <c r="C280" s="258">
        <v>42</v>
      </c>
      <c r="D280" s="328" t="s">
        <v>61</v>
      </c>
      <c r="E280" s="258" t="s">
        <v>9</v>
      </c>
      <c r="F280" s="431">
        <f t="array" ref="F280">MAX((IF(MNU_CODIGO_ALIMENTO_ENTREGA=CONCATENATE($C280,"_","P_"),MNU_GRAMAJE_REQUERIDO_TIPOA,"")))</f>
        <v>100</v>
      </c>
      <c r="G280" s="259">
        <f t="shared" si="182"/>
        <v>103224</v>
      </c>
      <c r="H280" s="259">
        <f t="shared" si="183"/>
        <v>42948</v>
      </c>
      <c r="I280" s="259">
        <f t="shared" si="184"/>
        <v>146172</v>
      </c>
      <c r="J280" s="260">
        <f t="shared" si="185"/>
        <v>21057696</v>
      </c>
      <c r="K280" s="260">
        <f t="shared" si="186"/>
        <v>8761392</v>
      </c>
      <c r="L280" s="260">
        <f t="shared" si="187"/>
        <v>29819088</v>
      </c>
      <c r="M280" s="432">
        <f t="array" ref="M280">MAX((IF(MNU_CODIGO_ALIMENTO_ENTREGA=CONCATENATE($C280,"_","P_"),MNU_GRAMAJE_REQUERIDO_TIPOB,"")))</f>
        <v>100</v>
      </c>
      <c r="N280" s="348">
        <f t="shared" si="188"/>
        <v>111226</v>
      </c>
      <c r="O280" s="348">
        <f t="shared" si="189"/>
        <v>13376</v>
      </c>
      <c r="P280" s="348">
        <f t="shared" si="190"/>
        <v>124602</v>
      </c>
      <c r="Q280" s="349">
        <f t="shared" si="191"/>
        <v>22690104</v>
      </c>
      <c r="R280" s="349">
        <f t="shared" si="192"/>
        <v>2728704</v>
      </c>
      <c r="S280" s="349">
        <f t="shared" si="193"/>
        <v>25418808</v>
      </c>
      <c r="T280" s="353">
        <f t="array" ref="T280">MAX((IF(MNU_CODIGO_ALIMENTO_ENTREGA=CONCATENATE($C280,"_","P_"),MNU_GRAMAJE_REQUERIDO_TIPOC,"")))</f>
        <v>100</v>
      </c>
      <c r="U280" s="259">
        <f t="shared" si="194"/>
        <v>109231</v>
      </c>
      <c r="V280" s="259">
        <f t="shared" si="195"/>
        <v>20919</v>
      </c>
      <c r="W280" s="259">
        <f t="shared" si="196"/>
        <v>130150</v>
      </c>
      <c r="X280" s="260">
        <f t="shared" si="197"/>
        <v>22283124</v>
      </c>
      <c r="Y280" s="260">
        <f t="shared" si="198"/>
        <v>4267476</v>
      </c>
      <c r="Z280" s="260">
        <f t="shared" si="199"/>
        <v>26550600</v>
      </c>
      <c r="AA280" s="258">
        <f t="array" ref="AA280">MAX((IF(MNU_CODIGO_ALIMENTO_ENTREGA=CONCATENATE($C280,"_","P_"),MNU_GRAMAJE_REQUERIDO_TIPOM,"")))</f>
        <v>100</v>
      </c>
      <c r="AB280" s="261">
        <f t="shared" si="200"/>
        <v>2147</v>
      </c>
      <c r="AC280" s="261">
        <v>0</v>
      </c>
      <c r="AD280" s="261">
        <f t="shared" si="201"/>
        <v>2147</v>
      </c>
      <c r="AE280" s="262">
        <f t="shared" si="202"/>
        <v>437988</v>
      </c>
      <c r="AF280" s="262">
        <v>0</v>
      </c>
      <c r="AG280" s="262">
        <f t="shared" si="203"/>
        <v>437988</v>
      </c>
      <c r="AH280" s="353">
        <f t="array" ref="AH280">MAX((IF(MNU_CODIGO_ALIMENTO_ENTREGA=CONCATENATE($C280,"_","P_"),MNU_GRAMAJE_REQUERIDO_TIPOH,"")))</f>
        <v>100</v>
      </c>
      <c r="AI280" s="259">
        <f t="shared" si="204"/>
        <v>2109</v>
      </c>
      <c r="AJ280" s="259">
        <v>0</v>
      </c>
      <c r="AK280" s="259">
        <f t="shared" si="205"/>
        <v>2109</v>
      </c>
      <c r="AL280" s="260">
        <f t="shared" si="206"/>
        <v>430236</v>
      </c>
      <c r="AM280" s="260">
        <v>0</v>
      </c>
      <c r="AN280" s="260">
        <f t="shared" si="207"/>
        <v>430236</v>
      </c>
      <c r="AO280" s="457">
        <f t="shared" si="208"/>
        <v>405180</v>
      </c>
      <c r="AP280" s="456">
        <f t="shared" si="209"/>
        <v>82656720</v>
      </c>
      <c r="AQ280" s="263" t="e">
        <f>#REF!+AH280+AA280+T280+M280</f>
        <v>#REF!</v>
      </c>
      <c r="AR280" s="263">
        <f t="shared" si="168"/>
        <v>82881433</v>
      </c>
      <c r="AS280" s="263" t="e">
        <f t="shared" si="169"/>
        <v>#REF!</v>
      </c>
      <c r="AT280" s="263">
        <f t="shared" si="170"/>
        <v>83140441</v>
      </c>
      <c r="AU280" s="263" t="e">
        <f t="shared" si="171"/>
        <v>#REF!</v>
      </c>
      <c r="AV280" s="263">
        <f t="shared" si="172"/>
        <v>90136621</v>
      </c>
      <c r="AW280" s="263" t="e">
        <f t="shared" si="173"/>
        <v>#REF!</v>
      </c>
      <c r="AX280" s="263" t="e">
        <f>AV280+#REF!+AH280+AA280+T280</f>
        <v>#REF!</v>
      </c>
      <c r="AY280" s="263" t="e">
        <f t="shared" si="174"/>
        <v>#REF!</v>
      </c>
      <c r="AZ280" s="263" t="e">
        <f t="shared" si="175"/>
        <v>#REF!</v>
      </c>
      <c r="BA280" s="263" t="e">
        <f t="shared" si="176"/>
        <v>#REF!</v>
      </c>
      <c r="BB280" s="263" t="e">
        <f t="shared" si="177"/>
        <v>#REF!</v>
      </c>
      <c r="BC280" s="263" t="e">
        <f t="shared" si="178"/>
        <v>#REF!</v>
      </c>
      <c r="BD280" s="263" t="e">
        <f t="shared" si="179"/>
        <v>#REF!</v>
      </c>
      <c r="BE280" s="263" t="e">
        <f>BC280+AV280+#REF!+AH280+AA280</f>
        <v>#REF!</v>
      </c>
      <c r="BF280" s="263" t="e">
        <f t="shared" si="180"/>
        <v>#REF!</v>
      </c>
      <c r="BG280" s="263" t="e">
        <f t="shared" si="181"/>
        <v>#REF!</v>
      </c>
    </row>
    <row r="281" spans="1:59" ht="15.75">
      <c r="A281" s="338">
        <v>21</v>
      </c>
      <c r="B281" s="338" t="s">
        <v>1</v>
      </c>
      <c r="C281" s="258">
        <v>43</v>
      </c>
      <c r="D281" s="328" t="s">
        <v>62</v>
      </c>
      <c r="E281" s="258" t="s">
        <v>9</v>
      </c>
      <c r="F281" s="431">
        <f t="array" ref="F281">MAX((IF(MNU_CODIGO_ALIMENTO_ENTREGA=CONCATENATE($C281,"_","P_"),MNU_GRAMAJE_REQUERIDO_TIPOA,"")))</f>
        <v>100</v>
      </c>
      <c r="G281" s="259">
        <f t="shared" si="182"/>
        <v>107712</v>
      </c>
      <c r="H281" s="259">
        <f t="shared" si="183"/>
        <v>34597</v>
      </c>
      <c r="I281" s="259">
        <f t="shared" si="184"/>
        <v>142309</v>
      </c>
      <c r="J281" s="260">
        <f t="shared" si="185"/>
        <v>19172736</v>
      </c>
      <c r="K281" s="260">
        <f t="shared" si="186"/>
        <v>6158266</v>
      </c>
      <c r="L281" s="260">
        <f t="shared" si="187"/>
        <v>25331002</v>
      </c>
      <c r="M281" s="432">
        <f t="array" ref="M281">MAX((IF(MNU_CODIGO_ALIMENTO_ENTREGA=CONCATENATE($C281,"_","P_"),MNU_GRAMAJE_REQUERIDO_TIPOB,"")))</f>
        <v>100</v>
      </c>
      <c r="N281" s="348">
        <f t="shared" si="188"/>
        <v>99518</v>
      </c>
      <c r="O281" s="348">
        <f t="shared" si="189"/>
        <v>16192</v>
      </c>
      <c r="P281" s="348">
        <f t="shared" si="190"/>
        <v>115710</v>
      </c>
      <c r="Q281" s="349">
        <f t="shared" si="191"/>
        <v>17714204</v>
      </c>
      <c r="R281" s="349">
        <f t="shared" si="192"/>
        <v>2882176</v>
      </c>
      <c r="S281" s="349">
        <f t="shared" si="193"/>
        <v>20596380</v>
      </c>
      <c r="T281" s="353">
        <f t="array" ref="T281">MAX((IF(MNU_CODIGO_ALIMENTO_ENTREGA=CONCATENATE($C281,"_","P_"),MNU_GRAMAJE_REQUERIDO_TIPOC,"")))</f>
        <v>100</v>
      </c>
      <c r="U281" s="259">
        <f t="shared" si="194"/>
        <v>97733</v>
      </c>
      <c r="V281" s="259">
        <f t="shared" si="195"/>
        <v>25323</v>
      </c>
      <c r="W281" s="259">
        <f t="shared" si="196"/>
        <v>123056</v>
      </c>
      <c r="X281" s="260">
        <f t="shared" si="197"/>
        <v>17396474</v>
      </c>
      <c r="Y281" s="260">
        <f t="shared" si="198"/>
        <v>4507494</v>
      </c>
      <c r="Z281" s="260">
        <f t="shared" si="199"/>
        <v>21903968</v>
      </c>
      <c r="AA281" s="258">
        <f t="array" ref="AA281">MAX((IF(MNU_CODIGO_ALIMENTO_ENTREGA=CONCATENATE($C281,"_","P_"),MNU_GRAMAJE_REQUERIDO_TIPOM,"")))</f>
        <v>100</v>
      </c>
      <c r="AB281" s="261">
        <f t="shared" si="200"/>
        <v>1921</v>
      </c>
      <c r="AC281" s="261">
        <v>0</v>
      </c>
      <c r="AD281" s="261">
        <f t="shared" si="201"/>
        <v>1921</v>
      </c>
      <c r="AE281" s="262">
        <f t="shared" si="202"/>
        <v>341938</v>
      </c>
      <c r="AF281" s="262">
        <v>0</v>
      </c>
      <c r="AG281" s="262">
        <f t="shared" si="203"/>
        <v>341938</v>
      </c>
      <c r="AH281" s="353">
        <f t="array" ref="AH281">MAX((IF(MNU_CODIGO_ALIMENTO_ENTREGA=CONCATENATE($C281,"_","P_"),MNU_GRAMAJE_REQUERIDO_TIPOH,"")))</f>
        <v>100</v>
      </c>
      <c r="AI281" s="259">
        <f t="shared" si="204"/>
        <v>1887</v>
      </c>
      <c r="AJ281" s="259">
        <v>0</v>
      </c>
      <c r="AK281" s="259">
        <f t="shared" si="205"/>
        <v>1887</v>
      </c>
      <c r="AL281" s="260">
        <f t="shared" si="206"/>
        <v>335886</v>
      </c>
      <c r="AM281" s="260">
        <v>0</v>
      </c>
      <c r="AN281" s="260">
        <f t="shared" si="207"/>
        <v>335886</v>
      </c>
      <c r="AO281" s="457">
        <f t="shared" si="208"/>
        <v>384883</v>
      </c>
      <c r="AP281" s="456">
        <f t="shared" si="209"/>
        <v>68509174</v>
      </c>
      <c r="AQ281" s="263" t="e">
        <f>#REF!+AH281+AA281+T281+M281</f>
        <v>#REF!</v>
      </c>
      <c r="AR281" s="263">
        <f t="shared" si="168"/>
        <v>68710233</v>
      </c>
      <c r="AS281" s="263" t="e">
        <f t="shared" si="169"/>
        <v>#REF!</v>
      </c>
      <c r="AT281" s="263">
        <f t="shared" si="170"/>
        <v>68952807</v>
      </c>
      <c r="AU281" s="263" t="e">
        <f t="shared" si="171"/>
        <v>#REF!</v>
      </c>
      <c r="AV281" s="263">
        <f t="shared" si="172"/>
        <v>76342477</v>
      </c>
      <c r="AW281" s="263" t="e">
        <f t="shared" si="173"/>
        <v>#REF!</v>
      </c>
      <c r="AX281" s="263" t="e">
        <f>AV281+#REF!+AH281+AA281+T281</f>
        <v>#REF!</v>
      </c>
      <c r="AY281" s="263" t="e">
        <f t="shared" si="174"/>
        <v>#REF!</v>
      </c>
      <c r="AZ281" s="263" t="e">
        <f t="shared" si="175"/>
        <v>#REF!</v>
      </c>
      <c r="BA281" s="263" t="e">
        <f t="shared" si="176"/>
        <v>#REF!</v>
      </c>
      <c r="BB281" s="263" t="e">
        <f t="shared" si="177"/>
        <v>#REF!</v>
      </c>
      <c r="BC281" s="263" t="e">
        <f t="shared" si="178"/>
        <v>#REF!</v>
      </c>
      <c r="BD281" s="263" t="e">
        <f t="shared" si="179"/>
        <v>#REF!</v>
      </c>
      <c r="BE281" s="263" t="e">
        <f>BC281+AV281+#REF!+AH281+AA281</f>
        <v>#REF!</v>
      </c>
      <c r="BF281" s="263" t="e">
        <f t="shared" si="180"/>
        <v>#REF!</v>
      </c>
      <c r="BG281" s="263" t="e">
        <f t="shared" si="181"/>
        <v>#REF!</v>
      </c>
    </row>
    <row r="282" spans="1:59" ht="15.75">
      <c r="A282" s="338">
        <v>21</v>
      </c>
      <c r="B282" s="338" t="s">
        <v>1</v>
      </c>
      <c r="C282" s="258">
        <v>46</v>
      </c>
      <c r="D282" s="328" t="s">
        <v>64</v>
      </c>
      <c r="E282" s="258" t="s">
        <v>9</v>
      </c>
      <c r="F282" s="431">
        <f t="array" ref="F282">MAX((IF(MNU_CODIGO_ALIMENTO_ENTREGA=CONCATENATE($C282,"_","P_"),MNU_GRAMAJE_REQUERIDO_TIPOA,"")))</f>
        <v>100</v>
      </c>
      <c r="G282" s="259">
        <f t="shared" si="182"/>
        <v>134640</v>
      </c>
      <c r="H282" s="259">
        <f t="shared" si="183"/>
        <v>34597</v>
      </c>
      <c r="I282" s="259">
        <f t="shared" si="184"/>
        <v>169237</v>
      </c>
      <c r="J282" s="260">
        <f t="shared" si="185"/>
        <v>56279520</v>
      </c>
      <c r="K282" s="260">
        <f t="shared" si="186"/>
        <v>14461546</v>
      </c>
      <c r="L282" s="260">
        <f t="shared" si="187"/>
        <v>70741066</v>
      </c>
      <c r="M282" s="432">
        <f t="array" ref="M282">MAX((IF(MNU_CODIGO_ALIMENTO_ENTREGA=CONCATENATE($C282,"_","P_"),MNU_GRAMAJE_REQUERIDO_TIPOB,"")))</f>
        <v>100</v>
      </c>
      <c r="N282" s="348">
        <f t="shared" si="188"/>
        <v>122934</v>
      </c>
      <c r="O282" s="348">
        <f t="shared" si="189"/>
        <v>16896</v>
      </c>
      <c r="P282" s="348">
        <f t="shared" si="190"/>
        <v>139830</v>
      </c>
      <c r="Q282" s="349">
        <f t="shared" si="191"/>
        <v>51386412</v>
      </c>
      <c r="R282" s="349">
        <f t="shared" si="192"/>
        <v>7062528</v>
      </c>
      <c r="S282" s="349">
        <f t="shared" si="193"/>
        <v>58448940</v>
      </c>
      <c r="T282" s="353">
        <f t="array" ref="T282">MAX((IF(MNU_CODIGO_ALIMENTO_ENTREGA=CONCATENATE($C282,"_","P_"),MNU_GRAMAJE_REQUERIDO_TIPOC,"")))</f>
        <v>100</v>
      </c>
      <c r="U282" s="259">
        <f t="shared" si="194"/>
        <v>120729</v>
      </c>
      <c r="V282" s="259">
        <f t="shared" si="195"/>
        <v>26424</v>
      </c>
      <c r="W282" s="259">
        <f t="shared" si="196"/>
        <v>147153</v>
      </c>
      <c r="X282" s="260">
        <f t="shared" si="197"/>
        <v>50464722</v>
      </c>
      <c r="Y282" s="260">
        <f t="shared" si="198"/>
        <v>11045232</v>
      </c>
      <c r="Z282" s="260">
        <f t="shared" si="199"/>
        <v>61509954</v>
      </c>
      <c r="AA282" s="258">
        <f t="array" ref="AA282">MAX((IF(MNU_CODIGO_ALIMENTO_ENTREGA=CONCATENATE($C282,"_","P_"),MNU_GRAMAJE_REQUERIDO_TIPOM,"")))</f>
        <v>100</v>
      </c>
      <c r="AB282" s="261">
        <f t="shared" si="200"/>
        <v>2373</v>
      </c>
      <c r="AC282" s="261">
        <v>0</v>
      </c>
      <c r="AD282" s="261">
        <f t="shared" si="201"/>
        <v>2373</v>
      </c>
      <c r="AE282" s="262">
        <f t="shared" si="202"/>
        <v>991914</v>
      </c>
      <c r="AF282" s="262">
        <v>0</v>
      </c>
      <c r="AG282" s="262">
        <f t="shared" si="203"/>
        <v>991914</v>
      </c>
      <c r="AH282" s="353">
        <f t="array" ref="AH282">MAX((IF(MNU_CODIGO_ALIMENTO_ENTREGA=CONCATENATE($C282,"_","P_"),MNU_GRAMAJE_REQUERIDO_TIPOH,"")))</f>
        <v>100</v>
      </c>
      <c r="AI282" s="259">
        <f t="shared" si="204"/>
        <v>2331</v>
      </c>
      <c r="AJ282" s="259">
        <v>0</v>
      </c>
      <c r="AK282" s="259">
        <f t="shared" si="205"/>
        <v>2331</v>
      </c>
      <c r="AL282" s="260">
        <f t="shared" si="206"/>
        <v>974358</v>
      </c>
      <c r="AM282" s="260">
        <v>0</v>
      </c>
      <c r="AN282" s="260">
        <f t="shared" si="207"/>
        <v>974358</v>
      </c>
      <c r="AO282" s="457">
        <f t="shared" si="208"/>
        <v>460924</v>
      </c>
      <c r="AP282" s="456">
        <f t="shared" si="209"/>
        <v>192666232</v>
      </c>
      <c r="AQ282" s="263" t="e">
        <f>#REF!+AH282+AA282+T282+M282</f>
        <v>#REF!</v>
      </c>
      <c r="AR282" s="263">
        <f t="shared" si="168"/>
        <v>192914599</v>
      </c>
      <c r="AS282" s="263" t="e">
        <f t="shared" si="169"/>
        <v>#REF!</v>
      </c>
      <c r="AT282" s="263">
        <f t="shared" si="170"/>
        <v>193206286</v>
      </c>
      <c r="AU282" s="263" t="e">
        <f t="shared" si="171"/>
        <v>#REF!</v>
      </c>
      <c r="AV282" s="263">
        <f t="shared" si="172"/>
        <v>211314046</v>
      </c>
      <c r="AW282" s="263" t="e">
        <f t="shared" si="173"/>
        <v>#REF!</v>
      </c>
      <c r="AX282" s="263" t="e">
        <f>AV282+#REF!+AH282+AA282+T282</f>
        <v>#REF!</v>
      </c>
      <c r="AY282" s="263" t="e">
        <f t="shared" si="174"/>
        <v>#REF!</v>
      </c>
      <c r="AZ282" s="263" t="e">
        <f t="shared" si="175"/>
        <v>#REF!</v>
      </c>
      <c r="BA282" s="263" t="e">
        <f t="shared" si="176"/>
        <v>#REF!</v>
      </c>
      <c r="BB282" s="263" t="e">
        <f t="shared" si="177"/>
        <v>#REF!</v>
      </c>
      <c r="BC282" s="263" t="e">
        <f t="shared" si="178"/>
        <v>#REF!</v>
      </c>
      <c r="BD282" s="263" t="e">
        <f t="shared" si="179"/>
        <v>#REF!</v>
      </c>
      <c r="BE282" s="263" t="e">
        <f>BC282+AV282+#REF!+AH282+AA282</f>
        <v>#REF!</v>
      </c>
      <c r="BF282" s="263" t="e">
        <f t="shared" si="180"/>
        <v>#REF!</v>
      </c>
      <c r="BG282" s="263" t="e">
        <f t="shared" si="181"/>
        <v>#REF!</v>
      </c>
    </row>
    <row r="283" spans="1:59" ht="15.75">
      <c r="A283" s="338">
        <v>21</v>
      </c>
      <c r="B283" s="338" t="s">
        <v>1</v>
      </c>
      <c r="C283" s="258">
        <v>58</v>
      </c>
      <c r="D283" s="328" t="s">
        <v>67</v>
      </c>
      <c r="E283" s="258" t="s">
        <v>9</v>
      </c>
      <c r="F283" s="431">
        <f t="array" ref="F283">MAX((IF(MNU_CODIGO_ALIMENTO_ENTREGA=CONCATENATE($C283,"_","P_"),MNU_GRAMAJE_REQUERIDO_TIPOA,"")))</f>
        <v>100</v>
      </c>
      <c r="G283" s="259">
        <f t="shared" si="182"/>
        <v>107712</v>
      </c>
      <c r="H283" s="259">
        <f t="shared" si="183"/>
        <v>33404</v>
      </c>
      <c r="I283" s="259">
        <f t="shared" si="184"/>
        <v>141116</v>
      </c>
      <c r="J283" s="260">
        <f t="shared" si="185"/>
        <v>17449344</v>
      </c>
      <c r="K283" s="260">
        <f t="shared" si="186"/>
        <v>5411448</v>
      </c>
      <c r="L283" s="260">
        <f t="shared" si="187"/>
        <v>22860792</v>
      </c>
      <c r="M283" s="432">
        <f t="array" ref="M283">MAX((IF(MNU_CODIGO_ALIMENTO_ENTREGA=CONCATENATE($C283,"_","P_"),MNU_GRAMAJE_REQUERIDO_TIPOB,"")))</f>
        <v>100</v>
      </c>
      <c r="N283" s="348">
        <f t="shared" si="188"/>
        <v>134642</v>
      </c>
      <c r="O283" s="348">
        <f t="shared" si="189"/>
        <v>16192</v>
      </c>
      <c r="P283" s="348">
        <f t="shared" si="190"/>
        <v>150834</v>
      </c>
      <c r="Q283" s="349">
        <f t="shared" si="191"/>
        <v>21812004</v>
      </c>
      <c r="R283" s="349">
        <f t="shared" si="192"/>
        <v>2623104</v>
      </c>
      <c r="S283" s="349">
        <f t="shared" si="193"/>
        <v>24435108</v>
      </c>
      <c r="T283" s="353">
        <f t="array" ref="T283">MAX((IF(MNU_CODIGO_ALIMENTO_ENTREGA=CONCATENATE($C283,"_","P_"),MNU_GRAMAJE_REQUERIDO_TIPOC,"")))</f>
        <v>100</v>
      </c>
      <c r="U283" s="259">
        <f t="shared" si="194"/>
        <v>132227</v>
      </c>
      <c r="V283" s="259">
        <f t="shared" si="195"/>
        <v>25323</v>
      </c>
      <c r="W283" s="259">
        <f t="shared" si="196"/>
        <v>157550</v>
      </c>
      <c r="X283" s="260">
        <f t="shared" si="197"/>
        <v>21420774</v>
      </c>
      <c r="Y283" s="260">
        <f t="shared" si="198"/>
        <v>4102326</v>
      </c>
      <c r="Z283" s="260">
        <f t="shared" si="199"/>
        <v>25523100</v>
      </c>
      <c r="AA283" s="258">
        <f t="array" ref="AA283">MAX((IF(MNU_CODIGO_ALIMENTO_ENTREGA=CONCATENATE($C283,"_","P_"),MNU_GRAMAJE_REQUERIDO_TIPOM,"")))</f>
        <v>100</v>
      </c>
      <c r="AB283" s="261">
        <f t="shared" si="200"/>
        <v>2599</v>
      </c>
      <c r="AC283" s="261">
        <v>0</v>
      </c>
      <c r="AD283" s="261">
        <f t="shared" si="201"/>
        <v>2599</v>
      </c>
      <c r="AE283" s="262">
        <f t="shared" si="202"/>
        <v>421038</v>
      </c>
      <c r="AF283" s="262">
        <v>0</v>
      </c>
      <c r="AG283" s="262">
        <f t="shared" si="203"/>
        <v>421038</v>
      </c>
      <c r="AH283" s="353">
        <f t="array" ref="AH283">MAX((IF(MNU_CODIGO_ALIMENTO_ENTREGA=CONCATENATE($C283,"_","P_"),MNU_GRAMAJE_REQUERIDO_TIPOH,"")))</f>
        <v>100</v>
      </c>
      <c r="AI283" s="259">
        <f t="shared" si="204"/>
        <v>2553</v>
      </c>
      <c r="AJ283" s="259">
        <v>0</v>
      </c>
      <c r="AK283" s="259">
        <f t="shared" si="205"/>
        <v>2553</v>
      </c>
      <c r="AL283" s="260">
        <f t="shared" si="206"/>
        <v>413586</v>
      </c>
      <c r="AM283" s="260">
        <v>0</v>
      </c>
      <c r="AN283" s="260">
        <f t="shared" si="207"/>
        <v>413586</v>
      </c>
      <c r="AO283" s="457">
        <f t="shared" si="208"/>
        <v>454652</v>
      </c>
      <c r="AP283" s="456">
        <f t="shared" si="209"/>
        <v>73653624</v>
      </c>
      <c r="AQ283" s="263" t="e">
        <f>#REF!+AH283+AA283+T283+M283</f>
        <v>#REF!</v>
      </c>
      <c r="AR283" s="263">
        <f t="shared" si="168"/>
        <v>73925645</v>
      </c>
      <c r="AS283" s="263" t="e">
        <f t="shared" si="169"/>
        <v>#REF!</v>
      </c>
      <c r="AT283" s="263">
        <f t="shared" si="170"/>
        <v>74239181</v>
      </c>
      <c r="AU283" s="263" t="e">
        <f t="shared" si="171"/>
        <v>#REF!</v>
      </c>
      <c r="AV283" s="263">
        <f t="shared" si="172"/>
        <v>80964611</v>
      </c>
      <c r="AW283" s="263" t="e">
        <f t="shared" si="173"/>
        <v>#REF!</v>
      </c>
      <c r="AX283" s="263" t="e">
        <f>AV283+#REF!+AH283+AA283+T283</f>
        <v>#REF!</v>
      </c>
      <c r="AY283" s="263" t="e">
        <f t="shared" si="174"/>
        <v>#REF!</v>
      </c>
      <c r="AZ283" s="263" t="e">
        <f t="shared" si="175"/>
        <v>#REF!</v>
      </c>
      <c r="BA283" s="263" t="e">
        <f t="shared" si="176"/>
        <v>#REF!</v>
      </c>
      <c r="BB283" s="263" t="e">
        <f t="shared" si="177"/>
        <v>#REF!</v>
      </c>
      <c r="BC283" s="263" t="e">
        <f t="shared" si="178"/>
        <v>#REF!</v>
      </c>
      <c r="BD283" s="263" t="e">
        <f t="shared" si="179"/>
        <v>#REF!</v>
      </c>
      <c r="BE283" s="263" t="e">
        <f>BC283+AV283+#REF!+AH283+AA283</f>
        <v>#REF!</v>
      </c>
      <c r="BF283" s="263" t="e">
        <f t="shared" si="180"/>
        <v>#REF!</v>
      </c>
      <c r="BG283" s="263" t="e">
        <f t="shared" si="181"/>
        <v>#REF!</v>
      </c>
    </row>
    <row r="284" spans="1:59" ht="15.75">
      <c r="A284" s="338">
        <v>21</v>
      </c>
      <c r="B284" s="338" t="s">
        <v>1</v>
      </c>
      <c r="C284" s="258">
        <v>59</v>
      </c>
      <c r="D284" s="328" t="s">
        <v>99</v>
      </c>
      <c r="E284" s="258" t="s">
        <v>9</v>
      </c>
      <c r="F284" s="431">
        <f t="array" ref="F284">MAX((IF(MNU_CODIGO_ALIMENTO_ENTREGA=CONCATENATE($C284,"_","P_"),MNU_GRAMAJE_REQUERIDO_TIPOA,"")))</f>
        <v>0</v>
      </c>
      <c r="G284" s="259">
        <f t="shared" si="182"/>
        <v>0</v>
      </c>
      <c r="H284" s="259">
        <f t="shared" si="183"/>
        <v>0</v>
      </c>
      <c r="I284" s="259">
        <f t="shared" si="184"/>
        <v>0</v>
      </c>
      <c r="J284" s="260">
        <f t="shared" si="185"/>
        <v>0</v>
      </c>
      <c r="K284" s="260">
        <f t="shared" si="186"/>
        <v>0</v>
      </c>
      <c r="L284" s="260">
        <f t="shared" si="187"/>
        <v>0</v>
      </c>
      <c r="M284" s="432">
        <f t="array" ref="M284">MAX((IF(MNU_CODIGO_ALIMENTO_ENTREGA=CONCATENATE($C284,"_","P_"),MNU_GRAMAJE_REQUERIDO_TIPOB,"")))</f>
        <v>100</v>
      </c>
      <c r="N284" s="348">
        <f t="shared" si="188"/>
        <v>46832</v>
      </c>
      <c r="O284" s="348">
        <f t="shared" si="189"/>
        <v>7744</v>
      </c>
      <c r="P284" s="348">
        <f t="shared" si="190"/>
        <v>54576</v>
      </c>
      <c r="Q284" s="349">
        <f t="shared" si="191"/>
        <v>14049600</v>
      </c>
      <c r="R284" s="349">
        <f t="shared" si="192"/>
        <v>2323200</v>
      </c>
      <c r="S284" s="349">
        <f t="shared" si="193"/>
        <v>16372800</v>
      </c>
      <c r="T284" s="353">
        <f t="array" ref="T284">MAX((IF(MNU_CODIGO_ALIMENTO_ENTREGA=CONCATENATE($C284,"_","P_"),MNU_GRAMAJE_REQUERIDO_TIPOC,"")))</f>
        <v>100</v>
      </c>
      <c r="U284" s="259">
        <f t="shared" si="194"/>
        <v>45992</v>
      </c>
      <c r="V284" s="259">
        <f t="shared" si="195"/>
        <v>12111</v>
      </c>
      <c r="W284" s="259">
        <f t="shared" si="196"/>
        <v>58103</v>
      </c>
      <c r="X284" s="260">
        <f t="shared" si="197"/>
        <v>13797600</v>
      </c>
      <c r="Y284" s="260">
        <f t="shared" si="198"/>
        <v>3633300</v>
      </c>
      <c r="Z284" s="260">
        <f t="shared" si="199"/>
        <v>17430900</v>
      </c>
      <c r="AA284" s="258">
        <f t="array" ref="AA284">MAX((IF(MNU_CODIGO_ALIMENTO_ENTREGA=CONCATENATE($C284,"_","P_"),MNU_GRAMAJE_REQUERIDO_TIPOM,"")))</f>
        <v>100</v>
      </c>
      <c r="AB284" s="261">
        <f t="shared" si="200"/>
        <v>904</v>
      </c>
      <c r="AC284" s="261">
        <v>0</v>
      </c>
      <c r="AD284" s="261">
        <f t="shared" si="201"/>
        <v>904</v>
      </c>
      <c r="AE284" s="262">
        <f t="shared" si="202"/>
        <v>271200</v>
      </c>
      <c r="AF284" s="262">
        <v>0</v>
      </c>
      <c r="AG284" s="262">
        <f t="shared" si="203"/>
        <v>271200</v>
      </c>
      <c r="AH284" s="353">
        <f t="array" ref="AH284">MAX((IF(MNU_CODIGO_ALIMENTO_ENTREGA=CONCATENATE($C284,"_","P_"),MNU_GRAMAJE_REQUERIDO_TIPOH,"")))</f>
        <v>100</v>
      </c>
      <c r="AI284" s="259">
        <f t="shared" si="204"/>
        <v>888</v>
      </c>
      <c r="AJ284" s="259">
        <v>0</v>
      </c>
      <c r="AK284" s="259">
        <f t="shared" si="205"/>
        <v>888</v>
      </c>
      <c r="AL284" s="260">
        <f t="shared" si="206"/>
        <v>266400</v>
      </c>
      <c r="AM284" s="260">
        <v>0</v>
      </c>
      <c r="AN284" s="260">
        <f t="shared" si="207"/>
        <v>266400</v>
      </c>
      <c r="AO284" s="457">
        <f t="shared" si="208"/>
        <v>114471</v>
      </c>
      <c r="AP284" s="456">
        <f t="shared" si="209"/>
        <v>34341300</v>
      </c>
      <c r="AQ284" s="263" t="e">
        <f>#REF!+AH284+AA284+T284+M284</f>
        <v>#REF!</v>
      </c>
      <c r="AR284" s="263">
        <f t="shared" si="168"/>
        <v>34435916</v>
      </c>
      <c r="AS284" s="263" t="e">
        <f t="shared" si="169"/>
        <v>#REF!</v>
      </c>
      <c r="AT284" s="263">
        <f t="shared" si="170"/>
        <v>34550387</v>
      </c>
      <c r="AU284" s="263" t="e">
        <f t="shared" si="171"/>
        <v>#REF!</v>
      </c>
      <c r="AV284" s="263">
        <f t="shared" si="172"/>
        <v>40506887</v>
      </c>
      <c r="AW284" s="263" t="e">
        <f t="shared" si="173"/>
        <v>#REF!</v>
      </c>
      <c r="AX284" s="263" t="e">
        <f>AV284+#REF!+AH284+AA284+T284</f>
        <v>#REF!</v>
      </c>
      <c r="AY284" s="263" t="e">
        <f t="shared" si="174"/>
        <v>#REF!</v>
      </c>
      <c r="AZ284" s="263" t="e">
        <f t="shared" si="175"/>
        <v>#REF!</v>
      </c>
      <c r="BA284" s="263" t="e">
        <f t="shared" si="176"/>
        <v>#REF!</v>
      </c>
      <c r="BB284" s="263" t="e">
        <f t="shared" si="177"/>
        <v>#REF!</v>
      </c>
      <c r="BC284" s="263" t="e">
        <f t="shared" si="178"/>
        <v>#REF!</v>
      </c>
      <c r="BD284" s="263" t="e">
        <f t="shared" si="179"/>
        <v>#REF!</v>
      </c>
      <c r="BE284" s="263" t="e">
        <f>BC284+AV284+#REF!+AH284+AA284</f>
        <v>#REF!</v>
      </c>
      <c r="BF284" s="263" t="e">
        <f t="shared" si="180"/>
        <v>#REF!</v>
      </c>
      <c r="BG284" s="263" t="e">
        <f t="shared" si="181"/>
        <v>#REF!</v>
      </c>
    </row>
    <row r="285" spans="1:59" ht="15.75">
      <c r="A285" s="338">
        <v>21</v>
      </c>
      <c r="B285" s="338" t="s">
        <v>1</v>
      </c>
      <c r="C285" s="258">
        <v>69</v>
      </c>
      <c r="D285" s="328" t="s">
        <v>70</v>
      </c>
      <c r="E285" s="258" t="s">
        <v>9</v>
      </c>
      <c r="F285" s="431">
        <f t="array" ref="F285">MAX((IF(MNU_CODIGO_ALIMENTO_ENTREGA=CONCATENATE($C285,"_","P_"),MNU_GRAMAJE_REQUERIDO_TIPOA,"")))</f>
        <v>100</v>
      </c>
      <c r="G285" s="259">
        <f t="shared" si="182"/>
        <v>134640</v>
      </c>
      <c r="H285" s="259">
        <f t="shared" si="183"/>
        <v>21474</v>
      </c>
      <c r="I285" s="259">
        <f t="shared" si="184"/>
        <v>156114</v>
      </c>
      <c r="J285" s="260">
        <f t="shared" si="185"/>
        <v>43084800</v>
      </c>
      <c r="K285" s="260">
        <f t="shared" si="186"/>
        <v>6871680</v>
      </c>
      <c r="L285" s="260">
        <f t="shared" si="187"/>
        <v>49956480</v>
      </c>
      <c r="M285" s="432">
        <f t="array" ref="M285">MAX((IF(MNU_CODIGO_ALIMENTO_ENTREGA=CONCATENATE($C285,"_","P_"),MNU_GRAMAJE_REQUERIDO_TIPOB,"")))</f>
        <v>100</v>
      </c>
      <c r="N285" s="348">
        <f t="shared" si="188"/>
        <v>93664</v>
      </c>
      <c r="O285" s="348">
        <f t="shared" si="189"/>
        <v>8448</v>
      </c>
      <c r="P285" s="348">
        <f t="shared" si="190"/>
        <v>102112</v>
      </c>
      <c r="Q285" s="349">
        <f t="shared" si="191"/>
        <v>29972480</v>
      </c>
      <c r="R285" s="349">
        <f t="shared" si="192"/>
        <v>2703360</v>
      </c>
      <c r="S285" s="349">
        <f t="shared" si="193"/>
        <v>32675840</v>
      </c>
      <c r="T285" s="353">
        <f t="array" ref="T285">MAX((IF(MNU_CODIGO_ALIMENTO_ENTREGA=CONCATENATE($C285,"_","P_"),MNU_GRAMAJE_REQUERIDO_TIPOC,"")))</f>
        <v>100</v>
      </c>
      <c r="U285" s="259">
        <f t="shared" si="194"/>
        <v>91984</v>
      </c>
      <c r="V285" s="259">
        <f t="shared" si="195"/>
        <v>13212</v>
      </c>
      <c r="W285" s="259">
        <f t="shared" si="196"/>
        <v>105196</v>
      </c>
      <c r="X285" s="260">
        <f t="shared" si="197"/>
        <v>29434880</v>
      </c>
      <c r="Y285" s="260">
        <f t="shared" si="198"/>
        <v>4227840</v>
      </c>
      <c r="Z285" s="260">
        <f t="shared" si="199"/>
        <v>33662720</v>
      </c>
      <c r="AA285" s="258">
        <f t="array" ref="AA285">MAX((IF(MNU_CODIGO_ALIMENTO_ENTREGA=CONCATENATE($C285,"_","P_"),MNU_GRAMAJE_REQUERIDO_TIPOM,"")))</f>
        <v>100</v>
      </c>
      <c r="AB285" s="261">
        <f t="shared" si="200"/>
        <v>1808</v>
      </c>
      <c r="AC285" s="261">
        <v>0</v>
      </c>
      <c r="AD285" s="261">
        <f t="shared" si="201"/>
        <v>1808</v>
      </c>
      <c r="AE285" s="262">
        <f t="shared" si="202"/>
        <v>578560</v>
      </c>
      <c r="AF285" s="262">
        <v>0</v>
      </c>
      <c r="AG285" s="262">
        <f t="shared" si="203"/>
        <v>578560</v>
      </c>
      <c r="AH285" s="353">
        <f t="array" ref="AH285">MAX((IF(MNU_CODIGO_ALIMENTO_ENTREGA=CONCATENATE($C285,"_","P_"),MNU_GRAMAJE_REQUERIDO_TIPOH,"")))</f>
        <v>100</v>
      </c>
      <c r="AI285" s="259">
        <f t="shared" si="204"/>
        <v>1776</v>
      </c>
      <c r="AJ285" s="259">
        <v>0</v>
      </c>
      <c r="AK285" s="259">
        <f t="shared" si="205"/>
        <v>1776</v>
      </c>
      <c r="AL285" s="260">
        <f t="shared" si="206"/>
        <v>568320</v>
      </c>
      <c r="AM285" s="260">
        <v>0</v>
      </c>
      <c r="AN285" s="260">
        <f t="shared" si="207"/>
        <v>568320</v>
      </c>
      <c r="AO285" s="457">
        <f t="shared" si="208"/>
        <v>367006</v>
      </c>
      <c r="AP285" s="456">
        <f t="shared" si="209"/>
        <v>117441920</v>
      </c>
      <c r="AQ285" s="263" t="e">
        <f>#REF!+AH285+AA285+T285+M285</f>
        <v>#REF!</v>
      </c>
      <c r="AR285" s="263">
        <f t="shared" si="168"/>
        <v>117631152</v>
      </c>
      <c r="AS285" s="263" t="e">
        <f t="shared" si="169"/>
        <v>#REF!</v>
      </c>
      <c r="AT285" s="263">
        <f t="shared" si="170"/>
        <v>117842044</v>
      </c>
      <c r="AU285" s="263" t="e">
        <f t="shared" si="171"/>
        <v>#REF!</v>
      </c>
      <c r="AV285" s="263">
        <f t="shared" si="172"/>
        <v>124773244</v>
      </c>
      <c r="AW285" s="263" t="e">
        <f t="shared" si="173"/>
        <v>#REF!</v>
      </c>
      <c r="AX285" s="263" t="e">
        <f>AV285+#REF!+AH285+AA285+T285</f>
        <v>#REF!</v>
      </c>
      <c r="AY285" s="263" t="e">
        <f t="shared" si="174"/>
        <v>#REF!</v>
      </c>
      <c r="AZ285" s="263" t="e">
        <f t="shared" si="175"/>
        <v>#REF!</v>
      </c>
      <c r="BA285" s="263" t="e">
        <f t="shared" si="176"/>
        <v>#REF!</v>
      </c>
      <c r="BB285" s="263" t="e">
        <f t="shared" si="177"/>
        <v>#REF!</v>
      </c>
      <c r="BC285" s="263" t="e">
        <f t="shared" si="178"/>
        <v>#REF!</v>
      </c>
      <c r="BD285" s="263" t="e">
        <f t="shared" si="179"/>
        <v>#REF!</v>
      </c>
      <c r="BE285" s="263" t="e">
        <f>BC285+AV285+#REF!+AH285+AA285</f>
        <v>#REF!</v>
      </c>
      <c r="BF285" s="263" t="e">
        <f t="shared" si="180"/>
        <v>#REF!</v>
      </c>
      <c r="BG285" s="263" t="e">
        <f t="shared" si="181"/>
        <v>#REF!</v>
      </c>
    </row>
    <row r="286" spans="1:59" ht="15.75">
      <c r="A286" s="338">
        <v>21</v>
      </c>
      <c r="B286" s="338" t="s">
        <v>1</v>
      </c>
      <c r="C286" s="258">
        <v>70</v>
      </c>
      <c r="D286" s="328" t="s">
        <v>71</v>
      </c>
      <c r="E286" s="258" t="s">
        <v>9</v>
      </c>
      <c r="F286" s="431">
        <f t="array" ref="F286">MAX((IF(MNU_CODIGO_ALIMENTO_ENTREGA=CONCATENATE($C286,"_","P_"),MNU_GRAMAJE_REQUERIDO_TIPOA,"")))</f>
        <v>0</v>
      </c>
      <c r="G286" s="259">
        <f t="shared" si="182"/>
        <v>0</v>
      </c>
      <c r="H286" s="259">
        <f t="shared" si="183"/>
        <v>0</v>
      </c>
      <c r="I286" s="259">
        <f t="shared" si="184"/>
        <v>0</v>
      </c>
      <c r="J286" s="260">
        <f t="shared" si="185"/>
        <v>0</v>
      </c>
      <c r="K286" s="260">
        <f t="shared" si="186"/>
        <v>0</v>
      </c>
      <c r="L286" s="260">
        <f t="shared" si="187"/>
        <v>0</v>
      </c>
      <c r="M286" s="432">
        <f t="array" ref="M286">MAX((IF(MNU_CODIGO_ALIMENTO_ENTREGA=CONCATENATE($C286,"_","P_"),MNU_GRAMAJE_REQUERIDO_TIPOB,"")))</f>
        <v>100</v>
      </c>
      <c r="N286" s="348">
        <f t="shared" si="188"/>
        <v>58540</v>
      </c>
      <c r="O286" s="348">
        <f t="shared" si="189"/>
        <v>5632</v>
      </c>
      <c r="P286" s="348">
        <f t="shared" si="190"/>
        <v>64172</v>
      </c>
      <c r="Q286" s="349">
        <f t="shared" si="191"/>
        <v>26694240</v>
      </c>
      <c r="R286" s="349">
        <f t="shared" si="192"/>
        <v>2568192</v>
      </c>
      <c r="S286" s="349">
        <f t="shared" si="193"/>
        <v>29262432</v>
      </c>
      <c r="T286" s="353">
        <f t="array" ref="T286">MAX((IF(MNU_CODIGO_ALIMENTO_ENTREGA=CONCATENATE($C286,"_","P_"),MNU_GRAMAJE_REQUERIDO_TIPOC,"")))</f>
        <v>100</v>
      </c>
      <c r="U286" s="259">
        <f t="shared" si="194"/>
        <v>57490</v>
      </c>
      <c r="V286" s="259">
        <f t="shared" si="195"/>
        <v>8808</v>
      </c>
      <c r="W286" s="259">
        <f t="shared" si="196"/>
        <v>66298</v>
      </c>
      <c r="X286" s="260">
        <f t="shared" si="197"/>
        <v>26215440</v>
      </c>
      <c r="Y286" s="260">
        <f t="shared" si="198"/>
        <v>4016448</v>
      </c>
      <c r="Z286" s="260">
        <f t="shared" si="199"/>
        <v>30231888</v>
      </c>
      <c r="AA286" s="258">
        <f t="array" ref="AA286">MAX((IF(MNU_CODIGO_ALIMENTO_ENTREGA=CONCATENATE($C286,"_","P_"),MNU_GRAMAJE_REQUERIDO_TIPOM,"")))</f>
        <v>100</v>
      </c>
      <c r="AB286" s="261">
        <f t="shared" si="200"/>
        <v>1130</v>
      </c>
      <c r="AC286" s="261">
        <v>0</v>
      </c>
      <c r="AD286" s="261">
        <f t="shared" si="201"/>
        <v>1130</v>
      </c>
      <c r="AE286" s="262">
        <f t="shared" si="202"/>
        <v>515280</v>
      </c>
      <c r="AF286" s="262">
        <v>0</v>
      </c>
      <c r="AG286" s="262">
        <f t="shared" si="203"/>
        <v>515280</v>
      </c>
      <c r="AH286" s="353">
        <f t="array" ref="AH286">MAX((IF(MNU_CODIGO_ALIMENTO_ENTREGA=CONCATENATE($C286,"_","P_"),MNU_GRAMAJE_REQUERIDO_TIPOH,"")))</f>
        <v>100</v>
      </c>
      <c r="AI286" s="259">
        <f t="shared" si="204"/>
        <v>1110</v>
      </c>
      <c r="AJ286" s="259">
        <v>0</v>
      </c>
      <c r="AK286" s="259">
        <f t="shared" si="205"/>
        <v>1110</v>
      </c>
      <c r="AL286" s="260">
        <f t="shared" si="206"/>
        <v>506160</v>
      </c>
      <c r="AM286" s="260">
        <v>0</v>
      </c>
      <c r="AN286" s="260">
        <f t="shared" si="207"/>
        <v>506160</v>
      </c>
      <c r="AO286" s="457">
        <f t="shared" si="208"/>
        <v>132710</v>
      </c>
      <c r="AP286" s="456">
        <f t="shared" si="209"/>
        <v>60515760</v>
      </c>
      <c r="AQ286" s="263" t="e">
        <f>#REF!+AH286+AA286+T286+M286</f>
        <v>#REF!</v>
      </c>
      <c r="AR286" s="263">
        <f t="shared" si="168"/>
        <v>60634030</v>
      </c>
      <c r="AS286" s="263" t="e">
        <f t="shared" si="169"/>
        <v>#REF!</v>
      </c>
      <c r="AT286" s="263">
        <f t="shared" si="170"/>
        <v>60766740</v>
      </c>
      <c r="AU286" s="263" t="e">
        <f t="shared" si="171"/>
        <v>#REF!</v>
      </c>
      <c r="AV286" s="263">
        <f t="shared" si="172"/>
        <v>67351380</v>
      </c>
      <c r="AW286" s="263" t="e">
        <f t="shared" si="173"/>
        <v>#REF!</v>
      </c>
      <c r="AX286" s="263" t="e">
        <f>AV286+#REF!+AH286+AA286+T286</f>
        <v>#REF!</v>
      </c>
      <c r="AY286" s="263" t="e">
        <f t="shared" si="174"/>
        <v>#REF!</v>
      </c>
      <c r="AZ286" s="263" t="e">
        <f t="shared" si="175"/>
        <v>#REF!</v>
      </c>
      <c r="BA286" s="263" t="e">
        <f t="shared" si="176"/>
        <v>#REF!</v>
      </c>
      <c r="BB286" s="263" t="e">
        <f t="shared" si="177"/>
        <v>#REF!</v>
      </c>
      <c r="BC286" s="263" t="e">
        <f t="shared" si="178"/>
        <v>#REF!</v>
      </c>
      <c r="BD286" s="263" t="e">
        <f t="shared" si="179"/>
        <v>#REF!</v>
      </c>
      <c r="BE286" s="263" t="e">
        <f>BC286+AV286+#REF!+AH286+AA286</f>
        <v>#REF!</v>
      </c>
      <c r="BF286" s="263" t="e">
        <f t="shared" si="180"/>
        <v>#REF!</v>
      </c>
      <c r="BG286" s="263" t="e">
        <f t="shared" si="181"/>
        <v>#REF!</v>
      </c>
    </row>
    <row r="287" spans="1:59" ht="15.75">
      <c r="A287" s="338">
        <v>22</v>
      </c>
      <c r="B287" s="338" t="s">
        <v>1</v>
      </c>
      <c r="C287" s="258">
        <v>7</v>
      </c>
      <c r="D287" s="328" t="s">
        <v>57</v>
      </c>
      <c r="E287" s="258" t="s">
        <v>9</v>
      </c>
      <c r="F287" s="431">
        <f t="array" ref="F287">MAX((IF(MNU_CODIGO_ALIMENTO_ENTREGA=CONCATENATE($C287,"_","P_"),MNU_GRAMAJE_REQUERIDO_TIPOA,"")))</f>
        <v>100</v>
      </c>
      <c r="G287" s="259">
        <f t="shared" si="182"/>
        <v>112508</v>
      </c>
      <c r="H287" s="259">
        <f t="shared" si="183"/>
        <v>34472</v>
      </c>
      <c r="I287" s="259">
        <f t="shared" si="184"/>
        <v>146980</v>
      </c>
      <c r="J287" s="260">
        <f t="shared" si="185"/>
        <v>12600896</v>
      </c>
      <c r="K287" s="260">
        <f t="shared" si="186"/>
        <v>3860864</v>
      </c>
      <c r="L287" s="260">
        <f t="shared" si="187"/>
        <v>16461760</v>
      </c>
      <c r="M287" s="432">
        <f t="array" ref="M287">MAX((IF(MNU_CODIGO_ALIMENTO_ENTREGA=CONCATENATE($C287,"_","P_"),MNU_GRAMAJE_REQUERIDO_TIPOB,"")))</f>
        <v>100</v>
      </c>
      <c r="N287" s="348">
        <f t="shared" si="188"/>
        <v>51975</v>
      </c>
      <c r="O287" s="348">
        <f t="shared" si="189"/>
        <v>13255</v>
      </c>
      <c r="P287" s="348">
        <f t="shared" si="190"/>
        <v>65230</v>
      </c>
      <c r="Q287" s="349">
        <f t="shared" si="191"/>
        <v>5821200</v>
      </c>
      <c r="R287" s="349">
        <f t="shared" si="192"/>
        <v>1484560</v>
      </c>
      <c r="S287" s="349">
        <f t="shared" si="193"/>
        <v>7305760</v>
      </c>
      <c r="T287" s="353">
        <f t="array" ref="T287">MAX((IF(MNU_CODIGO_ALIMENTO_ENTREGA=CONCATENATE($C287,"_","P_"),MNU_GRAMAJE_REQUERIDO_TIPOC,"")))</f>
        <v>100</v>
      </c>
      <c r="U287" s="259">
        <f t="shared" si="194"/>
        <v>51192</v>
      </c>
      <c r="V287" s="259">
        <f t="shared" si="195"/>
        <v>18964</v>
      </c>
      <c r="W287" s="259">
        <f t="shared" si="196"/>
        <v>70156</v>
      </c>
      <c r="X287" s="260">
        <f t="shared" si="197"/>
        <v>5733504</v>
      </c>
      <c r="Y287" s="260">
        <f t="shared" si="198"/>
        <v>2123968</v>
      </c>
      <c r="Z287" s="260">
        <f t="shared" si="199"/>
        <v>7857472</v>
      </c>
      <c r="AA287" s="258">
        <f t="array" ref="AA287">MAX((IF(MNU_CODIGO_ALIMENTO_ENTREGA=CONCATENATE($C287,"_","P_"),MNU_GRAMAJE_REQUERIDO_TIPOM,"")))</f>
        <v>100</v>
      </c>
      <c r="AB287" s="261">
        <f t="shared" si="200"/>
        <v>6705</v>
      </c>
      <c r="AC287" s="261">
        <v>0</v>
      </c>
      <c r="AD287" s="261">
        <f t="shared" si="201"/>
        <v>6705</v>
      </c>
      <c r="AE287" s="262">
        <f t="shared" si="202"/>
        <v>750960</v>
      </c>
      <c r="AF287" s="262">
        <v>0</v>
      </c>
      <c r="AG287" s="262">
        <f t="shared" si="203"/>
        <v>750960</v>
      </c>
      <c r="AH287" s="353">
        <f t="array" ref="AH287">MAX((IF(MNU_CODIGO_ALIMENTO_ENTREGA=CONCATENATE($C287,"_","P_"),MNU_GRAMAJE_REQUERIDO_TIPOH,"")))</f>
        <v>100</v>
      </c>
      <c r="AI287" s="259">
        <f t="shared" si="204"/>
        <v>6273</v>
      </c>
      <c r="AJ287" s="259">
        <v>0</v>
      </c>
      <c r="AK287" s="259">
        <f t="shared" si="205"/>
        <v>6273</v>
      </c>
      <c r="AL287" s="260">
        <f t="shared" si="206"/>
        <v>702576</v>
      </c>
      <c r="AM287" s="260">
        <v>0</v>
      </c>
      <c r="AN287" s="260">
        <f t="shared" si="207"/>
        <v>702576</v>
      </c>
      <c r="AO287" s="457">
        <f t="shared" si="208"/>
        <v>295344</v>
      </c>
      <c r="AP287" s="456">
        <f t="shared" si="209"/>
        <v>33078528</v>
      </c>
      <c r="AQ287" s="263" t="e">
        <f>#REF!+AH287+AA287+T287+M287</f>
        <v>#REF!</v>
      </c>
      <c r="AR287" s="263">
        <f t="shared" si="168"/>
        <v>33194673</v>
      </c>
      <c r="AS287" s="263" t="e">
        <f t="shared" si="169"/>
        <v>#REF!</v>
      </c>
      <c r="AT287" s="263">
        <f t="shared" si="170"/>
        <v>33343037</v>
      </c>
      <c r="AU287" s="263" t="e">
        <f t="shared" si="171"/>
        <v>#REF!</v>
      </c>
      <c r="AV287" s="263">
        <f t="shared" si="172"/>
        <v>36951565</v>
      </c>
      <c r="AW287" s="263" t="e">
        <f t="shared" si="173"/>
        <v>#REF!</v>
      </c>
      <c r="AX287" s="263" t="e">
        <f>AV287+#REF!+AH287+AA287+T287</f>
        <v>#REF!</v>
      </c>
      <c r="AY287" s="263" t="e">
        <f t="shared" si="174"/>
        <v>#REF!</v>
      </c>
      <c r="AZ287" s="263" t="e">
        <f t="shared" si="175"/>
        <v>#REF!</v>
      </c>
      <c r="BA287" s="263" t="e">
        <f t="shared" si="176"/>
        <v>#REF!</v>
      </c>
      <c r="BB287" s="263" t="e">
        <f t="shared" si="177"/>
        <v>#REF!</v>
      </c>
      <c r="BC287" s="263" t="e">
        <f t="shared" si="178"/>
        <v>#REF!</v>
      </c>
      <c r="BD287" s="263" t="e">
        <f t="shared" si="179"/>
        <v>#REF!</v>
      </c>
      <c r="BE287" s="263" t="e">
        <f>BC287+AV287+#REF!+AH287+AA287</f>
        <v>#REF!</v>
      </c>
      <c r="BF287" s="263" t="e">
        <f t="shared" si="180"/>
        <v>#REF!</v>
      </c>
      <c r="BG287" s="263" t="e">
        <f t="shared" si="181"/>
        <v>#REF!</v>
      </c>
    </row>
    <row r="288" spans="1:59" ht="15.75">
      <c r="A288" s="338">
        <v>22</v>
      </c>
      <c r="B288" s="338" t="s">
        <v>1</v>
      </c>
      <c r="C288" s="258">
        <v>8</v>
      </c>
      <c r="D288" s="328" t="s">
        <v>55</v>
      </c>
      <c r="E288" s="258" t="s">
        <v>9</v>
      </c>
      <c r="F288" s="431">
        <f t="array" ref="F288">MAX((IF(MNU_CODIGO_ALIMENTO_ENTREGA=CONCATENATE($C288,"_","P_"),MNU_GRAMAJE_REQUERIDO_TIPOA,"")))</f>
        <v>100</v>
      </c>
      <c r="G288" s="259">
        <f t="shared" si="182"/>
        <v>51140</v>
      </c>
      <c r="H288" s="259">
        <f t="shared" si="183"/>
        <v>12232</v>
      </c>
      <c r="I288" s="259">
        <f t="shared" si="184"/>
        <v>63372</v>
      </c>
      <c r="J288" s="260">
        <f t="shared" si="185"/>
        <v>7210740</v>
      </c>
      <c r="K288" s="260">
        <f t="shared" si="186"/>
        <v>1724712</v>
      </c>
      <c r="L288" s="260">
        <f t="shared" si="187"/>
        <v>8935452</v>
      </c>
      <c r="M288" s="432">
        <f t="array" ref="M288">MAX((IF(MNU_CODIGO_ALIMENTO_ENTREGA=CONCATENATE($C288,"_","P_"),MNU_GRAMAJE_REQUERIDO_TIPOB,"")))</f>
        <v>100</v>
      </c>
      <c r="N288" s="348">
        <f t="shared" si="188"/>
        <v>46200</v>
      </c>
      <c r="O288" s="348">
        <f t="shared" si="189"/>
        <v>13255</v>
      </c>
      <c r="P288" s="348">
        <f t="shared" si="190"/>
        <v>59455</v>
      </c>
      <c r="Q288" s="349">
        <f t="shared" si="191"/>
        <v>6514200</v>
      </c>
      <c r="R288" s="349">
        <f t="shared" si="192"/>
        <v>1868955</v>
      </c>
      <c r="S288" s="349">
        <f t="shared" si="193"/>
        <v>8383155</v>
      </c>
      <c r="T288" s="353">
        <f t="array" ref="T288">MAX((IF(MNU_CODIGO_ALIMENTO_ENTREGA=CONCATENATE($C288,"_","P_"),MNU_GRAMAJE_REQUERIDO_TIPOC,"")))</f>
        <v>100</v>
      </c>
      <c r="U288" s="259">
        <f t="shared" si="194"/>
        <v>45504</v>
      </c>
      <c r="V288" s="259">
        <f t="shared" si="195"/>
        <v>18964</v>
      </c>
      <c r="W288" s="259">
        <f t="shared" si="196"/>
        <v>64468</v>
      </c>
      <c r="X288" s="260">
        <f t="shared" si="197"/>
        <v>6416064</v>
      </c>
      <c r="Y288" s="260">
        <f t="shared" si="198"/>
        <v>2673924</v>
      </c>
      <c r="Z288" s="260">
        <f t="shared" si="199"/>
        <v>9089988</v>
      </c>
      <c r="AA288" s="258">
        <f t="array" ref="AA288">MAX((IF(MNU_CODIGO_ALIMENTO_ENTREGA=CONCATENATE($C288,"_","P_"),MNU_GRAMAJE_REQUERIDO_TIPOM,"")))</f>
        <v>100</v>
      </c>
      <c r="AB288" s="261">
        <f t="shared" si="200"/>
        <v>5960</v>
      </c>
      <c r="AC288" s="261">
        <v>0</v>
      </c>
      <c r="AD288" s="261">
        <f t="shared" si="201"/>
        <v>5960</v>
      </c>
      <c r="AE288" s="262">
        <f t="shared" si="202"/>
        <v>840360</v>
      </c>
      <c r="AF288" s="262">
        <v>0</v>
      </c>
      <c r="AG288" s="262">
        <f t="shared" si="203"/>
        <v>840360</v>
      </c>
      <c r="AH288" s="353">
        <f t="array" ref="AH288">MAX((IF(MNU_CODIGO_ALIMENTO_ENTREGA=CONCATENATE($C288,"_","P_"),MNU_GRAMAJE_REQUERIDO_TIPOH,"")))</f>
        <v>100</v>
      </c>
      <c r="AI288" s="259">
        <f t="shared" si="204"/>
        <v>5576</v>
      </c>
      <c r="AJ288" s="259">
        <v>0</v>
      </c>
      <c r="AK288" s="259">
        <f t="shared" si="205"/>
        <v>5576</v>
      </c>
      <c r="AL288" s="260">
        <f t="shared" si="206"/>
        <v>786216</v>
      </c>
      <c r="AM288" s="260">
        <v>0</v>
      </c>
      <c r="AN288" s="260">
        <f t="shared" si="207"/>
        <v>786216</v>
      </c>
      <c r="AO288" s="457">
        <f t="shared" si="208"/>
        <v>198831</v>
      </c>
      <c r="AP288" s="456">
        <f t="shared" si="209"/>
        <v>28035171</v>
      </c>
      <c r="AQ288" s="263" t="e">
        <f>#REF!+AH288+AA288+T288+M288</f>
        <v>#REF!</v>
      </c>
      <c r="AR288" s="263">
        <f t="shared" si="168"/>
        <v>28138411</v>
      </c>
      <c r="AS288" s="263" t="e">
        <f t="shared" si="169"/>
        <v>#REF!</v>
      </c>
      <c r="AT288" s="263">
        <f t="shared" si="170"/>
        <v>28273870</v>
      </c>
      <c r="AU288" s="263" t="e">
        <f t="shared" si="171"/>
        <v>#REF!</v>
      </c>
      <c r="AV288" s="263">
        <f t="shared" si="172"/>
        <v>32816749</v>
      </c>
      <c r="AW288" s="263" t="e">
        <f t="shared" si="173"/>
        <v>#REF!</v>
      </c>
      <c r="AX288" s="263" t="e">
        <f>AV288+#REF!+AH288+AA288+T288</f>
        <v>#REF!</v>
      </c>
      <c r="AY288" s="263" t="e">
        <f t="shared" si="174"/>
        <v>#REF!</v>
      </c>
      <c r="AZ288" s="263" t="e">
        <f t="shared" si="175"/>
        <v>#REF!</v>
      </c>
      <c r="BA288" s="263" t="e">
        <f t="shared" si="176"/>
        <v>#REF!</v>
      </c>
      <c r="BB288" s="263" t="e">
        <f t="shared" si="177"/>
        <v>#REF!</v>
      </c>
      <c r="BC288" s="263" t="e">
        <f t="shared" si="178"/>
        <v>#REF!</v>
      </c>
      <c r="BD288" s="263" t="e">
        <f t="shared" si="179"/>
        <v>#REF!</v>
      </c>
      <c r="BE288" s="263" t="e">
        <f>BC288+AV288+#REF!+AH288+AA288</f>
        <v>#REF!</v>
      </c>
      <c r="BF288" s="263" t="e">
        <f t="shared" si="180"/>
        <v>#REF!</v>
      </c>
      <c r="BG288" s="263" t="e">
        <f t="shared" si="181"/>
        <v>#REF!</v>
      </c>
    </row>
    <row r="289" spans="1:59" ht="15.75">
      <c r="A289" s="338">
        <v>22</v>
      </c>
      <c r="B289" s="338" t="s">
        <v>1</v>
      </c>
      <c r="C289" s="258">
        <v>17</v>
      </c>
      <c r="D289" s="328" t="s">
        <v>53</v>
      </c>
      <c r="E289" s="258" t="s">
        <v>9</v>
      </c>
      <c r="F289" s="431">
        <f t="array" ref="F289">MAX((IF(MNU_CODIGO_ALIMENTO_ENTREGA=CONCATENATE($C289,"_","P_"),MNU_GRAMAJE_REQUERIDO_TIPOA,"")))</f>
        <v>0</v>
      </c>
      <c r="G289" s="259">
        <f t="shared" si="182"/>
        <v>0</v>
      </c>
      <c r="H289" s="259">
        <f t="shared" si="183"/>
        <v>0</v>
      </c>
      <c r="I289" s="259">
        <f t="shared" si="184"/>
        <v>0</v>
      </c>
      <c r="J289" s="260">
        <f t="shared" si="185"/>
        <v>0</v>
      </c>
      <c r="K289" s="260">
        <f t="shared" si="186"/>
        <v>0</v>
      </c>
      <c r="L289" s="260">
        <f t="shared" si="187"/>
        <v>0</v>
      </c>
      <c r="M289" s="432">
        <f t="array" ref="M289">MAX((IF(MNU_CODIGO_ALIMENTO_ENTREGA=CONCATENATE($C289,"_","P_"),MNU_GRAMAJE_REQUERIDO_TIPOB,"")))</f>
        <v>100</v>
      </c>
      <c r="N289" s="348">
        <f t="shared" si="188"/>
        <v>121275</v>
      </c>
      <c r="O289" s="348">
        <f t="shared" si="189"/>
        <v>27715</v>
      </c>
      <c r="P289" s="348">
        <f t="shared" si="190"/>
        <v>148990</v>
      </c>
      <c r="Q289" s="349">
        <f t="shared" si="191"/>
        <v>28742175</v>
      </c>
      <c r="R289" s="349">
        <f t="shared" si="192"/>
        <v>6568455</v>
      </c>
      <c r="S289" s="349">
        <f t="shared" si="193"/>
        <v>35310630</v>
      </c>
      <c r="T289" s="353">
        <f t="array" ref="T289">MAX((IF(MNU_CODIGO_ALIMENTO_ENTREGA=CONCATENATE($C289,"_","P_"),MNU_GRAMAJE_REQUERIDO_TIPOC,"")))</f>
        <v>100</v>
      </c>
      <c r="U289" s="259">
        <f t="shared" si="194"/>
        <v>119448</v>
      </c>
      <c r="V289" s="259">
        <f t="shared" si="195"/>
        <v>39652</v>
      </c>
      <c r="W289" s="259">
        <f t="shared" si="196"/>
        <v>159100</v>
      </c>
      <c r="X289" s="260">
        <f t="shared" si="197"/>
        <v>28309176</v>
      </c>
      <c r="Y289" s="260">
        <f t="shared" si="198"/>
        <v>9397524</v>
      </c>
      <c r="Z289" s="260">
        <f t="shared" si="199"/>
        <v>37706700</v>
      </c>
      <c r="AA289" s="258">
        <f t="array" ref="AA289">MAX((IF(MNU_CODIGO_ALIMENTO_ENTREGA=CONCATENATE($C289,"_","P_"),MNU_GRAMAJE_REQUERIDO_TIPOM,"")))</f>
        <v>100</v>
      </c>
      <c r="AB289" s="261">
        <f t="shared" si="200"/>
        <v>15645</v>
      </c>
      <c r="AC289" s="261">
        <v>0</v>
      </c>
      <c r="AD289" s="261">
        <f t="shared" si="201"/>
        <v>15645</v>
      </c>
      <c r="AE289" s="262">
        <f t="shared" si="202"/>
        <v>3707865</v>
      </c>
      <c r="AF289" s="262">
        <v>0</v>
      </c>
      <c r="AG289" s="262">
        <f t="shared" si="203"/>
        <v>3707865</v>
      </c>
      <c r="AH289" s="353">
        <f t="array" ref="AH289">MAX((IF(MNU_CODIGO_ALIMENTO_ENTREGA=CONCATENATE($C289,"_","P_"),MNU_GRAMAJE_REQUERIDO_TIPOH,"")))</f>
        <v>100</v>
      </c>
      <c r="AI289" s="259">
        <f t="shared" si="204"/>
        <v>14637</v>
      </c>
      <c r="AJ289" s="259">
        <v>0</v>
      </c>
      <c r="AK289" s="259">
        <f t="shared" si="205"/>
        <v>14637</v>
      </c>
      <c r="AL289" s="260">
        <f t="shared" si="206"/>
        <v>3468969</v>
      </c>
      <c r="AM289" s="260">
        <v>0</v>
      </c>
      <c r="AN289" s="260">
        <f t="shared" si="207"/>
        <v>3468969</v>
      </c>
      <c r="AO289" s="457">
        <f t="shared" si="208"/>
        <v>338372</v>
      </c>
      <c r="AP289" s="456">
        <f t="shared" si="209"/>
        <v>80194164</v>
      </c>
      <c r="AQ289" s="263" t="e">
        <f>#REF!+AH289+AA289+T289+M289</f>
        <v>#REF!</v>
      </c>
      <c r="AR289" s="263">
        <f t="shared" si="168"/>
        <v>80465169</v>
      </c>
      <c r="AS289" s="263" t="e">
        <f t="shared" si="169"/>
        <v>#REF!</v>
      </c>
      <c r="AT289" s="263">
        <f t="shared" si="170"/>
        <v>80803541</v>
      </c>
      <c r="AU289" s="263" t="e">
        <f t="shared" si="171"/>
        <v>#REF!</v>
      </c>
      <c r="AV289" s="263">
        <f t="shared" si="172"/>
        <v>96769520</v>
      </c>
      <c r="AW289" s="263" t="e">
        <f t="shared" si="173"/>
        <v>#REF!</v>
      </c>
      <c r="AX289" s="263" t="e">
        <f>AV289+#REF!+AH289+AA289+T289</f>
        <v>#REF!</v>
      </c>
      <c r="AY289" s="263" t="e">
        <f t="shared" si="174"/>
        <v>#REF!</v>
      </c>
      <c r="AZ289" s="263" t="e">
        <f t="shared" si="175"/>
        <v>#REF!</v>
      </c>
      <c r="BA289" s="263" t="e">
        <f t="shared" si="176"/>
        <v>#REF!</v>
      </c>
      <c r="BB289" s="263" t="e">
        <f t="shared" si="177"/>
        <v>#REF!</v>
      </c>
      <c r="BC289" s="263" t="e">
        <f t="shared" si="178"/>
        <v>#REF!</v>
      </c>
      <c r="BD289" s="263" t="e">
        <f t="shared" si="179"/>
        <v>#REF!</v>
      </c>
      <c r="BE289" s="263" t="e">
        <f>BC289+AV289+#REF!+AH289+AA289</f>
        <v>#REF!</v>
      </c>
      <c r="BF289" s="263" t="e">
        <f t="shared" si="180"/>
        <v>#REF!</v>
      </c>
      <c r="BG289" s="263" t="e">
        <f t="shared" si="181"/>
        <v>#REF!</v>
      </c>
    </row>
    <row r="290" spans="1:59" ht="15.75">
      <c r="A290" s="338">
        <v>22</v>
      </c>
      <c r="B290" s="338" t="s">
        <v>1</v>
      </c>
      <c r="C290" s="258">
        <v>22</v>
      </c>
      <c r="D290" s="328" t="s">
        <v>51</v>
      </c>
      <c r="E290" s="258" t="s">
        <v>9</v>
      </c>
      <c r="F290" s="431">
        <f t="array" ref="F290">MAX((IF(MNU_CODIGO_ALIMENTO_ENTREGA=CONCATENATE($C290,"_","P_"),MNU_GRAMAJE_REQUERIDO_TIPOA,"")))</f>
        <v>0</v>
      </c>
      <c r="G290" s="259">
        <f t="shared" si="182"/>
        <v>0</v>
      </c>
      <c r="H290" s="259">
        <f t="shared" si="183"/>
        <v>0</v>
      </c>
      <c r="I290" s="259">
        <f t="shared" si="184"/>
        <v>0</v>
      </c>
      <c r="J290" s="260">
        <f t="shared" si="185"/>
        <v>0</v>
      </c>
      <c r="K290" s="260">
        <f t="shared" si="186"/>
        <v>0</v>
      </c>
      <c r="L290" s="260">
        <f t="shared" si="187"/>
        <v>0</v>
      </c>
      <c r="M290" s="432">
        <f t="array" ref="M290">MAX((IF(MNU_CODIGO_ALIMENTO_ENTREGA=CONCATENATE($C290,"_","P_"),MNU_GRAMAJE_REQUERIDO_TIPOB,"")))</f>
        <v>100</v>
      </c>
      <c r="N290" s="348">
        <f t="shared" si="188"/>
        <v>115500</v>
      </c>
      <c r="O290" s="348">
        <f t="shared" si="189"/>
        <v>27715</v>
      </c>
      <c r="P290" s="348">
        <f t="shared" si="190"/>
        <v>143215</v>
      </c>
      <c r="Q290" s="349">
        <f t="shared" si="191"/>
        <v>63640500</v>
      </c>
      <c r="R290" s="349">
        <f t="shared" si="192"/>
        <v>15270965</v>
      </c>
      <c r="S290" s="349">
        <f t="shared" si="193"/>
        <v>78911465</v>
      </c>
      <c r="T290" s="353">
        <f t="array" ref="T290">MAX((IF(MNU_CODIGO_ALIMENTO_ENTREGA=CONCATENATE($C290,"_","P_"),MNU_GRAMAJE_REQUERIDO_TIPOC,"")))</f>
        <v>100</v>
      </c>
      <c r="U290" s="259">
        <f t="shared" si="194"/>
        <v>113760</v>
      </c>
      <c r="V290" s="259">
        <f t="shared" si="195"/>
        <v>39652</v>
      </c>
      <c r="W290" s="259">
        <f t="shared" si="196"/>
        <v>153412</v>
      </c>
      <c r="X290" s="260">
        <f t="shared" si="197"/>
        <v>62681760</v>
      </c>
      <c r="Y290" s="260">
        <f t="shared" si="198"/>
        <v>21848252</v>
      </c>
      <c r="Z290" s="260">
        <f t="shared" si="199"/>
        <v>84530012</v>
      </c>
      <c r="AA290" s="258">
        <f t="array" ref="AA290">MAX((IF(MNU_CODIGO_ALIMENTO_ENTREGA=CONCATENATE($C290,"_","P_"),MNU_GRAMAJE_REQUERIDO_TIPOM,"")))</f>
        <v>100</v>
      </c>
      <c r="AB290" s="261">
        <f t="shared" si="200"/>
        <v>14900</v>
      </c>
      <c r="AC290" s="261">
        <v>0</v>
      </c>
      <c r="AD290" s="261">
        <f t="shared" si="201"/>
        <v>14900</v>
      </c>
      <c r="AE290" s="262">
        <f t="shared" si="202"/>
        <v>8209900</v>
      </c>
      <c r="AF290" s="262">
        <v>0</v>
      </c>
      <c r="AG290" s="262">
        <f t="shared" si="203"/>
        <v>8209900</v>
      </c>
      <c r="AH290" s="353">
        <f t="array" ref="AH290">MAX((IF(MNU_CODIGO_ALIMENTO_ENTREGA=CONCATENATE($C290,"_","P_"),MNU_GRAMAJE_REQUERIDO_TIPOH,"")))</f>
        <v>100</v>
      </c>
      <c r="AI290" s="259">
        <f t="shared" si="204"/>
        <v>13940</v>
      </c>
      <c r="AJ290" s="259">
        <v>0</v>
      </c>
      <c r="AK290" s="259">
        <f t="shared" si="205"/>
        <v>13940</v>
      </c>
      <c r="AL290" s="260">
        <f t="shared" si="206"/>
        <v>7680940</v>
      </c>
      <c r="AM290" s="260">
        <v>0</v>
      </c>
      <c r="AN290" s="260">
        <f t="shared" si="207"/>
        <v>7680940</v>
      </c>
      <c r="AO290" s="457">
        <f t="shared" si="208"/>
        <v>325467</v>
      </c>
      <c r="AP290" s="456">
        <f t="shared" si="209"/>
        <v>179332317</v>
      </c>
      <c r="AQ290" s="263" t="e">
        <f>#REF!+AH290+AA290+T290+M290</f>
        <v>#REF!</v>
      </c>
      <c r="AR290" s="263">
        <f t="shared" si="168"/>
        <v>179590417</v>
      </c>
      <c r="AS290" s="263" t="e">
        <f t="shared" si="169"/>
        <v>#REF!</v>
      </c>
      <c r="AT290" s="263">
        <f t="shared" si="170"/>
        <v>179915884</v>
      </c>
      <c r="AU290" s="263" t="e">
        <f t="shared" si="171"/>
        <v>#REF!</v>
      </c>
      <c r="AV290" s="263">
        <f t="shared" si="172"/>
        <v>217035101</v>
      </c>
      <c r="AW290" s="263" t="e">
        <f t="shared" si="173"/>
        <v>#REF!</v>
      </c>
      <c r="AX290" s="263" t="e">
        <f>AV290+#REF!+AH290+AA290+T290</f>
        <v>#REF!</v>
      </c>
      <c r="AY290" s="263" t="e">
        <f t="shared" si="174"/>
        <v>#REF!</v>
      </c>
      <c r="AZ290" s="263" t="e">
        <f t="shared" si="175"/>
        <v>#REF!</v>
      </c>
      <c r="BA290" s="263" t="e">
        <f t="shared" si="176"/>
        <v>#REF!</v>
      </c>
      <c r="BB290" s="263" t="e">
        <f t="shared" si="177"/>
        <v>#REF!</v>
      </c>
      <c r="BC290" s="263" t="e">
        <f t="shared" si="178"/>
        <v>#REF!</v>
      </c>
      <c r="BD290" s="263" t="e">
        <f t="shared" si="179"/>
        <v>#REF!</v>
      </c>
      <c r="BE290" s="263" t="e">
        <f>BC290+AV290+#REF!+AH290+AA290</f>
        <v>#REF!</v>
      </c>
      <c r="BF290" s="263" t="e">
        <f t="shared" si="180"/>
        <v>#REF!</v>
      </c>
      <c r="BG290" s="263" t="e">
        <f t="shared" si="181"/>
        <v>#REF!</v>
      </c>
    </row>
    <row r="291" spans="1:59" ht="15.75">
      <c r="A291" s="338">
        <v>22</v>
      </c>
      <c r="B291" s="338" t="s">
        <v>1</v>
      </c>
      <c r="C291" s="258">
        <v>33</v>
      </c>
      <c r="D291" s="328" t="s">
        <v>59</v>
      </c>
      <c r="E291" s="258" t="s">
        <v>48</v>
      </c>
      <c r="F291" s="431">
        <v>1</v>
      </c>
      <c r="G291" s="259">
        <f t="shared" si="182"/>
        <v>138078</v>
      </c>
      <c r="H291" s="259">
        <f t="shared" si="183"/>
        <v>32248</v>
      </c>
      <c r="I291" s="259">
        <f t="shared" si="184"/>
        <v>170326</v>
      </c>
      <c r="J291" s="260">
        <f t="shared" si="185"/>
        <v>39076074</v>
      </c>
      <c r="K291" s="260">
        <f t="shared" si="186"/>
        <v>9126184</v>
      </c>
      <c r="L291" s="260">
        <f t="shared" si="187"/>
        <v>48202258</v>
      </c>
      <c r="M291" s="432">
        <v>1</v>
      </c>
      <c r="N291" s="348">
        <f t="shared" si="188"/>
        <v>103950</v>
      </c>
      <c r="O291" s="348">
        <f t="shared" si="189"/>
        <v>27715</v>
      </c>
      <c r="P291" s="348">
        <f t="shared" si="190"/>
        <v>131665</v>
      </c>
      <c r="Q291" s="349">
        <f t="shared" si="191"/>
        <v>29417850</v>
      </c>
      <c r="R291" s="349">
        <f t="shared" si="192"/>
        <v>7843345</v>
      </c>
      <c r="S291" s="349">
        <f t="shared" si="193"/>
        <v>37261195</v>
      </c>
      <c r="T291" s="431">
        <v>1</v>
      </c>
      <c r="U291" s="259">
        <f t="shared" si="194"/>
        <v>102384</v>
      </c>
      <c r="V291" s="259">
        <f t="shared" si="195"/>
        <v>39652</v>
      </c>
      <c r="W291" s="259">
        <f t="shared" si="196"/>
        <v>142036</v>
      </c>
      <c r="X291" s="260">
        <f t="shared" si="197"/>
        <v>28974672</v>
      </c>
      <c r="Y291" s="260">
        <f t="shared" si="198"/>
        <v>11221516</v>
      </c>
      <c r="Z291" s="260">
        <f t="shared" si="199"/>
        <v>40196188</v>
      </c>
      <c r="AA291" s="258">
        <v>1</v>
      </c>
      <c r="AB291" s="261">
        <f t="shared" si="200"/>
        <v>13410</v>
      </c>
      <c r="AC291" s="261">
        <v>0</v>
      </c>
      <c r="AD291" s="261">
        <f t="shared" si="201"/>
        <v>13410</v>
      </c>
      <c r="AE291" s="262">
        <f t="shared" si="202"/>
        <v>3795030</v>
      </c>
      <c r="AF291" s="262">
        <v>0</v>
      </c>
      <c r="AG291" s="262">
        <f t="shared" si="203"/>
        <v>3795030</v>
      </c>
      <c r="AH291" s="353">
        <v>1</v>
      </c>
      <c r="AI291" s="259">
        <f t="shared" si="204"/>
        <v>12546</v>
      </c>
      <c r="AJ291" s="259">
        <v>0</v>
      </c>
      <c r="AK291" s="259">
        <f t="shared" si="205"/>
        <v>12546</v>
      </c>
      <c r="AL291" s="260">
        <f t="shared" si="206"/>
        <v>3550518</v>
      </c>
      <c r="AM291" s="260">
        <v>0</v>
      </c>
      <c r="AN291" s="260">
        <f t="shared" si="207"/>
        <v>3550518</v>
      </c>
      <c r="AO291" s="457">
        <f t="shared" si="208"/>
        <v>469983</v>
      </c>
      <c r="AP291" s="456">
        <f t="shared" si="209"/>
        <v>133005189</v>
      </c>
      <c r="AQ291" s="263" t="e">
        <f>#REF!+AH291+AA291+T291+M291</f>
        <v>#REF!</v>
      </c>
      <c r="AR291" s="263">
        <f t="shared" si="168"/>
        <v>133237479</v>
      </c>
      <c r="AS291" s="263" t="e">
        <f t="shared" si="169"/>
        <v>#REF!</v>
      </c>
      <c r="AT291" s="263">
        <f t="shared" si="170"/>
        <v>133537136</v>
      </c>
      <c r="AU291" s="263" t="e">
        <f t="shared" si="171"/>
        <v>#REF!</v>
      </c>
      <c r="AV291" s="263">
        <f t="shared" si="172"/>
        <v>152601997</v>
      </c>
      <c r="AW291" s="263" t="e">
        <f t="shared" si="173"/>
        <v>#REF!</v>
      </c>
      <c r="AX291" s="263" t="e">
        <f>AV291+#REF!+AH291+AA291+T291</f>
        <v>#REF!</v>
      </c>
      <c r="AY291" s="263" t="e">
        <f t="shared" si="174"/>
        <v>#REF!</v>
      </c>
      <c r="AZ291" s="263" t="e">
        <f t="shared" si="175"/>
        <v>#REF!</v>
      </c>
      <c r="BA291" s="263" t="e">
        <f t="shared" si="176"/>
        <v>#REF!</v>
      </c>
      <c r="BB291" s="263" t="e">
        <f t="shared" si="177"/>
        <v>#REF!</v>
      </c>
      <c r="BC291" s="263" t="e">
        <f t="shared" si="178"/>
        <v>#REF!</v>
      </c>
      <c r="BD291" s="263" t="e">
        <f t="shared" si="179"/>
        <v>#REF!</v>
      </c>
      <c r="BE291" s="263" t="e">
        <f>BC291+AV291+#REF!+AH291+AA291</f>
        <v>#REF!</v>
      </c>
      <c r="BF291" s="263" t="e">
        <f t="shared" si="180"/>
        <v>#REF!</v>
      </c>
      <c r="BG291" s="263" t="e">
        <f t="shared" si="181"/>
        <v>#REF!</v>
      </c>
    </row>
    <row r="292" spans="1:59" ht="15.75">
      <c r="A292" s="338">
        <v>22</v>
      </c>
      <c r="B292" s="338" t="s">
        <v>1</v>
      </c>
      <c r="C292" s="258">
        <v>36</v>
      </c>
      <c r="D292" s="328" t="s">
        <v>1340</v>
      </c>
      <c r="E292" s="258" t="s">
        <v>9</v>
      </c>
      <c r="F292" s="431">
        <f t="array" ref="F292">MAX((IF(MNU_CODIGO_ALIMENTO_ENTREGA=CONCATENATE($C292,"_","P_"),MNU_GRAMAJE_REQUERIDO_TIPOA,"")))</f>
        <v>20</v>
      </c>
      <c r="G292" s="259">
        <f t="shared" si="182"/>
        <v>35798</v>
      </c>
      <c r="H292" s="259">
        <f t="shared" si="183"/>
        <v>8896</v>
      </c>
      <c r="I292" s="259">
        <f t="shared" si="184"/>
        <v>44694</v>
      </c>
      <c r="J292" s="260">
        <f t="shared" si="185"/>
        <v>4725336</v>
      </c>
      <c r="K292" s="260">
        <f t="shared" si="186"/>
        <v>1174272</v>
      </c>
      <c r="L292" s="260">
        <f t="shared" si="187"/>
        <v>5899608</v>
      </c>
      <c r="M292" s="432">
        <f t="array" ref="M292">MAX((IF(MNU_CODIGO_ALIMENTO_ENTREGA=CONCATENATE($C292,"_","P_"),MNU_GRAMAJE_REQUERIDO_TIPOB,"")))</f>
        <v>40</v>
      </c>
      <c r="N292" s="348">
        <f t="shared" si="188"/>
        <v>40425</v>
      </c>
      <c r="O292" s="348">
        <f t="shared" si="189"/>
        <v>9640</v>
      </c>
      <c r="P292" s="348">
        <f t="shared" si="190"/>
        <v>50065</v>
      </c>
      <c r="Q292" s="349">
        <f t="shared" si="191"/>
        <v>10712625</v>
      </c>
      <c r="R292" s="349">
        <f t="shared" si="192"/>
        <v>2554600</v>
      </c>
      <c r="S292" s="349">
        <f t="shared" si="193"/>
        <v>13267225</v>
      </c>
      <c r="T292" s="353">
        <f t="array" ref="T292">MAX((IF(MNU_CODIGO_ALIMENTO_ENTREGA=CONCATENATE($C292,"_","P_"),MNU_GRAMAJE_REQUERIDO_TIPOC,"")))</f>
        <v>40</v>
      </c>
      <c r="U292" s="259">
        <f t="shared" si="194"/>
        <v>39816</v>
      </c>
      <c r="V292" s="259">
        <f t="shared" si="195"/>
        <v>13792</v>
      </c>
      <c r="W292" s="259">
        <f t="shared" si="196"/>
        <v>53608</v>
      </c>
      <c r="X292" s="260">
        <f t="shared" si="197"/>
        <v>10551240</v>
      </c>
      <c r="Y292" s="260">
        <f t="shared" si="198"/>
        <v>3654880</v>
      </c>
      <c r="Z292" s="260">
        <f t="shared" si="199"/>
        <v>14206120</v>
      </c>
      <c r="AA292" s="258">
        <f t="array" ref="AA292">MAX((IF(MNU_CODIGO_ALIMENTO_ENTREGA=CONCATENATE($C292,"_","P_"),MNU_GRAMAJE_REQUERIDO_TIPOM,"")))</f>
        <v>40</v>
      </c>
      <c r="AB292" s="261">
        <f t="shared" si="200"/>
        <v>5215</v>
      </c>
      <c r="AC292" s="261">
        <v>0</v>
      </c>
      <c r="AD292" s="261">
        <f t="shared" si="201"/>
        <v>5215</v>
      </c>
      <c r="AE292" s="262">
        <f t="shared" si="202"/>
        <v>1381975</v>
      </c>
      <c r="AF292" s="262">
        <v>0</v>
      </c>
      <c r="AG292" s="262">
        <f t="shared" si="203"/>
        <v>1381975</v>
      </c>
      <c r="AH292" s="353">
        <f t="array" ref="AH292">MAX((IF(MNU_CODIGO_ALIMENTO_ENTREGA=CONCATENATE($C292,"_","P_"),MNU_GRAMAJE_REQUERIDO_TIPOH,"")))</f>
        <v>40</v>
      </c>
      <c r="AI292" s="259">
        <f t="shared" si="204"/>
        <v>4879</v>
      </c>
      <c r="AJ292" s="259">
        <v>0</v>
      </c>
      <c r="AK292" s="259">
        <f t="shared" si="205"/>
        <v>4879</v>
      </c>
      <c r="AL292" s="260">
        <f t="shared" si="206"/>
        <v>1292935</v>
      </c>
      <c r="AM292" s="260">
        <v>0</v>
      </c>
      <c r="AN292" s="260">
        <f t="shared" si="207"/>
        <v>1292935</v>
      </c>
      <c r="AO292" s="457">
        <f t="shared" si="208"/>
        <v>158461</v>
      </c>
      <c r="AP292" s="456">
        <f t="shared" si="209"/>
        <v>36047863</v>
      </c>
      <c r="AQ292" s="263" t="e">
        <f>#REF!+AH292+AA292+T292+M292</f>
        <v>#REF!</v>
      </c>
      <c r="AR292" s="263">
        <f t="shared" si="168"/>
        <v>36138198</v>
      </c>
      <c r="AS292" s="263" t="e">
        <f t="shared" si="169"/>
        <v>#REF!</v>
      </c>
      <c r="AT292" s="263">
        <f t="shared" si="170"/>
        <v>36251965</v>
      </c>
      <c r="AU292" s="263" t="e">
        <f t="shared" si="171"/>
        <v>#REF!</v>
      </c>
      <c r="AV292" s="263">
        <f t="shared" si="172"/>
        <v>42461445</v>
      </c>
      <c r="AW292" s="263" t="e">
        <f t="shared" si="173"/>
        <v>#REF!</v>
      </c>
      <c r="AX292" s="263" t="e">
        <f>AV292+#REF!+AH292+AA292+T292</f>
        <v>#REF!</v>
      </c>
      <c r="AY292" s="263" t="e">
        <f t="shared" si="174"/>
        <v>#REF!</v>
      </c>
      <c r="AZ292" s="263" t="e">
        <f t="shared" si="175"/>
        <v>#REF!</v>
      </c>
      <c r="BA292" s="263" t="e">
        <f t="shared" si="176"/>
        <v>#REF!</v>
      </c>
      <c r="BB292" s="263" t="e">
        <f t="shared" si="177"/>
        <v>#REF!</v>
      </c>
      <c r="BC292" s="263" t="e">
        <f t="shared" si="178"/>
        <v>#REF!</v>
      </c>
      <c r="BD292" s="263" t="e">
        <f t="shared" si="179"/>
        <v>#REF!</v>
      </c>
      <c r="BE292" s="263" t="e">
        <f>BC292+AV292+#REF!+AH292+AA292</f>
        <v>#REF!</v>
      </c>
      <c r="BF292" s="263" t="e">
        <f t="shared" si="180"/>
        <v>#REF!</v>
      </c>
      <c r="BG292" s="263" t="e">
        <f t="shared" si="181"/>
        <v>#REF!</v>
      </c>
    </row>
    <row r="293" spans="1:59" ht="15.75">
      <c r="A293" s="338">
        <v>22</v>
      </c>
      <c r="B293" s="338" t="s">
        <v>1</v>
      </c>
      <c r="C293" s="258">
        <v>42</v>
      </c>
      <c r="D293" s="328" t="s">
        <v>61</v>
      </c>
      <c r="E293" s="258" t="s">
        <v>9</v>
      </c>
      <c r="F293" s="431">
        <f t="array" ref="F293">MAX((IF(MNU_CODIGO_ALIMENTO_ENTREGA=CONCATENATE($C293,"_","P_"),MNU_GRAMAJE_REQUERIDO_TIPOA,"")))</f>
        <v>100</v>
      </c>
      <c r="G293" s="259">
        <f t="shared" si="182"/>
        <v>117622</v>
      </c>
      <c r="H293" s="259">
        <f t="shared" si="183"/>
        <v>40032</v>
      </c>
      <c r="I293" s="259">
        <f t="shared" si="184"/>
        <v>157654</v>
      </c>
      <c r="J293" s="260">
        <f t="shared" si="185"/>
        <v>23994888</v>
      </c>
      <c r="K293" s="260">
        <f t="shared" si="186"/>
        <v>8166528</v>
      </c>
      <c r="L293" s="260">
        <f t="shared" si="187"/>
        <v>32161416</v>
      </c>
      <c r="M293" s="432">
        <f t="array" ref="M293">MAX((IF(MNU_CODIGO_ALIMENTO_ENTREGA=CONCATENATE($C293,"_","P_"),MNU_GRAMAJE_REQUERIDO_TIPOB,"")))</f>
        <v>100</v>
      </c>
      <c r="N293" s="348">
        <f t="shared" si="188"/>
        <v>109725</v>
      </c>
      <c r="O293" s="348">
        <f t="shared" si="189"/>
        <v>22895</v>
      </c>
      <c r="P293" s="348">
        <f t="shared" si="190"/>
        <v>132620</v>
      </c>
      <c r="Q293" s="349">
        <f t="shared" si="191"/>
        <v>22383900</v>
      </c>
      <c r="R293" s="349">
        <f t="shared" si="192"/>
        <v>4670580</v>
      </c>
      <c r="S293" s="349">
        <f t="shared" si="193"/>
        <v>27054480</v>
      </c>
      <c r="T293" s="353">
        <f t="array" ref="T293">MAX((IF(MNU_CODIGO_ALIMENTO_ENTREGA=CONCATENATE($C293,"_","P_"),MNU_GRAMAJE_REQUERIDO_TIPOC,"")))</f>
        <v>100</v>
      </c>
      <c r="U293" s="259">
        <f t="shared" si="194"/>
        <v>108072</v>
      </c>
      <c r="V293" s="259">
        <f t="shared" si="195"/>
        <v>32756</v>
      </c>
      <c r="W293" s="259">
        <f t="shared" si="196"/>
        <v>140828</v>
      </c>
      <c r="X293" s="260">
        <f t="shared" si="197"/>
        <v>22046688</v>
      </c>
      <c r="Y293" s="260">
        <f t="shared" si="198"/>
        <v>6682224</v>
      </c>
      <c r="Z293" s="260">
        <f t="shared" si="199"/>
        <v>28728912</v>
      </c>
      <c r="AA293" s="258">
        <f t="array" ref="AA293">MAX((IF(MNU_CODIGO_ALIMENTO_ENTREGA=CONCATENATE($C293,"_","P_"),MNU_GRAMAJE_REQUERIDO_TIPOM,"")))</f>
        <v>100</v>
      </c>
      <c r="AB293" s="261">
        <f t="shared" si="200"/>
        <v>14155</v>
      </c>
      <c r="AC293" s="261">
        <v>0</v>
      </c>
      <c r="AD293" s="261">
        <f t="shared" si="201"/>
        <v>14155</v>
      </c>
      <c r="AE293" s="262">
        <f t="shared" si="202"/>
        <v>2887620</v>
      </c>
      <c r="AF293" s="262">
        <v>0</v>
      </c>
      <c r="AG293" s="262">
        <f t="shared" si="203"/>
        <v>2887620</v>
      </c>
      <c r="AH293" s="353">
        <f t="array" ref="AH293">MAX((IF(MNU_CODIGO_ALIMENTO_ENTREGA=CONCATENATE($C293,"_","P_"),MNU_GRAMAJE_REQUERIDO_TIPOH,"")))</f>
        <v>100</v>
      </c>
      <c r="AI293" s="259">
        <f t="shared" si="204"/>
        <v>13243</v>
      </c>
      <c r="AJ293" s="259">
        <v>0</v>
      </c>
      <c r="AK293" s="259">
        <f t="shared" si="205"/>
        <v>13243</v>
      </c>
      <c r="AL293" s="260">
        <f t="shared" si="206"/>
        <v>2701572</v>
      </c>
      <c r="AM293" s="260">
        <v>0</v>
      </c>
      <c r="AN293" s="260">
        <f t="shared" si="207"/>
        <v>2701572</v>
      </c>
      <c r="AO293" s="457">
        <f t="shared" si="208"/>
        <v>458500</v>
      </c>
      <c r="AP293" s="456">
        <f t="shared" si="209"/>
        <v>93534000</v>
      </c>
      <c r="AQ293" s="263" t="e">
        <f>#REF!+AH293+AA293+T293+M293</f>
        <v>#REF!</v>
      </c>
      <c r="AR293" s="263">
        <f t="shared" si="168"/>
        <v>93779195</v>
      </c>
      <c r="AS293" s="263" t="e">
        <f t="shared" si="169"/>
        <v>#REF!</v>
      </c>
      <c r="AT293" s="263">
        <f t="shared" si="170"/>
        <v>94080041</v>
      </c>
      <c r="AU293" s="263" t="e">
        <f t="shared" si="171"/>
        <v>#REF!</v>
      </c>
      <c r="AV293" s="263">
        <f t="shared" si="172"/>
        <v>105432845</v>
      </c>
      <c r="AW293" s="263" t="e">
        <f t="shared" si="173"/>
        <v>#REF!</v>
      </c>
      <c r="AX293" s="263" t="e">
        <f>AV293+#REF!+AH293+AA293+T293</f>
        <v>#REF!</v>
      </c>
      <c r="AY293" s="263" t="e">
        <f t="shared" si="174"/>
        <v>#REF!</v>
      </c>
      <c r="AZ293" s="263" t="e">
        <f t="shared" si="175"/>
        <v>#REF!</v>
      </c>
      <c r="BA293" s="263" t="e">
        <f t="shared" si="176"/>
        <v>#REF!</v>
      </c>
      <c r="BB293" s="263" t="e">
        <f t="shared" si="177"/>
        <v>#REF!</v>
      </c>
      <c r="BC293" s="263" t="e">
        <f t="shared" si="178"/>
        <v>#REF!</v>
      </c>
      <c r="BD293" s="263" t="e">
        <f t="shared" si="179"/>
        <v>#REF!</v>
      </c>
      <c r="BE293" s="263" t="e">
        <f>BC293+AV293+#REF!+AH293+AA293</f>
        <v>#REF!</v>
      </c>
      <c r="BF293" s="263" t="e">
        <f t="shared" si="180"/>
        <v>#REF!</v>
      </c>
      <c r="BG293" s="263" t="e">
        <f t="shared" si="181"/>
        <v>#REF!</v>
      </c>
    </row>
    <row r="294" spans="1:59" ht="15.75">
      <c r="A294" s="338">
        <v>22</v>
      </c>
      <c r="B294" s="338" t="s">
        <v>1</v>
      </c>
      <c r="C294" s="258">
        <v>43</v>
      </c>
      <c r="D294" s="328" t="s">
        <v>62</v>
      </c>
      <c r="E294" s="258" t="s">
        <v>9</v>
      </c>
      <c r="F294" s="431">
        <f t="array" ref="F294">MAX((IF(MNU_CODIGO_ALIMENTO_ENTREGA=CONCATENATE($C294,"_","P_"),MNU_GRAMAJE_REQUERIDO_TIPOA,"")))</f>
        <v>100</v>
      </c>
      <c r="G294" s="259">
        <f t="shared" si="182"/>
        <v>122736</v>
      </c>
      <c r="H294" s="259">
        <f t="shared" si="183"/>
        <v>32248</v>
      </c>
      <c r="I294" s="259">
        <f t="shared" si="184"/>
        <v>154984</v>
      </c>
      <c r="J294" s="260">
        <f t="shared" si="185"/>
        <v>21847008</v>
      </c>
      <c r="K294" s="260">
        <f t="shared" si="186"/>
        <v>5740144</v>
      </c>
      <c r="L294" s="260">
        <f t="shared" si="187"/>
        <v>27587152</v>
      </c>
      <c r="M294" s="432">
        <f t="array" ref="M294">MAX((IF(MNU_CODIGO_ALIMENTO_ENTREGA=CONCATENATE($C294,"_","P_"),MNU_GRAMAJE_REQUERIDO_TIPOB,"")))</f>
        <v>100</v>
      </c>
      <c r="N294" s="348">
        <f t="shared" si="188"/>
        <v>98175</v>
      </c>
      <c r="O294" s="348">
        <f t="shared" si="189"/>
        <v>27715</v>
      </c>
      <c r="P294" s="348">
        <f t="shared" si="190"/>
        <v>125890</v>
      </c>
      <c r="Q294" s="349">
        <f t="shared" si="191"/>
        <v>17475150</v>
      </c>
      <c r="R294" s="349">
        <f t="shared" si="192"/>
        <v>4933270</v>
      </c>
      <c r="S294" s="349">
        <f t="shared" si="193"/>
        <v>22408420</v>
      </c>
      <c r="T294" s="353">
        <f t="array" ref="T294">MAX((IF(MNU_CODIGO_ALIMENTO_ENTREGA=CONCATENATE($C294,"_","P_"),MNU_GRAMAJE_REQUERIDO_TIPOC,"")))</f>
        <v>100</v>
      </c>
      <c r="U294" s="259">
        <f t="shared" si="194"/>
        <v>96696</v>
      </c>
      <c r="V294" s="259">
        <f t="shared" si="195"/>
        <v>39652</v>
      </c>
      <c r="W294" s="259">
        <f t="shared" si="196"/>
        <v>136348</v>
      </c>
      <c r="X294" s="260">
        <f t="shared" si="197"/>
        <v>17211888</v>
      </c>
      <c r="Y294" s="260">
        <f t="shared" si="198"/>
        <v>7058056</v>
      </c>
      <c r="Z294" s="260">
        <f t="shared" si="199"/>
        <v>24269944</v>
      </c>
      <c r="AA294" s="258">
        <f t="array" ref="AA294">MAX((IF(MNU_CODIGO_ALIMENTO_ENTREGA=CONCATENATE($C294,"_","P_"),MNU_GRAMAJE_REQUERIDO_TIPOM,"")))</f>
        <v>100</v>
      </c>
      <c r="AB294" s="261">
        <f t="shared" si="200"/>
        <v>12665</v>
      </c>
      <c r="AC294" s="261">
        <v>0</v>
      </c>
      <c r="AD294" s="261">
        <f t="shared" si="201"/>
        <v>12665</v>
      </c>
      <c r="AE294" s="262">
        <f t="shared" si="202"/>
        <v>2254370</v>
      </c>
      <c r="AF294" s="262">
        <v>0</v>
      </c>
      <c r="AG294" s="262">
        <f t="shared" si="203"/>
        <v>2254370</v>
      </c>
      <c r="AH294" s="353">
        <f t="array" ref="AH294">MAX((IF(MNU_CODIGO_ALIMENTO_ENTREGA=CONCATENATE($C294,"_","P_"),MNU_GRAMAJE_REQUERIDO_TIPOH,"")))</f>
        <v>100</v>
      </c>
      <c r="AI294" s="259">
        <f t="shared" si="204"/>
        <v>11849</v>
      </c>
      <c r="AJ294" s="259">
        <v>0</v>
      </c>
      <c r="AK294" s="259">
        <f t="shared" si="205"/>
        <v>11849</v>
      </c>
      <c r="AL294" s="260">
        <f t="shared" si="206"/>
        <v>2109122</v>
      </c>
      <c r="AM294" s="260">
        <v>0</v>
      </c>
      <c r="AN294" s="260">
        <f t="shared" si="207"/>
        <v>2109122</v>
      </c>
      <c r="AO294" s="457">
        <f t="shared" si="208"/>
        <v>441736</v>
      </c>
      <c r="AP294" s="456">
        <f t="shared" si="209"/>
        <v>78629008</v>
      </c>
      <c r="AQ294" s="263" t="e">
        <f>#REF!+AH294+AA294+T294+M294</f>
        <v>#REF!</v>
      </c>
      <c r="AR294" s="263">
        <f t="shared" si="168"/>
        <v>78848393</v>
      </c>
      <c r="AS294" s="263" t="e">
        <f t="shared" si="169"/>
        <v>#REF!</v>
      </c>
      <c r="AT294" s="263">
        <f t="shared" si="170"/>
        <v>79135145</v>
      </c>
      <c r="AU294" s="263" t="e">
        <f t="shared" si="171"/>
        <v>#REF!</v>
      </c>
      <c r="AV294" s="263">
        <f t="shared" si="172"/>
        <v>91126471</v>
      </c>
      <c r="AW294" s="263" t="e">
        <f t="shared" si="173"/>
        <v>#REF!</v>
      </c>
      <c r="AX294" s="263" t="e">
        <f>AV294+#REF!+AH294+AA294+T294</f>
        <v>#REF!</v>
      </c>
      <c r="AY294" s="263" t="e">
        <f t="shared" si="174"/>
        <v>#REF!</v>
      </c>
      <c r="AZ294" s="263" t="e">
        <f t="shared" si="175"/>
        <v>#REF!</v>
      </c>
      <c r="BA294" s="263" t="e">
        <f t="shared" si="176"/>
        <v>#REF!</v>
      </c>
      <c r="BB294" s="263" t="e">
        <f t="shared" si="177"/>
        <v>#REF!</v>
      </c>
      <c r="BC294" s="263" t="e">
        <f t="shared" si="178"/>
        <v>#REF!</v>
      </c>
      <c r="BD294" s="263" t="e">
        <f t="shared" si="179"/>
        <v>#REF!</v>
      </c>
      <c r="BE294" s="263" t="e">
        <f>BC294+AV294+#REF!+AH294+AA294</f>
        <v>#REF!</v>
      </c>
      <c r="BF294" s="263" t="e">
        <f t="shared" si="180"/>
        <v>#REF!</v>
      </c>
      <c r="BG294" s="263" t="e">
        <f t="shared" si="181"/>
        <v>#REF!</v>
      </c>
    </row>
    <row r="295" spans="1:59" ht="15.75">
      <c r="A295" s="338">
        <v>22</v>
      </c>
      <c r="B295" s="338" t="s">
        <v>1</v>
      </c>
      <c r="C295" s="258">
        <v>46</v>
      </c>
      <c r="D295" s="328" t="s">
        <v>64</v>
      </c>
      <c r="E295" s="258" t="s">
        <v>9</v>
      </c>
      <c r="F295" s="431">
        <f t="array" ref="F295">MAX((IF(MNU_CODIGO_ALIMENTO_ENTREGA=CONCATENATE($C295,"_","P_"),MNU_GRAMAJE_REQUERIDO_TIPOA,"")))</f>
        <v>100</v>
      </c>
      <c r="G295" s="259">
        <f t="shared" si="182"/>
        <v>153420</v>
      </c>
      <c r="H295" s="259">
        <f t="shared" si="183"/>
        <v>32248</v>
      </c>
      <c r="I295" s="259">
        <f t="shared" si="184"/>
        <v>185668</v>
      </c>
      <c r="J295" s="260">
        <f t="shared" si="185"/>
        <v>64129560</v>
      </c>
      <c r="K295" s="260">
        <f t="shared" si="186"/>
        <v>13479664</v>
      </c>
      <c r="L295" s="260">
        <f t="shared" si="187"/>
        <v>77609224</v>
      </c>
      <c r="M295" s="432">
        <f t="array" ref="M295">MAX((IF(MNU_CODIGO_ALIMENTO_ENTREGA=CONCATENATE($C295,"_","P_"),MNU_GRAMAJE_REQUERIDO_TIPOB,"")))</f>
        <v>100</v>
      </c>
      <c r="N295" s="348">
        <f t="shared" si="188"/>
        <v>121275</v>
      </c>
      <c r="O295" s="348">
        <f t="shared" si="189"/>
        <v>28920</v>
      </c>
      <c r="P295" s="348">
        <f t="shared" si="190"/>
        <v>150195</v>
      </c>
      <c r="Q295" s="349">
        <f t="shared" si="191"/>
        <v>50692950</v>
      </c>
      <c r="R295" s="349">
        <f t="shared" si="192"/>
        <v>12088560</v>
      </c>
      <c r="S295" s="349">
        <f t="shared" si="193"/>
        <v>62781510</v>
      </c>
      <c r="T295" s="353">
        <f t="array" ref="T295">MAX((IF(MNU_CODIGO_ALIMENTO_ENTREGA=CONCATENATE($C295,"_","P_"),MNU_GRAMAJE_REQUERIDO_TIPOC,"")))</f>
        <v>100</v>
      </c>
      <c r="U295" s="259">
        <f t="shared" si="194"/>
        <v>119448</v>
      </c>
      <c r="V295" s="259">
        <f t="shared" si="195"/>
        <v>41376</v>
      </c>
      <c r="W295" s="259">
        <f t="shared" si="196"/>
        <v>160824</v>
      </c>
      <c r="X295" s="260">
        <f t="shared" si="197"/>
        <v>49929264</v>
      </c>
      <c r="Y295" s="260">
        <f t="shared" si="198"/>
        <v>17295168</v>
      </c>
      <c r="Z295" s="260">
        <f t="shared" si="199"/>
        <v>67224432</v>
      </c>
      <c r="AA295" s="258">
        <f t="array" ref="AA295">MAX((IF(MNU_CODIGO_ALIMENTO_ENTREGA=CONCATENATE($C295,"_","P_"),MNU_GRAMAJE_REQUERIDO_TIPOM,"")))</f>
        <v>100</v>
      </c>
      <c r="AB295" s="261">
        <f t="shared" si="200"/>
        <v>15645</v>
      </c>
      <c r="AC295" s="261">
        <v>0</v>
      </c>
      <c r="AD295" s="261">
        <f t="shared" si="201"/>
        <v>15645</v>
      </c>
      <c r="AE295" s="262">
        <f t="shared" si="202"/>
        <v>6539610</v>
      </c>
      <c r="AF295" s="262">
        <v>0</v>
      </c>
      <c r="AG295" s="262">
        <f t="shared" si="203"/>
        <v>6539610</v>
      </c>
      <c r="AH295" s="353">
        <f t="array" ref="AH295">MAX((IF(MNU_CODIGO_ALIMENTO_ENTREGA=CONCATENATE($C295,"_","P_"),MNU_GRAMAJE_REQUERIDO_TIPOH,"")))</f>
        <v>100</v>
      </c>
      <c r="AI295" s="259">
        <f t="shared" si="204"/>
        <v>14637</v>
      </c>
      <c r="AJ295" s="259">
        <v>0</v>
      </c>
      <c r="AK295" s="259">
        <f t="shared" si="205"/>
        <v>14637</v>
      </c>
      <c r="AL295" s="260">
        <f t="shared" si="206"/>
        <v>6118266</v>
      </c>
      <c r="AM295" s="260">
        <v>0</v>
      </c>
      <c r="AN295" s="260">
        <f t="shared" si="207"/>
        <v>6118266</v>
      </c>
      <c r="AO295" s="457">
        <f t="shared" si="208"/>
        <v>526969</v>
      </c>
      <c r="AP295" s="456">
        <f t="shared" si="209"/>
        <v>220273042</v>
      </c>
      <c r="AQ295" s="263" t="e">
        <f>#REF!+AH295+AA295+T295+M295</f>
        <v>#REF!</v>
      </c>
      <c r="AR295" s="263">
        <f t="shared" si="168"/>
        <v>220544047</v>
      </c>
      <c r="AS295" s="263" t="e">
        <f t="shared" si="169"/>
        <v>#REF!</v>
      </c>
      <c r="AT295" s="263">
        <f t="shared" si="170"/>
        <v>220885348</v>
      </c>
      <c r="AU295" s="263" t="e">
        <f t="shared" si="171"/>
        <v>#REF!</v>
      </c>
      <c r="AV295" s="263">
        <f t="shared" si="172"/>
        <v>250269076</v>
      </c>
      <c r="AW295" s="263" t="e">
        <f t="shared" si="173"/>
        <v>#REF!</v>
      </c>
      <c r="AX295" s="263" t="e">
        <f>AV295+#REF!+AH295+AA295+T295</f>
        <v>#REF!</v>
      </c>
      <c r="AY295" s="263" t="e">
        <f t="shared" si="174"/>
        <v>#REF!</v>
      </c>
      <c r="AZ295" s="263" t="e">
        <f t="shared" si="175"/>
        <v>#REF!</v>
      </c>
      <c r="BA295" s="263" t="e">
        <f t="shared" si="176"/>
        <v>#REF!</v>
      </c>
      <c r="BB295" s="263" t="e">
        <f t="shared" si="177"/>
        <v>#REF!</v>
      </c>
      <c r="BC295" s="263" t="e">
        <f t="shared" si="178"/>
        <v>#REF!</v>
      </c>
      <c r="BD295" s="263" t="e">
        <f t="shared" si="179"/>
        <v>#REF!</v>
      </c>
      <c r="BE295" s="263" t="e">
        <f>BC295+AV295+#REF!+AH295+AA295</f>
        <v>#REF!</v>
      </c>
      <c r="BF295" s="263" t="e">
        <f t="shared" si="180"/>
        <v>#REF!</v>
      </c>
      <c r="BG295" s="263" t="e">
        <f t="shared" si="181"/>
        <v>#REF!</v>
      </c>
    </row>
    <row r="296" spans="1:59" ht="15.75">
      <c r="A296" s="338">
        <v>22</v>
      </c>
      <c r="B296" s="338" t="s">
        <v>1</v>
      </c>
      <c r="C296" s="258">
        <v>58</v>
      </c>
      <c r="D296" s="328" t="s">
        <v>67</v>
      </c>
      <c r="E296" s="258" t="s">
        <v>9</v>
      </c>
      <c r="F296" s="431">
        <f t="array" ref="F296">MAX((IF(MNU_CODIGO_ALIMENTO_ENTREGA=CONCATENATE($C296,"_","P_"),MNU_GRAMAJE_REQUERIDO_TIPOA,"")))</f>
        <v>100</v>
      </c>
      <c r="G296" s="259">
        <f t="shared" si="182"/>
        <v>122736</v>
      </c>
      <c r="H296" s="259">
        <f t="shared" si="183"/>
        <v>31136</v>
      </c>
      <c r="I296" s="259">
        <f t="shared" si="184"/>
        <v>153872</v>
      </c>
      <c r="J296" s="260">
        <f t="shared" si="185"/>
        <v>19883232</v>
      </c>
      <c r="K296" s="260">
        <f t="shared" si="186"/>
        <v>5044032</v>
      </c>
      <c r="L296" s="260">
        <f t="shared" si="187"/>
        <v>24927264</v>
      </c>
      <c r="M296" s="432">
        <f t="array" ref="M296">MAX((IF(MNU_CODIGO_ALIMENTO_ENTREGA=CONCATENATE($C296,"_","P_"),MNU_GRAMAJE_REQUERIDO_TIPOB,"")))</f>
        <v>100</v>
      </c>
      <c r="N296" s="348">
        <f t="shared" si="188"/>
        <v>132825</v>
      </c>
      <c r="O296" s="348">
        <f t="shared" si="189"/>
        <v>27715</v>
      </c>
      <c r="P296" s="348">
        <f t="shared" si="190"/>
        <v>160540</v>
      </c>
      <c r="Q296" s="349">
        <f t="shared" si="191"/>
        <v>21517650</v>
      </c>
      <c r="R296" s="349">
        <f t="shared" si="192"/>
        <v>4489830</v>
      </c>
      <c r="S296" s="349">
        <f t="shared" si="193"/>
        <v>26007480</v>
      </c>
      <c r="T296" s="353">
        <f t="array" ref="T296">MAX((IF(MNU_CODIGO_ALIMENTO_ENTREGA=CONCATENATE($C296,"_","P_"),MNU_GRAMAJE_REQUERIDO_TIPOC,"")))</f>
        <v>100</v>
      </c>
      <c r="U296" s="259">
        <f t="shared" si="194"/>
        <v>130824</v>
      </c>
      <c r="V296" s="259">
        <f t="shared" si="195"/>
        <v>39652</v>
      </c>
      <c r="W296" s="259">
        <f t="shared" si="196"/>
        <v>170476</v>
      </c>
      <c r="X296" s="260">
        <f t="shared" si="197"/>
        <v>21193488</v>
      </c>
      <c r="Y296" s="260">
        <f t="shared" si="198"/>
        <v>6423624</v>
      </c>
      <c r="Z296" s="260">
        <f t="shared" si="199"/>
        <v>27617112</v>
      </c>
      <c r="AA296" s="258">
        <f t="array" ref="AA296">MAX((IF(MNU_CODIGO_ALIMENTO_ENTREGA=CONCATENATE($C296,"_","P_"),MNU_GRAMAJE_REQUERIDO_TIPOM,"")))</f>
        <v>100</v>
      </c>
      <c r="AB296" s="261">
        <f t="shared" si="200"/>
        <v>17135</v>
      </c>
      <c r="AC296" s="261">
        <v>0</v>
      </c>
      <c r="AD296" s="261">
        <f t="shared" si="201"/>
        <v>17135</v>
      </c>
      <c r="AE296" s="262">
        <f t="shared" si="202"/>
        <v>2775870</v>
      </c>
      <c r="AF296" s="262">
        <v>0</v>
      </c>
      <c r="AG296" s="262">
        <f t="shared" si="203"/>
        <v>2775870</v>
      </c>
      <c r="AH296" s="353">
        <f t="array" ref="AH296">MAX((IF(MNU_CODIGO_ALIMENTO_ENTREGA=CONCATENATE($C296,"_","P_"),MNU_GRAMAJE_REQUERIDO_TIPOH,"")))</f>
        <v>100</v>
      </c>
      <c r="AI296" s="259">
        <f t="shared" si="204"/>
        <v>16031</v>
      </c>
      <c r="AJ296" s="259">
        <v>0</v>
      </c>
      <c r="AK296" s="259">
        <f t="shared" si="205"/>
        <v>16031</v>
      </c>
      <c r="AL296" s="260">
        <f t="shared" si="206"/>
        <v>2597022</v>
      </c>
      <c r="AM296" s="260">
        <v>0</v>
      </c>
      <c r="AN296" s="260">
        <f t="shared" si="207"/>
        <v>2597022</v>
      </c>
      <c r="AO296" s="457">
        <f t="shared" si="208"/>
        <v>518054</v>
      </c>
      <c r="AP296" s="456">
        <f t="shared" si="209"/>
        <v>83924748</v>
      </c>
      <c r="AQ296" s="263" t="e">
        <f>#REF!+AH296+AA296+T296+M296</f>
        <v>#REF!</v>
      </c>
      <c r="AR296" s="263">
        <f t="shared" si="168"/>
        <v>84221563</v>
      </c>
      <c r="AS296" s="263" t="e">
        <f t="shared" si="169"/>
        <v>#REF!</v>
      </c>
      <c r="AT296" s="263">
        <f t="shared" si="170"/>
        <v>84585745</v>
      </c>
      <c r="AU296" s="263" t="e">
        <f t="shared" si="171"/>
        <v>#REF!</v>
      </c>
      <c r="AV296" s="263">
        <f t="shared" si="172"/>
        <v>95499199</v>
      </c>
      <c r="AW296" s="263" t="e">
        <f t="shared" si="173"/>
        <v>#REF!</v>
      </c>
      <c r="AX296" s="263" t="e">
        <f>AV296+#REF!+AH296+AA296+T296</f>
        <v>#REF!</v>
      </c>
      <c r="AY296" s="263" t="e">
        <f t="shared" si="174"/>
        <v>#REF!</v>
      </c>
      <c r="AZ296" s="263" t="e">
        <f t="shared" si="175"/>
        <v>#REF!</v>
      </c>
      <c r="BA296" s="263" t="e">
        <f t="shared" si="176"/>
        <v>#REF!</v>
      </c>
      <c r="BB296" s="263" t="e">
        <f t="shared" si="177"/>
        <v>#REF!</v>
      </c>
      <c r="BC296" s="263" t="e">
        <f t="shared" si="178"/>
        <v>#REF!</v>
      </c>
      <c r="BD296" s="263" t="e">
        <f t="shared" si="179"/>
        <v>#REF!</v>
      </c>
      <c r="BE296" s="263" t="e">
        <f>BC296+AV296+#REF!+AH296+AA296</f>
        <v>#REF!</v>
      </c>
      <c r="BF296" s="263" t="e">
        <f t="shared" si="180"/>
        <v>#REF!</v>
      </c>
      <c r="BG296" s="263" t="e">
        <f t="shared" si="181"/>
        <v>#REF!</v>
      </c>
    </row>
    <row r="297" spans="1:59" ht="15.75">
      <c r="A297" s="338">
        <v>22</v>
      </c>
      <c r="B297" s="338" t="s">
        <v>1</v>
      </c>
      <c r="C297" s="258">
        <v>59</v>
      </c>
      <c r="D297" s="328" t="s">
        <v>99</v>
      </c>
      <c r="E297" s="258" t="s">
        <v>9</v>
      </c>
      <c r="F297" s="431">
        <f t="array" ref="F297">MAX((IF(MNU_CODIGO_ALIMENTO_ENTREGA=CONCATENATE($C297,"_","P_"),MNU_GRAMAJE_REQUERIDO_TIPOA,"")))</f>
        <v>0</v>
      </c>
      <c r="G297" s="259">
        <f t="shared" si="182"/>
        <v>0</v>
      </c>
      <c r="H297" s="259">
        <f t="shared" si="183"/>
        <v>0</v>
      </c>
      <c r="I297" s="259">
        <f t="shared" si="184"/>
        <v>0</v>
      </c>
      <c r="J297" s="260">
        <f t="shared" si="185"/>
        <v>0</v>
      </c>
      <c r="K297" s="260">
        <f t="shared" si="186"/>
        <v>0</v>
      </c>
      <c r="L297" s="260">
        <f t="shared" si="187"/>
        <v>0</v>
      </c>
      <c r="M297" s="432">
        <f t="array" ref="M297">MAX((IF(MNU_CODIGO_ALIMENTO_ENTREGA=CONCATENATE($C297,"_","P_"),MNU_GRAMAJE_REQUERIDO_TIPOB,"")))</f>
        <v>100</v>
      </c>
      <c r="N297" s="348">
        <f t="shared" si="188"/>
        <v>46200</v>
      </c>
      <c r="O297" s="348">
        <f t="shared" si="189"/>
        <v>13255</v>
      </c>
      <c r="P297" s="348">
        <f t="shared" si="190"/>
        <v>59455</v>
      </c>
      <c r="Q297" s="349">
        <f t="shared" si="191"/>
        <v>13860000</v>
      </c>
      <c r="R297" s="349">
        <f t="shared" si="192"/>
        <v>3976500</v>
      </c>
      <c r="S297" s="349">
        <f t="shared" si="193"/>
        <v>17836500</v>
      </c>
      <c r="T297" s="353">
        <f t="array" ref="T297">MAX((IF(MNU_CODIGO_ALIMENTO_ENTREGA=CONCATENATE($C297,"_","P_"),MNU_GRAMAJE_REQUERIDO_TIPOC,"")))</f>
        <v>100</v>
      </c>
      <c r="U297" s="259">
        <f t="shared" si="194"/>
        <v>45504</v>
      </c>
      <c r="V297" s="259">
        <f t="shared" si="195"/>
        <v>18964</v>
      </c>
      <c r="W297" s="259">
        <f t="shared" si="196"/>
        <v>64468</v>
      </c>
      <c r="X297" s="260">
        <f t="shared" si="197"/>
        <v>13651200</v>
      </c>
      <c r="Y297" s="260">
        <f t="shared" si="198"/>
        <v>5689200</v>
      </c>
      <c r="Z297" s="260">
        <f t="shared" si="199"/>
        <v>19340400</v>
      </c>
      <c r="AA297" s="258">
        <f t="array" ref="AA297">MAX((IF(MNU_CODIGO_ALIMENTO_ENTREGA=CONCATENATE($C297,"_","P_"),MNU_GRAMAJE_REQUERIDO_TIPOM,"")))</f>
        <v>100</v>
      </c>
      <c r="AB297" s="261">
        <f t="shared" si="200"/>
        <v>5960</v>
      </c>
      <c r="AC297" s="261">
        <v>0</v>
      </c>
      <c r="AD297" s="261">
        <f t="shared" si="201"/>
        <v>5960</v>
      </c>
      <c r="AE297" s="262">
        <f t="shared" si="202"/>
        <v>1788000</v>
      </c>
      <c r="AF297" s="262">
        <v>0</v>
      </c>
      <c r="AG297" s="262">
        <f t="shared" si="203"/>
        <v>1788000</v>
      </c>
      <c r="AH297" s="353">
        <f t="array" ref="AH297">MAX((IF(MNU_CODIGO_ALIMENTO_ENTREGA=CONCATENATE($C297,"_","P_"),MNU_GRAMAJE_REQUERIDO_TIPOH,"")))</f>
        <v>100</v>
      </c>
      <c r="AI297" s="259">
        <f t="shared" si="204"/>
        <v>5576</v>
      </c>
      <c r="AJ297" s="259">
        <v>0</v>
      </c>
      <c r="AK297" s="259">
        <f t="shared" si="205"/>
        <v>5576</v>
      </c>
      <c r="AL297" s="260">
        <f t="shared" si="206"/>
        <v>1672800</v>
      </c>
      <c r="AM297" s="260">
        <v>0</v>
      </c>
      <c r="AN297" s="260">
        <f t="shared" si="207"/>
        <v>1672800</v>
      </c>
      <c r="AO297" s="457">
        <f t="shared" si="208"/>
        <v>135459</v>
      </c>
      <c r="AP297" s="456">
        <f t="shared" si="209"/>
        <v>40637700</v>
      </c>
      <c r="AQ297" s="263" t="e">
        <f>#REF!+AH297+AA297+T297+M297</f>
        <v>#REF!</v>
      </c>
      <c r="AR297" s="263">
        <f t="shared" ref="AR297:AR360" si="210">AP297+AI297+AB297+U297+N297</f>
        <v>40740940</v>
      </c>
      <c r="AS297" s="263" t="e">
        <f t="shared" ref="AS297:AS360" si="211">AQ297+AJ297+AC297+V297+O297</f>
        <v>#REF!</v>
      </c>
      <c r="AT297" s="263">
        <f t="shared" ref="AT297:AT360" si="212">AR297+AK297+AD297+W297+P297</f>
        <v>40876399</v>
      </c>
      <c r="AU297" s="263" t="e">
        <f t="shared" ref="AU297:AU360" si="213">AS297+AL297+AE297+X297+Q297</f>
        <v>#REF!</v>
      </c>
      <c r="AV297" s="263">
        <f t="shared" ref="AV297:AV360" si="214">AT297+AM297+AF297+Y297+R297</f>
        <v>50542099</v>
      </c>
      <c r="AW297" s="263" t="e">
        <f t="shared" ref="AW297:AW360" si="215">AU297+AN297+AG297+Z297+S297</f>
        <v>#REF!</v>
      </c>
      <c r="AX297" s="263" t="e">
        <f>AV297+#REF!+AH297+AA297+T297</f>
        <v>#REF!</v>
      </c>
      <c r="AY297" s="263" t="e">
        <f t="shared" ref="AY297:AY360" si="216">AW297+AP297+AI297+AB297+U297</f>
        <v>#REF!</v>
      </c>
      <c r="AZ297" s="263" t="e">
        <f t="shared" ref="AZ297:AZ360" si="217">AX297+AQ297+AJ297+AC297+V297</f>
        <v>#REF!</v>
      </c>
      <c r="BA297" s="263" t="e">
        <f t="shared" ref="BA297:BA360" si="218">AY297+AR297+AK297+AD297+W297</f>
        <v>#REF!</v>
      </c>
      <c r="BB297" s="263" t="e">
        <f t="shared" ref="BB297:BB360" si="219">AZ297+AS297+AL297+AE297+X297</f>
        <v>#REF!</v>
      </c>
      <c r="BC297" s="263" t="e">
        <f t="shared" ref="BC297:BC360" si="220">BA297+AT297+AM297+AF297+Y297</f>
        <v>#REF!</v>
      </c>
      <c r="BD297" s="263" t="e">
        <f t="shared" ref="BD297:BD360" si="221">BB297+AU297+AN297+AG297+Z297</f>
        <v>#REF!</v>
      </c>
      <c r="BE297" s="263" t="e">
        <f>BC297+AV297+#REF!+AH297+AA297</f>
        <v>#REF!</v>
      </c>
      <c r="BF297" s="263" t="e">
        <f t="shared" ref="BF297:BF360" si="222">BD297+AW297+AP297+AI297+AB297</f>
        <v>#REF!</v>
      </c>
      <c r="BG297" s="263" t="e">
        <f t="shared" ref="BG297:BG360" si="223">BE297+AX297+AQ297+AJ297+AC297</f>
        <v>#REF!</v>
      </c>
    </row>
    <row r="298" spans="1:59" ht="15.75">
      <c r="A298" s="338">
        <v>22</v>
      </c>
      <c r="B298" s="338" t="s">
        <v>1</v>
      </c>
      <c r="C298" s="258">
        <v>69</v>
      </c>
      <c r="D298" s="328" t="s">
        <v>70</v>
      </c>
      <c r="E298" s="258" t="s">
        <v>9</v>
      </c>
      <c r="F298" s="431">
        <f t="array" ref="F298">MAX((IF(MNU_CODIGO_ALIMENTO_ENTREGA=CONCATENATE($C298,"_","P_"),MNU_GRAMAJE_REQUERIDO_TIPOA,"")))</f>
        <v>100</v>
      </c>
      <c r="G298" s="259">
        <f t="shared" si="182"/>
        <v>153420</v>
      </c>
      <c r="H298" s="259">
        <f t="shared" si="183"/>
        <v>20016</v>
      </c>
      <c r="I298" s="259">
        <f t="shared" si="184"/>
        <v>173436</v>
      </c>
      <c r="J298" s="260">
        <f t="shared" si="185"/>
        <v>49094400</v>
      </c>
      <c r="K298" s="260">
        <f t="shared" si="186"/>
        <v>6405120</v>
      </c>
      <c r="L298" s="260">
        <f t="shared" si="187"/>
        <v>55499520</v>
      </c>
      <c r="M298" s="432">
        <f t="array" ref="M298">MAX((IF(MNU_CODIGO_ALIMENTO_ENTREGA=CONCATENATE($C298,"_","P_"),MNU_GRAMAJE_REQUERIDO_TIPOB,"")))</f>
        <v>100</v>
      </c>
      <c r="N298" s="348">
        <f t="shared" si="188"/>
        <v>92400</v>
      </c>
      <c r="O298" s="348">
        <f t="shared" si="189"/>
        <v>14460</v>
      </c>
      <c r="P298" s="348">
        <f t="shared" si="190"/>
        <v>106860</v>
      </c>
      <c r="Q298" s="349">
        <f t="shared" si="191"/>
        <v>29568000</v>
      </c>
      <c r="R298" s="349">
        <f t="shared" si="192"/>
        <v>4627200</v>
      </c>
      <c r="S298" s="349">
        <f t="shared" si="193"/>
        <v>34195200</v>
      </c>
      <c r="T298" s="353">
        <f t="array" ref="T298">MAX((IF(MNU_CODIGO_ALIMENTO_ENTREGA=CONCATENATE($C298,"_","P_"),MNU_GRAMAJE_REQUERIDO_TIPOC,"")))</f>
        <v>100</v>
      </c>
      <c r="U298" s="259">
        <f t="shared" si="194"/>
        <v>91008</v>
      </c>
      <c r="V298" s="259">
        <f t="shared" si="195"/>
        <v>20688</v>
      </c>
      <c r="W298" s="259">
        <f t="shared" si="196"/>
        <v>111696</v>
      </c>
      <c r="X298" s="260">
        <f t="shared" si="197"/>
        <v>29122560</v>
      </c>
      <c r="Y298" s="260">
        <f t="shared" si="198"/>
        <v>6620160</v>
      </c>
      <c r="Z298" s="260">
        <f t="shared" si="199"/>
        <v>35742720</v>
      </c>
      <c r="AA298" s="258">
        <f t="array" ref="AA298">MAX((IF(MNU_CODIGO_ALIMENTO_ENTREGA=CONCATENATE($C298,"_","P_"),MNU_GRAMAJE_REQUERIDO_TIPOM,"")))</f>
        <v>100</v>
      </c>
      <c r="AB298" s="261">
        <f t="shared" si="200"/>
        <v>11920</v>
      </c>
      <c r="AC298" s="261">
        <v>0</v>
      </c>
      <c r="AD298" s="261">
        <f t="shared" si="201"/>
        <v>11920</v>
      </c>
      <c r="AE298" s="262">
        <f t="shared" si="202"/>
        <v>3814400</v>
      </c>
      <c r="AF298" s="262">
        <v>0</v>
      </c>
      <c r="AG298" s="262">
        <f t="shared" si="203"/>
        <v>3814400</v>
      </c>
      <c r="AH298" s="353">
        <f t="array" ref="AH298">MAX((IF(MNU_CODIGO_ALIMENTO_ENTREGA=CONCATENATE($C298,"_","P_"),MNU_GRAMAJE_REQUERIDO_TIPOH,"")))</f>
        <v>100</v>
      </c>
      <c r="AI298" s="259">
        <f t="shared" si="204"/>
        <v>11152</v>
      </c>
      <c r="AJ298" s="259">
        <v>0</v>
      </c>
      <c r="AK298" s="259">
        <f t="shared" si="205"/>
        <v>11152</v>
      </c>
      <c r="AL298" s="260">
        <f t="shared" si="206"/>
        <v>3568640</v>
      </c>
      <c r="AM298" s="260">
        <v>0</v>
      </c>
      <c r="AN298" s="260">
        <f t="shared" si="207"/>
        <v>3568640</v>
      </c>
      <c r="AO298" s="457">
        <f t="shared" si="208"/>
        <v>415064</v>
      </c>
      <c r="AP298" s="456">
        <f t="shared" si="209"/>
        <v>132820480</v>
      </c>
      <c r="AQ298" s="263" t="e">
        <f>#REF!+AH298+AA298+T298+M298</f>
        <v>#REF!</v>
      </c>
      <c r="AR298" s="263">
        <f t="shared" si="210"/>
        <v>133026960</v>
      </c>
      <c r="AS298" s="263" t="e">
        <f t="shared" si="211"/>
        <v>#REF!</v>
      </c>
      <c r="AT298" s="263">
        <f t="shared" si="212"/>
        <v>133268588</v>
      </c>
      <c r="AU298" s="263" t="e">
        <f t="shared" si="213"/>
        <v>#REF!</v>
      </c>
      <c r="AV298" s="263">
        <f t="shared" si="214"/>
        <v>144515948</v>
      </c>
      <c r="AW298" s="263" t="e">
        <f t="shared" si="215"/>
        <v>#REF!</v>
      </c>
      <c r="AX298" s="263" t="e">
        <f>AV298+#REF!+AH298+AA298+T298</f>
        <v>#REF!</v>
      </c>
      <c r="AY298" s="263" t="e">
        <f t="shared" si="216"/>
        <v>#REF!</v>
      </c>
      <c r="AZ298" s="263" t="e">
        <f t="shared" si="217"/>
        <v>#REF!</v>
      </c>
      <c r="BA298" s="263" t="e">
        <f t="shared" si="218"/>
        <v>#REF!</v>
      </c>
      <c r="BB298" s="263" t="e">
        <f t="shared" si="219"/>
        <v>#REF!</v>
      </c>
      <c r="BC298" s="263" t="e">
        <f t="shared" si="220"/>
        <v>#REF!</v>
      </c>
      <c r="BD298" s="263" t="e">
        <f t="shared" si="221"/>
        <v>#REF!</v>
      </c>
      <c r="BE298" s="263" t="e">
        <f>BC298+AV298+#REF!+AH298+AA298</f>
        <v>#REF!</v>
      </c>
      <c r="BF298" s="263" t="e">
        <f t="shared" si="222"/>
        <v>#REF!</v>
      </c>
      <c r="BG298" s="263" t="e">
        <f t="shared" si="223"/>
        <v>#REF!</v>
      </c>
    </row>
    <row r="299" spans="1:59" ht="15.75">
      <c r="A299" s="338">
        <v>22</v>
      </c>
      <c r="B299" s="338" t="s">
        <v>1</v>
      </c>
      <c r="C299" s="258">
        <v>70</v>
      </c>
      <c r="D299" s="328" t="s">
        <v>71</v>
      </c>
      <c r="E299" s="258" t="s">
        <v>9</v>
      </c>
      <c r="F299" s="431">
        <f t="array" ref="F299">MAX((IF(MNU_CODIGO_ALIMENTO_ENTREGA=CONCATENATE($C299,"_","P_"),MNU_GRAMAJE_REQUERIDO_TIPOA,"")))</f>
        <v>0</v>
      </c>
      <c r="G299" s="259">
        <f t="shared" si="182"/>
        <v>0</v>
      </c>
      <c r="H299" s="259">
        <f t="shared" si="183"/>
        <v>0</v>
      </c>
      <c r="I299" s="259">
        <f t="shared" si="184"/>
        <v>0</v>
      </c>
      <c r="J299" s="260">
        <f t="shared" si="185"/>
        <v>0</v>
      </c>
      <c r="K299" s="260">
        <f t="shared" si="186"/>
        <v>0</v>
      </c>
      <c r="L299" s="260">
        <f t="shared" si="187"/>
        <v>0</v>
      </c>
      <c r="M299" s="432">
        <f t="array" ref="M299">MAX((IF(MNU_CODIGO_ALIMENTO_ENTREGA=CONCATENATE($C299,"_","P_"),MNU_GRAMAJE_REQUERIDO_TIPOB,"")))</f>
        <v>100</v>
      </c>
      <c r="N299" s="348">
        <f t="shared" si="188"/>
        <v>57750</v>
      </c>
      <c r="O299" s="348">
        <f t="shared" si="189"/>
        <v>9640</v>
      </c>
      <c r="P299" s="348">
        <f t="shared" si="190"/>
        <v>67390</v>
      </c>
      <c r="Q299" s="349">
        <f t="shared" si="191"/>
        <v>26334000</v>
      </c>
      <c r="R299" s="349">
        <f t="shared" si="192"/>
        <v>4395840</v>
      </c>
      <c r="S299" s="349">
        <f t="shared" si="193"/>
        <v>30729840</v>
      </c>
      <c r="T299" s="353">
        <f t="array" ref="T299">MAX((IF(MNU_CODIGO_ALIMENTO_ENTREGA=CONCATENATE($C299,"_","P_"),MNU_GRAMAJE_REQUERIDO_TIPOC,"")))</f>
        <v>100</v>
      </c>
      <c r="U299" s="259">
        <f t="shared" si="194"/>
        <v>56880</v>
      </c>
      <c r="V299" s="259">
        <f t="shared" si="195"/>
        <v>13792</v>
      </c>
      <c r="W299" s="259">
        <f t="shared" si="196"/>
        <v>70672</v>
      </c>
      <c r="X299" s="260">
        <f t="shared" si="197"/>
        <v>25937280</v>
      </c>
      <c r="Y299" s="260">
        <f t="shared" si="198"/>
        <v>6289152</v>
      </c>
      <c r="Z299" s="260">
        <f t="shared" si="199"/>
        <v>32226432</v>
      </c>
      <c r="AA299" s="258">
        <f t="array" ref="AA299">MAX((IF(MNU_CODIGO_ALIMENTO_ENTREGA=CONCATENATE($C299,"_","P_"),MNU_GRAMAJE_REQUERIDO_TIPOM,"")))</f>
        <v>100</v>
      </c>
      <c r="AB299" s="261">
        <f t="shared" si="200"/>
        <v>7450</v>
      </c>
      <c r="AC299" s="261">
        <v>0</v>
      </c>
      <c r="AD299" s="261">
        <f t="shared" si="201"/>
        <v>7450</v>
      </c>
      <c r="AE299" s="262">
        <f t="shared" si="202"/>
        <v>3397200</v>
      </c>
      <c r="AF299" s="262">
        <v>0</v>
      </c>
      <c r="AG299" s="262">
        <f t="shared" si="203"/>
        <v>3397200</v>
      </c>
      <c r="AH299" s="353">
        <f t="array" ref="AH299">MAX((IF(MNU_CODIGO_ALIMENTO_ENTREGA=CONCATENATE($C299,"_","P_"),MNU_GRAMAJE_REQUERIDO_TIPOH,"")))</f>
        <v>100</v>
      </c>
      <c r="AI299" s="259">
        <f t="shared" si="204"/>
        <v>6970</v>
      </c>
      <c r="AJ299" s="259">
        <v>0</v>
      </c>
      <c r="AK299" s="259">
        <f t="shared" si="205"/>
        <v>6970</v>
      </c>
      <c r="AL299" s="260">
        <f t="shared" si="206"/>
        <v>3178320</v>
      </c>
      <c r="AM299" s="260">
        <v>0</v>
      </c>
      <c r="AN299" s="260">
        <f t="shared" si="207"/>
        <v>3178320</v>
      </c>
      <c r="AO299" s="457">
        <f t="shared" si="208"/>
        <v>152482</v>
      </c>
      <c r="AP299" s="456">
        <f t="shared" si="209"/>
        <v>69531792</v>
      </c>
      <c r="AQ299" s="263" t="e">
        <f>#REF!+AH299+AA299+T299+M299</f>
        <v>#REF!</v>
      </c>
      <c r="AR299" s="263">
        <f t="shared" si="210"/>
        <v>69660842</v>
      </c>
      <c r="AS299" s="263" t="e">
        <f t="shared" si="211"/>
        <v>#REF!</v>
      </c>
      <c r="AT299" s="263">
        <f t="shared" si="212"/>
        <v>69813324</v>
      </c>
      <c r="AU299" s="263" t="e">
        <f t="shared" si="213"/>
        <v>#REF!</v>
      </c>
      <c r="AV299" s="263">
        <f t="shared" si="214"/>
        <v>80498316</v>
      </c>
      <c r="AW299" s="263" t="e">
        <f t="shared" si="215"/>
        <v>#REF!</v>
      </c>
      <c r="AX299" s="263" t="e">
        <f>AV299+#REF!+AH299+AA299+T299</f>
        <v>#REF!</v>
      </c>
      <c r="AY299" s="263" t="e">
        <f t="shared" si="216"/>
        <v>#REF!</v>
      </c>
      <c r="AZ299" s="263" t="e">
        <f t="shared" si="217"/>
        <v>#REF!</v>
      </c>
      <c r="BA299" s="263" t="e">
        <f t="shared" si="218"/>
        <v>#REF!</v>
      </c>
      <c r="BB299" s="263" t="e">
        <f t="shared" si="219"/>
        <v>#REF!</v>
      </c>
      <c r="BC299" s="263" t="e">
        <f t="shared" si="220"/>
        <v>#REF!</v>
      </c>
      <c r="BD299" s="263" t="e">
        <f t="shared" si="221"/>
        <v>#REF!</v>
      </c>
      <c r="BE299" s="263" t="e">
        <f>BC299+AV299+#REF!+AH299+AA299</f>
        <v>#REF!</v>
      </c>
      <c r="BF299" s="263" t="e">
        <f t="shared" si="222"/>
        <v>#REF!</v>
      </c>
      <c r="BG299" s="263" t="e">
        <f t="shared" si="223"/>
        <v>#REF!</v>
      </c>
    </row>
    <row r="300" spans="1:59" ht="15.75">
      <c r="A300" s="338">
        <v>23</v>
      </c>
      <c r="B300" s="338" t="s">
        <v>1</v>
      </c>
      <c r="C300" s="258">
        <v>7</v>
      </c>
      <c r="D300" s="328" t="s">
        <v>57</v>
      </c>
      <c r="E300" s="258" t="s">
        <v>9</v>
      </c>
      <c r="F300" s="431">
        <f t="array" ref="F300">MAX((IF(MNU_CODIGO_ALIMENTO_ENTREGA=CONCATENATE($C300,"_","P_"),MNU_GRAMAJE_REQUERIDO_TIPOA,"")))</f>
        <v>100</v>
      </c>
      <c r="G300" s="259">
        <f t="shared" ref="G300:G363" si="224">SUMIF(COSTPE_G_ALIMENTO_GRUPO,CONCATENATE($C300,"_",$A300),COSTPE_G_VOLUMEN_TOTAL_TIPOA)</f>
        <v>121000</v>
      </c>
      <c r="H300" s="259">
        <f t="shared" ref="H300:H363" si="225">SUMIF(COSTSE_G_ALIMENTO_GRUPO,CONCATENATE($C300,"_",$A300),COSTSE_G_VOLUMEN_TOTAL_TIPOA)</f>
        <v>27683</v>
      </c>
      <c r="I300" s="259">
        <f t="shared" ref="I300:I363" si="226">G300+H300</f>
        <v>148683</v>
      </c>
      <c r="J300" s="260">
        <f t="shared" ref="J300:J363" si="227">SUMIF(COSTPE_G_ALIMENTO_GRUPO,CONCATENATE($C300,"_",$A300),COSTPE_G_VALOR_TOTAL_TIPOA)</f>
        <v>13552000</v>
      </c>
      <c r="K300" s="260">
        <f t="shared" ref="K300:K363" si="228">SUMIF(COSTSE_G_ALIMENTO_GRUPO,CONCATENATE($C300,"_",$A300),COSTSE_G_VALOR_TOTAL_TIPOA)</f>
        <v>3100496</v>
      </c>
      <c r="L300" s="260">
        <f t="shared" ref="L300:L363" si="229">J300+K300</f>
        <v>16652496</v>
      </c>
      <c r="M300" s="432">
        <f t="array" ref="M300">MAX((IF(MNU_CODIGO_ALIMENTO_ENTREGA=CONCATENATE($C300,"_","P_"),MNU_GRAMAJE_REQUERIDO_TIPOB,"")))</f>
        <v>100</v>
      </c>
      <c r="N300" s="348">
        <f t="shared" ref="N300:N363" si="230">SUMIF(COSTPE_G_ALIMENTO_GRUPO,CONCATENATE($C300,"_",$A300),COSTPE_G_VOLUMEN_TOTAL_TIPOB)</f>
        <v>62316</v>
      </c>
      <c r="O300" s="348">
        <f t="shared" ref="O300:O363" si="231">SUMIF(COSTSE_G_ALIMENTO_GRUPO,CONCATENATE($C300,"_",$A300),COSTSE_G_VOLUMEN_TOTAL_TIPOB)</f>
        <v>9603</v>
      </c>
      <c r="P300" s="348">
        <f t="shared" ref="P300:P363" si="232">N300+O300</f>
        <v>71919</v>
      </c>
      <c r="Q300" s="349">
        <f t="shared" ref="Q300:Q363" si="233">SUMIF(COSTPE_G_ALIMENTO_GRUPO,CONCATENATE($C300,"_",$A300),COSTPE_G_VALOR_TOTAL_TIPOB)</f>
        <v>6979392</v>
      </c>
      <c r="R300" s="349">
        <f t="shared" ref="R300:R363" si="234">SUMIF(COSTSE_G_ALIMENTO_GRUPO,CONCATENATE($C300,"_",$A300),COSTSE_G_VALOR_TOTAL_TIPOB)</f>
        <v>1075536</v>
      </c>
      <c r="S300" s="349">
        <f t="shared" ref="S300:S363" si="235">Q300+R300</f>
        <v>8054928</v>
      </c>
      <c r="T300" s="353">
        <f t="array" ref="T300">MAX((IF(MNU_CODIGO_ALIMENTO_ENTREGA=CONCATENATE($C300,"_","P_"),MNU_GRAMAJE_REQUERIDO_TIPOC,"")))</f>
        <v>100</v>
      </c>
      <c r="U300" s="259">
        <f t="shared" ref="U300:U363" si="236">SUMIF(COSTPE_G_ALIMENTO_GRUPO,CONCATENATE($C300,"_",$A300),COSTPE_G_VOLUMEN_TOTAL_TIPOC)</f>
        <v>50634</v>
      </c>
      <c r="V300" s="259">
        <f t="shared" ref="V300:V363" si="237">SUMIF(COSTSE_G_ALIMENTO_GRUPO,CONCATENATE($C300,"_",$A300),COSTSE_G_VOLUMEN_TOTAL_TIPOC)</f>
        <v>12144</v>
      </c>
      <c r="W300" s="259">
        <f t="shared" ref="W300:W363" si="238">U300+V300</f>
        <v>62778</v>
      </c>
      <c r="X300" s="260">
        <f t="shared" ref="X300:X363" si="239">SUMIF(COSTPE_G_ALIMENTO_GRUPO,CONCATENATE($C300,"_",$A300),COSTPE_G_VALOR_TOTAL_TIPOC)</f>
        <v>5671008</v>
      </c>
      <c r="Y300" s="260">
        <f t="shared" ref="Y300:Y363" si="240">SUMIF(COSTSE_G_ALIMENTO_GRUPO,CONCATENATE($C300,"_",$A300),COSTSE_G_VALOR_TOTAL_TIPOC)</f>
        <v>1360128</v>
      </c>
      <c r="Z300" s="260">
        <f t="shared" ref="Z300:Z363" si="241">X300+Y300</f>
        <v>7031136</v>
      </c>
      <c r="AA300" s="258">
        <f t="array" ref="AA300">MAX((IF(MNU_CODIGO_ALIMENTO_ENTREGA=CONCATENATE($C300,"_","P_"),MNU_GRAMAJE_REQUERIDO_TIPOM,"")))</f>
        <v>100</v>
      </c>
      <c r="AB300" s="261">
        <f t="shared" ref="AB300:AB363" si="242">SUMIF(COSTPE_G_ALIMENTO_GRUPO,CONCATENATE($C300,"_",$A300),COSTPE_G_VOLUMEN_TOTAL_TIPOM)</f>
        <v>0</v>
      </c>
      <c r="AC300" s="261">
        <v>0</v>
      </c>
      <c r="AD300" s="261">
        <f t="shared" ref="AD300:AD363" si="243">AB300+AC300</f>
        <v>0</v>
      </c>
      <c r="AE300" s="262">
        <f t="shared" ref="AE300:AE363" si="244">SUMIF(COSTPE_G_ALIMENTO_GRUPO,CONCATENATE($C300,"_",$A300),COSTPE_G_VALOR_TOTAL_TIPOM)</f>
        <v>0</v>
      </c>
      <c r="AF300" s="262">
        <v>0</v>
      </c>
      <c r="AG300" s="262">
        <f t="shared" ref="AG300:AG363" si="245">AE300+AF300</f>
        <v>0</v>
      </c>
      <c r="AH300" s="353">
        <f t="array" ref="AH300">MAX((IF(MNU_CODIGO_ALIMENTO_ENTREGA=CONCATENATE($C300,"_","P_"),MNU_GRAMAJE_REQUERIDO_TIPOH,"")))</f>
        <v>100</v>
      </c>
      <c r="AI300" s="259">
        <f t="shared" ref="AI300:AI363" si="246">SUMIF(COSTPE_G_ALIMENTO_GRUPO,CONCATENATE($C300,"_",$A300),COSTPE_G_VOLUMEN_TOTAL_TIPOH)</f>
        <v>0</v>
      </c>
      <c r="AJ300" s="259">
        <v>0</v>
      </c>
      <c r="AK300" s="259">
        <f t="shared" ref="AK300:AK363" si="247">AI300+AJ300</f>
        <v>0</v>
      </c>
      <c r="AL300" s="260">
        <f t="shared" ref="AL300:AL363" si="248">SUMIF(COSTPE_G_ALIMENTO_GRUPO,CONCATENATE($C300,"_",$A300),COSTPE_G_VALOR_TOTAL_TIPOH)</f>
        <v>0</v>
      </c>
      <c r="AM300" s="260">
        <v>0</v>
      </c>
      <c r="AN300" s="260">
        <f t="shared" ref="AN300:AN363" si="249">AL300+AM300</f>
        <v>0</v>
      </c>
      <c r="AO300" s="457">
        <f t="shared" ref="AO300:AO363" si="250">AK300+AD300+W300+P300+I300</f>
        <v>283380</v>
      </c>
      <c r="AP300" s="456">
        <f t="shared" ref="AP300:AP363" si="251">AN300+AG300+Z300+S300+L300</f>
        <v>31738560</v>
      </c>
      <c r="AQ300" s="263" t="e">
        <f>#REF!+AH300+AA300+T300+M300</f>
        <v>#REF!</v>
      </c>
      <c r="AR300" s="263">
        <f t="shared" si="210"/>
        <v>31851510</v>
      </c>
      <c r="AS300" s="263" t="e">
        <f t="shared" si="211"/>
        <v>#REF!</v>
      </c>
      <c r="AT300" s="263">
        <f t="shared" si="212"/>
        <v>31986207</v>
      </c>
      <c r="AU300" s="263" t="e">
        <f t="shared" si="213"/>
        <v>#REF!</v>
      </c>
      <c r="AV300" s="263">
        <f t="shared" si="214"/>
        <v>34421871</v>
      </c>
      <c r="AW300" s="263" t="e">
        <f t="shared" si="215"/>
        <v>#REF!</v>
      </c>
      <c r="AX300" s="263" t="e">
        <f>AV300+#REF!+AH300+AA300+T300</f>
        <v>#REF!</v>
      </c>
      <c r="AY300" s="263" t="e">
        <f t="shared" si="216"/>
        <v>#REF!</v>
      </c>
      <c r="AZ300" s="263" t="e">
        <f t="shared" si="217"/>
        <v>#REF!</v>
      </c>
      <c r="BA300" s="263" t="e">
        <f t="shared" si="218"/>
        <v>#REF!</v>
      </c>
      <c r="BB300" s="263" t="e">
        <f t="shared" si="219"/>
        <v>#REF!</v>
      </c>
      <c r="BC300" s="263" t="e">
        <f t="shared" si="220"/>
        <v>#REF!</v>
      </c>
      <c r="BD300" s="263" t="e">
        <f t="shared" si="221"/>
        <v>#REF!</v>
      </c>
      <c r="BE300" s="263" t="e">
        <f>BC300+AV300+#REF!+AH300+AA300</f>
        <v>#REF!</v>
      </c>
      <c r="BF300" s="263" t="e">
        <f t="shared" si="222"/>
        <v>#REF!</v>
      </c>
      <c r="BG300" s="263" t="e">
        <f t="shared" si="223"/>
        <v>#REF!</v>
      </c>
    </row>
    <row r="301" spans="1:59" ht="15.75">
      <c r="A301" s="338">
        <v>23</v>
      </c>
      <c r="B301" s="338" t="s">
        <v>1</v>
      </c>
      <c r="C301" s="258">
        <v>8</v>
      </c>
      <c r="D301" s="328" t="s">
        <v>55</v>
      </c>
      <c r="E301" s="258" t="s">
        <v>9</v>
      </c>
      <c r="F301" s="431">
        <f t="array" ref="F301">MAX((IF(MNU_CODIGO_ALIMENTO_ENTREGA=CONCATENATE($C301,"_","P_"),MNU_GRAMAJE_REQUERIDO_TIPOA,"")))</f>
        <v>100</v>
      </c>
      <c r="G301" s="259">
        <f t="shared" si="224"/>
        <v>55000</v>
      </c>
      <c r="H301" s="259">
        <f t="shared" si="225"/>
        <v>9823</v>
      </c>
      <c r="I301" s="259">
        <f t="shared" si="226"/>
        <v>64823</v>
      </c>
      <c r="J301" s="260">
        <f t="shared" si="227"/>
        <v>7755000</v>
      </c>
      <c r="K301" s="260">
        <f t="shared" si="228"/>
        <v>1385043</v>
      </c>
      <c r="L301" s="260">
        <f t="shared" si="229"/>
        <v>9140043</v>
      </c>
      <c r="M301" s="432">
        <f t="array" ref="M301">MAX((IF(MNU_CODIGO_ALIMENTO_ENTREGA=CONCATENATE($C301,"_","P_"),MNU_GRAMAJE_REQUERIDO_TIPOB,"")))</f>
        <v>100</v>
      </c>
      <c r="N301" s="348">
        <f t="shared" si="230"/>
        <v>55392</v>
      </c>
      <c r="O301" s="348">
        <f t="shared" si="231"/>
        <v>9603</v>
      </c>
      <c r="P301" s="348">
        <f t="shared" si="232"/>
        <v>64995</v>
      </c>
      <c r="Q301" s="349">
        <f t="shared" si="233"/>
        <v>7810272</v>
      </c>
      <c r="R301" s="349">
        <f t="shared" si="234"/>
        <v>1354023</v>
      </c>
      <c r="S301" s="349">
        <f t="shared" si="235"/>
        <v>9164295</v>
      </c>
      <c r="T301" s="353">
        <f t="array" ref="T301">MAX((IF(MNU_CODIGO_ALIMENTO_ENTREGA=CONCATENATE($C301,"_","P_"),MNU_GRAMAJE_REQUERIDO_TIPOC,"")))</f>
        <v>100</v>
      </c>
      <c r="U301" s="259">
        <f t="shared" si="236"/>
        <v>45008</v>
      </c>
      <c r="V301" s="259">
        <f t="shared" si="237"/>
        <v>12144</v>
      </c>
      <c r="W301" s="259">
        <f t="shared" si="238"/>
        <v>57152</v>
      </c>
      <c r="X301" s="260">
        <f t="shared" si="239"/>
        <v>6346128</v>
      </c>
      <c r="Y301" s="260">
        <f t="shared" si="240"/>
        <v>1712304</v>
      </c>
      <c r="Z301" s="260">
        <f t="shared" si="241"/>
        <v>8058432</v>
      </c>
      <c r="AA301" s="258">
        <f t="array" ref="AA301">MAX((IF(MNU_CODIGO_ALIMENTO_ENTREGA=CONCATENATE($C301,"_","P_"),MNU_GRAMAJE_REQUERIDO_TIPOM,"")))</f>
        <v>100</v>
      </c>
      <c r="AB301" s="261">
        <f t="shared" si="242"/>
        <v>0</v>
      </c>
      <c r="AC301" s="261">
        <v>0</v>
      </c>
      <c r="AD301" s="261">
        <f t="shared" si="243"/>
        <v>0</v>
      </c>
      <c r="AE301" s="262">
        <f t="shared" si="244"/>
        <v>0</v>
      </c>
      <c r="AF301" s="262">
        <v>0</v>
      </c>
      <c r="AG301" s="262">
        <f t="shared" si="245"/>
        <v>0</v>
      </c>
      <c r="AH301" s="353">
        <f t="array" ref="AH301">MAX((IF(MNU_CODIGO_ALIMENTO_ENTREGA=CONCATENATE($C301,"_","P_"),MNU_GRAMAJE_REQUERIDO_TIPOH,"")))</f>
        <v>100</v>
      </c>
      <c r="AI301" s="259">
        <f t="shared" si="246"/>
        <v>0</v>
      </c>
      <c r="AJ301" s="259">
        <v>0</v>
      </c>
      <c r="AK301" s="259">
        <f t="shared" si="247"/>
        <v>0</v>
      </c>
      <c r="AL301" s="260">
        <f t="shared" si="248"/>
        <v>0</v>
      </c>
      <c r="AM301" s="260">
        <v>0</v>
      </c>
      <c r="AN301" s="260">
        <f t="shared" si="249"/>
        <v>0</v>
      </c>
      <c r="AO301" s="457">
        <f t="shared" si="250"/>
        <v>186970</v>
      </c>
      <c r="AP301" s="456">
        <f t="shared" si="251"/>
        <v>26362770</v>
      </c>
      <c r="AQ301" s="263" t="e">
        <f>#REF!+AH301+AA301+T301+M301</f>
        <v>#REF!</v>
      </c>
      <c r="AR301" s="263">
        <f t="shared" si="210"/>
        <v>26463170</v>
      </c>
      <c r="AS301" s="263" t="e">
        <f t="shared" si="211"/>
        <v>#REF!</v>
      </c>
      <c r="AT301" s="263">
        <f t="shared" si="212"/>
        <v>26585317</v>
      </c>
      <c r="AU301" s="263" t="e">
        <f t="shared" si="213"/>
        <v>#REF!</v>
      </c>
      <c r="AV301" s="263">
        <f t="shared" si="214"/>
        <v>29651644</v>
      </c>
      <c r="AW301" s="263" t="e">
        <f t="shared" si="215"/>
        <v>#REF!</v>
      </c>
      <c r="AX301" s="263" t="e">
        <f>AV301+#REF!+AH301+AA301+T301</f>
        <v>#REF!</v>
      </c>
      <c r="AY301" s="263" t="e">
        <f t="shared" si="216"/>
        <v>#REF!</v>
      </c>
      <c r="AZ301" s="263" t="e">
        <f t="shared" si="217"/>
        <v>#REF!</v>
      </c>
      <c r="BA301" s="263" t="e">
        <f t="shared" si="218"/>
        <v>#REF!</v>
      </c>
      <c r="BB301" s="263" t="e">
        <f t="shared" si="219"/>
        <v>#REF!</v>
      </c>
      <c r="BC301" s="263" t="e">
        <f t="shared" si="220"/>
        <v>#REF!</v>
      </c>
      <c r="BD301" s="263" t="e">
        <f t="shared" si="221"/>
        <v>#REF!</v>
      </c>
      <c r="BE301" s="263" t="e">
        <f>BC301+AV301+#REF!+AH301+AA301</f>
        <v>#REF!</v>
      </c>
      <c r="BF301" s="263" t="e">
        <f t="shared" si="222"/>
        <v>#REF!</v>
      </c>
      <c r="BG301" s="263" t="e">
        <f t="shared" si="223"/>
        <v>#REF!</v>
      </c>
    </row>
    <row r="302" spans="1:59" ht="15.75">
      <c r="A302" s="338">
        <v>23</v>
      </c>
      <c r="B302" s="338" t="s">
        <v>1</v>
      </c>
      <c r="C302" s="258">
        <v>17</v>
      </c>
      <c r="D302" s="328" t="s">
        <v>53</v>
      </c>
      <c r="E302" s="258" t="s">
        <v>9</v>
      </c>
      <c r="F302" s="431">
        <f t="array" ref="F302">MAX((IF(MNU_CODIGO_ALIMENTO_ENTREGA=CONCATENATE($C302,"_","P_"),MNU_GRAMAJE_REQUERIDO_TIPOA,"")))</f>
        <v>0</v>
      </c>
      <c r="G302" s="259">
        <f t="shared" si="224"/>
        <v>0</v>
      </c>
      <c r="H302" s="259">
        <f t="shared" si="225"/>
        <v>0</v>
      </c>
      <c r="I302" s="259">
        <f t="shared" si="226"/>
        <v>0</v>
      </c>
      <c r="J302" s="260">
        <f t="shared" si="227"/>
        <v>0</v>
      </c>
      <c r="K302" s="260">
        <f t="shared" si="228"/>
        <v>0</v>
      </c>
      <c r="L302" s="260">
        <f t="shared" si="229"/>
        <v>0</v>
      </c>
      <c r="M302" s="432">
        <f t="array" ref="M302">MAX((IF(MNU_CODIGO_ALIMENTO_ENTREGA=CONCATENATE($C302,"_","P_"),MNU_GRAMAJE_REQUERIDO_TIPOB,"")))</f>
        <v>100</v>
      </c>
      <c r="N302" s="348">
        <f t="shared" si="230"/>
        <v>145404</v>
      </c>
      <c r="O302" s="348">
        <f t="shared" si="231"/>
        <v>20079</v>
      </c>
      <c r="P302" s="348">
        <f t="shared" si="232"/>
        <v>165483</v>
      </c>
      <c r="Q302" s="349">
        <f t="shared" si="233"/>
        <v>34460748</v>
      </c>
      <c r="R302" s="349">
        <f t="shared" si="234"/>
        <v>4758723</v>
      </c>
      <c r="S302" s="349">
        <f t="shared" si="235"/>
        <v>39219471</v>
      </c>
      <c r="T302" s="353">
        <f t="array" ref="T302">MAX((IF(MNU_CODIGO_ALIMENTO_ENTREGA=CONCATENATE($C302,"_","P_"),MNU_GRAMAJE_REQUERIDO_TIPOC,"")))</f>
        <v>100</v>
      </c>
      <c r="U302" s="259">
        <f t="shared" si="236"/>
        <v>118146</v>
      </c>
      <c r="V302" s="259">
        <f t="shared" si="237"/>
        <v>25392</v>
      </c>
      <c r="W302" s="259">
        <f t="shared" si="238"/>
        <v>143538</v>
      </c>
      <c r="X302" s="260">
        <f t="shared" si="239"/>
        <v>28000602</v>
      </c>
      <c r="Y302" s="260">
        <f t="shared" si="240"/>
        <v>6017904</v>
      </c>
      <c r="Z302" s="260">
        <f t="shared" si="241"/>
        <v>34018506</v>
      </c>
      <c r="AA302" s="258">
        <f t="array" ref="AA302">MAX((IF(MNU_CODIGO_ALIMENTO_ENTREGA=CONCATENATE($C302,"_","P_"),MNU_GRAMAJE_REQUERIDO_TIPOM,"")))</f>
        <v>100</v>
      </c>
      <c r="AB302" s="261">
        <f t="shared" si="242"/>
        <v>0</v>
      </c>
      <c r="AC302" s="261">
        <v>0</v>
      </c>
      <c r="AD302" s="261">
        <f t="shared" si="243"/>
        <v>0</v>
      </c>
      <c r="AE302" s="262">
        <f t="shared" si="244"/>
        <v>0</v>
      </c>
      <c r="AF302" s="262">
        <v>0</v>
      </c>
      <c r="AG302" s="262">
        <f t="shared" si="245"/>
        <v>0</v>
      </c>
      <c r="AH302" s="353">
        <f t="array" ref="AH302">MAX((IF(MNU_CODIGO_ALIMENTO_ENTREGA=CONCATENATE($C302,"_","P_"),MNU_GRAMAJE_REQUERIDO_TIPOH,"")))</f>
        <v>100</v>
      </c>
      <c r="AI302" s="259">
        <f t="shared" si="246"/>
        <v>0</v>
      </c>
      <c r="AJ302" s="259">
        <v>0</v>
      </c>
      <c r="AK302" s="259">
        <f t="shared" si="247"/>
        <v>0</v>
      </c>
      <c r="AL302" s="260">
        <f t="shared" si="248"/>
        <v>0</v>
      </c>
      <c r="AM302" s="260">
        <v>0</v>
      </c>
      <c r="AN302" s="260">
        <f t="shared" si="249"/>
        <v>0</v>
      </c>
      <c r="AO302" s="457">
        <f t="shared" si="250"/>
        <v>309021</v>
      </c>
      <c r="AP302" s="456">
        <f t="shared" si="251"/>
        <v>73237977</v>
      </c>
      <c r="AQ302" s="263" t="e">
        <f>#REF!+AH302+AA302+T302+M302</f>
        <v>#REF!</v>
      </c>
      <c r="AR302" s="263">
        <f t="shared" si="210"/>
        <v>73501527</v>
      </c>
      <c r="AS302" s="263" t="e">
        <f t="shared" si="211"/>
        <v>#REF!</v>
      </c>
      <c r="AT302" s="263">
        <f t="shared" si="212"/>
        <v>73810548</v>
      </c>
      <c r="AU302" s="263" t="e">
        <f t="shared" si="213"/>
        <v>#REF!</v>
      </c>
      <c r="AV302" s="263">
        <f t="shared" si="214"/>
        <v>84587175</v>
      </c>
      <c r="AW302" s="263" t="e">
        <f t="shared" si="215"/>
        <v>#REF!</v>
      </c>
      <c r="AX302" s="263" t="e">
        <f>AV302+#REF!+AH302+AA302+T302</f>
        <v>#REF!</v>
      </c>
      <c r="AY302" s="263" t="e">
        <f t="shared" si="216"/>
        <v>#REF!</v>
      </c>
      <c r="AZ302" s="263" t="e">
        <f t="shared" si="217"/>
        <v>#REF!</v>
      </c>
      <c r="BA302" s="263" t="e">
        <f t="shared" si="218"/>
        <v>#REF!</v>
      </c>
      <c r="BB302" s="263" t="e">
        <f t="shared" si="219"/>
        <v>#REF!</v>
      </c>
      <c r="BC302" s="263" t="e">
        <f t="shared" si="220"/>
        <v>#REF!</v>
      </c>
      <c r="BD302" s="263" t="e">
        <f t="shared" si="221"/>
        <v>#REF!</v>
      </c>
      <c r="BE302" s="263" t="e">
        <f>BC302+AV302+#REF!+AH302+AA302</f>
        <v>#REF!</v>
      </c>
      <c r="BF302" s="263" t="e">
        <f t="shared" si="222"/>
        <v>#REF!</v>
      </c>
      <c r="BG302" s="263" t="e">
        <f t="shared" si="223"/>
        <v>#REF!</v>
      </c>
    </row>
    <row r="303" spans="1:59" ht="15.75">
      <c r="A303" s="338">
        <v>23</v>
      </c>
      <c r="B303" s="338" t="s">
        <v>1</v>
      </c>
      <c r="C303" s="258">
        <v>22</v>
      </c>
      <c r="D303" s="328" t="s">
        <v>51</v>
      </c>
      <c r="E303" s="258" t="s">
        <v>9</v>
      </c>
      <c r="F303" s="431">
        <f t="array" ref="F303">MAX((IF(MNU_CODIGO_ALIMENTO_ENTREGA=CONCATENATE($C303,"_","P_"),MNU_GRAMAJE_REQUERIDO_TIPOA,"")))</f>
        <v>0</v>
      </c>
      <c r="G303" s="259">
        <f t="shared" si="224"/>
        <v>0</v>
      </c>
      <c r="H303" s="259">
        <f t="shared" si="225"/>
        <v>0</v>
      </c>
      <c r="I303" s="259">
        <f t="shared" si="226"/>
        <v>0</v>
      </c>
      <c r="J303" s="260">
        <f t="shared" si="227"/>
        <v>0</v>
      </c>
      <c r="K303" s="260">
        <f t="shared" si="228"/>
        <v>0</v>
      </c>
      <c r="L303" s="260">
        <f t="shared" si="229"/>
        <v>0</v>
      </c>
      <c r="M303" s="432">
        <f t="array" ref="M303">MAX((IF(MNU_CODIGO_ALIMENTO_ENTREGA=CONCATENATE($C303,"_","P_"),MNU_GRAMAJE_REQUERIDO_TIPOB,"")))</f>
        <v>100</v>
      </c>
      <c r="N303" s="348">
        <f t="shared" si="230"/>
        <v>138480</v>
      </c>
      <c r="O303" s="348">
        <f t="shared" si="231"/>
        <v>20079</v>
      </c>
      <c r="P303" s="348">
        <f t="shared" si="232"/>
        <v>158559</v>
      </c>
      <c r="Q303" s="349">
        <f t="shared" si="233"/>
        <v>76302480</v>
      </c>
      <c r="R303" s="349">
        <f t="shared" si="234"/>
        <v>11063529</v>
      </c>
      <c r="S303" s="349">
        <f t="shared" si="235"/>
        <v>87366009</v>
      </c>
      <c r="T303" s="353">
        <f t="array" ref="T303">MAX((IF(MNU_CODIGO_ALIMENTO_ENTREGA=CONCATENATE($C303,"_","P_"),MNU_GRAMAJE_REQUERIDO_TIPOC,"")))</f>
        <v>100</v>
      </c>
      <c r="U303" s="259">
        <f t="shared" si="236"/>
        <v>112520</v>
      </c>
      <c r="V303" s="259">
        <f t="shared" si="237"/>
        <v>25392</v>
      </c>
      <c r="W303" s="259">
        <f t="shared" si="238"/>
        <v>137912</v>
      </c>
      <c r="X303" s="260">
        <f t="shared" si="239"/>
        <v>61998520</v>
      </c>
      <c r="Y303" s="260">
        <f t="shared" si="240"/>
        <v>13990992</v>
      </c>
      <c r="Z303" s="260">
        <f t="shared" si="241"/>
        <v>75989512</v>
      </c>
      <c r="AA303" s="258">
        <f t="array" ref="AA303">MAX((IF(MNU_CODIGO_ALIMENTO_ENTREGA=CONCATENATE($C303,"_","P_"),MNU_GRAMAJE_REQUERIDO_TIPOM,"")))</f>
        <v>100</v>
      </c>
      <c r="AB303" s="261">
        <f t="shared" si="242"/>
        <v>0</v>
      </c>
      <c r="AC303" s="261">
        <v>0</v>
      </c>
      <c r="AD303" s="261">
        <f t="shared" si="243"/>
        <v>0</v>
      </c>
      <c r="AE303" s="262">
        <f t="shared" si="244"/>
        <v>0</v>
      </c>
      <c r="AF303" s="262">
        <v>0</v>
      </c>
      <c r="AG303" s="262">
        <f t="shared" si="245"/>
        <v>0</v>
      </c>
      <c r="AH303" s="353">
        <f t="array" ref="AH303">MAX((IF(MNU_CODIGO_ALIMENTO_ENTREGA=CONCATENATE($C303,"_","P_"),MNU_GRAMAJE_REQUERIDO_TIPOH,"")))</f>
        <v>100</v>
      </c>
      <c r="AI303" s="259">
        <f t="shared" si="246"/>
        <v>0</v>
      </c>
      <c r="AJ303" s="259">
        <v>0</v>
      </c>
      <c r="AK303" s="259">
        <f t="shared" si="247"/>
        <v>0</v>
      </c>
      <c r="AL303" s="260">
        <f t="shared" si="248"/>
        <v>0</v>
      </c>
      <c r="AM303" s="260">
        <v>0</v>
      </c>
      <c r="AN303" s="260">
        <f t="shared" si="249"/>
        <v>0</v>
      </c>
      <c r="AO303" s="457">
        <f t="shared" si="250"/>
        <v>296471</v>
      </c>
      <c r="AP303" s="456">
        <f t="shared" si="251"/>
        <v>163355521</v>
      </c>
      <c r="AQ303" s="263" t="e">
        <f>#REF!+AH303+AA303+T303+M303</f>
        <v>#REF!</v>
      </c>
      <c r="AR303" s="263">
        <f t="shared" si="210"/>
        <v>163606521</v>
      </c>
      <c r="AS303" s="263" t="e">
        <f t="shared" si="211"/>
        <v>#REF!</v>
      </c>
      <c r="AT303" s="263">
        <f t="shared" si="212"/>
        <v>163902992</v>
      </c>
      <c r="AU303" s="263" t="e">
        <f t="shared" si="213"/>
        <v>#REF!</v>
      </c>
      <c r="AV303" s="263">
        <f t="shared" si="214"/>
        <v>188957513</v>
      </c>
      <c r="AW303" s="263" t="e">
        <f t="shared" si="215"/>
        <v>#REF!</v>
      </c>
      <c r="AX303" s="263" t="e">
        <f>AV303+#REF!+AH303+AA303+T303</f>
        <v>#REF!</v>
      </c>
      <c r="AY303" s="263" t="e">
        <f t="shared" si="216"/>
        <v>#REF!</v>
      </c>
      <c r="AZ303" s="263" t="e">
        <f t="shared" si="217"/>
        <v>#REF!</v>
      </c>
      <c r="BA303" s="263" t="e">
        <f t="shared" si="218"/>
        <v>#REF!</v>
      </c>
      <c r="BB303" s="263" t="e">
        <f t="shared" si="219"/>
        <v>#REF!</v>
      </c>
      <c r="BC303" s="263" t="e">
        <f t="shared" si="220"/>
        <v>#REF!</v>
      </c>
      <c r="BD303" s="263" t="e">
        <f t="shared" si="221"/>
        <v>#REF!</v>
      </c>
      <c r="BE303" s="263" t="e">
        <f>BC303+AV303+#REF!+AH303+AA303</f>
        <v>#REF!</v>
      </c>
      <c r="BF303" s="263" t="e">
        <f t="shared" si="222"/>
        <v>#REF!</v>
      </c>
      <c r="BG303" s="263" t="e">
        <f t="shared" si="223"/>
        <v>#REF!</v>
      </c>
    </row>
    <row r="304" spans="1:59" ht="15.75">
      <c r="A304" s="338">
        <v>23</v>
      </c>
      <c r="B304" s="338" t="s">
        <v>1</v>
      </c>
      <c r="C304" s="258">
        <v>33</v>
      </c>
      <c r="D304" s="328" t="s">
        <v>59</v>
      </c>
      <c r="E304" s="258" t="s">
        <v>48</v>
      </c>
      <c r="F304" s="431">
        <v>1</v>
      </c>
      <c r="G304" s="259">
        <f t="shared" si="224"/>
        <v>148500</v>
      </c>
      <c r="H304" s="259">
        <f t="shared" si="225"/>
        <v>25897</v>
      </c>
      <c r="I304" s="259">
        <f t="shared" si="226"/>
        <v>174397</v>
      </c>
      <c r="J304" s="260">
        <f t="shared" si="227"/>
        <v>42025500</v>
      </c>
      <c r="K304" s="260">
        <f t="shared" si="228"/>
        <v>7328851</v>
      </c>
      <c r="L304" s="260">
        <f t="shared" si="229"/>
        <v>49354351</v>
      </c>
      <c r="M304" s="432">
        <v>1</v>
      </c>
      <c r="N304" s="348">
        <f t="shared" si="230"/>
        <v>124632</v>
      </c>
      <c r="O304" s="348">
        <f t="shared" si="231"/>
        <v>20079</v>
      </c>
      <c r="P304" s="348">
        <f t="shared" si="232"/>
        <v>144711</v>
      </c>
      <c r="Q304" s="349">
        <f t="shared" si="233"/>
        <v>35270856</v>
      </c>
      <c r="R304" s="349">
        <f t="shared" si="234"/>
        <v>5682357</v>
      </c>
      <c r="S304" s="349">
        <f t="shared" si="235"/>
        <v>40953213</v>
      </c>
      <c r="T304" s="431">
        <v>1</v>
      </c>
      <c r="U304" s="259">
        <f t="shared" si="236"/>
        <v>101268</v>
      </c>
      <c r="V304" s="259">
        <f t="shared" si="237"/>
        <v>25392</v>
      </c>
      <c r="W304" s="259">
        <f t="shared" si="238"/>
        <v>126660</v>
      </c>
      <c r="X304" s="260">
        <f t="shared" si="239"/>
        <v>28658844</v>
      </c>
      <c r="Y304" s="260">
        <f t="shared" si="240"/>
        <v>7185936</v>
      </c>
      <c r="Z304" s="260">
        <f t="shared" si="241"/>
        <v>35844780</v>
      </c>
      <c r="AA304" s="258">
        <v>1</v>
      </c>
      <c r="AB304" s="261">
        <f t="shared" si="242"/>
        <v>0</v>
      </c>
      <c r="AC304" s="261">
        <v>0</v>
      </c>
      <c r="AD304" s="261">
        <f t="shared" si="243"/>
        <v>0</v>
      </c>
      <c r="AE304" s="262">
        <f t="shared" si="244"/>
        <v>0</v>
      </c>
      <c r="AF304" s="262">
        <v>0</v>
      </c>
      <c r="AG304" s="262">
        <f t="shared" si="245"/>
        <v>0</v>
      </c>
      <c r="AH304" s="353">
        <v>1</v>
      </c>
      <c r="AI304" s="259">
        <f t="shared" si="246"/>
        <v>0</v>
      </c>
      <c r="AJ304" s="259">
        <v>0</v>
      </c>
      <c r="AK304" s="259">
        <f t="shared" si="247"/>
        <v>0</v>
      </c>
      <c r="AL304" s="260">
        <f t="shared" si="248"/>
        <v>0</v>
      </c>
      <c r="AM304" s="260">
        <v>0</v>
      </c>
      <c r="AN304" s="260">
        <f t="shared" si="249"/>
        <v>0</v>
      </c>
      <c r="AO304" s="457">
        <f t="shared" si="250"/>
        <v>445768</v>
      </c>
      <c r="AP304" s="456">
        <f t="shared" si="251"/>
        <v>126152344</v>
      </c>
      <c r="AQ304" s="263" t="e">
        <f>#REF!+AH304+AA304+T304+M304</f>
        <v>#REF!</v>
      </c>
      <c r="AR304" s="263">
        <f t="shared" si="210"/>
        <v>126378244</v>
      </c>
      <c r="AS304" s="263" t="e">
        <f t="shared" si="211"/>
        <v>#REF!</v>
      </c>
      <c r="AT304" s="263">
        <f t="shared" si="212"/>
        <v>126649615</v>
      </c>
      <c r="AU304" s="263" t="e">
        <f t="shared" si="213"/>
        <v>#REF!</v>
      </c>
      <c r="AV304" s="263">
        <f t="shared" si="214"/>
        <v>139517908</v>
      </c>
      <c r="AW304" s="263" t="e">
        <f t="shared" si="215"/>
        <v>#REF!</v>
      </c>
      <c r="AX304" s="263" t="e">
        <f>AV304+#REF!+AH304+AA304+T304</f>
        <v>#REF!</v>
      </c>
      <c r="AY304" s="263" t="e">
        <f t="shared" si="216"/>
        <v>#REF!</v>
      </c>
      <c r="AZ304" s="263" t="e">
        <f t="shared" si="217"/>
        <v>#REF!</v>
      </c>
      <c r="BA304" s="263" t="e">
        <f t="shared" si="218"/>
        <v>#REF!</v>
      </c>
      <c r="BB304" s="263" t="e">
        <f t="shared" si="219"/>
        <v>#REF!</v>
      </c>
      <c r="BC304" s="263" t="e">
        <f t="shared" si="220"/>
        <v>#REF!</v>
      </c>
      <c r="BD304" s="263" t="e">
        <f t="shared" si="221"/>
        <v>#REF!</v>
      </c>
      <c r="BE304" s="263" t="e">
        <f>BC304+AV304+#REF!+AH304+AA304</f>
        <v>#REF!</v>
      </c>
      <c r="BF304" s="263" t="e">
        <f t="shared" si="222"/>
        <v>#REF!</v>
      </c>
      <c r="BG304" s="263" t="e">
        <f t="shared" si="223"/>
        <v>#REF!</v>
      </c>
    </row>
    <row r="305" spans="1:59" ht="15.75">
      <c r="A305" s="338">
        <v>23</v>
      </c>
      <c r="B305" s="338" t="s">
        <v>1</v>
      </c>
      <c r="C305" s="258">
        <v>36</v>
      </c>
      <c r="D305" s="328" t="s">
        <v>1340</v>
      </c>
      <c r="E305" s="258" t="s">
        <v>9</v>
      </c>
      <c r="F305" s="431">
        <f t="array" ref="F305">MAX((IF(MNU_CODIGO_ALIMENTO_ENTREGA=CONCATENATE($C305,"_","P_"),MNU_GRAMAJE_REQUERIDO_TIPOA,"")))</f>
        <v>20</v>
      </c>
      <c r="G305" s="259">
        <f t="shared" si="224"/>
        <v>38500</v>
      </c>
      <c r="H305" s="259">
        <f t="shared" si="225"/>
        <v>7144</v>
      </c>
      <c r="I305" s="259">
        <f t="shared" si="226"/>
        <v>45644</v>
      </c>
      <c r="J305" s="260">
        <f t="shared" si="227"/>
        <v>5082000</v>
      </c>
      <c r="K305" s="260">
        <f t="shared" si="228"/>
        <v>943008</v>
      </c>
      <c r="L305" s="260">
        <f t="shared" si="229"/>
        <v>6025008</v>
      </c>
      <c r="M305" s="432">
        <f t="array" ref="M305">MAX((IF(MNU_CODIGO_ALIMENTO_ENTREGA=CONCATENATE($C305,"_","P_"),MNU_GRAMAJE_REQUERIDO_TIPOB,"")))</f>
        <v>40</v>
      </c>
      <c r="N305" s="348">
        <f t="shared" si="230"/>
        <v>48468</v>
      </c>
      <c r="O305" s="348">
        <f t="shared" si="231"/>
        <v>6984</v>
      </c>
      <c r="P305" s="348">
        <f t="shared" si="232"/>
        <v>55452</v>
      </c>
      <c r="Q305" s="349">
        <f t="shared" si="233"/>
        <v>12844020</v>
      </c>
      <c r="R305" s="349">
        <f t="shared" si="234"/>
        <v>1850760</v>
      </c>
      <c r="S305" s="349">
        <f t="shared" si="235"/>
        <v>14694780</v>
      </c>
      <c r="T305" s="353">
        <f t="array" ref="T305">MAX((IF(MNU_CODIGO_ALIMENTO_ENTREGA=CONCATENATE($C305,"_","P_"),MNU_GRAMAJE_REQUERIDO_TIPOC,"")))</f>
        <v>40</v>
      </c>
      <c r="U305" s="259">
        <f t="shared" si="236"/>
        <v>39382</v>
      </c>
      <c r="V305" s="259">
        <f t="shared" si="237"/>
        <v>8832</v>
      </c>
      <c r="W305" s="259">
        <f t="shared" si="238"/>
        <v>48214</v>
      </c>
      <c r="X305" s="260">
        <f t="shared" si="239"/>
        <v>10436230</v>
      </c>
      <c r="Y305" s="260">
        <f t="shared" si="240"/>
        <v>2340480</v>
      </c>
      <c r="Z305" s="260">
        <f t="shared" si="241"/>
        <v>12776710</v>
      </c>
      <c r="AA305" s="258">
        <f t="array" ref="AA305">MAX((IF(MNU_CODIGO_ALIMENTO_ENTREGA=CONCATENATE($C305,"_","P_"),MNU_GRAMAJE_REQUERIDO_TIPOM,"")))</f>
        <v>40</v>
      </c>
      <c r="AB305" s="261">
        <f t="shared" si="242"/>
        <v>0</v>
      </c>
      <c r="AC305" s="261">
        <v>0</v>
      </c>
      <c r="AD305" s="261">
        <f t="shared" si="243"/>
        <v>0</v>
      </c>
      <c r="AE305" s="262">
        <f t="shared" si="244"/>
        <v>0</v>
      </c>
      <c r="AF305" s="262">
        <v>0</v>
      </c>
      <c r="AG305" s="262">
        <f t="shared" si="245"/>
        <v>0</v>
      </c>
      <c r="AH305" s="353">
        <f t="array" ref="AH305">MAX((IF(MNU_CODIGO_ALIMENTO_ENTREGA=CONCATENATE($C305,"_","P_"),MNU_GRAMAJE_REQUERIDO_TIPOH,"")))</f>
        <v>40</v>
      </c>
      <c r="AI305" s="259">
        <f t="shared" si="246"/>
        <v>0</v>
      </c>
      <c r="AJ305" s="259">
        <v>0</v>
      </c>
      <c r="AK305" s="259">
        <f t="shared" si="247"/>
        <v>0</v>
      </c>
      <c r="AL305" s="260">
        <f t="shared" si="248"/>
        <v>0</v>
      </c>
      <c r="AM305" s="260">
        <v>0</v>
      </c>
      <c r="AN305" s="260">
        <f t="shared" si="249"/>
        <v>0</v>
      </c>
      <c r="AO305" s="457">
        <f t="shared" si="250"/>
        <v>149310</v>
      </c>
      <c r="AP305" s="456">
        <f t="shared" si="251"/>
        <v>33496498</v>
      </c>
      <c r="AQ305" s="263" t="e">
        <f>#REF!+AH305+AA305+T305+M305</f>
        <v>#REF!</v>
      </c>
      <c r="AR305" s="263">
        <f t="shared" si="210"/>
        <v>33584348</v>
      </c>
      <c r="AS305" s="263" t="e">
        <f t="shared" si="211"/>
        <v>#REF!</v>
      </c>
      <c r="AT305" s="263">
        <f t="shared" si="212"/>
        <v>33688014</v>
      </c>
      <c r="AU305" s="263" t="e">
        <f t="shared" si="213"/>
        <v>#REF!</v>
      </c>
      <c r="AV305" s="263">
        <f t="shared" si="214"/>
        <v>37879254</v>
      </c>
      <c r="AW305" s="263" t="e">
        <f t="shared" si="215"/>
        <v>#REF!</v>
      </c>
      <c r="AX305" s="263" t="e">
        <f>AV305+#REF!+AH305+AA305+T305</f>
        <v>#REF!</v>
      </c>
      <c r="AY305" s="263" t="e">
        <f t="shared" si="216"/>
        <v>#REF!</v>
      </c>
      <c r="AZ305" s="263" t="e">
        <f t="shared" si="217"/>
        <v>#REF!</v>
      </c>
      <c r="BA305" s="263" t="e">
        <f t="shared" si="218"/>
        <v>#REF!</v>
      </c>
      <c r="BB305" s="263" t="e">
        <f t="shared" si="219"/>
        <v>#REF!</v>
      </c>
      <c r="BC305" s="263" t="e">
        <f t="shared" si="220"/>
        <v>#REF!</v>
      </c>
      <c r="BD305" s="263" t="e">
        <f t="shared" si="221"/>
        <v>#REF!</v>
      </c>
      <c r="BE305" s="263" t="e">
        <f>BC305+AV305+#REF!+AH305+AA305</f>
        <v>#REF!</v>
      </c>
      <c r="BF305" s="263" t="e">
        <f t="shared" si="222"/>
        <v>#REF!</v>
      </c>
      <c r="BG305" s="263" t="e">
        <f t="shared" si="223"/>
        <v>#REF!</v>
      </c>
    </row>
    <row r="306" spans="1:59" ht="15.75">
      <c r="A306" s="338">
        <v>23</v>
      </c>
      <c r="B306" s="338" t="s">
        <v>1</v>
      </c>
      <c r="C306" s="258">
        <v>42</v>
      </c>
      <c r="D306" s="328" t="s">
        <v>61</v>
      </c>
      <c r="E306" s="258" t="s">
        <v>9</v>
      </c>
      <c r="F306" s="431">
        <f t="array" ref="F306">MAX((IF(MNU_CODIGO_ALIMENTO_ENTREGA=CONCATENATE($C306,"_","P_"),MNU_GRAMAJE_REQUERIDO_TIPOA,"")))</f>
        <v>100</v>
      </c>
      <c r="G306" s="259">
        <f t="shared" si="224"/>
        <v>126500</v>
      </c>
      <c r="H306" s="259">
        <f t="shared" si="225"/>
        <v>32148</v>
      </c>
      <c r="I306" s="259">
        <f t="shared" si="226"/>
        <v>158648</v>
      </c>
      <c r="J306" s="260">
        <f t="shared" si="227"/>
        <v>25806000</v>
      </c>
      <c r="K306" s="260">
        <f t="shared" si="228"/>
        <v>6558192</v>
      </c>
      <c r="L306" s="260">
        <f t="shared" si="229"/>
        <v>32364192</v>
      </c>
      <c r="M306" s="432">
        <f t="array" ref="M306">MAX((IF(MNU_CODIGO_ALIMENTO_ENTREGA=CONCATENATE($C306,"_","P_"),MNU_GRAMAJE_REQUERIDO_TIPOB,"")))</f>
        <v>100</v>
      </c>
      <c r="N306" s="348">
        <f t="shared" si="230"/>
        <v>131556</v>
      </c>
      <c r="O306" s="348">
        <f t="shared" si="231"/>
        <v>16587</v>
      </c>
      <c r="P306" s="348">
        <f t="shared" si="232"/>
        <v>148143</v>
      </c>
      <c r="Q306" s="349">
        <f t="shared" si="233"/>
        <v>26837424</v>
      </c>
      <c r="R306" s="349">
        <f t="shared" si="234"/>
        <v>3383748</v>
      </c>
      <c r="S306" s="349">
        <f t="shared" si="235"/>
        <v>30221172</v>
      </c>
      <c r="T306" s="353">
        <f t="array" ref="T306">MAX((IF(MNU_CODIGO_ALIMENTO_ENTREGA=CONCATENATE($C306,"_","P_"),MNU_GRAMAJE_REQUERIDO_TIPOC,"")))</f>
        <v>100</v>
      </c>
      <c r="U306" s="259">
        <f t="shared" si="236"/>
        <v>106894</v>
      </c>
      <c r="V306" s="259">
        <f t="shared" si="237"/>
        <v>20976</v>
      </c>
      <c r="W306" s="259">
        <f t="shared" si="238"/>
        <v>127870</v>
      </c>
      <c r="X306" s="260">
        <f t="shared" si="239"/>
        <v>21806376</v>
      </c>
      <c r="Y306" s="260">
        <f t="shared" si="240"/>
        <v>4279104</v>
      </c>
      <c r="Z306" s="260">
        <f t="shared" si="241"/>
        <v>26085480</v>
      </c>
      <c r="AA306" s="258">
        <f t="array" ref="AA306">MAX((IF(MNU_CODIGO_ALIMENTO_ENTREGA=CONCATENATE($C306,"_","P_"),MNU_GRAMAJE_REQUERIDO_TIPOM,"")))</f>
        <v>100</v>
      </c>
      <c r="AB306" s="261">
        <f t="shared" si="242"/>
        <v>0</v>
      </c>
      <c r="AC306" s="261">
        <v>0</v>
      </c>
      <c r="AD306" s="261">
        <f t="shared" si="243"/>
        <v>0</v>
      </c>
      <c r="AE306" s="262">
        <f t="shared" si="244"/>
        <v>0</v>
      </c>
      <c r="AF306" s="262">
        <v>0</v>
      </c>
      <c r="AG306" s="262">
        <f t="shared" si="245"/>
        <v>0</v>
      </c>
      <c r="AH306" s="353">
        <f t="array" ref="AH306">MAX((IF(MNU_CODIGO_ALIMENTO_ENTREGA=CONCATENATE($C306,"_","P_"),MNU_GRAMAJE_REQUERIDO_TIPOH,"")))</f>
        <v>100</v>
      </c>
      <c r="AI306" s="259">
        <f t="shared" si="246"/>
        <v>0</v>
      </c>
      <c r="AJ306" s="259">
        <v>0</v>
      </c>
      <c r="AK306" s="259">
        <f t="shared" si="247"/>
        <v>0</v>
      </c>
      <c r="AL306" s="260">
        <f t="shared" si="248"/>
        <v>0</v>
      </c>
      <c r="AM306" s="260">
        <v>0</v>
      </c>
      <c r="AN306" s="260">
        <f t="shared" si="249"/>
        <v>0</v>
      </c>
      <c r="AO306" s="457">
        <f t="shared" si="250"/>
        <v>434661</v>
      </c>
      <c r="AP306" s="456">
        <f t="shared" si="251"/>
        <v>88670844</v>
      </c>
      <c r="AQ306" s="263" t="e">
        <f>#REF!+AH306+AA306+T306+M306</f>
        <v>#REF!</v>
      </c>
      <c r="AR306" s="263">
        <f t="shared" si="210"/>
        <v>88909294</v>
      </c>
      <c r="AS306" s="263" t="e">
        <f t="shared" si="211"/>
        <v>#REF!</v>
      </c>
      <c r="AT306" s="263">
        <f t="shared" si="212"/>
        <v>89185307</v>
      </c>
      <c r="AU306" s="263" t="e">
        <f t="shared" si="213"/>
        <v>#REF!</v>
      </c>
      <c r="AV306" s="263">
        <f t="shared" si="214"/>
        <v>96848159</v>
      </c>
      <c r="AW306" s="263" t="e">
        <f t="shared" si="215"/>
        <v>#REF!</v>
      </c>
      <c r="AX306" s="263" t="e">
        <f>AV306+#REF!+AH306+AA306+T306</f>
        <v>#REF!</v>
      </c>
      <c r="AY306" s="263" t="e">
        <f t="shared" si="216"/>
        <v>#REF!</v>
      </c>
      <c r="AZ306" s="263" t="e">
        <f t="shared" si="217"/>
        <v>#REF!</v>
      </c>
      <c r="BA306" s="263" t="e">
        <f t="shared" si="218"/>
        <v>#REF!</v>
      </c>
      <c r="BB306" s="263" t="e">
        <f t="shared" si="219"/>
        <v>#REF!</v>
      </c>
      <c r="BC306" s="263" t="e">
        <f t="shared" si="220"/>
        <v>#REF!</v>
      </c>
      <c r="BD306" s="263" t="e">
        <f t="shared" si="221"/>
        <v>#REF!</v>
      </c>
      <c r="BE306" s="263" t="e">
        <f>BC306+AV306+#REF!+AH306+AA306</f>
        <v>#REF!</v>
      </c>
      <c r="BF306" s="263" t="e">
        <f t="shared" si="222"/>
        <v>#REF!</v>
      </c>
      <c r="BG306" s="263" t="e">
        <f t="shared" si="223"/>
        <v>#REF!</v>
      </c>
    </row>
    <row r="307" spans="1:59" ht="15.75">
      <c r="A307" s="338">
        <v>23</v>
      </c>
      <c r="B307" s="338" t="s">
        <v>1</v>
      </c>
      <c r="C307" s="258">
        <v>43</v>
      </c>
      <c r="D307" s="328" t="s">
        <v>62</v>
      </c>
      <c r="E307" s="258" t="s">
        <v>9</v>
      </c>
      <c r="F307" s="431">
        <f t="array" ref="F307">MAX((IF(MNU_CODIGO_ALIMENTO_ENTREGA=CONCATENATE($C307,"_","P_"),MNU_GRAMAJE_REQUERIDO_TIPOA,"")))</f>
        <v>100</v>
      </c>
      <c r="G307" s="259">
        <f t="shared" si="224"/>
        <v>132000</v>
      </c>
      <c r="H307" s="259">
        <f t="shared" si="225"/>
        <v>25897</v>
      </c>
      <c r="I307" s="259">
        <f t="shared" si="226"/>
        <v>157897</v>
      </c>
      <c r="J307" s="260">
        <f t="shared" si="227"/>
        <v>23496000</v>
      </c>
      <c r="K307" s="260">
        <f t="shared" si="228"/>
        <v>4609666</v>
      </c>
      <c r="L307" s="260">
        <f t="shared" si="229"/>
        <v>28105666</v>
      </c>
      <c r="M307" s="432">
        <f t="array" ref="M307">MAX((IF(MNU_CODIGO_ALIMENTO_ENTREGA=CONCATENATE($C307,"_","P_"),MNU_GRAMAJE_REQUERIDO_TIPOB,"")))</f>
        <v>100</v>
      </c>
      <c r="N307" s="348">
        <f t="shared" si="230"/>
        <v>117708</v>
      </c>
      <c r="O307" s="348">
        <f t="shared" si="231"/>
        <v>20079</v>
      </c>
      <c r="P307" s="348">
        <f t="shared" si="232"/>
        <v>137787</v>
      </c>
      <c r="Q307" s="349">
        <f t="shared" si="233"/>
        <v>20952024</v>
      </c>
      <c r="R307" s="349">
        <f t="shared" si="234"/>
        <v>3574062</v>
      </c>
      <c r="S307" s="349">
        <f t="shared" si="235"/>
        <v>24526086</v>
      </c>
      <c r="T307" s="353">
        <f t="array" ref="T307">MAX((IF(MNU_CODIGO_ALIMENTO_ENTREGA=CONCATENATE($C307,"_","P_"),MNU_GRAMAJE_REQUERIDO_TIPOC,"")))</f>
        <v>100</v>
      </c>
      <c r="U307" s="259">
        <f t="shared" si="236"/>
        <v>95642</v>
      </c>
      <c r="V307" s="259">
        <f t="shared" si="237"/>
        <v>25392</v>
      </c>
      <c r="W307" s="259">
        <f t="shared" si="238"/>
        <v>121034</v>
      </c>
      <c r="X307" s="260">
        <f t="shared" si="239"/>
        <v>17024276</v>
      </c>
      <c r="Y307" s="260">
        <f t="shared" si="240"/>
        <v>4519776</v>
      </c>
      <c r="Z307" s="260">
        <f t="shared" si="241"/>
        <v>21544052</v>
      </c>
      <c r="AA307" s="258">
        <f t="array" ref="AA307">MAX((IF(MNU_CODIGO_ALIMENTO_ENTREGA=CONCATENATE($C307,"_","P_"),MNU_GRAMAJE_REQUERIDO_TIPOM,"")))</f>
        <v>100</v>
      </c>
      <c r="AB307" s="261">
        <f t="shared" si="242"/>
        <v>0</v>
      </c>
      <c r="AC307" s="261">
        <v>0</v>
      </c>
      <c r="AD307" s="261">
        <f t="shared" si="243"/>
        <v>0</v>
      </c>
      <c r="AE307" s="262">
        <f t="shared" si="244"/>
        <v>0</v>
      </c>
      <c r="AF307" s="262">
        <v>0</v>
      </c>
      <c r="AG307" s="262">
        <f t="shared" si="245"/>
        <v>0</v>
      </c>
      <c r="AH307" s="353">
        <f t="array" ref="AH307">MAX((IF(MNU_CODIGO_ALIMENTO_ENTREGA=CONCATENATE($C307,"_","P_"),MNU_GRAMAJE_REQUERIDO_TIPOH,"")))</f>
        <v>100</v>
      </c>
      <c r="AI307" s="259">
        <f t="shared" si="246"/>
        <v>0</v>
      </c>
      <c r="AJ307" s="259">
        <v>0</v>
      </c>
      <c r="AK307" s="259">
        <f t="shared" si="247"/>
        <v>0</v>
      </c>
      <c r="AL307" s="260">
        <f t="shared" si="248"/>
        <v>0</v>
      </c>
      <c r="AM307" s="260">
        <v>0</v>
      </c>
      <c r="AN307" s="260">
        <f t="shared" si="249"/>
        <v>0</v>
      </c>
      <c r="AO307" s="457">
        <f t="shared" si="250"/>
        <v>416718</v>
      </c>
      <c r="AP307" s="456">
        <f t="shared" si="251"/>
        <v>74175804</v>
      </c>
      <c r="AQ307" s="263" t="e">
        <f>#REF!+AH307+AA307+T307+M307</f>
        <v>#REF!</v>
      </c>
      <c r="AR307" s="263">
        <f t="shared" si="210"/>
        <v>74389154</v>
      </c>
      <c r="AS307" s="263" t="e">
        <f t="shared" si="211"/>
        <v>#REF!</v>
      </c>
      <c r="AT307" s="263">
        <f t="shared" si="212"/>
        <v>74647975</v>
      </c>
      <c r="AU307" s="263" t="e">
        <f t="shared" si="213"/>
        <v>#REF!</v>
      </c>
      <c r="AV307" s="263">
        <f t="shared" si="214"/>
        <v>82741813</v>
      </c>
      <c r="AW307" s="263" t="e">
        <f t="shared" si="215"/>
        <v>#REF!</v>
      </c>
      <c r="AX307" s="263" t="e">
        <f>AV307+#REF!+AH307+AA307+T307</f>
        <v>#REF!</v>
      </c>
      <c r="AY307" s="263" t="e">
        <f t="shared" si="216"/>
        <v>#REF!</v>
      </c>
      <c r="AZ307" s="263" t="e">
        <f t="shared" si="217"/>
        <v>#REF!</v>
      </c>
      <c r="BA307" s="263" t="e">
        <f t="shared" si="218"/>
        <v>#REF!</v>
      </c>
      <c r="BB307" s="263" t="e">
        <f t="shared" si="219"/>
        <v>#REF!</v>
      </c>
      <c r="BC307" s="263" t="e">
        <f t="shared" si="220"/>
        <v>#REF!</v>
      </c>
      <c r="BD307" s="263" t="e">
        <f t="shared" si="221"/>
        <v>#REF!</v>
      </c>
      <c r="BE307" s="263" t="e">
        <f>BC307+AV307+#REF!+AH307+AA307</f>
        <v>#REF!</v>
      </c>
      <c r="BF307" s="263" t="e">
        <f t="shared" si="222"/>
        <v>#REF!</v>
      </c>
      <c r="BG307" s="263" t="e">
        <f t="shared" si="223"/>
        <v>#REF!</v>
      </c>
    </row>
    <row r="308" spans="1:59" ht="15.75">
      <c r="A308" s="338">
        <v>23</v>
      </c>
      <c r="B308" s="338" t="s">
        <v>1</v>
      </c>
      <c r="C308" s="258">
        <v>46</v>
      </c>
      <c r="D308" s="328" t="s">
        <v>64</v>
      </c>
      <c r="E308" s="258" t="s">
        <v>9</v>
      </c>
      <c r="F308" s="431">
        <f t="array" ref="F308">MAX((IF(MNU_CODIGO_ALIMENTO_ENTREGA=CONCATENATE($C308,"_","P_"),MNU_GRAMAJE_REQUERIDO_TIPOA,"")))</f>
        <v>100</v>
      </c>
      <c r="G308" s="259">
        <f t="shared" si="224"/>
        <v>165000</v>
      </c>
      <c r="H308" s="259">
        <f t="shared" si="225"/>
        <v>25897</v>
      </c>
      <c r="I308" s="259">
        <f t="shared" si="226"/>
        <v>190897</v>
      </c>
      <c r="J308" s="260">
        <f t="shared" si="227"/>
        <v>68970000</v>
      </c>
      <c r="K308" s="260">
        <f t="shared" si="228"/>
        <v>10824946</v>
      </c>
      <c r="L308" s="260">
        <f t="shared" si="229"/>
        <v>79794946</v>
      </c>
      <c r="M308" s="432">
        <f t="array" ref="M308">MAX((IF(MNU_CODIGO_ALIMENTO_ENTREGA=CONCATENATE($C308,"_","P_"),MNU_GRAMAJE_REQUERIDO_TIPOB,"")))</f>
        <v>100</v>
      </c>
      <c r="N308" s="348">
        <f t="shared" si="230"/>
        <v>145404</v>
      </c>
      <c r="O308" s="348">
        <f t="shared" si="231"/>
        <v>20952</v>
      </c>
      <c r="P308" s="348">
        <f t="shared" si="232"/>
        <v>166356</v>
      </c>
      <c r="Q308" s="349">
        <f t="shared" si="233"/>
        <v>60778872</v>
      </c>
      <c r="R308" s="349">
        <f t="shared" si="234"/>
        <v>8757936</v>
      </c>
      <c r="S308" s="349">
        <f t="shared" si="235"/>
        <v>69536808</v>
      </c>
      <c r="T308" s="353">
        <f t="array" ref="T308">MAX((IF(MNU_CODIGO_ALIMENTO_ENTREGA=CONCATENATE($C308,"_","P_"),MNU_GRAMAJE_REQUERIDO_TIPOC,"")))</f>
        <v>100</v>
      </c>
      <c r="U308" s="259">
        <f t="shared" si="236"/>
        <v>118146</v>
      </c>
      <c r="V308" s="259">
        <f t="shared" si="237"/>
        <v>26496</v>
      </c>
      <c r="W308" s="259">
        <f t="shared" si="238"/>
        <v>144642</v>
      </c>
      <c r="X308" s="260">
        <f t="shared" si="239"/>
        <v>49385028</v>
      </c>
      <c r="Y308" s="260">
        <f t="shared" si="240"/>
        <v>11075328</v>
      </c>
      <c r="Z308" s="260">
        <f t="shared" si="241"/>
        <v>60460356</v>
      </c>
      <c r="AA308" s="258">
        <f t="array" ref="AA308">MAX((IF(MNU_CODIGO_ALIMENTO_ENTREGA=CONCATENATE($C308,"_","P_"),MNU_GRAMAJE_REQUERIDO_TIPOM,"")))</f>
        <v>100</v>
      </c>
      <c r="AB308" s="261">
        <f t="shared" si="242"/>
        <v>0</v>
      </c>
      <c r="AC308" s="261">
        <v>0</v>
      </c>
      <c r="AD308" s="261">
        <f t="shared" si="243"/>
        <v>0</v>
      </c>
      <c r="AE308" s="262">
        <f t="shared" si="244"/>
        <v>0</v>
      </c>
      <c r="AF308" s="262">
        <v>0</v>
      </c>
      <c r="AG308" s="262">
        <f t="shared" si="245"/>
        <v>0</v>
      </c>
      <c r="AH308" s="353">
        <f t="array" ref="AH308">MAX((IF(MNU_CODIGO_ALIMENTO_ENTREGA=CONCATENATE($C308,"_","P_"),MNU_GRAMAJE_REQUERIDO_TIPOH,"")))</f>
        <v>100</v>
      </c>
      <c r="AI308" s="259">
        <f t="shared" si="246"/>
        <v>0</v>
      </c>
      <c r="AJ308" s="259">
        <v>0</v>
      </c>
      <c r="AK308" s="259">
        <f t="shared" si="247"/>
        <v>0</v>
      </c>
      <c r="AL308" s="260">
        <f t="shared" si="248"/>
        <v>0</v>
      </c>
      <c r="AM308" s="260">
        <v>0</v>
      </c>
      <c r="AN308" s="260">
        <f t="shared" si="249"/>
        <v>0</v>
      </c>
      <c r="AO308" s="457">
        <f t="shared" si="250"/>
        <v>501895</v>
      </c>
      <c r="AP308" s="456">
        <f t="shared" si="251"/>
        <v>209792110</v>
      </c>
      <c r="AQ308" s="263" t="e">
        <f>#REF!+AH308+AA308+T308+M308</f>
        <v>#REF!</v>
      </c>
      <c r="AR308" s="263">
        <f t="shared" si="210"/>
        <v>210055660</v>
      </c>
      <c r="AS308" s="263" t="e">
        <f t="shared" si="211"/>
        <v>#REF!</v>
      </c>
      <c r="AT308" s="263">
        <f t="shared" si="212"/>
        <v>210366658</v>
      </c>
      <c r="AU308" s="263" t="e">
        <f t="shared" si="213"/>
        <v>#REF!</v>
      </c>
      <c r="AV308" s="263">
        <f t="shared" si="214"/>
        <v>230199922</v>
      </c>
      <c r="AW308" s="263" t="e">
        <f t="shared" si="215"/>
        <v>#REF!</v>
      </c>
      <c r="AX308" s="263" t="e">
        <f>AV308+#REF!+AH308+AA308+T308</f>
        <v>#REF!</v>
      </c>
      <c r="AY308" s="263" t="e">
        <f t="shared" si="216"/>
        <v>#REF!</v>
      </c>
      <c r="AZ308" s="263" t="e">
        <f t="shared" si="217"/>
        <v>#REF!</v>
      </c>
      <c r="BA308" s="263" t="e">
        <f t="shared" si="218"/>
        <v>#REF!</v>
      </c>
      <c r="BB308" s="263" t="e">
        <f t="shared" si="219"/>
        <v>#REF!</v>
      </c>
      <c r="BC308" s="263" t="e">
        <f t="shared" si="220"/>
        <v>#REF!</v>
      </c>
      <c r="BD308" s="263" t="e">
        <f t="shared" si="221"/>
        <v>#REF!</v>
      </c>
      <c r="BE308" s="263" t="e">
        <f>BC308+AV308+#REF!+AH308+AA308</f>
        <v>#REF!</v>
      </c>
      <c r="BF308" s="263" t="e">
        <f t="shared" si="222"/>
        <v>#REF!</v>
      </c>
      <c r="BG308" s="263" t="e">
        <f t="shared" si="223"/>
        <v>#REF!</v>
      </c>
    </row>
    <row r="309" spans="1:59" ht="15.75">
      <c r="A309" s="338">
        <v>23</v>
      </c>
      <c r="B309" s="338" t="s">
        <v>1</v>
      </c>
      <c r="C309" s="258">
        <v>58</v>
      </c>
      <c r="D309" s="328" t="s">
        <v>67</v>
      </c>
      <c r="E309" s="258" t="s">
        <v>9</v>
      </c>
      <c r="F309" s="431">
        <f t="array" ref="F309">MAX((IF(MNU_CODIGO_ALIMENTO_ENTREGA=CONCATENATE($C309,"_","P_"),MNU_GRAMAJE_REQUERIDO_TIPOA,"")))</f>
        <v>100</v>
      </c>
      <c r="G309" s="259">
        <f t="shared" si="224"/>
        <v>132000</v>
      </c>
      <c r="H309" s="259">
        <f t="shared" si="225"/>
        <v>25004</v>
      </c>
      <c r="I309" s="259">
        <f t="shared" si="226"/>
        <v>157004</v>
      </c>
      <c r="J309" s="260">
        <f t="shared" si="227"/>
        <v>21384000</v>
      </c>
      <c r="K309" s="260">
        <f t="shared" si="228"/>
        <v>4050648</v>
      </c>
      <c r="L309" s="260">
        <f t="shared" si="229"/>
        <v>25434648</v>
      </c>
      <c r="M309" s="432">
        <f t="array" ref="M309">MAX((IF(MNU_CODIGO_ALIMENTO_ENTREGA=CONCATENATE($C309,"_","P_"),MNU_GRAMAJE_REQUERIDO_TIPOB,"")))</f>
        <v>100</v>
      </c>
      <c r="N309" s="348">
        <f t="shared" si="230"/>
        <v>159252</v>
      </c>
      <c r="O309" s="348">
        <f t="shared" si="231"/>
        <v>20079</v>
      </c>
      <c r="P309" s="348">
        <f t="shared" si="232"/>
        <v>179331</v>
      </c>
      <c r="Q309" s="349">
        <f t="shared" si="233"/>
        <v>25798824</v>
      </c>
      <c r="R309" s="349">
        <f t="shared" si="234"/>
        <v>3252798</v>
      </c>
      <c r="S309" s="349">
        <f t="shared" si="235"/>
        <v>29051622</v>
      </c>
      <c r="T309" s="353">
        <f t="array" ref="T309">MAX((IF(MNU_CODIGO_ALIMENTO_ENTREGA=CONCATENATE($C309,"_","P_"),MNU_GRAMAJE_REQUERIDO_TIPOC,"")))</f>
        <v>100</v>
      </c>
      <c r="U309" s="259">
        <f t="shared" si="236"/>
        <v>129398</v>
      </c>
      <c r="V309" s="259">
        <f t="shared" si="237"/>
        <v>25392</v>
      </c>
      <c r="W309" s="259">
        <f t="shared" si="238"/>
        <v>154790</v>
      </c>
      <c r="X309" s="260">
        <f t="shared" si="239"/>
        <v>20962476</v>
      </c>
      <c r="Y309" s="260">
        <f t="shared" si="240"/>
        <v>4113504</v>
      </c>
      <c r="Z309" s="260">
        <f t="shared" si="241"/>
        <v>25075980</v>
      </c>
      <c r="AA309" s="258">
        <f t="array" ref="AA309">MAX((IF(MNU_CODIGO_ALIMENTO_ENTREGA=CONCATENATE($C309,"_","P_"),MNU_GRAMAJE_REQUERIDO_TIPOM,"")))</f>
        <v>100</v>
      </c>
      <c r="AB309" s="261">
        <f t="shared" si="242"/>
        <v>0</v>
      </c>
      <c r="AC309" s="261">
        <v>0</v>
      </c>
      <c r="AD309" s="261">
        <f t="shared" si="243"/>
        <v>0</v>
      </c>
      <c r="AE309" s="262">
        <f t="shared" si="244"/>
        <v>0</v>
      </c>
      <c r="AF309" s="262">
        <v>0</v>
      </c>
      <c r="AG309" s="262">
        <f t="shared" si="245"/>
        <v>0</v>
      </c>
      <c r="AH309" s="353">
        <f t="array" ref="AH309">MAX((IF(MNU_CODIGO_ALIMENTO_ENTREGA=CONCATENATE($C309,"_","P_"),MNU_GRAMAJE_REQUERIDO_TIPOH,"")))</f>
        <v>100</v>
      </c>
      <c r="AI309" s="259">
        <f t="shared" si="246"/>
        <v>0</v>
      </c>
      <c r="AJ309" s="259">
        <v>0</v>
      </c>
      <c r="AK309" s="259">
        <f t="shared" si="247"/>
        <v>0</v>
      </c>
      <c r="AL309" s="260">
        <f t="shared" si="248"/>
        <v>0</v>
      </c>
      <c r="AM309" s="260">
        <v>0</v>
      </c>
      <c r="AN309" s="260">
        <f t="shared" si="249"/>
        <v>0</v>
      </c>
      <c r="AO309" s="457">
        <f t="shared" si="250"/>
        <v>491125</v>
      </c>
      <c r="AP309" s="456">
        <f t="shared" si="251"/>
        <v>79562250</v>
      </c>
      <c r="AQ309" s="263" t="e">
        <f>#REF!+AH309+AA309+T309+M309</f>
        <v>#REF!</v>
      </c>
      <c r="AR309" s="263">
        <f t="shared" si="210"/>
        <v>79850900</v>
      </c>
      <c r="AS309" s="263" t="e">
        <f t="shared" si="211"/>
        <v>#REF!</v>
      </c>
      <c r="AT309" s="263">
        <f t="shared" si="212"/>
        <v>80185021</v>
      </c>
      <c r="AU309" s="263" t="e">
        <f t="shared" si="213"/>
        <v>#REF!</v>
      </c>
      <c r="AV309" s="263">
        <f t="shared" si="214"/>
        <v>87551323</v>
      </c>
      <c r="AW309" s="263" t="e">
        <f t="shared" si="215"/>
        <v>#REF!</v>
      </c>
      <c r="AX309" s="263" t="e">
        <f>AV309+#REF!+AH309+AA309+T309</f>
        <v>#REF!</v>
      </c>
      <c r="AY309" s="263" t="e">
        <f t="shared" si="216"/>
        <v>#REF!</v>
      </c>
      <c r="AZ309" s="263" t="e">
        <f t="shared" si="217"/>
        <v>#REF!</v>
      </c>
      <c r="BA309" s="263" t="e">
        <f t="shared" si="218"/>
        <v>#REF!</v>
      </c>
      <c r="BB309" s="263" t="e">
        <f t="shared" si="219"/>
        <v>#REF!</v>
      </c>
      <c r="BC309" s="263" t="e">
        <f t="shared" si="220"/>
        <v>#REF!</v>
      </c>
      <c r="BD309" s="263" t="e">
        <f t="shared" si="221"/>
        <v>#REF!</v>
      </c>
      <c r="BE309" s="263" t="e">
        <f>BC309+AV309+#REF!+AH309+AA309</f>
        <v>#REF!</v>
      </c>
      <c r="BF309" s="263" t="e">
        <f t="shared" si="222"/>
        <v>#REF!</v>
      </c>
      <c r="BG309" s="263" t="e">
        <f t="shared" si="223"/>
        <v>#REF!</v>
      </c>
    </row>
    <row r="310" spans="1:59" ht="15.75">
      <c r="A310" s="338">
        <v>23</v>
      </c>
      <c r="B310" s="338" t="s">
        <v>1</v>
      </c>
      <c r="C310" s="258">
        <v>59</v>
      </c>
      <c r="D310" s="328" t="s">
        <v>99</v>
      </c>
      <c r="E310" s="258" t="s">
        <v>9</v>
      </c>
      <c r="F310" s="431">
        <f t="array" ref="F310">MAX((IF(MNU_CODIGO_ALIMENTO_ENTREGA=CONCATENATE($C310,"_","P_"),MNU_GRAMAJE_REQUERIDO_TIPOA,"")))</f>
        <v>0</v>
      </c>
      <c r="G310" s="259">
        <f t="shared" si="224"/>
        <v>0</v>
      </c>
      <c r="H310" s="259">
        <f t="shared" si="225"/>
        <v>0</v>
      </c>
      <c r="I310" s="259">
        <f t="shared" si="226"/>
        <v>0</v>
      </c>
      <c r="J310" s="260">
        <f t="shared" si="227"/>
        <v>0</v>
      </c>
      <c r="K310" s="260">
        <f t="shared" si="228"/>
        <v>0</v>
      </c>
      <c r="L310" s="260">
        <f t="shared" si="229"/>
        <v>0</v>
      </c>
      <c r="M310" s="432">
        <f t="array" ref="M310">MAX((IF(MNU_CODIGO_ALIMENTO_ENTREGA=CONCATENATE($C310,"_","P_"),MNU_GRAMAJE_REQUERIDO_TIPOB,"")))</f>
        <v>100</v>
      </c>
      <c r="N310" s="348">
        <f t="shared" si="230"/>
        <v>55392</v>
      </c>
      <c r="O310" s="348">
        <f t="shared" si="231"/>
        <v>9603</v>
      </c>
      <c r="P310" s="348">
        <f t="shared" si="232"/>
        <v>64995</v>
      </c>
      <c r="Q310" s="349">
        <f t="shared" si="233"/>
        <v>16617600</v>
      </c>
      <c r="R310" s="349">
        <f t="shared" si="234"/>
        <v>2880900</v>
      </c>
      <c r="S310" s="349">
        <f t="shared" si="235"/>
        <v>19498500</v>
      </c>
      <c r="T310" s="353">
        <f t="array" ref="T310">MAX((IF(MNU_CODIGO_ALIMENTO_ENTREGA=CONCATENATE($C310,"_","P_"),MNU_GRAMAJE_REQUERIDO_TIPOC,"")))</f>
        <v>100</v>
      </c>
      <c r="U310" s="259">
        <f t="shared" si="236"/>
        <v>45008</v>
      </c>
      <c r="V310" s="259">
        <f t="shared" si="237"/>
        <v>12144</v>
      </c>
      <c r="W310" s="259">
        <f t="shared" si="238"/>
        <v>57152</v>
      </c>
      <c r="X310" s="260">
        <f t="shared" si="239"/>
        <v>13502400</v>
      </c>
      <c r="Y310" s="260">
        <f t="shared" si="240"/>
        <v>3643200</v>
      </c>
      <c r="Z310" s="260">
        <f t="shared" si="241"/>
        <v>17145600</v>
      </c>
      <c r="AA310" s="258">
        <f t="array" ref="AA310">MAX((IF(MNU_CODIGO_ALIMENTO_ENTREGA=CONCATENATE($C310,"_","P_"),MNU_GRAMAJE_REQUERIDO_TIPOM,"")))</f>
        <v>100</v>
      </c>
      <c r="AB310" s="261">
        <f t="shared" si="242"/>
        <v>0</v>
      </c>
      <c r="AC310" s="261">
        <v>0</v>
      </c>
      <c r="AD310" s="261">
        <f t="shared" si="243"/>
        <v>0</v>
      </c>
      <c r="AE310" s="262">
        <f t="shared" si="244"/>
        <v>0</v>
      </c>
      <c r="AF310" s="262">
        <v>0</v>
      </c>
      <c r="AG310" s="262">
        <f t="shared" si="245"/>
        <v>0</v>
      </c>
      <c r="AH310" s="353">
        <f t="array" ref="AH310">MAX((IF(MNU_CODIGO_ALIMENTO_ENTREGA=CONCATENATE($C310,"_","P_"),MNU_GRAMAJE_REQUERIDO_TIPOH,"")))</f>
        <v>100</v>
      </c>
      <c r="AI310" s="259">
        <f t="shared" si="246"/>
        <v>0</v>
      </c>
      <c r="AJ310" s="259">
        <v>0</v>
      </c>
      <c r="AK310" s="259">
        <f t="shared" si="247"/>
        <v>0</v>
      </c>
      <c r="AL310" s="260">
        <f t="shared" si="248"/>
        <v>0</v>
      </c>
      <c r="AM310" s="260">
        <v>0</v>
      </c>
      <c r="AN310" s="260">
        <f t="shared" si="249"/>
        <v>0</v>
      </c>
      <c r="AO310" s="457">
        <f t="shared" si="250"/>
        <v>122147</v>
      </c>
      <c r="AP310" s="456">
        <f t="shared" si="251"/>
        <v>36644100</v>
      </c>
      <c r="AQ310" s="263" t="e">
        <f>#REF!+AH310+AA310+T310+M310</f>
        <v>#REF!</v>
      </c>
      <c r="AR310" s="263">
        <f t="shared" si="210"/>
        <v>36744500</v>
      </c>
      <c r="AS310" s="263" t="e">
        <f t="shared" si="211"/>
        <v>#REF!</v>
      </c>
      <c r="AT310" s="263">
        <f t="shared" si="212"/>
        <v>36866647</v>
      </c>
      <c r="AU310" s="263" t="e">
        <f t="shared" si="213"/>
        <v>#REF!</v>
      </c>
      <c r="AV310" s="263">
        <f t="shared" si="214"/>
        <v>43390747</v>
      </c>
      <c r="AW310" s="263" t="e">
        <f t="shared" si="215"/>
        <v>#REF!</v>
      </c>
      <c r="AX310" s="263" t="e">
        <f>AV310+#REF!+AH310+AA310+T310</f>
        <v>#REF!</v>
      </c>
      <c r="AY310" s="263" t="e">
        <f t="shared" si="216"/>
        <v>#REF!</v>
      </c>
      <c r="AZ310" s="263" t="e">
        <f t="shared" si="217"/>
        <v>#REF!</v>
      </c>
      <c r="BA310" s="263" t="e">
        <f t="shared" si="218"/>
        <v>#REF!</v>
      </c>
      <c r="BB310" s="263" t="e">
        <f t="shared" si="219"/>
        <v>#REF!</v>
      </c>
      <c r="BC310" s="263" t="e">
        <f t="shared" si="220"/>
        <v>#REF!</v>
      </c>
      <c r="BD310" s="263" t="e">
        <f t="shared" si="221"/>
        <v>#REF!</v>
      </c>
      <c r="BE310" s="263" t="e">
        <f>BC310+AV310+#REF!+AH310+AA310</f>
        <v>#REF!</v>
      </c>
      <c r="BF310" s="263" t="e">
        <f t="shared" si="222"/>
        <v>#REF!</v>
      </c>
      <c r="BG310" s="263" t="e">
        <f t="shared" si="223"/>
        <v>#REF!</v>
      </c>
    </row>
    <row r="311" spans="1:59" ht="15.75">
      <c r="A311" s="338">
        <v>23</v>
      </c>
      <c r="B311" s="338" t="s">
        <v>1</v>
      </c>
      <c r="C311" s="258">
        <v>69</v>
      </c>
      <c r="D311" s="328" t="s">
        <v>70</v>
      </c>
      <c r="E311" s="258" t="s">
        <v>9</v>
      </c>
      <c r="F311" s="431">
        <f t="array" ref="F311">MAX((IF(MNU_CODIGO_ALIMENTO_ENTREGA=CONCATENATE($C311,"_","P_"),MNU_GRAMAJE_REQUERIDO_TIPOA,"")))</f>
        <v>100</v>
      </c>
      <c r="G311" s="259">
        <f t="shared" si="224"/>
        <v>165000</v>
      </c>
      <c r="H311" s="259">
        <f t="shared" si="225"/>
        <v>16074</v>
      </c>
      <c r="I311" s="259">
        <f t="shared" si="226"/>
        <v>181074</v>
      </c>
      <c r="J311" s="260">
        <f t="shared" si="227"/>
        <v>52800000</v>
      </c>
      <c r="K311" s="260">
        <f t="shared" si="228"/>
        <v>5143680</v>
      </c>
      <c r="L311" s="260">
        <f t="shared" si="229"/>
        <v>57943680</v>
      </c>
      <c r="M311" s="432">
        <f t="array" ref="M311">MAX((IF(MNU_CODIGO_ALIMENTO_ENTREGA=CONCATENATE($C311,"_","P_"),MNU_GRAMAJE_REQUERIDO_TIPOB,"")))</f>
        <v>100</v>
      </c>
      <c r="N311" s="348">
        <f t="shared" si="230"/>
        <v>110784</v>
      </c>
      <c r="O311" s="348">
        <f t="shared" si="231"/>
        <v>10476</v>
      </c>
      <c r="P311" s="348">
        <f t="shared" si="232"/>
        <v>121260</v>
      </c>
      <c r="Q311" s="349">
        <f t="shared" si="233"/>
        <v>35450880</v>
      </c>
      <c r="R311" s="349">
        <f t="shared" si="234"/>
        <v>3352320</v>
      </c>
      <c r="S311" s="349">
        <f t="shared" si="235"/>
        <v>38803200</v>
      </c>
      <c r="T311" s="353">
        <f t="array" ref="T311">MAX((IF(MNU_CODIGO_ALIMENTO_ENTREGA=CONCATENATE($C311,"_","P_"),MNU_GRAMAJE_REQUERIDO_TIPOC,"")))</f>
        <v>100</v>
      </c>
      <c r="U311" s="259">
        <f t="shared" si="236"/>
        <v>90016</v>
      </c>
      <c r="V311" s="259">
        <f t="shared" si="237"/>
        <v>13248</v>
      </c>
      <c r="W311" s="259">
        <f t="shared" si="238"/>
        <v>103264</v>
      </c>
      <c r="X311" s="260">
        <f t="shared" si="239"/>
        <v>28805120</v>
      </c>
      <c r="Y311" s="260">
        <f t="shared" si="240"/>
        <v>4239360</v>
      </c>
      <c r="Z311" s="260">
        <f t="shared" si="241"/>
        <v>33044480</v>
      </c>
      <c r="AA311" s="258">
        <f t="array" ref="AA311">MAX((IF(MNU_CODIGO_ALIMENTO_ENTREGA=CONCATENATE($C311,"_","P_"),MNU_GRAMAJE_REQUERIDO_TIPOM,"")))</f>
        <v>100</v>
      </c>
      <c r="AB311" s="261">
        <f t="shared" si="242"/>
        <v>0</v>
      </c>
      <c r="AC311" s="261">
        <v>0</v>
      </c>
      <c r="AD311" s="261">
        <f t="shared" si="243"/>
        <v>0</v>
      </c>
      <c r="AE311" s="262">
        <f t="shared" si="244"/>
        <v>0</v>
      </c>
      <c r="AF311" s="262">
        <v>0</v>
      </c>
      <c r="AG311" s="262">
        <f t="shared" si="245"/>
        <v>0</v>
      </c>
      <c r="AH311" s="353">
        <f t="array" ref="AH311">MAX((IF(MNU_CODIGO_ALIMENTO_ENTREGA=CONCATENATE($C311,"_","P_"),MNU_GRAMAJE_REQUERIDO_TIPOH,"")))</f>
        <v>100</v>
      </c>
      <c r="AI311" s="259">
        <f t="shared" si="246"/>
        <v>0</v>
      </c>
      <c r="AJ311" s="259">
        <v>0</v>
      </c>
      <c r="AK311" s="259">
        <f t="shared" si="247"/>
        <v>0</v>
      </c>
      <c r="AL311" s="260">
        <f t="shared" si="248"/>
        <v>0</v>
      </c>
      <c r="AM311" s="260">
        <v>0</v>
      </c>
      <c r="AN311" s="260">
        <f t="shared" si="249"/>
        <v>0</v>
      </c>
      <c r="AO311" s="457">
        <f t="shared" si="250"/>
        <v>405598</v>
      </c>
      <c r="AP311" s="456">
        <f t="shared" si="251"/>
        <v>129791360</v>
      </c>
      <c r="AQ311" s="263" t="e">
        <f>#REF!+AH311+AA311+T311+M311</f>
        <v>#REF!</v>
      </c>
      <c r="AR311" s="263">
        <f t="shared" si="210"/>
        <v>129992160</v>
      </c>
      <c r="AS311" s="263" t="e">
        <f t="shared" si="211"/>
        <v>#REF!</v>
      </c>
      <c r="AT311" s="263">
        <f t="shared" si="212"/>
        <v>130216684</v>
      </c>
      <c r="AU311" s="263" t="e">
        <f t="shared" si="213"/>
        <v>#REF!</v>
      </c>
      <c r="AV311" s="263">
        <f t="shared" si="214"/>
        <v>137808364</v>
      </c>
      <c r="AW311" s="263" t="e">
        <f t="shared" si="215"/>
        <v>#REF!</v>
      </c>
      <c r="AX311" s="263" t="e">
        <f>AV311+#REF!+AH311+AA311+T311</f>
        <v>#REF!</v>
      </c>
      <c r="AY311" s="263" t="e">
        <f t="shared" si="216"/>
        <v>#REF!</v>
      </c>
      <c r="AZ311" s="263" t="e">
        <f t="shared" si="217"/>
        <v>#REF!</v>
      </c>
      <c r="BA311" s="263" t="e">
        <f t="shared" si="218"/>
        <v>#REF!</v>
      </c>
      <c r="BB311" s="263" t="e">
        <f t="shared" si="219"/>
        <v>#REF!</v>
      </c>
      <c r="BC311" s="263" t="e">
        <f t="shared" si="220"/>
        <v>#REF!</v>
      </c>
      <c r="BD311" s="263" t="e">
        <f t="shared" si="221"/>
        <v>#REF!</v>
      </c>
      <c r="BE311" s="263" t="e">
        <f>BC311+AV311+#REF!+AH311+AA311</f>
        <v>#REF!</v>
      </c>
      <c r="BF311" s="263" t="e">
        <f t="shared" si="222"/>
        <v>#REF!</v>
      </c>
      <c r="BG311" s="263" t="e">
        <f t="shared" si="223"/>
        <v>#REF!</v>
      </c>
    </row>
    <row r="312" spans="1:59" ht="15.75">
      <c r="A312" s="338">
        <v>23</v>
      </c>
      <c r="B312" s="338" t="s">
        <v>1</v>
      </c>
      <c r="C312" s="258">
        <v>70</v>
      </c>
      <c r="D312" s="328" t="s">
        <v>71</v>
      </c>
      <c r="E312" s="258" t="s">
        <v>9</v>
      </c>
      <c r="F312" s="431">
        <f t="array" ref="F312">MAX((IF(MNU_CODIGO_ALIMENTO_ENTREGA=CONCATENATE($C312,"_","P_"),MNU_GRAMAJE_REQUERIDO_TIPOA,"")))</f>
        <v>0</v>
      </c>
      <c r="G312" s="259">
        <f t="shared" si="224"/>
        <v>0</v>
      </c>
      <c r="H312" s="259">
        <f t="shared" si="225"/>
        <v>0</v>
      </c>
      <c r="I312" s="259">
        <f t="shared" si="226"/>
        <v>0</v>
      </c>
      <c r="J312" s="260">
        <f t="shared" si="227"/>
        <v>0</v>
      </c>
      <c r="K312" s="260">
        <f t="shared" si="228"/>
        <v>0</v>
      </c>
      <c r="L312" s="260">
        <f t="shared" si="229"/>
        <v>0</v>
      </c>
      <c r="M312" s="432">
        <f t="array" ref="M312">MAX((IF(MNU_CODIGO_ALIMENTO_ENTREGA=CONCATENATE($C312,"_","P_"),MNU_GRAMAJE_REQUERIDO_TIPOB,"")))</f>
        <v>100</v>
      </c>
      <c r="N312" s="348">
        <f t="shared" si="230"/>
        <v>69240</v>
      </c>
      <c r="O312" s="348">
        <f t="shared" si="231"/>
        <v>6984</v>
      </c>
      <c r="P312" s="348">
        <f t="shared" si="232"/>
        <v>76224</v>
      </c>
      <c r="Q312" s="349">
        <f t="shared" si="233"/>
        <v>31573440</v>
      </c>
      <c r="R312" s="349">
        <f t="shared" si="234"/>
        <v>3184704</v>
      </c>
      <c r="S312" s="349">
        <f t="shared" si="235"/>
        <v>34758144</v>
      </c>
      <c r="T312" s="353">
        <f t="array" ref="T312">MAX((IF(MNU_CODIGO_ALIMENTO_ENTREGA=CONCATENATE($C312,"_","P_"),MNU_GRAMAJE_REQUERIDO_TIPOC,"")))</f>
        <v>100</v>
      </c>
      <c r="U312" s="259">
        <f t="shared" si="236"/>
        <v>56260</v>
      </c>
      <c r="V312" s="259">
        <f t="shared" si="237"/>
        <v>8832</v>
      </c>
      <c r="W312" s="259">
        <f t="shared" si="238"/>
        <v>65092</v>
      </c>
      <c r="X312" s="260">
        <f t="shared" si="239"/>
        <v>25654560</v>
      </c>
      <c r="Y312" s="260">
        <f t="shared" si="240"/>
        <v>4027392</v>
      </c>
      <c r="Z312" s="260">
        <f t="shared" si="241"/>
        <v>29681952</v>
      </c>
      <c r="AA312" s="258">
        <f t="array" ref="AA312">MAX((IF(MNU_CODIGO_ALIMENTO_ENTREGA=CONCATENATE($C312,"_","P_"),MNU_GRAMAJE_REQUERIDO_TIPOM,"")))</f>
        <v>100</v>
      </c>
      <c r="AB312" s="261">
        <f t="shared" si="242"/>
        <v>0</v>
      </c>
      <c r="AC312" s="261">
        <v>0</v>
      </c>
      <c r="AD312" s="261">
        <f t="shared" si="243"/>
        <v>0</v>
      </c>
      <c r="AE312" s="262">
        <f t="shared" si="244"/>
        <v>0</v>
      </c>
      <c r="AF312" s="262">
        <v>0</v>
      </c>
      <c r="AG312" s="262">
        <f t="shared" si="245"/>
        <v>0</v>
      </c>
      <c r="AH312" s="353">
        <f t="array" ref="AH312">MAX((IF(MNU_CODIGO_ALIMENTO_ENTREGA=CONCATENATE($C312,"_","P_"),MNU_GRAMAJE_REQUERIDO_TIPOH,"")))</f>
        <v>100</v>
      </c>
      <c r="AI312" s="259">
        <f t="shared" si="246"/>
        <v>0</v>
      </c>
      <c r="AJ312" s="259">
        <v>0</v>
      </c>
      <c r="AK312" s="259">
        <f t="shared" si="247"/>
        <v>0</v>
      </c>
      <c r="AL312" s="260">
        <f t="shared" si="248"/>
        <v>0</v>
      </c>
      <c r="AM312" s="260">
        <v>0</v>
      </c>
      <c r="AN312" s="260">
        <f t="shared" si="249"/>
        <v>0</v>
      </c>
      <c r="AO312" s="457">
        <f t="shared" si="250"/>
        <v>141316</v>
      </c>
      <c r="AP312" s="456">
        <f t="shared" si="251"/>
        <v>64440096</v>
      </c>
      <c r="AQ312" s="263" t="e">
        <f>#REF!+AH312+AA312+T312+M312</f>
        <v>#REF!</v>
      </c>
      <c r="AR312" s="263">
        <f t="shared" si="210"/>
        <v>64565596</v>
      </c>
      <c r="AS312" s="263" t="e">
        <f t="shared" si="211"/>
        <v>#REF!</v>
      </c>
      <c r="AT312" s="263">
        <f t="shared" si="212"/>
        <v>64706912</v>
      </c>
      <c r="AU312" s="263" t="e">
        <f t="shared" si="213"/>
        <v>#REF!</v>
      </c>
      <c r="AV312" s="263">
        <f t="shared" si="214"/>
        <v>71919008</v>
      </c>
      <c r="AW312" s="263" t="e">
        <f t="shared" si="215"/>
        <v>#REF!</v>
      </c>
      <c r="AX312" s="263" t="e">
        <f>AV312+#REF!+AH312+AA312+T312</f>
        <v>#REF!</v>
      </c>
      <c r="AY312" s="263" t="e">
        <f t="shared" si="216"/>
        <v>#REF!</v>
      </c>
      <c r="AZ312" s="263" t="e">
        <f t="shared" si="217"/>
        <v>#REF!</v>
      </c>
      <c r="BA312" s="263" t="e">
        <f t="shared" si="218"/>
        <v>#REF!</v>
      </c>
      <c r="BB312" s="263" t="e">
        <f t="shared" si="219"/>
        <v>#REF!</v>
      </c>
      <c r="BC312" s="263" t="e">
        <f t="shared" si="220"/>
        <v>#REF!</v>
      </c>
      <c r="BD312" s="263" t="e">
        <f t="shared" si="221"/>
        <v>#REF!</v>
      </c>
      <c r="BE312" s="263" t="e">
        <f>BC312+AV312+#REF!+AH312+AA312</f>
        <v>#REF!</v>
      </c>
      <c r="BF312" s="263" t="e">
        <f t="shared" si="222"/>
        <v>#REF!</v>
      </c>
      <c r="BG312" s="263" t="e">
        <f t="shared" si="223"/>
        <v>#REF!</v>
      </c>
    </row>
    <row r="313" spans="1:59" ht="15.75">
      <c r="A313" s="338">
        <v>24</v>
      </c>
      <c r="B313" s="338" t="s">
        <v>1</v>
      </c>
      <c r="C313" s="258">
        <v>7</v>
      </c>
      <c r="D313" s="328" t="s">
        <v>57</v>
      </c>
      <c r="E313" s="258" t="s">
        <v>9</v>
      </c>
      <c r="F313" s="431">
        <f t="array" ref="F313">MAX((IF(MNU_CODIGO_ALIMENTO_ENTREGA=CONCATENATE($C313,"_","P_"),MNU_GRAMAJE_REQUERIDO_TIPOA,"")))</f>
        <v>100</v>
      </c>
      <c r="G313" s="259">
        <f t="shared" si="224"/>
        <v>130878</v>
      </c>
      <c r="H313" s="259">
        <f t="shared" si="225"/>
        <v>8184</v>
      </c>
      <c r="I313" s="259">
        <f t="shared" si="226"/>
        <v>139062</v>
      </c>
      <c r="J313" s="260">
        <f t="shared" si="227"/>
        <v>14658336</v>
      </c>
      <c r="K313" s="260">
        <f t="shared" si="228"/>
        <v>916608</v>
      </c>
      <c r="L313" s="260">
        <f t="shared" si="229"/>
        <v>15574944</v>
      </c>
      <c r="M313" s="432">
        <f t="array" ref="M313">MAX((IF(MNU_CODIGO_ALIMENTO_ENTREGA=CONCATENATE($C313,"_","P_"),MNU_GRAMAJE_REQUERIDO_TIPOB,"")))</f>
        <v>100</v>
      </c>
      <c r="N313" s="348">
        <f t="shared" si="230"/>
        <v>66663</v>
      </c>
      <c r="O313" s="348">
        <f t="shared" si="231"/>
        <v>8415</v>
      </c>
      <c r="P313" s="348">
        <f t="shared" si="232"/>
        <v>75078</v>
      </c>
      <c r="Q313" s="349">
        <f t="shared" si="233"/>
        <v>7466256</v>
      </c>
      <c r="R313" s="349">
        <f t="shared" si="234"/>
        <v>942480</v>
      </c>
      <c r="S313" s="349">
        <f t="shared" si="235"/>
        <v>8408736</v>
      </c>
      <c r="T313" s="353">
        <f t="array" ref="T313">MAX((IF(MNU_CODIGO_ALIMENTO_ENTREGA=CONCATENATE($C313,"_","P_"),MNU_GRAMAJE_REQUERIDO_TIPOC,"")))</f>
        <v>100</v>
      </c>
      <c r="U313" s="259">
        <f t="shared" si="236"/>
        <v>74475</v>
      </c>
      <c r="V313" s="259">
        <f t="shared" si="237"/>
        <v>13794</v>
      </c>
      <c r="W313" s="259">
        <f t="shared" si="238"/>
        <v>88269</v>
      </c>
      <c r="X313" s="260">
        <f t="shared" si="239"/>
        <v>8341200</v>
      </c>
      <c r="Y313" s="260">
        <f t="shared" si="240"/>
        <v>1544928</v>
      </c>
      <c r="Z313" s="260">
        <f t="shared" si="241"/>
        <v>9886128</v>
      </c>
      <c r="AA313" s="258">
        <f t="array" ref="AA313">MAX((IF(MNU_CODIGO_ALIMENTO_ENTREGA=CONCATENATE($C313,"_","P_"),MNU_GRAMAJE_REQUERIDO_TIPOM,"")))</f>
        <v>100</v>
      </c>
      <c r="AB313" s="261">
        <f t="shared" si="242"/>
        <v>3906</v>
      </c>
      <c r="AC313" s="261">
        <v>0</v>
      </c>
      <c r="AD313" s="261">
        <f t="shared" si="243"/>
        <v>3906</v>
      </c>
      <c r="AE313" s="262">
        <f t="shared" si="244"/>
        <v>437472</v>
      </c>
      <c r="AF313" s="262">
        <v>0</v>
      </c>
      <c r="AG313" s="262">
        <f t="shared" si="245"/>
        <v>437472</v>
      </c>
      <c r="AH313" s="353">
        <f t="array" ref="AH313">MAX((IF(MNU_CODIGO_ALIMENTO_ENTREGA=CONCATENATE($C313,"_","P_"),MNU_GRAMAJE_REQUERIDO_TIPOH,"")))</f>
        <v>100</v>
      </c>
      <c r="AI313" s="259">
        <f t="shared" si="246"/>
        <v>1557</v>
      </c>
      <c r="AJ313" s="259">
        <v>0</v>
      </c>
      <c r="AK313" s="259">
        <f t="shared" si="247"/>
        <v>1557</v>
      </c>
      <c r="AL313" s="260">
        <f t="shared" si="248"/>
        <v>174384</v>
      </c>
      <c r="AM313" s="260">
        <v>0</v>
      </c>
      <c r="AN313" s="260">
        <f t="shared" si="249"/>
        <v>174384</v>
      </c>
      <c r="AO313" s="457">
        <f t="shared" si="250"/>
        <v>307872</v>
      </c>
      <c r="AP313" s="456">
        <f t="shared" si="251"/>
        <v>34481664</v>
      </c>
      <c r="AQ313" s="263" t="e">
        <f>#REF!+AH313+AA313+T313+M313</f>
        <v>#REF!</v>
      </c>
      <c r="AR313" s="263">
        <f t="shared" si="210"/>
        <v>34628265</v>
      </c>
      <c r="AS313" s="263" t="e">
        <f t="shared" si="211"/>
        <v>#REF!</v>
      </c>
      <c r="AT313" s="263">
        <f t="shared" si="212"/>
        <v>34797075</v>
      </c>
      <c r="AU313" s="263" t="e">
        <f t="shared" si="213"/>
        <v>#REF!</v>
      </c>
      <c r="AV313" s="263">
        <f t="shared" si="214"/>
        <v>37284483</v>
      </c>
      <c r="AW313" s="263" t="e">
        <f t="shared" si="215"/>
        <v>#REF!</v>
      </c>
      <c r="AX313" s="263" t="e">
        <f>AV313+#REF!+AH313+AA313+T313</f>
        <v>#REF!</v>
      </c>
      <c r="AY313" s="263" t="e">
        <f t="shared" si="216"/>
        <v>#REF!</v>
      </c>
      <c r="AZ313" s="263" t="e">
        <f t="shared" si="217"/>
        <v>#REF!</v>
      </c>
      <c r="BA313" s="263" t="e">
        <f t="shared" si="218"/>
        <v>#REF!</v>
      </c>
      <c r="BB313" s="263" t="e">
        <f t="shared" si="219"/>
        <v>#REF!</v>
      </c>
      <c r="BC313" s="263" t="e">
        <f t="shared" si="220"/>
        <v>#REF!</v>
      </c>
      <c r="BD313" s="263" t="e">
        <f t="shared" si="221"/>
        <v>#REF!</v>
      </c>
      <c r="BE313" s="263" t="e">
        <f>BC313+AV313+#REF!+AH313+AA313</f>
        <v>#REF!</v>
      </c>
      <c r="BF313" s="263" t="e">
        <f t="shared" si="222"/>
        <v>#REF!</v>
      </c>
      <c r="BG313" s="263" t="e">
        <f t="shared" si="223"/>
        <v>#REF!</v>
      </c>
    </row>
    <row r="314" spans="1:59" ht="15.75">
      <c r="A314" s="338">
        <v>24</v>
      </c>
      <c r="B314" s="338" t="s">
        <v>1</v>
      </c>
      <c r="C314" s="258">
        <v>8</v>
      </c>
      <c r="D314" s="328" t="s">
        <v>55</v>
      </c>
      <c r="E314" s="258" t="s">
        <v>9</v>
      </c>
      <c r="F314" s="431">
        <f t="array" ref="F314">MAX((IF(MNU_CODIGO_ALIMENTO_ENTREGA=CONCATENATE($C314,"_","P_"),MNU_GRAMAJE_REQUERIDO_TIPOA,"")))</f>
        <v>100</v>
      </c>
      <c r="G314" s="259">
        <f t="shared" si="224"/>
        <v>59490</v>
      </c>
      <c r="H314" s="259">
        <f t="shared" si="225"/>
        <v>2904</v>
      </c>
      <c r="I314" s="259">
        <f t="shared" si="226"/>
        <v>62394</v>
      </c>
      <c r="J314" s="260">
        <f t="shared" si="227"/>
        <v>8388090</v>
      </c>
      <c r="K314" s="260">
        <f t="shared" si="228"/>
        <v>409464</v>
      </c>
      <c r="L314" s="260">
        <f t="shared" si="229"/>
        <v>8797554</v>
      </c>
      <c r="M314" s="432">
        <f t="array" ref="M314">MAX((IF(MNU_CODIGO_ALIMENTO_ENTREGA=CONCATENATE($C314,"_","P_"),MNU_GRAMAJE_REQUERIDO_TIPOB,"")))</f>
        <v>100</v>
      </c>
      <c r="N314" s="348">
        <f t="shared" si="230"/>
        <v>59256</v>
      </c>
      <c r="O314" s="348">
        <f t="shared" si="231"/>
        <v>8415</v>
      </c>
      <c r="P314" s="348">
        <f t="shared" si="232"/>
        <v>67671</v>
      </c>
      <c r="Q314" s="349">
        <f t="shared" si="233"/>
        <v>8355096</v>
      </c>
      <c r="R314" s="349">
        <f t="shared" si="234"/>
        <v>1186515</v>
      </c>
      <c r="S314" s="349">
        <f t="shared" si="235"/>
        <v>9541611</v>
      </c>
      <c r="T314" s="353">
        <f t="array" ref="T314">MAX((IF(MNU_CODIGO_ALIMENTO_ENTREGA=CONCATENATE($C314,"_","P_"),MNU_GRAMAJE_REQUERIDO_TIPOC,"")))</f>
        <v>100</v>
      </c>
      <c r="U314" s="259">
        <f t="shared" si="236"/>
        <v>66200</v>
      </c>
      <c r="V314" s="259">
        <f t="shared" si="237"/>
        <v>13794</v>
      </c>
      <c r="W314" s="259">
        <f t="shared" si="238"/>
        <v>79994</v>
      </c>
      <c r="X314" s="260">
        <f t="shared" si="239"/>
        <v>9334200</v>
      </c>
      <c r="Y314" s="260">
        <f t="shared" si="240"/>
        <v>1944954</v>
      </c>
      <c r="Z314" s="260">
        <f t="shared" si="241"/>
        <v>11279154</v>
      </c>
      <c r="AA314" s="258">
        <f t="array" ref="AA314">MAX((IF(MNU_CODIGO_ALIMENTO_ENTREGA=CONCATENATE($C314,"_","P_"),MNU_GRAMAJE_REQUERIDO_TIPOM,"")))</f>
        <v>100</v>
      </c>
      <c r="AB314" s="261">
        <f t="shared" si="242"/>
        <v>3472</v>
      </c>
      <c r="AC314" s="261">
        <v>0</v>
      </c>
      <c r="AD314" s="261">
        <f t="shared" si="243"/>
        <v>3472</v>
      </c>
      <c r="AE314" s="262">
        <f t="shared" si="244"/>
        <v>489552</v>
      </c>
      <c r="AF314" s="262">
        <v>0</v>
      </c>
      <c r="AG314" s="262">
        <f t="shared" si="245"/>
        <v>489552</v>
      </c>
      <c r="AH314" s="353">
        <f t="array" ref="AH314">MAX((IF(MNU_CODIGO_ALIMENTO_ENTREGA=CONCATENATE($C314,"_","P_"),MNU_GRAMAJE_REQUERIDO_TIPOH,"")))</f>
        <v>100</v>
      </c>
      <c r="AI314" s="259">
        <f t="shared" si="246"/>
        <v>1384</v>
      </c>
      <c r="AJ314" s="259">
        <v>0</v>
      </c>
      <c r="AK314" s="259">
        <f t="shared" si="247"/>
        <v>1384</v>
      </c>
      <c r="AL314" s="260">
        <f t="shared" si="248"/>
        <v>195144</v>
      </c>
      <c r="AM314" s="260">
        <v>0</v>
      </c>
      <c r="AN314" s="260">
        <f t="shared" si="249"/>
        <v>195144</v>
      </c>
      <c r="AO314" s="457">
        <f t="shared" si="250"/>
        <v>214915</v>
      </c>
      <c r="AP314" s="456">
        <f t="shared" si="251"/>
        <v>30303015</v>
      </c>
      <c r="AQ314" s="263" t="e">
        <f>#REF!+AH314+AA314+T314+M314</f>
        <v>#REF!</v>
      </c>
      <c r="AR314" s="263">
        <f t="shared" si="210"/>
        <v>30433327</v>
      </c>
      <c r="AS314" s="263" t="e">
        <f t="shared" si="211"/>
        <v>#REF!</v>
      </c>
      <c r="AT314" s="263">
        <f t="shared" si="212"/>
        <v>30585848</v>
      </c>
      <c r="AU314" s="263" t="e">
        <f t="shared" si="213"/>
        <v>#REF!</v>
      </c>
      <c r="AV314" s="263">
        <f t="shared" si="214"/>
        <v>33717317</v>
      </c>
      <c r="AW314" s="263" t="e">
        <f t="shared" si="215"/>
        <v>#REF!</v>
      </c>
      <c r="AX314" s="263" t="e">
        <f>AV314+#REF!+AH314+AA314+T314</f>
        <v>#REF!</v>
      </c>
      <c r="AY314" s="263" t="e">
        <f t="shared" si="216"/>
        <v>#REF!</v>
      </c>
      <c r="AZ314" s="263" t="e">
        <f t="shared" si="217"/>
        <v>#REF!</v>
      </c>
      <c r="BA314" s="263" t="e">
        <f t="shared" si="218"/>
        <v>#REF!</v>
      </c>
      <c r="BB314" s="263" t="e">
        <f t="shared" si="219"/>
        <v>#REF!</v>
      </c>
      <c r="BC314" s="263" t="e">
        <f t="shared" si="220"/>
        <v>#REF!</v>
      </c>
      <c r="BD314" s="263" t="e">
        <f t="shared" si="221"/>
        <v>#REF!</v>
      </c>
      <c r="BE314" s="263" t="e">
        <f>BC314+AV314+#REF!+AH314+AA314</f>
        <v>#REF!</v>
      </c>
      <c r="BF314" s="263" t="e">
        <f t="shared" si="222"/>
        <v>#REF!</v>
      </c>
      <c r="BG314" s="263" t="e">
        <f t="shared" si="223"/>
        <v>#REF!</v>
      </c>
    </row>
    <row r="315" spans="1:59" ht="15.75">
      <c r="A315" s="338">
        <v>24</v>
      </c>
      <c r="B315" s="338" t="s">
        <v>1</v>
      </c>
      <c r="C315" s="258">
        <v>17</v>
      </c>
      <c r="D315" s="328" t="s">
        <v>53</v>
      </c>
      <c r="E315" s="258" t="s">
        <v>9</v>
      </c>
      <c r="F315" s="431">
        <f t="array" ref="F315">MAX((IF(MNU_CODIGO_ALIMENTO_ENTREGA=CONCATENATE($C315,"_","P_"),MNU_GRAMAJE_REQUERIDO_TIPOA,"")))</f>
        <v>0</v>
      </c>
      <c r="G315" s="259">
        <f t="shared" si="224"/>
        <v>0</v>
      </c>
      <c r="H315" s="259">
        <f t="shared" si="225"/>
        <v>0</v>
      </c>
      <c r="I315" s="259">
        <f t="shared" si="226"/>
        <v>0</v>
      </c>
      <c r="J315" s="260">
        <f t="shared" si="227"/>
        <v>0</v>
      </c>
      <c r="K315" s="260">
        <f t="shared" si="228"/>
        <v>0</v>
      </c>
      <c r="L315" s="260">
        <f t="shared" si="229"/>
        <v>0</v>
      </c>
      <c r="M315" s="432">
        <f t="array" ref="M315">MAX((IF(MNU_CODIGO_ALIMENTO_ENTREGA=CONCATENATE($C315,"_","P_"),MNU_GRAMAJE_REQUERIDO_TIPOB,"")))</f>
        <v>100</v>
      </c>
      <c r="N315" s="348">
        <f t="shared" si="230"/>
        <v>155547</v>
      </c>
      <c r="O315" s="348">
        <f t="shared" si="231"/>
        <v>17595</v>
      </c>
      <c r="P315" s="348">
        <f t="shared" si="232"/>
        <v>173142</v>
      </c>
      <c r="Q315" s="349">
        <f t="shared" si="233"/>
        <v>36864639</v>
      </c>
      <c r="R315" s="349">
        <f t="shared" si="234"/>
        <v>4170015</v>
      </c>
      <c r="S315" s="349">
        <f t="shared" si="235"/>
        <v>41034654</v>
      </c>
      <c r="T315" s="353">
        <f t="array" ref="T315">MAX((IF(MNU_CODIGO_ALIMENTO_ENTREGA=CONCATENATE($C315,"_","P_"),MNU_GRAMAJE_REQUERIDO_TIPOC,"")))</f>
        <v>100</v>
      </c>
      <c r="U315" s="259">
        <f t="shared" si="236"/>
        <v>173775</v>
      </c>
      <c r="V315" s="259">
        <f t="shared" si="237"/>
        <v>28842</v>
      </c>
      <c r="W315" s="259">
        <f t="shared" si="238"/>
        <v>202617</v>
      </c>
      <c r="X315" s="260">
        <f t="shared" si="239"/>
        <v>41184675</v>
      </c>
      <c r="Y315" s="260">
        <f t="shared" si="240"/>
        <v>6835554</v>
      </c>
      <c r="Z315" s="260">
        <f t="shared" si="241"/>
        <v>48020229</v>
      </c>
      <c r="AA315" s="258">
        <f t="array" ref="AA315">MAX((IF(MNU_CODIGO_ALIMENTO_ENTREGA=CONCATENATE($C315,"_","P_"),MNU_GRAMAJE_REQUERIDO_TIPOM,"")))</f>
        <v>100</v>
      </c>
      <c r="AB315" s="261">
        <f t="shared" si="242"/>
        <v>9114</v>
      </c>
      <c r="AC315" s="261">
        <v>0</v>
      </c>
      <c r="AD315" s="261">
        <f t="shared" si="243"/>
        <v>9114</v>
      </c>
      <c r="AE315" s="262">
        <f t="shared" si="244"/>
        <v>2160018</v>
      </c>
      <c r="AF315" s="262">
        <v>0</v>
      </c>
      <c r="AG315" s="262">
        <f t="shared" si="245"/>
        <v>2160018</v>
      </c>
      <c r="AH315" s="353">
        <f t="array" ref="AH315">MAX((IF(MNU_CODIGO_ALIMENTO_ENTREGA=CONCATENATE($C315,"_","P_"),MNU_GRAMAJE_REQUERIDO_TIPOH,"")))</f>
        <v>100</v>
      </c>
      <c r="AI315" s="259">
        <f t="shared" si="246"/>
        <v>3633</v>
      </c>
      <c r="AJ315" s="259">
        <v>0</v>
      </c>
      <c r="AK315" s="259">
        <f t="shared" si="247"/>
        <v>3633</v>
      </c>
      <c r="AL315" s="260">
        <f t="shared" si="248"/>
        <v>861021</v>
      </c>
      <c r="AM315" s="260">
        <v>0</v>
      </c>
      <c r="AN315" s="260">
        <f t="shared" si="249"/>
        <v>861021</v>
      </c>
      <c r="AO315" s="457">
        <f t="shared" si="250"/>
        <v>388506</v>
      </c>
      <c r="AP315" s="456">
        <f t="shared" si="251"/>
        <v>92075922</v>
      </c>
      <c r="AQ315" s="263" t="e">
        <f>#REF!+AH315+AA315+T315+M315</f>
        <v>#REF!</v>
      </c>
      <c r="AR315" s="263">
        <f t="shared" si="210"/>
        <v>92417991</v>
      </c>
      <c r="AS315" s="263" t="e">
        <f t="shared" si="211"/>
        <v>#REF!</v>
      </c>
      <c r="AT315" s="263">
        <f t="shared" si="212"/>
        <v>92806497</v>
      </c>
      <c r="AU315" s="263" t="e">
        <f t="shared" si="213"/>
        <v>#REF!</v>
      </c>
      <c r="AV315" s="263">
        <f t="shared" si="214"/>
        <v>103812066</v>
      </c>
      <c r="AW315" s="263" t="e">
        <f t="shared" si="215"/>
        <v>#REF!</v>
      </c>
      <c r="AX315" s="263" t="e">
        <f>AV315+#REF!+AH315+AA315+T315</f>
        <v>#REF!</v>
      </c>
      <c r="AY315" s="263" t="e">
        <f t="shared" si="216"/>
        <v>#REF!</v>
      </c>
      <c r="AZ315" s="263" t="e">
        <f t="shared" si="217"/>
        <v>#REF!</v>
      </c>
      <c r="BA315" s="263" t="e">
        <f t="shared" si="218"/>
        <v>#REF!</v>
      </c>
      <c r="BB315" s="263" t="e">
        <f t="shared" si="219"/>
        <v>#REF!</v>
      </c>
      <c r="BC315" s="263" t="e">
        <f t="shared" si="220"/>
        <v>#REF!</v>
      </c>
      <c r="BD315" s="263" t="e">
        <f t="shared" si="221"/>
        <v>#REF!</v>
      </c>
      <c r="BE315" s="263" t="e">
        <f>BC315+AV315+#REF!+AH315+AA315</f>
        <v>#REF!</v>
      </c>
      <c r="BF315" s="263" t="e">
        <f t="shared" si="222"/>
        <v>#REF!</v>
      </c>
      <c r="BG315" s="263" t="e">
        <f t="shared" si="223"/>
        <v>#REF!</v>
      </c>
    </row>
    <row r="316" spans="1:59" ht="15.75">
      <c r="A316" s="338">
        <v>24</v>
      </c>
      <c r="B316" s="338" t="s">
        <v>1</v>
      </c>
      <c r="C316" s="258">
        <v>22</v>
      </c>
      <c r="D316" s="328" t="s">
        <v>51</v>
      </c>
      <c r="E316" s="258" t="s">
        <v>9</v>
      </c>
      <c r="F316" s="431">
        <f t="array" ref="F316">MAX((IF(MNU_CODIGO_ALIMENTO_ENTREGA=CONCATENATE($C316,"_","P_"),MNU_GRAMAJE_REQUERIDO_TIPOA,"")))</f>
        <v>0</v>
      </c>
      <c r="G316" s="259">
        <f t="shared" si="224"/>
        <v>0</v>
      </c>
      <c r="H316" s="259">
        <f t="shared" si="225"/>
        <v>0</v>
      </c>
      <c r="I316" s="259">
        <f t="shared" si="226"/>
        <v>0</v>
      </c>
      <c r="J316" s="260">
        <f t="shared" si="227"/>
        <v>0</v>
      </c>
      <c r="K316" s="260">
        <f t="shared" si="228"/>
        <v>0</v>
      </c>
      <c r="L316" s="260">
        <f t="shared" si="229"/>
        <v>0</v>
      </c>
      <c r="M316" s="432">
        <f t="array" ref="M316">MAX((IF(MNU_CODIGO_ALIMENTO_ENTREGA=CONCATENATE($C316,"_","P_"),MNU_GRAMAJE_REQUERIDO_TIPOB,"")))</f>
        <v>100</v>
      </c>
      <c r="N316" s="348">
        <f t="shared" si="230"/>
        <v>148140</v>
      </c>
      <c r="O316" s="348">
        <f t="shared" si="231"/>
        <v>17595</v>
      </c>
      <c r="P316" s="348">
        <f t="shared" si="232"/>
        <v>165735</v>
      </c>
      <c r="Q316" s="349">
        <f t="shared" si="233"/>
        <v>81625140</v>
      </c>
      <c r="R316" s="349">
        <f t="shared" si="234"/>
        <v>9694845</v>
      </c>
      <c r="S316" s="349">
        <f t="shared" si="235"/>
        <v>91319985</v>
      </c>
      <c r="T316" s="353">
        <f t="array" ref="T316">MAX((IF(MNU_CODIGO_ALIMENTO_ENTREGA=CONCATENATE($C316,"_","P_"),MNU_GRAMAJE_REQUERIDO_TIPOC,"")))</f>
        <v>100</v>
      </c>
      <c r="U316" s="259">
        <f t="shared" si="236"/>
        <v>165500</v>
      </c>
      <c r="V316" s="259">
        <f t="shared" si="237"/>
        <v>28842</v>
      </c>
      <c r="W316" s="259">
        <f t="shared" si="238"/>
        <v>194342</v>
      </c>
      <c r="X316" s="260">
        <f t="shared" si="239"/>
        <v>91190500</v>
      </c>
      <c r="Y316" s="260">
        <f t="shared" si="240"/>
        <v>15891942</v>
      </c>
      <c r="Z316" s="260">
        <f t="shared" si="241"/>
        <v>107082442</v>
      </c>
      <c r="AA316" s="258">
        <f t="array" ref="AA316">MAX((IF(MNU_CODIGO_ALIMENTO_ENTREGA=CONCATENATE($C316,"_","P_"),MNU_GRAMAJE_REQUERIDO_TIPOM,"")))</f>
        <v>100</v>
      </c>
      <c r="AB316" s="261">
        <f t="shared" si="242"/>
        <v>8680</v>
      </c>
      <c r="AC316" s="261">
        <v>0</v>
      </c>
      <c r="AD316" s="261">
        <f t="shared" si="243"/>
        <v>8680</v>
      </c>
      <c r="AE316" s="262">
        <f t="shared" si="244"/>
        <v>4782680</v>
      </c>
      <c r="AF316" s="262">
        <v>0</v>
      </c>
      <c r="AG316" s="262">
        <f t="shared" si="245"/>
        <v>4782680</v>
      </c>
      <c r="AH316" s="353">
        <f t="array" ref="AH316">MAX((IF(MNU_CODIGO_ALIMENTO_ENTREGA=CONCATENATE($C316,"_","P_"),MNU_GRAMAJE_REQUERIDO_TIPOH,"")))</f>
        <v>100</v>
      </c>
      <c r="AI316" s="259">
        <f t="shared" si="246"/>
        <v>3460</v>
      </c>
      <c r="AJ316" s="259">
        <v>0</v>
      </c>
      <c r="AK316" s="259">
        <f t="shared" si="247"/>
        <v>3460</v>
      </c>
      <c r="AL316" s="260">
        <f t="shared" si="248"/>
        <v>1906460</v>
      </c>
      <c r="AM316" s="260">
        <v>0</v>
      </c>
      <c r="AN316" s="260">
        <f t="shared" si="249"/>
        <v>1906460</v>
      </c>
      <c r="AO316" s="457">
        <f t="shared" si="250"/>
        <v>372217</v>
      </c>
      <c r="AP316" s="456">
        <f t="shared" si="251"/>
        <v>205091567</v>
      </c>
      <c r="AQ316" s="263" t="e">
        <f>#REF!+AH316+AA316+T316+M316</f>
        <v>#REF!</v>
      </c>
      <c r="AR316" s="263">
        <f t="shared" si="210"/>
        <v>205417347</v>
      </c>
      <c r="AS316" s="263" t="e">
        <f t="shared" si="211"/>
        <v>#REF!</v>
      </c>
      <c r="AT316" s="263">
        <f t="shared" si="212"/>
        <v>205789564</v>
      </c>
      <c r="AU316" s="263" t="e">
        <f t="shared" si="213"/>
        <v>#REF!</v>
      </c>
      <c r="AV316" s="263">
        <f t="shared" si="214"/>
        <v>231376351</v>
      </c>
      <c r="AW316" s="263" t="e">
        <f t="shared" si="215"/>
        <v>#REF!</v>
      </c>
      <c r="AX316" s="263" t="e">
        <f>AV316+#REF!+AH316+AA316+T316</f>
        <v>#REF!</v>
      </c>
      <c r="AY316" s="263" t="e">
        <f t="shared" si="216"/>
        <v>#REF!</v>
      </c>
      <c r="AZ316" s="263" t="e">
        <f t="shared" si="217"/>
        <v>#REF!</v>
      </c>
      <c r="BA316" s="263" t="e">
        <f t="shared" si="218"/>
        <v>#REF!</v>
      </c>
      <c r="BB316" s="263" t="e">
        <f t="shared" si="219"/>
        <v>#REF!</v>
      </c>
      <c r="BC316" s="263" t="e">
        <f t="shared" si="220"/>
        <v>#REF!</v>
      </c>
      <c r="BD316" s="263" t="e">
        <f t="shared" si="221"/>
        <v>#REF!</v>
      </c>
      <c r="BE316" s="263" t="e">
        <f>BC316+AV316+#REF!+AH316+AA316</f>
        <v>#REF!</v>
      </c>
      <c r="BF316" s="263" t="e">
        <f t="shared" si="222"/>
        <v>#REF!</v>
      </c>
      <c r="BG316" s="263" t="e">
        <f t="shared" si="223"/>
        <v>#REF!</v>
      </c>
    </row>
    <row r="317" spans="1:59" ht="15.75">
      <c r="A317" s="338">
        <v>24</v>
      </c>
      <c r="B317" s="338" t="s">
        <v>1</v>
      </c>
      <c r="C317" s="258">
        <v>33</v>
      </c>
      <c r="D317" s="328" t="s">
        <v>59</v>
      </c>
      <c r="E317" s="258" t="s">
        <v>48</v>
      </c>
      <c r="F317" s="431">
        <v>1</v>
      </c>
      <c r="G317" s="259">
        <f t="shared" si="224"/>
        <v>160623</v>
      </c>
      <c r="H317" s="259">
        <f t="shared" si="225"/>
        <v>7656</v>
      </c>
      <c r="I317" s="259">
        <f t="shared" si="226"/>
        <v>168279</v>
      </c>
      <c r="J317" s="260">
        <f t="shared" si="227"/>
        <v>45456309</v>
      </c>
      <c r="K317" s="260">
        <f t="shared" si="228"/>
        <v>2166648</v>
      </c>
      <c r="L317" s="260">
        <f t="shared" si="229"/>
        <v>47622957</v>
      </c>
      <c r="M317" s="432">
        <v>1</v>
      </c>
      <c r="N317" s="348">
        <f t="shared" si="230"/>
        <v>133326</v>
      </c>
      <c r="O317" s="348">
        <f t="shared" si="231"/>
        <v>17595</v>
      </c>
      <c r="P317" s="348">
        <f t="shared" si="232"/>
        <v>150921</v>
      </c>
      <c r="Q317" s="349">
        <f t="shared" si="233"/>
        <v>37731258</v>
      </c>
      <c r="R317" s="349">
        <f t="shared" si="234"/>
        <v>4979385</v>
      </c>
      <c r="S317" s="349">
        <f t="shared" si="235"/>
        <v>42710643</v>
      </c>
      <c r="T317" s="431">
        <v>1</v>
      </c>
      <c r="U317" s="259">
        <f t="shared" si="236"/>
        <v>148950</v>
      </c>
      <c r="V317" s="259">
        <f t="shared" si="237"/>
        <v>28842</v>
      </c>
      <c r="W317" s="259">
        <f t="shared" si="238"/>
        <v>177792</v>
      </c>
      <c r="X317" s="260">
        <f t="shared" si="239"/>
        <v>42152850</v>
      </c>
      <c r="Y317" s="260">
        <f t="shared" si="240"/>
        <v>8162286</v>
      </c>
      <c r="Z317" s="260">
        <f t="shared" si="241"/>
        <v>50315136</v>
      </c>
      <c r="AA317" s="258">
        <v>1</v>
      </c>
      <c r="AB317" s="261">
        <f t="shared" si="242"/>
        <v>7812</v>
      </c>
      <c r="AC317" s="261">
        <v>0</v>
      </c>
      <c r="AD317" s="261">
        <f t="shared" si="243"/>
        <v>7812</v>
      </c>
      <c r="AE317" s="262">
        <f t="shared" si="244"/>
        <v>2210796</v>
      </c>
      <c r="AF317" s="262">
        <v>0</v>
      </c>
      <c r="AG317" s="262">
        <f t="shared" si="245"/>
        <v>2210796</v>
      </c>
      <c r="AH317" s="353">
        <v>1</v>
      </c>
      <c r="AI317" s="259">
        <f t="shared" si="246"/>
        <v>3114</v>
      </c>
      <c r="AJ317" s="259">
        <v>0</v>
      </c>
      <c r="AK317" s="259">
        <f t="shared" si="247"/>
        <v>3114</v>
      </c>
      <c r="AL317" s="260">
        <f t="shared" si="248"/>
        <v>881262</v>
      </c>
      <c r="AM317" s="260">
        <v>0</v>
      </c>
      <c r="AN317" s="260">
        <f t="shared" si="249"/>
        <v>881262</v>
      </c>
      <c r="AO317" s="457">
        <f t="shared" si="250"/>
        <v>507918</v>
      </c>
      <c r="AP317" s="456">
        <f t="shared" si="251"/>
        <v>143740794</v>
      </c>
      <c r="AQ317" s="263" t="e">
        <f>#REF!+AH317+AA317+T317+M317</f>
        <v>#REF!</v>
      </c>
      <c r="AR317" s="263">
        <f t="shared" si="210"/>
        <v>144033996</v>
      </c>
      <c r="AS317" s="263" t="e">
        <f t="shared" si="211"/>
        <v>#REF!</v>
      </c>
      <c r="AT317" s="263">
        <f t="shared" si="212"/>
        <v>144373635</v>
      </c>
      <c r="AU317" s="263" t="e">
        <f t="shared" si="213"/>
        <v>#REF!</v>
      </c>
      <c r="AV317" s="263">
        <f t="shared" si="214"/>
        <v>157515306</v>
      </c>
      <c r="AW317" s="263" t="e">
        <f t="shared" si="215"/>
        <v>#REF!</v>
      </c>
      <c r="AX317" s="263" t="e">
        <f>AV317+#REF!+AH317+AA317+T317</f>
        <v>#REF!</v>
      </c>
      <c r="AY317" s="263" t="e">
        <f t="shared" si="216"/>
        <v>#REF!</v>
      </c>
      <c r="AZ317" s="263" t="e">
        <f t="shared" si="217"/>
        <v>#REF!</v>
      </c>
      <c r="BA317" s="263" t="e">
        <f t="shared" si="218"/>
        <v>#REF!</v>
      </c>
      <c r="BB317" s="263" t="e">
        <f t="shared" si="219"/>
        <v>#REF!</v>
      </c>
      <c r="BC317" s="263" t="e">
        <f t="shared" si="220"/>
        <v>#REF!</v>
      </c>
      <c r="BD317" s="263" t="e">
        <f t="shared" si="221"/>
        <v>#REF!</v>
      </c>
      <c r="BE317" s="263" t="e">
        <f>BC317+AV317+#REF!+AH317+AA317</f>
        <v>#REF!</v>
      </c>
      <c r="BF317" s="263" t="e">
        <f t="shared" si="222"/>
        <v>#REF!</v>
      </c>
      <c r="BG317" s="263" t="e">
        <f t="shared" si="223"/>
        <v>#REF!</v>
      </c>
    </row>
    <row r="318" spans="1:59" ht="15.75">
      <c r="A318" s="338">
        <v>24</v>
      </c>
      <c r="B318" s="338" t="s">
        <v>1</v>
      </c>
      <c r="C318" s="258">
        <v>36</v>
      </c>
      <c r="D318" s="328" t="s">
        <v>1340</v>
      </c>
      <c r="E318" s="258" t="s">
        <v>9</v>
      </c>
      <c r="F318" s="431">
        <f t="array" ref="F318">MAX((IF(MNU_CODIGO_ALIMENTO_ENTREGA=CONCATENATE($C318,"_","P_"),MNU_GRAMAJE_REQUERIDO_TIPOA,"")))</f>
        <v>20</v>
      </c>
      <c r="G318" s="259">
        <f t="shared" si="224"/>
        <v>41643</v>
      </c>
      <c r="H318" s="259">
        <f t="shared" si="225"/>
        <v>2112</v>
      </c>
      <c r="I318" s="259">
        <f t="shared" si="226"/>
        <v>43755</v>
      </c>
      <c r="J318" s="260">
        <f t="shared" si="227"/>
        <v>5496876</v>
      </c>
      <c r="K318" s="260">
        <f t="shared" si="228"/>
        <v>278784</v>
      </c>
      <c r="L318" s="260">
        <f t="shared" si="229"/>
        <v>5775660</v>
      </c>
      <c r="M318" s="432">
        <f t="array" ref="M318">MAX((IF(MNU_CODIGO_ALIMENTO_ENTREGA=CONCATENATE($C318,"_","P_"),MNU_GRAMAJE_REQUERIDO_TIPOB,"")))</f>
        <v>40</v>
      </c>
      <c r="N318" s="348">
        <f t="shared" si="230"/>
        <v>51849</v>
      </c>
      <c r="O318" s="348">
        <f t="shared" si="231"/>
        <v>6120</v>
      </c>
      <c r="P318" s="348">
        <f t="shared" si="232"/>
        <v>57969</v>
      </c>
      <c r="Q318" s="349">
        <f t="shared" si="233"/>
        <v>13739985</v>
      </c>
      <c r="R318" s="349">
        <f t="shared" si="234"/>
        <v>1621800</v>
      </c>
      <c r="S318" s="349">
        <f t="shared" si="235"/>
        <v>15361785</v>
      </c>
      <c r="T318" s="353">
        <f t="array" ref="T318">MAX((IF(MNU_CODIGO_ALIMENTO_ENTREGA=CONCATENATE($C318,"_","P_"),MNU_GRAMAJE_REQUERIDO_TIPOC,"")))</f>
        <v>40</v>
      </c>
      <c r="U318" s="259">
        <f t="shared" si="236"/>
        <v>57925</v>
      </c>
      <c r="V318" s="259">
        <f t="shared" si="237"/>
        <v>10032</v>
      </c>
      <c r="W318" s="259">
        <f t="shared" si="238"/>
        <v>67957</v>
      </c>
      <c r="X318" s="260">
        <f t="shared" si="239"/>
        <v>15350125</v>
      </c>
      <c r="Y318" s="260">
        <f t="shared" si="240"/>
        <v>2658480</v>
      </c>
      <c r="Z318" s="260">
        <f t="shared" si="241"/>
        <v>18008605</v>
      </c>
      <c r="AA318" s="258">
        <f t="array" ref="AA318">MAX((IF(MNU_CODIGO_ALIMENTO_ENTREGA=CONCATENATE($C318,"_","P_"),MNU_GRAMAJE_REQUERIDO_TIPOM,"")))</f>
        <v>40</v>
      </c>
      <c r="AB318" s="261">
        <f t="shared" si="242"/>
        <v>3038</v>
      </c>
      <c r="AC318" s="261">
        <v>0</v>
      </c>
      <c r="AD318" s="261">
        <f t="shared" si="243"/>
        <v>3038</v>
      </c>
      <c r="AE318" s="262">
        <f t="shared" si="244"/>
        <v>805070</v>
      </c>
      <c r="AF318" s="262">
        <v>0</v>
      </c>
      <c r="AG318" s="262">
        <f t="shared" si="245"/>
        <v>805070</v>
      </c>
      <c r="AH318" s="353">
        <f t="array" ref="AH318">MAX((IF(MNU_CODIGO_ALIMENTO_ENTREGA=CONCATENATE($C318,"_","P_"),MNU_GRAMAJE_REQUERIDO_TIPOH,"")))</f>
        <v>40</v>
      </c>
      <c r="AI318" s="259">
        <f t="shared" si="246"/>
        <v>1211</v>
      </c>
      <c r="AJ318" s="259">
        <v>0</v>
      </c>
      <c r="AK318" s="259">
        <f t="shared" si="247"/>
        <v>1211</v>
      </c>
      <c r="AL318" s="260">
        <f t="shared" si="248"/>
        <v>320915</v>
      </c>
      <c r="AM318" s="260">
        <v>0</v>
      </c>
      <c r="AN318" s="260">
        <f t="shared" si="249"/>
        <v>320915</v>
      </c>
      <c r="AO318" s="457">
        <f t="shared" si="250"/>
        <v>173930</v>
      </c>
      <c r="AP318" s="456">
        <f t="shared" si="251"/>
        <v>40272035</v>
      </c>
      <c r="AQ318" s="263" t="e">
        <f>#REF!+AH318+AA318+T318+M318</f>
        <v>#REF!</v>
      </c>
      <c r="AR318" s="263">
        <f t="shared" si="210"/>
        <v>40386058</v>
      </c>
      <c r="AS318" s="263" t="e">
        <f t="shared" si="211"/>
        <v>#REF!</v>
      </c>
      <c r="AT318" s="263">
        <f t="shared" si="212"/>
        <v>40516233</v>
      </c>
      <c r="AU318" s="263" t="e">
        <f t="shared" si="213"/>
        <v>#REF!</v>
      </c>
      <c r="AV318" s="263">
        <f t="shared" si="214"/>
        <v>44796513</v>
      </c>
      <c r="AW318" s="263" t="e">
        <f t="shared" si="215"/>
        <v>#REF!</v>
      </c>
      <c r="AX318" s="263" t="e">
        <f>AV318+#REF!+AH318+AA318+T318</f>
        <v>#REF!</v>
      </c>
      <c r="AY318" s="263" t="e">
        <f t="shared" si="216"/>
        <v>#REF!</v>
      </c>
      <c r="AZ318" s="263" t="e">
        <f t="shared" si="217"/>
        <v>#REF!</v>
      </c>
      <c r="BA318" s="263" t="e">
        <f t="shared" si="218"/>
        <v>#REF!</v>
      </c>
      <c r="BB318" s="263" t="e">
        <f t="shared" si="219"/>
        <v>#REF!</v>
      </c>
      <c r="BC318" s="263" t="e">
        <f t="shared" si="220"/>
        <v>#REF!</v>
      </c>
      <c r="BD318" s="263" t="e">
        <f t="shared" si="221"/>
        <v>#REF!</v>
      </c>
      <c r="BE318" s="263" t="e">
        <f>BC318+AV318+#REF!+AH318+AA318</f>
        <v>#REF!</v>
      </c>
      <c r="BF318" s="263" t="e">
        <f t="shared" si="222"/>
        <v>#REF!</v>
      </c>
      <c r="BG318" s="263" t="e">
        <f t="shared" si="223"/>
        <v>#REF!</v>
      </c>
    </row>
    <row r="319" spans="1:59" ht="15.75">
      <c r="A319" s="338">
        <v>24</v>
      </c>
      <c r="B319" s="338" t="s">
        <v>1</v>
      </c>
      <c r="C319" s="258">
        <v>42</v>
      </c>
      <c r="D319" s="328" t="s">
        <v>61</v>
      </c>
      <c r="E319" s="258" t="s">
        <v>9</v>
      </c>
      <c r="F319" s="431">
        <f t="array" ref="F319">MAX((IF(MNU_CODIGO_ALIMENTO_ENTREGA=CONCATENATE($C319,"_","P_"),MNU_GRAMAJE_REQUERIDO_TIPOA,"")))</f>
        <v>100</v>
      </c>
      <c r="G319" s="259">
        <f t="shared" si="224"/>
        <v>136827</v>
      </c>
      <c r="H319" s="259">
        <f t="shared" si="225"/>
        <v>9504</v>
      </c>
      <c r="I319" s="259">
        <f t="shared" si="226"/>
        <v>146331</v>
      </c>
      <c r="J319" s="260">
        <f t="shared" si="227"/>
        <v>27912708</v>
      </c>
      <c r="K319" s="260">
        <f t="shared" si="228"/>
        <v>1938816</v>
      </c>
      <c r="L319" s="260">
        <f t="shared" si="229"/>
        <v>29851524</v>
      </c>
      <c r="M319" s="432">
        <f t="array" ref="M319">MAX((IF(MNU_CODIGO_ALIMENTO_ENTREGA=CONCATENATE($C319,"_","P_"),MNU_GRAMAJE_REQUERIDO_TIPOB,"")))</f>
        <v>100</v>
      </c>
      <c r="N319" s="348">
        <f t="shared" si="230"/>
        <v>140733</v>
      </c>
      <c r="O319" s="348">
        <f t="shared" si="231"/>
        <v>14535</v>
      </c>
      <c r="P319" s="348">
        <f t="shared" si="232"/>
        <v>155268</v>
      </c>
      <c r="Q319" s="349">
        <f t="shared" si="233"/>
        <v>28709532</v>
      </c>
      <c r="R319" s="349">
        <f t="shared" si="234"/>
        <v>2965140</v>
      </c>
      <c r="S319" s="349">
        <f t="shared" si="235"/>
        <v>31674672</v>
      </c>
      <c r="T319" s="353">
        <f t="array" ref="T319">MAX((IF(MNU_CODIGO_ALIMENTO_ENTREGA=CONCATENATE($C319,"_","P_"),MNU_GRAMAJE_REQUERIDO_TIPOC,"")))</f>
        <v>100</v>
      </c>
      <c r="U319" s="259">
        <f t="shared" si="236"/>
        <v>157225</v>
      </c>
      <c r="V319" s="259">
        <f t="shared" si="237"/>
        <v>23826</v>
      </c>
      <c r="W319" s="259">
        <f t="shared" si="238"/>
        <v>181051</v>
      </c>
      <c r="X319" s="260">
        <f t="shared" si="239"/>
        <v>32073900</v>
      </c>
      <c r="Y319" s="260">
        <f t="shared" si="240"/>
        <v>4860504</v>
      </c>
      <c r="Z319" s="260">
        <f t="shared" si="241"/>
        <v>36934404</v>
      </c>
      <c r="AA319" s="258">
        <f t="array" ref="AA319">MAX((IF(MNU_CODIGO_ALIMENTO_ENTREGA=CONCATENATE($C319,"_","P_"),MNU_GRAMAJE_REQUERIDO_TIPOM,"")))</f>
        <v>100</v>
      </c>
      <c r="AB319" s="261">
        <f t="shared" si="242"/>
        <v>8246</v>
      </c>
      <c r="AC319" s="261">
        <v>0</v>
      </c>
      <c r="AD319" s="261">
        <f t="shared" si="243"/>
        <v>8246</v>
      </c>
      <c r="AE319" s="262">
        <f t="shared" si="244"/>
        <v>1682184</v>
      </c>
      <c r="AF319" s="262">
        <v>0</v>
      </c>
      <c r="AG319" s="262">
        <f t="shared" si="245"/>
        <v>1682184</v>
      </c>
      <c r="AH319" s="353">
        <f t="array" ref="AH319">MAX((IF(MNU_CODIGO_ALIMENTO_ENTREGA=CONCATENATE($C319,"_","P_"),MNU_GRAMAJE_REQUERIDO_TIPOH,"")))</f>
        <v>100</v>
      </c>
      <c r="AI319" s="259">
        <f t="shared" si="246"/>
        <v>3287</v>
      </c>
      <c r="AJ319" s="259">
        <v>0</v>
      </c>
      <c r="AK319" s="259">
        <f t="shared" si="247"/>
        <v>3287</v>
      </c>
      <c r="AL319" s="260">
        <f t="shared" si="248"/>
        <v>670548</v>
      </c>
      <c r="AM319" s="260">
        <v>0</v>
      </c>
      <c r="AN319" s="260">
        <f t="shared" si="249"/>
        <v>670548</v>
      </c>
      <c r="AO319" s="457">
        <f t="shared" si="250"/>
        <v>494183</v>
      </c>
      <c r="AP319" s="456">
        <f t="shared" si="251"/>
        <v>100813332</v>
      </c>
      <c r="AQ319" s="263" t="e">
        <f>#REF!+AH319+AA319+T319+M319</f>
        <v>#REF!</v>
      </c>
      <c r="AR319" s="263">
        <f t="shared" si="210"/>
        <v>101122823</v>
      </c>
      <c r="AS319" s="263" t="e">
        <f t="shared" si="211"/>
        <v>#REF!</v>
      </c>
      <c r="AT319" s="263">
        <f t="shared" si="212"/>
        <v>101470675</v>
      </c>
      <c r="AU319" s="263" t="e">
        <f t="shared" si="213"/>
        <v>#REF!</v>
      </c>
      <c r="AV319" s="263">
        <f t="shared" si="214"/>
        <v>109296319</v>
      </c>
      <c r="AW319" s="263" t="e">
        <f t="shared" si="215"/>
        <v>#REF!</v>
      </c>
      <c r="AX319" s="263" t="e">
        <f>AV319+#REF!+AH319+AA319+T319</f>
        <v>#REF!</v>
      </c>
      <c r="AY319" s="263" t="e">
        <f t="shared" si="216"/>
        <v>#REF!</v>
      </c>
      <c r="AZ319" s="263" t="e">
        <f t="shared" si="217"/>
        <v>#REF!</v>
      </c>
      <c r="BA319" s="263" t="e">
        <f t="shared" si="218"/>
        <v>#REF!</v>
      </c>
      <c r="BB319" s="263" t="e">
        <f t="shared" si="219"/>
        <v>#REF!</v>
      </c>
      <c r="BC319" s="263" t="e">
        <f t="shared" si="220"/>
        <v>#REF!</v>
      </c>
      <c r="BD319" s="263" t="e">
        <f t="shared" si="221"/>
        <v>#REF!</v>
      </c>
      <c r="BE319" s="263" t="e">
        <f>BC319+AV319+#REF!+AH319+AA319</f>
        <v>#REF!</v>
      </c>
      <c r="BF319" s="263" t="e">
        <f t="shared" si="222"/>
        <v>#REF!</v>
      </c>
      <c r="BG319" s="263" t="e">
        <f t="shared" si="223"/>
        <v>#REF!</v>
      </c>
    </row>
    <row r="320" spans="1:59" ht="15.75">
      <c r="A320" s="338">
        <v>24</v>
      </c>
      <c r="B320" s="338" t="s">
        <v>1</v>
      </c>
      <c r="C320" s="258">
        <v>43</v>
      </c>
      <c r="D320" s="328" t="s">
        <v>62</v>
      </c>
      <c r="E320" s="258" t="s">
        <v>9</v>
      </c>
      <c r="F320" s="431">
        <f t="array" ref="F320">MAX((IF(MNU_CODIGO_ALIMENTO_ENTREGA=CONCATENATE($C320,"_","P_"),MNU_GRAMAJE_REQUERIDO_TIPOA,"")))</f>
        <v>100</v>
      </c>
      <c r="G320" s="259">
        <f t="shared" si="224"/>
        <v>142776</v>
      </c>
      <c r="H320" s="259">
        <f t="shared" si="225"/>
        <v>7656</v>
      </c>
      <c r="I320" s="259">
        <f t="shared" si="226"/>
        <v>150432</v>
      </c>
      <c r="J320" s="260">
        <f t="shared" si="227"/>
        <v>25414128</v>
      </c>
      <c r="K320" s="260">
        <f t="shared" si="228"/>
        <v>1362768</v>
      </c>
      <c r="L320" s="260">
        <f t="shared" si="229"/>
        <v>26776896</v>
      </c>
      <c r="M320" s="432">
        <f t="array" ref="M320">MAX((IF(MNU_CODIGO_ALIMENTO_ENTREGA=CONCATENATE($C320,"_","P_"),MNU_GRAMAJE_REQUERIDO_TIPOB,"")))</f>
        <v>100</v>
      </c>
      <c r="N320" s="348">
        <f t="shared" si="230"/>
        <v>125919</v>
      </c>
      <c r="O320" s="348">
        <f t="shared" si="231"/>
        <v>17595</v>
      </c>
      <c r="P320" s="348">
        <f t="shared" si="232"/>
        <v>143514</v>
      </c>
      <c r="Q320" s="349">
        <f t="shared" si="233"/>
        <v>22413582</v>
      </c>
      <c r="R320" s="349">
        <f t="shared" si="234"/>
        <v>3131910</v>
      </c>
      <c r="S320" s="349">
        <f t="shared" si="235"/>
        <v>25545492</v>
      </c>
      <c r="T320" s="353">
        <f t="array" ref="T320">MAX((IF(MNU_CODIGO_ALIMENTO_ENTREGA=CONCATENATE($C320,"_","P_"),MNU_GRAMAJE_REQUERIDO_TIPOC,"")))</f>
        <v>100</v>
      </c>
      <c r="U320" s="259">
        <f t="shared" si="236"/>
        <v>140675</v>
      </c>
      <c r="V320" s="259">
        <f t="shared" si="237"/>
        <v>28842</v>
      </c>
      <c r="W320" s="259">
        <f t="shared" si="238"/>
        <v>169517</v>
      </c>
      <c r="X320" s="260">
        <f t="shared" si="239"/>
        <v>25040150</v>
      </c>
      <c r="Y320" s="260">
        <f t="shared" si="240"/>
        <v>5133876</v>
      </c>
      <c r="Z320" s="260">
        <f t="shared" si="241"/>
        <v>30174026</v>
      </c>
      <c r="AA320" s="258">
        <f t="array" ref="AA320">MAX((IF(MNU_CODIGO_ALIMENTO_ENTREGA=CONCATENATE($C320,"_","P_"),MNU_GRAMAJE_REQUERIDO_TIPOM,"")))</f>
        <v>100</v>
      </c>
      <c r="AB320" s="261">
        <f t="shared" si="242"/>
        <v>7378</v>
      </c>
      <c r="AC320" s="261">
        <v>0</v>
      </c>
      <c r="AD320" s="261">
        <f t="shared" si="243"/>
        <v>7378</v>
      </c>
      <c r="AE320" s="262">
        <f t="shared" si="244"/>
        <v>1313284</v>
      </c>
      <c r="AF320" s="262">
        <v>0</v>
      </c>
      <c r="AG320" s="262">
        <f t="shared" si="245"/>
        <v>1313284</v>
      </c>
      <c r="AH320" s="353">
        <f t="array" ref="AH320">MAX((IF(MNU_CODIGO_ALIMENTO_ENTREGA=CONCATENATE($C320,"_","P_"),MNU_GRAMAJE_REQUERIDO_TIPOH,"")))</f>
        <v>100</v>
      </c>
      <c r="AI320" s="259">
        <f t="shared" si="246"/>
        <v>2941</v>
      </c>
      <c r="AJ320" s="259">
        <v>0</v>
      </c>
      <c r="AK320" s="259">
        <f t="shared" si="247"/>
        <v>2941</v>
      </c>
      <c r="AL320" s="260">
        <f t="shared" si="248"/>
        <v>523498</v>
      </c>
      <c r="AM320" s="260">
        <v>0</v>
      </c>
      <c r="AN320" s="260">
        <f t="shared" si="249"/>
        <v>523498</v>
      </c>
      <c r="AO320" s="457">
        <f t="shared" si="250"/>
        <v>473782</v>
      </c>
      <c r="AP320" s="456">
        <f t="shared" si="251"/>
        <v>84333196</v>
      </c>
      <c r="AQ320" s="263" t="e">
        <f>#REF!+AH320+AA320+T320+M320</f>
        <v>#REF!</v>
      </c>
      <c r="AR320" s="263">
        <f t="shared" si="210"/>
        <v>84610109</v>
      </c>
      <c r="AS320" s="263" t="e">
        <f t="shared" si="211"/>
        <v>#REF!</v>
      </c>
      <c r="AT320" s="263">
        <f t="shared" si="212"/>
        <v>84933459</v>
      </c>
      <c r="AU320" s="263" t="e">
        <f t="shared" si="213"/>
        <v>#REF!</v>
      </c>
      <c r="AV320" s="263">
        <f t="shared" si="214"/>
        <v>93199245</v>
      </c>
      <c r="AW320" s="263" t="e">
        <f t="shared" si="215"/>
        <v>#REF!</v>
      </c>
      <c r="AX320" s="263" t="e">
        <f>AV320+#REF!+AH320+AA320+T320</f>
        <v>#REF!</v>
      </c>
      <c r="AY320" s="263" t="e">
        <f t="shared" si="216"/>
        <v>#REF!</v>
      </c>
      <c r="AZ320" s="263" t="e">
        <f t="shared" si="217"/>
        <v>#REF!</v>
      </c>
      <c r="BA320" s="263" t="e">
        <f t="shared" si="218"/>
        <v>#REF!</v>
      </c>
      <c r="BB320" s="263" t="e">
        <f t="shared" si="219"/>
        <v>#REF!</v>
      </c>
      <c r="BC320" s="263" t="e">
        <f t="shared" si="220"/>
        <v>#REF!</v>
      </c>
      <c r="BD320" s="263" t="e">
        <f t="shared" si="221"/>
        <v>#REF!</v>
      </c>
      <c r="BE320" s="263" t="e">
        <f>BC320+AV320+#REF!+AH320+AA320</f>
        <v>#REF!</v>
      </c>
      <c r="BF320" s="263" t="e">
        <f t="shared" si="222"/>
        <v>#REF!</v>
      </c>
      <c r="BG320" s="263" t="e">
        <f t="shared" si="223"/>
        <v>#REF!</v>
      </c>
    </row>
    <row r="321" spans="1:59" ht="15.75">
      <c r="A321" s="338">
        <v>24</v>
      </c>
      <c r="B321" s="338" t="s">
        <v>1</v>
      </c>
      <c r="C321" s="258">
        <v>46</v>
      </c>
      <c r="D321" s="328" t="s">
        <v>64</v>
      </c>
      <c r="E321" s="258" t="s">
        <v>9</v>
      </c>
      <c r="F321" s="431">
        <f t="array" ref="F321">MAX((IF(MNU_CODIGO_ALIMENTO_ENTREGA=CONCATENATE($C321,"_","P_"),MNU_GRAMAJE_REQUERIDO_TIPOA,"")))</f>
        <v>100</v>
      </c>
      <c r="G321" s="259">
        <f t="shared" si="224"/>
        <v>178470</v>
      </c>
      <c r="H321" s="259">
        <f t="shared" si="225"/>
        <v>7656</v>
      </c>
      <c r="I321" s="259">
        <f t="shared" si="226"/>
        <v>186126</v>
      </c>
      <c r="J321" s="260">
        <f t="shared" si="227"/>
        <v>74600460</v>
      </c>
      <c r="K321" s="260">
        <f t="shared" si="228"/>
        <v>3200208</v>
      </c>
      <c r="L321" s="260">
        <f t="shared" si="229"/>
        <v>77800668</v>
      </c>
      <c r="M321" s="432">
        <f t="array" ref="M321">MAX((IF(MNU_CODIGO_ALIMENTO_ENTREGA=CONCATENATE($C321,"_","P_"),MNU_GRAMAJE_REQUERIDO_TIPOB,"")))</f>
        <v>100</v>
      </c>
      <c r="N321" s="348">
        <f t="shared" si="230"/>
        <v>155547</v>
      </c>
      <c r="O321" s="348">
        <f t="shared" si="231"/>
        <v>18360</v>
      </c>
      <c r="P321" s="348">
        <f t="shared" si="232"/>
        <v>173907</v>
      </c>
      <c r="Q321" s="349">
        <f t="shared" si="233"/>
        <v>65018646</v>
      </c>
      <c r="R321" s="349">
        <f t="shared" si="234"/>
        <v>7674480</v>
      </c>
      <c r="S321" s="349">
        <f t="shared" si="235"/>
        <v>72693126</v>
      </c>
      <c r="T321" s="353">
        <f t="array" ref="T321">MAX((IF(MNU_CODIGO_ALIMENTO_ENTREGA=CONCATENATE($C321,"_","P_"),MNU_GRAMAJE_REQUERIDO_TIPOC,"")))</f>
        <v>100</v>
      </c>
      <c r="U321" s="259">
        <f t="shared" si="236"/>
        <v>173775</v>
      </c>
      <c r="V321" s="259">
        <f t="shared" si="237"/>
        <v>30096</v>
      </c>
      <c r="W321" s="259">
        <f t="shared" si="238"/>
        <v>203871</v>
      </c>
      <c r="X321" s="260">
        <f t="shared" si="239"/>
        <v>72637950</v>
      </c>
      <c r="Y321" s="260">
        <f t="shared" si="240"/>
        <v>12580128</v>
      </c>
      <c r="Z321" s="260">
        <f t="shared" si="241"/>
        <v>85218078</v>
      </c>
      <c r="AA321" s="258">
        <f t="array" ref="AA321">MAX((IF(MNU_CODIGO_ALIMENTO_ENTREGA=CONCATENATE($C321,"_","P_"),MNU_GRAMAJE_REQUERIDO_TIPOM,"")))</f>
        <v>100</v>
      </c>
      <c r="AB321" s="261">
        <f t="shared" si="242"/>
        <v>9114</v>
      </c>
      <c r="AC321" s="261">
        <v>0</v>
      </c>
      <c r="AD321" s="261">
        <f t="shared" si="243"/>
        <v>9114</v>
      </c>
      <c r="AE321" s="262">
        <f t="shared" si="244"/>
        <v>3809652</v>
      </c>
      <c r="AF321" s="262">
        <v>0</v>
      </c>
      <c r="AG321" s="262">
        <f t="shared" si="245"/>
        <v>3809652</v>
      </c>
      <c r="AH321" s="353">
        <f t="array" ref="AH321">MAX((IF(MNU_CODIGO_ALIMENTO_ENTREGA=CONCATENATE($C321,"_","P_"),MNU_GRAMAJE_REQUERIDO_TIPOH,"")))</f>
        <v>100</v>
      </c>
      <c r="AI321" s="259">
        <f t="shared" si="246"/>
        <v>3633</v>
      </c>
      <c r="AJ321" s="259">
        <v>0</v>
      </c>
      <c r="AK321" s="259">
        <f t="shared" si="247"/>
        <v>3633</v>
      </c>
      <c r="AL321" s="260">
        <f t="shared" si="248"/>
        <v>1518594</v>
      </c>
      <c r="AM321" s="260">
        <v>0</v>
      </c>
      <c r="AN321" s="260">
        <f t="shared" si="249"/>
        <v>1518594</v>
      </c>
      <c r="AO321" s="457">
        <f t="shared" si="250"/>
        <v>576651</v>
      </c>
      <c r="AP321" s="456">
        <f t="shared" si="251"/>
        <v>241040118</v>
      </c>
      <c r="AQ321" s="263" t="e">
        <f>#REF!+AH321+AA321+T321+M321</f>
        <v>#REF!</v>
      </c>
      <c r="AR321" s="263">
        <f t="shared" si="210"/>
        <v>241382187</v>
      </c>
      <c r="AS321" s="263" t="e">
        <f t="shared" si="211"/>
        <v>#REF!</v>
      </c>
      <c r="AT321" s="263">
        <f t="shared" si="212"/>
        <v>241772712</v>
      </c>
      <c r="AU321" s="263" t="e">
        <f t="shared" si="213"/>
        <v>#REF!</v>
      </c>
      <c r="AV321" s="263">
        <f t="shared" si="214"/>
        <v>262027320</v>
      </c>
      <c r="AW321" s="263" t="e">
        <f t="shared" si="215"/>
        <v>#REF!</v>
      </c>
      <c r="AX321" s="263" t="e">
        <f>AV321+#REF!+AH321+AA321+T321</f>
        <v>#REF!</v>
      </c>
      <c r="AY321" s="263" t="e">
        <f t="shared" si="216"/>
        <v>#REF!</v>
      </c>
      <c r="AZ321" s="263" t="e">
        <f t="shared" si="217"/>
        <v>#REF!</v>
      </c>
      <c r="BA321" s="263" t="e">
        <f t="shared" si="218"/>
        <v>#REF!</v>
      </c>
      <c r="BB321" s="263" t="e">
        <f t="shared" si="219"/>
        <v>#REF!</v>
      </c>
      <c r="BC321" s="263" t="e">
        <f t="shared" si="220"/>
        <v>#REF!</v>
      </c>
      <c r="BD321" s="263" t="e">
        <f t="shared" si="221"/>
        <v>#REF!</v>
      </c>
      <c r="BE321" s="263" t="e">
        <f>BC321+AV321+#REF!+AH321+AA321</f>
        <v>#REF!</v>
      </c>
      <c r="BF321" s="263" t="e">
        <f t="shared" si="222"/>
        <v>#REF!</v>
      </c>
      <c r="BG321" s="263" t="e">
        <f t="shared" si="223"/>
        <v>#REF!</v>
      </c>
    </row>
    <row r="322" spans="1:59" ht="15.75">
      <c r="A322" s="338">
        <v>24</v>
      </c>
      <c r="B322" s="338" t="s">
        <v>1</v>
      </c>
      <c r="C322" s="258">
        <v>58</v>
      </c>
      <c r="D322" s="465" t="s">
        <v>67</v>
      </c>
      <c r="E322" s="258" t="s">
        <v>9</v>
      </c>
      <c r="F322" s="431">
        <f t="array" ref="F322">MAX((IF(MNU_CODIGO_ALIMENTO_ENTREGA=CONCATENATE($C322,"_","P_"),MNU_GRAMAJE_REQUERIDO_TIPOA,"")))</f>
        <v>100</v>
      </c>
      <c r="G322" s="259">
        <f t="shared" si="224"/>
        <v>142776</v>
      </c>
      <c r="H322" s="259">
        <f t="shared" si="225"/>
        <v>7392</v>
      </c>
      <c r="I322" s="259">
        <f t="shared" si="226"/>
        <v>150168</v>
      </c>
      <c r="J322" s="260">
        <f t="shared" si="227"/>
        <v>23129712</v>
      </c>
      <c r="K322" s="260">
        <f t="shared" si="228"/>
        <v>1197504</v>
      </c>
      <c r="L322" s="260">
        <f t="shared" si="229"/>
        <v>24327216</v>
      </c>
      <c r="M322" s="432">
        <f t="array" ref="M322">MAX((IF(MNU_CODIGO_ALIMENTO_ENTREGA=CONCATENATE($C322,"_","P_"),MNU_GRAMAJE_REQUERIDO_TIPOB,"")))</f>
        <v>100</v>
      </c>
      <c r="N322" s="348">
        <f t="shared" si="230"/>
        <v>170361</v>
      </c>
      <c r="O322" s="348">
        <f t="shared" si="231"/>
        <v>17595</v>
      </c>
      <c r="P322" s="348">
        <f t="shared" si="232"/>
        <v>187956</v>
      </c>
      <c r="Q322" s="349">
        <f t="shared" si="233"/>
        <v>27598482</v>
      </c>
      <c r="R322" s="349">
        <f t="shared" si="234"/>
        <v>2850390</v>
      </c>
      <c r="S322" s="349">
        <f t="shared" si="235"/>
        <v>30448872</v>
      </c>
      <c r="T322" s="353">
        <f t="array" ref="T322">MAX((IF(MNU_CODIGO_ALIMENTO_ENTREGA=CONCATENATE($C322,"_","P_"),MNU_GRAMAJE_REQUERIDO_TIPOC,"")))</f>
        <v>100</v>
      </c>
      <c r="U322" s="259">
        <f t="shared" si="236"/>
        <v>190325</v>
      </c>
      <c r="V322" s="259">
        <f t="shared" si="237"/>
        <v>28842</v>
      </c>
      <c r="W322" s="259">
        <f t="shared" si="238"/>
        <v>219167</v>
      </c>
      <c r="X322" s="260">
        <f t="shared" si="239"/>
        <v>30832650</v>
      </c>
      <c r="Y322" s="260">
        <f t="shared" si="240"/>
        <v>4672404</v>
      </c>
      <c r="Z322" s="260">
        <f t="shared" si="241"/>
        <v>35505054</v>
      </c>
      <c r="AA322" s="258">
        <f t="array" ref="AA322">MAX((IF(MNU_CODIGO_ALIMENTO_ENTREGA=CONCATENATE($C322,"_","P_"),MNU_GRAMAJE_REQUERIDO_TIPOM,"")))</f>
        <v>100</v>
      </c>
      <c r="AB322" s="261">
        <f t="shared" si="242"/>
        <v>9982</v>
      </c>
      <c r="AC322" s="261">
        <v>0</v>
      </c>
      <c r="AD322" s="261">
        <f t="shared" si="243"/>
        <v>9982</v>
      </c>
      <c r="AE322" s="262">
        <f t="shared" si="244"/>
        <v>1617084</v>
      </c>
      <c r="AF322" s="262">
        <v>0</v>
      </c>
      <c r="AG322" s="262">
        <f t="shared" si="245"/>
        <v>1617084</v>
      </c>
      <c r="AH322" s="353">
        <f t="array" ref="AH322">MAX((IF(MNU_CODIGO_ALIMENTO_ENTREGA=CONCATENATE($C322,"_","P_"),MNU_GRAMAJE_REQUERIDO_TIPOH,"")))</f>
        <v>100</v>
      </c>
      <c r="AI322" s="259">
        <f t="shared" si="246"/>
        <v>3979</v>
      </c>
      <c r="AJ322" s="259">
        <v>0</v>
      </c>
      <c r="AK322" s="259">
        <f t="shared" si="247"/>
        <v>3979</v>
      </c>
      <c r="AL322" s="260">
        <f t="shared" si="248"/>
        <v>644598</v>
      </c>
      <c r="AM322" s="260">
        <v>0</v>
      </c>
      <c r="AN322" s="260">
        <f t="shared" si="249"/>
        <v>644598</v>
      </c>
      <c r="AO322" s="457">
        <f t="shared" si="250"/>
        <v>571252</v>
      </c>
      <c r="AP322" s="456">
        <f t="shared" si="251"/>
        <v>92542824</v>
      </c>
      <c r="AQ322" s="263" t="e">
        <f>#REF!+AH322+AA322+T322+M322</f>
        <v>#REF!</v>
      </c>
      <c r="AR322" s="263">
        <f t="shared" si="210"/>
        <v>92917471</v>
      </c>
      <c r="AS322" s="263" t="e">
        <f t="shared" si="211"/>
        <v>#REF!</v>
      </c>
      <c r="AT322" s="263">
        <f t="shared" si="212"/>
        <v>93338555</v>
      </c>
      <c r="AU322" s="263" t="e">
        <f t="shared" si="213"/>
        <v>#REF!</v>
      </c>
      <c r="AV322" s="263">
        <f t="shared" si="214"/>
        <v>100861349</v>
      </c>
      <c r="AW322" s="263" t="e">
        <f t="shared" si="215"/>
        <v>#REF!</v>
      </c>
      <c r="AX322" s="263" t="e">
        <f>AV322+#REF!+AH322+AA322+T322</f>
        <v>#REF!</v>
      </c>
      <c r="AY322" s="263" t="e">
        <f t="shared" si="216"/>
        <v>#REF!</v>
      </c>
      <c r="AZ322" s="263" t="e">
        <f t="shared" si="217"/>
        <v>#REF!</v>
      </c>
      <c r="BA322" s="263" t="e">
        <f t="shared" si="218"/>
        <v>#REF!</v>
      </c>
      <c r="BB322" s="263" t="e">
        <f t="shared" si="219"/>
        <v>#REF!</v>
      </c>
      <c r="BC322" s="263" t="e">
        <f t="shared" si="220"/>
        <v>#REF!</v>
      </c>
      <c r="BD322" s="263" t="e">
        <f t="shared" si="221"/>
        <v>#REF!</v>
      </c>
      <c r="BE322" s="263" t="e">
        <f>BC322+AV322+#REF!+AH322+AA322</f>
        <v>#REF!</v>
      </c>
      <c r="BF322" s="263" t="e">
        <f t="shared" si="222"/>
        <v>#REF!</v>
      </c>
      <c r="BG322" s="263" t="e">
        <f t="shared" si="223"/>
        <v>#REF!</v>
      </c>
    </row>
    <row r="323" spans="1:59" ht="15.75">
      <c r="A323" s="338">
        <v>24</v>
      </c>
      <c r="B323" s="338" t="s">
        <v>1</v>
      </c>
      <c r="C323" s="258">
        <v>59</v>
      </c>
      <c r="D323" s="328" t="s">
        <v>99</v>
      </c>
      <c r="E323" s="258" t="s">
        <v>9</v>
      </c>
      <c r="F323" s="431">
        <f t="array" ref="F323">MAX((IF(MNU_CODIGO_ALIMENTO_ENTREGA=CONCATENATE($C323,"_","P_"),MNU_GRAMAJE_REQUERIDO_TIPOA,"")))</f>
        <v>0</v>
      </c>
      <c r="G323" s="259">
        <f t="shared" si="224"/>
        <v>0</v>
      </c>
      <c r="H323" s="259">
        <f t="shared" si="225"/>
        <v>0</v>
      </c>
      <c r="I323" s="259">
        <f t="shared" si="226"/>
        <v>0</v>
      </c>
      <c r="J323" s="260">
        <f t="shared" si="227"/>
        <v>0</v>
      </c>
      <c r="K323" s="260">
        <f t="shared" si="228"/>
        <v>0</v>
      </c>
      <c r="L323" s="260">
        <f t="shared" si="229"/>
        <v>0</v>
      </c>
      <c r="M323" s="432">
        <f t="array" ref="M323">MAX((IF(MNU_CODIGO_ALIMENTO_ENTREGA=CONCATENATE($C323,"_","P_"),MNU_GRAMAJE_REQUERIDO_TIPOB,"")))</f>
        <v>100</v>
      </c>
      <c r="N323" s="348">
        <f t="shared" si="230"/>
        <v>59256</v>
      </c>
      <c r="O323" s="348">
        <f t="shared" si="231"/>
        <v>8415</v>
      </c>
      <c r="P323" s="348">
        <f t="shared" si="232"/>
        <v>67671</v>
      </c>
      <c r="Q323" s="349">
        <f t="shared" si="233"/>
        <v>17776800</v>
      </c>
      <c r="R323" s="349">
        <f t="shared" si="234"/>
        <v>2524500</v>
      </c>
      <c r="S323" s="349">
        <f t="shared" si="235"/>
        <v>20301300</v>
      </c>
      <c r="T323" s="353">
        <f t="array" ref="T323">MAX((IF(MNU_CODIGO_ALIMENTO_ENTREGA=CONCATENATE($C323,"_","P_"),MNU_GRAMAJE_REQUERIDO_TIPOC,"")))</f>
        <v>100</v>
      </c>
      <c r="U323" s="259">
        <f t="shared" si="236"/>
        <v>66200</v>
      </c>
      <c r="V323" s="259">
        <f t="shared" si="237"/>
        <v>13794</v>
      </c>
      <c r="W323" s="259">
        <f t="shared" si="238"/>
        <v>79994</v>
      </c>
      <c r="X323" s="260">
        <f t="shared" si="239"/>
        <v>19860000</v>
      </c>
      <c r="Y323" s="260">
        <f t="shared" si="240"/>
        <v>4138200</v>
      </c>
      <c r="Z323" s="260">
        <f t="shared" si="241"/>
        <v>23998200</v>
      </c>
      <c r="AA323" s="258">
        <f t="array" ref="AA323">MAX((IF(MNU_CODIGO_ALIMENTO_ENTREGA=CONCATENATE($C323,"_","P_"),MNU_GRAMAJE_REQUERIDO_TIPOM,"")))</f>
        <v>100</v>
      </c>
      <c r="AB323" s="261">
        <f t="shared" si="242"/>
        <v>3472</v>
      </c>
      <c r="AC323" s="261">
        <v>0</v>
      </c>
      <c r="AD323" s="261">
        <f t="shared" si="243"/>
        <v>3472</v>
      </c>
      <c r="AE323" s="262">
        <f t="shared" si="244"/>
        <v>1041600</v>
      </c>
      <c r="AF323" s="262">
        <v>0</v>
      </c>
      <c r="AG323" s="262">
        <f t="shared" si="245"/>
        <v>1041600</v>
      </c>
      <c r="AH323" s="353">
        <f t="array" ref="AH323">MAX((IF(MNU_CODIGO_ALIMENTO_ENTREGA=CONCATENATE($C323,"_","P_"),MNU_GRAMAJE_REQUERIDO_TIPOH,"")))</f>
        <v>100</v>
      </c>
      <c r="AI323" s="259">
        <f t="shared" si="246"/>
        <v>1384</v>
      </c>
      <c r="AJ323" s="259">
        <v>0</v>
      </c>
      <c r="AK323" s="259">
        <f t="shared" si="247"/>
        <v>1384</v>
      </c>
      <c r="AL323" s="260">
        <f t="shared" si="248"/>
        <v>415200</v>
      </c>
      <c r="AM323" s="260">
        <v>0</v>
      </c>
      <c r="AN323" s="260">
        <f t="shared" si="249"/>
        <v>415200</v>
      </c>
      <c r="AO323" s="457">
        <f t="shared" si="250"/>
        <v>152521</v>
      </c>
      <c r="AP323" s="456">
        <f t="shared" si="251"/>
        <v>45756300</v>
      </c>
      <c r="AQ323" s="263" t="e">
        <f>#REF!+AH323+AA323+T323+M323</f>
        <v>#REF!</v>
      </c>
      <c r="AR323" s="263">
        <f t="shared" si="210"/>
        <v>45886612</v>
      </c>
      <c r="AS323" s="263" t="e">
        <f t="shared" si="211"/>
        <v>#REF!</v>
      </c>
      <c r="AT323" s="263">
        <f t="shared" si="212"/>
        <v>46039133</v>
      </c>
      <c r="AU323" s="263" t="e">
        <f t="shared" si="213"/>
        <v>#REF!</v>
      </c>
      <c r="AV323" s="263">
        <f t="shared" si="214"/>
        <v>52701833</v>
      </c>
      <c r="AW323" s="263" t="e">
        <f t="shared" si="215"/>
        <v>#REF!</v>
      </c>
      <c r="AX323" s="263" t="e">
        <f>AV323+#REF!+AH323+AA323+T323</f>
        <v>#REF!</v>
      </c>
      <c r="AY323" s="263" t="e">
        <f t="shared" si="216"/>
        <v>#REF!</v>
      </c>
      <c r="AZ323" s="263" t="e">
        <f t="shared" si="217"/>
        <v>#REF!</v>
      </c>
      <c r="BA323" s="263" t="e">
        <f t="shared" si="218"/>
        <v>#REF!</v>
      </c>
      <c r="BB323" s="263" t="e">
        <f t="shared" si="219"/>
        <v>#REF!</v>
      </c>
      <c r="BC323" s="263" t="e">
        <f t="shared" si="220"/>
        <v>#REF!</v>
      </c>
      <c r="BD323" s="263" t="e">
        <f t="shared" si="221"/>
        <v>#REF!</v>
      </c>
      <c r="BE323" s="263" t="e">
        <f>BC323+AV323+#REF!+AH323+AA323</f>
        <v>#REF!</v>
      </c>
      <c r="BF323" s="263" t="e">
        <f t="shared" si="222"/>
        <v>#REF!</v>
      </c>
      <c r="BG323" s="263" t="e">
        <f t="shared" si="223"/>
        <v>#REF!</v>
      </c>
    </row>
    <row r="324" spans="1:59" ht="15.75">
      <c r="A324" s="338">
        <v>24</v>
      </c>
      <c r="B324" s="338" t="s">
        <v>1</v>
      </c>
      <c r="C324" s="258">
        <v>69</v>
      </c>
      <c r="D324" s="328" t="s">
        <v>70</v>
      </c>
      <c r="E324" s="258" t="s">
        <v>9</v>
      </c>
      <c r="F324" s="431">
        <f t="array" ref="F324">MAX((IF(MNU_CODIGO_ALIMENTO_ENTREGA=CONCATENATE($C324,"_","P_"),MNU_GRAMAJE_REQUERIDO_TIPOA,"")))</f>
        <v>100</v>
      </c>
      <c r="G324" s="259">
        <f t="shared" si="224"/>
        <v>178470</v>
      </c>
      <c r="H324" s="259">
        <f t="shared" si="225"/>
        <v>4752</v>
      </c>
      <c r="I324" s="259">
        <f t="shared" si="226"/>
        <v>183222</v>
      </c>
      <c r="J324" s="260">
        <f t="shared" si="227"/>
        <v>57110400</v>
      </c>
      <c r="K324" s="260">
        <f t="shared" si="228"/>
        <v>1520640</v>
      </c>
      <c r="L324" s="260">
        <f t="shared" si="229"/>
        <v>58631040</v>
      </c>
      <c r="M324" s="432">
        <f t="array" ref="M324">MAX((IF(MNU_CODIGO_ALIMENTO_ENTREGA=CONCATENATE($C324,"_","P_"),MNU_GRAMAJE_REQUERIDO_TIPOB,"")))</f>
        <v>100</v>
      </c>
      <c r="N324" s="348">
        <f t="shared" si="230"/>
        <v>118512</v>
      </c>
      <c r="O324" s="348">
        <f t="shared" si="231"/>
        <v>9180</v>
      </c>
      <c r="P324" s="348">
        <f t="shared" si="232"/>
        <v>127692</v>
      </c>
      <c r="Q324" s="349">
        <f t="shared" si="233"/>
        <v>37923840</v>
      </c>
      <c r="R324" s="349">
        <f t="shared" si="234"/>
        <v>2937600</v>
      </c>
      <c r="S324" s="349">
        <f t="shared" si="235"/>
        <v>40861440</v>
      </c>
      <c r="T324" s="353">
        <f t="array" ref="T324">MAX((IF(MNU_CODIGO_ALIMENTO_ENTREGA=CONCATENATE($C324,"_","P_"),MNU_GRAMAJE_REQUERIDO_TIPOC,"")))</f>
        <v>100</v>
      </c>
      <c r="U324" s="259">
        <f t="shared" si="236"/>
        <v>132400</v>
      </c>
      <c r="V324" s="259">
        <f t="shared" si="237"/>
        <v>15048</v>
      </c>
      <c r="W324" s="259">
        <f t="shared" si="238"/>
        <v>147448</v>
      </c>
      <c r="X324" s="260">
        <f t="shared" si="239"/>
        <v>42368000</v>
      </c>
      <c r="Y324" s="260">
        <f t="shared" si="240"/>
        <v>4815360</v>
      </c>
      <c r="Z324" s="260">
        <f t="shared" si="241"/>
        <v>47183360</v>
      </c>
      <c r="AA324" s="258">
        <f t="array" ref="AA324">MAX((IF(MNU_CODIGO_ALIMENTO_ENTREGA=CONCATENATE($C324,"_","P_"),MNU_GRAMAJE_REQUERIDO_TIPOM,"")))</f>
        <v>100</v>
      </c>
      <c r="AB324" s="261">
        <f t="shared" si="242"/>
        <v>6944</v>
      </c>
      <c r="AC324" s="261">
        <v>0</v>
      </c>
      <c r="AD324" s="261">
        <f t="shared" si="243"/>
        <v>6944</v>
      </c>
      <c r="AE324" s="262">
        <f t="shared" si="244"/>
        <v>2222080</v>
      </c>
      <c r="AF324" s="262">
        <v>0</v>
      </c>
      <c r="AG324" s="262">
        <f t="shared" si="245"/>
        <v>2222080</v>
      </c>
      <c r="AH324" s="353">
        <f t="array" ref="AH324">MAX((IF(MNU_CODIGO_ALIMENTO_ENTREGA=CONCATENATE($C324,"_","P_"),MNU_GRAMAJE_REQUERIDO_TIPOH,"")))</f>
        <v>100</v>
      </c>
      <c r="AI324" s="259">
        <f t="shared" si="246"/>
        <v>2768</v>
      </c>
      <c r="AJ324" s="259">
        <v>0</v>
      </c>
      <c r="AK324" s="259">
        <f t="shared" si="247"/>
        <v>2768</v>
      </c>
      <c r="AL324" s="260">
        <f t="shared" si="248"/>
        <v>885760</v>
      </c>
      <c r="AM324" s="260">
        <v>0</v>
      </c>
      <c r="AN324" s="260">
        <f t="shared" si="249"/>
        <v>885760</v>
      </c>
      <c r="AO324" s="457">
        <f t="shared" si="250"/>
        <v>468074</v>
      </c>
      <c r="AP324" s="456">
        <f t="shared" si="251"/>
        <v>149783680</v>
      </c>
      <c r="AQ324" s="263" t="e">
        <f>#REF!+AH324+AA324+T324+M324</f>
        <v>#REF!</v>
      </c>
      <c r="AR324" s="263">
        <f t="shared" si="210"/>
        <v>150044304</v>
      </c>
      <c r="AS324" s="263" t="e">
        <f t="shared" si="211"/>
        <v>#REF!</v>
      </c>
      <c r="AT324" s="263">
        <f t="shared" si="212"/>
        <v>150329156</v>
      </c>
      <c r="AU324" s="263" t="e">
        <f t="shared" si="213"/>
        <v>#REF!</v>
      </c>
      <c r="AV324" s="263">
        <f t="shared" si="214"/>
        <v>158082116</v>
      </c>
      <c r="AW324" s="263" t="e">
        <f t="shared" si="215"/>
        <v>#REF!</v>
      </c>
      <c r="AX324" s="263" t="e">
        <f>AV324+#REF!+AH324+AA324+T324</f>
        <v>#REF!</v>
      </c>
      <c r="AY324" s="263" t="e">
        <f t="shared" si="216"/>
        <v>#REF!</v>
      </c>
      <c r="AZ324" s="263" t="e">
        <f t="shared" si="217"/>
        <v>#REF!</v>
      </c>
      <c r="BA324" s="263" t="e">
        <f t="shared" si="218"/>
        <v>#REF!</v>
      </c>
      <c r="BB324" s="263" t="e">
        <f t="shared" si="219"/>
        <v>#REF!</v>
      </c>
      <c r="BC324" s="263" t="e">
        <f t="shared" si="220"/>
        <v>#REF!</v>
      </c>
      <c r="BD324" s="263" t="e">
        <f t="shared" si="221"/>
        <v>#REF!</v>
      </c>
      <c r="BE324" s="263" t="e">
        <f>BC324+AV324+#REF!+AH324+AA324</f>
        <v>#REF!</v>
      </c>
      <c r="BF324" s="263" t="e">
        <f t="shared" si="222"/>
        <v>#REF!</v>
      </c>
      <c r="BG324" s="263" t="e">
        <f t="shared" si="223"/>
        <v>#REF!</v>
      </c>
    </row>
    <row r="325" spans="1:59" ht="15.75">
      <c r="A325" s="338">
        <v>24</v>
      </c>
      <c r="B325" s="338" t="s">
        <v>1</v>
      </c>
      <c r="C325" s="258">
        <v>70</v>
      </c>
      <c r="D325" s="328" t="s">
        <v>71</v>
      </c>
      <c r="E325" s="258" t="s">
        <v>9</v>
      </c>
      <c r="F325" s="431">
        <f t="array" ref="F325">MAX((IF(MNU_CODIGO_ALIMENTO_ENTREGA=CONCATENATE($C325,"_","P_"),MNU_GRAMAJE_REQUERIDO_TIPOA,"")))</f>
        <v>0</v>
      </c>
      <c r="G325" s="259">
        <f t="shared" si="224"/>
        <v>0</v>
      </c>
      <c r="H325" s="259">
        <f t="shared" si="225"/>
        <v>0</v>
      </c>
      <c r="I325" s="259">
        <f t="shared" si="226"/>
        <v>0</v>
      </c>
      <c r="J325" s="260">
        <f t="shared" si="227"/>
        <v>0</v>
      </c>
      <c r="K325" s="260">
        <f t="shared" si="228"/>
        <v>0</v>
      </c>
      <c r="L325" s="260">
        <f t="shared" si="229"/>
        <v>0</v>
      </c>
      <c r="M325" s="432">
        <f t="array" ref="M325">MAX((IF(MNU_CODIGO_ALIMENTO_ENTREGA=CONCATENATE($C325,"_","P_"),MNU_GRAMAJE_REQUERIDO_TIPOB,"")))</f>
        <v>100</v>
      </c>
      <c r="N325" s="348">
        <f t="shared" si="230"/>
        <v>74070</v>
      </c>
      <c r="O325" s="348">
        <f t="shared" si="231"/>
        <v>6120</v>
      </c>
      <c r="P325" s="348">
        <f t="shared" si="232"/>
        <v>80190</v>
      </c>
      <c r="Q325" s="349">
        <f t="shared" si="233"/>
        <v>33775920</v>
      </c>
      <c r="R325" s="349">
        <f t="shared" si="234"/>
        <v>2790720</v>
      </c>
      <c r="S325" s="349">
        <f t="shared" si="235"/>
        <v>36566640</v>
      </c>
      <c r="T325" s="353">
        <f t="array" ref="T325">MAX((IF(MNU_CODIGO_ALIMENTO_ENTREGA=CONCATENATE($C325,"_","P_"),MNU_GRAMAJE_REQUERIDO_TIPOC,"")))</f>
        <v>100</v>
      </c>
      <c r="U325" s="259">
        <f t="shared" si="236"/>
        <v>82750</v>
      </c>
      <c r="V325" s="259">
        <f t="shared" si="237"/>
        <v>10032</v>
      </c>
      <c r="W325" s="259">
        <f t="shared" si="238"/>
        <v>92782</v>
      </c>
      <c r="X325" s="260">
        <f t="shared" si="239"/>
        <v>37734000</v>
      </c>
      <c r="Y325" s="260">
        <f t="shared" si="240"/>
        <v>4574592</v>
      </c>
      <c r="Z325" s="260">
        <f t="shared" si="241"/>
        <v>42308592</v>
      </c>
      <c r="AA325" s="258">
        <f t="array" ref="AA325">MAX((IF(MNU_CODIGO_ALIMENTO_ENTREGA=CONCATENATE($C325,"_","P_"),MNU_GRAMAJE_REQUERIDO_TIPOM,"")))</f>
        <v>100</v>
      </c>
      <c r="AB325" s="261">
        <f t="shared" si="242"/>
        <v>4340</v>
      </c>
      <c r="AC325" s="261">
        <v>0</v>
      </c>
      <c r="AD325" s="261">
        <f t="shared" si="243"/>
        <v>4340</v>
      </c>
      <c r="AE325" s="262">
        <f t="shared" si="244"/>
        <v>1979040</v>
      </c>
      <c r="AF325" s="262">
        <v>0</v>
      </c>
      <c r="AG325" s="262">
        <f t="shared" si="245"/>
        <v>1979040</v>
      </c>
      <c r="AH325" s="353">
        <f t="array" ref="AH325">MAX((IF(MNU_CODIGO_ALIMENTO_ENTREGA=CONCATENATE($C325,"_","P_"),MNU_GRAMAJE_REQUERIDO_TIPOH,"")))</f>
        <v>100</v>
      </c>
      <c r="AI325" s="259">
        <f t="shared" si="246"/>
        <v>1730</v>
      </c>
      <c r="AJ325" s="259">
        <v>0</v>
      </c>
      <c r="AK325" s="259">
        <f t="shared" si="247"/>
        <v>1730</v>
      </c>
      <c r="AL325" s="260">
        <f t="shared" si="248"/>
        <v>788880</v>
      </c>
      <c r="AM325" s="260">
        <v>0</v>
      </c>
      <c r="AN325" s="260">
        <f t="shared" si="249"/>
        <v>788880</v>
      </c>
      <c r="AO325" s="457">
        <f t="shared" si="250"/>
        <v>179042</v>
      </c>
      <c r="AP325" s="456">
        <f t="shared" si="251"/>
        <v>81643152</v>
      </c>
      <c r="AQ325" s="263" t="e">
        <f>#REF!+AH325+AA325+T325+M325</f>
        <v>#REF!</v>
      </c>
      <c r="AR325" s="263">
        <f t="shared" si="210"/>
        <v>81806042</v>
      </c>
      <c r="AS325" s="263" t="e">
        <f t="shared" si="211"/>
        <v>#REF!</v>
      </c>
      <c r="AT325" s="263">
        <f t="shared" si="212"/>
        <v>81985084</v>
      </c>
      <c r="AU325" s="263" t="e">
        <f t="shared" si="213"/>
        <v>#REF!</v>
      </c>
      <c r="AV325" s="263">
        <f t="shared" si="214"/>
        <v>89350396</v>
      </c>
      <c r="AW325" s="263" t="e">
        <f t="shared" si="215"/>
        <v>#REF!</v>
      </c>
      <c r="AX325" s="263" t="e">
        <f>AV325+#REF!+AH325+AA325+T325</f>
        <v>#REF!</v>
      </c>
      <c r="AY325" s="263" t="e">
        <f t="shared" si="216"/>
        <v>#REF!</v>
      </c>
      <c r="AZ325" s="263" t="e">
        <f t="shared" si="217"/>
        <v>#REF!</v>
      </c>
      <c r="BA325" s="263" t="e">
        <f t="shared" si="218"/>
        <v>#REF!</v>
      </c>
      <c r="BB325" s="263" t="e">
        <f t="shared" si="219"/>
        <v>#REF!</v>
      </c>
      <c r="BC325" s="263" t="e">
        <f t="shared" si="220"/>
        <v>#REF!</v>
      </c>
      <c r="BD325" s="263" t="e">
        <f t="shared" si="221"/>
        <v>#REF!</v>
      </c>
      <c r="BE325" s="263" t="e">
        <f>BC325+AV325+#REF!+AH325+AA325</f>
        <v>#REF!</v>
      </c>
      <c r="BF325" s="263" t="e">
        <f t="shared" si="222"/>
        <v>#REF!</v>
      </c>
      <c r="BG325" s="263" t="e">
        <f t="shared" si="223"/>
        <v>#REF!</v>
      </c>
    </row>
    <row r="326" spans="1:59" ht="15.75">
      <c r="A326" s="338">
        <v>25</v>
      </c>
      <c r="B326" s="338" t="s">
        <v>1</v>
      </c>
      <c r="C326" s="258">
        <v>7</v>
      </c>
      <c r="D326" s="328" t="s">
        <v>57</v>
      </c>
      <c r="E326" s="258" t="s">
        <v>9</v>
      </c>
      <c r="F326" s="431">
        <f t="array" ref="F326">MAX((IF(MNU_CODIGO_ALIMENTO_ENTREGA=CONCATENATE($C326,"_","P_"),MNU_GRAMAJE_REQUERIDO_TIPOA,"")))</f>
        <v>100</v>
      </c>
      <c r="G326" s="259">
        <f t="shared" si="224"/>
        <v>124960</v>
      </c>
      <c r="H326" s="259">
        <f t="shared" si="225"/>
        <v>67270</v>
      </c>
      <c r="I326" s="259">
        <f t="shared" si="226"/>
        <v>192230</v>
      </c>
      <c r="J326" s="260">
        <f t="shared" si="227"/>
        <v>13995520</v>
      </c>
      <c r="K326" s="260">
        <f t="shared" si="228"/>
        <v>7534240</v>
      </c>
      <c r="L326" s="260">
        <f t="shared" si="229"/>
        <v>21529760</v>
      </c>
      <c r="M326" s="432">
        <f t="array" ref="M326">MAX((IF(MNU_CODIGO_ALIMENTO_ENTREGA=CONCATENATE($C326,"_","P_"),MNU_GRAMAJE_REQUERIDO_TIPOB,"")))</f>
        <v>100</v>
      </c>
      <c r="N326" s="348">
        <f t="shared" si="230"/>
        <v>63738</v>
      </c>
      <c r="O326" s="348">
        <f t="shared" si="231"/>
        <v>27544</v>
      </c>
      <c r="P326" s="348">
        <f t="shared" si="232"/>
        <v>91282</v>
      </c>
      <c r="Q326" s="349">
        <f t="shared" si="233"/>
        <v>7138656</v>
      </c>
      <c r="R326" s="349">
        <f t="shared" si="234"/>
        <v>3084928</v>
      </c>
      <c r="S326" s="349">
        <f t="shared" si="235"/>
        <v>10223584</v>
      </c>
      <c r="T326" s="353">
        <f t="array" ref="T326">MAX((IF(MNU_CODIGO_ALIMENTO_ENTREGA=CONCATENATE($C326,"_","P_"),MNU_GRAMAJE_REQUERIDO_TIPOC,"")))</f>
        <v>100</v>
      </c>
      <c r="U326" s="259">
        <f t="shared" si="236"/>
        <v>68886</v>
      </c>
      <c r="V326" s="259">
        <f t="shared" si="237"/>
        <v>34023</v>
      </c>
      <c r="W326" s="259">
        <f t="shared" si="238"/>
        <v>102909</v>
      </c>
      <c r="X326" s="260">
        <f t="shared" si="239"/>
        <v>7715232</v>
      </c>
      <c r="Y326" s="260">
        <f t="shared" si="240"/>
        <v>3810576</v>
      </c>
      <c r="Z326" s="260">
        <f t="shared" si="241"/>
        <v>11525808</v>
      </c>
      <c r="AA326" s="258">
        <f t="array" ref="AA326">MAX((IF(MNU_CODIGO_ALIMENTO_ENTREGA=CONCATENATE($C326,"_","P_"),MNU_GRAMAJE_REQUERIDO_TIPOM,"")))</f>
        <v>100</v>
      </c>
      <c r="AB326" s="261">
        <f t="shared" si="242"/>
        <v>1935</v>
      </c>
      <c r="AC326" s="261">
        <v>0</v>
      </c>
      <c r="AD326" s="261">
        <f t="shared" si="243"/>
        <v>1935</v>
      </c>
      <c r="AE326" s="262">
        <f t="shared" si="244"/>
        <v>216720</v>
      </c>
      <c r="AF326" s="262">
        <v>0</v>
      </c>
      <c r="AG326" s="262">
        <f t="shared" si="245"/>
        <v>216720</v>
      </c>
      <c r="AH326" s="353">
        <f t="array" ref="AH326">MAX((IF(MNU_CODIGO_ALIMENTO_ENTREGA=CONCATENATE($C326,"_","P_"),MNU_GRAMAJE_REQUERIDO_TIPOH,"")))</f>
        <v>100</v>
      </c>
      <c r="AI326" s="259">
        <f t="shared" si="246"/>
        <v>1503</v>
      </c>
      <c r="AJ326" s="259">
        <v>0</v>
      </c>
      <c r="AK326" s="259">
        <f t="shared" si="247"/>
        <v>1503</v>
      </c>
      <c r="AL326" s="260">
        <f t="shared" si="248"/>
        <v>168336</v>
      </c>
      <c r="AM326" s="260">
        <v>0</v>
      </c>
      <c r="AN326" s="260">
        <f t="shared" si="249"/>
        <v>168336</v>
      </c>
      <c r="AO326" s="457">
        <f t="shared" si="250"/>
        <v>389859</v>
      </c>
      <c r="AP326" s="456">
        <f t="shared" si="251"/>
        <v>43664208</v>
      </c>
      <c r="AQ326" s="263" t="e">
        <f>#REF!+AH326+AA326+T326+M326</f>
        <v>#REF!</v>
      </c>
      <c r="AR326" s="263">
        <f t="shared" si="210"/>
        <v>43800270</v>
      </c>
      <c r="AS326" s="263" t="e">
        <f t="shared" si="211"/>
        <v>#REF!</v>
      </c>
      <c r="AT326" s="263">
        <f t="shared" si="212"/>
        <v>43997899</v>
      </c>
      <c r="AU326" s="263" t="e">
        <f t="shared" si="213"/>
        <v>#REF!</v>
      </c>
      <c r="AV326" s="263">
        <f t="shared" si="214"/>
        <v>50893403</v>
      </c>
      <c r="AW326" s="263" t="e">
        <f t="shared" si="215"/>
        <v>#REF!</v>
      </c>
      <c r="AX326" s="263" t="e">
        <f>AV326+#REF!+AH326+AA326+T326</f>
        <v>#REF!</v>
      </c>
      <c r="AY326" s="263" t="e">
        <f t="shared" si="216"/>
        <v>#REF!</v>
      </c>
      <c r="AZ326" s="263" t="e">
        <f t="shared" si="217"/>
        <v>#REF!</v>
      </c>
      <c r="BA326" s="263" t="e">
        <f t="shared" si="218"/>
        <v>#REF!</v>
      </c>
      <c r="BB326" s="263" t="e">
        <f t="shared" si="219"/>
        <v>#REF!</v>
      </c>
      <c r="BC326" s="263" t="e">
        <f t="shared" si="220"/>
        <v>#REF!</v>
      </c>
      <c r="BD326" s="263" t="e">
        <f t="shared" si="221"/>
        <v>#REF!</v>
      </c>
      <c r="BE326" s="263" t="e">
        <f>BC326+AV326+#REF!+AH326+AA326</f>
        <v>#REF!</v>
      </c>
      <c r="BF326" s="263" t="e">
        <f t="shared" si="222"/>
        <v>#REF!</v>
      </c>
      <c r="BG326" s="263" t="e">
        <f t="shared" si="223"/>
        <v>#REF!</v>
      </c>
    </row>
    <row r="327" spans="1:59" ht="15.75">
      <c r="A327" s="338">
        <v>25</v>
      </c>
      <c r="B327" s="338" t="s">
        <v>1</v>
      </c>
      <c r="C327" s="258">
        <v>8</v>
      </c>
      <c r="D327" s="328" t="s">
        <v>55</v>
      </c>
      <c r="E327" s="258" t="s">
        <v>9</v>
      </c>
      <c r="F327" s="431">
        <f t="array" ref="F327">MAX((IF(MNU_CODIGO_ALIMENTO_ENTREGA=CONCATENATE($C327,"_","P_"),MNU_GRAMAJE_REQUERIDO_TIPOA,"")))</f>
        <v>100</v>
      </c>
      <c r="G327" s="259">
        <f t="shared" si="224"/>
        <v>56800</v>
      </c>
      <c r="H327" s="259">
        <f t="shared" si="225"/>
        <v>23870</v>
      </c>
      <c r="I327" s="259">
        <f t="shared" si="226"/>
        <v>80670</v>
      </c>
      <c r="J327" s="260">
        <f t="shared" si="227"/>
        <v>8008800</v>
      </c>
      <c r="K327" s="260">
        <f t="shared" si="228"/>
        <v>3365670</v>
      </c>
      <c r="L327" s="260">
        <f t="shared" si="229"/>
        <v>11374470</v>
      </c>
      <c r="M327" s="432">
        <f t="array" ref="M327">MAX((IF(MNU_CODIGO_ALIMENTO_ENTREGA=CONCATENATE($C327,"_","P_"),MNU_GRAMAJE_REQUERIDO_TIPOB,"")))</f>
        <v>100</v>
      </c>
      <c r="N327" s="348">
        <f t="shared" si="230"/>
        <v>56656</v>
      </c>
      <c r="O327" s="348">
        <f t="shared" si="231"/>
        <v>27544</v>
      </c>
      <c r="P327" s="348">
        <f t="shared" si="232"/>
        <v>84200</v>
      </c>
      <c r="Q327" s="349">
        <f t="shared" si="233"/>
        <v>7988496</v>
      </c>
      <c r="R327" s="349">
        <f t="shared" si="234"/>
        <v>3883704</v>
      </c>
      <c r="S327" s="349">
        <f t="shared" si="235"/>
        <v>11872200</v>
      </c>
      <c r="T327" s="353">
        <f t="array" ref="T327">MAX((IF(MNU_CODIGO_ALIMENTO_ENTREGA=CONCATENATE($C327,"_","P_"),MNU_GRAMAJE_REQUERIDO_TIPOC,"")))</f>
        <v>100</v>
      </c>
      <c r="U327" s="259">
        <f t="shared" si="236"/>
        <v>61232</v>
      </c>
      <c r="V327" s="259">
        <f t="shared" si="237"/>
        <v>34023</v>
      </c>
      <c r="W327" s="259">
        <f t="shared" si="238"/>
        <v>95255</v>
      </c>
      <c r="X327" s="260">
        <f t="shared" si="239"/>
        <v>8633712</v>
      </c>
      <c r="Y327" s="260">
        <f t="shared" si="240"/>
        <v>4797243</v>
      </c>
      <c r="Z327" s="260">
        <f t="shared" si="241"/>
        <v>13430955</v>
      </c>
      <c r="AA327" s="258">
        <f t="array" ref="AA327">MAX((IF(MNU_CODIGO_ALIMENTO_ENTREGA=CONCATENATE($C327,"_","P_"),MNU_GRAMAJE_REQUERIDO_TIPOM,"")))</f>
        <v>100</v>
      </c>
      <c r="AB327" s="261">
        <f t="shared" si="242"/>
        <v>1720</v>
      </c>
      <c r="AC327" s="261">
        <v>0</v>
      </c>
      <c r="AD327" s="261">
        <f t="shared" si="243"/>
        <v>1720</v>
      </c>
      <c r="AE327" s="262">
        <f t="shared" si="244"/>
        <v>242520</v>
      </c>
      <c r="AF327" s="262">
        <v>0</v>
      </c>
      <c r="AG327" s="262">
        <f t="shared" si="245"/>
        <v>242520</v>
      </c>
      <c r="AH327" s="353">
        <f t="array" ref="AH327">MAX((IF(MNU_CODIGO_ALIMENTO_ENTREGA=CONCATENATE($C327,"_","P_"),MNU_GRAMAJE_REQUERIDO_TIPOH,"")))</f>
        <v>100</v>
      </c>
      <c r="AI327" s="259">
        <f t="shared" si="246"/>
        <v>1336</v>
      </c>
      <c r="AJ327" s="259">
        <v>0</v>
      </c>
      <c r="AK327" s="259">
        <f t="shared" si="247"/>
        <v>1336</v>
      </c>
      <c r="AL327" s="260">
        <f t="shared" si="248"/>
        <v>188376</v>
      </c>
      <c r="AM327" s="260">
        <v>0</v>
      </c>
      <c r="AN327" s="260">
        <f t="shared" si="249"/>
        <v>188376</v>
      </c>
      <c r="AO327" s="457">
        <f t="shared" si="250"/>
        <v>263181</v>
      </c>
      <c r="AP327" s="456">
        <f t="shared" si="251"/>
        <v>37108521</v>
      </c>
      <c r="AQ327" s="263" t="e">
        <f>#REF!+AH327+AA327+T327+M327</f>
        <v>#REF!</v>
      </c>
      <c r="AR327" s="263">
        <f t="shared" si="210"/>
        <v>37229465</v>
      </c>
      <c r="AS327" s="263" t="e">
        <f t="shared" si="211"/>
        <v>#REF!</v>
      </c>
      <c r="AT327" s="263">
        <f t="shared" si="212"/>
        <v>37411976</v>
      </c>
      <c r="AU327" s="263" t="e">
        <f t="shared" si="213"/>
        <v>#REF!</v>
      </c>
      <c r="AV327" s="263">
        <f t="shared" si="214"/>
        <v>46092923</v>
      </c>
      <c r="AW327" s="263" t="e">
        <f t="shared" si="215"/>
        <v>#REF!</v>
      </c>
      <c r="AX327" s="263" t="e">
        <f>AV327+#REF!+AH327+AA327+T327</f>
        <v>#REF!</v>
      </c>
      <c r="AY327" s="263" t="e">
        <f t="shared" si="216"/>
        <v>#REF!</v>
      </c>
      <c r="AZ327" s="263" t="e">
        <f t="shared" si="217"/>
        <v>#REF!</v>
      </c>
      <c r="BA327" s="263" t="e">
        <f t="shared" si="218"/>
        <v>#REF!</v>
      </c>
      <c r="BB327" s="263" t="e">
        <f t="shared" si="219"/>
        <v>#REF!</v>
      </c>
      <c r="BC327" s="263" t="e">
        <f t="shared" si="220"/>
        <v>#REF!</v>
      </c>
      <c r="BD327" s="263" t="e">
        <f t="shared" si="221"/>
        <v>#REF!</v>
      </c>
      <c r="BE327" s="263" t="e">
        <f>BC327+AV327+#REF!+AH327+AA327</f>
        <v>#REF!</v>
      </c>
      <c r="BF327" s="263" t="e">
        <f t="shared" si="222"/>
        <v>#REF!</v>
      </c>
      <c r="BG327" s="263" t="e">
        <f t="shared" si="223"/>
        <v>#REF!</v>
      </c>
    </row>
    <row r="328" spans="1:59" ht="15.75">
      <c r="A328" s="338">
        <v>25</v>
      </c>
      <c r="B328" s="338" t="s">
        <v>1</v>
      </c>
      <c r="C328" s="258">
        <v>17</v>
      </c>
      <c r="D328" s="328" t="s">
        <v>53</v>
      </c>
      <c r="E328" s="258" t="s">
        <v>9</v>
      </c>
      <c r="F328" s="431">
        <f t="array" ref="F328">MAX((IF(MNU_CODIGO_ALIMENTO_ENTREGA=CONCATENATE($C328,"_","P_"),MNU_GRAMAJE_REQUERIDO_TIPOA,"")))</f>
        <v>0</v>
      </c>
      <c r="G328" s="259">
        <f t="shared" si="224"/>
        <v>0</v>
      </c>
      <c r="H328" s="259">
        <f t="shared" si="225"/>
        <v>0</v>
      </c>
      <c r="I328" s="259">
        <f t="shared" si="226"/>
        <v>0</v>
      </c>
      <c r="J328" s="260">
        <f t="shared" si="227"/>
        <v>0</v>
      </c>
      <c r="K328" s="260">
        <f t="shared" si="228"/>
        <v>0</v>
      </c>
      <c r="L328" s="260">
        <f t="shared" si="229"/>
        <v>0</v>
      </c>
      <c r="M328" s="432">
        <f t="array" ref="M328">MAX((IF(MNU_CODIGO_ALIMENTO_ENTREGA=CONCATENATE($C328,"_","P_"),MNU_GRAMAJE_REQUERIDO_TIPOB,"")))</f>
        <v>100</v>
      </c>
      <c r="N328" s="348">
        <f t="shared" si="230"/>
        <v>148722</v>
      </c>
      <c r="O328" s="348">
        <f t="shared" si="231"/>
        <v>57592</v>
      </c>
      <c r="P328" s="348">
        <f t="shared" si="232"/>
        <v>206314</v>
      </c>
      <c r="Q328" s="349">
        <f t="shared" si="233"/>
        <v>35247114</v>
      </c>
      <c r="R328" s="349">
        <f t="shared" si="234"/>
        <v>13649304</v>
      </c>
      <c r="S328" s="349">
        <f t="shared" si="235"/>
        <v>48896418</v>
      </c>
      <c r="T328" s="353">
        <f t="array" ref="T328">MAX((IF(MNU_CODIGO_ALIMENTO_ENTREGA=CONCATENATE($C328,"_","P_"),MNU_GRAMAJE_REQUERIDO_TIPOC,"")))</f>
        <v>100</v>
      </c>
      <c r="U328" s="259">
        <f t="shared" si="236"/>
        <v>160734</v>
      </c>
      <c r="V328" s="259">
        <f t="shared" si="237"/>
        <v>71139</v>
      </c>
      <c r="W328" s="259">
        <f t="shared" si="238"/>
        <v>231873</v>
      </c>
      <c r="X328" s="260">
        <f t="shared" si="239"/>
        <v>38093958</v>
      </c>
      <c r="Y328" s="260">
        <f t="shared" si="240"/>
        <v>16859943</v>
      </c>
      <c r="Z328" s="260">
        <f t="shared" si="241"/>
        <v>54953901</v>
      </c>
      <c r="AA328" s="258">
        <f t="array" ref="AA328">MAX((IF(MNU_CODIGO_ALIMENTO_ENTREGA=CONCATENATE($C328,"_","P_"),MNU_GRAMAJE_REQUERIDO_TIPOM,"")))</f>
        <v>100</v>
      </c>
      <c r="AB328" s="261">
        <f t="shared" si="242"/>
        <v>4515</v>
      </c>
      <c r="AC328" s="261">
        <v>0</v>
      </c>
      <c r="AD328" s="261">
        <f t="shared" si="243"/>
        <v>4515</v>
      </c>
      <c r="AE328" s="262">
        <f t="shared" si="244"/>
        <v>1070055</v>
      </c>
      <c r="AF328" s="262">
        <v>0</v>
      </c>
      <c r="AG328" s="262">
        <f t="shared" si="245"/>
        <v>1070055</v>
      </c>
      <c r="AH328" s="353">
        <f t="array" ref="AH328">MAX((IF(MNU_CODIGO_ALIMENTO_ENTREGA=CONCATENATE($C328,"_","P_"),MNU_GRAMAJE_REQUERIDO_TIPOH,"")))</f>
        <v>100</v>
      </c>
      <c r="AI328" s="259">
        <f t="shared" si="246"/>
        <v>3507</v>
      </c>
      <c r="AJ328" s="259">
        <v>0</v>
      </c>
      <c r="AK328" s="259">
        <f t="shared" si="247"/>
        <v>3507</v>
      </c>
      <c r="AL328" s="260">
        <f t="shared" si="248"/>
        <v>831159</v>
      </c>
      <c r="AM328" s="260">
        <v>0</v>
      </c>
      <c r="AN328" s="260">
        <f t="shared" si="249"/>
        <v>831159</v>
      </c>
      <c r="AO328" s="457">
        <f t="shared" si="250"/>
        <v>446209</v>
      </c>
      <c r="AP328" s="456">
        <f t="shared" si="251"/>
        <v>105751533</v>
      </c>
      <c r="AQ328" s="263" t="e">
        <f>#REF!+AH328+AA328+T328+M328</f>
        <v>#REF!</v>
      </c>
      <c r="AR328" s="263">
        <f t="shared" si="210"/>
        <v>106069011</v>
      </c>
      <c r="AS328" s="263" t="e">
        <f t="shared" si="211"/>
        <v>#REF!</v>
      </c>
      <c r="AT328" s="263">
        <f t="shared" si="212"/>
        <v>106515220</v>
      </c>
      <c r="AU328" s="263" t="e">
        <f t="shared" si="213"/>
        <v>#REF!</v>
      </c>
      <c r="AV328" s="263">
        <f t="shared" si="214"/>
        <v>137024467</v>
      </c>
      <c r="AW328" s="263" t="e">
        <f t="shared" si="215"/>
        <v>#REF!</v>
      </c>
      <c r="AX328" s="263" t="e">
        <f>AV328+#REF!+AH328+AA328+T328</f>
        <v>#REF!</v>
      </c>
      <c r="AY328" s="263" t="e">
        <f t="shared" si="216"/>
        <v>#REF!</v>
      </c>
      <c r="AZ328" s="263" t="e">
        <f t="shared" si="217"/>
        <v>#REF!</v>
      </c>
      <c r="BA328" s="263" t="e">
        <f t="shared" si="218"/>
        <v>#REF!</v>
      </c>
      <c r="BB328" s="263" t="e">
        <f t="shared" si="219"/>
        <v>#REF!</v>
      </c>
      <c r="BC328" s="263" t="e">
        <f t="shared" si="220"/>
        <v>#REF!</v>
      </c>
      <c r="BD328" s="263" t="e">
        <f t="shared" si="221"/>
        <v>#REF!</v>
      </c>
      <c r="BE328" s="263" t="e">
        <f>BC328+AV328+#REF!+AH328+AA328</f>
        <v>#REF!</v>
      </c>
      <c r="BF328" s="263" t="e">
        <f t="shared" si="222"/>
        <v>#REF!</v>
      </c>
      <c r="BG328" s="263" t="e">
        <f t="shared" si="223"/>
        <v>#REF!</v>
      </c>
    </row>
    <row r="329" spans="1:59" ht="15.75">
      <c r="A329" s="338">
        <v>25</v>
      </c>
      <c r="B329" s="338" t="s">
        <v>1</v>
      </c>
      <c r="C329" s="258">
        <v>22</v>
      </c>
      <c r="D329" s="328" t="s">
        <v>51</v>
      </c>
      <c r="E329" s="258" t="s">
        <v>9</v>
      </c>
      <c r="F329" s="431">
        <f t="array" ref="F329">MAX((IF(MNU_CODIGO_ALIMENTO_ENTREGA=CONCATENATE($C329,"_","P_"),MNU_GRAMAJE_REQUERIDO_TIPOA,"")))</f>
        <v>0</v>
      </c>
      <c r="G329" s="259">
        <f t="shared" si="224"/>
        <v>0</v>
      </c>
      <c r="H329" s="259">
        <f t="shared" si="225"/>
        <v>0</v>
      </c>
      <c r="I329" s="259">
        <f t="shared" si="226"/>
        <v>0</v>
      </c>
      <c r="J329" s="260">
        <f t="shared" si="227"/>
        <v>0</v>
      </c>
      <c r="K329" s="260">
        <f t="shared" si="228"/>
        <v>0</v>
      </c>
      <c r="L329" s="260">
        <f t="shared" si="229"/>
        <v>0</v>
      </c>
      <c r="M329" s="432">
        <f t="array" ref="M329">MAX((IF(MNU_CODIGO_ALIMENTO_ENTREGA=CONCATENATE($C329,"_","P_"),MNU_GRAMAJE_REQUERIDO_TIPOB,"")))</f>
        <v>100</v>
      </c>
      <c r="N329" s="348">
        <f t="shared" si="230"/>
        <v>141640</v>
      </c>
      <c r="O329" s="348">
        <f t="shared" si="231"/>
        <v>57592</v>
      </c>
      <c r="P329" s="348">
        <f t="shared" si="232"/>
        <v>199232</v>
      </c>
      <c r="Q329" s="349">
        <f t="shared" si="233"/>
        <v>78043640</v>
      </c>
      <c r="R329" s="349">
        <f t="shared" si="234"/>
        <v>31733192</v>
      </c>
      <c r="S329" s="349">
        <f t="shared" si="235"/>
        <v>109776832</v>
      </c>
      <c r="T329" s="353">
        <f t="array" ref="T329">MAX((IF(MNU_CODIGO_ALIMENTO_ENTREGA=CONCATENATE($C329,"_","P_"),MNU_GRAMAJE_REQUERIDO_TIPOC,"")))</f>
        <v>100</v>
      </c>
      <c r="U329" s="259">
        <f t="shared" si="236"/>
        <v>153080</v>
      </c>
      <c r="V329" s="259">
        <f t="shared" si="237"/>
        <v>71139</v>
      </c>
      <c r="W329" s="259">
        <f t="shared" si="238"/>
        <v>224219</v>
      </c>
      <c r="X329" s="260">
        <f t="shared" si="239"/>
        <v>84347080</v>
      </c>
      <c r="Y329" s="260">
        <f t="shared" si="240"/>
        <v>39197589</v>
      </c>
      <c r="Z329" s="260">
        <f t="shared" si="241"/>
        <v>123544669</v>
      </c>
      <c r="AA329" s="258">
        <f t="array" ref="AA329">MAX((IF(MNU_CODIGO_ALIMENTO_ENTREGA=CONCATENATE($C329,"_","P_"),MNU_GRAMAJE_REQUERIDO_TIPOM,"")))</f>
        <v>100</v>
      </c>
      <c r="AB329" s="261">
        <f t="shared" si="242"/>
        <v>4300</v>
      </c>
      <c r="AC329" s="261">
        <v>0</v>
      </c>
      <c r="AD329" s="261">
        <f t="shared" si="243"/>
        <v>4300</v>
      </c>
      <c r="AE329" s="262">
        <f t="shared" si="244"/>
        <v>2369300</v>
      </c>
      <c r="AF329" s="262">
        <v>0</v>
      </c>
      <c r="AG329" s="262">
        <f t="shared" si="245"/>
        <v>2369300</v>
      </c>
      <c r="AH329" s="353">
        <f t="array" ref="AH329">MAX((IF(MNU_CODIGO_ALIMENTO_ENTREGA=CONCATENATE($C329,"_","P_"),MNU_GRAMAJE_REQUERIDO_TIPOH,"")))</f>
        <v>100</v>
      </c>
      <c r="AI329" s="259">
        <f t="shared" si="246"/>
        <v>3340</v>
      </c>
      <c r="AJ329" s="259">
        <v>0</v>
      </c>
      <c r="AK329" s="259">
        <f t="shared" si="247"/>
        <v>3340</v>
      </c>
      <c r="AL329" s="260">
        <f t="shared" si="248"/>
        <v>1840340</v>
      </c>
      <c r="AM329" s="260">
        <v>0</v>
      </c>
      <c r="AN329" s="260">
        <f t="shared" si="249"/>
        <v>1840340</v>
      </c>
      <c r="AO329" s="457">
        <f t="shared" si="250"/>
        <v>431091</v>
      </c>
      <c r="AP329" s="456">
        <f t="shared" si="251"/>
        <v>237531141</v>
      </c>
      <c r="AQ329" s="263" t="e">
        <f>#REF!+AH329+AA329+T329+M329</f>
        <v>#REF!</v>
      </c>
      <c r="AR329" s="263">
        <f t="shared" si="210"/>
        <v>237833501</v>
      </c>
      <c r="AS329" s="263" t="e">
        <f t="shared" si="211"/>
        <v>#REF!</v>
      </c>
      <c r="AT329" s="263">
        <f t="shared" si="212"/>
        <v>238264592</v>
      </c>
      <c r="AU329" s="263" t="e">
        <f t="shared" si="213"/>
        <v>#REF!</v>
      </c>
      <c r="AV329" s="263">
        <f t="shared" si="214"/>
        <v>309195373</v>
      </c>
      <c r="AW329" s="263" t="e">
        <f t="shared" si="215"/>
        <v>#REF!</v>
      </c>
      <c r="AX329" s="263" t="e">
        <f>AV329+#REF!+AH329+AA329+T329</f>
        <v>#REF!</v>
      </c>
      <c r="AY329" s="263" t="e">
        <f t="shared" si="216"/>
        <v>#REF!</v>
      </c>
      <c r="AZ329" s="263" t="e">
        <f t="shared" si="217"/>
        <v>#REF!</v>
      </c>
      <c r="BA329" s="263" t="e">
        <f t="shared" si="218"/>
        <v>#REF!</v>
      </c>
      <c r="BB329" s="263" t="e">
        <f t="shared" si="219"/>
        <v>#REF!</v>
      </c>
      <c r="BC329" s="263" t="e">
        <f t="shared" si="220"/>
        <v>#REF!</v>
      </c>
      <c r="BD329" s="263" t="e">
        <f t="shared" si="221"/>
        <v>#REF!</v>
      </c>
      <c r="BE329" s="263" t="e">
        <f>BC329+AV329+#REF!+AH329+AA329</f>
        <v>#REF!</v>
      </c>
      <c r="BF329" s="263" t="e">
        <f t="shared" si="222"/>
        <v>#REF!</v>
      </c>
      <c r="BG329" s="263" t="e">
        <f t="shared" si="223"/>
        <v>#REF!</v>
      </c>
    </row>
    <row r="330" spans="1:59" ht="15.75">
      <c r="A330" s="338">
        <v>25</v>
      </c>
      <c r="B330" s="338" t="s">
        <v>1</v>
      </c>
      <c r="C330" s="258">
        <v>33</v>
      </c>
      <c r="D330" s="328" t="s">
        <v>59</v>
      </c>
      <c r="E330" s="258" t="s">
        <v>48</v>
      </c>
      <c r="F330" s="431">
        <v>1</v>
      </c>
      <c r="G330" s="259">
        <f t="shared" si="224"/>
        <v>153360</v>
      </c>
      <c r="H330" s="259">
        <f t="shared" si="225"/>
        <v>62930</v>
      </c>
      <c r="I330" s="259">
        <f t="shared" si="226"/>
        <v>216290</v>
      </c>
      <c r="J330" s="260">
        <f t="shared" si="227"/>
        <v>43400880</v>
      </c>
      <c r="K330" s="260">
        <f t="shared" si="228"/>
        <v>17809190</v>
      </c>
      <c r="L330" s="260">
        <f t="shared" si="229"/>
        <v>61210070</v>
      </c>
      <c r="M330" s="432">
        <v>1</v>
      </c>
      <c r="N330" s="348">
        <f t="shared" si="230"/>
        <v>127476</v>
      </c>
      <c r="O330" s="348">
        <f t="shared" si="231"/>
        <v>57592</v>
      </c>
      <c r="P330" s="348">
        <f t="shared" si="232"/>
        <v>185068</v>
      </c>
      <c r="Q330" s="349">
        <f t="shared" si="233"/>
        <v>36075708</v>
      </c>
      <c r="R330" s="349">
        <f t="shared" si="234"/>
        <v>16298536</v>
      </c>
      <c r="S330" s="349">
        <f t="shared" si="235"/>
        <v>52374244</v>
      </c>
      <c r="T330" s="431">
        <v>1</v>
      </c>
      <c r="U330" s="259">
        <f t="shared" si="236"/>
        <v>137772</v>
      </c>
      <c r="V330" s="259">
        <f t="shared" si="237"/>
        <v>71139</v>
      </c>
      <c r="W330" s="259">
        <f t="shared" si="238"/>
        <v>208911</v>
      </c>
      <c r="X330" s="260">
        <f t="shared" si="239"/>
        <v>38989476</v>
      </c>
      <c r="Y330" s="260">
        <f t="shared" si="240"/>
        <v>20132337</v>
      </c>
      <c r="Z330" s="260">
        <f t="shared" si="241"/>
        <v>59121813</v>
      </c>
      <c r="AA330" s="258">
        <v>1</v>
      </c>
      <c r="AB330" s="261">
        <f t="shared" si="242"/>
        <v>3870</v>
      </c>
      <c r="AC330" s="261">
        <v>0</v>
      </c>
      <c r="AD330" s="261">
        <f t="shared" si="243"/>
        <v>3870</v>
      </c>
      <c r="AE330" s="262">
        <f t="shared" si="244"/>
        <v>1095210</v>
      </c>
      <c r="AF330" s="262">
        <v>0</v>
      </c>
      <c r="AG330" s="262">
        <f t="shared" si="245"/>
        <v>1095210</v>
      </c>
      <c r="AH330" s="353">
        <v>1</v>
      </c>
      <c r="AI330" s="259">
        <f t="shared" si="246"/>
        <v>3006</v>
      </c>
      <c r="AJ330" s="259">
        <v>0</v>
      </c>
      <c r="AK330" s="259">
        <f t="shared" si="247"/>
        <v>3006</v>
      </c>
      <c r="AL330" s="260">
        <f t="shared" si="248"/>
        <v>850698</v>
      </c>
      <c r="AM330" s="260">
        <v>0</v>
      </c>
      <c r="AN330" s="260">
        <f t="shared" si="249"/>
        <v>850698</v>
      </c>
      <c r="AO330" s="457">
        <f t="shared" si="250"/>
        <v>617145</v>
      </c>
      <c r="AP330" s="456">
        <f t="shared" si="251"/>
        <v>174652035</v>
      </c>
      <c r="AQ330" s="263" t="e">
        <f>#REF!+AH330+AA330+T330+M330</f>
        <v>#REF!</v>
      </c>
      <c r="AR330" s="263">
        <f t="shared" si="210"/>
        <v>174924159</v>
      </c>
      <c r="AS330" s="263" t="e">
        <f t="shared" si="211"/>
        <v>#REF!</v>
      </c>
      <c r="AT330" s="263">
        <f t="shared" si="212"/>
        <v>175325014</v>
      </c>
      <c r="AU330" s="263" t="e">
        <f t="shared" si="213"/>
        <v>#REF!</v>
      </c>
      <c r="AV330" s="263">
        <f t="shared" si="214"/>
        <v>211755887</v>
      </c>
      <c r="AW330" s="263" t="e">
        <f t="shared" si="215"/>
        <v>#REF!</v>
      </c>
      <c r="AX330" s="263" t="e">
        <f>AV330+#REF!+AH330+AA330+T330</f>
        <v>#REF!</v>
      </c>
      <c r="AY330" s="263" t="e">
        <f t="shared" si="216"/>
        <v>#REF!</v>
      </c>
      <c r="AZ330" s="263" t="e">
        <f t="shared" si="217"/>
        <v>#REF!</v>
      </c>
      <c r="BA330" s="263" t="e">
        <f t="shared" si="218"/>
        <v>#REF!</v>
      </c>
      <c r="BB330" s="263" t="e">
        <f t="shared" si="219"/>
        <v>#REF!</v>
      </c>
      <c r="BC330" s="263" t="e">
        <f t="shared" si="220"/>
        <v>#REF!</v>
      </c>
      <c r="BD330" s="263" t="e">
        <f t="shared" si="221"/>
        <v>#REF!</v>
      </c>
      <c r="BE330" s="263" t="e">
        <f>BC330+AV330+#REF!+AH330+AA330</f>
        <v>#REF!</v>
      </c>
      <c r="BF330" s="263" t="e">
        <f t="shared" si="222"/>
        <v>#REF!</v>
      </c>
      <c r="BG330" s="263" t="e">
        <f t="shared" si="223"/>
        <v>#REF!</v>
      </c>
    </row>
    <row r="331" spans="1:59" ht="15.75">
      <c r="A331" s="338">
        <v>25</v>
      </c>
      <c r="B331" s="338" t="s">
        <v>1</v>
      </c>
      <c r="C331" s="258">
        <v>36</v>
      </c>
      <c r="D331" s="328" t="s">
        <v>1340</v>
      </c>
      <c r="E331" s="258" t="s">
        <v>9</v>
      </c>
      <c r="F331" s="431">
        <f t="array" ref="F331">MAX((IF(MNU_CODIGO_ALIMENTO_ENTREGA=CONCATENATE($C331,"_","P_"),MNU_GRAMAJE_REQUERIDO_TIPOA,"")))</f>
        <v>20</v>
      </c>
      <c r="G331" s="259">
        <f t="shared" si="224"/>
        <v>39760</v>
      </c>
      <c r="H331" s="259">
        <f t="shared" si="225"/>
        <v>17360</v>
      </c>
      <c r="I331" s="259">
        <f t="shared" si="226"/>
        <v>57120</v>
      </c>
      <c r="J331" s="260">
        <f t="shared" si="227"/>
        <v>5248320</v>
      </c>
      <c r="K331" s="260">
        <f t="shared" si="228"/>
        <v>2291520</v>
      </c>
      <c r="L331" s="260">
        <f t="shared" si="229"/>
        <v>7539840</v>
      </c>
      <c r="M331" s="432">
        <f t="array" ref="M331">MAX((IF(MNU_CODIGO_ALIMENTO_ENTREGA=CONCATENATE($C331,"_","P_"),MNU_GRAMAJE_REQUERIDO_TIPOB,"")))</f>
        <v>40</v>
      </c>
      <c r="N331" s="348">
        <f t="shared" si="230"/>
        <v>49574</v>
      </c>
      <c r="O331" s="348">
        <f t="shared" si="231"/>
        <v>20032</v>
      </c>
      <c r="P331" s="348">
        <f t="shared" si="232"/>
        <v>69606</v>
      </c>
      <c r="Q331" s="349">
        <f t="shared" si="233"/>
        <v>13137110</v>
      </c>
      <c r="R331" s="349">
        <f t="shared" si="234"/>
        <v>5308480</v>
      </c>
      <c r="S331" s="349">
        <f t="shared" si="235"/>
        <v>18445590</v>
      </c>
      <c r="T331" s="353">
        <f t="array" ref="T331">MAX((IF(MNU_CODIGO_ALIMENTO_ENTREGA=CONCATENATE($C331,"_","P_"),MNU_GRAMAJE_REQUERIDO_TIPOC,"")))</f>
        <v>40</v>
      </c>
      <c r="U331" s="259">
        <f t="shared" si="236"/>
        <v>53578</v>
      </c>
      <c r="V331" s="259">
        <f t="shared" si="237"/>
        <v>24744</v>
      </c>
      <c r="W331" s="259">
        <f t="shared" si="238"/>
        <v>78322</v>
      </c>
      <c r="X331" s="260">
        <f t="shared" si="239"/>
        <v>14198170</v>
      </c>
      <c r="Y331" s="260">
        <f t="shared" si="240"/>
        <v>6557160</v>
      </c>
      <c r="Z331" s="260">
        <f t="shared" si="241"/>
        <v>20755330</v>
      </c>
      <c r="AA331" s="258">
        <f t="array" ref="AA331">MAX((IF(MNU_CODIGO_ALIMENTO_ENTREGA=CONCATENATE($C331,"_","P_"),MNU_GRAMAJE_REQUERIDO_TIPOM,"")))</f>
        <v>40</v>
      </c>
      <c r="AB331" s="261">
        <f t="shared" si="242"/>
        <v>1505</v>
      </c>
      <c r="AC331" s="261">
        <v>0</v>
      </c>
      <c r="AD331" s="261">
        <f t="shared" si="243"/>
        <v>1505</v>
      </c>
      <c r="AE331" s="262">
        <f t="shared" si="244"/>
        <v>398825</v>
      </c>
      <c r="AF331" s="262">
        <v>0</v>
      </c>
      <c r="AG331" s="262">
        <f t="shared" si="245"/>
        <v>398825</v>
      </c>
      <c r="AH331" s="353">
        <f t="array" ref="AH331">MAX((IF(MNU_CODIGO_ALIMENTO_ENTREGA=CONCATENATE($C331,"_","P_"),MNU_GRAMAJE_REQUERIDO_TIPOH,"")))</f>
        <v>40</v>
      </c>
      <c r="AI331" s="259">
        <f t="shared" si="246"/>
        <v>1169</v>
      </c>
      <c r="AJ331" s="259">
        <v>0</v>
      </c>
      <c r="AK331" s="259">
        <f t="shared" si="247"/>
        <v>1169</v>
      </c>
      <c r="AL331" s="260">
        <f t="shared" si="248"/>
        <v>309785</v>
      </c>
      <c r="AM331" s="260">
        <v>0</v>
      </c>
      <c r="AN331" s="260">
        <f t="shared" si="249"/>
        <v>309785</v>
      </c>
      <c r="AO331" s="457">
        <f t="shared" si="250"/>
        <v>207722</v>
      </c>
      <c r="AP331" s="456">
        <f t="shared" si="251"/>
        <v>47449370</v>
      </c>
      <c r="AQ331" s="263" t="e">
        <f>#REF!+AH331+AA331+T331+M331</f>
        <v>#REF!</v>
      </c>
      <c r="AR331" s="263">
        <f t="shared" si="210"/>
        <v>47555196</v>
      </c>
      <c r="AS331" s="263" t="e">
        <f t="shared" si="211"/>
        <v>#REF!</v>
      </c>
      <c r="AT331" s="263">
        <f t="shared" si="212"/>
        <v>47705798</v>
      </c>
      <c r="AU331" s="263" t="e">
        <f t="shared" si="213"/>
        <v>#REF!</v>
      </c>
      <c r="AV331" s="263">
        <f t="shared" si="214"/>
        <v>59571438</v>
      </c>
      <c r="AW331" s="263" t="e">
        <f t="shared" si="215"/>
        <v>#REF!</v>
      </c>
      <c r="AX331" s="263" t="e">
        <f>AV331+#REF!+AH331+AA331+T331</f>
        <v>#REF!</v>
      </c>
      <c r="AY331" s="263" t="e">
        <f t="shared" si="216"/>
        <v>#REF!</v>
      </c>
      <c r="AZ331" s="263" t="e">
        <f t="shared" si="217"/>
        <v>#REF!</v>
      </c>
      <c r="BA331" s="263" t="e">
        <f t="shared" si="218"/>
        <v>#REF!</v>
      </c>
      <c r="BB331" s="263" t="e">
        <f t="shared" si="219"/>
        <v>#REF!</v>
      </c>
      <c r="BC331" s="263" t="e">
        <f t="shared" si="220"/>
        <v>#REF!</v>
      </c>
      <c r="BD331" s="263" t="e">
        <f t="shared" si="221"/>
        <v>#REF!</v>
      </c>
      <c r="BE331" s="263" t="e">
        <f>BC331+AV331+#REF!+AH331+AA331</f>
        <v>#REF!</v>
      </c>
      <c r="BF331" s="263" t="e">
        <f t="shared" si="222"/>
        <v>#REF!</v>
      </c>
      <c r="BG331" s="263" t="e">
        <f t="shared" si="223"/>
        <v>#REF!</v>
      </c>
    </row>
    <row r="332" spans="1:59" ht="15.75">
      <c r="A332" s="338">
        <v>25</v>
      </c>
      <c r="B332" s="338" t="s">
        <v>1</v>
      </c>
      <c r="C332" s="258">
        <v>42</v>
      </c>
      <c r="D332" s="328" t="s">
        <v>61</v>
      </c>
      <c r="E332" s="258" t="s">
        <v>9</v>
      </c>
      <c r="F332" s="431">
        <f t="array" ref="F332">MAX((IF(MNU_CODIGO_ALIMENTO_ENTREGA=CONCATENATE($C332,"_","P_"),MNU_GRAMAJE_REQUERIDO_TIPOA,"")))</f>
        <v>100</v>
      </c>
      <c r="G332" s="259">
        <f t="shared" si="224"/>
        <v>130640</v>
      </c>
      <c r="H332" s="259">
        <f t="shared" si="225"/>
        <v>78120</v>
      </c>
      <c r="I332" s="259">
        <f t="shared" si="226"/>
        <v>208760</v>
      </c>
      <c r="J332" s="260">
        <f t="shared" si="227"/>
        <v>26650560</v>
      </c>
      <c r="K332" s="260">
        <f t="shared" si="228"/>
        <v>15936480</v>
      </c>
      <c r="L332" s="260">
        <f t="shared" si="229"/>
        <v>42587040</v>
      </c>
      <c r="M332" s="432">
        <f t="array" ref="M332">MAX((IF(MNU_CODIGO_ALIMENTO_ENTREGA=CONCATENATE($C332,"_","P_"),MNU_GRAMAJE_REQUERIDO_TIPOB,"")))</f>
        <v>100</v>
      </c>
      <c r="N332" s="348">
        <f t="shared" si="230"/>
        <v>134558</v>
      </c>
      <c r="O332" s="348">
        <f t="shared" si="231"/>
        <v>47576</v>
      </c>
      <c r="P332" s="348">
        <f t="shared" si="232"/>
        <v>182134</v>
      </c>
      <c r="Q332" s="349">
        <f t="shared" si="233"/>
        <v>27449832</v>
      </c>
      <c r="R332" s="349">
        <f t="shared" si="234"/>
        <v>9705504</v>
      </c>
      <c r="S332" s="349">
        <f t="shared" si="235"/>
        <v>37155336</v>
      </c>
      <c r="T332" s="353">
        <f t="array" ref="T332">MAX((IF(MNU_CODIGO_ALIMENTO_ENTREGA=CONCATENATE($C332,"_","P_"),MNU_GRAMAJE_REQUERIDO_TIPOC,"")))</f>
        <v>100</v>
      </c>
      <c r="U332" s="259">
        <f t="shared" si="236"/>
        <v>145426</v>
      </c>
      <c r="V332" s="259">
        <f t="shared" si="237"/>
        <v>58767</v>
      </c>
      <c r="W332" s="259">
        <f t="shared" si="238"/>
        <v>204193</v>
      </c>
      <c r="X332" s="260">
        <f t="shared" si="239"/>
        <v>29666904</v>
      </c>
      <c r="Y332" s="260">
        <f t="shared" si="240"/>
        <v>11988468</v>
      </c>
      <c r="Z332" s="260">
        <f t="shared" si="241"/>
        <v>41655372</v>
      </c>
      <c r="AA332" s="258">
        <f t="array" ref="AA332">MAX((IF(MNU_CODIGO_ALIMENTO_ENTREGA=CONCATENATE($C332,"_","P_"),MNU_GRAMAJE_REQUERIDO_TIPOM,"")))</f>
        <v>100</v>
      </c>
      <c r="AB332" s="261">
        <f t="shared" si="242"/>
        <v>4085</v>
      </c>
      <c r="AC332" s="261">
        <v>0</v>
      </c>
      <c r="AD332" s="261">
        <f t="shared" si="243"/>
        <v>4085</v>
      </c>
      <c r="AE332" s="262">
        <f t="shared" si="244"/>
        <v>833340</v>
      </c>
      <c r="AF332" s="262">
        <v>0</v>
      </c>
      <c r="AG332" s="262">
        <f t="shared" si="245"/>
        <v>833340</v>
      </c>
      <c r="AH332" s="353">
        <f t="array" ref="AH332">MAX((IF(MNU_CODIGO_ALIMENTO_ENTREGA=CONCATENATE($C332,"_","P_"),MNU_GRAMAJE_REQUERIDO_TIPOH,"")))</f>
        <v>100</v>
      </c>
      <c r="AI332" s="259">
        <f t="shared" si="246"/>
        <v>3173</v>
      </c>
      <c r="AJ332" s="259">
        <v>0</v>
      </c>
      <c r="AK332" s="259">
        <f t="shared" si="247"/>
        <v>3173</v>
      </c>
      <c r="AL332" s="260">
        <f t="shared" si="248"/>
        <v>647292</v>
      </c>
      <c r="AM332" s="260">
        <v>0</v>
      </c>
      <c r="AN332" s="260">
        <f t="shared" si="249"/>
        <v>647292</v>
      </c>
      <c r="AO332" s="457">
        <f t="shared" si="250"/>
        <v>602345</v>
      </c>
      <c r="AP332" s="456">
        <f t="shared" si="251"/>
        <v>122878380</v>
      </c>
      <c r="AQ332" s="263" t="e">
        <f>#REF!+AH332+AA332+T332+M332</f>
        <v>#REF!</v>
      </c>
      <c r="AR332" s="263">
        <f t="shared" si="210"/>
        <v>123165622</v>
      </c>
      <c r="AS332" s="263" t="e">
        <f t="shared" si="211"/>
        <v>#REF!</v>
      </c>
      <c r="AT332" s="263">
        <f t="shared" si="212"/>
        <v>123559207</v>
      </c>
      <c r="AU332" s="263" t="e">
        <f t="shared" si="213"/>
        <v>#REF!</v>
      </c>
      <c r="AV332" s="263">
        <f t="shared" si="214"/>
        <v>145253179</v>
      </c>
      <c r="AW332" s="263" t="e">
        <f t="shared" si="215"/>
        <v>#REF!</v>
      </c>
      <c r="AX332" s="263" t="e">
        <f>AV332+#REF!+AH332+AA332+T332</f>
        <v>#REF!</v>
      </c>
      <c r="AY332" s="263" t="e">
        <f t="shared" si="216"/>
        <v>#REF!</v>
      </c>
      <c r="AZ332" s="263" t="e">
        <f t="shared" si="217"/>
        <v>#REF!</v>
      </c>
      <c r="BA332" s="263" t="e">
        <f t="shared" si="218"/>
        <v>#REF!</v>
      </c>
      <c r="BB332" s="263" t="e">
        <f t="shared" si="219"/>
        <v>#REF!</v>
      </c>
      <c r="BC332" s="263" t="e">
        <f t="shared" si="220"/>
        <v>#REF!</v>
      </c>
      <c r="BD332" s="263" t="e">
        <f t="shared" si="221"/>
        <v>#REF!</v>
      </c>
      <c r="BE332" s="263" t="e">
        <f>BC332+AV332+#REF!+AH332+AA332</f>
        <v>#REF!</v>
      </c>
      <c r="BF332" s="263" t="e">
        <f t="shared" si="222"/>
        <v>#REF!</v>
      </c>
      <c r="BG332" s="263" t="e">
        <f t="shared" si="223"/>
        <v>#REF!</v>
      </c>
    </row>
    <row r="333" spans="1:59" ht="15.75">
      <c r="A333" s="338">
        <v>25</v>
      </c>
      <c r="B333" s="338" t="s">
        <v>1</v>
      </c>
      <c r="C333" s="258">
        <v>43</v>
      </c>
      <c r="D333" s="328" t="s">
        <v>62</v>
      </c>
      <c r="E333" s="258" t="s">
        <v>9</v>
      </c>
      <c r="F333" s="431">
        <f t="array" ref="F333">MAX((IF(MNU_CODIGO_ALIMENTO_ENTREGA=CONCATENATE($C333,"_","P_"),MNU_GRAMAJE_REQUERIDO_TIPOA,"")))</f>
        <v>100</v>
      </c>
      <c r="G333" s="259">
        <f t="shared" si="224"/>
        <v>136320</v>
      </c>
      <c r="H333" s="259">
        <f t="shared" si="225"/>
        <v>62930</v>
      </c>
      <c r="I333" s="259">
        <f t="shared" si="226"/>
        <v>199250</v>
      </c>
      <c r="J333" s="260">
        <f t="shared" si="227"/>
        <v>24264960</v>
      </c>
      <c r="K333" s="260">
        <f t="shared" si="228"/>
        <v>11201540</v>
      </c>
      <c r="L333" s="260">
        <f t="shared" si="229"/>
        <v>35466500</v>
      </c>
      <c r="M333" s="432">
        <f t="array" ref="M333">MAX((IF(MNU_CODIGO_ALIMENTO_ENTREGA=CONCATENATE($C333,"_","P_"),MNU_GRAMAJE_REQUERIDO_TIPOB,"")))</f>
        <v>100</v>
      </c>
      <c r="N333" s="348">
        <f t="shared" si="230"/>
        <v>120394</v>
      </c>
      <c r="O333" s="348">
        <f t="shared" si="231"/>
        <v>57592</v>
      </c>
      <c r="P333" s="348">
        <f t="shared" si="232"/>
        <v>177986</v>
      </c>
      <c r="Q333" s="349">
        <f t="shared" si="233"/>
        <v>21430132</v>
      </c>
      <c r="R333" s="349">
        <f t="shared" si="234"/>
        <v>10251376</v>
      </c>
      <c r="S333" s="349">
        <f t="shared" si="235"/>
        <v>31681508</v>
      </c>
      <c r="T333" s="353">
        <f t="array" ref="T333">MAX((IF(MNU_CODIGO_ALIMENTO_ENTREGA=CONCATENATE($C333,"_","P_"),MNU_GRAMAJE_REQUERIDO_TIPOC,"")))</f>
        <v>100</v>
      </c>
      <c r="U333" s="259">
        <f t="shared" si="236"/>
        <v>130118</v>
      </c>
      <c r="V333" s="259">
        <f t="shared" si="237"/>
        <v>71139</v>
      </c>
      <c r="W333" s="259">
        <f t="shared" si="238"/>
        <v>201257</v>
      </c>
      <c r="X333" s="260">
        <f t="shared" si="239"/>
        <v>23161004</v>
      </c>
      <c r="Y333" s="260">
        <f t="shared" si="240"/>
        <v>12662742</v>
      </c>
      <c r="Z333" s="260">
        <f t="shared" si="241"/>
        <v>35823746</v>
      </c>
      <c r="AA333" s="258">
        <f t="array" ref="AA333">MAX((IF(MNU_CODIGO_ALIMENTO_ENTREGA=CONCATENATE($C333,"_","P_"),MNU_GRAMAJE_REQUERIDO_TIPOM,"")))</f>
        <v>100</v>
      </c>
      <c r="AB333" s="261">
        <f t="shared" si="242"/>
        <v>3655</v>
      </c>
      <c r="AC333" s="261">
        <v>0</v>
      </c>
      <c r="AD333" s="261">
        <f t="shared" si="243"/>
        <v>3655</v>
      </c>
      <c r="AE333" s="262">
        <f t="shared" si="244"/>
        <v>650590</v>
      </c>
      <c r="AF333" s="262">
        <v>0</v>
      </c>
      <c r="AG333" s="262">
        <f t="shared" si="245"/>
        <v>650590</v>
      </c>
      <c r="AH333" s="353">
        <f t="array" ref="AH333">MAX((IF(MNU_CODIGO_ALIMENTO_ENTREGA=CONCATENATE($C333,"_","P_"),MNU_GRAMAJE_REQUERIDO_TIPOH,"")))</f>
        <v>100</v>
      </c>
      <c r="AI333" s="259">
        <f t="shared" si="246"/>
        <v>2839</v>
      </c>
      <c r="AJ333" s="259">
        <v>0</v>
      </c>
      <c r="AK333" s="259">
        <f t="shared" si="247"/>
        <v>2839</v>
      </c>
      <c r="AL333" s="260">
        <f t="shared" si="248"/>
        <v>505342</v>
      </c>
      <c r="AM333" s="260">
        <v>0</v>
      </c>
      <c r="AN333" s="260">
        <f t="shared" si="249"/>
        <v>505342</v>
      </c>
      <c r="AO333" s="457">
        <f t="shared" si="250"/>
        <v>584987</v>
      </c>
      <c r="AP333" s="456">
        <f t="shared" si="251"/>
        <v>104127686</v>
      </c>
      <c r="AQ333" s="263" t="e">
        <f>#REF!+AH333+AA333+T333+M333</f>
        <v>#REF!</v>
      </c>
      <c r="AR333" s="263">
        <f t="shared" si="210"/>
        <v>104384692</v>
      </c>
      <c r="AS333" s="263" t="e">
        <f t="shared" si="211"/>
        <v>#REF!</v>
      </c>
      <c r="AT333" s="263">
        <f t="shared" si="212"/>
        <v>104770429</v>
      </c>
      <c r="AU333" s="263" t="e">
        <f t="shared" si="213"/>
        <v>#REF!</v>
      </c>
      <c r="AV333" s="263">
        <f t="shared" si="214"/>
        <v>127684547</v>
      </c>
      <c r="AW333" s="263" t="e">
        <f t="shared" si="215"/>
        <v>#REF!</v>
      </c>
      <c r="AX333" s="263" t="e">
        <f>AV333+#REF!+AH333+AA333+T333</f>
        <v>#REF!</v>
      </c>
      <c r="AY333" s="263" t="e">
        <f t="shared" si="216"/>
        <v>#REF!</v>
      </c>
      <c r="AZ333" s="263" t="e">
        <f t="shared" si="217"/>
        <v>#REF!</v>
      </c>
      <c r="BA333" s="263" t="e">
        <f t="shared" si="218"/>
        <v>#REF!</v>
      </c>
      <c r="BB333" s="263" t="e">
        <f t="shared" si="219"/>
        <v>#REF!</v>
      </c>
      <c r="BC333" s="263" t="e">
        <f t="shared" si="220"/>
        <v>#REF!</v>
      </c>
      <c r="BD333" s="263" t="e">
        <f t="shared" si="221"/>
        <v>#REF!</v>
      </c>
      <c r="BE333" s="263" t="e">
        <f>BC333+AV333+#REF!+AH333+AA333</f>
        <v>#REF!</v>
      </c>
      <c r="BF333" s="263" t="e">
        <f t="shared" si="222"/>
        <v>#REF!</v>
      </c>
      <c r="BG333" s="263" t="e">
        <f t="shared" si="223"/>
        <v>#REF!</v>
      </c>
    </row>
    <row r="334" spans="1:59" ht="15.75">
      <c r="A334" s="338">
        <v>25</v>
      </c>
      <c r="B334" s="338" t="s">
        <v>1</v>
      </c>
      <c r="C334" s="258">
        <v>46</v>
      </c>
      <c r="D334" s="328" t="s">
        <v>64</v>
      </c>
      <c r="E334" s="258" t="s">
        <v>9</v>
      </c>
      <c r="F334" s="431">
        <f t="array" ref="F334">MAX((IF(MNU_CODIGO_ALIMENTO_ENTREGA=CONCATENATE($C334,"_","P_"),MNU_GRAMAJE_REQUERIDO_TIPOA,"")))</f>
        <v>100</v>
      </c>
      <c r="G334" s="259">
        <f t="shared" si="224"/>
        <v>170400</v>
      </c>
      <c r="H334" s="259">
        <f t="shared" si="225"/>
        <v>62930</v>
      </c>
      <c r="I334" s="259">
        <f t="shared" si="226"/>
        <v>233330</v>
      </c>
      <c r="J334" s="260">
        <f t="shared" si="227"/>
        <v>71227200</v>
      </c>
      <c r="K334" s="260">
        <f t="shared" si="228"/>
        <v>26304740</v>
      </c>
      <c r="L334" s="260">
        <f t="shared" si="229"/>
        <v>97531940</v>
      </c>
      <c r="M334" s="432">
        <f t="array" ref="M334">MAX((IF(MNU_CODIGO_ALIMENTO_ENTREGA=CONCATENATE($C334,"_","P_"),MNU_GRAMAJE_REQUERIDO_TIPOB,"")))</f>
        <v>100</v>
      </c>
      <c r="N334" s="348">
        <f t="shared" si="230"/>
        <v>148722</v>
      </c>
      <c r="O334" s="348">
        <f t="shared" si="231"/>
        <v>60096</v>
      </c>
      <c r="P334" s="348">
        <f t="shared" si="232"/>
        <v>208818</v>
      </c>
      <c r="Q334" s="349">
        <f t="shared" si="233"/>
        <v>62165796</v>
      </c>
      <c r="R334" s="349">
        <f t="shared" si="234"/>
        <v>25120128</v>
      </c>
      <c r="S334" s="349">
        <f t="shared" si="235"/>
        <v>87285924</v>
      </c>
      <c r="T334" s="353">
        <f t="array" ref="T334">MAX((IF(MNU_CODIGO_ALIMENTO_ENTREGA=CONCATENATE($C334,"_","P_"),MNU_GRAMAJE_REQUERIDO_TIPOC,"")))</f>
        <v>100</v>
      </c>
      <c r="U334" s="259">
        <f t="shared" si="236"/>
        <v>160734</v>
      </c>
      <c r="V334" s="259">
        <f t="shared" si="237"/>
        <v>74232</v>
      </c>
      <c r="W334" s="259">
        <f t="shared" si="238"/>
        <v>234966</v>
      </c>
      <c r="X334" s="260">
        <f t="shared" si="239"/>
        <v>67186812</v>
      </c>
      <c r="Y334" s="260">
        <f t="shared" si="240"/>
        <v>31028976</v>
      </c>
      <c r="Z334" s="260">
        <f t="shared" si="241"/>
        <v>98215788</v>
      </c>
      <c r="AA334" s="258">
        <f t="array" ref="AA334">MAX((IF(MNU_CODIGO_ALIMENTO_ENTREGA=CONCATENATE($C334,"_","P_"),MNU_GRAMAJE_REQUERIDO_TIPOM,"")))</f>
        <v>100</v>
      </c>
      <c r="AB334" s="261">
        <f t="shared" si="242"/>
        <v>4515</v>
      </c>
      <c r="AC334" s="261">
        <v>0</v>
      </c>
      <c r="AD334" s="261">
        <f t="shared" si="243"/>
        <v>4515</v>
      </c>
      <c r="AE334" s="262">
        <f t="shared" si="244"/>
        <v>1887270</v>
      </c>
      <c r="AF334" s="262">
        <v>0</v>
      </c>
      <c r="AG334" s="262">
        <f t="shared" si="245"/>
        <v>1887270</v>
      </c>
      <c r="AH334" s="353">
        <f t="array" ref="AH334">MAX((IF(MNU_CODIGO_ALIMENTO_ENTREGA=CONCATENATE($C334,"_","P_"),MNU_GRAMAJE_REQUERIDO_TIPOH,"")))</f>
        <v>100</v>
      </c>
      <c r="AI334" s="259">
        <f t="shared" si="246"/>
        <v>3507</v>
      </c>
      <c r="AJ334" s="259">
        <v>0</v>
      </c>
      <c r="AK334" s="259">
        <f t="shared" si="247"/>
        <v>3507</v>
      </c>
      <c r="AL334" s="260">
        <f t="shared" si="248"/>
        <v>1465926</v>
      </c>
      <c r="AM334" s="260">
        <v>0</v>
      </c>
      <c r="AN334" s="260">
        <f t="shared" si="249"/>
        <v>1465926</v>
      </c>
      <c r="AO334" s="457">
        <f t="shared" si="250"/>
        <v>685136</v>
      </c>
      <c r="AP334" s="456">
        <f t="shared" si="251"/>
        <v>286386848</v>
      </c>
      <c r="AQ334" s="263" t="e">
        <f>#REF!+AH334+AA334+T334+M334</f>
        <v>#REF!</v>
      </c>
      <c r="AR334" s="263">
        <f t="shared" si="210"/>
        <v>286704326</v>
      </c>
      <c r="AS334" s="263" t="e">
        <f t="shared" si="211"/>
        <v>#REF!</v>
      </c>
      <c r="AT334" s="263">
        <f t="shared" si="212"/>
        <v>287156132</v>
      </c>
      <c r="AU334" s="263" t="e">
        <f t="shared" si="213"/>
        <v>#REF!</v>
      </c>
      <c r="AV334" s="263">
        <f t="shared" si="214"/>
        <v>343305236</v>
      </c>
      <c r="AW334" s="263" t="e">
        <f t="shared" si="215"/>
        <v>#REF!</v>
      </c>
      <c r="AX334" s="263" t="e">
        <f>AV334+#REF!+AH334+AA334+T334</f>
        <v>#REF!</v>
      </c>
      <c r="AY334" s="263" t="e">
        <f t="shared" si="216"/>
        <v>#REF!</v>
      </c>
      <c r="AZ334" s="263" t="e">
        <f t="shared" si="217"/>
        <v>#REF!</v>
      </c>
      <c r="BA334" s="263" t="e">
        <f t="shared" si="218"/>
        <v>#REF!</v>
      </c>
      <c r="BB334" s="263" t="e">
        <f t="shared" si="219"/>
        <v>#REF!</v>
      </c>
      <c r="BC334" s="263" t="e">
        <f t="shared" si="220"/>
        <v>#REF!</v>
      </c>
      <c r="BD334" s="263" t="e">
        <f t="shared" si="221"/>
        <v>#REF!</v>
      </c>
      <c r="BE334" s="263" t="e">
        <f>BC334+AV334+#REF!+AH334+AA334</f>
        <v>#REF!</v>
      </c>
      <c r="BF334" s="263" t="e">
        <f t="shared" si="222"/>
        <v>#REF!</v>
      </c>
      <c r="BG334" s="263" t="e">
        <f t="shared" si="223"/>
        <v>#REF!</v>
      </c>
    </row>
    <row r="335" spans="1:59" ht="15.75">
      <c r="A335" s="338">
        <v>25</v>
      </c>
      <c r="B335" s="338" t="s">
        <v>1</v>
      </c>
      <c r="C335" s="258">
        <v>58</v>
      </c>
      <c r="D335" s="328" t="s">
        <v>67</v>
      </c>
      <c r="E335" s="258" t="s">
        <v>9</v>
      </c>
      <c r="F335" s="431">
        <f t="array" ref="F335">MAX((IF(MNU_CODIGO_ALIMENTO_ENTREGA=CONCATENATE($C335,"_","P_"),MNU_GRAMAJE_REQUERIDO_TIPOA,"")))</f>
        <v>100</v>
      </c>
      <c r="G335" s="259">
        <f t="shared" si="224"/>
        <v>136320</v>
      </c>
      <c r="H335" s="259">
        <f t="shared" si="225"/>
        <v>60760</v>
      </c>
      <c r="I335" s="259">
        <f t="shared" si="226"/>
        <v>197080</v>
      </c>
      <c r="J335" s="260">
        <f t="shared" si="227"/>
        <v>22083840</v>
      </c>
      <c r="K335" s="260">
        <f t="shared" si="228"/>
        <v>9843120</v>
      </c>
      <c r="L335" s="260">
        <f t="shared" si="229"/>
        <v>31926960</v>
      </c>
      <c r="M335" s="432">
        <f t="array" ref="M335">MAX((IF(MNU_CODIGO_ALIMENTO_ENTREGA=CONCATENATE($C335,"_","P_"),MNU_GRAMAJE_REQUERIDO_TIPOB,"")))</f>
        <v>100</v>
      </c>
      <c r="N335" s="348">
        <f t="shared" si="230"/>
        <v>162886</v>
      </c>
      <c r="O335" s="348">
        <f t="shared" si="231"/>
        <v>57592</v>
      </c>
      <c r="P335" s="348">
        <f t="shared" si="232"/>
        <v>220478</v>
      </c>
      <c r="Q335" s="349">
        <f t="shared" si="233"/>
        <v>26387532</v>
      </c>
      <c r="R335" s="349">
        <f t="shared" si="234"/>
        <v>9329904</v>
      </c>
      <c r="S335" s="349">
        <f t="shared" si="235"/>
        <v>35717436</v>
      </c>
      <c r="T335" s="353">
        <f t="array" ref="T335">MAX((IF(MNU_CODIGO_ALIMENTO_ENTREGA=CONCATENATE($C335,"_","P_"),MNU_GRAMAJE_REQUERIDO_TIPOC,"")))</f>
        <v>100</v>
      </c>
      <c r="U335" s="259">
        <f t="shared" si="236"/>
        <v>176042</v>
      </c>
      <c r="V335" s="259">
        <f t="shared" si="237"/>
        <v>71139</v>
      </c>
      <c r="W335" s="259">
        <f t="shared" si="238"/>
        <v>247181</v>
      </c>
      <c r="X335" s="260">
        <f t="shared" si="239"/>
        <v>28518804</v>
      </c>
      <c r="Y335" s="260">
        <f t="shared" si="240"/>
        <v>11524518</v>
      </c>
      <c r="Z335" s="260">
        <f t="shared" si="241"/>
        <v>40043322</v>
      </c>
      <c r="AA335" s="258">
        <f t="array" ref="AA335">MAX((IF(MNU_CODIGO_ALIMENTO_ENTREGA=CONCATENATE($C335,"_","P_"),MNU_GRAMAJE_REQUERIDO_TIPOM,"")))</f>
        <v>100</v>
      </c>
      <c r="AB335" s="261">
        <f t="shared" si="242"/>
        <v>4945</v>
      </c>
      <c r="AC335" s="261">
        <v>0</v>
      </c>
      <c r="AD335" s="261">
        <f t="shared" si="243"/>
        <v>4945</v>
      </c>
      <c r="AE335" s="262">
        <f t="shared" si="244"/>
        <v>801090</v>
      </c>
      <c r="AF335" s="262">
        <v>0</v>
      </c>
      <c r="AG335" s="262">
        <f t="shared" si="245"/>
        <v>801090</v>
      </c>
      <c r="AH335" s="353">
        <f t="array" ref="AH335">MAX((IF(MNU_CODIGO_ALIMENTO_ENTREGA=CONCATENATE($C335,"_","P_"),MNU_GRAMAJE_REQUERIDO_TIPOH,"")))</f>
        <v>100</v>
      </c>
      <c r="AI335" s="259">
        <f t="shared" si="246"/>
        <v>3841</v>
      </c>
      <c r="AJ335" s="259">
        <v>0</v>
      </c>
      <c r="AK335" s="259">
        <f t="shared" si="247"/>
        <v>3841</v>
      </c>
      <c r="AL335" s="260">
        <f t="shared" si="248"/>
        <v>622242</v>
      </c>
      <c r="AM335" s="260">
        <v>0</v>
      </c>
      <c r="AN335" s="260">
        <f t="shared" si="249"/>
        <v>622242</v>
      </c>
      <c r="AO335" s="457">
        <f t="shared" si="250"/>
        <v>673525</v>
      </c>
      <c r="AP335" s="456">
        <f t="shared" si="251"/>
        <v>109111050</v>
      </c>
      <c r="AQ335" s="263" t="e">
        <f>#REF!+AH335+AA335+T335+M335</f>
        <v>#REF!</v>
      </c>
      <c r="AR335" s="263">
        <f t="shared" si="210"/>
        <v>109458764</v>
      </c>
      <c r="AS335" s="263" t="e">
        <f t="shared" si="211"/>
        <v>#REF!</v>
      </c>
      <c r="AT335" s="263">
        <f t="shared" si="212"/>
        <v>109935209</v>
      </c>
      <c r="AU335" s="263" t="e">
        <f t="shared" si="213"/>
        <v>#REF!</v>
      </c>
      <c r="AV335" s="263">
        <f t="shared" si="214"/>
        <v>130789631</v>
      </c>
      <c r="AW335" s="263" t="e">
        <f t="shared" si="215"/>
        <v>#REF!</v>
      </c>
      <c r="AX335" s="263" t="e">
        <f>AV335+#REF!+AH335+AA335+T335</f>
        <v>#REF!</v>
      </c>
      <c r="AY335" s="263" t="e">
        <f t="shared" si="216"/>
        <v>#REF!</v>
      </c>
      <c r="AZ335" s="263" t="e">
        <f t="shared" si="217"/>
        <v>#REF!</v>
      </c>
      <c r="BA335" s="263" t="e">
        <f t="shared" si="218"/>
        <v>#REF!</v>
      </c>
      <c r="BB335" s="263" t="e">
        <f t="shared" si="219"/>
        <v>#REF!</v>
      </c>
      <c r="BC335" s="263" t="e">
        <f t="shared" si="220"/>
        <v>#REF!</v>
      </c>
      <c r="BD335" s="263" t="e">
        <f t="shared" si="221"/>
        <v>#REF!</v>
      </c>
      <c r="BE335" s="263" t="e">
        <f>BC335+AV335+#REF!+AH335+AA335</f>
        <v>#REF!</v>
      </c>
      <c r="BF335" s="263" t="e">
        <f t="shared" si="222"/>
        <v>#REF!</v>
      </c>
      <c r="BG335" s="263" t="e">
        <f t="shared" si="223"/>
        <v>#REF!</v>
      </c>
    </row>
    <row r="336" spans="1:59" ht="15.75">
      <c r="A336" s="338">
        <v>25</v>
      </c>
      <c r="B336" s="338" t="s">
        <v>1</v>
      </c>
      <c r="C336" s="258">
        <v>59</v>
      </c>
      <c r="D336" s="328" t="s">
        <v>99</v>
      </c>
      <c r="E336" s="258" t="s">
        <v>9</v>
      </c>
      <c r="F336" s="431">
        <f t="array" ref="F336">MAX((IF(MNU_CODIGO_ALIMENTO_ENTREGA=CONCATENATE($C336,"_","P_"),MNU_GRAMAJE_REQUERIDO_TIPOA,"")))</f>
        <v>0</v>
      </c>
      <c r="G336" s="259">
        <f t="shared" si="224"/>
        <v>0</v>
      </c>
      <c r="H336" s="259">
        <f t="shared" si="225"/>
        <v>0</v>
      </c>
      <c r="I336" s="259">
        <f t="shared" si="226"/>
        <v>0</v>
      </c>
      <c r="J336" s="260">
        <f t="shared" si="227"/>
        <v>0</v>
      </c>
      <c r="K336" s="260">
        <f t="shared" si="228"/>
        <v>0</v>
      </c>
      <c r="L336" s="260">
        <f t="shared" si="229"/>
        <v>0</v>
      </c>
      <c r="M336" s="432">
        <f t="array" ref="M336">MAX((IF(MNU_CODIGO_ALIMENTO_ENTREGA=CONCATENATE($C336,"_","P_"),MNU_GRAMAJE_REQUERIDO_TIPOB,"")))</f>
        <v>100</v>
      </c>
      <c r="N336" s="348">
        <f t="shared" si="230"/>
        <v>56656</v>
      </c>
      <c r="O336" s="348">
        <f t="shared" si="231"/>
        <v>27544</v>
      </c>
      <c r="P336" s="348">
        <f t="shared" si="232"/>
        <v>84200</v>
      </c>
      <c r="Q336" s="349">
        <f t="shared" si="233"/>
        <v>16996800</v>
      </c>
      <c r="R336" s="349">
        <f t="shared" si="234"/>
        <v>8263200</v>
      </c>
      <c r="S336" s="349">
        <f t="shared" si="235"/>
        <v>25260000</v>
      </c>
      <c r="T336" s="353">
        <f t="array" ref="T336">MAX((IF(MNU_CODIGO_ALIMENTO_ENTREGA=CONCATENATE($C336,"_","P_"),MNU_GRAMAJE_REQUERIDO_TIPOC,"")))</f>
        <v>100</v>
      </c>
      <c r="U336" s="259">
        <f t="shared" si="236"/>
        <v>61232</v>
      </c>
      <c r="V336" s="259">
        <f t="shared" si="237"/>
        <v>34023</v>
      </c>
      <c r="W336" s="259">
        <f t="shared" si="238"/>
        <v>95255</v>
      </c>
      <c r="X336" s="260">
        <f t="shared" si="239"/>
        <v>18369600</v>
      </c>
      <c r="Y336" s="260">
        <f t="shared" si="240"/>
        <v>10206900</v>
      </c>
      <c r="Z336" s="260">
        <f t="shared" si="241"/>
        <v>28576500</v>
      </c>
      <c r="AA336" s="258">
        <f t="array" ref="AA336">MAX((IF(MNU_CODIGO_ALIMENTO_ENTREGA=CONCATENATE($C336,"_","P_"),MNU_GRAMAJE_REQUERIDO_TIPOM,"")))</f>
        <v>100</v>
      </c>
      <c r="AB336" s="261">
        <f t="shared" si="242"/>
        <v>1720</v>
      </c>
      <c r="AC336" s="261">
        <v>0</v>
      </c>
      <c r="AD336" s="261">
        <f t="shared" si="243"/>
        <v>1720</v>
      </c>
      <c r="AE336" s="262">
        <f t="shared" si="244"/>
        <v>516000</v>
      </c>
      <c r="AF336" s="262">
        <v>0</v>
      </c>
      <c r="AG336" s="262">
        <f t="shared" si="245"/>
        <v>516000</v>
      </c>
      <c r="AH336" s="353">
        <f t="array" ref="AH336">MAX((IF(MNU_CODIGO_ALIMENTO_ENTREGA=CONCATENATE($C336,"_","P_"),MNU_GRAMAJE_REQUERIDO_TIPOH,"")))</f>
        <v>100</v>
      </c>
      <c r="AI336" s="259">
        <f t="shared" si="246"/>
        <v>1336</v>
      </c>
      <c r="AJ336" s="259">
        <v>0</v>
      </c>
      <c r="AK336" s="259">
        <f t="shared" si="247"/>
        <v>1336</v>
      </c>
      <c r="AL336" s="260">
        <f t="shared" si="248"/>
        <v>400800</v>
      </c>
      <c r="AM336" s="260">
        <v>0</v>
      </c>
      <c r="AN336" s="260">
        <f t="shared" si="249"/>
        <v>400800</v>
      </c>
      <c r="AO336" s="457">
        <f t="shared" si="250"/>
        <v>182511</v>
      </c>
      <c r="AP336" s="456">
        <f t="shared" si="251"/>
        <v>54753300</v>
      </c>
      <c r="AQ336" s="263" t="e">
        <f>#REF!+AH336+AA336+T336+M336</f>
        <v>#REF!</v>
      </c>
      <c r="AR336" s="263">
        <f t="shared" si="210"/>
        <v>54874244</v>
      </c>
      <c r="AS336" s="263" t="e">
        <f t="shared" si="211"/>
        <v>#REF!</v>
      </c>
      <c r="AT336" s="263">
        <f t="shared" si="212"/>
        <v>55056755</v>
      </c>
      <c r="AU336" s="263" t="e">
        <f t="shared" si="213"/>
        <v>#REF!</v>
      </c>
      <c r="AV336" s="263">
        <f t="shared" si="214"/>
        <v>73526855</v>
      </c>
      <c r="AW336" s="263" t="e">
        <f t="shared" si="215"/>
        <v>#REF!</v>
      </c>
      <c r="AX336" s="263" t="e">
        <f>AV336+#REF!+AH336+AA336+T336</f>
        <v>#REF!</v>
      </c>
      <c r="AY336" s="263" t="e">
        <f t="shared" si="216"/>
        <v>#REF!</v>
      </c>
      <c r="AZ336" s="263" t="e">
        <f t="shared" si="217"/>
        <v>#REF!</v>
      </c>
      <c r="BA336" s="263" t="e">
        <f t="shared" si="218"/>
        <v>#REF!</v>
      </c>
      <c r="BB336" s="263" t="e">
        <f t="shared" si="219"/>
        <v>#REF!</v>
      </c>
      <c r="BC336" s="263" t="e">
        <f t="shared" si="220"/>
        <v>#REF!</v>
      </c>
      <c r="BD336" s="263" t="e">
        <f t="shared" si="221"/>
        <v>#REF!</v>
      </c>
      <c r="BE336" s="263" t="e">
        <f>BC336+AV336+#REF!+AH336+AA336</f>
        <v>#REF!</v>
      </c>
      <c r="BF336" s="263" t="e">
        <f t="shared" si="222"/>
        <v>#REF!</v>
      </c>
      <c r="BG336" s="263" t="e">
        <f t="shared" si="223"/>
        <v>#REF!</v>
      </c>
    </row>
    <row r="337" spans="1:59" ht="15.75">
      <c r="A337" s="338">
        <v>25</v>
      </c>
      <c r="B337" s="338" t="s">
        <v>1</v>
      </c>
      <c r="C337" s="258">
        <v>69</v>
      </c>
      <c r="D337" s="328" t="s">
        <v>70</v>
      </c>
      <c r="E337" s="258" t="s">
        <v>9</v>
      </c>
      <c r="F337" s="431">
        <f t="array" ref="F337">MAX((IF(MNU_CODIGO_ALIMENTO_ENTREGA=CONCATENATE($C337,"_","P_"),MNU_GRAMAJE_REQUERIDO_TIPOA,"")))</f>
        <v>100</v>
      </c>
      <c r="G337" s="259">
        <f t="shared" si="224"/>
        <v>170400</v>
      </c>
      <c r="H337" s="259">
        <f t="shared" si="225"/>
        <v>39060</v>
      </c>
      <c r="I337" s="259">
        <f t="shared" si="226"/>
        <v>209460</v>
      </c>
      <c r="J337" s="260">
        <f t="shared" si="227"/>
        <v>54528000</v>
      </c>
      <c r="K337" s="260">
        <f t="shared" si="228"/>
        <v>12499200</v>
      </c>
      <c r="L337" s="260">
        <f t="shared" si="229"/>
        <v>67027200</v>
      </c>
      <c r="M337" s="432">
        <f t="array" ref="M337">MAX((IF(MNU_CODIGO_ALIMENTO_ENTREGA=CONCATENATE($C337,"_","P_"),MNU_GRAMAJE_REQUERIDO_TIPOB,"")))</f>
        <v>100</v>
      </c>
      <c r="N337" s="348">
        <f t="shared" si="230"/>
        <v>113312</v>
      </c>
      <c r="O337" s="348">
        <f t="shared" si="231"/>
        <v>30048</v>
      </c>
      <c r="P337" s="348">
        <f t="shared" si="232"/>
        <v>143360</v>
      </c>
      <c r="Q337" s="349">
        <f t="shared" si="233"/>
        <v>36259840</v>
      </c>
      <c r="R337" s="349">
        <f t="shared" si="234"/>
        <v>9615360</v>
      </c>
      <c r="S337" s="349">
        <f t="shared" si="235"/>
        <v>45875200</v>
      </c>
      <c r="T337" s="353">
        <f t="array" ref="T337">MAX((IF(MNU_CODIGO_ALIMENTO_ENTREGA=CONCATENATE($C337,"_","P_"),MNU_GRAMAJE_REQUERIDO_TIPOC,"")))</f>
        <v>100</v>
      </c>
      <c r="U337" s="259">
        <f t="shared" si="236"/>
        <v>122464</v>
      </c>
      <c r="V337" s="259">
        <f t="shared" si="237"/>
        <v>37116</v>
      </c>
      <c r="W337" s="259">
        <f t="shared" si="238"/>
        <v>159580</v>
      </c>
      <c r="X337" s="260">
        <f t="shared" si="239"/>
        <v>39188480</v>
      </c>
      <c r="Y337" s="260">
        <f t="shared" si="240"/>
        <v>11877120</v>
      </c>
      <c r="Z337" s="260">
        <f t="shared" si="241"/>
        <v>51065600</v>
      </c>
      <c r="AA337" s="258">
        <f t="array" ref="AA337">MAX((IF(MNU_CODIGO_ALIMENTO_ENTREGA=CONCATENATE($C337,"_","P_"),MNU_GRAMAJE_REQUERIDO_TIPOM,"")))</f>
        <v>100</v>
      </c>
      <c r="AB337" s="261">
        <f t="shared" si="242"/>
        <v>3440</v>
      </c>
      <c r="AC337" s="261">
        <v>0</v>
      </c>
      <c r="AD337" s="261">
        <f t="shared" si="243"/>
        <v>3440</v>
      </c>
      <c r="AE337" s="262">
        <f t="shared" si="244"/>
        <v>1100800</v>
      </c>
      <c r="AF337" s="262">
        <v>0</v>
      </c>
      <c r="AG337" s="262">
        <f t="shared" si="245"/>
        <v>1100800</v>
      </c>
      <c r="AH337" s="353">
        <f t="array" ref="AH337">MAX((IF(MNU_CODIGO_ALIMENTO_ENTREGA=CONCATENATE($C337,"_","P_"),MNU_GRAMAJE_REQUERIDO_TIPOH,"")))</f>
        <v>100</v>
      </c>
      <c r="AI337" s="259">
        <f t="shared" si="246"/>
        <v>2672</v>
      </c>
      <c r="AJ337" s="259">
        <v>0</v>
      </c>
      <c r="AK337" s="259">
        <f t="shared" si="247"/>
        <v>2672</v>
      </c>
      <c r="AL337" s="260">
        <f t="shared" si="248"/>
        <v>855040</v>
      </c>
      <c r="AM337" s="260">
        <v>0</v>
      </c>
      <c r="AN337" s="260">
        <f t="shared" si="249"/>
        <v>855040</v>
      </c>
      <c r="AO337" s="457">
        <f t="shared" si="250"/>
        <v>518512</v>
      </c>
      <c r="AP337" s="456">
        <f t="shared" si="251"/>
        <v>165923840</v>
      </c>
      <c r="AQ337" s="263" t="e">
        <f>#REF!+AH337+AA337+T337+M337</f>
        <v>#REF!</v>
      </c>
      <c r="AR337" s="263">
        <f t="shared" si="210"/>
        <v>166165728</v>
      </c>
      <c r="AS337" s="263" t="e">
        <f t="shared" si="211"/>
        <v>#REF!</v>
      </c>
      <c r="AT337" s="263">
        <f t="shared" si="212"/>
        <v>166474780</v>
      </c>
      <c r="AU337" s="263" t="e">
        <f t="shared" si="213"/>
        <v>#REF!</v>
      </c>
      <c r="AV337" s="263">
        <f t="shared" si="214"/>
        <v>187967260</v>
      </c>
      <c r="AW337" s="263" t="e">
        <f t="shared" si="215"/>
        <v>#REF!</v>
      </c>
      <c r="AX337" s="263" t="e">
        <f>AV337+#REF!+AH337+AA337+T337</f>
        <v>#REF!</v>
      </c>
      <c r="AY337" s="263" t="e">
        <f t="shared" si="216"/>
        <v>#REF!</v>
      </c>
      <c r="AZ337" s="263" t="e">
        <f t="shared" si="217"/>
        <v>#REF!</v>
      </c>
      <c r="BA337" s="263" t="e">
        <f t="shared" si="218"/>
        <v>#REF!</v>
      </c>
      <c r="BB337" s="263" t="e">
        <f t="shared" si="219"/>
        <v>#REF!</v>
      </c>
      <c r="BC337" s="263" t="e">
        <f t="shared" si="220"/>
        <v>#REF!</v>
      </c>
      <c r="BD337" s="263" t="e">
        <f t="shared" si="221"/>
        <v>#REF!</v>
      </c>
      <c r="BE337" s="263" t="e">
        <f>BC337+AV337+#REF!+AH337+AA337</f>
        <v>#REF!</v>
      </c>
      <c r="BF337" s="263" t="e">
        <f t="shared" si="222"/>
        <v>#REF!</v>
      </c>
      <c r="BG337" s="263" t="e">
        <f t="shared" si="223"/>
        <v>#REF!</v>
      </c>
    </row>
    <row r="338" spans="1:59" ht="15.75">
      <c r="A338" s="338">
        <v>25</v>
      </c>
      <c r="B338" s="338" t="s">
        <v>1</v>
      </c>
      <c r="C338" s="258">
        <v>70</v>
      </c>
      <c r="D338" s="328" t="s">
        <v>71</v>
      </c>
      <c r="E338" s="258" t="s">
        <v>9</v>
      </c>
      <c r="F338" s="431">
        <f t="array" ref="F338">MAX((IF(MNU_CODIGO_ALIMENTO_ENTREGA=CONCATENATE($C338,"_","P_"),MNU_GRAMAJE_REQUERIDO_TIPOA,"")))</f>
        <v>0</v>
      </c>
      <c r="G338" s="259">
        <f t="shared" si="224"/>
        <v>0</v>
      </c>
      <c r="H338" s="259">
        <f t="shared" si="225"/>
        <v>0</v>
      </c>
      <c r="I338" s="259">
        <f t="shared" si="226"/>
        <v>0</v>
      </c>
      <c r="J338" s="260">
        <f t="shared" si="227"/>
        <v>0</v>
      </c>
      <c r="K338" s="260">
        <f t="shared" si="228"/>
        <v>0</v>
      </c>
      <c r="L338" s="260">
        <f t="shared" si="229"/>
        <v>0</v>
      </c>
      <c r="M338" s="432">
        <f t="array" ref="M338">MAX((IF(MNU_CODIGO_ALIMENTO_ENTREGA=CONCATENATE($C338,"_","P_"),MNU_GRAMAJE_REQUERIDO_TIPOB,"")))</f>
        <v>100</v>
      </c>
      <c r="N338" s="348">
        <f t="shared" si="230"/>
        <v>70820</v>
      </c>
      <c r="O338" s="348">
        <f t="shared" si="231"/>
        <v>20032</v>
      </c>
      <c r="P338" s="348">
        <f t="shared" si="232"/>
        <v>90852</v>
      </c>
      <c r="Q338" s="349">
        <f t="shared" si="233"/>
        <v>32293920</v>
      </c>
      <c r="R338" s="349">
        <f t="shared" si="234"/>
        <v>9134592</v>
      </c>
      <c r="S338" s="349">
        <f t="shared" si="235"/>
        <v>41428512</v>
      </c>
      <c r="T338" s="353">
        <f t="array" ref="T338">MAX((IF(MNU_CODIGO_ALIMENTO_ENTREGA=CONCATENATE($C338,"_","P_"),MNU_GRAMAJE_REQUERIDO_TIPOC,"")))</f>
        <v>100</v>
      </c>
      <c r="U338" s="259">
        <f t="shared" si="236"/>
        <v>76540</v>
      </c>
      <c r="V338" s="259">
        <f t="shared" si="237"/>
        <v>24744</v>
      </c>
      <c r="W338" s="259">
        <f t="shared" si="238"/>
        <v>101284</v>
      </c>
      <c r="X338" s="260">
        <f t="shared" si="239"/>
        <v>34902240</v>
      </c>
      <c r="Y338" s="260">
        <f t="shared" si="240"/>
        <v>11283264</v>
      </c>
      <c r="Z338" s="260">
        <f t="shared" si="241"/>
        <v>46185504</v>
      </c>
      <c r="AA338" s="258">
        <f t="array" ref="AA338">MAX((IF(MNU_CODIGO_ALIMENTO_ENTREGA=CONCATENATE($C338,"_","P_"),MNU_GRAMAJE_REQUERIDO_TIPOM,"")))</f>
        <v>100</v>
      </c>
      <c r="AB338" s="261">
        <f t="shared" si="242"/>
        <v>2150</v>
      </c>
      <c r="AC338" s="261">
        <v>0</v>
      </c>
      <c r="AD338" s="261">
        <f t="shared" si="243"/>
        <v>2150</v>
      </c>
      <c r="AE338" s="262">
        <f t="shared" si="244"/>
        <v>980400</v>
      </c>
      <c r="AF338" s="262">
        <v>0</v>
      </c>
      <c r="AG338" s="262">
        <f t="shared" si="245"/>
        <v>980400</v>
      </c>
      <c r="AH338" s="353">
        <f t="array" ref="AH338">MAX((IF(MNU_CODIGO_ALIMENTO_ENTREGA=CONCATENATE($C338,"_","P_"),MNU_GRAMAJE_REQUERIDO_TIPOH,"")))</f>
        <v>100</v>
      </c>
      <c r="AI338" s="259">
        <f t="shared" si="246"/>
        <v>1670</v>
      </c>
      <c r="AJ338" s="259">
        <v>0</v>
      </c>
      <c r="AK338" s="259">
        <f t="shared" si="247"/>
        <v>1670</v>
      </c>
      <c r="AL338" s="260">
        <f t="shared" si="248"/>
        <v>761520</v>
      </c>
      <c r="AM338" s="260">
        <v>0</v>
      </c>
      <c r="AN338" s="260">
        <f t="shared" si="249"/>
        <v>761520</v>
      </c>
      <c r="AO338" s="457">
        <f t="shared" si="250"/>
        <v>195956</v>
      </c>
      <c r="AP338" s="456">
        <f t="shared" si="251"/>
        <v>89355936</v>
      </c>
      <c r="AQ338" s="263" t="e">
        <f>#REF!+AH338+AA338+T338+M338</f>
        <v>#REF!</v>
      </c>
      <c r="AR338" s="263">
        <f t="shared" si="210"/>
        <v>89507116</v>
      </c>
      <c r="AS338" s="263" t="e">
        <f t="shared" si="211"/>
        <v>#REF!</v>
      </c>
      <c r="AT338" s="263">
        <f t="shared" si="212"/>
        <v>89703072</v>
      </c>
      <c r="AU338" s="263" t="e">
        <f t="shared" si="213"/>
        <v>#REF!</v>
      </c>
      <c r="AV338" s="263">
        <f t="shared" si="214"/>
        <v>110120928</v>
      </c>
      <c r="AW338" s="263" t="e">
        <f t="shared" si="215"/>
        <v>#REF!</v>
      </c>
      <c r="AX338" s="263" t="e">
        <f>AV338+#REF!+AH338+AA338+T338</f>
        <v>#REF!</v>
      </c>
      <c r="AY338" s="263" t="e">
        <f t="shared" si="216"/>
        <v>#REF!</v>
      </c>
      <c r="AZ338" s="263" t="e">
        <f t="shared" si="217"/>
        <v>#REF!</v>
      </c>
      <c r="BA338" s="263" t="e">
        <f t="shared" si="218"/>
        <v>#REF!</v>
      </c>
      <c r="BB338" s="263" t="e">
        <f t="shared" si="219"/>
        <v>#REF!</v>
      </c>
      <c r="BC338" s="263" t="e">
        <f t="shared" si="220"/>
        <v>#REF!</v>
      </c>
      <c r="BD338" s="263" t="e">
        <f t="shared" si="221"/>
        <v>#REF!</v>
      </c>
      <c r="BE338" s="263" t="e">
        <f>BC338+AV338+#REF!+AH338+AA338</f>
        <v>#REF!</v>
      </c>
      <c r="BF338" s="263" t="e">
        <f t="shared" si="222"/>
        <v>#REF!</v>
      </c>
      <c r="BG338" s="263" t="e">
        <f t="shared" si="223"/>
        <v>#REF!</v>
      </c>
    </row>
    <row r="339" spans="1:59" ht="15.75">
      <c r="A339" s="338">
        <v>26</v>
      </c>
      <c r="B339" s="338" t="s">
        <v>1</v>
      </c>
      <c r="C339" s="258">
        <v>7</v>
      </c>
      <c r="D339" s="328" t="s">
        <v>57</v>
      </c>
      <c r="E339" s="258" t="s">
        <v>9</v>
      </c>
      <c r="F339" s="431">
        <f t="array" ref="F339">MAX((IF(MNU_CODIGO_ALIMENTO_ENTREGA=CONCATENATE($C339,"_","P_"),MNU_GRAMAJE_REQUERIDO_TIPOA,"")))</f>
        <v>100</v>
      </c>
      <c r="G339" s="259">
        <f t="shared" si="224"/>
        <v>108680</v>
      </c>
      <c r="H339" s="259">
        <f t="shared" si="225"/>
        <v>48887</v>
      </c>
      <c r="I339" s="259">
        <f t="shared" si="226"/>
        <v>157567</v>
      </c>
      <c r="J339" s="260">
        <f t="shared" si="227"/>
        <v>12172160</v>
      </c>
      <c r="K339" s="260">
        <f t="shared" si="228"/>
        <v>5475344</v>
      </c>
      <c r="L339" s="260">
        <f t="shared" si="229"/>
        <v>17647504</v>
      </c>
      <c r="M339" s="432">
        <f t="array" ref="M339">MAX((IF(MNU_CODIGO_ALIMENTO_ENTREGA=CONCATENATE($C339,"_","P_"),MNU_GRAMAJE_REQUERIDO_TIPOB,"")))</f>
        <v>100</v>
      </c>
      <c r="N339" s="348">
        <f t="shared" si="230"/>
        <v>61200</v>
      </c>
      <c r="O339" s="348">
        <f t="shared" si="231"/>
        <v>30514</v>
      </c>
      <c r="P339" s="348">
        <f t="shared" si="232"/>
        <v>91714</v>
      </c>
      <c r="Q339" s="349">
        <f t="shared" si="233"/>
        <v>6854400</v>
      </c>
      <c r="R339" s="349">
        <f t="shared" si="234"/>
        <v>3417568</v>
      </c>
      <c r="S339" s="349">
        <f t="shared" si="235"/>
        <v>10271968</v>
      </c>
      <c r="T339" s="353">
        <f t="array" ref="T339">MAX((IF(MNU_CODIGO_ALIMENTO_ENTREGA=CONCATENATE($C339,"_","P_"),MNU_GRAMAJE_REQUERIDO_TIPOC,"")))</f>
        <v>100</v>
      </c>
      <c r="U339" s="259">
        <f t="shared" si="236"/>
        <v>67617</v>
      </c>
      <c r="V339" s="259">
        <f t="shared" si="237"/>
        <v>39600</v>
      </c>
      <c r="W339" s="259">
        <f t="shared" si="238"/>
        <v>107217</v>
      </c>
      <c r="X339" s="260">
        <f t="shared" si="239"/>
        <v>7573104</v>
      </c>
      <c r="Y339" s="260">
        <f t="shared" si="240"/>
        <v>4435200</v>
      </c>
      <c r="Z339" s="260">
        <f t="shared" si="241"/>
        <v>12008304</v>
      </c>
      <c r="AA339" s="258">
        <f t="array" ref="AA339">MAX((IF(MNU_CODIGO_ALIMENTO_ENTREGA=CONCATENATE($C339,"_","P_"),MNU_GRAMAJE_REQUERIDO_TIPOM,"")))</f>
        <v>100</v>
      </c>
      <c r="AB339" s="261">
        <f t="shared" si="242"/>
        <v>2070</v>
      </c>
      <c r="AC339" s="261">
        <v>0</v>
      </c>
      <c r="AD339" s="261">
        <f t="shared" si="243"/>
        <v>2070</v>
      </c>
      <c r="AE339" s="262">
        <f t="shared" si="244"/>
        <v>231840</v>
      </c>
      <c r="AF339" s="262">
        <v>0</v>
      </c>
      <c r="AG339" s="262">
        <f t="shared" si="245"/>
        <v>231840</v>
      </c>
      <c r="AH339" s="353">
        <f t="array" ref="AH339">MAX((IF(MNU_CODIGO_ALIMENTO_ENTREGA=CONCATENATE($C339,"_","P_"),MNU_GRAMAJE_REQUERIDO_TIPOH,"")))</f>
        <v>100</v>
      </c>
      <c r="AI339" s="259">
        <f t="shared" si="246"/>
        <v>2610</v>
      </c>
      <c r="AJ339" s="259">
        <v>0</v>
      </c>
      <c r="AK339" s="259">
        <f t="shared" si="247"/>
        <v>2610</v>
      </c>
      <c r="AL339" s="260">
        <f t="shared" si="248"/>
        <v>292320</v>
      </c>
      <c r="AM339" s="260">
        <v>0</v>
      </c>
      <c r="AN339" s="260">
        <f t="shared" si="249"/>
        <v>292320</v>
      </c>
      <c r="AO339" s="457">
        <f t="shared" si="250"/>
        <v>361178</v>
      </c>
      <c r="AP339" s="456">
        <f t="shared" si="251"/>
        <v>40451936</v>
      </c>
      <c r="AQ339" s="263" t="e">
        <f>#REF!+AH339+AA339+T339+M339</f>
        <v>#REF!</v>
      </c>
      <c r="AR339" s="263">
        <f t="shared" si="210"/>
        <v>40585433</v>
      </c>
      <c r="AS339" s="263" t="e">
        <f t="shared" si="211"/>
        <v>#REF!</v>
      </c>
      <c r="AT339" s="263">
        <f t="shared" si="212"/>
        <v>40789044</v>
      </c>
      <c r="AU339" s="263" t="e">
        <f t="shared" si="213"/>
        <v>#REF!</v>
      </c>
      <c r="AV339" s="263">
        <f t="shared" si="214"/>
        <v>48641812</v>
      </c>
      <c r="AW339" s="263" t="e">
        <f t="shared" si="215"/>
        <v>#REF!</v>
      </c>
      <c r="AX339" s="263" t="e">
        <f>AV339+#REF!+AH339+AA339+T339</f>
        <v>#REF!</v>
      </c>
      <c r="AY339" s="263" t="e">
        <f t="shared" si="216"/>
        <v>#REF!</v>
      </c>
      <c r="AZ339" s="263" t="e">
        <f t="shared" si="217"/>
        <v>#REF!</v>
      </c>
      <c r="BA339" s="263" t="e">
        <f t="shared" si="218"/>
        <v>#REF!</v>
      </c>
      <c r="BB339" s="263" t="e">
        <f t="shared" si="219"/>
        <v>#REF!</v>
      </c>
      <c r="BC339" s="263" t="e">
        <f t="shared" si="220"/>
        <v>#REF!</v>
      </c>
      <c r="BD339" s="263" t="e">
        <f t="shared" si="221"/>
        <v>#REF!</v>
      </c>
      <c r="BE339" s="263" t="e">
        <f>BC339+AV339+#REF!+AH339+AA339</f>
        <v>#REF!</v>
      </c>
      <c r="BF339" s="263" t="e">
        <f t="shared" si="222"/>
        <v>#REF!</v>
      </c>
      <c r="BG339" s="263" t="e">
        <f t="shared" si="223"/>
        <v>#REF!</v>
      </c>
    </row>
    <row r="340" spans="1:59" ht="15.75">
      <c r="A340" s="338">
        <v>26</v>
      </c>
      <c r="B340" s="338" t="s">
        <v>1</v>
      </c>
      <c r="C340" s="258">
        <v>8</v>
      </c>
      <c r="D340" s="328" t="s">
        <v>55</v>
      </c>
      <c r="E340" s="258" t="s">
        <v>9</v>
      </c>
      <c r="F340" s="431">
        <f t="array" ref="F340">MAX((IF(MNU_CODIGO_ALIMENTO_ENTREGA=CONCATENATE($C340,"_","P_"),MNU_GRAMAJE_REQUERIDO_TIPOA,"")))</f>
        <v>100</v>
      </c>
      <c r="G340" s="259">
        <f t="shared" si="224"/>
        <v>49400</v>
      </c>
      <c r="H340" s="259">
        <f t="shared" si="225"/>
        <v>17347</v>
      </c>
      <c r="I340" s="259">
        <f t="shared" si="226"/>
        <v>66747</v>
      </c>
      <c r="J340" s="260">
        <f t="shared" si="227"/>
        <v>6965400</v>
      </c>
      <c r="K340" s="260">
        <f t="shared" si="228"/>
        <v>2445927</v>
      </c>
      <c r="L340" s="260">
        <f t="shared" si="229"/>
        <v>9411327</v>
      </c>
      <c r="M340" s="432">
        <f t="array" ref="M340">MAX((IF(MNU_CODIGO_ALIMENTO_ENTREGA=CONCATENATE($C340,"_","P_"),MNU_GRAMAJE_REQUERIDO_TIPOB,"")))</f>
        <v>100</v>
      </c>
      <c r="N340" s="348">
        <f t="shared" si="230"/>
        <v>54400</v>
      </c>
      <c r="O340" s="348">
        <f t="shared" si="231"/>
        <v>30514</v>
      </c>
      <c r="P340" s="348">
        <f t="shared" si="232"/>
        <v>84914</v>
      </c>
      <c r="Q340" s="349">
        <f t="shared" si="233"/>
        <v>7670400</v>
      </c>
      <c r="R340" s="349">
        <f t="shared" si="234"/>
        <v>4302474</v>
      </c>
      <c r="S340" s="349">
        <f t="shared" si="235"/>
        <v>11972874</v>
      </c>
      <c r="T340" s="353">
        <f t="array" ref="T340">MAX((IF(MNU_CODIGO_ALIMENTO_ENTREGA=CONCATENATE($C340,"_","P_"),MNU_GRAMAJE_REQUERIDO_TIPOC,"")))</f>
        <v>100</v>
      </c>
      <c r="U340" s="259">
        <f t="shared" si="236"/>
        <v>60104</v>
      </c>
      <c r="V340" s="259">
        <f t="shared" si="237"/>
        <v>39600</v>
      </c>
      <c r="W340" s="259">
        <f t="shared" si="238"/>
        <v>99704</v>
      </c>
      <c r="X340" s="260">
        <f t="shared" si="239"/>
        <v>8474664</v>
      </c>
      <c r="Y340" s="260">
        <f t="shared" si="240"/>
        <v>5583600</v>
      </c>
      <c r="Z340" s="260">
        <f t="shared" si="241"/>
        <v>14058264</v>
      </c>
      <c r="AA340" s="258">
        <f t="array" ref="AA340">MAX((IF(MNU_CODIGO_ALIMENTO_ENTREGA=CONCATENATE($C340,"_","P_"),MNU_GRAMAJE_REQUERIDO_TIPOM,"")))</f>
        <v>100</v>
      </c>
      <c r="AB340" s="261">
        <f t="shared" si="242"/>
        <v>1840</v>
      </c>
      <c r="AC340" s="261">
        <v>0</v>
      </c>
      <c r="AD340" s="261">
        <f t="shared" si="243"/>
        <v>1840</v>
      </c>
      <c r="AE340" s="262">
        <f t="shared" si="244"/>
        <v>259440</v>
      </c>
      <c r="AF340" s="262">
        <v>0</v>
      </c>
      <c r="AG340" s="262">
        <f t="shared" si="245"/>
        <v>259440</v>
      </c>
      <c r="AH340" s="353">
        <f t="array" ref="AH340">MAX((IF(MNU_CODIGO_ALIMENTO_ENTREGA=CONCATENATE($C340,"_","P_"),MNU_GRAMAJE_REQUERIDO_TIPOH,"")))</f>
        <v>100</v>
      </c>
      <c r="AI340" s="259">
        <f t="shared" si="246"/>
        <v>2320</v>
      </c>
      <c r="AJ340" s="259">
        <v>0</v>
      </c>
      <c r="AK340" s="259">
        <f t="shared" si="247"/>
        <v>2320</v>
      </c>
      <c r="AL340" s="260">
        <f t="shared" si="248"/>
        <v>327120</v>
      </c>
      <c r="AM340" s="260">
        <v>0</v>
      </c>
      <c r="AN340" s="260">
        <f t="shared" si="249"/>
        <v>327120</v>
      </c>
      <c r="AO340" s="457">
        <f t="shared" si="250"/>
        <v>255525</v>
      </c>
      <c r="AP340" s="456">
        <f t="shared" si="251"/>
        <v>36029025</v>
      </c>
      <c r="AQ340" s="263" t="e">
        <f>#REF!+AH340+AA340+T340+M340</f>
        <v>#REF!</v>
      </c>
      <c r="AR340" s="263">
        <f t="shared" si="210"/>
        <v>36147689</v>
      </c>
      <c r="AS340" s="263" t="e">
        <f t="shared" si="211"/>
        <v>#REF!</v>
      </c>
      <c r="AT340" s="263">
        <f t="shared" si="212"/>
        <v>36336467</v>
      </c>
      <c r="AU340" s="263" t="e">
        <f t="shared" si="213"/>
        <v>#REF!</v>
      </c>
      <c r="AV340" s="263">
        <f t="shared" si="214"/>
        <v>46222541</v>
      </c>
      <c r="AW340" s="263" t="e">
        <f t="shared" si="215"/>
        <v>#REF!</v>
      </c>
      <c r="AX340" s="263" t="e">
        <f>AV340+#REF!+AH340+AA340+T340</f>
        <v>#REF!</v>
      </c>
      <c r="AY340" s="263" t="e">
        <f t="shared" si="216"/>
        <v>#REF!</v>
      </c>
      <c r="AZ340" s="263" t="e">
        <f t="shared" si="217"/>
        <v>#REF!</v>
      </c>
      <c r="BA340" s="263" t="e">
        <f t="shared" si="218"/>
        <v>#REF!</v>
      </c>
      <c r="BB340" s="263" t="e">
        <f t="shared" si="219"/>
        <v>#REF!</v>
      </c>
      <c r="BC340" s="263" t="e">
        <f t="shared" si="220"/>
        <v>#REF!</v>
      </c>
      <c r="BD340" s="263" t="e">
        <f t="shared" si="221"/>
        <v>#REF!</v>
      </c>
      <c r="BE340" s="263" t="e">
        <f>BC340+AV340+#REF!+AH340+AA340</f>
        <v>#REF!</v>
      </c>
      <c r="BF340" s="263" t="e">
        <f t="shared" si="222"/>
        <v>#REF!</v>
      </c>
      <c r="BG340" s="263" t="e">
        <f t="shared" si="223"/>
        <v>#REF!</v>
      </c>
    </row>
    <row r="341" spans="1:59" ht="15.75">
      <c r="A341" s="338">
        <v>26</v>
      </c>
      <c r="B341" s="338" t="s">
        <v>1</v>
      </c>
      <c r="C341" s="258">
        <v>17</v>
      </c>
      <c r="D341" s="328" t="s">
        <v>53</v>
      </c>
      <c r="E341" s="258" t="s">
        <v>9</v>
      </c>
      <c r="F341" s="431">
        <f t="array" ref="F341">MAX((IF(MNU_CODIGO_ALIMENTO_ENTREGA=CONCATENATE($C341,"_","P_"),MNU_GRAMAJE_REQUERIDO_TIPOA,"")))</f>
        <v>0</v>
      </c>
      <c r="G341" s="259">
        <f t="shared" si="224"/>
        <v>0</v>
      </c>
      <c r="H341" s="259">
        <f t="shared" si="225"/>
        <v>0</v>
      </c>
      <c r="I341" s="259">
        <f t="shared" si="226"/>
        <v>0</v>
      </c>
      <c r="J341" s="260">
        <f t="shared" si="227"/>
        <v>0</v>
      </c>
      <c r="K341" s="260">
        <f t="shared" si="228"/>
        <v>0</v>
      </c>
      <c r="L341" s="260">
        <f t="shared" si="229"/>
        <v>0</v>
      </c>
      <c r="M341" s="432">
        <f t="array" ref="M341">MAX((IF(MNU_CODIGO_ALIMENTO_ENTREGA=CONCATENATE($C341,"_","P_"),MNU_GRAMAJE_REQUERIDO_TIPOB,"")))</f>
        <v>100</v>
      </c>
      <c r="N341" s="348">
        <f t="shared" si="230"/>
        <v>142800</v>
      </c>
      <c r="O341" s="348">
        <f t="shared" si="231"/>
        <v>64694</v>
      </c>
      <c r="P341" s="348">
        <f t="shared" si="232"/>
        <v>207494</v>
      </c>
      <c r="Q341" s="349">
        <f t="shared" si="233"/>
        <v>33843600</v>
      </c>
      <c r="R341" s="349">
        <f t="shared" si="234"/>
        <v>15332478</v>
      </c>
      <c r="S341" s="349">
        <f t="shared" si="235"/>
        <v>49176078</v>
      </c>
      <c r="T341" s="353">
        <f t="array" ref="T341">MAX((IF(MNU_CODIGO_ALIMENTO_ENTREGA=CONCATENATE($C341,"_","P_"),MNU_GRAMAJE_REQUERIDO_TIPOC,"")))</f>
        <v>100</v>
      </c>
      <c r="U341" s="259">
        <f t="shared" si="236"/>
        <v>157773</v>
      </c>
      <c r="V341" s="259">
        <f t="shared" si="237"/>
        <v>83528</v>
      </c>
      <c r="W341" s="259">
        <f t="shared" si="238"/>
        <v>241301</v>
      </c>
      <c r="X341" s="260">
        <f t="shared" si="239"/>
        <v>37392201</v>
      </c>
      <c r="Y341" s="260">
        <f t="shared" si="240"/>
        <v>19796136</v>
      </c>
      <c r="Z341" s="260">
        <f t="shared" si="241"/>
        <v>57188337</v>
      </c>
      <c r="AA341" s="258">
        <f t="array" ref="AA341">MAX((IF(MNU_CODIGO_ALIMENTO_ENTREGA=CONCATENATE($C341,"_","P_"),MNU_GRAMAJE_REQUERIDO_TIPOM,"")))</f>
        <v>100</v>
      </c>
      <c r="AB341" s="261">
        <f t="shared" si="242"/>
        <v>4830</v>
      </c>
      <c r="AC341" s="261">
        <v>0</v>
      </c>
      <c r="AD341" s="261">
        <f t="shared" si="243"/>
        <v>4830</v>
      </c>
      <c r="AE341" s="262">
        <f t="shared" si="244"/>
        <v>1144710</v>
      </c>
      <c r="AF341" s="262">
        <v>0</v>
      </c>
      <c r="AG341" s="262">
        <f t="shared" si="245"/>
        <v>1144710</v>
      </c>
      <c r="AH341" s="353">
        <f t="array" ref="AH341">MAX((IF(MNU_CODIGO_ALIMENTO_ENTREGA=CONCATENATE($C341,"_","P_"),MNU_GRAMAJE_REQUERIDO_TIPOH,"")))</f>
        <v>100</v>
      </c>
      <c r="AI341" s="259">
        <f t="shared" si="246"/>
        <v>6090</v>
      </c>
      <c r="AJ341" s="259">
        <v>0</v>
      </c>
      <c r="AK341" s="259">
        <f t="shared" si="247"/>
        <v>6090</v>
      </c>
      <c r="AL341" s="260">
        <f t="shared" si="248"/>
        <v>1443330</v>
      </c>
      <c r="AM341" s="260">
        <v>0</v>
      </c>
      <c r="AN341" s="260">
        <f t="shared" si="249"/>
        <v>1443330</v>
      </c>
      <c r="AO341" s="457">
        <f t="shared" si="250"/>
        <v>459715</v>
      </c>
      <c r="AP341" s="456">
        <f t="shared" si="251"/>
        <v>108952455</v>
      </c>
      <c r="AQ341" s="263" t="e">
        <f>#REF!+AH341+AA341+T341+M341</f>
        <v>#REF!</v>
      </c>
      <c r="AR341" s="263">
        <f t="shared" si="210"/>
        <v>109263948</v>
      </c>
      <c r="AS341" s="263" t="e">
        <f t="shared" si="211"/>
        <v>#REF!</v>
      </c>
      <c r="AT341" s="263">
        <f t="shared" si="212"/>
        <v>109723663</v>
      </c>
      <c r="AU341" s="263" t="e">
        <f t="shared" si="213"/>
        <v>#REF!</v>
      </c>
      <c r="AV341" s="263">
        <f t="shared" si="214"/>
        <v>144852277</v>
      </c>
      <c r="AW341" s="263" t="e">
        <f t="shared" si="215"/>
        <v>#REF!</v>
      </c>
      <c r="AX341" s="263" t="e">
        <f>AV341+#REF!+AH341+AA341+T341</f>
        <v>#REF!</v>
      </c>
      <c r="AY341" s="263" t="e">
        <f t="shared" si="216"/>
        <v>#REF!</v>
      </c>
      <c r="AZ341" s="263" t="e">
        <f t="shared" si="217"/>
        <v>#REF!</v>
      </c>
      <c r="BA341" s="263" t="e">
        <f t="shared" si="218"/>
        <v>#REF!</v>
      </c>
      <c r="BB341" s="263" t="e">
        <f t="shared" si="219"/>
        <v>#REF!</v>
      </c>
      <c r="BC341" s="263" t="e">
        <f t="shared" si="220"/>
        <v>#REF!</v>
      </c>
      <c r="BD341" s="263" t="e">
        <f t="shared" si="221"/>
        <v>#REF!</v>
      </c>
      <c r="BE341" s="263" t="e">
        <f>BC341+AV341+#REF!+AH341+AA341</f>
        <v>#REF!</v>
      </c>
      <c r="BF341" s="263" t="e">
        <f t="shared" si="222"/>
        <v>#REF!</v>
      </c>
      <c r="BG341" s="263" t="e">
        <f t="shared" si="223"/>
        <v>#REF!</v>
      </c>
    </row>
    <row r="342" spans="1:59" ht="15.75">
      <c r="A342" s="338">
        <v>26</v>
      </c>
      <c r="B342" s="338" t="s">
        <v>1</v>
      </c>
      <c r="C342" s="258">
        <v>22</v>
      </c>
      <c r="D342" s="328" t="s">
        <v>51</v>
      </c>
      <c r="E342" s="258" t="s">
        <v>9</v>
      </c>
      <c r="F342" s="431">
        <f t="array" ref="F342">MAX((IF(MNU_CODIGO_ALIMENTO_ENTREGA=CONCATENATE($C342,"_","P_"),MNU_GRAMAJE_REQUERIDO_TIPOA,"")))</f>
        <v>0</v>
      </c>
      <c r="G342" s="259">
        <f t="shared" si="224"/>
        <v>0</v>
      </c>
      <c r="H342" s="259">
        <f t="shared" si="225"/>
        <v>0</v>
      </c>
      <c r="I342" s="259">
        <f t="shared" si="226"/>
        <v>0</v>
      </c>
      <c r="J342" s="260">
        <f t="shared" si="227"/>
        <v>0</v>
      </c>
      <c r="K342" s="260">
        <f t="shared" si="228"/>
        <v>0</v>
      </c>
      <c r="L342" s="260">
        <f t="shared" si="229"/>
        <v>0</v>
      </c>
      <c r="M342" s="432">
        <f t="array" ref="M342">MAX((IF(MNU_CODIGO_ALIMENTO_ENTREGA=CONCATENATE($C342,"_","P_"),MNU_GRAMAJE_REQUERIDO_TIPOB,"")))</f>
        <v>100</v>
      </c>
      <c r="N342" s="348">
        <f t="shared" si="230"/>
        <v>136000</v>
      </c>
      <c r="O342" s="348">
        <f t="shared" si="231"/>
        <v>64694</v>
      </c>
      <c r="P342" s="348">
        <f t="shared" si="232"/>
        <v>200694</v>
      </c>
      <c r="Q342" s="349">
        <f t="shared" si="233"/>
        <v>74936000</v>
      </c>
      <c r="R342" s="349">
        <f t="shared" si="234"/>
        <v>35646394</v>
      </c>
      <c r="S342" s="349">
        <f t="shared" si="235"/>
        <v>110582394</v>
      </c>
      <c r="T342" s="353">
        <f t="array" ref="T342">MAX((IF(MNU_CODIGO_ALIMENTO_ENTREGA=CONCATENATE($C342,"_","P_"),MNU_GRAMAJE_REQUERIDO_TIPOC,"")))</f>
        <v>100</v>
      </c>
      <c r="U342" s="259">
        <f t="shared" si="236"/>
        <v>150260</v>
      </c>
      <c r="V342" s="259">
        <f t="shared" si="237"/>
        <v>83528</v>
      </c>
      <c r="W342" s="259">
        <f t="shared" si="238"/>
        <v>233788</v>
      </c>
      <c r="X342" s="260">
        <f t="shared" si="239"/>
        <v>82793260</v>
      </c>
      <c r="Y342" s="260">
        <f t="shared" si="240"/>
        <v>46023928</v>
      </c>
      <c r="Z342" s="260">
        <f t="shared" si="241"/>
        <v>128817188</v>
      </c>
      <c r="AA342" s="258">
        <f t="array" ref="AA342">MAX((IF(MNU_CODIGO_ALIMENTO_ENTREGA=CONCATENATE($C342,"_","P_"),MNU_GRAMAJE_REQUERIDO_TIPOM,"")))</f>
        <v>100</v>
      </c>
      <c r="AB342" s="261">
        <f t="shared" si="242"/>
        <v>4600</v>
      </c>
      <c r="AC342" s="261">
        <v>0</v>
      </c>
      <c r="AD342" s="261">
        <f t="shared" si="243"/>
        <v>4600</v>
      </c>
      <c r="AE342" s="262">
        <f t="shared" si="244"/>
        <v>2534600</v>
      </c>
      <c r="AF342" s="262">
        <v>0</v>
      </c>
      <c r="AG342" s="262">
        <f t="shared" si="245"/>
        <v>2534600</v>
      </c>
      <c r="AH342" s="353">
        <f t="array" ref="AH342">MAX((IF(MNU_CODIGO_ALIMENTO_ENTREGA=CONCATENATE($C342,"_","P_"),MNU_GRAMAJE_REQUERIDO_TIPOH,"")))</f>
        <v>100</v>
      </c>
      <c r="AI342" s="259">
        <f t="shared" si="246"/>
        <v>5800</v>
      </c>
      <c r="AJ342" s="259">
        <v>0</v>
      </c>
      <c r="AK342" s="259">
        <f t="shared" si="247"/>
        <v>5800</v>
      </c>
      <c r="AL342" s="260">
        <f t="shared" si="248"/>
        <v>3195800</v>
      </c>
      <c r="AM342" s="260">
        <v>0</v>
      </c>
      <c r="AN342" s="260">
        <f t="shared" si="249"/>
        <v>3195800</v>
      </c>
      <c r="AO342" s="457">
        <f t="shared" si="250"/>
        <v>444882</v>
      </c>
      <c r="AP342" s="456">
        <f t="shared" si="251"/>
        <v>245129982</v>
      </c>
      <c r="AQ342" s="263" t="e">
        <f>#REF!+AH342+AA342+T342+M342</f>
        <v>#REF!</v>
      </c>
      <c r="AR342" s="263">
        <f t="shared" si="210"/>
        <v>245426642</v>
      </c>
      <c r="AS342" s="263" t="e">
        <f t="shared" si="211"/>
        <v>#REF!</v>
      </c>
      <c r="AT342" s="263">
        <f t="shared" si="212"/>
        <v>245871524</v>
      </c>
      <c r="AU342" s="263" t="e">
        <f t="shared" si="213"/>
        <v>#REF!</v>
      </c>
      <c r="AV342" s="263">
        <f t="shared" si="214"/>
        <v>327541846</v>
      </c>
      <c r="AW342" s="263" t="e">
        <f t="shared" si="215"/>
        <v>#REF!</v>
      </c>
      <c r="AX342" s="263" t="e">
        <f>AV342+#REF!+AH342+AA342+T342</f>
        <v>#REF!</v>
      </c>
      <c r="AY342" s="263" t="e">
        <f t="shared" si="216"/>
        <v>#REF!</v>
      </c>
      <c r="AZ342" s="263" t="e">
        <f t="shared" si="217"/>
        <v>#REF!</v>
      </c>
      <c r="BA342" s="263" t="e">
        <f t="shared" si="218"/>
        <v>#REF!</v>
      </c>
      <c r="BB342" s="263" t="e">
        <f t="shared" si="219"/>
        <v>#REF!</v>
      </c>
      <c r="BC342" s="263" t="e">
        <f t="shared" si="220"/>
        <v>#REF!</v>
      </c>
      <c r="BD342" s="263" t="e">
        <f t="shared" si="221"/>
        <v>#REF!</v>
      </c>
      <c r="BE342" s="263" t="e">
        <f>BC342+AV342+#REF!+AH342+AA342</f>
        <v>#REF!</v>
      </c>
      <c r="BF342" s="263" t="e">
        <f t="shared" si="222"/>
        <v>#REF!</v>
      </c>
      <c r="BG342" s="263" t="e">
        <f t="shared" si="223"/>
        <v>#REF!</v>
      </c>
    </row>
    <row r="343" spans="1:59" ht="15.75">
      <c r="A343" s="338">
        <v>26</v>
      </c>
      <c r="B343" s="338" t="s">
        <v>1</v>
      </c>
      <c r="C343" s="258">
        <v>33</v>
      </c>
      <c r="D343" s="328" t="s">
        <v>59</v>
      </c>
      <c r="E343" s="258" t="s">
        <v>48</v>
      </c>
      <c r="F343" s="431">
        <v>1</v>
      </c>
      <c r="G343" s="259">
        <f t="shared" si="224"/>
        <v>133380</v>
      </c>
      <c r="H343" s="259">
        <f t="shared" si="225"/>
        <v>46103</v>
      </c>
      <c r="I343" s="259">
        <f t="shared" si="226"/>
        <v>179483</v>
      </c>
      <c r="J343" s="260">
        <f t="shared" si="227"/>
        <v>37746540</v>
      </c>
      <c r="K343" s="260">
        <f t="shared" si="228"/>
        <v>13047149</v>
      </c>
      <c r="L343" s="260">
        <f t="shared" si="229"/>
        <v>50793689</v>
      </c>
      <c r="M343" s="432">
        <v>1</v>
      </c>
      <c r="N343" s="348">
        <f t="shared" si="230"/>
        <v>122400</v>
      </c>
      <c r="O343" s="348">
        <f t="shared" si="231"/>
        <v>64248</v>
      </c>
      <c r="P343" s="348">
        <f t="shared" si="232"/>
        <v>186648</v>
      </c>
      <c r="Q343" s="349">
        <f t="shared" si="233"/>
        <v>34639200</v>
      </c>
      <c r="R343" s="349">
        <f t="shared" si="234"/>
        <v>18182184</v>
      </c>
      <c r="S343" s="349">
        <f t="shared" si="235"/>
        <v>52821384</v>
      </c>
      <c r="T343" s="431">
        <v>1</v>
      </c>
      <c r="U343" s="259">
        <f t="shared" si="236"/>
        <v>135234</v>
      </c>
      <c r="V343" s="259">
        <f t="shared" si="237"/>
        <v>83164</v>
      </c>
      <c r="W343" s="259">
        <f t="shared" si="238"/>
        <v>218398</v>
      </c>
      <c r="X343" s="260">
        <f t="shared" si="239"/>
        <v>38271222</v>
      </c>
      <c r="Y343" s="260">
        <f t="shared" si="240"/>
        <v>23535412</v>
      </c>
      <c r="Z343" s="260">
        <f t="shared" si="241"/>
        <v>61806634</v>
      </c>
      <c r="AA343" s="258">
        <v>1</v>
      </c>
      <c r="AB343" s="261">
        <f t="shared" si="242"/>
        <v>4140</v>
      </c>
      <c r="AC343" s="261">
        <v>0</v>
      </c>
      <c r="AD343" s="261">
        <f t="shared" si="243"/>
        <v>4140</v>
      </c>
      <c r="AE343" s="262">
        <f t="shared" si="244"/>
        <v>1171620</v>
      </c>
      <c r="AF343" s="262">
        <v>0</v>
      </c>
      <c r="AG343" s="262">
        <f t="shared" si="245"/>
        <v>1171620</v>
      </c>
      <c r="AH343" s="353">
        <v>1</v>
      </c>
      <c r="AI343" s="259">
        <f t="shared" si="246"/>
        <v>5220</v>
      </c>
      <c r="AJ343" s="259">
        <v>0</v>
      </c>
      <c r="AK343" s="259">
        <f t="shared" si="247"/>
        <v>5220</v>
      </c>
      <c r="AL343" s="260">
        <f t="shared" si="248"/>
        <v>1477260</v>
      </c>
      <c r="AM343" s="260">
        <v>0</v>
      </c>
      <c r="AN343" s="260">
        <f t="shared" si="249"/>
        <v>1477260</v>
      </c>
      <c r="AO343" s="457">
        <f t="shared" si="250"/>
        <v>593889</v>
      </c>
      <c r="AP343" s="456">
        <f t="shared" si="251"/>
        <v>168070587</v>
      </c>
      <c r="AQ343" s="263" t="e">
        <f>#REF!+AH343+AA343+T343+M343</f>
        <v>#REF!</v>
      </c>
      <c r="AR343" s="263">
        <f t="shared" si="210"/>
        <v>168337581</v>
      </c>
      <c r="AS343" s="263" t="e">
        <f t="shared" si="211"/>
        <v>#REF!</v>
      </c>
      <c r="AT343" s="263">
        <f t="shared" si="212"/>
        <v>168751987</v>
      </c>
      <c r="AU343" s="263" t="e">
        <f t="shared" si="213"/>
        <v>#REF!</v>
      </c>
      <c r="AV343" s="263">
        <f t="shared" si="214"/>
        <v>210469583</v>
      </c>
      <c r="AW343" s="263" t="e">
        <f t="shared" si="215"/>
        <v>#REF!</v>
      </c>
      <c r="AX343" s="263" t="e">
        <f>AV343+#REF!+AH343+AA343+T343</f>
        <v>#REF!</v>
      </c>
      <c r="AY343" s="263" t="e">
        <f t="shared" si="216"/>
        <v>#REF!</v>
      </c>
      <c r="AZ343" s="263" t="e">
        <f t="shared" si="217"/>
        <v>#REF!</v>
      </c>
      <c r="BA343" s="263" t="e">
        <f t="shared" si="218"/>
        <v>#REF!</v>
      </c>
      <c r="BB343" s="263" t="e">
        <f t="shared" si="219"/>
        <v>#REF!</v>
      </c>
      <c r="BC343" s="263" t="e">
        <f t="shared" si="220"/>
        <v>#REF!</v>
      </c>
      <c r="BD343" s="263" t="e">
        <f t="shared" si="221"/>
        <v>#REF!</v>
      </c>
      <c r="BE343" s="263" t="e">
        <f>BC343+AV343+#REF!+AH343+AA343</f>
        <v>#REF!</v>
      </c>
      <c r="BF343" s="263" t="e">
        <f t="shared" si="222"/>
        <v>#REF!</v>
      </c>
      <c r="BG343" s="263" t="e">
        <f t="shared" si="223"/>
        <v>#REF!</v>
      </c>
    </row>
    <row r="344" spans="1:59" ht="15.75">
      <c r="A344" s="338">
        <v>26</v>
      </c>
      <c r="B344" s="338" t="s">
        <v>1</v>
      </c>
      <c r="C344" s="258">
        <v>36</v>
      </c>
      <c r="D344" s="328" t="s">
        <v>1340</v>
      </c>
      <c r="E344" s="258" t="s">
        <v>9</v>
      </c>
      <c r="F344" s="431">
        <f t="array" ref="F344">MAX((IF(MNU_CODIGO_ALIMENTO_ENTREGA=CONCATENATE($C344,"_","P_"),MNU_GRAMAJE_REQUERIDO_TIPOA,"")))</f>
        <v>20</v>
      </c>
      <c r="G344" s="259">
        <f t="shared" si="224"/>
        <v>34580</v>
      </c>
      <c r="H344" s="259">
        <f t="shared" si="225"/>
        <v>12616</v>
      </c>
      <c r="I344" s="259">
        <f t="shared" si="226"/>
        <v>47196</v>
      </c>
      <c r="J344" s="260">
        <f t="shared" si="227"/>
        <v>4564560</v>
      </c>
      <c r="K344" s="260">
        <f t="shared" si="228"/>
        <v>1665312</v>
      </c>
      <c r="L344" s="260">
        <f t="shared" si="229"/>
        <v>6229872</v>
      </c>
      <c r="M344" s="432">
        <f t="array" ref="M344">MAX((IF(MNU_CODIGO_ALIMENTO_ENTREGA=CONCATENATE($C344,"_","P_"),MNU_GRAMAJE_REQUERIDO_TIPOB,"")))</f>
        <v>40</v>
      </c>
      <c r="N344" s="348">
        <f t="shared" si="230"/>
        <v>47600</v>
      </c>
      <c r="O344" s="348">
        <f t="shared" si="231"/>
        <v>22192</v>
      </c>
      <c r="P344" s="348">
        <f t="shared" si="232"/>
        <v>69792</v>
      </c>
      <c r="Q344" s="349">
        <f t="shared" si="233"/>
        <v>12614000</v>
      </c>
      <c r="R344" s="349">
        <f t="shared" si="234"/>
        <v>5880880</v>
      </c>
      <c r="S344" s="349">
        <f t="shared" si="235"/>
        <v>18494880</v>
      </c>
      <c r="T344" s="353">
        <f t="array" ref="T344">MAX((IF(MNU_CODIGO_ALIMENTO_ENTREGA=CONCATENATE($C344,"_","P_"),MNU_GRAMAJE_REQUERIDO_TIPOC,"")))</f>
        <v>40</v>
      </c>
      <c r="U344" s="259">
        <f t="shared" si="236"/>
        <v>52591</v>
      </c>
      <c r="V344" s="259">
        <f t="shared" si="237"/>
        <v>28800</v>
      </c>
      <c r="W344" s="259">
        <f t="shared" si="238"/>
        <v>81391</v>
      </c>
      <c r="X344" s="260">
        <f t="shared" si="239"/>
        <v>13936615</v>
      </c>
      <c r="Y344" s="260">
        <f t="shared" si="240"/>
        <v>7632000</v>
      </c>
      <c r="Z344" s="260">
        <f t="shared" si="241"/>
        <v>21568615</v>
      </c>
      <c r="AA344" s="258">
        <f t="array" ref="AA344">MAX((IF(MNU_CODIGO_ALIMENTO_ENTREGA=CONCATENATE($C344,"_","P_"),MNU_GRAMAJE_REQUERIDO_TIPOM,"")))</f>
        <v>40</v>
      </c>
      <c r="AB344" s="261">
        <f t="shared" si="242"/>
        <v>1610</v>
      </c>
      <c r="AC344" s="261">
        <v>0</v>
      </c>
      <c r="AD344" s="261">
        <f t="shared" si="243"/>
        <v>1610</v>
      </c>
      <c r="AE344" s="262">
        <f t="shared" si="244"/>
        <v>426650</v>
      </c>
      <c r="AF344" s="262">
        <v>0</v>
      </c>
      <c r="AG344" s="262">
        <f t="shared" si="245"/>
        <v>426650</v>
      </c>
      <c r="AH344" s="353">
        <f t="array" ref="AH344">MAX((IF(MNU_CODIGO_ALIMENTO_ENTREGA=CONCATENATE($C344,"_","P_"),MNU_GRAMAJE_REQUERIDO_TIPOH,"")))</f>
        <v>40</v>
      </c>
      <c r="AI344" s="259">
        <f t="shared" si="246"/>
        <v>2030</v>
      </c>
      <c r="AJ344" s="259">
        <v>0</v>
      </c>
      <c r="AK344" s="259">
        <f t="shared" si="247"/>
        <v>2030</v>
      </c>
      <c r="AL344" s="260">
        <f t="shared" si="248"/>
        <v>537950</v>
      </c>
      <c r="AM344" s="260">
        <v>0</v>
      </c>
      <c r="AN344" s="260">
        <f t="shared" si="249"/>
        <v>537950</v>
      </c>
      <c r="AO344" s="457">
        <f t="shared" si="250"/>
        <v>202019</v>
      </c>
      <c r="AP344" s="456">
        <f t="shared" si="251"/>
        <v>47257967</v>
      </c>
      <c r="AQ344" s="263" t="e">
        <f>#REF!+AH344+AA344+T344+M344</f>
        <v>#REF!</v>
      </c>
      <c r="AR344" s="263">
        <f t="shared" si="210"/>
        <v>47361798</v>
      </c>
      <c r="AS344" s="263" t="e">
        <f t="shared" si="211"/>
        <v>#REF!</v>
      </c>
      <c r="AT344" s="263">
        <f t="shared" si="212"/>
        <v>47516621</v>
      </c>
      <c r="AU344" s="263" t="e">
        <f t="shared" si="213"/>
        <v>#REF!</v>
      </c>
      <c r="AV344" s="263">
        <f t="shared" si="214"/>
        <v>61029501</v>
      </c>
      <c r="AW344" s="263" t="e">
        <f t="shared" si="215"/>
        <v>#REF!</v>
      </c>
      <c r="AX344" s="263" t="e">
        <f>AV344+#REF!+AH344+AA344+T344</f>
        <v>#REF!</v>
      </c>
      <c r="AY344" s="263" t="e">
        <f t="shared" si="216"/>
        <v>#REF!</v>
      </c>
      <c r="AZ344" s="263" t="e">
        <f t="shared" si="217"/>
        <v>#REF!</v>
      </c>
      <c r="BA344" s="263" t="e">
        <f t="shared" si="218"/>
        <v>#REF!</v>
      </c>
      <c r="BB344" s="263" t="e">
        <f t="shared" si="219"/>
        <v>#REF!</v>
      </c>
      <c r="BC344" s="263" t="e">
        <f t="shared" si="220"/>
        <v>#REF!</v>
      </c>
      <c r="BD344" s="263" t="e">
        <f t="shared" si="221"/>
        <v>#REF!</v>
      </c>
      <c r="BE344" s="263" t="e">
        <f>BC344+AV344+#REF!+AH344+AA344</f>
        <v>#REF!</v>
      </c>
      <c r="BF344" s="263" t="e">
        <f t="shared" si="222"/>
        <v>#REF!</v>
      </c>
      <c r="BG344" s="263" t="e">
        <f t="shared" si="223"/>
        <v>#REF!</v>
      </c>
    </row>
    <row r="345" spans="1:59" ht="15.75">
      <c r="A345" s="338">
        <v>26</v>
      </c>
      <c r="B345" s="338" t="s">
        <v>1</v>
      </c>
      <c r="C345" s="258">
        <v>42</v>
      </c>
      <c r="D345" s="328" t="s">
        <v>61</v>
      </c>
      <c r="E345" s="258" t="s">
        <v>9</v>
      </c>
      <c r="F345" s="431">
        <f t="array" ref="F345">MAX((IF(MNU_CODIGO_ALIMENTO_ENTREGA=CONCATENATE($C345,"_","P_"),MNU_GRAMAJE_REQUERIDO_TIPOA,"")))</f>
        <v>100</v>
      </c>
      <c r="G345" s="259">
        <f t="shared" si="224"/>
        <v>113620</v>
      </c>
      <c r="H345" s="259">
        <f t="shared" si="225"/>
        <v>57364</v>
      </c>
      <c r="I345" s="259">
        <f t="shared" si="226"/>
        <v>170984</v>
      </c>
      <c r="J345" s="260">
        <f t="shared" si="227"/>
        <v>23178480</v>
      </c>
      <c r="K345" s="260">
        <f t="shared" si="228"/>
        <v>11702256</v>
      </c>
      <c r="L345" s="260">
        <f t="shared" si="229"/>
        <v>34880736</v>
      </c>
      <c r="M345" s="432">
        <f t="array" ref="M345">MAX((IF(MNU_CODIGO_ALIMENTO_ENTREGA=CONCATENATE($C345,"_","P_"),MNU_GRAMAJE_REQUERIDO_TIPOB,"")))</f>
        <v>100</v>
      </c>
      <c r="N345" s="348">
        <f t="shared" si="230"/>
        <v>129200</v>
      </c>
      <c r="O345" s="348">
        <f t="shared" si="231"/>
        <v>54490</v>
      </c>
      <c r="P345" s="348">
        <f t="shared" si="232"/>
        <v>183690</v>
      </c>
      <c r="Q345" s="349">
        <f t="shared" si="233"/>
        <v>26356800</v>
      </c>
      <c r="R345" s="349">
        <f t="shared" si="234"/>
        <v>11115960</v>
      </c>
      <c r="S345" s="349">
        <f t="shared" si="235"/>
        <v>37472760</v>
      </c>
      <c r="T345" s="353">
        <f t="array" ref="T345">MAX((IF(MNU_CODIGO_ALIMENTO_ENTREGA=CONCATENATE($C345,"_","P_"),MNU_GRAMAJE_REQUERIDO_TIPOC,"")))</f>
        <v>100</v>
      </c>
      <c r="U345" s="259">
        <f t="shared" si="236"/>
        <v>142747</v>
      </c>
      <c r="V345" s="259">
        <f t="shared" si="237"/>
        <v>69856</v>
      </c>
      <c r="W345" s="259">
        <f t="shared" si="238"/>
        <v>212603</v>
      </c>
      <c r="X345" s="260">
        <f t="shared" si="239"/>
        <v>29120388</v>
      </c>
      <c r="Y345" s="260">
        <f t="shared" si="240"/>
        <v>14250624</v>
      </c>
      <c r="Z345" s="260">
        <f t="shared" si="241"/>
        <v>43371012</v>
      </c>
      <c r="AA345" s="258">
        <f t="array" ref="AA345">MAX((IF(MNU_CODIGO_ALIMENTO_ENTREGA=CONCATENATE($C345,"_","P_"),MNU_GRAMAJE_REQUERIDO_TIPOM,"")))</f>
        <v>100</v>
      </c>
      <c r="AB345" s="261">
        <f t="shared" si="242"/>
        <v>4370</v>
      </c>
      <c r="AC345" s="261">
        <v>0</v>
      </c>
      <c r="AD345" s="261">
        <f t="shared" si="243"/>
        <v>4370</v>
      </c>
      <c r="AE345" s="262">
        <f t="shared" si="244"/>
        <v>891480</v>
      </c>
      <c r="AF345" s="262">
        <v>0</v>
      </c>
      <c r="AG345" s="262">
        <f t="shared" si="245"/>
        <v>891480</v>
      </c>
      <c r="AH345" s="353">
        <f t="array" ref="AH345">MAX((IF(MNU_CODIGO_ALIMENTO_ENTREGA=CONCATENATE($C345,"_","P_"),MNU_GRAMAJE_REQUERIDO_TIPOH,"")))</f>
        <v>100</v>
      </c>
      <c r="AI345" s="259">
        <f t="shared" si="246"/>
        <v>5510</v>
      </c>
      <c r="AJ345" s="259">
        <v>0</v>
      </c>
      <c r="AK345" s="259">
        <f t="shared" si="247"/>
        <v>5510</v>
      </c>
      <c r="AL345" s="260">
        <f t="shared" si="248"/>
        <v>1124040</v>
      </c>
      <c r="AM345" s="260">
        <v>0</v>
      </c>
      <c r="AN345" s="260">
        <f t="shared" si="249"/>
        <v>1124040</v>
      </c>
      <c r="AO345" s="457">
        <f t="shared" si="250"/>
        <v>577157</v>
      </c>
      <c r="AP345" s="456">
        <f t="shared" si="251"/>
        <v>117740028</v>
      </c>
      <c r="AQ345" s="263" t="e">
        <f>#REF!+AH345+AA345+T345+M345</f>
        <v>#REF!</v>
      </c>
      <c r="AR345" s="263">
        <f t="shared" si="210"/>
        <v>118021855</v>
      </c>
      <c r="AS345" s="263" t="e">
        <f t="shared" si="211"/>
        <v>#REF!</v>
      </c>
      <c r="AT345" s="263">
        <f t="shared" si="212"/>
        <v>118428028</v>
      </c>
      <c r="AU345" s="263" t="e">
        <f t="shared" si="213"/>
        <v>#REF!</v>
      </c>
      <c r="AV345" s="263">
        <f t="shared" si="214"/>
        <v>143794612</v>
      </c>
      <c r="AW345" s="263" t="e">
        <f t="shared" si="215"/>
        <v>#REF!</v>
      </c>
      <c r="AX345" s="263" t="e">
        <f>AV345+#REF!+AH345+AA345+T345</f>
        <v>#REF!</v>
      </c>
      <c r="AY345" s="263" t="e">
        <f t="shared" si="216"/>
        <v>#REF!</v>
      </c>
      <c r="AZ345" s="263" t="e">
        <f t="shared" si="217"/>
        <v>#REF!</v>
      </c>
      <c r="BA345" s="263" t="e">
        <f t="shared" si="218"/>
        <v>#REF!</v>
      </c>
      <c r="BB345" s="263" t="e">
        <f t="shared" si="219"/>
        <v>#REF!</v>
      </c>
      <c r="BC345" s="263" t="e">
        <f t="shared" si="220"/>
        <v>#REF!</v>
      </c>
      <c r="BD345" s="263" t="e">
        <f t="shared" si="221"/>
        <v>#REF!</v>
      </c>
      <c r="BE345" s="263" t="e">
        <f>BC345+AV345+#REF!+AH345+AA345</f>
        <v>#REF!</v>
      </c>
      <c r="BF345" s="263" t="e">
        <f t="shared" si="222"/>
        <v>#REF!</v>
      </c>
      <c r="BG345" s="263" t="e">
        <f t="shared" si="223"/>
        <v>#REF!</v>
      </c>
    </row>
    <row r="346" spans="1:59" ht="15.75">
      <c r="A346" s="338">
        <v>26</v>
      </c>
      <c r="B346" s="338" t="s">
        <v>1</v>
      </c>
      <c r="C346" s="258">
        <v>43</v>
      </c>
      <c r="D346" s="328" t="s">
        <v>62</v>
      </c>
      <c r="E346" s="258" t="s">
        <v>9</v>
      </c>
      <c r="F346" s="431">
        <f t="array" ref="F346">MAX((IF(MNU_CODIGO_ALIMENTO_ENTREGA=CONCATENATE($C346,"_","P_"),MNU_GRAMAJE_REQUERIDO_TIPOA,"")))</f>
        <v>100</v>
      </c>
      <c r="G346" s="259">
        <f t="shared" si="224"/>
        <v>118560</v>
      </c>
      <c r="H346" s="259">
        <f t="shared" si="225"/>
        <v>46177</v>
      </c>
      <c r="I346" s="259">
        <f t="shared" si="226"/>
        <v>164737</v>
      </c>
      <c r="J346" s="260">
        <f t="shared" si="227"/>
        <v>21103680</v>
      </c>
      <c r="K346" s="260">
        <f t="shared" si="228"/>
        <v>8219506</v>
      </c>
      <c r="L346" s="260">
        <f t="shared" si="229"/>
        <v>29323186</v>
      </c>
      <c r="M346" s="432">
        <f t="array" ref="M346">MAX((IF(MNU_CODIGO_ALIMENTO_ENTREGA=CONCATENATE($C346,"_","P_"),MNU_GRAMAJE_REQUERIDO_TIPOB,"")))</f>
        <v>100</v>
      </c>
      <c r="N346" s="348">
        <f t="shared" si="230"/>
        <v>115600</v>
      </c>
      <c r="O346" s="348">
        <f t="shared" si="231"/>
        <v>64025</v>
      </c>
      <c r="P346" s="348">
        <f t="shared" si="232"/>
        <v>179625</v>
      </c>
      <c r="Q346" s="349">
        <f t="shared" si="233"/>
        <v>20576800</v>
      </c>
      <c r="R346" s="349">
        <f t="shared" si="234"/>
        <v>11396450</v>
      </c>
      <c r="S346" s="349">
        <f t="shared" si="235"/>
        <v>31973250</v>
      </c>
      <c r="T346" s="353">
        <f t="array" ref="T346">MAX((IF(MNU_CODIGO_ALIMENTO_ENTREGA=CONCATENATE($C346,"_","P_"),MNU_GRAMAJE_REQUERIDO_TIPOC,"")))</f>
        <v>100</v>
      </c>
      <c r="U346" s="259">
        <f t="shared" si="236"/>
        <v>127721</v>
      </c>
      <c r="V346" s="259">
        <f t="shared" si="237"/>
        <v>82982</v>
      </c>
      <c r="W346" s="259">
        <f t="shared" si="238"/>
        <v>210703</v>
      </c>
      <c r="X346" s="260">
        <f t="shared" si="239"/>
        <v>22734338</v>
      </c>
      <c r="Y346" s="260">
        <f t="shared" si="240"/>
        <v>14770796</v>
      </c>
      <c r="Z346" s="260">
        <f t="shared" si="241"/>
        <v>37505134</v>
      </c>
      <c r="AA346" s="258">
        <f t="array" ref="AA346">MAX((IF(MNU_CODIGO_ALIMENTO_ENTREGA=CONCATENATE($C346,"_","P_"),MNU_GRAMAJE_REQUERIDO_TIPOM,"")))</f>
        <v>100</v>
      </c>
      <c r="AB346" s="261">
        <f t="shared" si="242"/>
        <v>3910</v>
      </c>
      <c r="AC346" s="261">
        <v>0</v>
      </c>
      <c r="AD346" s="261">
        <f t="shared" si="243"/>
        <v>3910</v>
      </c>
      <c r="AE346" s="262">
        <f t="shared" si="244"/>
        <v>695980</v>
      </c>
      <c r="AF346" s="262">
        <v>0</v>
      </c>
      <c r="AG346" s="262">
        <f t="shared" si="245"/>
        <v>695980</v>
      </c>
      <c r="AH346" s="353">
        <f t="array" ref="AH346">MAX((IF(MNU_CODIGO_ALIMENTO_ENTREGA=CONCATENATE($C346,"_","P_"),MNU_GRAMAJE_REQUERIDO_TIPOH,"")))</f>
        <v>100</v>
      </c>
      <c r="AI346" s="259">
        <f t="shared" si="246"/>
        <v>4930</v>
      </c>
      <c r="AJ346" s="259">
        <v>0</v>
      </c>
      <c r="AK346" s="259">
        <f t="shared" si="247"/>
        <v>4930</v>
      </c>
      <c r="AL346" s="260">
        <f t="shared" si="248"/>
        <v>877540</v>
      </c>
      <c r="AM346" s="260">
        <v>0</v>
      </c>
      <c r="AN346" s="260">
        <f t="shared" si="249"/>
        <v>877540</v>
      </c>
      <c r="AO346" s="457">
        <f t="shared" si="250"/>
        <v>563905</v>
      </c>
      <c r="AP346" s="456">
        <f t="shared" si="251"/>
        <v>100375090</v>
      </c>
      <c r="AQ346" s="263" t="e">
        <f>#REF!+AH346+AA346+T346+M346</f>
        <v>#REF!</v>
      </c>
      <c r="AR346" s="263">
        <f t="shared" si="210"/>
        <v>100627251</v>
      </c>
      <c r="AS346" s="263" t="e">
        <f t="shared" si="211"/>
        <v>#REF!</v>
      </c>
      <c r="AT346" s="263">
        <f t="shared" si="212"/>
        <v>101026419</v>
      </c>
      <c r="AU346" s="263" t="e">
        <f t="shared" si="213"/>
        <v>#REF!</v>
      </c>
      <c r="AV346" s="263">
        <f t="shared" si="214"/>
        <v>127193665</v>
      </c>
      <c r="AW346" s="263" t="e">
        <f t="shared" si="215"/>
        <v>#REF!</v>
      </c>
      <c r="AX346" s="263" t="e">
        <f>AV346+#REF!+AH346+AA346+T346</f>
        <v>#REF!</v>
      </c>
      <c r="AY346" s="263" t="e">
        <f t="shared" si="216"/>
        <v>#REF!</v>
      </c>
      <c r="AZ346" s="263" t="e">
        <f t="shared" si="217"/>
        <v>#REF!</v>
      </c>
      <c r="BA346" s="263" t="e">
        <f t="shared" si="218"/>
        <v>#REF!</v>
      </c>
      <c r="BB346" s="263" t="e">
        <f t="shared" si="219"/>
        <v>#REF!</v>
      </c>
      <c r="BC346" s="263" t="e">
        <f t="shared" si="220"/>
        <v>#REF!</v>
      </c>
      <c r="BD346" s="263" t="e">
        <f t="shared" si="221"/>
        <v>#REF!</v>
      </c>
      <c r="BE346" s="263" t="e">
        <f>BC346+AV346+#REF!+AH346+AA346</f>
        <v>#REF!</v>
      </c>
      <c r="BF346" s="263" t="e">
        <f t="shared" si="222"/>
        <v>#REF!</v>
      </c>
      <c r="BG346" s="263" t="e">
        <f t="shared" si="223"/>
        <v>#REF!</v>
      </c>
    </row>
    <row r="347" spans="1:59" ht="15.75">
      <c r="A347" s="338">
        <v>26</v>
      </c>
      <c r="B347" s="338" t="s">
        <v>1</v>
      </c>
      <c r="C347" s="258">
        <v>46</v>
      </c>
      <c r="D347" s="328" t="s">
        <v>64</v>
      </c>
      <c r="E347" s="258" t="s">
        <v>9</v>
      </c>
      <c r="F347" s="431">
        <f t="array" ref="F347">MAX((IF(MNU_CODIGO_ALIMENTO_ENTREGA=CONCATENATE($C347,"_","P_"),MNU_GRAMAJE_REQUERIDO_TIPOA,"")))</f>
        <v>100</v>
      </c>
      <c r="G347" s="259">
        <f t="shared" si="224"/>
        <v>148200</v>
      </c>
      <c r="H347" s="259">
        <f t="shared" si="225"/>
        <v>46029</v>
      </c>
      <c r="I347" s="259">
        <f t="shared" si="226"/>
        <v>194229</v>
      </c>
      <c r="J347" s="260">
        <f t="shared" si="227"/>
        <v>61947600</v>
      </c>
      <c r="K347" s="260">
        <f t="shared" si="228"/>
        <v>19240122</v>
      </c>
      <c r="L347" s="260">
        <f t="shared" si="229"/>
        <v>81187722</v>
      </c>
      <c r="M347" s="432">
        <f t="array" ref="M347">MAX((IF(MNU_CODIGO_ALIMENTO_ENTREGA=CONCATENATE($C347,"_","P_"),MNU_GRAMAJE_REQUERIDO_TIPOB,"")))</f>
        <v>100</v>
      </c>
      <c r="N347" s="348">
        <f t="shared" si="230"/>
        <v>142800</v>
      </c>
      <c r="O347" s="348">
        <f t="shared" si="231"/>
        <v>67245</v>
      </c>
      <c r="P347" s="348">
        <f t="shared" si="232"/>
        <v>210045</v>
      </c>
      <c r="Q347" s="349">
        <f t="shared" si="233"/>
        <v>59690400</v>
      </c>
      <c r="R347" s="349">
        <f t="shared" si="234"/>
        <v>28108410</v>
      </c>
      <c r="S347" s="349">
        <f t="shared" si="235"/>
        <v>87798810</v>
      </c>
      <c r="T347" s="353">
        <f t="array" ref="T347">MAX((IF(MNU_CODIGO_ALIMENTO_ENTREGA=CONCATENATE($C347,"_","P_"),MNU_GRAMAJE_REQUERIDO_TIPOC,"")))</f>
        <v>100</v>
      </c>
      <c r="U347" s="259">
        <f t="shared" si="236"/>
        <v>157773</v>
      </c>
      <c r="V347" s="259">
        <f t="shared" si="237"/>
        <v>86946</v>
      </c>
      <c r="W347" s="259">
        <f t="shared" si="238"/>
        <v>244719</v>
      </c>
      <c r="X347" s="260">
        <f t="shared" si="239"/>
        <v>65949114</v>
      </c>
      <c r="Y347" s="260">
        <f t="shared" si="240"/>
        <v>36343428</v>
      </c>
      <c r="Z347" s="260">
        <f t="shared" si="241"/>
        <v>102292542</v>
      </c>
      <c r="AA347" s="258">
        <f t="array" ref="AA347">MAX((IF(MNU_CODIGO_ALIMENTO_ENTREGA=CONCATENATE($C347,"_","P_"),MNU_GRAMAJE_REQUERIDO_TIPOM,"")))</f>
        <v>100</v>
      </c>
      <c r="AB347" s="261">
        <f t="shared" si="242"/>
        <v>4830</v>
      </c>
      <c r="AC347" s="261">
        <v>0</v>
      </c>
      <c r="AD347" s="261">
        <f t="shared" si="243"/>
        <v>4830</v>
      </c>
      <c r="AE347" s="262">
        <f t="shared" si="244"/>
        <v>2018940</v>
      </c>
      <c r="AF347" s="262">
        <v>0</v>
      </c>
      <c r="AG347" s="262">
        <f t="shared" si="245"/>
        <v>2018940</v>
      </c>
      <c r="AH347" s="353">
        <f t="array" ref="AH347">MAX((IF(MNU_CODIGO_ALIMENTO_ENTREGA=CONCATENATE($C347,"_","P_"),MNU_GRAMAJE_REQUERIDO_TIPOH,"")))</f>
        <v>100</v>
      </c>
      <c r="AI347" s="259">
        <f t="shared" si="246"/>
        <v>6090</v>
      </c>
      <c r="AJ347" s="259">
        <v>0</v>
      </c>
      <c r="AK347" s="259">
        <f t="shared" si="247"/>
        <v>6090</v>
      </c>
      <c r="AL347" s="260">
        <f t="shared" si="248"/>
        <v>2545620</v>
      </c>
      <c r="AM347" s="260">
        <v>0</v>
      </c>
      <c r="AN347" s="260">
        <f t="shared" si="249"/>
        <v>2545620</v>
      </c>
      <c r="AO347" s="457">
        <f t="shared" si="250"/>
        <v>659913</v>
      </c>
      <c r="AP347" s="456">
        <f t="shared" si="251"/>
        <v>275843634</v>
      </c>
      <c r="AQ347" s="263" t="e">
        <f>#REF!+AH347+AA347+T347+M347</f>
        <v>#REF!</v>
      </c>
      <c r="AR347" s="263">
        <f t="shared" si="210"/>
        <v>276155127</v>
      </c>
      <c r="AS347" s="263" t="e">
        <f t="shared" si="211"/>
        <v>#REF!</v>
      </c>
      <c r="AT347" s="263">
        <f t="shared" si="212"/>
        <v>276620811</v>
      </c>
      <c r="AU347" s="263" t="e">
        <f t="shared" si="213"/>
        <v>#REF!</v>
      </c>
      <c r="AV347" s="263">
        <f t="shared" si="214"/>
        <v>341072649</v>
      </c>
      <c r="AW347" s="263" t="e">
        <f t="shared" si="215"/>
        <v>#REF!</v>
      </c>
      <c r="AX347" s="263" t="e">
        <f>AV347+#REF!+AH347+AA347+T347</f>
        <v>#REF!</v>
      </c>
      <c r="AY347" s="263" t="e">
        <f t="shared" si="216"/>
        <v>#REF!</v>
      </c>
      <c r="AZ347" s="263" t="e">
        <f t="shared" si="217"/>
        <v>#REF!</v>
      </c>
      <c r="BA347" s="263" t="e">
        <f t="shared" si="218"/>
        <v>#REF!</v>
      </c>
      <c r="BB347" s="263" t="e">
        <f t="shared" si="219"/>
        <v>#REF!</v>
      </c>
      <c r="BC347" s="263" t="e">
        <f t="shared" si="220"/>
        <v>#REF!</v>
      </c>
      <c r="BD347" s="263" t="e">
        <f t="shared" si="221"/>
        <v>#REF!</v>
      </c>
      <c r="BE347" s="263" t="e">
        <f>BC347+AV347+#REF!+AH347+AA347</f>
        <v>#REF!</v>
      </c>
      <c r="BF347" s="263" t="e">
        <f t="shared" si="222"/>
        <v>#REF!</v>
      </c>
      <c r="BG347" s="263" t="e">
        <f t="shared" si="223"/>
        <v>#REF!</v>
      </c>
    </row>
    <row r="348" spans="1:59" ht="15.75">
      <c r="A348" s="338">
        <v>26</v>
      </c>
      <c r="B348" s="338" t="s">
        <v>1</v>
      </c>
      <c r="C348" s="258">
        <v>58</v>
      </c>
      <c r="D348" s="328" t="s">
        <v>67</v>
      </c>
      <c r="E348" s="258" t="s">
        <v>9</v>
      </c>
      <c r="F348" s="431">
        <f t="array" ref="F348">MAX((IF(MNU_CODIGO_ALIMENTO_ENTREGA=CONCATENATE($C348,"_","P_"),MNU_GRAMAJE_REQUERIDO_TIPOA,"")))</f>
        <v>100</v>
      </c>
      <c r="G348" s="259">
        <f t="shared" si="224"/>
        <v>118560</v>
      </c>
      <c r="H348" s="259">
        <f t="shared" si="225"/>
        <v>44526</v>
      </c>
      <c r="I348" s="259">
        <f t="shared" si="226"/>
        <v>163086</v>
      </c>
      <c r="J348" s="260">
        <f t="shared" si="227"/>
        <v>19206720</v>
      </c>
      <c r="K348" s="260">
        <f t="shared" si="228"/>
        <v>7213212</v>
      </c>
      <c r="L348" s="260">
        <f t="shared" si="229"/>
        <v>26419932</v>
      </c>
      <c r="M348" s="432">
        <f t="array" ref="M348">MAX((IF(MNU_CODIGO_ALIMENTO_ENTREGA=CONCATENATE($C348,"_","P_"),MNU_GRAMAJE_REQUERIDO_TIPOB,"")))</f>
        <v>100</v>
      </c>
      <c r="N348" s="348">
        <f t="shared" si="230"/>
        <v>156400</v>
      </c>
      <c r="O348" s="348">
        <f t="shared" si="231"/>
        <v>64471</v>
      </c>
      <c r="P348" s="348">
        <f t="shared" si="232"/>
        <v>220871</v>
      </c>
      <c r="Q348" s="349">
        <f t="shared" si="233"/>
        <v>25336800</v>
      </c>
      <c r="R348" s="349">
        <f t="shared" si="234"/>
        <v>10444302</v>
      </c>
      <c r="S348" s="349">
        <f t="shared" si="235"/>
        <v>35781102</v>
      </c>
      <c r="T348" s="353">
        <f t="array" ref="T348">MAX((IF(MNU_CODIGO_ALIMENTO_ENTREGA=CONCATENATE($C348,"_","P_"),MNU_GRAMAJE_REQUERIDO_TIPOC,"")))</f>
        <v>100</v>
      </c>
      <c r="U348" s="259">
        <f t="shared" si="236"/>
        <v>172799</v>
      </c>
      <c r="V348" s="259">
        <f t="shared" si="237"/>
        <v>83346</v>
      </c>
      <c r="W348" s="259">
        <f t="shared" si="238"/>
        <v>256145</v>
      </c>
      <c r="X348" s="260">
        <f t="shared" si="239"/>
        <v>27993438</v>
      </c>
      <c r="Y348" s="260">
        <f t="shared" si="240"/>
        <v>13502052</v>
      </c>
      <c r="Z348" s="260">
        <f t="shared" si="241"/>
        <v>41495490</v>
      </c>
      <c r="AA348" s="258">
        <f t="array" ref="AA348">MAX((IF(MNU_CODIGO_ALIMENTO_ENTREGA=CONCATENATE($C348,"_","P_"),MNU_GRAMAJE_REQUERIDO_TIPOM,"")))</f>
        <v>100</v>
      </c>
      <c r="AB348" s="261">
        <f t="shared" si="242"/>
        <v>5290</v>
      </c>
      <c r="AC348" s="261">
        <v>0</v>
      </c>
      <c r="AD348" s="261">
        <f t="shared" si="243"/>
        <v>5290</v>
      </c>
      <c r="AE348" s="262">
        <f t="shared" si="244"/>
        <v>856980</v>
      </c>
      <c r="AF348" s="262">
        <v>0</v>
      </c>
      <c r="AG348" s="262">
        <f t="shared" si="245"/>
        <v>856980</v>
      </c>
      <c r="AH348" s="353">
        <f t="array" ref="AH348">MAX((IF(MNU_CODIGO_ALIMENTO_ENTREGA=CONCATENATE($C348,"_","P_"),MNU_GRAMAJE_REQUERIDO_TIPOH,"")))</f>
        <v>100</v>
      </c>
      <c r="AI348" s="259">
        <f t="shared" si="246"/>
        <v>6670</v>
      </c>
      <c r="AJ348" s="259">
        <v>0</v>
      </c>
      <c r="AK348" s="259">
        <f t="shared" si="247"/>
        <v>6670</v>
      </c>
      <c r="AL348" s="260">
        <f t="shared" si="248"/>
        <v>1080540</v>
      </c>
      <c r="AM348" s="260">
        <v>0</v>
      </c>
      <c r="AN348" s="260">
        <f t="shared" si="249"/>
        <v>1080540</v>
      </c>
      <c r="AO348" s="457">
        <f t="shared" si="250"/>
        <v>652062</v>
      </c>
      <c r="AP348" s="456">
        <f t="shared" si="251"/>
        <v>105634044</v>
      </c>
      <c r="AQ348" s="263" t="e">
        <f>#REF!+AH348+AA348+T348+M348</f>
        <v>#REF!</v>
      </c>
      <c r="AR348" s="263">
        <f t="shared" si="210"/>
        <v>105975203</v>
      </c>
      <c r="AS348" s="263" t="e">
        <f t="shared" si="211"/>
        <v>#REF!</v>
      </c>
      <c r="AT348" s="263">
        <f t="shared" si="212"/>
        <v>106464179</v>
      </c>
      <c r="AU348" s="263" t="e">
        <f t="shared" si="213"/>
        <v>#REF!</v>
      </c>
      <c r="AV348" s="263">
        <f t="shared" si="214"/>
        <v>130410533</v>
      </c>
      <c r="AW348" s="263" t="e">
        <f t="shared" si="215"/>
        <v>#REF!</v>
      </c>
      <c r="AX348" s="263" t="e">
        <f>AV348+#REF!+AH348+AA348+T348</f>
        <v>#REF!</v>
      </c>
      <c r="AY348" s="263" t="e">
        <f t="shared" si="216"/>
        <v>#REF!</v>
      </c>
      <c r="AZ348" s="263" t="e">
        <f t="shared" si="217"/>
        <v>#REF!</v>
      </c>
      <c r="BA348" s="263" t="e">
        <f t="shared" si="218"/>
        <v>#REF!</v>
      </c>
      <c r="BB348" s="263" t="e">
        <f t="shared" si="219"/>
        <v>#REF!</v>
      </c>
      <c r="BC348" s="263" t="e">
        <f t="shared" si="220"/>
        <v>#REF!</v>
      </c>
      <c r="BD348" s="263" t="e">
        <f t="shared" si="221"/>
        <v>#REF!</v>
      </c>
      <c r="BE348" s="263" t="e">
        <f>BC348+AV348+#REF!+AH348+AA348</f>
        <v>#REF!</v>
      </c>
      <c r="BF348" s="263" t="e">
        <f t="shared" si="222"/>
        <v>#REF!</v>
      </c>
      <c r="BG348" s="263" t="e">
        <f t="shared" si="223"/>
        <v>#REF!</v>
      </c>
    </row>
    <row r="349" spans="1:59" ht="15.75">
      <c r="A349" s="338">
        <v>26</v>
      </c>
      <c r="B349" s="338" t="s">
        <v>1</v>
      </c>
      <c r="C349" s="258">
        <v>59</v>
      </c>
      <c r="D349" s="328" t="s">
        <v>99</v>
      </c>
      <c r="E349" s="258" t="s">
        <v>9</v>
      </c>
      <c r="F349" s="431">
        <f t="array" ref="F349">MAX((IF(MNU_CODIGO_ALIMENTO_ENTREGA=CONCATENATE($C349,"_","P_"),MNU_GRAMAJE_REQUERIDO_TIPOA,"")))</f>
        <v>0</v>
      </c>
      <c r="G349" s="259">
        <f t="shared" si="224"/>
        <v>0</v>
      </c>
      <c r="H349" s="259">
        <f t="shared" si="225"/>
        <v>0</v>
      </c>
      <c r="I349" s="259">
        <f t="shared" si="226"/>
        <v>0</v>
      </c>
      <c r="J349" s="260">
        <f t="shared" si="227"/>
        <v>0</v>
      </c>
      <c r="K349" s="260">
        <f t="shared" si="228"/>
        <v>0</v>
      </c>
      <c r="L349" s="260">
        <f t="shared" si="229"/>
        <v>0</v>
      </c>
      <c r="M349" s="432">
        <f t="array" ref="M349">MAX((IF(MNU_CODIGO_ALIMENTO_ENTREGA=CONCATENATE($C349,"_","P_"),MNU_GRAMAJE_REQUERIDO_TIPOB,"")))</f>
        <v>100</v>
      </c>
      <c r="N349" s="348">
        <f t="shared" si="230"/>
        <v>54400</v>
      </c>
      <c r="O349" s="348">
        <f t="shared" si="231"/>
        <v>30514</v>
      </c>
      <c r="P349" s="348">
        <f t="shared" si="232"/>
        <v>84914</v>
      </c>
      <c r="Q349" s="349">
        <f t="shared" si="233"/>
        <v>16320000</v>
      </c>
      <c r="R349" s="349">
        <f t="shared" si="234"/>
        <v>9154200</v>
      </c>
      <c r="S349" s="349">
        <f t="shared" si="235"/>
        <v>25474200</v>
      </c>
      <c r="T349" s="353">
        <f t="array" ref="T349">MAX((IF(MNU_CODIGO_ALIMENTO_ENTREGA=CONCATENATE($C349,"_","P_"),MNU_GRAMAJE_REQUERIDO_TIPOC,"")))</f>
        <v>100</v>
      </c>
      <c r="U349" s="259">
        <f t="shared" si="236"/>
        <v>60104</v>
      </c>
      <c r="V349" s="259">
        <f t="shared" si="237"/>
        <v>39600</v>
      </c>
      <c r="W349" s="259">
        <f t="shared" si="238"/>
        <v>99704</v>
      </c>
      <c r="X349" s="260">
        <f t="shared" si="239"/>
        <v>18031200</v>
      </c>
      <c r="Y349" s="260">
        <f t="shared" si="240"/>
        <v>11880000</v>
      </c>
      <c r="Z349" s="260">
        <f t="shared" si="241"/>
        <v>29911200</v>
      </c>
      <c r="AA349" s="258">
        <f t="array" ref="AA349">MAX((IF(MNU_CODIGO_ALIMENTO_ENTREGA=CONCATENATE($C349,"_","P_"),MNU_GRAMAJE_REQUERIDO_TIPOM,"")))</f>
        <v>100</v>
      </c>
      <c r="AB349" s="261">
        <f t="shared" si="242"/>
        <v>1840</v>
      </c>
      <c r="AC349" s="261">
        <v>0</v>
      </c>
      <c r="AD349" s="261">
        <f t="shared" si="243"/>
        <v>1840</v>
      </c>
      <c r="AE349" s="262">
        <f t="shared" si="244"/>
        <v>552000</v>
      </c>
      <c r="AF349" s="262">
        <v>0</v>
      </c>
      <c r="AG349" s="262">
        <f t="shared" si="245"/>
        <v>552000</v>
      </c>
      <c r="AH349" s="353">
        <f t="array" ref="AH349">MAX((IF(MNU_CODIGO_ALIMENTO_ENTREGA=CONCATENATE($C349,"_","P_"),MNU_GRAMAJE_REQUERIDO_TIPOH,"")))</f>
        <v>100</v>
      </c>
      <c r="AI349" s="259">
        <f t="shared" si="246"/>
        <v>2320</v>
      </c>
      <c r="AJ349" s="259">
        <v>0</v>
      </c>
      <c r="AK349" s="259">
        <f t="shared" si="247"/>
        <v>2320</v>
      </c>
      <c r="AL349" s="260">
        <f t="shared" si="248"/>
        <v>696000</v>
      </c>
      <c r="AM349" s="260">
        <v>0</v>
      </c>
      <c r="AN349" s="260">
        <f t="shared" si="249"/>
        <v>696000</v>
      </c>
      <c r="AO349" s="457">
        <f t="shared" si="250"/>
        <v>188778</v>
      </c>
      <c r="AP349" s="456">
        <f t="shared" si="251"/>
        <v>56633400</v>
      </c>
      <c r="AQ349" s="263" t="e">
        <f>#REF!+AH349+AA349+T349+M349</f>
        <v>#REF!</v>
      </c>
      <c r="AR349" s="263">
        <f t="shared" si="210"/>
        <v>56752064</v>
      </c>
      <c r="AS349" s="263" t="e">
        <f t="shared" si="211"/>
        <v>#REF!</v>
      </c>
      <c r="AT349" s="263">
        <f t="shared" si="212"/>
        <v>56940842</v>
      </c>
      <c r="AU349" s="263" t="e">
        <f t="shared" si="213"/>
        <v>#REF!</v>
      </c>
      <c r="AV349" s="263">
        <f t="shared" si="214"/>
        <v>77975042</v>
      </c>
      <c r="AW349" s="263" t="e">
        <f t="shared" si="215"/>
        <v>#REF!</v>
      </c>
      <c r="AX349" s="263" t="e">
        <f>AV349+#REF!+AH349+AA349+T349</f>
        <v>#REF!</v>
      </c>
      <c r="AY349" s="263" t="e">
        <f t="shared" si="216"/>
        <v>#REF!</v>
      </c>
      <c r="AZ349" s="263" t="e">
        <f t="shared" si="217"/>
        <v>#REF!</v>
      </c>
      <c r="BA349" s="263" t="e">
        <f t="shared" si="218"/>
        <v>#REF!</v>
      </c>
      <c r="BB349" s="263" t="e">
        <f t="shared" si="219"/>
        <v>#REF!</v>
      </c>
      <c r="BC349" s="263" t="e">
        <f t="shared" si="220"/>
        <v>#REF!</v>
      </c>
      <c r="BD349" s="263" t="e">
        <f t="shared" si="221"/>
        <v>#REF!</v>
      </c>
      <c r="BE349" s="263" t="e">
        <f>BC349+AV349+#REF!+AH349+AA349</f>
        <v>#REF!</v>
      </c>
      <c r="BF349" s="263" t="e">
        <f t="shared" si="222"/>
        <v>#REF!</v>
      </c>
      <c r="BG349" s="263" t="e">
        <f t="shared" si="223"/>
        <v>#REF!</v>
      </c>
    </row>
    <row r="350" spans="1:59" ht="15.75">
      <c r="A350" s="338">
        <v>26</v>
      </c>
      <c r="B350" s="338" t="s">
        <v>1</v>
      </c>
      <c r="C350" s="258">
        <v>69</v>
      </c>
      <c r="D350" s="328" t="s">
        <v>70</v>
      </c>
      <c r="E350" s="258" t="s">
        <v>9</v>
      </c>
      <c r="F350" s="431">
        <f t="array" ref="F350">MAX((IF(MNU_CODIGO_ALIMENTO_ENTREGA=CONCATENATE($C350,"_","P_"),MNU_GRAMAJE_REQUERIDO_TIPOA,"")))</f>
        <v>100</v>
      </c>
      <c r="G350" s="259">
        <f t="shared" si="224"/>
        <v>148200</v>
      </c>
      <c r="H350" s="259">
        <f t="shared" si="225"/>
        <v>28534</v>
      </c>
      <c r="I350" s="259">
        <f t="shared" si="226"/>
        <v>176734</v>
      </c>
      <c r="J350" s="260">
        <f t="shared" si="227"/>
        <v>47424000</v>
      </c>
      <c r="K350" s="260">
        <f t="shared" si="228"/>
        <v>9130880</v>
      </c>
      <c r="L350" s="260">
        <f t="shared" si="229"/>
        <v>56554880</v>
      </c>
      <c r="M350" s="432">
        <f t="array" ref="M350">MAX((IF(MNU_CODIGO_ALIMENTO_ENTREGA=CONCATENATE($C350,"_","P_"),MNU_GRAMAJE_REQUERIDO_TIPOB,"")))</f>
        <v>100</v>
      </c>
      <c r="N350" s="348">
        <f t="shared" si="230"/>
        <v>108800</v>
      </c>
      <c r="O350" s="348">
        <f t="shared" si="231"/>
        <v>33734</v>
      </c>
      <c r="P350" s="348">
        <f t="shared" si="232"/>
        <v>142534</v>
      </c>
      <c r="Q350" s="349">
        <f t="shared" si="233"/>
        <v>34816000</v>
      </c>
      <c r="R350" s="349">
        <f t="shared" si="234"/>
        <v>10794880</v>
      </c>
      <c r="S350" s="349">
        <f t="shared" si="235"/>
        <v>45610880</v>
      </c>
      <c r="T350" s="353">
        <f t="array" ref="T350">MAX((IF(MNU_CODIGO_ALIMENTO_ENTREGA=CONCATENATE($C350,"_","P_"),MNU_GRAMAJE_REQUERIDO_TIPOC,"")))</f>
        <v>100</v>
      </c>
      <c r="U350" s="259">
        <f t="shared" si="236"/>
        <v>120208</v>
      </c>
      <c r="V350" s="259">
        <f t="shared" si="237"/>
        <v>43564</v>
      </c>
      <c r="W350" s="259">
        <f t="shared" si="238"/>
        <v>163772</v>
      </c>
      <c r="X350" s="260">
        <f t="shared" si="239"/>
        <v>38466560</v>
      </c>
      <c r="Y350" s="260">
        <f t="shared" si="240"/>
        <v>13940480</v>
      </c>
      <c r="Z350" s="260">
        <f t="shared" si="241"/>
        <v>52407040</v>
      </c>
      <c r="AA350" s="258">
        <f t="array" ref="AA350">MAX((IF(MNU_CODIGO_ALIMENTO_ENTREGA=CONCATENATE($C350,"_","P_"),MNU_GRAMAJE_REQUERIDO_TIPOM,"")))</f>
        <v>100</v>
      </c>
      <c r="AB350" s="261">
        <f t="shared" si="242"/>
        <v>3680</v>
      </c>
      <c r="AC350" s="261">
        <v>0</v>
      </c>
      <c r="AD350" s="261">
        <f t="shared" si="243"/>
        <v>3680</v>
      </c>
      <c r="AE350" s="262">
        <f t="shared" si="244"/>
        <v>1177600</v>
      </c>
      <c r="AF350" s="262">
        <v>0</v>
      </c>
      <c r="AG350" s="262">
        <f t="shared" si="245"/>
        <v>1177600</v>
      </c>
      <c r="AH350" s="353">
        <f t="array" ref="AH350">MAX((IF(MNU_CODIGO_ALIMENTO_ENTREGA=CONCATENATE($C350,"_","P_"),MNU_GRAMAJE_REQUERIDO_TIPOH,"")))</f>
        <v>100</v>
      </c>
      <c r="AI350" s="259">
        <f t="shared" si="246"/>
        <v>4640</v>
      </c>
      <c r="AJ350" s="259">
        <v>0</v>
      </c>
      <c r="AK350" s="259">
        <f t="shared" si="247"/>
        <v>4640</v>
      </c>
      <c r="AL350" s="260">
        <f t="shared" si="248"/>
        <v>1484800</v>
      </c>
      <c r="AM350" s="260">
        <v>0</v>
      </c>
      <c r="AN350" s="260">
        <f t="shared" si="249"/>
        <v>1484800</v>
      </c>
      <c r="AO350" s="457">
        <f t="shared" si="250"/>
        <v>491360</v>
      </c>
      <c r="AP350" s="456">
        <f t="shared" si="251"/>
        <v>157235200</v>
      </c>
      <c r="AQ350" s="263" t="e">
        <f>#REF!+AH350+AA350+T350+M350</f>
        <v>#REF!</v>
      </c>
      <c r="AR350" s="263">
        <f t="shared" si="210"/>
        <v>157472528</v>
      </c>
      <c r="AS350" s="263" t="e">
        <f t="shared" si="211"/>
        <v>#REF!</v>
      </c>
      <c r="AT350" s="263">
        <f t="shared" si="212"/>
        <v>157787154</v>
      </c>
      <c r="AU350" s="263" t="e">
        <f t="shared" si="213"/>
        <v>#REF!</v>
      </c>
      <c r="AV350" s="263">
        <f t="shared" si="214"/>
        <v>182522514</v>
      </c>
      <c r="AW350" s="263" t="e">
        <f t="shared" si="215"/>
        <v>#REF!</v>
      </c>
      <c r="AX350" s="263" t="e">
        <f>AV350+#REF!+AH350+AA350+T350</f>
        <v>#REF!</v>
      </c>
      <c r="AY350" s="263" t="e">
        <f t="shared" si="216"/>
        <v>#REF!</v>
      </c>
      <c r="AZ350" s="263" t="e">
        <f t="shared" si="217"/>
        <v>#REF!</v>
      </c>
      <c r="BA350" s="263" t="e">
        <f t="shared" si="218"/>
        <v>#REF!</v>
      </c>
      <c r="BB350" s="263" t="e">
        <f t="shared" si="219"/>
        <v>#REF!</v>
      </c>
      <c r="BC350" s="263" t="e">
        <f t="shared" si="220"/>
        <v>#REF!</v>
      </c>
      <c r="BD350" s="263" t="e">
        <f t="shared" si="221"/>
        <v>#REF!</v>
      </c>
      <c r="BE350" s="263" t="e">
        <f>BC350+AV350+#REF!+AH350+AA350</f>
        <v>#REF!</v>
      </c>
      <c r="BF350" s="263" t="e">
        <f t="shared" si="222"/>
        <v>#REF!</v>
      </c>
      <c r="BG350" s="263" t="e">
        <f t="shared" si="223"/>
        <v>#REF!</v>
      </c>
    </row>
    <row r="351" spans="1:59" ht="15.75">
      <c r="A351" s="338">
        <v>26</v>
      </c>
      <c r="B351" s="338" t="s">
        <v>1</v>
      </c>
      <c r="C351" s="258">
        <v>70</v>
      </c>
      <c r="D351" s="328" t="s">
        <v>71</v>
      </c>
      <c r="E351" s="258" t="s">
        <v>9</v>
      </c>
      <c r="F351" s="431">
        <f t="array" ref="F351">MAX((IF(MNU_CODIGO_ALIMENTO_ENTREGA=CONCATENATE($C351,"_","P_"),MNU_GRAMAJE_REQUERIDO_TIPOA,"")))</f>
        <v>0</v>
      </c>
      <c r="G351" s="259">
        <f t="shared" si="224"/>
        <v>0</v>
      </c>
      <c r="H351" s="259">
        <f t="shared" si="225"/>
        <v>0</v>
      </c>
      <c r="I351" s="259">
        <f t="shared" si="226"/>
        <v>0</v>
      </c>
      <c r="J351" s="260">
        <f t="shared" si="227"/>
        <v>0</v>
      </c>
      <c r="K351" s="260">
        <f t="shared" si="228"/>
        <v>0</v>
      </c>
      <c r="L351" s="260">
        <f t="shared" si="229"/>
        <v>0</v>
      </c>
      <c r="M351" s="432">
        <f t="array" ref="M351">MAX((IF(MNU_CODIGO_ALIMENTO_ENTREGA=CONCATENATE($C351,"_","P_"),MNU_GRAMAJE_REQUERIDO_TIPOB,"")))</f>
        <v>100</v>
      </c>
      <c r="N351" s="348">
        <f t="shared" si="230"/>
        <v>68000</v>
      </c>
      <c r="O351" s="348">
        <f t="shared" si="231"/>
        <v>23084</v>
      </c>
      <c r="P351" s="348">
        <f t="shared" si="232"/>
        <v>91084</v>
      </c>
      <c r="Q351" s="349">
        <f t="shared" si="233"/>
        <v>31008000</v>
      </c>
      <c r="R351" s="349">
        <f t="shared" si="234"/>
        <v>10526304</v>
      </c>
      <c r="S351" s="349">
        <f t="shared" si="235"/>
        <v>41534304</v>
      </c>
      <c r="T351" s="353">
        <f t="array" ref="T351">MAX((IF(MNU_CODIGO_ALIMENTO_ENTREGA=CONCATENATE($C351,"_","P_"),MNU_GRAMAJE_REQUERIDO_TIPOC,"")))</f>
        <v>100</v>
      </c>
      <c r="U351" s="259">
        <f t="shared" si="236"/>
        <v>75130</v>
      </c>
      <c r="V351" s="259">
        <f t="shared" si="237"/>
        <v>29528</v>
      </c>
      <c r="W351" s="259">
        <f t="shared" si="238"/>
        <v>104658</v>
      </c>
      <c r="X351" s="260">
        <f t="shared" si="239"/>
        <v>34259280</v>
      </c>
      <c r="Y351" s="260">
        <f t="shared" si="240"/>
        <v>13464768</v>
      </c>
      <c r="Z351" s="260">
        <f t="shared" si="241"/>
        <v>47724048</v>
      </c>
      <c r="AA351" s="258">
        <f t="array" ref="AA351">MAX((IF(MNU_CODIGO_ALIMENTO_ENTREGA=CONCATENATE($C351,"_","P_"),MNU_GRAMAJE_REQUERIDO_TIPOM,"")))</f>
        <v>100</v>
      </c>
      <c r="AB351" s="261">
        <f t="shared" si="242"/>
        <v>2300</v>
      </c>
      <c r="AC351" s="261">
        <v>0</v>
      </c>
      <c r="AD351" s="261">
        <f t="shared" si="243"/>
        <v>2300</v>
      </c>
      <c r="AE351" s="262">
        <f t="shared" si="244"/>
        <v>1048800</v>
      </c>
      <c r="AF351" s="262">
        <v>0</v>
      </c>
      <c r="AG351" s="262">
        <f t="shared" si="245"/>
        <v>1048800</v>
      </c>
      <c r="AH351" s="353">
        <f t="array" ref="AH351">MAX((IF(MNU_CODIGO_ALIMENTO_ENTREGA=CONCATENATE($C351,"_","P_"),MNU_GRAMAJE_REQUERIDO_TIPOH,"")))</f>
        <v>100</v>
      </c>
      <c r="AI351" s="259">
        <f t="shared" si="246"/>
        <v>2900</v>
      </c>
      <c r="AJ351" s="259">
        <v>0</v>
      </c>
      <c r="AK351" s="259">
        <f t="shared" si="247"/>
        <v>2900</v>
      </c>
      <c r="AL351" s="260">
        <f t="shared" si="248"/>
        <v>1322400</v>
      </c>
      <c r="AM351" s="260">
        <v>0</v>
      </c>
      <c r="AN351" s="260">
        <f t="shared" si="249"/>
        <v>1322400</v>
      </c>
      <c r="AO351" s="457">
        <f t="shared" si="250"/>
        <v>200942</v>
      </c>
      <c r="AP351" s="456">
        <f t="shared" si="251"/>
        <v>91629552</v>
      </c>
      <c r="AQ351" s="263" t="e">
        <f>#REF!+AH351+AA351+T351+M351</f>
        <v>#REF!</v>
      </c>
      <c r="AR351" s="263">
        <f t="shared" si="210"/>
        <v>91777882</v>
      </c>
      <c r="AS351" s="263" t="e">
        <f t="shared" si="211"/>
        <v>#REF!</v>
      </c>
      <c r="AT351" s="263">
        <f t="shared" si="212"/>
        <v>91978824</v>
      </c>
      <c r="AU351" s="263" t="e">
        <f t="shared" si="213"/>
        <v>#REF!</v>
      </c>
      <c r="AV351" s="263">
        <f t="shared" si="214"/>
        <v>115969896</v>
      </c>
      <c r="AW351" s="263" t="e">
        <f t="shared" si="215"/>
        <v>#REF!</v>
      </c>
      <c r="AX351" s="263" t="e">
        <f>AV351+#REF!+AH351+AA351+T351</f>
        <v>#REF!</v>
      </c>
      <c r="AY351" s="263" t="e">
        <f t="shared" si="216"/>
        <v>#REF!</v>
      </c>
      <c r="AZ351" s="263" t="e">
        <f t="shared" si="217"/>
        <v>#REF!</v>
      </c>
      <c r="BA351" s="263" t="e">
        <f t="shared" si="218"/>
        <v>#REF!</v>
      </c>
      <c r="BB351" s="263" t="e">
        <f t="shared" si="219"/>
        <v>#REF!</v>
      </c>
      <c r="BC351" s="263" t="e">
        <f t="shared" si="220"/>
        <v>#REF!</v>
      </c>
      <c r="BD351" s="263" t="e">
        <f t="shared" si="221"/>
        <v>#REF!</v>
      </c>
      <c r="BE351" s="263" t="e">
        <f>BC351+AV351+#REF!+AH351+AA351</f>
        <v>#REF!</v>
      </c>
      <c r="BF351" s="263" t="e">
        <f t="shared" si="222"/>
        <v>#REF!</v>
      </c>
      <c r="BG351" s="263" t="e">
        <f t="shared" si="223"/>
        <v>#REF!</v>
      </c>
    </row>
    <row r="352" spans="1:59" ht="15.75">
      <c r="A352" s="338">
        <v>27</v>
      </c>
      <c r="B352" s="338" t="s">
        <v>1</v>
      </c>
      <c r="C352" s="258">
        <v>7</v>
      </c>
      <c r="D352" s="328" t="s">
        <v>57</v>
      </c>
      <c r="E352" s="258" t="s">
        <v>9</v>
      </c>
      <c r="F352" s="431">
        <f t="array" ref="F352">MAX((IF(MNU_CODIGO_ALIMENTO_ENTREGA=CONCATENATE($C352,"_","P_"),MNU_GRAMAJE_REQUERIDO_TIPOA,"")))</f>
        <v>100</v>
      </c>
      <c r="G352" s="259">
        <f t="shared" si="224"/>
        <v>104302</v>
      </c>
      <c r="H352" s="259">
        <f t="shared" si="225"/>
        <v>80197</v>
      </c>
      <c r="I352" s="259">
        <f t="shared" si="226"/>
        <v>184499</v>
      </c>
      <c r="J352" s="260">
        <f t="shared" si="227"/>
        <v>11681824</v>
      </c>
      <c r="K352" s="260">
        <f t="shared" si="228"/>
        <v>8982064</v>
      </c>
      <c r="L352" s="260">
        <f t="shared" si="229"/>
        <v>20663888</v>
      </c>
      <c r="M352" s="432">
        <f t="array" ref="M352">MAX((IF(MNU_CODIGO_ALIMENTO_ENTREGA=CONCATENATE($C352,"_","P_"),MNU_GRAMAJE_REQUERIDO_TIPOB,"")))</f>
        <v>100</v>
      </c>
      <c r="N352" s="348">
        <f t="shared" si="230"/>
        <v>57141</v>
      </c>
      <c r="O352" s="348">
        <f t="shared" si="231"/>
        <v>17424</v>
      </c>
      <c r="P352" s="348">
        <f t="shared" si="232"/>
        <v>74565</v>
      </c>
      <c r="Q352" s="349">
        <f t="shared" si="233"/>
        <v>6399792</v>
      </c>
      <c r="R352" s="349">
        <f t="shared" si="234"/>
        <v>1951488</v>
      </c>
      <c r="S352" s="349">
        <f t="shared" si="235"/>
        <v>8351280</v>
      </c>
      <c r="T352" s="353">
        <f t="array" ref="T352">MAX((IF(MNU_CODIGO_ALIMENTO_ENTREGA=CONCATENATE($C352,"_","P_"),MNU_GRAMAJE_REQUERIDO_TIPOC,"")))</f>
        <v>100</v>
      </c>
      <c r="U352" s="259">
        <f t="shared" si="236"/>
        <v>43524</v>
      </c>
      <c r="V352" s="259">
        <f t="shared" si="237"/>
        <v>12452</v>
      </c>
      <c r="W352" s="259">
        <f t="shared" si="238"/>
        <v>55976</v>
      </c>
      <c r="X352" s="260">
        <f t="shared" si="239"/>
        <v>4874688</v>
      </c>
      <c r="Y352" s="260">
        <f t="shared" si="240"/>
        <v>1394624</v>
      </c>
      <c r="Z352" s="260">
        <f t="shared" si="241"/>
        <v>6269312</v>
      </c>
      <c r="AA352" s="258">
        <f t="array" ref="AA352">MAX((IF(MNU_CODIGO_ALIMENTO_ENTREGA=CONCATENATE($C352,"_","P_"),MNU_GRAMAJE_REQUERIDO_TIPOM,"")))</f>
        <v>100</v>
      </c>
      <c r="AB352" s="261">
        <f t="shared" si="242"/>
        <v>2061</v>
      </c>
      <c r="AC352" s="261">
        <v>0</v>
      </c>
      <c r="AD352" s="261">
        <f t="shared" si="243"/>
        <v>2061</v>
      </c>
      <c r="AE352" s="262">
        <f t="shared" si="244"/>
        <v>230832</v>
      </c>
      <c r="AF352" s="262">
        <v>0</v>
      </c>
      <c r="AG352" s="262">
        <f t="shared" si="245"/>
        <v>230832</v>
      </c>
      <c r="AH352" s="353">
        <f t="array" ref="AH352">MAX((IF(MNU_CODIGO_ALIMENTO_ENTREGA=CONCATENATE($C352,"_","P_"),MNU_GRAMAJE_REQUERIDO_TIPOH,"")))</f>
        <v>100</v>
      </c>
      <c r="AI352" s="259">
        <f t="shared" si="246"/>
        <v>2268</v>
      </c>
      <c r="AJ352" s="259">
        <v>0</v>
      </c>
      <c r="AK352" s="259">
        <f t="shared" si="247"/>
        <v>2268</v>
      </c>
      <c r="AL352" s="260">
        <f t="shared" si="248"/>
        <v>254016</v>
      </c>
      <c r="AM352" s="260">
        <v>0</v>
      </c>
      <c r="AN352" s="260">
        <f t="shared" si="249"/>
        <v>254016</v>
      </c>
      <c r="AO352" s="457">
        <f t="shared" si="250"/>
        <v>319369</v>
      </c>
      <c r="AP352" s="456">
        <f t="shared" si="251"/>
        <v>35769328</v>
      </c>
      <c r="AQ352" s="263" t="e">
        <f>#REF!+AH352+AA352+T352+M352</f>
        <v>#REF!</v>
      </c>
      <c r="AR352" s="263">
        <f t="shared" si="210"/>
        <v>35874322</v>
      </c>
      <c r="AS352" s="263" t="e">
        <f t="shared" si="211"/>
        <v>#REF!</v>
      </c>
      <c r="AT352" s="263">
        <f t="shared" si="212"/>
        <v>36009192</v>
      </c>
      <c r="AU352" s="263" t="e">
        <f t="shared" si="213"/>
        <v>#REF!</v>
      </c>
      <c r="AV352" s="263">
        <f t="shared" si="214"/>
        <v>39355304</v>
      </c>
      <c r="AW352" s="263" t="e">
        <f t="shared" si="215"/>
        <v>#REF!</v>
      </c>
      <c r="AX352" s="263" t="e">
        <f>AV352+#REF!+AH352+AA352+T352</f>
        <v>#REF!</v>
      </c>
      <c r="AY352" s="263" t="e">
        <f t="shared" si="216"/>
        <v>#REF!</v>
      </c>
      <c r="AZ352" s="263" t="e">
        <f t="shared" si="217"/>
        <v>#REF!</v>
      </c>
      <c r="BA352" s="263" t="e">
        <f t="shared" si="218"/>
        <v>#REF!</v>
      </c>
      <c r="BB352" s="263" t="e">
        <f t="shared" si="219"/>
        <v>#REF!</v>
      </c>
      <c r="BC352" s="263" t="e">
        <f t="shared" si="220"/>
        <v>#REF!</v>
      </c>
      <c r="BD352" s="263" t="e">
        <f t="shared" si="221"/>
        <v>#REF!</v>
      </c>
      <c r="BE352" s="263" t="e">
        <f>BC352+AV352+#REF!+AH352+AA352</f>
        <v>#REF!</v>
      </c>
      <c r="BF352" s="263" t="e">
        <f t="shared" si="222"/>
        <v>#REF!</v>
      </c>
      <c r="BG352" s="263" t="e">
        <f t="shared" si="223"/>
        <v>#REF!</v>
      </c>
    </row>
    <row r="353" spans="1:59" ht="15.75">
      <c r="A353" s="338">
        <v>27</v>
      </c>
      <c r="B353" s="338" t="s">
        <v>1</v>
      </c>
      <c r="C353" s="258">
        <v>8</v>
      </c>
      <c r="D353" s="328" t="s">
        <v>55</v>
      </c>
      <c r="E353" s="258" t="s">
        <v>9</v>
      </c>
      <c r="F353" s="431">
        <f t="array" ref="F353">MAX((IF(MNU_CODIGO_ALIMENTO_ENTREGA=CONCATENATE($C353,"_","P_"),MNU_GRAMAJE_REQUERIDO_TIPOA,"")))</f>
        <v>100</v>
      </c>
      <c r="G353" s="259">
        <f t="shared" si="224"/>
        <v>47410</v>
      </c>
      <c r="H353" s="259">
        <f t="shared" si="225"/>
        <v>28457</v>
      </c>
      <c r="I353" s="259">
        <f t="shared" si="226"/>
        <v>75867</v>
      </c>
      <c r="J353" s="260">
        <f t="shared" si="227"/>
        <v>6684810</v>
      </c>
      <c r="K353" s="260">
        <f t="shared" si="228"/>
        <v>4012437</v>
      </c>
      <c r="L353" s="260">
        <f t="shared" si="229"/>
        <v>10697247</v>
      </c>
      <c r="M353" s="432">
        <f t="array" ref="M353">MAX((IF(MNU_CODIGO_ALIMENTO_ENTREGA=CONCATENATE($C353,"_","P_"),MNU_GRAMAJE_REQUERIDO_TIPOB,"")))</f>
        <v>100</v>
      </c>
      <c r="N353" s="348">
        <f t="shared" si="230"/>
        <v>50792</v>
      </c>
      <c r="O353" s="348">
        <f t="shared" si="231"/>
        <v>17424</v>
      </c>
      <c r="P353" s="348">
        <f t="shared" si="232"/>
        <v>68216</v>
      </c>
      <c r="Q353" s="349">
        <f t="shared" si="233"/>
        <v>7161672</v>
      </c>
      <c r="R353" s="349">
        <f t="shared" si="234"/>
        <v>2456784</v>
      </c>
      <c r="S353" s="349">
        <f t="shared" si="235"/>
        <v>9618456</v>
      </c>
      <c r="T353" s="353">
        <f t="array" ref="T353">MAX((IF(MNU_CODIGO_ALIMENTO_ENTREGA=CONCATENATE($C353,"_","P_"),MNU_GRAMAJE_REQUERIDO_TIPOC,"")))</f>
        <v>100</v>
      </c>
      <c r="U353" s="259">
        <f t="shared" si="236"/>
        <v>38688</v>
      </c>
      <c r="V353" s="259">
        <f t="shared" si="237"/>
        <v>12452</v>
      </c>
      <c r="W353" s="259">
        <f t="shared" si="238"/>
        <v>51140</v>
      </c>
      <c r="X353" s="260">
        <f t="shared" si="239"/>
        <v>5455008</v>
      </c>
      <c r="Y353" s="260">
        <f t="shared" si="240"/>
        <v>1755732</v>
      </c>
      <c r="Z353" s="260">
        <f t="shared" si="241"/>
        <v>7210740</v>
      </c>
      <c r="AA353" s="258">
        <f t="array" ref="AA353">MAX((IF(MNU_CODIGO_ALIMENTO_ENTREGA=CONCATENATE($C353,"_","P_"),MNU_GRAMAJE_REQUERIDO_TIPOM,"")))</f>
        <v>100</v>
      </c>
      <c r="AB353" s="261">
        <f t="shared" si="242"/>
        <v>1832</v>
      </c>
      <c r="AC353" s="261">
        <v>0</v>
      </c>
      <c r="AD353" s="261">
        <f t="shared" si="243"/>
        <v>1832</v>
      </c>
      <c r="AE353" s="262">
        <f t="shared" si="244"/>
        <v>258312</v>
      </c>
      <c r="AF353" s="262">
        <v>0</v>
      </c>
      <c r="AG353" s="262">
        <f t="shared" si="245"/>
        <v>258312</v>
      </c>
      <c r="AH353" s="353">
        <f t="array" ref="AH353">MAX((IF(MNU_CODIGO_ALIMENTO_ENTREGA=CONCATENATE($C353,"_","P_"),MNU_GRAMAJE_REQUERIDO_TIPOH,"")))</f>
        <v>100</v>
      </c>
      <c r="AI353" s="259">
        <f t="shared" si="246"/>
        <v>2016</v>
      </c>
      <c r="AJ353" s="259">
        <v>0</v>
      </c>
      <c r="AK353" s="259">
        <f t="shared" si="247"/>
        <v>2016</v>
      </c>
      <c r="AL353" s="260">
        <f t="shared" si="248"/>
        <v>284256</v>
      </c>
      <c r="AM353" s="260">
        <v>0</v>
      </c>
      <c r="AN353" s="260">
        <f t="shared" si="249"/>
        <v>284256</v>
      </c>
      <c r="AO353" s="457">
        <f t="shared" si="250"/>
        <v>199071</v>
      </c>
      <c r="AP353" s="456">
        <f t="shared" si="251"/>
        <v>28069011</v>
      </c>
      <c r="AQ353" s="263" t="e">
        <f>#REF!+AH353+AA353+T353+M353</f>
        <v>#REF!</v>
      </c>
      <c r="AR353" s="263">
        <f t="shared" si="210"/>
        <v>28162339</v>
      </c>
      <c r="AS353" s="263" t="e">
        <f t="shared" si="211"/>
        <v>#REF!</v>
      </c>
      <c r="AT353" s="263">
        <f t="shared" si="212"/>
        <v>28285543</v>
      </c>
      <c r="AU353" s="263" t="e">
        <f t="shared" si="213"/>
        <v>#REF!</v>
      </c>
      <c r="AV353" s="263">
        <f t="shared" si="214"/>
        <v>32498059</v>
      </c>
      <c r="AW353" s="263" t="e">
        <f t="shared" si="215"/>
        <v>#REF!</v>
      </c>
      <c r="AX353" s="263" t="e">
        <f>AV353+#REF!+AH353+AA353+T353</f>
        <v>#REF!</v>
      </c>
      <c r="AY353" s="263" t="e">
        <f t="shared" si="216"/>
        <v>#REF!</v>
      </c>
      <c r="AZ353" s="263" t="e">
        <f t="shared" si="217"/>
        <v>#REF!</v>
      </c>
      <c r="BA353" s="263" t="e">
        <f t="shared" si="218"/>
        <v>#REF!</v>
      </c>
      <c r="BB353" s="263" t="e">
        <f t="shared" si="219"/>
        <v>#REF!</v>
      </c>
      <c r="BC353" s="263" t="e">
        <f t="shared" si="220"/>
        <v>#REF!</v>
      </c>
      <c r="BD353" s="263" t="e">
        <f t="shared" si="221"/>
        <v>#REF!</v>
      </c>
      <c r="BE353" s="263" t="e">
        <f>BC353+AV353+#REF!+AH353+AA353</f>
        <v>#REF!</v>
      </c>
      <c r="BF353" s="263" t="e">
        <f t="shared" si="222"/>
        <v>#REF!</v>
      </c>
      <c r="BG353" s="263" t="e">
        <f t="shared" si="223"/>
        <v>#REF!</v>
      </c>
    </row>
    <row r="354" spans="1:59" ht="15.75">
      <c r="A354" s="338">
        <v>27</v>
      </c>
      <c r="B354" s="338" t="s">
        <v>1</v>
      </c>
      <c r="C354" s="258">
        <v>17</v>
      </c>
      <c r="D354" s="328" t="s">
        <v>53</v>
      </c>
      <c r="E354" s="258" t="s">
        <v>9</v>
      </c>
      <c r="F354" s="431">
        <f t="array" ref="F354">MAX((IF(MNU_CODIGO_ALIMENTO_ENTREGA=CONCATENATE($C354,"_","P_"),MNU_GRAMAJE_REQUERIDO_TIPOA,"")))</f>
        <v>0</v>
      </c>
      <c r="G354" s="259">
        <f t="shared" si="224"/>
        <v>0</v>
      </c>
      <c r="H354" s="259">
        <f t="shared" si="225"/>
        <v>0</v>
      </c>
      <c r="I354" s="259">
        <f t="shared" si="226"/>
        <v>0</v>
      </c>
      <c r="J354" s="260">
        <f t="shared" si="227"/>
        <v>0</v>
      </c>
      <c r="K354" s="260">
        <f t="shared" si="228"/>
        <v>0</v>
      </c>
      <c r="L354" s="260">
        <f t="shared" si="229"/>
        <v>0</v>
      </c>
      <c r="M354" s="432">
        <f t="array" ref="M354">MAX((IF(MNU_CODIGO_ALIMENTO_ENTREGA=CONCATENATE($C354,"_","P_"),MNU_GRAMAJE_REQUERIDO_TIPOB,"")))</f>
        <v>100</v>
      </c>
      <c r="N354" s="348">
        <f t="shared" si="230"/>
        <v>133329</v>
      </c>
      <c r="O354" s="348">
        <f t="shared" si="231"/>
        <v>36432</v>
      </c>
      <c r="P354" s="348">
        <f t="shared" si="232"/>
        <v>169761</v>
      </c>
      <c r="Q354" s="349">
        <f t="shared" si="233"/>
        <v>31598973</v>
      </c>
      <c r="R354" s="349">
        <f t="shared" si="234"/>
        <v>8634384</v>
      </c>
      <c r="S354" s="349">
        <f t="shared" si="235"/>
        <v>40233357</v>
      </c>
      <c r="T354" s="353">
        <f t="array" ref="T354">MAX((IF(MNU_CODIGO_ALIMENTO_ENTREGA=CONCATENATE($C354,"_","P_"),MNU_GRAMAJE_REQUERIDO_TIPOC,"")))</f>
        <v>100</v>
      </c>
      <c r="U354" s="259">
        <f t="shared" si="236"/>
        <v>101556</v>
      </c>
      <c r="V354" s="259">
        <f t="shared" si="237"/>
        <v>26036</v>
      </c>
      <c r="W354" s="259">
        <f t="shared" si="238"/>
        <v>127592</v>
      </c>
      <c r="X354" s="260">
        <f t="shared" si="239"/>
        <v>24068772</v>
      </c>
      <c r="Y354" s="260">
        <f t="shared" si="240"/>
        <v>6170532</v>
      </c>
      <c r="Z354" s="260">
        <f t="shared" si="241"/>
        <v>30239304</v>
      </c>
      <c r="AA354" s="258">
        <f t="array" ref="AA354">MAX((IF(MNU_CODIGO_ALIMENTO_ENTREGA=CONCATENATE($C354,"_","P_"),MNU_GRAMAJE_REQUERIDO_TIPOM,"")))</f>
        <v>100</v>
      </c>
      <c r="AB354" s="261">
        <f t="shared" si="242"/>
        <v>4809</v>
      </c>
      <c r="AC354" s="261">
        <v>0</v>
      </c>
      <c r="AD354" s="261">
        <f t="shared" si="243"/>
        <v>4809</v>
      </c>
      <c r="AE354" s="262">
        <f t="shared" si="244"/>
        <v>1139733</v>
      </c>
      <c r="AF354" s="262">
        <v>0</v>
      </c>
      <c r="AG354" s="262">
        <f t="shared" si="245"/>
        <v>1139733</v>
      </c>
      <c r="AH354" s="353">
        <f t="array" ref="AH354">MAX((IF(MNU_CODIGO_ALIMENTO_ENTREGA=CONCATENATE($C354,"_","P_"),MNU_GRAMAJE_REQUERIDO_TIPOH,"")))</f>
        <v>100</v>
      </c>
      <c r="AI354" s="259">
        <f t="shared" si="246"/>
        <v>5292</v>
      </c>
      <c r="AJ354" s="259">
        <v>0</v>
      </c>
      <c r="AK354" s="259">
        <f t="shared" si="247"/>
        <v>5292</v>
      </c>
      <c r="AL354" s="260">
        <f t="shared" si="248"/>
        <v>1254204</v>
      </c>
      <c r="AM354" s="260">
        <v>0</v>
      </c>
      <c r="AN354" s="260">
        <f t="shared" si="249"/>
        <v>1254204</v>
      </c>
      <c r="AO354" s="457">
        <f t="shared" si="250"/>
        <v>307454</v>
      </c>
      <c r="AP354" s="456">
        <f t="shared" si="251"/>
        <v>72866598</v>
      </c>
      <c r="AQ354" s="263" t="e">
        <f>#REF!+AH354+AA354+T354+M354</f>
        <v>#REF!</v>
      </c>
      <c r="AR354" s="263">
        <f t="shared" si="210"/>
        <v>73111584</v>
      </c>
      <c r="AS354" s="263" t="e">
        <f t="shared" si="211"/>
        <v>#REF!</v>
      </c>
      <c r="AT354" s="263">
        <f t="shared" si="212"/>
        <v>73419038</v>
      </c>
      <c r="AU354" s="263" t="e">
        <f t="shared" si="213"/>
        <v>#REF!</v>
      </c>
      <c r="AV354" s="263">
        <f t="shared" si="214"/>
        <v>88223954</v>
      </c>
      <c r="AW354" s="263" t="e">
        <f t="shared" si="215"/>
        <v>#REF!</v>
      </c>
      <c r="AX354" s="263" t="e">
        <f>AV354+#REF!+AH354+AA354+T354</f>
        <v>#REF!</v>
      </c>
      <c r="AY354" s="263" t="e">
        <f t="shared" si="216"/>
        <v>#REF!</v>
      </c>
      <c r="AZ354" s="263" t="e">
        <f t="shared" si="217"/>
        <v>#REF!</v>
      </c>
      <c r="BA354" s="263" t="e">
        <f t="shared" si="218"/>
        <v>#REF!</v>
      </c>
      <c r="BB354" s="263" t="e">
        <f t="shared" si="219"/>
        <v>#REF!</v>
      </c>
      <c r="BC354" s="263" t="e">
        <f t="shared" si="220"/>
        <v>#REF!</v>
      </c>
      <c r="BD354" s="263" t="e">
        <f t="shared" si="221"/>
        <v>#REF!</v>
      </c>
      <c r="BE354" s="263" t="e">
        <f>BC354+AV354+#REF!+AH354+AA354</f>
        <v>#REF!</v>
      </c>
      <c r="BF354" s="263" t="e">
        <f t="shared" si="222"/>
        <v>#REF!</v>
      </c>
      <c r="BG354" s="263" t="e">
        <f t="shared" si="223"/>
        <v>#REF!</v>
      </c>
    </row>
    <row r="355" spans="1:59" ht="15.75">
      <c r="A355" s="338">
        <v>27</v>
      </c>
      <c r="B355" s="338" t="s">
        <v>1</v>
      </c>
      <c r="C355" s="258">
        <v>22</v>
      </c>
      <c r="D355" s="328" t="s">
        <v>51</v>
      </c>
      <c r="E355" s="258" t="s">
        <v>9</v>
      </c>
      <c r="F355" s="431">
        <f t="array" ref="F355">MAX((IF(MNU_CODIGO_ALIMENTO_ENTREGA=CONCATENATE($C355,"_","P_"),MNU_GRAMAJE_REQUERIDO_TIPOA,"")))</f>
        <v>0</v>
      </c>
      <c r="G355" s="259">
        <f t="shared" si="224"/>
        <v>0</v>
      </c>
      <c r="H355" s="259">
        <f t="shared" si="225"/>
        <v>0</v>
      </c>
      <c r="I355" s="259">
        <f t="shared" si="226"/>
        <v>0</v>
      </c>
      <c r="J355" s="260">
        <f t="shared" si="227"/>
        <v>0</v>
      </c>
      <c r="K355" s="260">
        <f t="shared" si="228"/>
        <v>0</v>
      </c>
      <c r="L355" s="260">
        <f t="shared" si="229"/>
        <v>0</v>
      </c>
      <c r="M355" s="432">
        <f t="array" ref="M355">MAX((IF(MNU_CODIGO_ALIMENTO_ENTREGA=CONCATENATE($C355,"_","P_"),MNU_GRAMAJE_REQUERIDO_TIPOB,"")))</f>
        <v>100</v>
      </c>
      <c r="N355" s="348">
        <f t="shared" si="230"/>
        <v>126980</v>
      </c>
      <c r="O355" s="348">
        <f t="shared" si="231"/>
        <v>36432</v>
      </c>
      <c r="P355" s="348">
        <f t="shared" si="232"/>
        <v>163412</v>
      </c>
      <c r="Q355" s="349">
        <f t="shared" si="233"/>
        <v>69965980</v>
      </c>
      <c r="R355" s="349">
        <f t="shared" si="234"/>
        <v>20074032</v>
      </c>
      <c r="S355" s="349">
        <f t="shared" si="235"/>
        <v>90040012</v>
      </c>
      <c r="T355" s="353">
        <f t="array" ref="T355">MAX((IF(MNU_CODIGO_ALIMENTO_ENTREGA=CONCATENATE($C355,"_","P_"),MNU_GRAMAJE_REQUERIDO_TIPOC,"")))</f>
        <v>100</v>
      </c>
      <c r="U355" s="259">
        <f t="shared" si="236"/>
        <v>96720</v>
      </c>
      <c r="V355" s="259">
        <f t="shared" si="237"/>
        <v>26036</v>
      </c>
      <c r="W355" s="259">
        <f t="shared" si="238"/>
        <v>122756</v>
      </c>
      <c r="X355" s="260">
        <f t="shared" si="239"/>
        <v>53292720</v>
      </c>
      <c r="Y355" s="260">
        <f t="shared" si="240"/>
        <v>14345836</v>
      </c>
      <c r="Z355" s="260">
        <f t="shared" si="241"/>
        <v>67638556</v>
      </c>
      <c r="AA355" s="258">
        <f t="array" ref="AA355">MAX((IF(MNU_CODIGO_ALIMENTO_ENTREGA=CONCATENATE($C355,"_","P_"),MNU_GRAMAJE_REQUERIDO_TIPOM,"")))</f>
        <v>100</v>
      </c>
      <c r="AB355" s="261">
        <f t="shared" si="242"/>
        <v>4580</v>
      </c>
      <c r="AC355" s="261">
        <v>0</v>
      </c>
      <c r="AD355" s="261">
        <f t="shared" si="243"/>
        <v>4580</v>
      </c>
      <c r="AE355" s="262">
        <f t="shared" si="244"/>
        <v>2523580</v>
      </c>
      <c r="AF355" s="262">
        <v>0</v>
      </c>
      <c r="AG355" s="262">
        <f t="shared" si="245"/>
        <v>2523580</v>
      </c>
      <c r="AH355" s="353">
        <f t="array" ref="AH355">MAX((IF(MNU_CODIGO_ALIMENTO_ENTREGA=CONCATENATE($C355,"_","P_"),MNU_GRAMAJE_REQUERIDO_TIPOH,"")))</f>
        <v>100</v>
      </c>
      <c r="AI355" s="259">
        <f t="shared" si="246"/>
        <v>5040</v>
      </c>
      <c r="AJ355" s="259">
        <v>0</v>
      </c>
      <c r="AK355" s="259">
        <f t="shared" si="247"/>
        <v>5040</v>
      </c>
      <c r="AL355" s="260">
        <f t="shared" si="248"/>
        <v>2777040</v>
      </c>
      <c r="AM355" s="260">
        <v>0</v>
      </c>
      <c r="AN355" s="260">
        <f t="shared" si="249"/>
        <v>2777040</v>
      </c>
      <c r="AO355" s="457">
        <f t="shared" si="250"/>
        <v>295788</v>
      </c>
      <c r="AP355" s="456">
        <f t="shared" si="251"/>
        <v>162979188</v>
      </c>
      <c r="AQ355" s="263" t="e">
        <f>#REF!+AH355+AA355+T355+M355</f>
        <v>#REF!</v>
      </c>
      <c r="AR355" s="263">
        <f t="shared" si="210"/>
        <v>163212508</v>
      </c>
      <c r="AS355" s="263" t="e">
        <f t="shared" si="211"/>
        <v>#REF!</v>
      </c>
      <c r="AT355" s="263">
        <f t="shared" si="212"/>
        <v>163508296</v>
      </c>
      <c r="AU355" s="263" t="e">
        <f t="shared" si="213"/>
        <v>#REF!</v>
      </c>
      <c r="AV355" s="263">
        <f t="shared" si="214"/>
        <v>197928164</v>
      </c>
      <c r="AW355" s="263" t="e">
        <f t="shared" si="215"/>
        <v>#REF!</v>
      </c>
      <c r="AX355" s="263" t="e">
        <f>AV355+#REF!+AH355+AA355+T355</f>
        <v>#REF!</v>
      </c>
      <c r="AY355" s="263" t="e">
        <f t="shared" si="216"/>
        <v>#REF!</v>
      </c>
      <c r="AZ355" s="263" t="e">
        <f t="shared" si="217"/>
        <v>#REF!</v>
      </c>
      <c r="BA355" s="263" t="e">
        <f t="shared" si="218"/>
        <v>#REF!</v>
      </c>
      <c r="BB355" s="263" t="e">
        <f t="shared" si="219"/>
        <v>#REF!</v>
      </c>
      <c r="BC355" s="263" t="e">
        <f t="shared" si="220"/>
        <v>#REF!</v>
      </c>
      <c r="BD355" s="263" t="e">
        <f t="shared" si="221"/>
        <v>#REF!</v>
      </c>
      <c r="BE355" s="263" t="e">
        <f>BC355+AV355+#REF!+AH355+AA355</f>
        <v>#REF!</v>
      </c>
      <c r="BF355" s="263" t="e">
        <f t="shared" si="222"/>
        <v>#REF!</v>
      </c>
      <c r="BG355" s="263" t="e">
        <f t="shared" si="223"/>
        <v>#REF!</v>
      </c>
    </row>
    <row r="356" spans="1:59" ht="15.75">
      <c r="A356" s="338">
        <v>27</v>
      </c>
      <c r="B356" s="338" t="s">
        <v>1</v>
      </c>
      <c r="C356" s="258">
        <v>33</v>
      </c>
      <c r="D356" s="328" t="s">
        <v>59</v>
      </c>
      <c r="E356" s="258" t="s">
        <v>48</v>
      </c>
      <c r="F356" s="431">
        <v>1</v>
      </c>
      <c r="G356" s="259">
        <f t="shared" si="224"/>
        <v>128007</v>
      </c>
      <c r="H356" s="259">
        <f t="shared" si="225"/>
        <v>75023</v>
      </c>
      <c r="I356" s="259">
        <f t="shared" si="226"/>
        <v>203030</v>
      </c>
      <c r="J356" s="260">
        <f t="shared" si="227"/>
        <v>36225981</v>
      </c>
      <c r="K356" s="260">
        <f t="shared" si="228"/>
        <v>21231509</v>
      </c>
      <c r="L356" s="260">
        <f t="shared" si="229"/>
        <v>57457490</v>
      </c>
      <c r="M356" s="432">
        <v>1</v>
      </c>
      <c r="N356" s="348">
        <f t="shared" si="230"/>
        <v>114282</v>
      </c>
      <c r="O356" s="348">
        <f t="shared" si="231"/>
        <v>36432</v>
      </c>
      <c r="P356" s="348">
        <f t="shared" si="232"/>
        <v>150714</v>
      </c>
      <c r="Q356" s="349">
        <f t="shared" si="233"/>
        <v>32341806</v>
      </c>
      <c r="R356" s="349">
        <f t="shared" si="234"/>
        <v>10310256</v>
      </c>
      <c r="S356" s="349">
        <f t="shared" si="235"/>
        <v>42652062</v>
      </c>
      <c r="T356" s="431">
        <v>1</v>
      </c>
      <c r="U356" s="259">
        <f t="shared" si="236"/>
        <v>87048</v>
      </c>
      <c r="V356" s="259">
        <f t="shared" si="237"/>
        <v>26036</v>
      </c>
      <c r="W356" s="259">
        <f t="shared" si="238"/>
        <v>113084</v>
      </c>
      <c r="X356" s="260">
        <f t="shared" si="239"/>
        <v>24634584</v>
      </c>
      <c r="Y356" s="260">
        <f t="shared" si="240"/>
        <v>7368188</v>
      </c>
      <c r="Z356" s="260">
        <f t="shared" si="241"/>
        <v>32002772</v>
      </c>
      <c r="AA356" s="258">
        <v>1</v>
      </c>
      <c r="AB356" s="261">
        <f t="shared" si="242"/>
        <v>4122</v>
      </c>
      <c r="AC356" s="261">
        <v>0</v>
      </c>
      <c r="AD356" s="261">
        <f t="shared" si="243"/>
        <v>4122</v>
      </c>
      <c r="AE356" s="262">
        <f t="shared" si="244"/>
        <v>1166526</v>
      </c>
      <c r="AF356" s="262">
        <v>0</v>
      </c>
      <c r="AG356" s="262">
        <f t="shared" si="245"/>
        <v>1166526</v>
      </c>
      <c r="AH356" s="353">
        <v>1</v>
      </c>
      <c r="AI356" s="259">
        <f t="shared" si="246"/>
        <v>4536</v>
      </c>
      <c r="AJ356" s="259">
        <v>0</v>
      </c>
      <c r="AK356" s="259">
        <f t="shared" si="247"/>
        <v>4536</v>
      </c>
      <c r="AL356" s="260">
        <f t="shared" si="248"/>
        <v>1283688</v>
      </c>
      <c r="AM356" s="260">
        <v>0</v>
      </c>
      <c r="AN356" s="260">
        <f t="shared" si="249"/>
        <v>1283688</v>
      </c>
      <c r="AO356" s="457">
        <f t="shared" si="250"/>
        <v>475486</v>
      </c>
      <c r="AP356" s="456">
        <f t="shared" si="251"/>
        <v>134562538</v>
      </c>
      <c r="AQ356" s="263" t="e">
        <f>#REF!+AH356+AA356+T356+M356</f>
        <v>#REF!</v>
      </c>
      <c r="AR356" s="263">
        <f t="shared" si="210"/>
        <v>134772526</v>
      </c>
      <c r="AS356" s="263" t="e">
        <f t="shared" si="211"/>
        <v>#REF!</v>
      </c>
      <c r="AT356" s="263">
        <f t="shared" si="212"/>
        <v>135044982</v>
      </c>
      <c r="AU356" s="263" t="e">
        <f t="shared" si="213"/>
        <v>#REF!</v>
      </c>
      <c r="AV356" s="263">
        <f t="shared" si="214"/>
        <v>152723426</v>
      </c>
      <c r="AW356" s="263" t="e">
        <f t="shared" si="215"/>
        <v>#REF!</v>
      </c>
      <c r="AX356" s="263" t="e">
        <f>AV356+#REF!+AH356+AA356+T356</f>
        <v>#REF!</v>
      </c>
      <c r="AY356" s="263" t="e">
        <f t="shared" si="216"/>
        <v>#REF!</v>
      </c>
      <c r="AZ356" s="263" t="e">
        <f t="shared" si="217"/>
        <v>#REF!</v>
      </c>
      <c r="BA356" s="263" t="e">
        <f t="shared" si="218"/>
        <v>#REF!</v>
      </c>
      <c r="BB356" s="263" t="e">
        <f t="shared" si="219"/>
        <v>#REF!</v>
      </c>
      <c r="BC356" s="263" t="e">
        <f t="shared" si="220"/>
        <v>#REF!</v>
      </c>
      <c r="BD356" s="263" t="e">
        <f t="shared" si="221"/>
        <v>#REF!</v>
      </c>
      <c r="BE356" s="263" t="e">
        <f>BC356+AV356+#REF!+AH356+AA356</f>
        <v>#REF!</v>
      </c>
      <c r="BF356" s="263" t="e">
        <f t="shared" si="222"/>
        <v>#REF!</v>
      </c>
      <c r="BG356" s="263" t="e">
        <f t="shared" si="223"/>
        <v>#REF!</v>
      </c>
    </row>
    <row r="357" spans="1:59" ht="15.75">
      <c r="A357" s="338">
        <v>27</v>
      </c>
      <c r="B357" s="338" t="s">
        <v>1</v>
      </c>
      <c r="C357" s="258">
        <v>36</v>
      </c>
      <c r="D357" s="328" t="s">
        <v>1340</v>
      </c>
      <c r="E357" s="258" t="s">
        <v>9</v>
      </c>
      <c r="F357" s="431">
        <f t="array" ref="F357">MAX((IF(MNU_CODIGO_ALIMENTO_ENTREGA=CONCATENATE($C357,"_","P_"),MNU_GRAMAJE_REQUERIDO_TIPOA,"")))</f>
        <v>20</v>
      </c>
      <c r="G357" s="259">
        <f t="shared" si="224"/>
        <v>33187</v>
      </c>
      <c r="H357" s="259">
        <f t="shared" si="225"/>
        <v>20696</v>
      </c>
      <c r="I357" s="259">
        <f t="shared" si="226"/>
        <v>53883</v>
      </c>
      <c r="J357" s="260">
        <f t="shared" si="227"/>
        <v>4380684</v>
      </c>
      <c r="K357" s="260">
        <f t="shared" si="228"/>
        <v>2731872</v>
      </c>
      <c r="L357" s="260">
        <f t="shared" si="229"/>
        <v>7112556</v>
      </c>
      <c r="M357" s="432">
        <f t="array" ref="M357">MAX((IF(MNU_CODIGO_ALIMENTO_ENTREGA=CONCATENATE($C357,"_","P_"),MNU_GRAMAJE_REQUERIDO_TIPOB,"")))</f>
        <v>40</v>
      </c>
      <c r="N357" s="348">
        <f t="shared" si="230"/>
        <v>44443</v>
      </c>
      <c r="O357" s="348">
        <f t="shared" si="231"/>
        <v>12672</v>
      </c>
      <c r="P357" s="348">
        <f t="shared" si="232"/>
        <v>57115</v>
      </c>
      <c r="Q357" s="349">
        <f t="shared" si="233"/>
        <v>11777395</v>
      </c>
      <c r="R357" s="349">
        <f t="shared" si="234"/>
        <v>3358080</v>
      </c>
      <c r="S357" s="349">
        <f t="shared" si="235"/>
        <v>15135475</v>
      </c>
      <c r="T357" s="353">
        <f t="array" ref="T357">MAX((IF(MNU_CODIGO_ALIMENTO_ENTREGA=CONCATENATE($C357,"_","P_"),MNU_GRAMAJE_REQUERIDO_TIPOC,"")))</f>
        <v>40</v>
      </c>
      <c r="U357" s="259">
        <f t="shared" si="236"/>
        <v>33852</v>
      </c>
      <c r="V357" s="259">
        <f t="shared" si="237"/>
        <v>9056</v>
      </c>
      <c r="W357" s="259">
        <f t="shared" si="238"/>
        <v>42908</v>
      </c>
      <c r="X357" s="260">
        <f t="shared" si="239"/>
        <v>8970780</v>
      </c>
      <c r="Y357" s="260">
        <f t="shared" si="240"/>
        <v>2399840</v>
      </c>
      <c r="Z357" s="260">
        <f t="shared" si="241"/>
        <v>11370620</v>
      </c>
      <c r="AA357" s="258">
        <f t="array" ref="AA357">MAX((IF(MNU_CODIGO_ALIMENTO_ENTREGA=CONCATENATE($C357,"_","P_"),MNU_GRAMAJE_REQUERIDO_TIPOM,"")))</f>
        <v>40</v>
      </c>
      <c r="AB357" s="261">
        <f t="shared" si="242"/>
        <v>1603</v>
      </c>
      <c r="AC357" s="261">
        <v>0</v>
      </c>
      <c r="AD357" s="261">
        <f t="shared" si="243"/>
        <v>1603</v>
      </c>
      <c r="AE357" s="262">
        <f t="shared" si="244"/>
        <v>424795</v>
      </c>
      <c r="AF357" s="262">
        <v>0</v>
      </c>
      <c r="AG357" s="262">
        <f t="shared" si="245"/>
        <v>424795</v>
      </c>
      <c r="AH357" s="353">
        <f t="array" ref="AH357">MAX((IF(MNU_CODIGO_ALIMENTO_ENTREGA=CONCATENATE($C357,"_","P_"),MNU_GRAMAJE_REQUERIDO_TIPOH,"")))</f>
        <v>40</v>
      </c>
      <c r="AI357" s="259">
        <f t="shared" si="246"/>
        <v>1764</v>
      </c>
      <c r="AJ357" s="259">
        <v>0</v>
      </c>
      <c r="AK357" s="259">
        <f t="shared" si="247"/>
        <v>1764</v>
      </c>
      <c r="AL357" s="260">
        <f t="shared" si="248"/>
        <v>467460</v>
      </c>
      <c r="AM357" s="260">
        <v>0</v>
      </c>
      <c r="AN357" s="260">
        <f t="shared" si="249"/>
        <v>467460</v>
      </c>
      <c r="AO357" s="457">
        <f t="shared" si="250"/>
        <v>157273</v>
      </c>
      <c r="AP357" s="456">
        <f t="shared" si="251"/>
        <v>34510906</v>
      </c>
      <c r="AQ357" s="263" t="e">
        <f>#REF!+AH357+AA357+T357+M357</f>
        <v>#REF!</v>
      </c>
      <c r="AR357" s="263">
        <f t="shared" si="210"/>
        <v>34592568</v>
      </c>
      <c r="AS357" s="263" t="e">
        <f t="shared" si="211"/>
        <v>#REF!</v>
      </c>
      <c r="AT357" s="263">
        <f t="shared" si="212"/>
        <v>34695958</v>
      </c>
      <c r="AU357" s="263" t="e">
        <f t="shared" si="213"/>
        <v>#REF!</v>
      </c>
      <c r="AV357" s="263">
        <f t="shared" si="214"/>
        <v>40453878</v>
      </c>
      <c r="AW357" s="263" t="e">
        <f t="shared" si="215"/>
        <v>#REF!</v>
      </c>
      <c r="AX357" s="263" t="e">
        <f>AV357+#REF!+AH357+AA357+T357</f>
        <v>#REF!</v>
      </c>
      <c r="AY357" s="263" t="e">
        <f t="shared" si="216"/>
        <v>#REF!</v>
      </c>
      <c r="AZ357" s="263" t="e">
        <f t="shared" si="217"/>
        <v>#REF!</v>
      </c>
      <c r="BA357" s="263" t="e">
        <f t="shared" si="218"/>
        <v>#REF!</v>
      </c>
      <c r="BB357" s="263" t="e">
        <f t="shared" si="219"/>
        <v>#REF!</v>
      </c>
      <c r="BC357" s="263" t="e">
        <f t="shared" si="220"/>
        <v>#REF!</v>
      </c>
      <c r="BD357" s="263" t="e">
        <f t="shared" si="221"/>
        <v>#REF!</v>
      </c>
      <c r="BE357" s="263" t="e">
        <f>BC357+AV357+#REF!+AH357+AA357</f>
        <v>#REF!</v>
      </c>
      <c r="BF357" s="263" t="e">
        <f t="shared" si="222"/>
        <v>#REF!</v>
      </c>
      <c r="BG357" s="263" t="e">
        <f t="shared" si="223"/>
        <v>#REF!</v>
      </c>
    </row>
    <row r="358" spans="1:59" ht="15.75">
      <c r="A358" s="338">
        <v>27</v>
      </c>
      <c r="B358" s="338" t="s">
        <v>1</v>
      </c>
      <c r="C358" s="258">
        <v>42</v>
      </c>
      <c r="D358" s="328" t="s">
        <v>61</v>
      </c>
      <c r="E358" s="258" t="s">
        <v>9</v>
      </c>
      <c r="F358" s="431">
        <f t="array" ref="F358">MAX((IF(MNU_CODIGO_ALIMENTO_ENTREGA=CONCATENATE($C358,"_","P_"),MNU_GRAMAJE_REQUERIDO_TIPOA,"")))</f>
        <v>100</v>
      </c>
      <c r="G358" s="259">
        <f t="shared" si="224"/>
        <v>109043</v>
      </c>
      <c r="H358" s="259">
        <f t="shared" si="225"/>
        <v>93132</v>
      </c>
      <c r="I358" s="259">
        <f t="shared" si="226"/>
        <v>202175</v>
      </c>
      <c r="J358" s="260">
        <f t="shared" si="227"/>
        <v>22244772</v>
      </c>
      <c r="K358" s="260">
        <f t="shared" si="228"/>
        <v>18998928</v>
      </c>
      <c r="L358" s="260">
        <f t="shared" si="229"/>
        <v>41243700</v>
      </c>
      <c r="M358" s="432">
        <f t="array" ref="M358">MAX((IF(MNU_CODIGO_ALIMENTO_ENTREGA=CONCATENATE($C358,"_","P_"),MNU_GRAMAJE_REQUERIDO_TIPOB,"")))</f>
        <v>100</v>
      </c>
      <c r="N358" s="348">
        <f t="shared" si="230"/>
        <v>120631</v>
      </c>
      <c r="O358" s="348">
        <f t="shared" si="231"/>
        <v>30096</v>
      </c>
      <c r="P358" s="348">
        <f t="shared" si="232"/>
        <v>150727</v>
      </c>
      <c r="Q358" s="349">
        <f t="shared" si="233"/>
        <v>24608724</v>
      </c>
      <c r="R358" s="349">
        <f t="shared" si="234"/>
        <v>6139584</v>
      </c>
      <c r="S358" s="349">
        <f t="shared" si="235"/>
        <v>30748308</v>
      </c>
      <c r="T358" s="353">
        <f t="array" ref="T358">MAX((IF(MNU_CODIGO_ALIMENTO_ENTREGA=CONCATENATE($C358,"_","P_"),MNU_GRAMAJE_REQUERIDO_TIPOC,"")))</f>
        <v>100</v>
      </c>
      <c r="U358" s="259">
        <f t="shared" si="236"/>
        <v>91884</v>
      </c>
      <c r="V358" s="259">
        <f t="shared" si="237"/>
        <v>21508</v>
      </c>
      <c r="W358" s="259">
        <f t="shared" si="238"/>
        <v>113392</v>
      </c>
      <c r="X358" s="260">
        <f t="shared" si="239"/>
        <v>18744336</v>
      </c>
      <c r="Y358" s="260">
        <f t="shared" si="240"/>
        <v>4387632</v>
      </c>
      <c r="Z358" s="260">
        <f t="shared" si="241"/>
        <v>23131968</v>
      </c>
      <c r="AA358" s="258">
        <f t="array" ref="AA358">MAX((IF(MNU_CODIGO_ALIMENTO_ENTREGA=CONCATENATE($C358,"_","P_"),MNU_GRAMAJE_REQUERIDO_TIPOM,"")))</f>
        <v>100</v>
      </c>
      <c r="AB358" s="261">
        <f t="shared" si="242"/>
        <v>4351</v>
      </c>
      <c r="AC358" s="261">
        <v>0</v>
      </c>
      <c r="AD358" s="261">
        <f t="shared" si="243"/>
        <v>4351</v>
      </c>
      <c r="AE358" s="262">
        <f t="shared" si="244"/>
        <v>887604</v>
      </c>
      <c r="AF358" s="262">
        <v>0</v>
      </c>
      <c r="AG358" s="262">
        <f t="shared" si="245"/>
        <v>887604</v>
      </c>
      <c r="AH358" s="353">
        <f t="array" ref="AH358">MAX((IF(MNU_CODIGO_ALIMENTO_ENTREGA=CONCATENATE($C358,"_","P_"),MNU_GRAMAJE_REQUERIDO_TIPOH,"")))</f>
        <v>100</v>
      </c>
      <c r="AI358" s="259">
        <f t="shared" si="246"/>
        <v>4788</v>
      </c>
      <c r="AJ358" s="259">
        <v>0</v>
      </c>
      <c r="AK358" s="259">
        <f t="shared" si="247"/>
        <v>4788</v>
      </c>
      <c r="AL358" s="260">
        <f t="shared" si="248"/>
        <v>976752</v>
      </c>
      <c r="AM358" s="260">
        <v>0</v>
      </c>
      <c r="AN358" s="260">
        <f t="shared" si="249"/>
        <v>976752</v>
      </c>
      <c r="AO358" s="457">
        <f t="shared" si="250"/>
        <v>475433</v>
      </c>
      <c r="AP358" s="456">
        <f t="shared" si="251"/>
        <v>96988332</v>
      </c>
      <c r="AQ358" s="263" t="e">
        <f>#REF!+AH358+AA358+T358+M358</f>
        <v>#REF!</v>
      </c>
      <c r="AR358" s="263">
        <f t="shared" si="210"/>
        <v>97209986</v>
      </c>
      <c r="AS358" s="263" t="e">
        <f t="shared" si="211"/>
        <v>#REF!</v>
      </c>
      <c r="AT358" s="263">
        <f t="shared" si="212"/>
        <v>97483244</v>
      </c>
      <c r="AU358" s="263" t="e">
        <f t="shared" si="213"/>
        <v>#REF!</v>
      </c>
      <c r="AV358" s="263">
        <f t="shared" si="214"/>
        <v>108010460</v>
      </c>
      <c r="AW358" s="263" t="e">
        <f t="shared" si="215"/>
        <v>#REF!</v>
      </c>
      <c r="AX358" s="263" t="e">
        <f>AV358+#REF!+AH358+AA358+T358</f>
        <v>#REF!</v>
      </c>
      <c r="AY358" s="263" t="e">
        <f t="shared" si="216"/>
        <v>#REF!</v>
      </c>
      <c r="AZ358" s="263" t="e">
        <f t="shared" si="217"/>
        <v>#REF!</v>
      </c>
      <c r="BA358" s="263" t="e">
        <f t="shared" si="218"/>
        <v>#REF!</v>
      </c>
      <c r="BB358" s="263" t="e">
        <f t="shared" si="219"/>
        <v>#REF!</v>
      </c>
      <c r="BC358" s="263" t="e">
        <f t="shared" si="220"/>
        <v>#REF!</v>
      </c>
      <c r="BD358" s="263" t="e">
        <f t="shared" si="221"/>
        <v>#REF!</v>
      </c>
      <c r="BE358" s="263" t="e">
        <f>BC358+AV358+#REF!+AH358+AA358</f>
        <v>#REF!</v>
      </c>
      <c r="BF358" s="263" t="e">
        <f t="shared" si="222"/>
        <v>#REF!</v>
      </c>
      <c r="BG358" s="263" t="e">
        <f t="shared" si="223"/>
        <v>#REF!</v>
      </c>
    </row>
    <row r="359" spans="1:59" ht="15.75">
      <c r="A359" s="338">
        <v>27</v>
      </c>
      <c r="B359" s="338" t="s">
        <v>1</v>
      </c>
      <c r="C359" s="258">
        <v>43</v>
      </c>
      <c r="D359" s="328" t="s">
        <v>62</v>
      </c>
      <c r="E359" s="258" t="s">
        <v>9</v>
      </c>
      <c r="F359" s="431">
        <f t="array" ref="F359">MAX((IF(MNU_CODIGO_ALIMENTO_ENTREGA=CONCATENATE($C359,"_","P_"),MNU_GRAMAJE_REQUERIDO_TIPOA,"")))</f>
        <v>100</v>
      </c>
      <c r="G359" s="259">
        <f t="shared" si="224"/>
        <v>113784</v>
      </c>
      <c r="H359" s="259">
        <f t="shared" si="225"/>
        <v>75023</v>
      </c>
      <c r="I359" s="259">
        <f t="shared" si="226"/>
        <v>188807</v>
      </c>
      <c r="J359" s="260">
        <f t="shared" si="227"/>
        <v>20253552</v>
      </c>
      <c r="K359" s="260">
        <f t="shared" si="228"/>
        <v>13354094</v>
      </c>
      <c r="L359" s="260">
        <f t="shared" si="229"/>
        <v>33607646</v>
      </c>
      <c r="M359" s="432">
        <f t="array" ref="M359">MAX((IF(MNU_CODIGO_ALIMENTO_ENTREGA=CONCATENATE($C359,"_","P_"),MNU_GRAMAJE_REQUERIDO_TIPOB,"")))</f>
        <v>100</v>
      </c>
      <c r="N359" s="348">
        <f t="shared" si="230"/>
        <v>107933</v>
      </c>
      <c r="O359" s="348">
        <f t="shared" si="231"/>
        <v>36432</v>
      </c>
      <c r="P359" s="348">
        <f t="shared" si="232"/>
        <v>144365</v>
      </c>
      <c r="Q359" s="349">
        <f t="shared" si="233"/>
        <v>19212074</v>
      </c>
      <c r="R359" s="349">
        <f t="shared" si="234"/>
        <v>6484896</v>
      </c>
      <c r="S359" s="349">
        <f t="shared" si="235"/>
        <v>25696970</v>
      </c>
      <c r="T359" s="353">
        <f t="array" ref="T359">MAX((IF(MNU_CODIGO_ALIMENTO_ENTREGA=CONCATENATE($C359,"_","P_"),MNU_GRAMAJE_REQUERIDO_TIPOC,"")))</f>
        <v>100</v>
      </c>
      <c r="U359" s="259">
        <f t="shared" si="236"/>
        <v>82212</v>
      </c>
      <c r="V359" s="259">
        <f t="shared" si="237"/>
        <v>26036</v>
      </c>
      <c r="W359" s="259">
        <f t="shared" si="238"/>
        <v>108248</v>
      </c>
      <c r="X359" s="260">
        <f t="shared" si="239"/>
        <v>14633736</v>
      </c>
      <c r="Y359" s="260">
        <f t="shared" si="240"/>
        <v>4634408</v>
      </c>
      <c r="Z359" s="260">
        <f t="shared" si="241"/>
        <v>19268144</v>
      </c>
      <c r="AA359" s="258">
        <f t="array" ref="AA359">MAX((IF(MNU_CODIGO_ALIMENTO_ENTREGA=CONCATENATE($C359,"_","P_"),MNU_GRAMAJE_REQUERIDO_TIPOM,"")))</f>
        <v>100</v>
      </c>
      <c r="AB359" s="261">
        <f t="shared" si="242"/>
        <v>3893</v>
      </c>
      <c r="AC359" s="261">
        <v>0</v>
      </c>
      <c r="AD359" s="261">
        <f t="shared" si="243"/>
        <v>3893</v>
      </c>
      <c r="AE359" s="262">
        <f t="shared" si="244"/>
        <v>692954</v>
      </c>
      <c r="AF359" s="262">
        <v>0</v>
      </c>
      <c r="AG359" s="262">
        <f t="shared" si="245"/>
        <v>692954</v>
      </c>
      <c r="AH359" s="353">
        <f t="array" ref="AH359">MAX((IF(MNU_CODIGO_ALIMENTO_ENTREGA=CONCATENATE($C359,"_","P_"),MNU_GRAMAJE_REQUERIDO_TIPOH,"")))</f>
        <v>100</v>
      </c>
      <c r="AI359" s="259">
        <f t="shared" si="246"/>
        <v>4284</v>
      </c>
      <c r="AJ359" s="259">
        <v>0</v>
      </c>
      <c r="AK359" s="259">
        <f t="shared" si="247"/>
        <v>4284</v>
      </c>
      <c r="AL359" s="260">
        <f t="shared" si="248"/>
        <v>762552</v>
      </c>
      <c r="AM359" s="260">
        <v>0</v>
      </c>
      <c r="AN359" s="260">
        <f t="shared" si="249"/>
        <v>762552</v>
      </c>
      <c r="AO359" s="457">
        <f t="shared" si="250"/>
        <v>449597</v>
      </c>
      <c r="AP359" s="456">
        <f t="shared" si="251"/>
        <v>80028266</v>
      </c>
      <c r="AQ359" s="263" t="e">
        <f>#REF!+AH359+AA359+T359+M359</f>
        <v>#REF!</v>
      </c>
      <c r="AR359" s="263">
        <f t="shared" si="210"/>
        <v>80226588</v>
      </c>
      <c r="AS359" s="263" t="e">
        <f t="shared" si="211"/>
        <v>#REF!</v>
      </c>
      <c r="AT359" s="263">
        <f t="shared" si="212"/>
        <v>80487378</v>
      </c>
      <c r="AU359" s="263" t="e">
        <f t="shared" si="213"/>
        <v>#REF!</v>
      </c>
      <c r="AV359" s="263">
        <f t="shared" si="214"/>
        <v>91606682</v>
      </c>
      <c r="AW359" s="263" t="e">
        <f t="shared" si="215"/>
        <v>#REF!</v>
      </c>
      <c r="AX359" s="263" t="e">
        <f>AV359+#REF!+AH359+AA359+T359</f>
        <v>#REF!</v>
      </c>
      <c r="AY359" s="263" t="e">
        <f t="shared" si="216"/>
        <v>#REF!</v>
      </c>
      <c r="AZ359" s="263" t="e">
        <f t="shared" si="217"/>
        <v>#REF!</v>
      </c>
      <c r="BA359" s="263" t="e">
        <f t="shared" si="218"/>
        <v>#REF!</v>
      </c>
      <c r="BB359" s="263" t="e">
        <f t="shared" si="219"/>
        <v>#REF!</v>
      </c>
      <c r="BC359" s="263" t="e">
        <f t="shared" si="220"/>
        <v>#REF!</v>
      </c>
      <c r="BD359" s="263" t="e">
        <f t="shared" si="221"/>
        <v>#REF!</v>
      </c>
      <c r="BE359" s="263" t="e">
        <f>BC359+AV359+#REF!+AH359+AA359</f>
        <v>#REF!</v>
      </c>
      <c r="BF359" s="263" t="e">
        <f t="shared" si="222"/>
        <v>#REF!</v>
      </c>
      <c r="BG359" s="263" t="e">
        <f t="shared" si="223"/>
        <v>#REF!</v>
      </c>
    </row>
    <row r="360" spans="1:59" ht="15.75">
      <c r="A360" s="338">
        <v>27</v>
      </c>
      <c r="B360" s="338" t="s">
        <v>1</v>
      </c>
      <c r="C360" s="258">
        <v>46</v>
      </c>
      <c r="D360" s="328" t="s">
        <v>64</v>
      </c>
      <c r="E360" s="258" t="s">
        <v>9</v>
      </c>
      <c r="F360" s="431">
        <f t="array" ref="F360">MAX((IF(MNU_CODIGO_ALIMENTO_ENTREGA=CONCATENATE($C360,"_","P_"),MNU_GRAMAJE_REQUERIDO_TIPOA,"")))</f>
        <v>100</v>
      </c>
      <c r="G360" s="259">
        <f t="shared" si="224"/>
        <v>142230</v>
      </c>
      <c r="H360" s="259">
        <f t="shared" si="225"/>
        <v>75023</v>
      </c>
      <c r="I360" s="259">
        <f t="shared" si="226"/>
        <v>217253</v>
      </c>
      <c r="J360" s="260">
        <f t="shared" si="227"/>
        <v>59452140</v>
      </c>
      <c r="K360" s="260">
        <f t="shared" si="228"/>
        <v>31359614</v>
      </c>
      <c r="L360" s="260">
        <f t="shared" si="229"/>
        <v>90811754</v>
      </c>
      <c r="M360" s="432">
        <f t="array" ref="M360">MAX((IF(MNU_CODIGO_ALIMENTO_ENTREGA=CONCATENATE($C360,"_","P_"),MNU_GRAMAJE_REQUERIDO_TIPOB,"")))</f>
        <v>100</v>
      </c>
      <c r="N360" s="348">
        <f t="shared" si="230"/>
        <v>133329</v>
      </c>
      <c r="O360" s="348">
        <f t="shared" si="231"/>
        <v>38016</v>
      </c>
      <c r="P360" s="348">
        <f t="shared" si="232"/>
        <v>171345</v>
      </c>
      <c r="Q360" s="349">
        <f t="shared" si="233"/>
        <v>55731522</v>
      </c>
      <c r="R360" s="349">
        <f t="shared" si="234"/>
        <v>15890688</v>
      </c>
      <c r="S360" s="349">
        <f t="shared" si="235"/>
        <v>71622210</v>
      </c>
      <c r="T360" s="353">
        <f t="array" ref="T360">MAX((IF(MNU_CODIGO_ALIMENTO_ENTREGA=CONCATENATE($C360,"_","P_"),MNU_GRAMAJE_REQUERIDO_TIPOC,"")))</f>
        <v>100</v>
      </c>
      <c r="U360" s="259">
        <f t="shared" si="236"/>
        <v>101556</v>
      </c>
      <c r="V360" s="259">
        <f t="shared" si="237"/>
        <v>27168</v>
      </c>
      <c r="W360" s="259">
        <f t="shared" si="238"/>
        <v>128724</v>
      </c>
      <c r="X360" s="260">
        <f t="shared" si="239"/>
        <v>42450408</v>
      </c>
      <c r="Y360" s="260">
        <f t="shared" si="240"/>
        <v>11356224</v>
      </c>
      <c r="Z360" s="260">
        <f t="shared" si="241"/>
        <v>53806632</v>
      </c>
      <c r="AA360" s="258">
        <f t="array" ref="AA360">MAX((IF(MNU_CODIGO_ALIMENTO_ENTREGA=CONCATENATE($C360,"_","P_"),MNU_GRAMAJE_REQUERIDO_TIPOM,"")))</f>
        <v>100</v>
      </c>
      <c r="AB360" s="261">
        <f t="shared" si="242"/>
        <v>4809</v>
      </c>
      <c r="AC360" s="261">
        <v>0</v>
      </c>
      <c r="AD360" s="261">
        <f t="shared" si="243"/>
        <v>4809</v>
      </c>
      <c r="AE360" s="262">
        <f t="shared" si="244"/>
        <v>2010162</v>
      </c>
      <c r="AF360" s="262">
        <v>0</v>
      </c>
      <c r="AG360" s="262">
        <f t="shared" si="245"/>
        <v>2010162</v>
      </c>
      <c r="AH360" s="353">
        <f t="array" ref="AH360">MAX((IF(MNU_CODIGO_ALIMENTO_ENTREGA=CONCATENATE($C360,"_","P_"),MNU_GRAMAJE_REQUERIDO_TIPOH,"")))</f>
        <v>100</v>
      </c>
      <c r="AI360" s="259">
        <f t="shared" si="246"/>
        <v>5292</v>
      </c>
      <c r="AJ360" s="259">
        <v>0</v>
      </c>
      <c r="AK360" s="259">
        <f t="shared" si="247"/>
        <v>5292</v>
      </c>
      <c r="AL360" s="260">
        <f t="shared" si="248"/>
        <v>2212056</v>
      </c>
      <c r="AM360" s="260">
        <v>0</v>
      </c>
      <c r="AN360" s="260">
        <f t="shared" si="249"/>
        <v>2212056</v>
      </c>
      <c r="AO360" s="457">
        <f t="shared" si="250"/>
        <v>527423</v>
      </c>
      <c r="AP360" s="456">
        <f t="shared" si="251"/>
        <v>220462814</v>
      </c>
      <c r="AQ360" s="263" t="e">
        <f>#REF!+AH360+AA360+T360+M360</f>
        <v>#REF!</v>
      </c>
      <c r="AR360" s="263">
        <f t="shared" si="210"/>
        <v>220707800</v>
      </c>
      <c r="AS360" s="263" t="e">
        <f t="shared" si="211"/>
        <v>#REF!</v>
      </c>
      <c r="AT360" s="263">
        <f t="shared" si="212"/>
        <v>221017970</v>
      </c>
      <c r="AU360" s="263" t="e">
        <f t="shared" si="213"/>
        <v>#REF!</v>
      </c>
      <c r="AV360" s="263">
        <f t="shared" si="214"/>
        <v>248264882</v>
      </c>
      <c r="AW360" s="263" t="e">
        <f t="shared" si="215"/>
        <v>#REF!</v>
      </c>
      <c r="AX360" s="263" t="e">
        <f>AV360+#REF!+AH360+AA360+T360</f>
        <v>#REF!</v>
      </c>
      <c r="AY360" s="263" t="e">
        <f t="shared" si="216"/>
        <v>#REF!</v>
      </c>
      <c r="AZ360" s="263" t="e">
        <f t="shared" si="217"/>
        <v>#REF!</v>
      </c>
      <c r="BA360" s="263" t="e">
        <f t="shared" si="218"/>
        <v>#REF!</v>
      </c>
      <c r="BB360" s="263" t="e">
        <f t="shared" si="219"/>
        <v>#REF!</v>
      </c>
      <c r="BC360" s="263" t="e">
        <f t="shared" si="220"/>
        <v>#REF!</v>
      </c>
      <c r="BD360" s="263" t="e">
        <f t="shared" si="221"/>
        <v>#REF!</v>
      </c>
      <c r="BE360" s="263" t="e">
        <f>BC360+AV360+#REF!+AH360+AA360</f>
        <v>#REF!</v>
      </c>
      <c r="BF360" s="263" t="e">
        <f t="shared" si="222"/>
        <v>#REF!</v>
      </c>
      <c r="BG360" s="263" t="e">
        <f t="shared" si="223"/>
        <v>#REF!</v>
      </c>
    </row>
    <row r="361" spans="1:59" ht="15.75">
      <c r="A361" s="338">
        <v>27</v>
      </c>
      <c r="B361" s="338" t="s">
        <v>1</v>
      </c>
      <c r="C361" s="258">
        <v>58</v>
      </c>
      <c r="D361" s="328" t="s">
        <v>67</v>
      </c>
      <c r="E361" s="258" t="s">
        <v>9</v>
      </c>
      <c r="F361" s="431">
        <f t="array" ref="F361">MAX((IF(MNU_CODIGO_ALIMENTO_ENTREGA=CONCATENATE($C361,"_","P_"),MNU_GRAMAJE_REQUERIDO_TIPOA,"")))</f>
        <v>100</v>
      </c>
      <c r="G361" s="259">
        <f t="shared" si="224"/>
        <v>113784</v>
      </c>
      <c r="H361" s="259">
        <f t="shared" si="225"/>
        <v>72436</v>
      </c>
      <c r="I361" s="259">
        <f t="shared" si="226"/>
        <v>186220</v>
      </c>
      <c r="J361" s="260">
        <f t="shared" si="227"/>
        <v>18433008</v>
      </c>
      <c r="K361" s="260">
        <f t="shared" si="228"/>
        <v>11734632</v>
      </c>
      <c r="L361" s="260">
        <f t="shared" si="229"/>
        <v>30167640</v>
      </c>
      <c r="M361" s="432">
        <f t="array" ref="M361">MAX((IF(MNU_CODIGO_ALIMENTO_ENTREGA=CONCATENATE($C361,"_","P_"),MNU_GRAMAJE_REQUERIDO_TIPOB,"")))</f>
        <v>100</v>
      </c>
      <c r="N361" s="348">
        <f t="shared" si="230"/>
        <v>146027</v>
      </c>
      <c r="O361" s="348">
        <f t="shared" si="231"/>
        <v>36432</v>
      </c>
      <c r="P361" s="348">
        <f t="shared" si="232"/>
        <v>182459</v>
      </c>
      <c r="Q361" s="349">
        <f t="shared" si="233"/>
        <v>23656374</v>
      </c>
      <c r="R361" s="349">
        <f t="shared" si="234"/>
        <v>5901984</v>
      </c>
      <c r="S361" s="349">
        <f t="shared" si="235"/>
        <v>29558358</v>
      </c>
      <c r="T361" s="353">
        <f t="array" ref="T361">MAX((IF(MNU_CODIGO_ALIMENTO_ENTREGA=CONCATENATE($C361,"_","P_"),MNU_GRAMAJE_REQUERIDO_TIPOC,"")))</f>
        <v>100</v>
      </c>
      <c r="U361" s="259">
        <f t="shared" si="236"/>
        <v>111228</v>
      </c>
      <c r="V361" s="259">
        <f t="shared" si="237"/>
        <v>26036</v>
      </c>
      <c r="W361" s="259">
        <f t="shared" si="238"/>
        <v>137264</v>
      </c>
      <c r="X361" s="260">
        <f t="shared" si="239"/>
        <v>18018936</v>
      </c>
      <c r="Y361" s="260">
        <f t="shared" si="240"/>
        <v>4217832</v>
      </c>
      <c r="Z361" s="260">
        <f t="shared" si="241"/>
        <v>22236768</v>
      </c>
      <c r="AA361" s="258">
        <f t="array" ref="AA361">MAX((IF(MNU_CODIGO_ALIMENTO_ENTREGA=CONCATENATE($C361,"_","P_"),MNU_GRAMAJE_REQUERIDO_TIPOM,"")))</f>
        <v>100</v>
      </c>
      <c r="AB361" s="261">
        <f t="shared" si="242"/>
        <v>5267</v>
      </c>
      <c r="AC361" s="261">
        <v>0</v>
      </c>
      <c r="AD361" s="261">
        <f t="shared" si="243"/>
        <v>5267</v>
      </c>
      <c r="AE361" s="262">
        <f t="shared" si="244"/>
        <v>853254</v>
      </c>
      <c r="AF361" s="262">
        <v>0</v>
      </c>
      <c r="AG361" s="262">
        <f t="shared" si="245"/>
        <v>853254</v>
      </c>
      <c r="AH361" s="353">
        <f t="array" ref="AH361">MAX((IF(MNU_CODIGO_ALIMENTO_ENTREGA=CONCATENATE($C361,"_","P_"),MNU_GRAMAJE_REQUERIDO_TIPOH,"")))</f>
        <v>100</v>
      </c>
      <c r="AI361" s="259">
        <f t="shared" si="246"/>
        <v>5796</v>
      </c>
      <c r="AJ361" s="259">
        <v>0</v>
      </c>
      <c r="AK361" s="259">
        <f t="shared" si="247"/>
        <v>5796</v>
      </c>
      <c r="AL361" s="260">
        <f t="shared" si="248"/>
        <v>938952</v>
      </c>
      <c r="AM361" s="260">
        <v>0</v>
      </c>
      <c r="AN361" s="260">
        <f t="shared" si="249"/>
        <v>938952</v>
      </c>
      <c r="AO361" s="457">
        <f t="shared" si="250"/>
        <v>517006</v>
      </c>
      <c r="AP361" s="456">
        <f t="shared" si="251"/>
        <v>83754972</v>
      </c>
      <c r="AQ361" s="263" t="e">
        <f>#REF!+AH361+AA361+T361+M361</f>
        <v>#REF!</v>
      </c>
      <c r="AR361" s="263">
        <f t="shared" ref="AR361:AR403" si="252">AP361+AI361+AB361+U361+N361</f>
        <v>84023290</v>
      </c>
      <c r="AS361" s="263" t="e">
        <f t="shared" ref="AS361:AS403" si="253">AQ361+AJ361+AC361+V361+O361</f>
        <v>#REF!</v>
      </c>
      <c r="AT361" s="263">
        <f t="shared" ref="AT361:AT403" si="254">AR361+AK361+AD361+W361+P361</f>
        <v>84354076</v>
      </c>
      <c r="AU361" s="263" t="e">
        <f t="shared" ref="AU361:AU403" si="255">AS361+AL361+AE361+X361+Q361</f>
        <v>#REF!</v>
      </c>
      <c r="AV361" s="263">
        <f t="shared" ref="AV361:AV403" si="256">AT361+AM361+AF361+Y361+R361</f>
        <v>94473892</v>
      </c>
      <c r="AW361" s="263" t="e">
        <f t="shared" ref="AW361:AW403" si="257">AU361+AN361+AG361+Z361+S361</f>
        <v>#REF!</v>
      </c>
      <c r="AX361" s="263" t="e">
        <f>AV361+#REF!+AH361+AA361+T361</f>
        <v>#REF!</v>
      </c>
      <c r="AY361" s="263" t="e">
        <f t="shared" ref="AY361:AY403" si="258">AW361+AP361+AI361+AB361+U361</f>
        <v>#REF!</v>
      </c>
      <c r="AZ361" s="263" t="e">
        <f t="shared" ref="AZ361:AZ403" si="259">AX361+AQ361+AJ361+AC361+V361</f>
        <v>#REF!</v>
      </c>
      <c r="BA361" s="263" t="e">
        <f t="shared" ref="BA361:BA403" si="260">AY361+AR361+AK361+AD361+W361</f>
        <v>#REF!</v>
      </c>
      <c r="BB361" s="263" t="e">
        <f t="shared" ref="BB361:BB403" si="261">AZ361+AS361+AL361+AE361+X361</f>
        <v>#REF!</v>
      </c>
      <c r="BC361" s="263" t="e">
        <f t="shared" ref="BC361:BC403" si="262">BA361+AT361+AM361+AF361+Y361</f>
        <v>#REF!</v>
      </c>
      <c r="BD361" s="263" t="e">
        <f t="shared" ref="BD361:BD403" si="263">BB361+AU361+AN361+AG361+Z361</f>
        <v>#REF!</v>
      </c>
      <c r="BE361" s="263" t="e">
        <f>BC361+AV361+#REF!+AH361+AA361</f>
        <v>#REF!</v>
      </c>
      <c r="BF361" s="263" t="e">
        <f t="shared" ref="BF361:BF403" si="264">BD361+AW361+AP361+AI361+AB361</f>
        <v>#REF!</v>
      </c>
      <c r="BG361" s="263" t="e">
        <f t="shared" ref="BG361:BG403" si="265">BE361+AX361+AQ361+AJ361+AC361</f>
        <v>#REF!</v>
      </c>
    </row>
    <row r="362" spans="1:59" ht="15.75">
      <c r="A362" s="338">
        <v>27</v>
      </c>
      <c r="B362" s="338" t="s">
        <v>1</v>
      </c>
      <c r="C362" s="258">
        <v>59</v>
      </c>
      <c r="D362" s="328" t="s">
        <v>99</v>
      </c>
      <c r="E362" s="258" t="s">
        <v>9</v>
      </c>
      <c r="F362" s="431">
        <f t="array" ref="F362">MAX((IF(MNU_CODIGO_ALIMENTO_ENTREGA=CONCATENATE($C362,"_","P_"),MNU_GRAMAJE_REQUERIDO_TIPOA,"")))</f>
        <v>0</v>
      </c>
      <c r="G362" s="259">
        <f t="shared" si="224"/>
        <v>0</v>
      </c>
      <c r="H362" s="259">
        <f t="shared" si="225"/>
        <v>0</v>
      </c>
      <c r="I362" s="259">
        <f t="shared" si="226"/>
        <v>0</v>
      </c>
      <c r="J362" s="260">
        <f t="shared" si="227"/>
        <v>0</v>
      </c>
      <c r="K362" s="260">
        <f t="shared" si="228"/>
        <v>0</v>
      </c>
      <c r="L362" s="260">
        <f t="shared" si="229"/>
        <v>0</v>
      </c>
      <c r="M362" s="432">
        <f t="array" ref="M362">MAX((IF(MNU_CODIGO_ALIMENTO_ENTREGA=CONCATENATE($C362,"_","P_"),MNU_GRAMAJE_REQUERIDO_TIPOB,"")))</f>
        <v>100</v>
      </c>
      <c r="N362" s="348">
        <f t="shared" si="230"/>
        <v>50792</v>
      </c>
      <c r="O362" s="348">
        <f t="shared" si="231"/>
        <v>17424</v>
      </c>
      <c r="P362" s="348">
        <f t="shared" si="232"/>
        <v>68216</v>
      </c>
      <c r="Q362" s="349">
        <f t="shared" si="233"/>
        <v>15237600</v>
      </c>
      <c r="R362" s="349">
        <f t="shared" si="234"/>
        <v>5227200</v>
      </c>
      <c r="S362" s="349">
        <f t="shared" si="235"/>
        <v>20464800</v>
      </c>
      <c r="T362" s="353">
        <f t="array" ref="T362">MAX((IF(MNU_CODIGO_ALIMENTO_ENTREGA=CONCATENATE($C362,"_","P_"),MNU_GRAMAJE_REQUERIDO_TIPOC,"")))</f>
        <v>100</v>
      </c>
      <c r="U362" s="259">
        <f t="shared" si="236"/>
        <v>38688</v>
      </c>
      <c r="V362" s="259">
        <f t="shared" si="237"/>
        <v>12452</v>
      </c>
      <c r="W362" s="259">
        <f t="shared" si="238"/>
        <v>51140</v>
      </c>
      <c r="X362" s="260">
        <f t="shared" si="239"/>
        <v>11606400</v>
      </c>
      <c r="Y362" s="260">
        <f t="shared" si="240"/>
        <v>3735600</v>
      </c>
      <c r="Z362" s="260">
        <f t="shared" si="241"/>
        <v>15342000</v>
      </c>
      <c r="AA362" s="258">
        <f t="array" ref="AA362">MAX((IF(MNU_CODIGO_ALIMENTO_ENTREGA=CONCATENATE($C362,"_","P_"),MNU_GRAMAJE_REQUERIDO_TIPOM,"")))</f>
        <v>100</v>
      </c>
      <c r="AB362" s="261">
        <f t="shared" si="242"/>
        <v>1832</v>
      </c>
      <c r="AC362" s="261">
        <v>0</v>
      </c>
      <c r="AD362" s="261">
        <f t="shared" si="243"/>
        <v>1832</v>
      </c>
      <c r="AE362" s="262">
        <f t="shared" si="244"/>
        <v>549600</v>
      </c>
      <c r="AF362" s="262">
        <v>0</v>
      </c>
      <c r="AG362" s="262">
        <f t="shared" si="245"/>
        <v>549600</v>
      </c>
      <c r="AH362" s="353">
        <f t="array" ref="AH362">MAX((IF(MNU_CODIGO_ALIMENTO_ENTREGA=CONCATENATE($C362,"_","P_"),MNU_GRAMAJE_REQUERIDO_TIPOH,"")))</f>
        <v>100</v>
      </c>
      <c r="AI362" s="259">
        <f t="shared" si="246"/>
        <v>2016</v>
      </c>
      <c r="AJ362" s="259">
        <v>0</v>
      </c>
      <c r="AK362" s="259">
        <f t="shared" si="247"/>
        <v>2016</v>
      </c>
      <c r="AL362" s="260">
        <f t="shared" si="248"/>
        <v>604800</v>
      </c>
      <c r="AM362" s="260">
        <v>0</v>
      </c>
      <c r="AN362" s="260">
        <f t="shared" si="249"/>
        <v>604800</v>
      </c>
      <c r="AO362" s="457">
        <f t="shared" si="250"/>
        <v>123204</v>
      </c>
      <c r="AP362" s="456">
        <f t="shared" si="251"/>
        <v>36961200</v>
      </c>
      <c r="AQ362" s="263" t="e">
        <f>#REF!+AH362+AA362+T362+M362</f>
        <v>#REF!</v>
      </c>
      <c r="AR362" s="263">
        <f t="shared" si="252"/>
        <v>37054528</v>
      </c>
      <c r="AS362" s="263" t="e">
        <f t="shared" si="253"/>
        <v>#REF!</v>
      </c>
      <c r="AT362" s="263">
        <f t="shared" si="254"/>
        <v>37177732</v>
      </c>
      <c r="AU362" s="263" t="e">
        <f t="shared" si="255"/>
        <v>#REF!</v>
      </c>
      <c r="AV362" s="263">
        <f t="shared" si="256"/>
        <v>46140532</v>
      </c>
      <c r="AW362" s="263" t="e">
        <f t="shared" si="257"/>
        <v>#REF!</v>
      </c>
      <c r="AX362" s="263" t="e">
        <f>AV362+#REF!+AH362+AA362+T362</f>
        <v>#REF!</v>
      </c>
      <c r="AY362" s="263" t="e">
        <f t="shared" si="258"/>
        <v>#REF!</v>
      </c>
      <c r="AZ362" s="263" t="e">
        <f t="shared" si="259"/>
        <v>#REF!</v>
      </c>
      <c r="BA362" s="263" t="e">
        <f t="shared" si="260"/>
        <v>#REF!</v>
      </c>
      <c r="BB362" s="263" t="e">
        <f t="shared" si="261"/>
        <v>#REF!</v>
      </c>
      <c r="BC362" s="263" t="e">
        <f t="shared" si="262"/>
        <v>#REF!</v>
      </c>
      <c r="BD362" s="263" t="e">
        <f t="shared" si="263"/>
        <v>#REF!</v>
      </c>
      <c r="BE362" s="263" t="e">
        <f>BC362+AV362+#REF!+AH362+AA362</f>
        <v>#REF!</v>
      </c>
      <c r="BF362" s="263" t="e">
        <f t="shared" si="264"/>
        <v>#REF!</v>
      </c>
      <c r="BG362" s="263" t="e">
        <f t="shared" si="265"/>
        <v>#REF!</v>
      </c>
    </row>
    <row r="363" spans="1:59" ht="15.75">
      <c r="A363" s="338">
        <v>27</v>
      </c>
      <c r="B363" s="338" t="s">
        <v>1</v>
      </c>
      <c r="C363" s="258">
        <v>69</v>
      </c>
      <c r="D363" s="328" t="s">
        <v>70</v>
      </c>
      <c r="E363" s="258" t="s">
        <v>9</v>
      </c>
      <c r="F363" s="431">
        <f t="array" ref="F363">MAX((IF(MNU_CODIGO_ALIMENTO_ENTREGA=CONCATENATE($C363,"_","P_"),MNU_GRAMAJE_REQUERIDO_TIPOA,"")))</f>
        <v>100</v>
      </c>
      <c r="G363" s="259">
        <f t="shared" si="224"/>
        <v>142230</v>
      </c>
      <c r="H363" s="259">
        <f t="shared" si="225"/>
        <v>46566</v>
      </c>
      <c r="I363" s="259">
        <f t="shared" si="226"/>
        <v>188796</v>
      </c>
      <c r="J363" s="260">
        <f t="shared" si="227"/>
        <v>45513600</v>
      </c>
      <c r="K363" s="260">
        <f t="shared" si="228"/>
        <v>14901120</v>
      </c>
      <c r="L363" s="260">
        <f t="shared" si="229"/>
        <v>60414720</v>
      </c>
      <c r="M363" s="432">
        <f t="array" ref="M363">MAX((IF(MNU_CODIGO_ALIMENTO_ENTREGA=CONCATENATE($C363,"_","P_"),MNU_GRAMAJE_REQUERIDO_TIPOB,"")))</f>
        <v>100</v>
      </c>
      <c r="N363" s="348">
        <f t="shared" si="230"/>
        <v>101584</v>
      </c>
      <c r="O363" s="348">
        <f t="shared" si="231"/>
        <v>19008</v>
      </c>
      <c r="P363" s="348">
        <f t="shared" si="232"/>
        <v>120592</v>
      </c>
      <c r="Q363" s="349">
        <f t="shared" si="233"/>
        <v>32506880</v>
      </c>
      <c r="R363" s="349">
        <f t="shared" si="234"/>
        <v>6082560</v>
      </c>
      <c r="S363" s="349">
        <f t="shared" si="235"/>
        <v>38589440</v>
      </c>
      <c r="T363" s="353">
        <f t="array" ref="T363">MAX((IF(MNU_CODIGO_ALIMENTO_ENTREGA=CONCATENATE($C363,"_","P_"),MNU_GRAMAJE_REQUERIDO_TIPOC,"")))</f>
        <v>100</v>
      </c>
      <c r="U363" s="259">
        <f t="shared" si="236"/>
        <v>77376</v>
      </c>
      <c r="V363" s="259">
        <f t="shared" si="237"/>
        <v>13584</v>
      </c>
      <c r="W363" s="259">
        <f t="shared" si="238"/>
        <v>90960</v>
      </c>
      <c r="X363" s="260">
        <f t="shared" si="239"/>
        <v>24760320</v>
      </c>
      <c r="Y363" s="260">
        <f t="shared" si="240"/>
        <v>4346880</v>
      </c>
      <c r="Z363" s="260">
        <f t="shared" si="241"/>
        <v>29107200</v>
      </c>
      <c r="AA363" s="258">
        <f t="array" ref="AA363">MAX((IF(MNU_CODIGO_ALIMENTO_ENTREGA=CONCATENATE($C363,"_","P_"),MNU_GRAMAJE_REQUERIDO_TIPOM,"")))</f>
        <v>100</v>
      </c>
      <c r="AB363" s="261">
        <f t="shared" si="242"/>
        <v>3664</v>
      </c>
      <c r="AC363" s="261">
        <v>0</v>
      </c>
      <c r="AD363" s="261">
        <f t="shared" si="243"/>
        <v>3664</v>
      </c>
      <c r="AE363" s="262">
        <f t="shared" si="244"/>
        <v>1172480</v>
      </c>
      <c r="AF363" s="262">
        <v>0</v>
      </c>
      <c r="AG363" s="262">
        <f t="shared" si="245"/>
        <v>1172480</v>
      </c>
      <c r="AH363" s="353">
        <f t="array" ref="AH363">MAX((IF(MNU_CODIGO_ALIMENTO_ENTREGA=CONCATENATE($C363,"_","P_"),MNU_GRAMAJE_REQUERIDO_TIPOH,"")))</f>
        <v>100</v>
      </c>
      <c r="AI363" s="259">
        <f t="shared" si="246"/>
        <v>4032</v>
      </c>
      <c r="AJ363" s="259">
        <v>0</v>
      </c>
      <c r="AK363" s="259">
        <f t="shared" si="247"/>
        <v>4032</v>
      </c>
      <c r="AL363" s="260">
        <f t="shared" si="248"/>
        <v>1290240</v>
      </c>
      <c r="AM363" s="260">
        <v>0</v>
      </c>
      <c r="AN363" s="260">
        <f t="shared" si="249"/>
        <v>1290240</v>
      </c>
      <c r="AO363" s="457">
        <f t="shared" si="250"/>
        <v>408044</v>
      </c>
      <c r="AP363" s="456">
        <f t="shared" si="251"/>
        <v>130574080</v>
      </c>
      <c r="AQ363" s="263" t="e">
        <f>#REF!+AH363+AA363+T363+M363</f>
        <v>#REF!</v>
      </c>
      <c r="AR363" s="263">
        <f t="shared" si="252"/>
        <v>130760736</v>
      </c>
      <c r="AS363" s="263" t="e">
        <f t="shared" si="253"/>
        <v>#REF!</v>
      </c>
      <c r="AT363" s="263">
        <f t="shared" si="254"/>
        <v>130979984</v>
      </c>
      <c r="AU363" s="263" t="e">
        <f t="shared" si="255"/>
        <v>#REF!</v>
      </c>
      <c r="AV363" s="263">
        <f t="shared" si="256"/>
        <v>141409424</v>
      </c>
      <c r="AW363" s="263" t="e">
        <f t="shared" si="257"/>
        <v>#REF!</v>
      </c>
      <c r="AX363" s="263" t="e">
        <f>AV363+#REF!+AH363+AA363+T363</f>
        <v>#REF!</v>
      </c>
      <c r="AY363" s="263" t="e">
        <f t="shared" si="258"/>
        <v>#REF!</v>
      </c>
      <c r="AZ363" s="263" t="e">
        <f t="shared" si="259"/>
        <v>#REF!</v>
      </c>
      <c r="BA363" s="263" t="e">
        <f t="shared" si="260"/>
        <v>#REF!</v>
      </c>
      <c r="BB363" s="263" t="e">
        <f t="shared" si="261"/>
        <v>#REF!</v>
      </c>
      <c r="BC363" s="263" t="e">
        <f t="shared" si="262"/>
        <v>#REF!</v>
      </c>
      <c r="BD363" s="263" t="e">
        <f t="shared" si="263"/>
        <v>#REF!</v>
      </c>
      <c r="BE363" s="263" t="e">
        <f>BC363+AV363+#REF!+AH363+AA363</f>
        <v>#REF!</v>
      </c>
      <c r="BF363" s="263" t="e">
        <f t="shared" si="264"/>
        <v>#REF!</v>
      </c>
      <c r="BG363" s="263" t="e">
        <f t="shared" si="265"/>
        <v>#REF!</v>
      </c>
    </row>
    <row r="364" spans="1:59" ht="15.75">
      <c r="A364" s="338">
        <v>27</v>
      </c>
      <c r="B364" s="338" t="s">
        <v>1</v>
      </c>
      <c r="C364" s="258">
        <v>70</v>
      </c>
      <c r="D364" s="328" t="s">
        <v>71</v>
      </c>
      <c r="E364" s="258" t="s">
        <v>9</v>
      </c>
      <c r="F364" s="431">
        <f t="array" ref="F364">MAX((IF(MNU_CODIGO_ALIMENTO_ENTREGA=CONCATENATE($C364,"_","P_"),MNU_GRAMAJE_REQUERIDO_TIPOA,"")))</f>
        <v>0</v>
      </c>
      <c r="G364" s="259">
        <f t="shared" ref="G364:G403" si="266">SUMIF(COSTPE_G_ALIMENTO_GRUPO,CONCATENATE($C364,"_",$A364),COSTPE_G_VOLUMEN_TOTAL_TIPOA)</f>
        <v>0</v>
      </c>
      <c r="H364" s="259">
        <f t="shared" ref="H364:H403" si="267">SUMIF(COSTSE_G_ALIMENTO_GRUPO,CONCATENATE($C364,"_",$A364),COSTSE_G_VOLUMEN_TOTAL_TIPOA)</f>
        <v>0</v>
      </c>
      <c r="I364" s="259">
        <f t="shared" ref="I364:I403" si="268">G364+H364</f>
        <v>0</v>
      </c>
      <c r="J364" s="260">
        <f t="shared" ref="J364:J403" si="269">SUMIF(COSTPE_G_ALIMENTO_GRUPO,CONCATENATE($C364,"_",$A364),COSTPE_G_VALOR_TOTAL_TIPOA)</f>
        <v>0</v>
      </c>
      <c r="K364" s="260">
        <f t="shared" ref="K364:K403" si="270">SUMIF(COSTSE_G_ALIMENTO_GRUPO,CONCATENATE($C364,"_",$A364),COSTSE_G_VALOR_TOTAL_TIPOA)</f>
        <v>0</v>
      </c>
      <c r="L364" s="260">
        <f t="shared" ref="L364:L403" si="271">J364+K364</f>
        <v>0</v>
      </c>
      <c r="M364" s="432">
        <f t="array" ref="M364">MAX((IF(MNU_CODIGO_ALIMENTO_ENTREGA=CONCATENATE($C364,"_","P_"),MNU_GRAMAJE_REQUERIDO_TIPOB,"")))</f>
        <v>100</v>
      </c>
      <c r="N364" s="348">
        <f t="shared" ref="N364:N403" si="272">SUMIF(COSTPE_G_ALIMENTO_GRUPO,CONCATENATE($C364,"_",$A364),COSTPE_G_VOLUMEN_TOTAL_TIPOB)</f>
        <v>63490</v>
      </c>
      <c r="O364" s="348">
        <f t="shared" ref="O364:O403" si="273">SUMIF(COSTSE_G_ALIMENTO_GRUPO,CONCATENATE($C364,"_",$A364),COSTSE_G_VOLUMEN_TOTAL_TIPOB)</f>
        <v>12672</v>
      </c>
      <c r="P364" s="348">
        <f t="shared" ref="P364:P403" si="274">N364+O364</f>
        <v>76162</v>
      </c>
      <c r="Q364" s="349">
        <f t="shared" ref="Q364:Q403" si="275">SUMIF(COSTPE_G_ALIMENTO_GRUPO,CONCATENATE($C364,"_",$A364),COSTPE_G_VALOR_TOTAL_TIPOB)</f>
        <v>28951440</v>
      </c>
      <c r="R364" s="349">
        <f t="shared" ref="R364:R403" si="276">SUMIF(COSTSE_G_ALIMENTO_GRUPO,CONCATENATE($C364,"_",$A364),COSTSE_G_VALOR_TOTAL_TIPOB)</f>
        <v>5778432</v>
      </c>
      <c r="S364" s="349">
        <f t="shared" ref="S364:S403" si="277">Q364+R364</f>
        <v>34729872</v>
      </c>
      <c r="T364" s="353">
        <f t="array" ref="T364">MAX((IF(MNU_CODIGO_ALIMENTO_ENTREGA=CONCATENATE($C364,"_","P_"),MNU_GRAMAJE_REQUERIDO_TIPOC,"")))</f>
        <v>100</v>
      </c>
      <c r="U364" s="259">
        <f t="shared" ref="U364:U403" si="278">SUMIF(COSTPE_G_ALIMENTO_GRUPO,CONCATENATE($C364,"_",$A364),COSTPE_G_VOLUMEN_TOTAL_TIPOC)</f>
        <v>48360</v>
      </c>
      <c r="V364" s="259">
        <f t="shared" ref="V364:V403" si="279">SUMIF(COSTSE_G_ALIMENTO_GRUPO,CONCATENATE($C364,"_",$A364),COSTSE_G_VOLUMEN_TOTAL_TIPOC)</f>
        <v>9056</v>
      </c>
      <c r="W364" s="259">
        <f t="shared" ref="W364:W403" si="280">U364+V364</f>
        <v>57416</v>
      </c>
      <c r="X364" s="260">
        <f t="shared" ref="X364:X403" si="281">SUMIF(COSTPE_G_ALIMENTO_GRUPO,CONCATENATE($C364,"_",$A364),COSTPE_G_VALOR_TOTAL_TIPOC)</f>
        <v>22052160</v>
      </c>
      <c r="Y364" s="260">
        <f t="shared" ref="Y364:Y403" si="282">SUMIF(COSTSE_G_ALIMENTO_GRUPO,CONCATENATE($C364,"_",$A364),COSTSE_G_VALOR_TOTAL_TIPOC)</f>
        <v>4129536</v>
      </c>
      <c r="Z364" s="260">
        <f t="shared" ref="Z364:Z403" si="283">X364+Y364</f>
        <v>26181696</v>
      </c>
      <c r="AA364" s="258">
        <f t="array" ref="AA364">MAX((IF(MNU_CODIGO_ALIMENTO_ENTREGA=CONCATENATE($C364,"_","P_"),MNU_GRAMAJE_REQUERIDO_TIPOM,"")))</f>
        <v>100</v>
      </c>
      <c r="AB364" s="261">
        <f t="shared" ref="AB364:AB403" si="284">SUMIF(COSTPE_G_ALIMENTO_GRUPO,CONCATENATE($C364,"_",$A364),COSTPE_G_VOLUMEN_TOTAL_TIPOM)</f>
        <v>2290</v>
      </c>
      <c r="AC364" s="261">
        <v>0</v>
      </c>
      <c r="AD364" s="261">
        <f t="shared" ref="AD364:AD403" si="285">AB364+AC364</f>
        <v>2290</v>
      </c>
      <c r="AE364" s="262">
        <f t="shared" ref="AE364:AE403" si="286">SUMIF(COSTPE_G_ALIMENTO_GRUPO,CONCATENATE($C364,"_",$A364),COSTPE_G_VALOR_TOTAL_TIPOM)</f>
        <v>1044240</v>
      </c>
      <c r="AF364" s="262">
        <v>0</v>
      </c>
      <c r="AG364" s="262">
        <f t="shared" ref="AG364:AG403" si="287">AE364+AF364</f>
        <v>1044240</v>
      </c>
      <c r="AH364" s="353">
        <f t="array" ref="AH364">MAX((IF(MNU_CODIGO_ALIMENTO_ENTREGA=CONCATENATE($C364,"_","P_"),MNU_GRAMAJE_REQUERIDO_TIPOH,"")))</f>
        <v>100</v>
      </c>
      <c r="AI364" s="259">
        <f t="shared" ref="AI364:AI403" si="288">SUMIF(COSTPE_G_ALIMENTO_GRUPO,CONCATENATE($C364,"_",$A364),COSTPE_G_VOLUMEN_TOTAL_TIPOH)</f>
        <v>2520</v>
      </c>
      <c r="AJ364" s="259">
        <v>0</v>
      </c>
      <c r="AK364" s="259">
        <f t="shared" ref="AK364:AK403" si="289">AI364+AJ364</f>
        <v>2520</v>
      </c>
      <c r="AL364" s="260">
        <f t="shared" ref="AL364:AL403" si="290">SUMIF(COSTPE_G_ALIMENTO_GRUPO,CONCATENATE($C364,"_",$A364),COSTPE_G_VALOR_TOTAL_TIPOH)</f>
        <v>1149120</v>
      </c>
      <c r="AM364" s="260">
        <v>0</v>
      </c>
      <c r="AN364" s="260">
        <f t="shared" ref="AN364:AN403" si="291">AL364+AM364</f>
        <v>1149120</v>
      </c>
      <c r="AO364" s="457">
        <f t="shared" ref="AO364:AO403" si="292">AK364+AD364+W364+P364+I364</f>
        <v>138388</v>
      </c>
      <c r="AP364" s="456">
        <f t="shared" ref="AP364:AP403" si="293">AN364+AG364+Z364+S364+L364</f>
        <v>63104928</v>
      </c>
      <c r="AQ364" s="263" t="e">
        <f>#REF!+AH364+AA364+T364+M364</f>
        <v>#REF!</v>
      </c>
      <c r="AR364" s="263">
        <f t="shared" si="252"/>
        <v>63221588</v>
      </c>
      <c r="AS364" s="263" t="e">
        <f t="shared" si="253"/>
        <v>#REF!</v>
      </c>
      <c r="AT364" s="263">
        <f t="shared" si="254"/>
        <v>63359976</v>
      </c>
      <c r="AU364" s="263" t="e">
        <f t="shared" si="255"/>
        <v>#REF!</v>
      </c>
      <c r="AV364" s="263">
        <f t="shared" si="256"/>
        <v>73267944</v>
      </c>
      <c r="AW364" s="263" t="e">
        <f t="shared" si="257"/>
        <v>#REF!</v>
      </c>
      <c r="AX364" s="263" t="e">
        <f>AV364+#REF!+AH364+AA364+T364</f>
        <v>#REF!</v>
      </c>
      <c r="AY364" s="263" t="e">
        <f t="shared" si="258"/>
        <v>#REF!</v>
      </c>
      <c r="AZ364" s="263" t="e">
        <f t="shared" si="259"/>
        <v>#REF!</v>
      </c>
      <c r="BA364" s="263" t="e">
        <f t="shared" si="260"/>
        <v>#REF!</v>
      </c>
      <c r="BB364" s="263" t="e">
        <f t="shared" si="261"/>
        <v>#REF!</v>
      </c>
      <c r="BC364" s="263" t="e">
        <f t="shared" si="262"/>
        <v>#REF!</v>
      </c>
      <c r="BD364" s="263" t="e">
        <f t="shared" si="263"/>
        <v>#REF!</v>
      </c>
      <c r="BE364" s="263" t="e">
        <f>BC364+AV364+#REF!+AH364+AA364</f>
        <v>#REF!</v>
      </c>
      <c r="BF364" s="263" t="e">
        <f t="shared" si="264"/>
        <v>#REF!</v>
      </c>
      <c r="BG364" s="263" t="e">
        <f t="shared" si="265"/>
        <v>#REF!</v>
      </c>
    </row>
    <row r="365" spans="1:59" ht="15.75">
      <c r="A365" s="338">
        <v>28</v>
      </c>
      <c r="B365" s="338" t="s">
        <v>1</v>
      </c>
      <c r="C365" s="258">
        <v>7</v>
      </c>
      <c r="D365" s="328" t="s">
        <v>57</v>
      </c>
      <c r="E365" s="258" t="s">
        <v>9</v>
      </c>
      <c r="F365" s="431">
        <f t="array" ref="F365">MAX((IF(MNU_CODIGO_ALIMENTO_ENTREGA=CONCATENATE($C365,"_","P_"),MNU_GRAMAJE_REQUERIDO_TIPOA,"")))</f>
        <v>100</v>
      </c>
      <c r="G365" s="259">
        <f t="shared" si="266"/>
        <v>120648</v>
      </c>
      <c r="H365" s="259">
        <f t="shared" si="267"/>
        <v>58838</v>
      </c>
      <c r="I365" s="259">
        <f t="shared" si="268"/>
        <v>179486</v>
      </c>
      <c r="J365" s="260">
        <f t="shared" si="269"/>
        <v>13512576</v>
      </c>
      <c r="K365" s="260">
        <f t="shared" si="270"/>
        <v>6589856</v>
      </c>
      <c r="L365" s="260">
        <f t="shared" si="271"/>
        <v>20102432</v>
      </c>
      <c r="M365" s="432">
        <f t="array" ref="M365">MAX((IF(MNU_CODIGO_ALIMENTO_ENTREGA=CONCATENATE($C365,"_","P_"),MNU_GRAMAJE_REQUERIDO_TIPOB,"")))</f>
        <v>100</v>
      </c>
      <c r="N365" s="348">
        <f t="shared" si="272"/>
        <v>57285</v>
      </c>
      <c r="O365" s="348">
        <f t="shared" si="273"/>
        <v>4422</v>
      </c>
      <c r="P365" s="348">
        <f t="shared" si="274"/>
        <v>61707</v>
      </c>
      <c r="Q365" s="349">
        <f t="shared" si="275"/>
        <v>6415920</v>
      </c>
      <c r="R365" s="349">
        <f t="shared" si="276"/>
        <v>495264</v>
      </c>
      <c r="S365" s="349">
        <f t="shared" si="277"/>
        <v>6911184</v>
      </c>
      <c r="T365" s="353">
        <f t="array" ref="T365">MAX((IF(MNU_CODIGO_ALIMENTO_ENTREGA=CONCATENATE($C365,"_","P_"),MNU_GRAMAJE_REQUERIDO_TIPOC,"")))</f>
        <v>100</v>
      </c>
      <c r="U365" s="259">
        <f t="shared" si="278"/>
        <v>51147</v>
      </c>
      <c r="V365" s="259">
        <f t="shared" si="279"/>
        <v>8778</v>
      </c>
      <c r="W365" s="259">
        <f t="shared" si="280"/>
        <v>59925</v>
      </c>
      <c r="X365" s="260">
        <f t="shared" si="281"/>
        <v>5728464</v>
      </c>
      <c r="Y365" s="260">
        <f t="shared" si="282"/>
        <v>983136</v>
      </c>
      <c r="Z365" s="260">
        <f t="shared" si="283"/>
        <v>6711600</v>
      </c>
      <c r="AA365" s="258">
        <f t="array" ref="AA365">MAX((IF(MNU_CODIGO_ALIMENTO_ENTREGA=CONCATENATE($C365,"_","P_"),MNU_GRAMAJE_REQUERIDO_TIPOM,"")))</f>
        <v>100</v>
      </c>
      <c r="AB365" s="261">
        <f t="shared" si="284"/>
        <v>2799</v>
      </c>
      <c r="AC365" s="261">
        <v>0</v>
      </c>
      <c r="AD365" s="261">
        <f t="shared" si="285"/>
        <v>2799</v>
      </c>
      <c r="AE365" s="262">
        <f t="shared" si="286"/>
        <v>313488</v>
      </c>
      <c r="AF365" s="262">
        <v>0</v>
      </c>
      <c r="AG365" s="262">
        <f t="shared" si="287"/>
        <v>313488</v>
      </c>
      <c r="AH365" s="353">
        <f t="array" ref="AH365">MAX((IF(MNU_CODIGO_ALIMENTO_ENTREGA=CONCATENATE($C365,"_","P_"),MNU_GRAMAJE_REQUERIDO_TIPOH,"")))</f>
        <v>100</v>
      </c>
      <c r="AI365" s="259">
        <f t="shared" si="288"/>
        <v>2898</v>
      </c>
      <c r="AJ365" s="259">
        <v>0</v>
      </c>
      <c r="AK365" s="259">
        <f t="shared" si="289"/>
        <v>2898</v>
      </c>
      <c r="AL365" s="260">
        <f t="shared" si="290"/>
        <v>324576</v>
      </c>
      <c r="AM365" s="260">
        <v>0</v>
      </c>
      <c r="AN365" s="260">
        <f t="shared" si="291"/>
        <v>324576</v>
      </c>
      <c r="AO365" s="457">
        <f t="shared" si="292"/>
        <v>306815</v>
      </c>
      <c r="AP365" s="456">
        <f t="shared" si="293"/>
        <v>34363280</v>
      </c>
      <c r="AQ365" s="263" t="e">
        <f>#REF!+AH365+AA365+T365+M365</f>
        <v>#REF!</v>
      </c>
      <c r="AR365" s="263">
        <f t="shared" si="252"/>
        <v>34477409</v>
      </c>
      <c r="AS365" s="263" t="e">
        <f t="shared" si="253"/>
        <v>#REF!</v>
      </c>
      <c r="AT365" s="263">
        <f t="shared" si="254"/>
        <v>34604738</v>
      </c>
      <c r="AU365" s="263" t="e">
        <f t="shared" si="255"/>
        <v>#REF!</v>
      </c>
      <c r="AV365" s="263">
        <f t="shared" si="256"/>
        <v>36083138</v>
      </c>
      <c r="AW365" s="263" t="e">
        <f t="shared" si="257"/>
        <v>#REF!</v>
      </c>
      <c r="AX365" s="263" t="e">
        <f>AV365+#REF!+AH365+AA365+T365</f>
        <v>#REF!</v>
      </c>
      <c r="AY365" s="263" t="e">
        <f t="shared" si="258"/>
        <v>#REF!</v>
      </c>
      <c r="AZ365" s="263" t="e">
        <f t="shared" si="259"/>
        <v>#REF!</v>
      </c>
      <c r="BA365" s="263" t="e">
        <f t="shared" si="260"/>
        <v>#REF!</v>
      </c>
      <c r="BB365" s="263" t="e">
        <f t="shared" si="261"/>
        <v>#REF!</v>
      </c>
      <c r="BC365" s="263" t="e">
        <f t="shared" si="262"/>
        <v>#REF!</v>
      </c>
      <c r="BD365" s="263" t="e">
        <f t="shared" si="263"/>
        <v>#REF!</v>
      </c>
      <c r="BE365" s="263" t="e">
        <f>BC365+AV365+#REF!+AH365+AA365</f>
        <v>#REF!</v>
      </c>
      <c r="BF365" s="263" t="e">
        <f t="shared" si="264"/>
        <v>#REF!</v>
      </c>
      <c r="BG365" s="263" t="e">
        <f t="shared" si="265"/>
        <v>#REF!</v>
      </c>
    </row>
    <row r="366" spans="1:59" ht="15.75">
      <c r="A366" s="338">
        <v>28</v>
      </c>
      <c r="B366" s="338" t="s">
        <v>1</v>
      </c>
      <c r="C366" s="258">
        <v>8</v>
      </c>
      <c r="D366" s="328" t="s">
        <v>55</v>
      </c>
      <c r="E366" s="258" t="s">
        <v>9</v>
      </c>
      <c r="F366" s="431">
        <f t="array" ref="F366">MAX((IF(MNU_CODIGO_ALIMENTO_ENTREGA=CONCATENATE($C366,"_","P_"),MNU_GRAMAJE_REQUERIDO_TIPOA,"")))</f>
        <v>100</v>
      </c>
      <c r="G366" s="259">
        <f t="shared" si="266"/>
        <v>54840</v>
      </c>
      <c r="H366" s="259">
        <f t="shared" si="267"/>
        <v>20878</v>
      </c>
      <c r="I366" s="259">
        <f t="shared" si="268"/>
        <v>75718</v>
      </c>
      <c r="J366" s="260">
        <f t="shared" si="269"/>
        <v>7732440</v>
      </c>
      <c r="K366" s="260">
        <f t="shared" si="270"/>
        <v>2943798</v>
      </c>
      <c r="L366" s="260">
        <f t="shared" si="271"/>
        <v>10676238</v>
      </c>
      <c r="M366" s="432">
        <f t="array" ref="M366">MAX((IF(MNU_CODIGO_ALIMENTO_ENTREGA=CONCATENATE($C366,"_","P_"),MNU_GRAMAJE_REQUERIDO_TIPOB,"")))</f>
        <v>100</v>
      </c>
      <c r="N366" s="348">
        <f t="shared" si="272"/>
        <v>50920</v>
      </c>
      <c r="O366" s="348">
        <f t="shared" si="273"/>
        <v>4422</v>
      </c>
      <c r="P366" s="348">
        <f t="shared" si="274"/>
        <v>55342</v>
      </c>
      <c r="Q366" s="349">
        <f t="shared" si="275"/>
        <v>7179720</v>
      </c>
      <c r="R366" s="349">
        <f t="shared" si="276"/>
        <v>623502</v>
      </c>
      <c r="S366" s="349">
        <f t="shared" si="277"/>
        <v>7803222</v>
      </c>
      <c r="T366" s="353">
        <f t="array" ref="T366">MAX((IF(MNU_CODIGO_ALIMENTO_ENTREGA=CONCATENATE($C366,"_","P_"),MNU_GRAMAJE_REQUERIDO_TIPOC,"")))</f>
        <v>100</v>
      </c>
      <c r="U366" s="259">
        <f t="shared" si="278"/>
        <v>45464</v>
      </c>
      <c r="V366" s="259">
        <f t="shared" si="279"/>
        <v>8778</v>
      </c>
      <c r="W366" s="259">
        <f t="shared" si="280"/>
        <v>54242</v>
      </c>
      <c r="X366" s="260">
        <f t="shared" si="281"/>
        <v>6410424</v>
      </c>
      <c r="Y366" s="260">
        <f t="shared" si="282"/>
        <v>1237698</v>
      </c>
      <c r="Z366" s="260">
        <f t="shared" si="283"/>
        <v>7648122</v>
      </c>
      <c r="AA366" s="258">
        <f t="array" ref="AA366">MAX((IF(MNU_CODIGO_ALIMENTO_ENTREGA=CONCATENATE($C366,"_","P_"),MNU_GRAMAJE_REQUERIDO_TIPOM,"")))</f>
        <v>100</v>
      </c>
      <c r="AB366" s="261">
        <f t="shared" si="284"/>
        <v>2488</v>
      </c>
      <c r="AC366" s="261">
        <v>0</v>
      </c>
      <c r="AD366" s="261">
        <f t="shared" si="285"/>
        <v>2488</v>
      </c>
      <c r="AE366" s="262">
        <f t="shared" si="286"/>
        <v>350808</v>
      </c>
      <c r="AF366" s="262">
        <v>0</v>
      </c>
      <c r="AG366" s="262">
        <f t="shared" si="287"/>
        <v>350808</v>
      </c>
      <c r="AH366" s="353">
        <f t="array" ref="AH366">MAX((IF(MNU_CODIGO_ALIMENTO_ENTREGA=CONCATENATE($C366,"_","P_"),MNU_GRAMAJE_REQUERIDO_TIPOH,"")))</f>
        <v>100</v>
      </c>
      <c r="AI366" s="259">
        <f t="shared" si="288"/>
        <v>2576</v>
      </c>
      <c r="AJ366" s="259">
        <v>0</v>
      </c>
      <c r="AK366" s="259">
        <f t="shared" si="289"/>
        <v>2576</v>
      </c>
      <c r="AL366" s="260">
        <f t="shared" si="290"/>
        <v>363216</v>
      </c>
      <c r="AM366" s="260">
        <v>0</v>
      </c>
      <c r="AN366" s="260">
        <f t="shared" si="291"/>
        <v>363216</v>
      </c>
      <c r="AO366" s="457">
        <f t="shared" si="292"/>
        <v>190366</v>
      </c>
      <c r="AP366" s="456">
        <f t="shared" si="293"/>
        <v>26841606</v>
      </c>
      <c r="AQ366" s="263" t="e">
        <f>#REF!+AH366+AA366+T366+M366</f>
        <v>#REF!</v>
      </c>
      <c r="AR366" s="263">
        <f t="shared" si="252"/>
        <v>26943054</v>
      </c>
      <c r="AS366" s="263" t="e">
        <f t="shared" si="253"/>
        <v>#REF!</v>
      </c>
      <c r="AT366" s="263">
        <f t="shared" si="254"/>
        <v>27057702</v>
      </c>
      <c r="AU366" s="263" t="e">
        <f t="shared" si="255"/>
        <v>#REF!</v>
      </c>
      <c r="AV366" s="263">
        <f t="shared" si="256"/>
        <v>28918902</v>
      </c>
      <c r="AW366" s="263" t="e">
        <f t="shared" si="257"/>
        <v>#REF!</v>
      </c>
      <c r="AX366" s="263" t="e">
        <f>AV366+#REF!+AH366+AA366+T366</f>
        <v>#REF!</v>
      </c>
      <c r="AY366" s="263" t="e">
        <f t="shared" si="258"/>
        <v>#REF!</v>
      </c>
      <c r="AZ366" s="263" t="e">
        <f t="shared" si="259"/>
        <v>#REF!</v>
      </c>
      <c r="BA366" s="263" t="e">
        <f t="shared" si="260"/>
        <v>#REF!</v>
      </c>
      <c r="BB366" s="263" t="e">
        <f t="shared" si="261"/>
        <v>#REF!</v>
      </c>
      <c r="BC366" s="263" t="e">
        <f t="shared" si="262"/>
        <v>#REF!</v>
      </c>
      <c r="BD366" s="263" t="e">
        <f t="shared" si="263"/>
        <v>#REF!</v>
      </c>
      <c r="BE366" s="263" t="e">
        <f>BC366+AV366+#REF!+AH366+AA366</f>
        <v>#REF!</v>
      </c>
      <c r="BF366" s="263" t="e">
        <f t="shared" si="264"/>
        <v>#REF!</v>
      </c>
      <c r="BG366" s="263" t="e">
        <f t="shared" si="265"/>
        <v>#REF!</v>
      </c>
    </row>
    <row r="367" spans="1:59" ht="15.75">
      <c r="A367" s="338">
        <v>28</v>
      </c>
      <c r="B367" s="338" t="s">
        <v>1</v>
      </c>
      <c r="C367" s="258">
        <v>17</v>
      </c>
      <c r="D367" s="328" t="s">
        <v>53</v>
      </c>
      <c r="E367" s="258" t="s">
        <v>9</v>
      </c>
      <c r="F367" s="431">
        <f t="array" ref="F367">MAX((IF(MNU_CODIGO_ALIMENTO_ENTREGA=CONCATENATE($C367,"_","P_"),MNU_GRAMAJE_REQUERIDO_TIPOA,"")))</f>
        <v>0</v>
      </c>
      <c r="G367" s="259">
        <f t="shared" si="266"/>
        <v>0</v>
      </c>
      <c r="H367" s="259">
        <f t="shared" si="267"/>
        <v>0</v>
      </c>
      <c r="I367" s="259">
        <f t="shared" si="268"/>
        <v>0</v>
      </c>
      <c r="J367" s="260">
        <f t="shared" si="269"/>
        <v>0</v>
      </c>
      <c r="K367" s="260">
        <f t="shared" si="270"/>
        <v>0</v>
      </c>
      <c r="L367" s="260">
        <f t="shared" si="271"/>
        <v>0</v>
      </c>
      <c r="M367" s="432">
        <f t="array" ref="M367">MAX((IF(MNU_CODIGO_ALIMENTO_ENTREGA=CONCATENATE($C367,"_","P_"),MNU_GRAMAJE_REQUERIDO_TIPOB,"")))</f>
        <v>100</v>
      </c>
      <c r="N367" s="348">
        <f t="shared" si="272"/>
        <v>133665</v>
      </c>
      <c r="O367" s="348">
        <f t="shared" si="273"/>
        <v>9246</v>
      </c>
      <c r="P367" s="348">
        <f t="shared" si="274"/>
        <v>142911</v>
      </c>
      <c r="Q367" s="349">
        <f t="shared" si="275"/>
        <v>31678605</v>
      </c>
      <c r="R367" s="349">
        <f t="shared" si="276"/>
        <v>2191302</v>
      </c>
      <c r="S367" s="349">
        <f t="shared" si="277"/>
        <v>33869907</v>
      </c>
      <c r="T367" s="353">
        <f t="array" ref="T367">MAX((IF(MNU_CODIGO_ALIMENTO_ENTREGA=CONCATENATE($C367,"_","P_"),MNU_GRAMAJE_REQUERIDO_TIPOC,"")))</f>
        <v>100</v>
      </c>
      <c r="U367" s="259">
        <f t="shared" si="278"/>
        <v>119343</v>
      </c>
      <c r="V367" s="259">
        <f t="shared" si="279"/>
        <v>18354</v>
      </c>
      <c r="W367" s="259">
        <f t="shared" si="280"/>
        <v>137697</v>
      </c>
      <c r="X367" s="260">
        <f t="shared" si="281"/>
        <v>28284291</v>
      </c>
      <c r="Y367" s="260">
        <f t="shared" si="282"/>
        <v>4349898</v>
      </c>
      <c r="Z367" s="260">
        <f t="shared" si="283"/>
        <v>32634189</v>
      </c>
      <c r="AA367" s="258">
        <f t="array" ref="AA367">MAX((IF(MNU_CODIGO_ALIMENTO_ENTREGA=CONCATENATE($C367,"_","P_"),MNU_GRAMAJE_REQUERIDO_TIPOM,"")))</f>
        <v>100</v>
      </c>
      <c r="AB367" s="261">
        <f t="shared" si="284"/>
        <v>6531</v>
      </c>
      <c r="AC367" s="261">
        <v>0</v>
      </c>
      <c r="AD367" s="261">
        <f t="shared" si="285"/>
        <v>6531</v>
      </c>
      <c r="AE367" s="262">
        <f t="shared" si="286"/>
        <v>1547847</v>
      </c>
      <c r="AF367" s="262">
        <v>0</v>
      </c>
      <c r="AG367" s="262">
        <f t="shared" si="287"/>
        <v>1547847</v>
      </c>
      <c r="AH367" s="353">
        <f t="array" ref="AH367">MAX((IF(MNU_CODIGO_ALIMENTO_ENTREGA=CONCATENATE($C367,"_","P_"),MNU_GRAMAJE_REQUERIDO_TIPOH,"")))</f>
        <v>100</v>
      </c>
      <c r="AI367" s="259">
        <f t="shared" si="288"/>
        <v>6762</v>
      </c>
      <c r="AJ367" s="259">
        <v>0</v>
      </c>
      <c r="AK367" s="259">
        <f t="shared" si="289"/>
        <v>6762</v>
      </c>
      <c r="AL367" s="260">
        <f t="shared" si="290"/>
        <v>1602594</v>
      </c>
      <c r="AM367" s="260">
        <v>0</v>
      </c>
      <c r="AN367" s="260">
        <f t="shared" si="291"/>
        <v>1602594</v>
      </c>
      <c r="AO367" s="457">
        <f t="shared" si="292"/>
        <v>293901</v>
      </c>
      <c r="AP367" s="456">
        <f t="shared" si="293"/>
        <v>69654537</v>
      </c>
      <c r="AQ367" s="263" t="e">
        <f>#REF!+AH367+AA367+T367+M367</f>
        <v>#REF!</v>
      </c>
      <c r="AR367" s="263">
        <f t="shared" si="252"/>
        <v>69920838</v>
      </c>
      <c r="AS367" s="263" t="e">
        <f t="shared" si="253"/>
        <v>#REF!</v>
      </c>
      <c r="AT367" s="263">
        <f t="shared" si="254"/>
        <v>70214739</v>
      </c>
      <c r="AU367" s="263" t="e">
        <f t="shared" si="255"/>
        <v>#REF!</v>
      </c>
      <c r="AV367" s="263">
        <f t="shared" si="256"/>
        <v>76755939</v>
      </c>
      <c r="AW367" s="263" t="e">
        <f t="shared" si="257"/>
        <v>#REF!</v>
      </c>
      <c r="AX367" s="263" t="e">
        <f>AV367+#REF!+AH367+AA367+T367</f>
        <v>#REF!</v>
      </c>
      <c r="AY367" s="263" t="e">
        <f t="shared" si="258"/>
        <v>#REF!</v>
      </c>
      <c r="AZ367" s="263" t="e">
        <f t="shared" si="259"/>
        <v>#REF!</v>
      </c>
      <c r="BA367" s="263" t="e">
        <f t="shared" si="260"/>
        <v>#REF!</v>
      </c>
      <c r="BB367" s="263" t="e">
        <f t="shared" si="261"/>
        <v>#REF!</v>
      </c>
      <c r="BC367" s="263" t="e">
        <f t="shared" si="262"/>
        <v>#REF!</v>
      </c>
      <c r="BD367" s="263" t="e">
        <f t="shared" si="263"/>
        <v>#REF!</v>
      </c>
      <c r="BE367" s="263" t="e">
        <f>BC367+AV367+#REF!+AH367+AA367</f>
        <v>#REF!</v>
      </c>
      <c r="BF367" s="263" t="e">
        <f t="shared" si="264"/>
        <v>#REF!</v>
      </c>
      <c r="BG367" s="263" t="e">
        <f t="shared" si="265"/>
        <v>#REF!</v>
      </c>
    </row>
    <row r="368" spans="1:59" ht="15.75">
      <c r="A368" s="338">
        <v>28</v>
      </c>
      <c r="B368" s="338" t="s">
        <v>1</v>
      </c>
      <c r="C368" s="258">
        <v>22</v>
      </c>
      <c r="D368" s="328" t="s">
        <v>51</v>
      </c>
      <c r="E368" s="258" t="s">
        <v>9</v>
      </c>
      <c r="F368" s="431">
        <f t="array" ref="F368">MAX((IF(MNU_CODIGO_ALIMENTO_ENTREGA=CONCATENATE($C368,"_","P_"),MNU_GRAMAJE_REQUERIDO_TIPOA,"")))</f>
        <v>0</v>
      </c>
      <c r="G368" s="259">
        <f t="shared" si="266"/>
        <v>0</v>
      </c>
      <c r="H368" s="259">
        <f t="shared" si="267"/>
        <v>0</v>
      </c>
      <c r="I368" s="259">
        <f t="shared" si="268"/>
        <v>0</v>
      </c>
      <c r="J368" s="260">
        <f t="shared" si="269"/>
        <v>0</v>
      </c>
      <c r="K368" s="260">
        <f t="shared" si="270"/>
        <v>0</v>
      </c>
      <c r="L368" s="260">
        <f t="shared" si="271"/>
        <v>0</v>
      </c>
      <c r="M368" s="432">
        <f t="array" ref="M368">MAX((IF(MNU_CODIGO_ALIMENTO_ENTREGA=CONCATENATE($C368,"_","P_"),MNU_GRAMAJE_REQUERIDO_TIPOB,"")))</f>
        <v>100</v>
      </c>
      <c r="N368" s="348">
        <f t="shared" si="272"/>
        <v>127300</v>
      </c>
      <c r="O368" s="348">
        <f t="shared" si="273"/>
        <v>9246</v>
      </c>
      <c r="P368" s="348">
        <f t="shared" si="274"/>
        <v>136546</v>
      </c>
      <c r="Q368" s="349">
        <f t="shared" si="275"/>
        <v>70142300</v>
      </c>
      <c r="R368" s="349">
        <f t="shared" si="276"/>
        <v>5094546</v>
      </c>
      <c r="S368" s="349">
        <f t="shared" si="277"/>
        <v>75236846</v>
      </c>
      <c r="T368" s="353">
        <f t="array" ref="T368">MAX((IF(MNU_CODIGO_ALIMENTO_ENTREGA=CONCATENATE($C368,"_","P_"),MNU_GRAMAJE_REQUERIDO_TIPOC,"")))</f>
        <v>100</v>
      </c>
      <c r="U368" s="259">
        <f t="shared" si="278"/>
        <v>113660</v>
      </c>
      <c r="V368" s="259">
        <f t="shared" si="279"/>
        <v>18354</v>
      </c>
      <c r="W368" s="259">
        <f t="shared" si="280"/>
        <v>132014</v>
      </c>
      <c r="X368" s="260">
        <f t="shared" si="281"/>
        <v>62626660</v>
      </c>
      <c r="Y368" s="260">
        <f t="shared" si="282"/>
        <v>10113054</v>
      </c>
      <c r="Z368" s="260">
        <f t="shared" si="283"/>
        <v>72739714</v>
      </c>
      <c r="AA368" s="258">
        <f t="array" ref="AA368">MAX((IF(MNU_CODIGO_ALIMENTO_ENTREGA=CONCATENATE($C368,"_","P_"),MNU_GRAMAJE_REQUERIDO_TIPOM,"")))</f>
        <v>100</v>
      </c>
      <c r="AB368" s="261">
        <f t="shared" si="284"/>
        <v>6220</v>
      </c>
      <c r="AC368" s="261">
        <v>0</v>
      </c>
      <c r="AD368" s="261">
        <f t="shared" si="285"/>
        <v>6220</v>
      </c>
      <c r="AE368" s="262">
        <f t="shared" si="286"/>
        <v>3427220</v>
      </c>
      <c r="AF368" s="262">
        <v>0</v>
      </c>
      <c r="AG368" s="262">
        <f t="shared" si="287"/>
        <v>3427220</v>
      </c>
      <c r="AH368" s="353">
        <f t="array" ref="AH368">MAX((IF(MNU_CODIGO_ALIMENTO_ENTREGA=CONCATENATE($C368,"_","P_"),MNU_GRAMAJE_REQUERIDO_TIPOH,"")))</f>
        <v>100</v>
      </c>
      <c r="AI368" s="259">
        <f t="shared" si="288"/>
        <v>6440</v>
      </c>
      <c r="AJ368" s="259">
        <v>0</v>
      </c>
      <c r="AK368" s="259">
        <f t="shared" si="289"/>
        <v>6440</v>
      </c>
      <c r="AL368" s="260">
        <f t="shared" si="290"/>
        <v>3548440</v>
      </c>
      <c r="AM368" s="260">
        <v>0</v>
      </c>
      <c r="AN368" s="260">
        <f t="shared" si="291"/>
        <v>3548440</v>
      </c>
      <c r="AO368" s="457">
        <f t="shared" si="292"/>
        <v>281220</v>
      </c>
      <c r="AP368" s="456">
        <f t="shared" si="293"/>
        <v>154952220</v>
      </c>
      <c r="AQ368" s="263" t="e">
        <f>#REF!+AH368+AA368+T368+M368</f>
        <v>#REF!</v>
      </c>
      <c r="AR368" s="263">
        <f t="shared" si="252"/>
        <v>155205840</v>
      </c>
      <c r="AS368" s="263" t="e">
        <f t="shared" si="253"/>
        <v>#REF!</v>
      </c>
      <c r="AT368" s="263">
        <f t="shared" si="254"/>
        <v>155487060</v>
      </c>
      <c r="AU368" s="263" t="e">
        <f t="shared" si="255"/>
        <v>#REF!</v>
      </c>
      <c r="AV368" s="263">
        <f t="shared" si="256"/>
        <v>170694660</v>
      </c>
      <c r="AW368" s="263" t="e">
        <f t="shared" si="257"/>
        <v>#REF!</v>
      </c>
      <c r="AX368" s="263" t="e">
        <f>AV368+#REF!+AH368+AA368+T368</f>
        <v>#REF!</v>
      </c>
      <c r="AY368" s="263" t="e">
        <f t="shared" si="258"/>
        <v>#REF!</v>
      </c>
      <c r="AZ368" s="263" t="e">
        <f t="shared" si="259"/>
        <v>#REF!</v>
      </c>
      <c r="BA368" s="263" t="e">
        <f t="shared" si="260"/>
        <v>#REF!</v>
      </c>
      <c r="BB368" s="263" t="e">
        <f t="shared" si="261"/>
        <v>#REF!</v>
      </c>
      <c r="BC368" s="263" t="e">
        <f t="shared" si="262"/>
        <v>#REF!</v>
      </c>
      <c r="BD368" s="263" t="e">
        <f t="shared" si="263"/>
        <v>#REF!</v>
      </c>
      <c r="BE368" s="263" t="e">
        <f>BC368+AV368+#REF!+AH368+AA368</f>
        <v>#REF!</v>
      </c>
      <c r="BF368" s="263" t="e">
        <f t="shared" si="264"/>
        <v>#REF!</v>
      </c>
      <c r="BG368" s="263" t="e">
        <f t="shared" si="265"/>
        <v>#REF!</v>
      </c>
    </row>
    <row r="369" spans="1:59" ht="15.75">
      <c r="A369" s="338">
        <v>28</v>
      </c>
      <c r="B369" s="338" t="s">
        <v>1</v>
      </c>
      <c r="C369" s="258">
        <v>33</v>
      </c>
      <c r="D369" s="328" t="s">
        <v>59</v>
      </c>
      <c r="E369" s="258" t="s">
        <v>48</v>
      </c>
      <c r="F369" s="431">
        <v>1</v>
      </c>
      <c r="G369" s="259">
        <f t="shared" si="266"/>
        <v>148068</v>
      </c>
      <c r="H369" s="259">
        <f t="shared" si="267"/>
        <v>55042</v>
      </c>
      <c r="I369" s="259">
        <f t="shared" si="268"/>
        <v>203110</v>
      </c>
      <c r="J369" s="260">
        <f t="shared" si="269"/>
        <v>41903244</v>
      </c>
      <c r="K369" s="260">
        <f t="shared" si="270"/>
        <v>15576886</v>
      </c>
      <c r="L369" s="260">
        <f t="shared" si="271"/>
        <v>57480130</v>
      </c>
      <c r="M369" s="432">
        <v>1</v>
      </c>
      <c r="N369" s="348">
        <f t="shared" si="272"/>
        <v>114570</v>
      </c>
      <c r="O369" s="348">
        <f t="shared" si="273"/>
        <v>9246</v>
      </c>
      <c r="P369" s="348">
        <f t="shared" si="274"/>
        <v>123816</v>
      </c>
      <c r="Q369" s="349">
        <f t="shared" si="275"/>
        <v>32423310</v>
      </c>
      <c r="R369" s="349">
        <f t="shared" si="276"/>
        <v>2616618</v>
      </c>
      <c r="S369" s="349">
        <f t="shared" si="277"/>
        <v>35039928</v>
      </c>
      <c r="T369" s="431">
        <v>1</v>
      </c>
      <c r="U369" s="259">
        <f t="shared" si="278"/>
        <v>102294</v>
      </c>
      <c r="V369" s="259">
        <f t="shared" si="279"/>
        <v>18354</v>
      </c>
      <c r="W369" s="259">
        <f t="shared" si="280"/>
        <v>120648</v>
      </c>
      <c r="X369" s="260">
        <f t="shared" si="281"/>
        <v>28949202</v>
      </c>
      <c r="Y369" s="260">
        <f t="shared" si="282"/>
        <v>5194182</v>
      </c>
      <c r="Z369" s="260">
        <f t="shared" si="283"/>
        <v>34143384</v>
      </c>
      <c r="AA369" s="258">
        <v>1</v>
      </c>
      <c r="AB369" s="261">
        <f t="shared" si="284"/>
        <v>5598</v>
      </c>
      <c r="AC369" s="261">
        <v>0</v>
      </c>
      <c r="AD369" s="261">
        <f t="shared" si="285"/>
        <v>5598</v>
      </c>
      <c r="AE369" s="262">
        <f t="shared" si="286"/>
        <v>1584234</v>
      </c>
      <c r="AF369" s="262">
        <v>0</v>
      </c>
      <c r="AG369" s="262">
        <f t="shared" si="287"/>
        <v>1584234</v>
      </c>
      <c r="AH369" s="353">
        <v>1</v>
      </c>
      <c r="AI369" s="259">
        <f t="shared" si="288"/>
        <v>5796</v>
      </c>
      <c r="AJ369" s="259">
        <v>0</v>
      </c>
      <c r="AK369" s="259">
        <f t="shared" si="289"/>
        <v>5796</v>
      </c>
      <c r="AL369" s="260">
        <f t="shared" si="290"/>
        <v>1640268</v>
      </c>
      <c r="AM369" s="260">
        <v>0</v>
      </c>
      <c r="AN369" s="260">
        <f t="shared" si="291"/>
        <v>1640268</v>
      </c>
      <c r="AO369" s="457">
        <f t="shared" si="292"/>
        <v>458968</v>
      </c>
      <c r="AP369" s="456">
        <f t="shared" si="293"/>
        <v>129887944</v>
      </c>
      <c r="AQ369" s="263" t="e">
        <f>#REF!+AH369+AA369+T369+M369</f>
        <v>#REF!</v>
      </c>
      <c r="AR369" s="263">
        <f t="shared" si="252"/>
        <v>130116202</v>
      </c>
      <c r="AS369" s="263" t="e">
        <f t="shared" si="253"/>
        <v>#REF!</v>
      </c>
      <c r="AT369" s="263">
        <f t="shared" si="254"/>
        <v>130372060</v>
      </c>
      <c r="AU369" s="263" t="e">
        <f t="shared" si="255"/>
        <v>#REF!</v>
      </c>
      <c r="AV369" s="263">
        <f t="shared" si="256"/>
        <v>138182860</v>
      </c>
      <c r="AW369" s="263" t="e">
        <f t="shared" si="257"/>
        <v>#REF!</v>
      </c>
      <c r="AX369" s="263" t="e">
        <f>AV369+#REF!+AH369+AA369+T369</f>
        <v>#REF!</v>
      </c>
      <c r="AY369" s="263" t="e">
        <f t="shared" si="258"/>
        <v>#REF!</v>
      </c>
      <c r="AZ369" s="263" t="e">
        <f t="shared" si="259"/>
        <v>#REF!</v>
      </c>
      <c r="BA369" s="263" t="e">
        <f t="shared" si="260"/>
        <v>#REF!</v>
      </c>
      <c r="BB369" s="263" t="e">
        <f t="shared" si="261"/>
        <v>#REF!</v>
      </c>
      <c r="BC369" s="263" t="e">
        <f t="shared" si="262"/>
        <v>#REF!</v>
      </c>
      <c r="BD369" s="263" t="e">
        <f t="shared" si="263"/>
        <v>#REF!</v>
      </c>
      <c r="BE369" s="263" t="e">
        <f>BC369+AV369+#REF!+AH369+AA369</f>
        <v>#REF!</v>
      </c>
      <c r="BF369" s="263" t="e">
        <f t="shared" si="264"/>
        <v>#REF!</v>
      </c>
      <c r="BG369" s="263" t="e">
        <f t="shared" si="265"/>
        <v>#REF!</v>
      </c>
    </row>
    <row r="370" spans="1:59" ht="15.75">
      <c r="A370" s="338">
        <v>28</v>
      </c>
      <c r="B370" s="338" t="s">
        <v>1</v>
      </c>
      <c r="C370" s="258">
        <v>36</v>
      </c>
      <c r="D370" s="328" t="s">
        <v>1340</v>
      </c>
      <c r="E370" s="258" t="s">
        <v>9</v>
      </c>
      <c r="F370" s="431">
        <f t="array" ref="F370">MAX((IF(MNU_CODIGO_ALIMENTO_ENTREGA=CONCATENATE($C370,"_","P_"),MNU_GRAMAJE_REQUERIDO_TIPOA,"")))</f>
        <v>20</v>
      </c>
      <c r="G370" s="259">
        <f t="shared" si="266"/>
        <v>38388</v>
      </c>
      <c r="H370" s="259">
        <f t="shared" si="267"/>
        <v>15184</v>
      </c>
      <c r="I370" s="259">
        <f t="shared" si="268"/>
        <v>53572</v>
      </c>
      <c r="J370" s="260">
        <f t="shared" si="269"/>
        <v>5067216</v>
      </c>
      <c r="K370" s="260">
        <f t="shared" si="270"/>
        <v>2004288</v>
      </c>
      <c r="L370" s="260">
        <f t="shared" si="271"/>
        <v>7071504</v>
      </c>
      <c r="M370" s="432">
        <f t="array" ref="M370">MAX((IF(MNU_CODIGO_ALIMENTO_ENTREGA=CONCATENATE($C370,"_","P_"),MNU_GRAMAJE_REQUERIDO_TIPOB,"")))</f>
        <v>40</v>
      </c>
      <c r="N370" s="348">
        <f t="shared" si="272"/>
        <v>44555</v>
      </c>
      <c r="O370" s="348">
        <f t="shared" si="273"/>
        <v>3216</v>
      </c>
      <c r="P370" s="348">
        <f t="shared" si="274"/>
        <v>47771</v>
      </c>
      <c r="Q370" s="349">
        <f t="shared" si="275"/>
        <v>11807075</v>
      </c>
      <c r="R370" s="349">
        <f t="shared" si="276"/>
        <v>852240</v>
      </c>
      <c r="S370" s="349">
        <f t="shared" si="277"/>
        <v>12659315</v>
      </c>
      <c r="T370" s="353">
        <f t="array" ref="T370">MAX((IF(MNU_CODIGO_ALIMENTO_ENTREGA=CONCATENATE($C370,"_","P_"),MNU_GRAMAJE_REQUERIDO_TIPOC,"")))</f>
        <v>40</v>
      </c>
      <c r="U370" s="259">
        <f t="shared" si="278"/>
        <v>39781</v>
      </c>
      <c r="V370" s="259">
        <f t="shared" si="279"/>
        <v>6384</v>
      </c>
      <c r="W370" s="259">
        <f t="shared" si="280"/>
        <v>46165</v>
      </c>
      <c r="X370" s="260">
        <f t="shared" si="281"/>
        <v>10541965</v>
      </c>
      <c r="Y370" s="260">
        <f t="shared" si="282"/>
        <v>1691760</v>
      </c>
      <c r="Z370" s="260">
        <f t="shared" si="283"/>
        <v>12233725</v>
      </c>
      <c r="AA370" s="258">
        <f t="array" ref="AA370">MAX((IF(MNU_CODIGO_ALIMENTO_ENTREGA=CONCATENATE($C370,"_","P_"),MNU_GRAMAJE_REQUERIDO_TIPOM,"")))</f>
        <v>40</v>
      </c>
      <c r="AB370" s="261">
        <f t="shared" si="284"/>
        <v>2177</v>
      </c>
      <c r="AC370" s="261">
        <v>0</v>
      </c>
      <c r="AD370" s="261">
        <f t="shared" si="285"/>
        <v>2177</v>
      </c>
      <c r="AE370" s="262">
        <f t="shared" si="286"/>
        <v>576905</v>
      </c>
      <c r="AF370" s="262">
        <v>0</v>
      </c>
      <c r="AG370" s="262">
        <f t="shared" si="287"/>
        <v>576905</v>
      </c>
      <c r="AH370" s="353">
        <f t="array" ref="AH370">MAX((IF(MNU_CODIGO_ALIMENTO_ENTREGA=CONCATENATE($C370,"_","P_"),MNU_GRAMAJE_REQUERIDO_TIPOH,"")))</f>
        <v>40</v>
      </c>
      <c r="AI370" s="259">
        <f t="shared" si="288"/>
        <v>2254</v>
      </c>
      <c r="AJ370" s="259">
        <v>0</v>
      </c>
      <c r="AK370" s="259">
        <f t="shared" si="289"/>
        <v>2254</v>
      </c>
      <c r="AL370" s="260">
        <f t="shared" si="290"/>
        <v>597310</v>
      </c>
      <c r="AM370" s="260">
        <v>0</v>
      </c>
      <c r="AN370" s="260">
        <f t="shared" si="291"/>
        <v>597310</v>
      </c>
      <c r="AO370" s="457">
        <f t="shared" si="292"/>
        <v>151939</v>
      </c>
      <c r="AP370" s="456">
        <f t="shared" si="293"/>
        <v>33138759</v>
      </c>
      <c r="AQ370" s="263" t="e">
        <f>#REF!+AH370+AA370+T370+M370</f>
        <v>#REF!</v>
      </c>
      <c r="AR370" s="263">
        <f t="shared" si="252"/>
        <v>33227526</v>
      </c>
      <c r="AS370" s="263" t="e">
        <f t="shared" si="253"/>
        <v>#REF!</v>
      </c>
      <c r="AT370" s="263">
        <f t="shared" si="254"/>
        <v>33325893</v>
      </c>
      <c r="AU370" s="263" t="e">
        <f t="shared" si="255"/>
        <v>#REF!</v>
      </c>
      <c r="AV370" s="263">
        <f t="shared" si="256"/>
        <v>35869893</v>
      </c>
      <c r="AW370" s="263" t="e">
        <f t="shared" si="257"/>
        <v>#REF!</v>
      </c>
      <c r="AX370" s="263" t="e">
        <f>AV370+#REF!+AH370+AA370+T370</f>
        <v>#REF!</v>
      </c>
      <c r="AY370" s="263" t="e">
        <f t="shared" si="258"/>
        <v>#REF!</v>
      </c>
      <c r="AZ370" s="263" t="e">
        <f t="shared" si="259"/>
        <v>#REF!</v>
      </c>
      <c r="BA370" s="263" t="e">
        <f t="shared" si="260"/>
        <v>#REF!</v>
      </c>
      <c r="BB370" s="263" t="e">
        <f t="shared" si="261"/>
        <v>#REF!</v>
      </c>
      <c r="BC370" s="263" t="e">
        <f t="shared" si="262"/>
        <v>#REF!</v>
      </c>
      <c r="BD370" s="263" t="e">
        <f t="shared" si="263"/>
        <v>#REF!</v>
      </c>
      <c r="BE370" s="263" t="e">
        <f>BC370+AV370+#REF!+AH370+AA370</f>
        <v>#REF!</v>
      </c>
      <c r="BF370" s="263" t="e">
        <f t="shared" si="264"/>
        <v>#REF!</v>
      </c>
      <c r="BG370" s="263" t="e">
        <f t="shared" si="265"/>
        <v>#REF!</v>
      </c>
    </row>
    <row r="371" spans="1:59" ht="15.75">
      <c r="A371" s="338">
        <v>28</v>
      </c>
      <c r="B371" s="338" t="s">
        <v>1</v>
      </c>
      <c r="C371" s="258">
        <v>42</v>
      </c>
      <c r="D371" s="328" t="s">
        <v>61</v>
      </c>
      <c r="E371" s="258" t="s">
        <v>9</v>
      </c>
      <c r="F371" s="431">
        <f t="array" ref="F371">MAX((IF(MNU_CODIGO_ALIMENTO_ENTREGA=CONCATENATE($C371,"_","P_"),MNU_GRAMAJE_REQUERIDO_TIPOA,"")))</f>
        <v>100</v>
      </c>
      <c r="G371" s="259">
        <f t="shared" si="266"/>
        <v>126132</v>
      </c>
      <c r="H371" s="259">
        <f t="shared" si="267"/>
        <v>68328</v>
      </c>
      <c r="I371" s="259">
        <f t="shared" si="268"/>
        <v>194460</v>
      </c>
      <c r="J371" s="260">
        <f t="shared" si="269"/>
        <v>25730928</v>
      </c>
      <c r="K371" s="260">
        <f t="shared" si="270"/>
        <v>13938912</v>
      </c>
      <c r="L371" s="260">
        <f t="shared" si="271"/>
        <v>39669840</v>
      </c>
      <c r="M371" s="432">
        <f t="array" ref="M371">MAX((IF(MNU_CODIGO_ALIMENTO_ENTREGA=CONCATENATE($C371,"_","P_"),MNU_GRAMAJE_REQUERIDO_TIPOB,"")))</f>
        <v>100</v>
      </c>
      <c r="N371" s="348">
        <f t="shared" si="272"/>
        <v>120935</v>
      </c>
      <c r="O371" s="348">
        <f t="shared" si="273"/>
        <v>7638</v>
      </c>
      <c r="P371" s="348">
        <f t="shared" si="274"/>
        <v>128573</v>
      </c>
      <c r="Q371" s="349">
        <f t="shared" si="275"/>
        <v>24670740</v>
      </c>
      <c r="R371" s="349">
        <f t="shared" si="276"/>
        <v>1558152</v>
      </c>
      <c r="S371" s="349">
        <f t="shared" si="277"/>
        <v>26228892</v>
      </c>
      <c r="T371" s="353">
        <f t="array" ref="T371">MAX((IF(MNU_CODIGO_ALIMENTO_ENTREGA=CONCATENATE($C371,"_","P_"),MNU_GRAMAJE_REQUERIDO_TIPOC,"")))</f>
        <v>100</v>
      </c>
      <c r="U371" s="259">
        <f t="shared" si="278"/>
        <v>107977</v>
      </c>
      <c r="V371" s="259">
        <f t="shared" si="279"/>
        <v>15162</v>
      </c>
      <c r="W371" s="259">
        <f t="shared" si="280"/>
        <v>123139</v>
      </c>
      <c r="X371" s="260">
        <f t="shared" si="281"/>
        <v>22027308</v>
      </c>
      <c r="Y371" s="260">
        <f t="shared" si="282"/>
        <v>3093048</v>
      </c>
      <c r="Z371" s="260">
        <f t="shared" si="283"/>
        <v>25120356</v>
      </c>
      <c r="AA371" s="258">
        <f t="array" ref="AA371">MAX((IF(MNU_CODIGO_ALIMENTO_ENTREGA=CONCATENATE($C371,"_","P_"),MNU_GRAMAJE_REQUERIDO_TIPOM,"")))</f>
        <v>100</v>
      </c>
      <c r="AB371" s="261">
        <f t="shared" si="284"/>
        <v>5909</v>
      </c>
      <c r="AC371" s="261">
        <v>0</v>
      </c>
      <c r="AD371" s="261">
        <f t="shared" si="285"/>
        <v>5909</v>
      </c>
      <c r="AE371" s="262">
        <f t="shared" si="286"/>
        <v>1205436</v>
      </c>
      <c r="AF371" s="262">
        <v>0</v>
      </c>
      <c r="AG371" s="262">
        <f t="shared" si="287"/>
        <v>1205436</v>
      </c>
      <c r="AH371" s="353">
        <f t="array" ref="AH371">MAX((IF(MNU_CODIGO_ALIMENTO_ENTREGA=CONCATENATE($C371,"_","P_"),MNU_GRAMAJE_REQUERIDO_TIPOH,"")))</f>
        <v>100</v>
      </c>
      <c r="AI371" s="259">
        <f t="shared" si="288"/>
        <v>6118</v>
      </c>
      <c r="AJ371" s="259">
        <v>0</v>
      </c>
      <c r="AK371" s="259">
        <f t="shared" si="289"/>
        <v>6118</v>
      </c>
      <c r="AL371" s="260">
        <f t="shared" si="290"/>
        <v>1248072</v>
      </c>
      <c r="AM371" s="260">
        <v>0</v>
      </c>
      <c r="AN371" s="260">
        <f t="shared" si="291"/>
        <v>1248072</v>
      </c>
      <c r="AO371" s="457">
        <f t="shared" si="292"/>
        <v>458199</v>
      </c>
      <c r="AP371" s="456">
        <f t="shared" si="293"/>
        <v>93472596</v>
      </c>
      <c r="AQ371" s="263" t="e">
        <f>#REF!+AH371+AA371+T371+M371</f>
        <v>#REF!</v>
      </c>
      <c r="AR371" s="263">
        <f t="shared" si="252"/>
        <v>93713535</v>
      </c>
      <c r="AS371" s="263" t="e">
        <f t="shared" si="253"/>
        <v>#REF!</v>
      </c>
      <c r="AT371" s="263">
        <f t="shared" si="254"/>
        <v>93977274</v>
      </c>
      <c r="AU371" s="263" t="e">
        <f t="shared" si="255"/>
        <v>#REF!</v>
      </c>
      <c r="AV371" s="263">
        <f t="shared" si="256"/>
        <v>98628474</v>
      </c>
      <c r="AW371" s="263" t="e">
        <f t="shared" si="257"/>
        <v>#REF!</v>
      </c>
      <c r="AX371" s="263" t="e">
        <f>AV371+#REF!+AH371+AA371+T371</f>
        <v>#REF!</v>
      </c>
      <c r="AY371" s="263" t="e">
        <f t="shared" si="258"/>
        <v>#REF!</v>
      </c>
      <c r="AZ371" s="263" t="e">
        <f t="shared" si="259"/>
        <v>#REF!</v>
      </c>
      <c r="BA371" s="263" t="e">
        <f t="shared" si="260"/>
        <v>#REF!</v>
      </c>
      <c r="BB371" s="263" t="e">
        <f t="shared" si="261"/>
        <v>#REF!</v>
      </c>
      <c r="BC371" s="263" t="e">
        <f t="shared" si="262"/>
        <v>#REF!</v>
      </c>
      <c r="BD371" s="263" t="e">
        <f t="shared" si="263"/>
        <v>#REF!</v>
      </c>
      <c r="BE371" s="263" t="e">
        <f>BC371+AV371+#REF!+AH371+AA371</f>
        <v>#REF!</v>
      </c>
      <c r="BF371" s="263" t="e">
        <f t="shared" si="264"/>
        <v>#REF!</v>
      </c>
      <c r="BG371" s="263" t="e">
        <f t="shared" si="265"/>
        <v>#REF!</v>
      </c>
    </row>
    <row r="372" spans="1:59" ht="15.75">
      <c r="A372" s="338">
        <v>28</v>
      </c>
      <c r="B372" s="338" t="s">
        <v>1</v>
      </c>
      <c r="C372" s="258">
        <v>43</v>
      </c>
      <c r="D372" s="328" t="s">
        <v>62</v>
      </c>
      <c r="E372" s="258" t="s">
        <v>9</v>
      </c>
      <c r="F372" s="431">
        <f t="array" ref="F372">MAX((IF(MNU_CODIGO_ALIMENTO_ENTREGA=CONCATENATE($C372,"_","P_"),MNU_GRAMAJE_REQUERIDO_TIPOA,"")))</f>
        <v>100</v>
      </c>
      <c r="G372" s="259">
        <f t="shared" si="266"/>
        <v>131616</v>
      </c>
      <c r="H372" s="259">
        <f t="shared" si="267"/>
        <v>55042</v>
      </c>
      <c r="I372" s="259">
        <f t="shared" si="268"/>
        <v>186658</v>
      </c>
      <c r="J372" s="260">
        <f t="shared" si="269"/>
        <v>23427648</v>
      </c>
      <c r="K372" s="260">
        <f t="shared" si="270"/>
        <v>9797476</v>
      </c>
      <c r="L372" s="260">
        <f t="shared" si="271"/>
        <v>33225124</v>
      </c>
      <c r="M372" s="432">
        <f t="array" ref="M372">MAX((IF(MNU_CODIGO_ALIMENTO_ENTREGA=CONCATENATE($C372,"_","P_"),MNU_GRAMAJE_REQUERIDO_TIPOB,"")))</f>
        <v>100</v>
      </c>
      <c r="N372" s="348">
        <f t="shared" si="272"/>
        <v>108205</v>
      </c>
      <c r="O372" s="348">
        <f t="shared" si="273"/>
        <v>9246</v>
      </c>
      <c r="P372" s="348">
        <f t="shared" si="274"/>
        <v>117451</v>
      </c>
      <c r="Q372" s="349">
        <f t="shared" si="275"/>
        <v>19260490</v>
      </c>
      <c r="R372" s="349">
        <f t="shared" si="276"/>
        <v>1645788</v>
      </c>
      <c r="S372" s="349">
        <f t="shared" si="277"/>
        <v>20906278</v>
      </c>
      <c r="T372" s="353">
        <f t="array" ref="T372">MAX((IF(MNU_CODIGO_ALIMENTO_ENTREGA=CONCATENATE($C372,"_","P_"),MNU_GRAMAJE_REQUERIDO_TIPOC,"")))</f>
        <v>100</v>
      </c>
      <c r="U372" s="259">
        <f t="shared" si="278"/>
        <v>96611</v>
      </c>
      <c r="V372" s="259">
        <f t="shared" si="279"/>
        <v>18354</v>
      </c>
      <c r="W372" s="259">
        <f t="shared" si="280"/>
        <v>114965</v>
      </c>
      <c r="X372" s="260">
        <f t="shared" si="281"/>
        <v>17196758</v>
      </c>
      <c r="Y372" s="260">
        <f t="shared" si="282"/>
        <v>3267012</v>
      </c>
      <c r="Z372" s="260">
        <f t="shared" si="283"/>
        <v>20463770</v>
      </c>
      <c r="AA372" s="258">
        <f t="array" ref="AA372">MAX((IF(MNU_CODIGO_ALIMENTO_ENTREGA=CONCATENATE($C372,"_","P_"),MNU_GRAMAJE_REQUERIDO_TIPOM,"")))</f>
        <v>100</v>
      </c>
      <c r="AB372" s="261">
        <f t="shared" si="284"/>
        <v>5287</v>
      </c>
      <c r="AC372" s="261">
        <v>0</v>
      </c>
      <c r="AD372" s="261">
        <f t="shared" si="285"/>
        <v>5287</v>
      </c>
      <c r="AE372" s="262">
        <f t="shared" si="286"/>
        <v>941086</v>
      </c>
      <c r="AF372" s="262">
        <v>0</v>
      </c>
      <c r="AG372" s="262">
        <f t="shared" si="287"/>
        <v>941086</v>
      </c>
      <c r="AH372" s="353">
        <f t="array" ref="AH372">MAX((IF(MNU_CODIGO_ALIMENTO_ENTREGA=CONCATENATE($C372,"_","P_"),MNU_GRAMAJE_REQUERIDO_TIPOH,"")))</f>
        <v>100</v>
      </c>
      <c r="AI372" s="259">
        <f t="shared" si="288"/>
        <v>5474</v>
      </c>
      <c r="AJ372" s="259">
        <v>0</v>
      </c>
      <c r="AK372" s="259">
        <f t="shared" si="289"/>
        <v>5474</v>
      </c>
      <c r="AL372" s="260">
        <f t="shared" si="290"/>
        <v>974372</v>
      </c>
      <c r="AM372" s="260">
        <v>0</v>
      </c>
      <c r="AN372" s="260">
        <f t="shared" si="291"/>
        <v>974372</v>
      </c>
      <c r="AO372" s="457">
        <f t="shared" si="292"/>
        <v>429835</v>
      </c>
      <c r="AP372" s="456">
        <f t="shared" si="293"/>
        <v>76510630</v>
      </c>
      <c r="AQ372" s="263" t="e">
        <f>#REF!+AH372+AA372+T372+M372</f>
        <v>#REF!</v>
      </c>
      <c r="AR372" s="263">
        <f t="shared" si="252"/>
        <v>76726207</v>
      </c>
      <c r="AS372" s="263" t="e">
        <f t="shared" si="253"/>
        <v>#REF!</v>
      </c>
      <c r="AT372" s="263">
        <f t="shared" si="254"/>
        <v>76969384</v>
      </c>
      <c r="AU372" s="263" t="e">
        <f t="shared" si="255"/>
        <v>#REF!</v>
      </c>
      <c r="AV372" s="263">
        <f t="shared" si="256"/>
        <v>81882184</v>
      </c>
      <c r="AW372" s="263" t="e">
        <f t="shared" si="257"/>
        <v>#REF!</v>
      </c>
      <c r="AX372" s="263" t="e">
        <f>AV372+#REF!+AH372+AA372+T372</f>
        <v>#REF!</v>
      </c>
      <c r="AY372" s="263" t="e">
        <f t="shared" si="258"/>
        <v>#REF!</v>
      </c>
      <c r="AZ372" s="263" t="e">
        <f t="shared" si="259"/>
        <v>#REF!</v>
      </c>
      <c r="BA372" s="263" t="e">
        <f t="shared" si="260"/>
        <v>#REF!</v>
      </c>
      <c r="BB372" s="263" t="e">
        <f t="shared" si="261"/>
        <v>#REF!</v>
      </c>
      <c r="BC372" s="263" t="e">
        <f t="shared" si="262"/>
        <v>#REF!</v>
      </c>
      <c r="BD372" s="263" t="e">
        <f t="shared" si="263"/>
        <v>#REF!</v>
      </c>
      <c r="BE372" s="263" t="e">
        <f>BC372+AV372+#REF!+AH372+AA372</f>
        <v>#REF!</v>
      </c>
      <c r="BF372" s="263" t="e">
        <f t="shared" si="264"/>
        <v>#REF!</v>
      </c>
      <c r="BG372" s="263" t="e">
        <f t="shared" si="265"/>
        <v>#REF!</v>
      </c>
    </row>
    <row r="373" spans="1:59" ht="15.75">
      <c r="A373" s="338">
        <v>28</v>
      </c>
      <c r="B373" s="338" t="s">
        <v>1</v>
      </c>
      <c r="C373" s="258">
        <v>46</v>
      </c>
      <c r="D373" s="328" t="s">
        <v>64</v>
      </c>
      <c r="E373" s="258" t="s">
        <v>9</v>
      </c>
      <c r="F373" s="431">
        <f t="array" ref="F373">MAX((IF(MNU_CODIGO_ALIMENTO_ENTREGA=CONCATENATE($C373,"_","P_"),MNU_GRAMAJE_REQUERIDO_TIPOA,"")))</f>
        <v>100</v>
      </c>
      <c r="G373" s="259">
        <f t="shared" si="266"/>
        <v>164520</v>
      </c>
      <c r="H373" s="259">
        <f t="shared" si="267"/>
        <v>55042</v>
      </c>
      <c r="I373" s="259">
        <f t="shared" si="268"/>
        <v>219562</v>
      </c>
      <c r="J373" s="260">
        <f t="shared" si="269"/>
        <v>68769360</v>
      </c>
      <c r="K373" s="260">
        <f t="shared" si="270"/>
        <v>23007556</v>
      </c>
      <c r="L373" s="260">
        <f t="shared" si="271"/>
        <v>91776916</v>
      </c>
      <c r="M373" s="432">
        <f t="array" ref="M373">MAX((IF(MNU_CODIGO_ALIMENTO_ENTREGA=CONCATENATE($C373,"_","P_"),MNU_GRAMAJE_REQUERIDO_TIPOB,"")))</f>
        <v>100</v>
      </c>
      <c r="N373" s="348">
        <f t="shared" si="272"/>
        <v>133665</v>
      </c>
      <c r="O373" s="348">
        <f t="shared" si="273"/>
        <v>9648</v>
      </c>
      <c r="P373" s="348">
        <f t="shared" si="274"/>
        <v>143313</v>
      </c>
      <c r="Q373" s="349">
        <f t="shared" si="275"/>
        <v>55871970</v>
      </c>
      <c r="R373" s="349">
        <f t="shared" si="276"/>
        <v>4032864</v>
      </c>
      <c r="S373" s="349">
        <f t="shared" si="277"/>
        <v>59904834</v>
      </c>
      <c r="T373" s="353">
        <f t="array" ref="T373">MAX((IF(MNU_CODIGO_ALIMENTO_ENTREGA=CONCATENATE($C373,"_","P_"),MNU_GRAMAJE_REQUERIDO_TIPOC,"")))</f>
        <v>100</v>
      </c>
      <c r="U373" s="259">
        <f t="shared" si="278"/>
        <v>119343</v>
      </c>
      <c r="V373" s="259">
        <f t="shared" si="279"/>
        <v>19152</v>
      </c>
      <c r="W373" s="259">
        <f t="shared" si="280"/>
        <v>138495</v>
      </c>
      <c r="X373" s="260">
        <f t="shared" si="281"/>
        <v>49885374</v>
      </c>
      <c r="Y373" s="260">
        <f t="shared" si="282"/>
        <v>8005536</v>
      </c>
      <c r="Z373" s="260">
        <f t="shared" si="283"/>
        <v>57890910</v>
      </c>
      <c r="AA373" s="258">
        <f t="array" ref="AA373">MAX((IF(MNU_CODIGO_ALIMENTO_ENTREGA=CONCATENATE($C373,"_","P_"),MNU_GRAMAJE_REQUERIDO_TIPOM,"")))</f>
        <v>100</v>
      </c>
      <c r="AB373" s="261">
        <f t="shared" si="284"/>
        <v>6531</v>
      </c>
      <c r="AC373" s="261">
        <v>0</v>
      </c>
      <c r="AD373" s="261">
        <f t="shared" si="285"/>
        <v>6531</v>
      </c>
      <c r="AE373" s="262">
        <f t="shared" si="286"/>
        <v>2729958</v>
      </c>
      <c r="AF373" s="262">
        <v>0</v>
      </c>
      <c r="AG373" s="262">
        <f t="shared" si="287"/>
        <v>2729958</v>
      </c>
      <c r="AH373" s="353">
        <f t="array" ref="AH373">MAX((IF(MNU_CODIGO_ALIMENTO_ENTREGA=CONCATENATE($C373,"_","P_"),MNU_GRAMAJE_REQUERIDO_TIPOH,"")))</f>
        <v>100</v>
      </c>
      <c r="AI373" s="259">
        <f t="shared" si="288"/>
        <v>6762</v>
      </c>
      <c r="AJ373" s="259">
        <v>0</v>
      </c>
      <c r="AK373" s="259">
        <f t="shared" si="289"/>
        <v>6762</v>
      </c>
      <c r="AL373" s="260">
        <f t="shared" si="290"/>
        <v>2826516</v>
      </c>
      <c r="AM373" s="260">
        <v>0</v>
      </c>
      <c r="AN373" s="260">
        <f t="shared" si="291"/>
        <v>2826516</v>
      </c>
      <c r="AO373" s="457">
        <f t="shared" si="292"/>
        <v>514663</v>
      </c>
      <c r="AP373" s="456">
        <f t="shared" si="293"/>
        <v>215129134</v>
      </c>
      <c r="AQ373" s="263" t="e">
        <f>#REF!+AH373+AA373+T373+M373</f>
        <v>#REF!</v>
      </c>
      <c r="AR373" s="263">
        <f t="shared" si="252"/>
        <v>215395435</v>
      </c>
      <c r="AS373" s="263" t="e">
        <f t="shared" si="253"/>
        <v>#REF!</v>
      </c>
      <c r="AT373" s="263">
        <f t="shared" si="254"/>
        <v>215690536</v>
      </c>
      <c r="AU373" s="263" t="e">
        <f t="shared" si="255"/>
        <v>#REF!</v>
      </c>
      <c r="AV373" s="263">
        <f t="shared" si="256"/>
        <v>227728936</v>
      </c>
      <c r="AW373" s="263" t="e">
        <f t="shared" si="257"/>
        <v>#REF!</v>
      </c>
      <c r="AX373" s="263" t="e">
        <f>AV373+#REF!+AH373+AA373+T373</f>
        <v>#REF!</v>
      </c>
      <c r="AY373" s="263" t="e">
        <f t="shared" si="258"/>
        <v>#REF!</v>
      </c>
      <c r="AZ373" s="263" t="e">
        <f t="shared" si="259"/>
        <v>#REF!</v>
      </c>
      <c r="BA373" s="263" t="e">
        <f t="shared" si="260"/>
        <v>#REF!</v>
      </c>
      <c r="BB373" s="263" t="e">
        <f t="shared" si="261"/>
        <v>#REF!</v>
      </c>
      <c r="BC373" s="263" t="e">
        <f t="shared" si="262"/>
        <v>#REF!</v>
      </c>
      <c r="BD373" s="263" t="e">
        <f t="shared" si="263"/>
        <v>#REF!</v>
      </c>
      <c r="BE373" s="263" t="e">
        <f>BC373+AV373+#REF!+AH373+AA373</f>
        <v>#REF!</v>
      </c>
      <c r="BF373" s="263" t="e">
        <f t="shared" si="264"/>
        <v>#REF!</v>
      </c>
      <c r="BG373" s="263" t="e">
        <f t="shared" si="265"/>
        <v>#REF!</v>
      </c>
    </row>
    <row r="374" spans="1:59" ht="15.75">
      <c r="A374" s="338">
        <v>28</v>
      </c>
      <c r="B374" s="338" t="s">
        <v>1</v>
      </c>
      <c r="C374" s="258">
        <v>58</v>
      </c>
      <c r="D374" s="328" t="s">
        <v>67</v>
      </c>
      <c r="E374" s="258" t="s">
        <v>9</v>
      </c>
      <c r="F374" s="431">
        <f t="array" ref="F374">MAX((IF(MNU_CODIGO_ALIMENTO_ENTREGA=CONCATENATE($C374,"_","P_"),MNU_GRAMAJE_REQUERIDO_TIPOA,"")))</f>
        <v>100</v>
      </c>
      <c r="G374" s="259">
        <f t="shared" si="266"/>
        <v>131616</v>
      </c>
      <c r="H374" s="259">
        <f t="shared" si="267"/>
        <v>53144</v>
      </c>
      <c r="I374" s="259">
        <f t="shared" si="268"/>
        <v>184760</v>
      </c>
      <c r="J374" s="260">
        <f t="shared" si="269"/>
        <v>21321792</v>
      </c>
      <c r="K374" s="260">
        <f t="shared" si="270"/>
        <v>8609328</v>
      </c>
      <c r="L374" s="260">
        <f t="shared" si="271"/>
        <v>29931120</v>
      </c>
      <c r="M374" s="432">
        <f t="array" ref="M374">MAX((IF(MNU_CODIGO_ALIMENTO_ENTREGA=CONCATENATE($C374,"_","P_"),MNU_GRAMAJE_REQUERIDO_TIPOB,"")))</f>
        <v>100</v>
      </c>
      <c r="N374" s="348">
        <f t="shared" si="272"/>
        <v>146395</v>
      </c>
      <c r="O374" s="348">
        <f t="shared" si="273"/>
        <v>9246</v>
      </c>
      <c r="P374" s="348">
        <f t="shared" si="274"/>
        <v>155641</v>
      </c>
      <c r="Q374" s="349">
        <f t="shared" si="275"/>
        <v>23715990</v>
      </c>
      <c r="R374" s="349">
        <f t="shared" si="276"/>
        <v>1497852</v>
      </c>
      <c r="S374" s="349">
        <f t="shared" si="277"/>
        <v>25213842</v>
      </c>
      <c r="T374" s="353">
        <f t="array" ref="T374">MAX((IF(MNU_CODIGO_ALIMENTO_ENTREGA=CONCATENATE($C374,"_","P_"),MNU_GRAMAJE_REQUERIDO_TIPOC,"")))</f>
        <v>100</v>
      </c>
      <c r="U374" s="259">
        <f t="shared" si="278"/>
        <v>130709</v>
      </c>
      <c r="V374" s="259">
        <f t="shared" si="279"/>
        <v>18354</v>
      </c>
      <c r="W374" s="259">
        <f t="shared" si="280"/>
        <v>149063</v>
      </c>
      <c r="X374" s="260">
        <f t="shared" si="281"/>
        <v>21174858</v>
      </c>
      <c r="Y374" s="260">
        <f t="shared" si="282"/>
        <v>2973348</v>
      </c>
      <c r="Z374" s="260">
        <f t="shared" si="283"/>
        <v>24148206</v>
      </c>
      <c r="AA374" s="258">
        <f t="array" ref="AA374">MAX((IF(MNU_CODIGO_ALIMENTO_ENTREGA=CONCATENATE($C374,"_","P_"),MNU_GRAMAJE_REQUERIDO_TIPOM,"")))</f>
        <v>100</v>
      </c>
      <c r="AB374" s="261">
        <f t="shared" si="284"/>
        <v>7153</v>
      </c>
      <c r="AC374" s="261">
        <v>0</v>
      </c>
      <c r="AD374" s="261">
        <f t="shared" si="285"/>
        <v>7153</v>
      </c>
      <c r="AE374" s="262">
        <f t="shared" si="286"/>
        <v>1158786</v>
      </c>
      <c r="AF374" s="262">
        <v>0</v>
      </c>
      <c r="AG374" s="262">
        <f t="shared" si="287"/>
        <v>1158786</v>
      </c>
      <c r="AH374" s="353">
        <f t="array" ref="AH374">MAX((IF(MNU_CODIGO_ALIMENTO_ENTREGA=CONCATENATE($C374,"_","P_"),MNU_GRAMAJE_REQUERIDO_TIPOH,"")))</f>
        <v>100</v>
      </c>
      <c r="AI374" s="259">
        <f t="shared" si="288"/>
        <v>7406</v>
      </c>
      <c r="AJ374" s="259">
        <v>0</v>
      </c>
      <c r="AK374" s="259">
        <f t="shared" si="289"/>
        <v>7406</v>
      </c>
      <c r="AL374" s="260">
        <f t="shared" si="290"/>
        <v>1199772</v>
      </c>
      <c r="AM374" s="260">
        <v>0</v>
      </c>
      <c r="AN374" s="260">
        <f t="shared" si="291"/>
        <v>1199772</v>
      </c>
      <c r="AO374" s="457">
        <f t="shared" si="292"/>
        <v>504023</v>
      </c>
      <c r="AP374" s="456">
        <f t="shared" si="293"/>
        <v>81651726</v>
      </c>
      <c r="AQ374" s="263" t="e">
        <f>#REF!+AH374+AA374+T374+M374</f>
        <v>#REF!</v>
      </c>
      <c r="AR374" s="263">
        <f t="shared" si="252"/>
        <v>81943389</v>
      </c>
      <c r="AS374" s="263" t="e">
        <f t="shared" si="253"/>
        <v>#REF!</v>
      </c>
      <c r="AT374" s="263">
        <f t="shared" si="254"/>
        <v>82262652</v>
      </c>
      <c r="AU374" s="263" t="e">
        <f t="shared" si="255"/>
        <v>#REF!</v>
      </c>
      <c r="AV374" s="263">
        <f t="shared" si="256"/>
        <v>86733852</v>
      </c>
      <c r="AW374" s="263" t="e">
        <f t="shared" si="257"/>
        <v>#REF!</v>
      </c>
      <c r="AX374" s="263" t="e">
        <f>AV374+#REF!+AH374+AA374+T374</f>
        <v>#REF!</v>
      </c>
      <c r="AY374" s="263" t="e">
        <f t="shared" si="258"/>
        <v>#REF!</v>
      </c>
      <c r="AZ374" s="263" t="e">
        <f t="shared" si="259"/>
        <v>#REF!</v>
      </c>
      <c r="BA374" s="263" t="e">
        <f t="shared" si="260"/>
        <v>#REF!</v>
      </c>
      <c r="BB374" s="263" t="e">
        <f t="shared" si="261"/>
        <v>#REF!</v>
      </c>
      <c r="BC374" s="263" t="e">
        <f t="shared" si="262"/>
        <v>#REF!</v>
      </c>
      <c r="BD374" s="263" t="e">
        <f t="shared" si="263"/>
        <v>#REF!</v>
      </c>
      <c r="BE374" s="263" t="e">
        <f>BC374+AV374+#REF!+AH374+AA374</f>
        <v>#REF!</v>
      </c>
      <c r="BF374" s="263" t="e">
        <f t="shared" si="264"/>
        <v>#REF!</v>
      </c>
      <c r="BG374" s="263" t="e">
        <f t="shared" si="265"/>
        <v>#REF!</v>
      </c>
    </row>
    <row r="375" spans="1:59" ht="15.75">
      <c r="A375" s="338">
        <v>28</v>
      </c>
      <c r="B375" s="338" t="s">
        <v>1</v>
      </c>
      <c r="C375" s="258">
        <v>59</v>
      </c>
      <c r="D375" s="328" t="s">
        <v>99</v>
      </c>
      <c r="E375" s="258" t="s">
        <v>9</v>
      </c>
      <c r="F375" s="431">
        <f t="array" ref="F375">MAX((IF(MNU_CODIGO_ALIMENTO_ENTREGA=CONCATENATE($C375,"_","P_"),MNU_GRAMAJE_REQUERIDO_TIPOA,"")))</f>
        <v>0</v>
      </c>
      <c r="G375" s="259">
        <f t="shared" si="266"/>
        <v>0</v>
      </c>
      <c r="H375" s="259">
        <f t="shared" si="267"/>
        <v>0</v>
      </c>
      <c r="I375" s="259">
        <f t="shared" si="268"/>
        <v>0</v>
      </c>
      <c r="J375" s="260">
        <f t="shared" si="269"/>
        <v>0</v>
      </c>
      <c r="K375" s="260">
        <f t="shared" si="270"/>
        <v>0</v>
      </c>
      <c r="L375" s="260">
        <f t="shared" si="271"/>
        <v>0</v>
      </c>
      <c r="M375" s="432">
        <f t="array" ref="M375">MAX((IF(MNU_CODIGO_ALIMENTO_ENTREGA=CONCATENATE($C375,"_","P_"),MNU_GRAMAJE_REQUERIDO_TIPOB,"")))</f>
        <v>100</v>
      </c>
      <c r="N375" s="348">
        <f t="shared" si="272"/>
        <v>50920</v>
      </c>
      <c r="O375" s="348">
        <f t="shared" si="273"/>
        <v>4422</v>
      </c>
      <c r="P375" s="348">
        <f t="shared" si="274"/>
        <v>55342</v>
      </c>
      <c r="Q375" s="349">
        <f t="shared" si="275"/>
        <v>15276000</v>
      </c>
      <c r="R375" s="349">
        <f t="shared" si="276"/>
        <v>1326600</v>
      </c>
      <c r="S375" s="349">
        <f t="shared" si="277"/>
        <v>16602600</v>
      </c>
      <c r="T375" s="353">
        <f t="array" ref="T375">MAX((IF(MNU_CODIGO_ALIMENTO_ENTREGA=CONCATENATE($C375,"_","P_"),MNU_GRAMAJE_REQUERIDO_TIPOC,"")))</f>
        <v>100</v>
      </c>
      <c r="U375" s="259">
        <f t="shared" si="278"/>
        <v>45464</v>
      </c>
      <c r="V375" s="259">
        <f t="shared" si="279"/>
        <v>8778</v>
      </c>
      <c r="W375" s="259">
        <f t="shared" si="280"/>
        <v>54242</v>
      </c>
      <c r="X375" s="260">
        <f t="shared" si="281"/>
        <v>13639200</v>
      </c>
      <c r="Y375" s="260">
        <f t="shared" si="282"/>
        <v>2633400</v>
      </c>
      <c r="Z375" s="260">
        <f t="shared" si="283"/>
        <v>16272600</v>
      </c>
      <c r="AA375" s="258">
        <f t="array" ref="AA375">MAX((IF(MNU_CODIGO_ALIMENTO_ENTREGA=CONCATENATE($C375,"_","P_"),MNU_GRAMAJE_REQUERIDO_TIPOM,"")))</f>
        <v>100</v>
      </c>
      <c r="AB375" s="261">
        <f t="shared" si="284"/>
        <v>2488</v>
      </c>
      <c r="AC375" s="261">
        <v>0</v>
      </c>
      <c r="AD375" s="261">
        <f t="shared" si="285"/>
        <v>2488</v>
      </c>
      <c r="AE375" s="262">
        <f t="shared" si="286"/>
        <v>746400</v>
      </c>
      <c r="AF375" s="262">
        <v>0</v>
      </c>
      <c r="AG375" s="262">
        <f t="shared" si="287"/>
        <v>746400</v>
      </c>
      <c r="AH375" s="353">
        <f t="array" ref="AH375">MAX((IF(MNU_CODIGO_ALIMENTO_ENTREGA=CONCATENATE($C375,"_","P_"),MNU_GRAMAJE_REQUERIDO_TIPOH,"")))</f>
        <v>100</v>
      </c>
      <c r="AI375" s="259">
        <f t="shared" si="288"/>
        <v>2576</v>
      </c>
      <c r="AJ375" s="259">
        <v>0</v>
      </c>
      <c r="AK375" s="259">
        <f t="shared" si="289"/>
        <v>2576</v>
      </c>
      <c r="AL375" s="260">
        <f t="shared" si="290"/>
        <v>772800</v>
      </c>
      <c r="AM375" s="260">
        <v>0</v>
      </c>
      <c r="AN375" s="260">
        <f t="shared" si="291"/>
        <v>772800</v>
      </c>
      <c r="AO375" s="457">
        <f t="shared" si="292"/>
        <v>114648</v>
      </c>
      <c r="AP375" s="456">
        <f t="shared" si="293"/>
        <v>34394400</v>
      </c>
      <c r="AQ375" s="263" t="e">
        <f>#REF!+AH375+AA375+T375+M375</f>
        <v>#REF!</v>
      </c>
      <c r="AR375" s="263">
        <f t="shared" si="252"/>
        <v>34495848</v>
      </c>
      <c r="AS375" s="263" t="e">
        <f t="shared" si="253"/>
        <v>#REF!</v>
      </c>
      <c r="AT375" s="263">
        <f t="shared" si="254"/>
        <v>34610496</v>
      </c>
      <c r="AU375" s="263" t="e">
        <f t="shared" si="255"/>
        <v>#REF!</v>
      </c>
      <c r="AV375" s="263">
        <f t="shared" si="256"/>
        <v>38570496</v>
      </c>
      <c r="AW375" s="263" t="e">
        <f t="shared" si="257"/>
        <v>#REF!</v>
      </c>
      <c r="AX375" s="263" t="e">
        <f>AV375+#REF!+AH375+AA375+T375</f>
        <v>#REF!</v>
      </c>
      <c r="AY375" s="263" t="e">
        <f t="shared" si="258"/>
        <v>#REF!</v>
      </c>
      <c r="AZ375" s="263" t="e">
        <f t="shared" si="259"/>
        <v>#REF!</v>
      </c>
      <c r="BA375" s="263" t="e">
        <f t="shared" si="260"/>
        <v>#REF!</v>
      </c>
      <c r="BB375" s="263" t="e">
        <f t="shared" si="261"/>
        <v>#REF!</v>
      </c>
      <c r="BC375" s="263" t="e">
        <f t="shared" si="262"/>
        <v>#REF!</v>
      </c>
      <c r="BD375" s="263" t="e">
        <f t="shared" si="263"/>
        <v>#REF!</v>
      </c>
      <c r="BE375" s="263" t="e">
        <f>BC375+AV375+#REF!+AH375+AA375</f>
        <v>#REF!</v>
      </c>
      <c r="BF375" s="263" t="e">
        <f t="shared" si="264"/>
        <v>#REF!</v>
      </c>
      <c r="BG375" s="263" t="e">
        <f t="shared" si="265"/>
        <v>#REF!</v>
      </c>
    </row>
    <row r="376" spans="1:59" ht="15.75">
      <c r="A376" s="338">
        <v>28</v>
      </c>
      <c r="B376" s="338" t="s">
        <v>1</v>
      </c>
      <c r="C376" s="258">
        <v>69</v>
      </c>
      <c r="D376" s="328" t="s">
        <v>70</v>
      </c>
      <c r="E376" s="258" t="s">
        <v>9</v>
      </c>
      <c r="F376" s="431">
        <f t="array" ref="F376">MAX((IF(MNU_CODIGO_ALIMENTO_ENTREGA=CONCATENATE($C376,"_","P_"),MNU_GRAMAJE_REQUERIDO_TIPOA,"")))</f>
        <v>100</v>
      </c>
      <c r="G376" s="259">
        <f t="shared" si="266"/>
        <v>164520</v>
      </c>
      <c r="H376" s="259">
        <f t="shared" si="267"/>
        <v>34164</v>
      </c>
      <c r="I376" s="259">
        <f t="shared" si="268"/>
        <v>198684</v>
      </c>
      <c r="J376" s="260">
        <f t="shared" si="269"/>
        <v>52646400</v>
      </c>
      <c r="K376" s="260">
        <f t="shared" si="270"/>
        <v>10932480</v>
      </c>
      <c r="L376" s="260">
        <f t="shared" si="271"/>
        <v>63578880</v>
      </c>
      <c r="M376" s="432">
        <f t="array" ref="M376">MAX((IF(MNU_CODIGO_ALIMENTO_ENTREGA=CONCATENATE($C376,"_","P_"),MNU_GRAMAJE_REQUERIDO_TIPOB,"")))</f>
        <v>100</v>
      </c>
      <c r="N376" s="348">
        <f t="shared" si="272"/>
        <v>101840</v>
      </c>
      <c r="O376" s="348">
        <f t="shared" si="273"/>
        <v>4824</v>
      </c>
      <c r="P376" s="348">
        <f t="shared" si="274"/>
        <v>106664</v>
      </c>
      <c r="Q376" s="349">
        <f t="shared" si="275"/>
        <v>32588800</v>
      </c>
      <c r="R376" s="349">
        <f t="shared" si="276"/>
        <v>1543680</v>
      </c>
      <c r="S376" s="349">
        <f t="shared" si="277"/>
        <v>34132480</v>
      </c>
      <c r="T376" s="353">
        <f t="array" ref="T376">MAX((IF(MNU_CODIGO_ALIMENTO_ENTREGA=CONCATENATE($C376,"_","P_"),MNU_GRAMAJE_REQUERIDO_TIPOC,"")))</f>
        <v>100</v>
      </c>
      <c r="U376" s="259">
        <f t="shared" si="278"/>
        <v>90928</v>
      </c>
      <c r="V376" s="259">
        <f t="shared" si="279"/>
        <v>9576</v>
      </c>
      <c r="W376" s="259">
        <f t="shared" si="280"/>
        <v>100504</v>
      </c>
      <c r="X376" s="260">
        <f t="shared" si="281"/>
        <v>29096960</v>
      </c>
      <c r="Y376" s="260">
        <f t="shared" si="282"/>
        <v>3064320</v>
      </c>
      <c r="Z376" s="260">
        <f t="shared" si="283"/>
        <v>32161280</v>
      </c>
      <c r="AA376" s="258">
        <f t="array" ref="AA376">MAX((IF(MNU_CODIGO_ALIMENTO_ENTREGA=CONCATENATE($C376,"_","P_"),MNU_GRAMAJE_REQUERIDO_TIPOM,"")))</f>
        <v>100</v>
      </c>
      <c r="AB376" s="261">
        <f t="shared" si="284"/>
        <v>4976</v>
      </c>
      <c r="AC376" s="261">
        <v>0</v>
      </c>
      <c r="AD376" s="261">
        <f t="shared" si="285"/>
        <v>4976</v>
      </c>
      <c r="AE376" s="262">
        <f t="shared" si="286"/>
        <v>1592320</v>
      </c>
      <c r="AF376" s="262">
        <v>0</v>
      </c>
      <c r="AG376" s="262">
        <f t="shared" si="287"/>
        <v>1592320</v>
      </c>
      <c r="AH376" s="353">
        <f t="array" ref="AH376">MAX((IF(MNU_CODIGO_ALIMENTO_ENTREGA=CONCATENATE($C376,"_","P_"),MNU_GRAMAJE_REQUERIDO_TIPOH,"")))</f>
        <v>100</v>
      </c>
      <c r="AI376" s="259">
        <f t="shared" si="288"/>
        <v>5152</v>
      </c>
      <c r="AJ376" s="259">
        <v>0</v>
      </c>
      <c r="AK376" s="259">
        <f t="shared" si="289"/>
        <v>5152</v>
      </c>
      <c r="AL376" s="260">
        <f t="shared" si="290"/>
        <v>1648640</v>
      </c>
      <c r="AM376" s="260">
        <v>0</v>
      </c>
      <c r="AN376" s="260">
        <f t="shared" si="291"/>
        <v>1648640</v>
      </c>
      <c r="AO376" s="457">
        <f t="shared" si="292"/>
        <v>415980</v>
      </c>
      <c r="AP376" s="456">
        <f t="shared" si="293"/>
        <v>133113600</v>
      </c>
      <c r="AQ376" s="263" t="e">
        <f>#REF!+AH376+AA376+T376+M376</f>
        <v>#REF!</v>
      </c>
      <c r="AR376" s="263">
        <f t="shared" si="252"/>
        <v>133316496</v>
      </c>
      <c r="AS376" s="263" t="e">
        <f t="shared" si="253"/>
        <v>#REF!</v>
      </c>
      <c r="AT376" s="263">
        <f t="shared" si="254"/>
        <v>133533792</v>
      </c>
      <c r="AU376" s="263" t="e">
        <f t="shared" si="255"/>
        <v>#REF!</v>
      </c>
      <c r="AV376" s="263">
        <f t="shared" si="256"/>
        <v>138141792</v>
      </c>
      <c r="AW376" s="263" t="e">
        <f t="shared" si="257"/>
        <v>#REF!</v>
      </c>
      <c r="AX376" s="263" t="e">
        <f>AV376+#REF!+AH376+AA376+T376</f>
        <v>#REF!</v>
      </c>
      <c r="AY376" s="263" t="e">
        <f t="shared" si="258"/>
        <v>#REF!</v>
      </c>
      <c r="AZ376" s="263" t="e">
        <f t="shared" si="259"/>
        <v>#REF!</v>
      </c>
      <c r="BA376" s="263" t="e">
        <f t="shared" si="260"/>
        <v>#REF!</v>
      </c>
      <c r="BB376" s="263" t="e">
        <f t="shared" si="261"/>
        <v>#REF!</v>
      </c>
      <c r="BC376" s="263" t="e">
        <f t="shared" si="262"/>
        <v>#REF!</v>
      </c>
      <c r="BD376" s="263" t="e">
        <f t="shared" si="263"/>
        <v>#REF!</v>
      </c>
      <c r="BE376" s="263" t="e">
        <f>BC376+AV376+#REF!+AH376+AA376</f>
        <v>#REF!</v>
      </c>
      <c r="BF376" s="263" t="e">
        <f t="shared" si="264"/>
        <v>#REF!</v>
      </c>
      <c r="BG376" s="263" t="e">
        <f t="shared" si="265"/>
        <v>#REF!</v>
      </c>
    </row>
    <row r="377" spans="1:59" ht="15.75">
      <c r="A377" s="338">
        <v>28</v>
      </c>
      <c r="B377" s="338" t="s">
        <v>1</v>
      </c>
      <c r="C377" s="258">
        <v>70</v>
      </c>
      <c r="D377" s="328" t="s">
        <v>71</v>
      </c>
      <c r="E377" s="258" t="s">
        <v>9</v>
      </c>
      <c r="F377" s="431">
        <f t="array" ref="F377">MAX((IF(MNU_CODIGO_ALIMENTO_ENTREGA=CONCATENATE($C377,"_","P_"),MNU_GRAMAJE_REQUERIDO_TIPOA,"")))</f>
        <v>0</v>
      </c>
      <c r="G377" s="259">
        <f t="shared" si="266"/>
        <v>0</v>
      </c>
      <c r="H377" s="259">
        <f t="shared" si="267"/>
        <v>0</v>
      </c>
      <c r="I377" s="259">
        <f t="shared" si="268"/>
        <v>0</v>
      </c>
      <c r="J377" s="260">
        <f t="shared" si="269"/>
        <v>0</v>
      </c>
      <c r="K377" s="260">
        <f t="shared" si="270"/>
        <v>0</v>
      </c>
      <c r="L377" s="260">
        <f t="shared" si="271"/>
        <v>0</v>
      </c>
      <c r="M377" s="432">
        <f t="array" ref="M377">MAX((IF(MNU_CODIGO_ALIMENTO_ENTREGA=CONCATENATE($C377,"_","P_"),MNU_GRAMAJE_REQUERIDO_TIPOB,"")))</f>
        <v>100</v>
      </c>
      <c r="N377" s="348">
        <f t="shared" si="272"/>
        <v>63650</v>
      </c>
      <c r="O377" s="348">
        <f t="shared" si="273"/>
        <v>3216</v>
      </c>
      <c r="P377" s="348">
        <f t="shared" si="274"/>
        <v>66866</v>
      </c>
      <c r="Q377" s="349">
        <f t="shared" si="275"/>
        <v>29024400</v>
      </c>
      <c r="R377" s="349">
        <f t="shared" si="276"/>
        <v>1466496</v>
      </c>
      <c r="S377" s="349">
        <f t="shared" si="277"/>
        <v>30490896</v>
      </c>
      <c r="T377" s="353">
        <f t="array" ref="T377">MAX((IF(MNU_CODIGO_ALIMENTO_ENTREGA=CONCATENATE($C377,"_","P_"),MNU_GRAMAJE_REQUERIDO_TIPOC,"")))</f>
        <v>100</v>
      </c>
      <c r="U377" s="259">
        <f t="shared" si="278"/>
        <v>56830</v>
      </c>
      <c r="V377" s="259">
        <f t="shared" si="279"/>
        <v>6384</v>
      </c>
      <c r="W377" s="259">
        <f t="shared" si="280"/>
        <v>63214</v>
      </c>
      <c r="X377" s="260">
        <f t="shared" si="281"/>
        <v>25914480</v>
      </c>
      <c r="Y377" s="260">
        <f t="shared" si="282"/>
        <v>2911104</v>
      </c>
      <c r="Z377" s="260">
        <f t="shared" si="283"/>
        <v>28825584</v>
      </c>
      <c r="AA377" s="258">
        <f t="array" ref="AA377">MAX((IF(MNU_CODIGO_ALIMENTO_ENTREGA=CONCATENATE($C377,"_","P_"),MNU_GRAMAJE_REQUERIDO_TIPOM,"")))</f>
        <v>100</v>
      </c>
      <c r="AB377" s="261">
        <f t="shared" si="284"/>
        <v>3110</v>
      </c>
      <c r="AC377" s="261">
        <v>0</v>
      </c>
      <c r="AD377" s="261">
        <f t="shared" si="285"/>
        <v>3110</v>
      </c>
      <c r="AE377" s="262">
        <f t="shared" si="286"/>
        <v>1418160</v>
      </c>
      <c r="AF377" s="262">
        <v>0</v>
      </c>
      <c r="AG377" s="262">
        <f t="shared" si="287"/>
        <v>1418160</v>
      </c>
      <c r="AH377" s="353">
        <f t="array" ref="AH377">MAX((IF(MNU_CODIGO_ALIMENTO_ENTREGA=CONCATENATE($C377,"_","P_"),MNU_GRAMAJE_REQUERIDO_TIPOH,"")))</f>
        <v>100</v>
      </c>
      <c r="AI377" s="259">
        <f t="shared" si="288"/>
        <v>3220</v>
      </c>
      <c r="AJ377" s="259">
        <v>0</v>
      </c>
      <c r="AK377" s="259">
        <f t="shared" si="289"/>
        <v>3220</v>
      </c>
      <c r="AL377" s="260">
        <f t="shared" si="290"/>
        <v>1468320</v>
      </c>
      <c r="AM377" s="260">
        <v>0</v>
      </c>
      <c r="AN377" s="260">
        <f t="shared" si="291"/>
        <v>1468320</v>
      </c>
      <c r="AO377" s="457">
        <f t="shared" si="292"/>
        <v>136410</v>
      </c>
      <c r="AP377" s="456">
        <f t="shared" si="293"/>
        <v>62202960</v>
      </c>
      <c r="AQ377" s="263" t="e">
        <f>#REF!+AH377+AA377+T377+M377</f>
        <v>#REF!</v>
      </c>
      <c r="AR377" s="263">
        <f t="shared" si="252"/>
        <v>62329770</v>
      </c>
      <c r="AS377" s="263" t="e">
        <f t="shared" si="253"/>
        <v>#REF!</v>
      </c>
      <c r="AT377" s="263">
        <f t="shared" si="254"/>
        <v>62466180</v>
      </c>
      <c r="AU377" s="263" t="e">
        <f t="shared" si="255"/>
        <v>#REF!</v>
      </c>
      <c r="AV377" s="263">
        <f t="shared" si="256"/>
        <v>66843780</v>
      </c>
      <c r="AW377" s="263" t="e">
        <f t="shared" si="257"/>
        <v>#REF!</v>
      </c>
      <c r="AX377" s="263" t="e">
        <f>AV377+#REF!+AH377+AA377+T377</f>
        <v>#REF!</v>
      </c>
      <c r="AY377" s="263" t="e">
        <f t="shared" si="258"/>
        <v>#REF!</v>
      </c>
      <c r="AZ377" s="263" t="e">
        <f t="shared" si="259"/>
        <v>#REF!</v>
      </c>
      <c r="BA377" s="263" t="e">
        <f t="shared" si="260"/>
        <v>#REF!</v>
      </c>
      <c r="BB377" s="263" t="e">
        <f t="shared" si="261"/>
        <v>#REF!</v>
      </c>
      <c r="BC377" s="263" t="e">
        <f t="shared" si="262"/>
        <v>#REF!</v>
      </c>
      <c r="BD377" s="263" t="e">
        <f t="shared" si="263"/>
        <v>#REF!</v>
      </c>
      <c r="BE377" s="263" t="e">
        <f>BC377+AV377+#REF!+AH377+AA377</f>
        <v>#REF!</v>
      </c>
      <c r="BF377" s="263" t="e">
        <f t="shared" si="264"/>
        <v>#REF!</v>
      </c>
      <c r="BG377" s="263" t="e">
        <f t="shared" si="265"/>
        <v>#REF!</v>
      </c>
    </row>
    <row r="378" spans="1:59" ht="15.75">
      <c r="A378" s="338">
        <v>29</v>
      </c>
      <c r="B378" s="338" t="s">
        <v>1</v>
      </c>
      <c r="C378" s="258">
        <v>7</v>
      </c>
      <c r="D378" s="328" t="s">
        <v>57</v>
      </c>
      <c r="E378" s="258" t="s">
        <v>9</v>
      </c>
      <c r="F378" s="431">
        <f t="array" ref="F378">MAX((IF(MNU_CODIGO_ALIMENTO_ENTREGA=CONCATENATE($C378,"_","P_"),MNU_GRAMAJE_REQUERIDO_TIPOA,"")))</f>
        <v>100</v>
      </c>
      <c r="G378" s="259">
        <f t="shared" si="266"/>
        <v>131824</v>
      </c>
      <c r="H378" s="259">
        <f t="shared" si="267"/>
        <v>39587</v>
      </c>
      <c r="I378" s="259">
        <f t="shared" si="268"/>
        <v>171411</v>
      </c>
      <c r="J378" s="260">
        <f t="shared" si="269"/>
        <v>14764288</v>
      </c>
      <c r="K378" s="260">
        <f t="shared" si="270"/>
        <v>4433744</v>
      </c>
      <c r="L378" s="260">
        <f t="shared" si="271"/>
        <v>19198032</v>
      </c>
      <c r="M378" s="432">
        <f t="array" ref="M378">MAX((IF(MNU_CODIGO_ALIMENTO_ENTREGA=CONCATENATE($C378,"_","P_"),MNU_GRAMAJE_REQUERIDO_TIPOB,"")))</f>
        <v>100</v>
      </c>
      <c r="N378" s="348">
        <f t="shared" si="272"/>
        <v>68985</v>
      </c>
      <c r="O378" s="348">
        <f t="shared" si="273"/>
        <v>7876</v>
      </c>
      <c r="P378" s="348">
        <f t="shared" si="274"/>
        <v>76861</v>
      </c>
      <c r="Q378" s="349">
        <f t="shared" si="275"/>
        <v>7726320</v>
      </c>
      <c r="R378" s="349">
        <f t="shared" si="276"/>
        <v>882112</v>
      </c>
      <c r="S378" s="349">
        <f t="shared" si="277"/>
        <v>8608432</v>
      </c>
      <c r="T378" s="353">
        <f t="array" ref="T378">MAX((IF(MNU_CODIGO_ALIMENTO_ENTREGA=CONCATENATE($C378,"_","P_"),MNU_GRAMAJE_REQUERIDO_TIPOC,"")))</f>
        <v>100</v>
      </c>
      <c r="U378" s="259">
        <f t="shared" si="278"/>
        <v>83979</v>
      </c>
      <c r="V378" s="259">
        <f t="shared" si="279"/>
        <v>4499</v>
      </c>
      <c r="W378" s="259">
        <f t="shared" si="280"/>
        <v>88478</v>
      </c>
      <c r="X378" s="260">
        <f t="shared" si="281"/>
        <v>9405648</v>
      </c>
      <c r="Y378" s="260">
        <f t="shared" si="282"/>
        <v>503888</v>
      </c>
      <c r="Z378" s="260">
        <f t="shared" si="283"/>
        <v>9909536</v>
      </c>
      <c r="AA378" s="258">
        <f t="array" ref="AA378">MAX((IF(MNU_CODIGO_ALIMENTO_ENTREGA=CONCATENATE($C378,"_","P_"),MNU_GRAMAJE_REQUERIDO_TIPOM,"")))</f>
        <v>100</v>
      </c>
      <c r="AB378" s="261">
        <f t="shared" si="284"/>
        <v>2259</v>
      </c>
      <c r="AC378" s="261">
        <v>0</v>
      </c>
      <c r="AD378" s="261">
        <f t="shared" si="285"/>
        <v>2259</v>
      </c>
      <c r="AE378" s="262">
        <f t="shared" si="286"/>
        <v>253008</v>
      </c>
      <c r="AF378" s="262">
        <v>0</v>
      </c>
      <c r="AG378" s="262">
        <f t="shared" si="287"/>
        <v>253008</v>
      </c>
      <c r="AH378" s="353">
        <f t="array" ref="AH378">MAX((IF(MNU_CODIGO_ALIMENTO_ENTREGA=CONCATENATE($C378,"_","P_"),MNU_GRAMAJE_REQUERIDO_TIPOH,"")))</f>
        <v>100</v>
      </c>
      <c r="AI378" s="259">
        <f t="shared" si="288"/>
        <v>2673</v>
      </c>
      <c r="AJ378" s="259">
        <v>0</v>
      </c>
      <c r="AK378" s="259">
        <f t="shared" si="289"/>
        <v>2673</v>
      </c>
      <c r="AL378" s="260">
        <f t="shared" si="290"/>
        <v>299376</v>
      </c>
      <c r="AM378" s="260">
        <v>0</v>
      </c>
      <c r="AN378" s="260">
        <f t="shared" si="291"/>
        <v>299376</v>
      </c>
      <c r="AO378" s="457">
        <f t="shared" si="292"/>
        <v>341682</v>
      </c>
      <c r="AP378" s="456">
        <f t="shared" si="293"/>
        <v>38268384</v>
      </c>
      <c r="AQ378" s="263" t="e">
        <f>#REF!+AH378+AA378+T378+M378</f>
        <v>#REF!</v>
      </c>
      <c r="AR378" s="263">
        <f t="shared" si="252"/>
        <v>38426280</v>
      </c>
      <c r="AS378" s="263" t="e">
        <f t="shared" si="253"/>
        <v>#REF!</v>
      </c>
      <c r="AT378" s="263">
        <f t="shared" si="254"/>
        <v>38596551</v>
      </c>
      <c r="AU378" s="263" t="e">
        <f t="shared" si="255"/>
        <v>#REF!</v>
      </c>
      <c r="AV378" s="263">
        <f t="shared" si="256"/>
        <v>39982551</v>
      </c>
      <c r="AW378" s="263" t="e">
        <f t="shared" si="257"/>
        <v>#REF!</v>
      </c>
      <c r="AX378" s="263" t="e">
        <f>AV378+#REF!+AH378+AA378+T378</f>
        <v>#REF!</v>
      </c>
      <c r="AY378" s="263" t="e">
        <f t="shared" si="258"/>
        <v>#REF!</v>
      </c>
      <c r="AZ378" s="263" t="e">
        <f t="shared" si="259"/>
        <v>#REF!</v>
      </c>
      <c r="BA378" s="263" t="e">
        <f t="shared" si="260"/>
        <v>#REF!</v>
      </c>
      <c r="BB378" s="263" t="e">
        <f t="shared" si="261"/>
        <v>#REF!</v>
      </c>
      <c r="BC378" s="263" t="e">
        <f t="shared" si="262"/>
        <v>#REF!</v>
      </c>
      <c r="BD378" s="263" t="e">
        <f t="shared" si="263"/>
        <v>#REF!</v>
      </c>
      <c r="BE378" s="263" t="e">
        <f>BC378+AV378+#REF!+AH378+AA378</f>
        <v>#REF!</v>
      </c>
      <c r="BF378" s="263" t="e">
        <f t="shared" si="264"/>
        <v>#REF!</v>
      </c>
      <c r="BG378" s="263" t="e">
        <f t="shared" si="265"/>
        <v>#REF!</v>
      </c>
    </row>
    <row r="379" spans="1:59" ht="15.75">
      <c r="A379" s="338">
        <v>29</v>
      </c>
      <c r="B379" s="338" t="s">
        <v>1</v>
      </c>
      <c r="C379" s="258">
        <v>8</v>
      </c>
      <c r="D379" s="328" t="s">
        <v>55</v>
      </c>
      <c r="E379" s="258" t="s">
        <v>9</v>
      </c>
      <c r="F379" s="431">
        <f t="array" ref="F379">MAX((IF(MNU_CODIGO_ALIMENTO_ENTREGA=CONCATENATE($C379,"_","P_"),MNU_GRAMAJE_REQUERIDO_TIPOA,"")))</f>
        <v>100</v>
      </c>
      <c r="G379" s="259">
        <f t="shared" si="266"/>
        <v>59920</v>
      </c>
      <c r="H379" s="259">
        <f t="shared" si="267"/>
        <v>14047</v>
      </c>
      <c r="I379" s="259">
        <f t="shared" si="268"/>
        <v>73967</v>
      </c>
      <c r="J379" s="260">
        <f t="shared" si="269"/>
        <v>8448720</v>
      </c>
      <c r="K379" s="260">
        <f t="shared" si="270"/>
        <v>1980627</v>
      </c>
      <c r="L379" s="260">
        <f t="shared" si="271"/>
        <v>10429347</v>
      </c>
      <c r="M379" s="432">
        <f t="array" ref="M379">MAX((IF(MNU_CODIGO_ALIMENTO_ENTREGA=CONCATENATE($C379,"_","P_"),MNU_GRAMAJE_REQUERIDO_TIPOB,"")))</f>
        <v>100</v>
      </c>
      <c r="N379" s="348">
        <f t="shared" si="272"/>
        <v>61320</v>
      </c>
      <c r="O379" s="348">
        <f t="shared" si="273"/>
        <v>7876</v>
      </c>
      <c r="P379" s="348">
        <f t="shared" si="274"/>
        <v>69196</v>
      </c>
      <c r="Q379" s="349">
        <f t="shared" si="275"/>
        <v>8646120</v>
      </c>
      <c r="R379" s="349">
        <f t="shared" si="276"/>
        <v>1110516</v>
      </c>
      <c r="S379" s="349">
        <f t="shared" si="277"/>
        <v>9756636</v>
      </c>
      <c r="T379" s="353">
        <f t="array" ref="T379">MAX((IF(MNU_CODIGO_ALIMENTO_ENTREGA=CONCATENATE($C379,"_","P_"),MNU_GRAMAJE_REQUERIDO_TIPOC,"")))</f>
        <v>100</v>
      </c>
      <c r="U379" s="259">
        <f t="shared" si="278"/>
        <v>74648</v>
      </c>
      <c r="V379" s="259">
        <f t="shared" si="279"/>
        <v>4499</v>
      </c>
      <c r="W379" s="259">
        <f t="shared" si="280"/>
        <v>79147</v>
      </c>
      <c r="X379" s="260">
        <f t="shared" si="281"/>
        <v>10525368</v>
      </c>
      <c r="Y379" s="260">
        <f t="shared" si="282"/>
        <v>634359</v>
      </c>
      <c r="Z379" s="260">
        <f t="shared" si="283"/>
        <v>11159727</v>
      </c>
      <c r="AA379" s="258">
        <f t="array" ref="AA379">MAX((IF(MNU_CODIGO_ALIMENTO_ENTREGA=CONCATENATE($C379,"_","P_"),MNU_GRAMAJE_REQUERIDO_TIPOM,"")))</f>
        <v>100</v>
      </c>
      <c r="AB379" s="261">
        <f t="shared" si="284"/>
        <v>2008</v>
      </c>
      <c r="AC379" s="261">
        <v>0</v>
      </c>
      <c r="AD379" s="261">
        <f t="shared" si="285"/>
        <v>2008</v>
      </c>
      <c r="AE379" s="262">
        <f t="shared" si="286"/>
        <v>283128</v>
      </c>
      <c r="AF379" s="262">
        <v>0</v>
      </c>
      <c r="AG379" s="262">
        <f t="shared" si="287"/>
        <v>283128</v>
      </c>
      <c r="AH379" s="353">
        <f t="array" ref="AH379">MAX((IF(MNU_CODIGO_ALIMENTO_ENTREGA=CONCATENATE($C379,"_","P_"),MNU_GRAMAJE_REQUERIDO_TIPOH,"")))</f>
        <v>100</v>
      </c>
      <c r="AI379" s="259">
        <f t="shared" si="288"/>
        <v>2376</v>
      </c>
      <c r="AJ379" s="259">
        <v>0</v>
      </c>
      <c r="AK379" s="259">
        <f t="shared" si="289"/>
        <v>2376</v>
      </c>
      <c r="AL379" s="260">
        <f t="shared" si="290"/>
        <v>335016</v>
      </c>
      <c r="AM379" s="260">
        <v>0</v>
      </c>
      <c r="AN379" s="260">
        <f t="shared" si="291"/>
        <v>335016</v>
      </c>
      <c r="AO379" s="457">
        <f t="shared" si="292"/>
        <v>226694</v>
      </c>
      <c r="AP379" s="456">
        <f t="shared" si="293"/>
        <v>31963854</v>
      </c>
      <c r="AQ379" s="263" t="e">
        <f>#REF!+AH379+AA379+T379+M379</f>
        <v>#REF!</v>
      </c>
      <c r="AR379" s="263">
        <f t="shared" si="252"/>
        <v>32104206</v>
      </c>
      <c r="AS379" s="263" t="e">
        <f t="shared" si="253"/>
        <v>#REF!</v>
      </c>
      <c r="AT379" s="263">
        <f t="shared" si="254"/>
        <v>32256933</v>
      </c>
      <c r="AU379" s="263" t="e">
        <f t="shared" si="255"/>
        <v>#REF!</v>
      </c>
      <c r="AV379" s="263">
        <f t="shared" si="256"/>
        <v>34001808</v>
      </c>
      <c r="AW379" s="263" t="e">
        <f t="shared" si="257"/>
        <v>#REF!</v>
      </c>
      <c r="AX379" s="263" t="e">
        <f>AV379+#REF!+AH379+AA379+T379</f>
        <v>#REF!</v>
      </c>
      <c r="AY379" s="263" t="e">
        <f t="shared" si="258"/>
        <v>#REF!</v>
      </c>
      <c r="AZ379" s="263" t="e">
        <f t="shared" si="259"/>
        <v>#REF!</v>
      </c>
      <c r="BA379" s="263" t="e">
        <f t="shared" si="260"/>
        <v>#REF!</v>
      </c>
      <c r="BB379" s="263" t="e">
        <f t="shared" si="261"/>
        <v>#REF!</v>
      </c>
      <c r="BC379" s="263" t="e">
        <f t="shared" si="262"/>
        <v>#REF!</v>
      </c>
      <c r="BD379" s="263" t="e">
        <f t="shared" si="263"/>
        <v>#REF!</v>
      </c>
      <c r="BE379" s="263" t="e">
        <f>BC379+AV379+#REF!+AH379+AA379</f>
        <v>#REF!</v>
      </c>
      <c r="BF379" s="263" t="e">
        <f t="shared" si="264"/>
        <v>#REF!</v>
      </c>
      <c r="BG379" s="263" t="e">
        <f t="shared" si="265"/>
        <v>#REF!</v>
      </c>
    </row>
    <row r="380" spans="1:59" ht="15.75">
      <c r="A380" s="338">
        <v>29</v>
      </c>
      <c r="B380" s="338" t="s">
        <v>1</v>
      </c>
      <c r="C380" s="258">
        <v>17</v>
      </c>
      <c r="D380" s="328" t="s">
        <v>53</v>
      </c>
      <c r="E380" s="258" t="s">
        <v>9</v>
      </c>
      <c r="F380" s="431">
        <f t="array" ref="F380">MAX((IF(MNU_CODIGO_ALIMENTO_ENTREGA=CONCATENATE($C380,"_","P_"),MNU_GRAMAJE_REQUERIDO_TIPOA,"")))</f>
        <v>0</v>
      </c>
      <c r="G380" s="259">
        <f t="shared" si="266"/>
        <v>0</v>
      </c>
      <c r="H380" s="259">
        <f t="shared" si="267"/>
        <v>0</v>
      </c>
      <c r="I380" s="259">
        <f t="shared" si="268"/>
        <v>0</v>
      </c>
      <c r="J380" s="260">
        <f t="shared" si="269"/>
        <v>0</v>
      </c>
      <c r="K380" s="260">
        <f t="shared" si="270"/>
        <v>0</v>
      </c>
      <c r="L380" s="260">
        <f t="shared" si="271"/>
        <v>0</v>
      </c>
      <c r="M380" s="432">
        <f t="array" ref="M380">MAX((IF(MNU_CODIGO_ALIMENTO_ENTREGA=CONCATENATE($C380,"_","P_"),MNU_GRAMAJE_REQUERIDO_TIPOB,"")))</f>
        <v>100</v>
      </c>
      <c r="N380" s="348">
        <f t="shared" si="272"/>
        <v>160965</v>
      </c>
      <c r="O380" s="348">
        <f t="shared" si="273"/>
        <v>16468</v>
      </c>
      <c r="P380" s="348">
        <f t="shared" si="274"/>
        <v>177433</v>
      </c>
      <c r="Q380" s="349">
        <f t="shared" si="275"/>
        <v>38148705</v>
      </c>
      <c r="R380" s="349">
        <f t="shared" si="276"/>
        <v>3902916</v>
      </c>
      <c r="S380" s="349">
        <f t="shared" si="277"/>
        <v>42051621</v>
      </c>
      <c r="T380" s="353">
        <f t="array" ref="T380">MAX((IF(MNU_CODIGO_ALIMENTO_ENTREGA=CONCATENATE($C380,"_","P_"),MNU_GRAMAJE_REQUERIDO_TIPOC,"")))</f>
        <v>100</v>
      </c>
      <c r="U380" s="259">
        <f t="shared" si="278"/>
        <v>195951</v>
      </c>
      <c r="V380" s="259">
        <f t="shared" si="279"/>
        <v>9407</v>
      </c>
      <c r="W380" s="259">
        <f t="shared" si="280"/>
        <v>205358</v>
      </c>
      <c r="X380" s="260">
        <f t="shared" si="281"/>
        <v>46440387</v>
      </c>
      <c r="Y380" s="260">
        <f t="shared" si="282"/>
        <v>2229459</v>
      </c>
      <c r="Z380" s="260">
        <f t="shared" si="283"/>
        <v>48669846</v>
      </c>
      <c r="AA380" s="258">
        <f t="array" ref="AA380">MAX((IF(MNU_CODIGO_ALIMENTO_ENTREGA=CONCATENATE($C380,"_","P_"),MNU_GRAMAJE_REQUERIDO_TIPOM,"")))</f>
        <v>100</v>
      </c>
      <c r="AB380" s="261">
        <f t="shared" si="284"/>
        <v>5271</v>
      </c>
      <c r="AC380" s="261">
        <v>0</v>
      </c>
      <c r="AD380" s="261">
        <f t="shared" si="285"/>
        <v>5271</v>
      </c>
      <c r="AE380" s="262">
        <f t="shared" si="286"/>
        <v>1249227</v>
      </c>
      <c r="AF380" s="262">
        <v>0</v>
      </c>
      <c r="AG380" s="262">
        <f t="shared" si="287"/>
        <v>1249227</v>
      </c>
      <c r="AH380" s="353">
        <f t="array" ref="AH380">MAX((IF(MNU_CODIGO_ALIMENTO_ENTREGA=CONCATENATE($C380,"_","P_"),MNU_GRAMAJE_REQUERIDO_TIPOH,"")))</f>
        <v>100</v>
      </c>
      <c r="AI380" s="259">
        <f t="shared" si="288"/>
        <v>6237</v>
      </c>
      <c r="AJ380" s="259">
        <v>0</v>
      </c>
      <c r="AK380" s="259">
        <f t="shared" si="289"/>
        <v>6237</v>
      </c>
      <c r="AL380" s="260">
        <f t="shared" si="290"/>
        <v>1478169</v>
      </c>
      <c r="AM380" s="260">
        <v>0</v>
      </c>
      <c r="AN380" s="260">
        <f t="shared" si="291"/>
        <v>1478169</v>
      </c>
      <c r="AO380" s="457">
        <f t="shared" si="292"/>
        <v>394299</v>
      </c>
      <c r="AP380" s="456">
        <f t="shared" si="293"/>
        <v>93448863</v>
      </c>
      <c r="AQ380" s="263" t="e">
        <f>#REF!+AH380+AA380+T380+M380</f>
        <v>#REF!</v>
      </c>
      <c r="AR380" s="263">
        <f t="shared" si="252"/>
        <v>93817287</v>
      </c>
      <c r="AS380" s="263" t="e">
        <f t="shared" si="253"/>
        <v>#REF!</v>
      </c>
      <c r="AT380" s="263">
        <f t="shared" si="254"/>
        <v>94211586</v>
      </c>
      <c r="AU380" s="263" t="e">
        <f t="shared" si="255"/>
        <v>#REF!</v>
      </c>
      <c r="AV380" s="263">
        <f t="shared" si="256"/>
        <v>100343961</v>
      </c>
      <c r="AW380" s="263" t="e">
        <f t="shared" si="257"/>
        <v>#REF!</v>
      </c>
      <c r="AX380" s="263" t="e">
        <f>AV380+#REF!+AH380+AA380+T380</f>
        <v>#REF!</v>
      </c>
      <c r="AY380" s="263" t="e">
        <f t="shared" si="258"/>
        <v>#REF!</v>
      </c>
      <c r="AZ380" s="263" t="e">
        <f t="shared" si="259"/>
        <v>#REF!</v>
      </c>
      <c r="BA380" s="263" t="e">
        <f t="shared" si="260"/>
        <v>#REF!</v>
      </c>
      <c r="BB380" s="263" t="e">
        <f t="shared" si="261"/>
        <v>#REF!</v>
      </c>
      <c r="BC380" s="263" t="e">
        <f t="shared" si="262"/>
        <v>#REF!</v>
      </c>
      <c r="BD380" s="263" t="e">
        <f t="shared" si="263"/>
        <v>#REF!</v>
      </c>
      <c r="BE380" s="263" t="e">
        <f>BC380+AV380+#REF!+AH380+AA380</f>
        <v>#REF!</v>
      </c>
      <c r="BF380" s="263" t="e">
        <f t="shared" si="264"/>
        <v>#REF!</v>
      </c>
      <c r="BG380" s="263" t="e">
        <f t="shared" si="265"/>
        <v>#REF!</v>
      </c>
    </row>
    <row r="381" spans="1:59" ht="15.75">
      <c r="A381" s="338">
        <v>29</v>
      </c>
      <c r="B381" s="338" t="s">
        <v>1</v>
      </c>
      <c r="C381" s="258">
        <v>22</v>
      </c>
      <c r="D381" s="465" t="s">
        <v>51</v>
      </c>
      <c r="E381" s="258" t="s">
        <v>9</v>
      </c>
      <c r="F381" s="431">
        <f t="array" ref="F381">MAX((IF(MNU_CODIGO_ALIMENTO_ENTREGA=CONCATENATE($C381,"_","P_"),MNU_GRAMAJE_REQUERIDO_TIPOA,"")))</f>
        <v>0</v>
      </c>
      <c r="G381" s="259">
        <f t="shared" si="266"/>
        <v>0</v>
      </c>
      <c r="H381" s="259">
        <f t="shared" si="267"/>
        <v>0</v>
      </c>
      <c r="I381" s="259">
        <f t="shared" si="268"/>
        <v>0</v>
      </c>
      <c r="J381" s="260">
        <f t="shared" si="269"/>
        <v>0</v>
      </c>
      <c r="K381" s="260">
        <f t="shared" si="270"/>
        <v>0</v>
      </c>
      <c r="L381" s="260">
        <f t="shared" si="271"/>
        <v>0</v>
      </c>
      <c r="M381" s="432">
        <f t="array" ref="M381">MAX((IF(MNU_CODIGO_ALIMENTO_ENTREGA=CONCATENATE($C381,"_","P_"),MNU_GRAMAJE_REQUERIDO_TIPOB,"")))</f>
        <v>100</v>
      </c>
      <c r="N381" s="348">
        <f t="shared" si="272"/>
        <v>153300</v>
      </c>
      <c r="O381" s="348">
        <f t="shared" si="273"/>
        <v>16468</v>
      </c>
      <c r="P381" s="348">
        <f t="shared" si="274"/>
        <v>169768</v>
      </c>
      <c r="Q381" s="349">
        <f t="shared" si="275"/>
        <v>84468300</v>
      </c>
      <c r="R381" s="349">
        <f t="shared" si="276"/>
        <v>9073868</v>
      </c>
      <c r="S381" s="349">
        <f t="shared" si="277"/>
        <v>93542168</v>
      </c>
      <c r="T381" s="353">
        <f t="array" ref="T381">MAX((IF(MNU_CODIGO_ALIMENTO_ENTREGA=CONCATENATE($C381,"_","P_"),MNU_GRAMAJE_REQUERIDO_TIPOC,"")))</f>
        <v>100</v>
      </c>
      <c r="U381" s="259">
        <f t="shared" si="278"/>
        <v>186620</v>
      </c>
      <c r="V381" s="259">
        <f t="shared" si="279"/>
        <v>9407</v>
      </c>
      <c r="W381" s="259">
        <f t="shared" si="280"/>
        <v>196027</v>
      </c>
      <c r="X381" s="260">
        <f t="shared" si="281"/>
        <v>102827620</v>
      </c>
      <c r="Y381" s="260">
        <f t="shared" si="282"/>
        <v>5183257</v>
      </c>
      <c r="Z381" s="260">
        <f t="shared" si="283"/>
        <v>108010877</v>
      </c>
      <c r="AA381" s="258">
        <f t="array" ref="AA381">MAX((IF(MNU_CODIGO_ALIMENTO_ENTREGA=CONCATENATE($C381,"_","P_"),MNU_GRAMAJE_REQUERIDO_TIPOM,"")))</f>
        <v>100</v>
      </c>
      <c r="AB381" s="261">
        <f t="shared" si="284"/>
        <v>5020</v>
      </c>
      <c r="AC381" s="261">
        <v>0</v>
      </c>
      <c r="AD381" s="261">
        <f t="shared" si="285"/>
        <v>5020</v>
      </c>
      <c r="AE381" s="262">
        <f t="shared" si="286"/>
        <v>2766020</v>
      </c>
      <c r="AF381" s="262">
        <v>0</v>
      </c>
      <c r="AG381" s="262">
        <f t="shared" si="287"/>
        <v>2766020</v>
      </c>
      <c r="AH381" s="353">
        <f t="array" ref="AH381">MAX((IF(MNU_CODIGO_ALIMENTO_ENTREGA=CONCATENATE($C381,"_","P_"),MNU_GRAMAJE_REQUERIDO_TIPOH,"")))</f>
        <v>100</v>
      </c>
      <c r="AI381" s="259">
        <f t="shared" si="288"/>
        <v>5940</v>
      </c>
      <c r="AJ381" s="259">
        <v>0</v>
      </c>
      <c r="AK381" s="259">
        <f t="shared" si="289"/>
        <v>5940</v>
      </c>
      <c r="AL381" s="260">
        <f t="shared" si="290"/>
        <v>3272940</v>
      </c>
      <c r="AM381" s="260">
        <v>0</v>
      </c>
      <c r="AN381" s="260">
        <f t="shared" si="291"/>
        <v>3272940</v>
      </c>
      <c r="AO381" s="457">
        <f t="shared" si="292"/>
        <v>376755</v>
      </c>
      <c r="AP381" s="456">
        <f t="shared" si="293"/>
        <v>207592005</v>
      </c>
      <c r="AQ381" s="263" t="e">
        <f>#REF!+AH381+AA381+T381+M381</f>
        <v>#REF!</v>
      </c>
      <c r="AR381" s="263">
        <f t="shared" si="252"/>
        <v>207942885</v>
      </c>
      <c r="AS381" s="263" t="e">
        <f t="shared" si="253"/>
        <v>#REF!</v>
      </c>
      <c r="AT381" s="263">
        <f t="shared" si="254"/>
        <v>208319640</v>
      </c>
      <c r="AU381" s="263" t="e">
        <f t="shared" si="255"/>
        <v>#REF!</v>
      </c>
      <c r="AV381" s="263">
        <f t="shared" si="256"/>
        <v>222576765</v>
      </c>
      <c r="AW381" s="263" t="e">
        <f t="shared" si="257"/>
        <v>#REF!</v>
      </c>
      <c r="AX381" s="263" t="e">
        <f>AV381+#REF!+AH381+AA381+T381</f>
        <v>#REF!</v>
      </c>
      <c r="AY381" s="263" t="e">
        <f t="shared" si="258"/>
        <v>#REF!</v>
      </c>
      <c r="AZ381" s="263" t="e">
        <f t="shared" si="259"/>
        <v>#REF!</v>
      </c>
      <c r="BA381" s="263" t="e">
        <f t="shared" si="260"/>
        <v>#REF!</v>
      </c>
      <c r="BB381" s="263" t="e">
        <f t="shared" si="261"/>
        <v>#REF!</v>
      </c>
      <c r="BC381" s="263" t="e">
        <f t="shared" si="262"/>
        <v>#REF!</v>
      </c>
      <c r="BD381" s="263" t="e">
        <f t="shared" si="263"/>
        <v>#REF!</v>
      </c>
      <c r="BE381" s="263" t="e">
        <f>BC381+AV381+#REF!+AH381+AA381</f>
        <v>#REF!</v>
      </c>
      <c r="BF381" s="263" t="e">
        <f t="shared" si="264"/>
        <v>#REF!</v>
      </c>
      <c r="BG381" s="263" t="e">
        <f t="shared" si="265"/>
        <v>#REF!</v>
      </c>
    </row>
    <row r="382" spans="1:59" ht="15.75">
      <c r="A382" s="338">
        <v>29</v>
      </c>
      <c r="B382" s="338" t="s">
        <v>1</v>
      </c>
      <c r="C382" s="258">
        <v>33</v>
      </c>
      <c r="D382" s="328" t="s">
        <v>59</v>
      </c>
      <c r="E382" s="258" t="s">
        <v>48</v>
      </c>
      <c r="F382" s="431">
        <v>1</v>
      </c>
      <c r="G382" s="259">
        <f t="shared" si="266"/>
        <v>161784</v>
      </c>
      <c r="H382" s="259">
        <f t="shared" si="267"/>
        <v>37033</v>
      </c>
      <c r="I382" s="259">
        <f t="shared" si="268"/>
        <v>198817</v>
      </c>
      <c r="J382" s="260">
        <f t="shared" si="269"/>
        <v>45784872</v>
      </c>
      <c r="K382" s="260">
        <f t="shared" si="270"/>
        <v>10480339</v>
      </c>
      <c r="L382" s="260">
        <f t="shared" si="271"/>
        <v>56265211</v>
      </c>
      <c r="M382" s="432">
        <v>1</v>
      </c>
      <c r="N382" s="348">
        <f t="shared" si="272"/>
        <v>137970</v>
      </c>
      <c r="O382" s="348">
        <f t="shared" si="273"/>
        <v>16468</v>
      </c>
      <c r="P382" s="348">
        <f t="shared" si="274"/>
        <v>154438</v>
      </c>
      <c r="Q382" s="349">
        <f t="shared" si="275"/>
        <v>39045510</v>
      </c>
      <c r="R382" s="349">
        <f t="shared" si="276"/>
        <v>4660444</v>
      </c>
      <c r="S382" s="349">
        <f t="shared" si="277"/>
        <v>43705954</v>
      </c>
      <c r="T382" s="431">
        <v>1</v>
      </c>
      <c r="U382" s="259">
        <f t="shared" si="278"/>
        <v>167958</v>
      </c>
      <c r="V382" s="259">
        <f t="shared" si="279"/>
        <v>9407</v>
      </c>
      <c r="W382" s="259">
        <f t="shared" si="280"/>
        <v>177365</v>
      </c>
      <c r="X382" s="260">
        <f t="shared" si="281"/>
        <v>47532114</v>
      </c>
      <c r="Y382" s="260">
        <f t="shared" si="282"/>
        <v>2662181</v>
      </c>
      <c r="Z382" s="260">
        <f t="shared" si="283"/>
        <v>50194295</v>
      </c>
      <c r="AA382" s="258">
        <v>1</v>
      </c>
      <c r="AB382" s="261">
        <f t="shared" si="284"/>
        <v>4518</v>
      </c>
      <c r="AC382" s="261">
        <v>0</v>
      </c>
      <c r="AD382" s="261">
        <f t="shared" si="285"/>
        <v>4518</v>
      </c>
      <c r="AE382" s="262">
        <f t="shared" si="286"/>
        <v>1278594</v>
      </c>
      <c r="AF382" s="262">
        <v>0</v>
      </c>
      <c r="AG382" s="262">
        <f t="shared" si="287"/>
        <v>1278594</v>
      </c>
      <c r="AH382" s="353">
        <v>1</v>
      </c>
      <c r="AI382" s="259">
        <f t="shared" si="288"/>
        <v>5346</v>
      </c>
      <c r="AJ382" s="259">
        <v>0</v>
      </c>
      <c r="AK382" s="259">
        <f t="shared" si="289"/>
        <v>5346</v>
      </c>
      <c r="AL382" s="260">
        <f t="shared" si="290"/>
        <v>1512918</v>
      </c>
      <c r="AM382" s="260">
        <v>0</v>
      </c>
      <c r="AN382" s="260">
        <f t="shared" si="291"/>
        <v>1512918</v>
      </c>
      <c r="AO382" s="457">
        <f t="shared" si="292"/>
        <v>540484</v>
      </c>
      <c r="AP382" s="456">
        <f t="shared" si="293"/>
        <v>152956972</v>
      </c>
      <c r="AQ382" s="263" t="e">
        <f>#REF!+AH382+AA382+T382+M382</f>
        <v>#REF!</v>
      </c>
      <c r="AR382" s="263">
        <f t="shared" si="252"/>
        <v>153272764</v>
      </c>
      <c r="AS382" s="263" t="e">
        <f t="shared" si="253"/>
        <v>#REF!</v>
      </c>
      <c r="AT382" s="263">
        <f t="shared" si="254"/>
        <v>153614431</v>
      </c>
      <c r="AU382" s="263" t="e">
        <f t="shared" si="255"/>
        <v>#REF!</v>
      </c>
      <c r="AV382" s="263">
        <f t="shared" si="256"/>
        <v>160937056</v>
      </c>
      <c r="AW382" s="263" t="e">
        <f t="shared" si="257"/>
        <v>#REF!</v>
      </c>
      <c r="AX382" s="263" t="e">
        <f>AV382+#REF!+AH382+AA382+T382</f>
        <v>#REF!</v>
      </c>
      <c r="AY382" s="263" t="e">
        <f t="shared" si="258"/>
        <v>#REF!</v>
      </c>
      <c r="AZ382" s="263" t="e">
        <f t="shared" si="259"/>
        <v>#REF!</v>
      </c>
      <c r="BA382" s="263" t="e">
        <f t="shared" si="260"/>
        <v>#REF!</v>
      </c>
      <c r="BB382" s="263" t="e">
        <f t="shared" si="261"/>
        <v>#REF!</v>
      </c>
      <c r="BC382" s="263" t="e">
        <f t="shared" si="262"/>
        <v>#REF!</v>
      </c>
      <c r="BD382" s="263" t="e">
        <f t="shared" si="263"/>
        <v>#REF!</v>
      </c>
      <c r="BE382" s="263" t="e">
        <f>BC382+AV382+#REF!+AH382+AA382</f>
        <v>#REF!</v>
      </c>
      <c r="BF382" s="263" t="e">
        <f t="shared" si="264"/>
        <v>#REF!</v>
      </c>
      <c r="BG382" s="263" t="e">
        <f t="shared" si="265"/>
        <v>#REF!</v>
      </c>
    </row>
    <row r="383" spans="1:59" ht="15.75">
      <c r="A383" s="338">
        <v>29</v>
      </c>
      <c r="B383" s="338" t="s">
        <v>1</v>
      </c>
      <c r="C383" s="258">
        <v>36</v>
      </c>
      <c r="D383" s="328" t="s">
        <v>1340</v>
      </c>
      <c r="E383" s="258" t="s">
        <v>9</v>
      </c>
      <c r="F383" s="431">
        <f t="array" ref="F383">MAX((IF(MNU_CODIGO_ALIMENTO_ENTREGA=CONCATENATE($C383,"_","P_"),MNU_GRAMAJE_REQUERIDO_TIPOA,"")))</f>
        <v>20</v>
      </c>
      <c r="G383" s="259">
        <f t="shared" si="266"/>
        <v>41944</v>
      </c>
      <c r="H383" s="259">
        <f t="shared" si="267"/>
        <v>10216</v>
      </c>
      <c r="I383" s="259">
        <f t="shared" si="268"/>
        <v>52160</v>
      </c>
      <c r="J383" s="260">
        <f t="shared" si="269"/>
        <v>5536608</v>
      </c>
      <c r="K383" s="260">
        <f t="shared" si="270"/>
        <v>1348512</v>
      </c>
      <c r="L383" s="260">
        <f t="shared" si="271"/>
        <v>6885120</v>
      </c>
      <c r="M383" s="432">
        <f t="array" ref="M383">MAX((IF(MNU_CODIGO_ALIMENTO_ENTREGA=CONCATENATE($C383,"_","P_"),MNU_GRAMAJE_REQUERIDO_TIPOB,"")))</f>
        <v>40</v>
      </c>
      <c r="N383" s="348">
        <f t="shared" si="272"/>
        <v>53655</v>
      </c>
      <c r="O383" s="348">
        <f t="shared" si="273"/>
        <v>5728</v>
      </c>
      <c r="P383" s="348">
        <f t="shared" si="274"/>
        <v>59383</v>
      </c>
      <c r="Q383" s="349">
        <f t="shared" si="275"/>
        <v>14218575</v>
      </c>
      <c r="R383" s="349">
        <f t="shared" si="276"/>
        <v>1517920</v>
      </c>
      <c r="S383" s="349">
        <f t="shared" si="277"/>
        <v>15736495</v>
      </c>
      <c r="T383" s="353">
        <f t="array" ref="T383">MAX((IF(MNU_CODIGO_ALIMENTO_ENTREGA=CONCATENATE($C383,"_","P_"),MNU_GRAMAJE_REQUERIDO_TIPOC,"")))</f>
        <v>40</v>
      </c>
      <c r="U383" s="259">
        <f t="shared" si="278"/>
        <v>65317</v>
      </c>
      <c r="V383" s="259">
        <f t="shared" si="279"/>
        <v>3272</v>
      </c>
      <c r="W383" s="259">
        <f t="shared" si="280"/>
        <v>68589</v>
      </c>
      <c r="X383" s="260">
        <f t="shared" si="281"/>
        <v>17309005</v>
      </c>
      <c r="Y383" s="260">
        <f t="shared" si="282"/>
        <v>867080</v>
      </c>
      <c r="Z383" s="260">
        <f t="shared" si="283"/>
        <v>18176085</v>
      </c>
      <c r="AA383" s="258">
        <f t="array" ref="AA383">MAX((IF(MNU_CODIGO_ALIMENTO_ENTREGA=CONCATENATE($C383,"_","P_"),MNU_GRAMAJE_REQUERIDO_TIPOM,"")))</f>
        <v>40</v>
      </c>
      <c r="AB383" s="261">
        <f t="shared" si="284"/>
        <v>1757</v>
      </c>
      <c r="AC383" s="261">
        <v>0</v>
      </c>
      <c r="AD383" s="261">
        <f t="shared" si="285"/>
        <v>1757</v>
      </c>
      <c r="AE383" s="262">
        <f t="shared" si="286"/>
        <v>465605</v>
      </c>
      <c r="AF383" s="262">
        <v>0</v>
      </c>
      <c r="AG383" s="262">
        <f t="shared" si="287"/>
        <v>465605</v>
      </c>
      <c r="AH383" s="353">
        <f t="array" ref="AH383">MAX((IF(MNU_CODIGO_ALIMENTO_ENTREGA=CONCATENATE($C383,"_","P_"),MNU_GRAMAJE_REQUERIDO_TIPOH,"")))</f>
        <v>40</v>
      </c>
      <c r="AI383" s="259">
        <f t="shared" si="288"/>
        <v>2079</v>
      </c>
      <c r="AJ383" s="259">
        <v>0</v>
      </c>
      <c r="AK383" s="259">
        <f t="shared" si="289"/>
        <v>2079</v>
      </c>
      <c r="AL383" s="260">
        <f t="shared" si="290"/>
        <v>550935</v>
      </c>
      <c r="AM383" s="260">
        <v>0</v>
      </c>
      <c r="AN383" s="260">
        <f t="shared" si="291"/>
        <v>550935</v>
      </c>
      <c r="AO383" s="457">
        <f t="shared" si="292"/>
        <v>183968</v>
      </c>
      <c r="AP383" s="456">
        <f t="shared" si="293"/>
        <v>41814240</v>
      </c>
      <c r="AQ383" s="263" t="e">
        <f>#REF!+AH383+AA383+T383+M383</f>
        <v>#REF!</v>
      </c>
      <c r="AR383" s="263">
        <f t="shared" si="252"/>
        <v>41937048</v>
      </c>
      <c r="AS383" s="263" t="e">
        <f t="shared" si="253"/>
        <v>#REF!</v>
      </c>
      <c r="AT383" s="263">
        <f t="shared" si="254"/>
        <v>42068856</v>
      </c>
      <c r="AU383" s="263" t="e">
        <f t="shared" si="255"/>
        <v>#REF!</v>
      </c>
      <c r="AV383" s="263">
        <f t="shared" si="256"/>
        <v>44453856</v>
      </c>
      <c r="AW383" s="263" t="e">
        <f t="shared" si="257"/>
        <v>#REF!</v>
      </c>
      <c r="AX383" s="263" t="e">
        <f>AV383+#REF!+AH383+AA383+T383</f>
        <v>#REF!</v>
      </c>
      <c r="AY383" s="263" t="e">
        <f t="shared" si="258"/>
        <v>#REF!</v>
      </c>
      <c r="AZ383" s="263" t="e">
        <f t="shared" si="259"/>
        <v>#REF!</v>
      </c>
      <c r="BA383" s="263" t="e">
        <f t="shared" si="260"/>
        <v>#REF!</v>
      </c>
      <c r="BB383" s="263" t="e">
        <f t="shared" si="261"/>
        <v>#REF!</v>
      </c>
      <c r="BC383" s="263" t="e">
        <f t="shared" si="262"/>
        <v>#REF!</v>
      </c>
      <c r="BD383" s="263" t="e">
        <f t="shared" si="263"/>
        <v>#REF!</v>
      </c>
      <c r="BE383" s="263" t="e">
        <f>BC383+AV383+#REF!+AH383+AA383</f>
        <v>#REF!</v>
      </c>
      <c r="BF383" s="263" t="e">
        <f t="shared" si="264"/>
        <v>#REF!</v>
      </c>
      <c r="BG383" s="263" t="e">
        <f t="shared" si="265"/>
        <v>#REF!</v>
      </c>
    </row>
    <row r="384" spans="1:59" ht="15.75">
      <c r="A384" s="338">
        <v>29</v>
      </c>
      <c r="B384" s="338" t="s">
        <v>1</v>
      </c>
      <c r="C384" s="258">
        <v>42</v>
      </c>
      <c r="D384" s="328" t="s">
        <v>61</v>
      </c>
      <c r="E384" s="258" t="s">
        <v>9</v>
      </c>
      <c r="F384" s="431">
        <f t="array" ref="F384">MAX((IF(MNU_CODIGO_ALIMENTO_ENTREGA=CONCATENATE($C384,"_","P_"),MNU_GRAMAJE_REQUERIDO_TIPOA,"")))</f>
        <v>100</v>
      </c>
      <c r="G384" s="259">
        <f t="shared" si="266"/>
        <v>137816</v>
      </c>
      <c r="H384" s="259">
        <f t="shared" si="267"/>
        <v>45972</v>
      </c>
      <c r="I384" s="259">
        <f t="shared" si="268"/>
        <v>183788</v>
      </c>
      <c r="J384" s="260">
        <f t="shared" si="269"/>
        <v>28114464</v>
      </c>
      <c r="K384" s="260">
        <f t="shared" si="270"/>
        <v>9378288</v>
      </c>
      <c r="L384" s="260">
        <f t="shared" si="271"/>
        <v>37492752</v>
      </c>
      <c r="M384" s="432">
        <f t="array" ref="M384">MAX((IF(MNU_CODIGO_ALIMENTO_ENTREGA=CONCATENATE($C384,"_","P_"),MNU_GRAMAJE_REQUERIDO_TIPOB,"")))</f>
        <v>100</v>
      </c>
      <c r="N384" s="348">
        <f t="shared" si="272"/>
        <v>145635</v>
      </c>
      <c r="O384" s="348">
        <f t="shared" si="273"/>
        <v>13604</v>
      </c>
      <c r="P384" s="348">
        <f t="shared" si="274"/>
        <v>159239</v>
      </c>
      <c r="Q384" s="349">
        <f t="shared" si="275"/>
        <v>29709540</v>
      </c>
      <c r="R384" s="349">
        <f t="shared" si="276"/>
        <v>2775216</v>
      </c>
      <c r="S384" s="349">
        <f t="shared" si="277"/>
        <v>32484756</v>
      </c>
      <c r="T384" s="353">
        <f t="array" ref="T384">MAX((IF(MNU_CODIGO_ALIMENTO_ENTREGA=CONCATENATE($C384,"_","P_"),MNU_GRAMAJE_REQUERIDO_TIPOC,"")))</f>
        <v>100</v>
      </c>
      <c r="U384" s="259">
        <f t="shared" si="278"/>
        <v>177289</v>
      </c>
      <c r="V384" s="259">
        <f t="shared" si="279"/>
        <v>7771</v>
      </c>
      <c r="W384" s="259">
        <f t="shared" si="280"/>
        <v>185060</v>
      </c>
      <c r="X384" s="260">
        <f t="shared" si="281"/>
        <v>36166956</v>
      </c>
      <c r="Y384" s="260">
        <f t="shared" si="282"/>
        <v>1585284</v>
      </c>
      <c r="Z384" s="260">
        <f t="shared" si="283"/>
        <v>37752240</v>
      </c>
      <c r="AA384" s="258">
        <f t="array" ref="AA384">MAX((IF(MNU_CODIGO_ALIMENTO_ENTREGA=CONCATENATE($C384,"_","P_"),MNU_GRAMAJE_REQUERIDO_TIPOM,"")))</f>
        <v>100</v>
      </c>
      <c r="AB384" s="261">
        <f t="shared" si="284"/>
        <v>4769</v>
      </c>
      <c r="AC384" s="261">
        <v>0</v>
      </c>
      <c r="AD384" s="261">
        <f t="shared" si="285"/>
        <v>4769</v>
      </c>
      <c r="AE384" s="262">
        <f t="shared" si="286"/>
        <v>972876</v>
      </c>
      <c r="AF384" s="262">
        <v>0</v>
      </c>
      <c r="AG384" s="262">
        <f t="shared" si="287"/>
        <v>972876</v>
      </c>
      <c r="AH384" s="353">
        <f t="array" ref="AH384">MAX((IF(MNU_CODIGO_ALIMENTO_ENTREGA=CONCATENATE($C384,"_","P_"),MNU_GRAMAJE_REQUERIDO_TIPOH,"")))</f>
        <v>100</v>
      </c>
      <c r="AI384" s="259">
        <f t="shared" si="288"/>
        <v>5643</v>
      </c>
      <c r="AJ384" s="259">
        <v>0</v>
      </c>
      <c r="AK384" s="259">
        <f t="shared" si="289"/>
        <v>5643</v>
      </c>
      <c r="AL384" s="260">
        <f t="shared" si="290"/>
        <v>1151172</v>
      </c>
      <c r="AM384" s="260">
        <v>0</v>
      </c>
      <c r="AN384" s="260">
        <f t="shared" si="291"/>
        <v>1151172</v>
      </c>
      <c r="AO384" s="457">
        <f t="shared" si="292"/>
        <v>538499</v>
      </c>
      <c r="AP384" s="456">
        <f t="shared" si="293"/>
        <v>109853796</v>
      </c>
      <c r="AQ384" s="263" t="e">
        <f>#REF!+AH384+AA384+T384+M384</f>
        <v>#REF!</v>
      </c>
      <c r="AR384" s="263">
        <f t="shared" si="252"/>
        <v>110187132</v>
      </c>
      <c r="AS384" s="263" t="e">
        <f t="shared" si="253"/>
        <v>#REF!</v>
      </c>
      <c r="AT384" s="263">
        <f t="shared" si="254"/>
        <v>110541843</v>
      </c>
      <c r="AU384" s="263" t="e">
        <f t="shared" si="255"/>
        <v>#REF!</v>
      </c>
      <c r="AV384" s="263">
        <f t="shared" si="256"/>
        <v>114902343</v>
      </c>
      <c r="AW384" s="263" t="e">
        <f t="shared" si="257"/>
        <v>#REF!</v>
      </c>
      <c r="AX384" s="263" t="e">
        <f>AV384+#REF!+AH384+AA384+T384</f>
        <v>#REF!</v>
      </c>
      <c r="AY384" s="263" t="e">
        <f t="shared" si="258"/>
        <v>#REF!</v>
      </c>
      <c r="AZ384" s="263" t="e">
        <f t="shared" si="259"/>
        <v>#REF!</v>
      </c>
      <c r="BA384" s="263" t="e">
        <f t="shared" si="260"/>
        <v>#REF!</v>
      </c>
      <c r="BB384" s="263" t="e">
        <f t="shared" si="261"/>
        <v>#REF!</v>
      </c>
      <c r="BC384" s="263" t="e">
        <f t="shared" si="262"/>
        <v>#REF!</v>
      </c>
      <c r="BD384" s="263" t="e">
        <f t="shared" si="263"/>
        <v>#REF!</v>
      </c>
      <c r="BE384" s="263" t="e">
        <f>BC384+AV384+#REF!+AH384+AA384</f>
        <v>#REF!</v>
      </c>
      <c r="BF384" s="263" t="e">
        <f t="shared" si="264"/>
        <v>#REF!</v>
      </c>
      <c r="BG384" s="263" t="e">
        <f t="shared" si="265"/>
        <v>#REF!</v>
      </c>
    </row>
    <row r="385" spans="1:59" ht="15.75">
      <c r="A385" s="338">
        <v>29</v>
      </c>
      <c r="B385" s="338" t="s">
        <v>1</v>
      </c>
      <c r="C385" s="258">
        <v>43</v>
      </c>
      <c r="D385" s="328" t="s">
        <v>62</v>
      </c>
      <c r="E385" s="258" t="s">
        <v>9</v>
      </c>
      <c r="F385" s="431">
        <f t="array" ref="F385">MAX((IF(MNU_CODIGO_ALIMENTO_ENTREGA=CONCATENATE($C385,"_","P_"),MNU_GRAMAJE_REQUERIDO_TIPOA,"")))</f>
        <v>100</v>
      </c>
      <c r="G385" s="259">
        <f t="shared" si="266"/>
        <v>143808</v>
      </c>
      <c r="H385" s="259">
        <f t="shared" si="267"/>
        <v>37033</v>
      </c>
      <c r="I385" s="259">
        <f t="shared" si="268"/>
        <v>180841</v>
      </c>
      <c r="J385" s="260">
        <f t="shared" si="269"/>
        <v>25597824</v>
      </c>
      <c r="K385" s="260">
        <f t="shared" si="270"/>
        <v>6591874</v>
      </c>
      <c r="L385" s="260">
        <f t="shared" si="271"/>
        <v>32189698</v>
      </c>
      <c r="M385" s="432">
        <f t="array" ref="M385">MAX((IF(MNU_CODIGO_ALIMENTO_ENTREGA=CONCATENATE($C385,"_","P_"),MNU_GRAMAJE_REQUERIDO_TIPOB,"")))</f>
        <v>100</v>
      </c>
      <c r="N385" s="348">
        <f t="shared" si="272"/>
        <v>130305</v>
      </c>
      <c r="O385" s="348">
        <f t="shared" si="273"/>
        <v>16468</v>
      </c>
      <c r="P385" s="348">
        <f t="shared" si="274"/>
        <v>146773</v>
      </c>
      <c r="Q385" s="349">
        <f t="shared" si="275"/>
        <v>23194290</v>
      </c>
      <c r="R385" s="349">
        <f t="shared" si="276"/>
        <v>2931304</v>
      </c>
      <c r="S385" s="349">
        <f t="shared" si="277"/>
        <v>26125594</v>
      </c>
      <c r="T385" s="353">
        <f t="array" ref="T385">MAX((IF(MNU_CODIGO_ALIMENTO_ENTREGA=CONCATENATE($C385,"_","P_"),MNU_GRAMAJE_REQUERIDO_TIPOC,"")))</f>
        <v>100</v>
      </c>
      <c r="U385" s="259">
        <f t="shared" si="278"/>
        <v>158627</v>
      </c>
      <c r="V385" s="259">
        <f t="shared" si="279"/>
        <v>9407</v>
      </c>
      <c r="W385" s="259">
        <f t="shared" si="280"/>
        <v>168034</v>
      </c>
      <c r="X385" s="260">
        <f t="shared" si="281"/>
        <v>28235606</v>
      </c>
      <c r="Y385" s="260">
        <f t="shared" si="282"/>
        <v>1674446</v>
      </c>
      <c r="Z385" s="260">
        <f t="shared" si="283"/>
        <v>29910052</v>
      </c>
      <c r="AA385" s="258">
        <f t="array" ref="AA385">MAX((IF(MNU_CODIGO_ALIMENTO_ENTREGA=CONCATENATE($C385,"_","P_"),MNU_GRAMAJE_REQUERIDO_TIPOM,"")))</f>
        <v>100</v>
      </c>
      <c r="AB385" s="261">
        <f t="shared" si="284"/>
        <v>4267</v>
      </c>
      <c r="AC385" s="261">
        <v>0</v>
      </c>
      <c r="AD385" s="261">
        <f t="shared" si="285"/>
        <v>4267</v>
      </c>
      <c r="AE385" s="262">
        <f t="shared" si="286"/>
        <v>759526</v>
      </c>
      <c r="AF385" s="262">
        <v>0</v>
      </c>
      <c r="AG385" s="262">
        <f t="shared" si="287"/>
        <v>759526</v>
      </c>
      <c r="AH385" s="353">
        <f t="array" ref="AH385">MAX((IF(MNU_CODIGO_ALIMENTO_ENTREGA=CONCATENATE($C385,"_","P_"),MNU_GRAMAJE_REQUERIDO_TIPOH,"")))</f>
        <v>100</v>
      </c>
      <c r="AI385" s="259">
        <f t="shared" si="288"/>
        <v>5049</v>
      </c>
      <c r="AJ385" s="259">
        <v>0</v>
      </c>
      <c r="AK385" s="259">
        <f t="shared" si="289"/>
        <v>5049</v>
      </c>
      <c r="AL385" s="260">
        <f t="shared" si="290"/>
        <v>898722</v>
      </c>
      <c r="AM385" s="260">
        <v>0</v>
      </c>
      <c r="AN385" s="260">
        <f t="shared" si="291"/>
        <v>898722</v>
      </c>
      <c r="AO385" s="457">
        <f t="shared" si="292"/>
        <v>504964</v>
      </c>
      <c r="AP385" s="456">
        <f t="shared" si="293"/>
        <v>89883592</v>
      </c>
      <c r="AQ385" s="263" t="e">
        <f>#REF!+AH385+AA385+T385+M385</f>
        <v>#REF!</v>
      </c>
      <c r="AR385" s="263">
        <f t="shared" si="252"/>
        <v>90181840</v>
      </c>
      <c r="AS385" s="263" t="e">
        <f t="shared" si="253"/>
        <v>#REF!</v>
      </c>
      <c r="AT385" s="263">
        <f t="shared" si="254"/>
        <v>90505963</v>
      </c>
      <c r="AU385" s="263" t="e">
        <f t="shared" si="255"/>
        <v>#REF!</v>
      </c>
      <c r="AV385" s="263">
        <f t="shared" si="256"/>
        <v>95111713</v>
      </c>
      <c r="AW385" s="263" t="e">
        <f t="shared" si="257"/>
        <v>#REF!</v>
      </c>
      <c r="AX385" s="263" t="e">
        <f>AV385+#REF!+AH385+AA385+T385</f>
        <v>#REF!</v>
      </c>
      <c r="AY385" s="263" t="e">
        <f t="shared" si="258"/>
        <v>#REF!</v>
      </c>
      <c r="AZ385" s="263" t="e">
        <f t="shared" si="259"/>
        <v>#REF!</v>
      </c>
      <c r="BA385" s="263" t="e">
        <f t="shared" si="260"/>
        <v>#REF!</v>
      </c>
      <c r="BB385" s="263" t="e">
        <f t="shared" si="261"/>
        <v>#REF!</v>
      </c>
      <c r="BC385" s="263" t="e">
        <f t="shared" si="262"/>
        <v>#REF!</v>
      </c>
      <c r="BD385" s="263" t="e">
        <f t="shared" si="263"/>
        <v>#REF!</v>
      </c>
      <c r="BE385" s="263" t="e">
        <f>BC385+AV385+#REF!+AH385+AA385</f>
        <v>#REF!</v>
      </c>
      <c r="BF385" s="263" t="e">
        <f t="shared" si="264"/>
        <v>#REF!</v>
      </c>
      <c r="BG385" s="263" t="e">
        <f t="shared" si="265"/>
        <v>#REF!</v>
      </c>
    </row>
    <row r="386" spans="1:59" ht="15.75">
      <c r="A386" s="338">
        <v>29</v>
      </c>
      <c r="B386" s="338" t="s">
        <v>1</v>
      </c>
      <c r="C386" s="258">
        <v>46</v>
      </c>
      <c r="D386" s="328" t="s">
        <v>64</v>
      </c>
      <c r="E386" s="258" t="s">
        <v>9</v>
      </c>
      <c r="F386" s="431">
        <f t="array" ref="F386">MAX((IF(MNU_CODIGO_ALIMENTO_ENTREGA=CONCATENATE($C386,"_","P_"),MNU_GRAMAJE_REQUERIDO_TIPOA,"")))</f>
        <v>100</v>
      </c>
      <c r="G386" s="259">
        <f t="shared" si="266"/>
        <v>179760</v>
      </c>
      <c r="H386" s="259">
        <f t="shared" si="267"/>
        <v>37033</v>
      </c>
      <c r="I386" s="259">
        <f t="shared" si="268"/>
        <v>216793</v>
      </c>
      <c r="J386" s="260">
        <f t="shared" si="269"/>
        <v>75139680</v>
      </c>
      <c r="K386" s="260">
        <f t="shared" si="270"/>
        <v>15479794</v>
      </c>
      <c r="L386" s="260">
        <f t="shared" si="271"/>
        <v>90619474</v>
      </c>
      <c r="M386" s="432">
        <f t="array" ref="M386">MAX((IF(MNU_CODIGO_ALIMENTO_ENTREGA=CONCATENATE($C386,"_","P_"),MNU_GRAMAJE_REQUERIDO_TIPOB,"")))</f>
        <v>100</v>
      </c>
      <c r="N386" s="348">
        <f t="shared" si="272"/>
        <v>160965</v>
      </c>
      <c r="O386" s="348">
        <f t="shared" si="273"/>
        <v>17184</v>
      </c>
      <c r="P386" s="348">
        <f t="shared" si="274"/>
        <v>178149</v>
      </c>
      <c r="Q386" s="349">
        <f t="shared" si="275"/>
        <v>67283370</v>
      </c>
      <c r="R386" s="349">
        <f t="shared" si="276"/>
        <v>7182912</v>
      </c>
      <c r="S386" s="349">
        <f t="shared" si="277"/>
        <v>74466282</v>
      </c>
      <c r="T386" s="353">
        <f t="array" ref="T386">MAX((IF(MNU_CODIGO_ALIMENTO_ENTREGA=CONCATENATE($C386,"_","P_"),MNU_GRAMAJE_REQUERIDO_TIPOC,"")))</f>
        <v>100</v>
      </c>
      <c r="U386" s="259">
        <f t="shared" si="278"/>
        <v>195951</v>
      </c>
      <c r="V386" s="259">
        <f t="shared" si="279"/>
        <v>9816</v>
      </c>
      <c r="W386" s="259">
        <f t="shared" si="280"/>
        <v>205767</v>
      </c>
      <c r="X386" s="260">
        <f t="shared" si="281"/>
        <v>81907518</v>
      </c>
      <c r="Y386" s="260">
        <f t="shared" si="282"/>
        <v>4103088</v>
      </c>
      <c r="Z386" s="260">
        <f t="shared" si="283"/>
        <v>86010606</v>
      </c>
      <c r="AA386" s="258">
        <f t="array" ref="AA386">MAX((IF(MNU_CODIGO_ALIMENTO_ENTREGA=CONCATENATE($C386,"_","P_"),MNU_GRAMAJE_REQUERIDO_TIPOM,"")))</f>
        <v>100</v>
      </c>
      <c r="AB386" s="261">
        <f t="shared" si="284"/>
        <v>5271</v>
      </c>
      <c r="AC386" s="261">
        <v>0</v>
      </c>
      <c r="AD386" s="261">
        <f t="shared" si="285"/>
        <v>5271</v>
      </c>
      <c r="AE386" s="262">
        <f t="shared" si="286"/>
        <v>2203278</v>
      </c>
      <c r="AF386" s="262">
        <v>0</v>
      </c>
      <c r="AG386" s="262">
        <f t="shared" si="287"/>
        <v>2203278</v>
      </c>
      <c r="AH386" s="353">
        <f t="array" ref="AH386">MAX((IF(MNU_CODIGO_ALIMENTO_ENTREGA=CONCATENATE($C386,"_","P_"),MNU_GRAMAJE_REQUERIDO_TIPOH,"")))</f>
        <v>100</v>
      </c>
      <c r="AI386" s="259">
        <f t="shared" si="288"/>
        <v>6237</v>
      </c>
      <c r="AJ386" s="259">
        <v>0</v>
      </c>
      <c r="AK386" s="259">
        <f t="shared" si="289"/>
        <v>6237</v>
      </c>
      <c r="AL386" s="260">
        <f t="shared" si="290"/>
        <v>2607066</v>
      </c>
      <c r="AM386" s="260">
        <v>0</v>
      </c>
      <c r="AN386" s="260">
        <f t="shared" si="291"/>
        <v>2607066</v>
      </c>
      <c r="AO386" s="457">
        <f t="shared" si="292"/>
        <v>612217</v>
      </c>
      <c r="AP386" s="456">
        <f t="shared" si="293"/>
        <v>255906706</v>
      </c>
      <c r="AQ386" s="263" t="e">
        <f>#REF!+AH386+AA386+T386+M386</f>
        <v>#REF!</v>
      </c>
      <c r="AR386" s="263">
        <f t="shared" si="252"/>
        <v>256275130</v>
      </c>
      <c r="AS386" s="263" t="e">
        <f t="shared" si="253"/>
        <v>#REF!</v>
      </c>
      <c r="AT386" s="263">
        <f t="shared" si="254"/>
        <v>256670554</v>
      </c>
      <c r="AU386" s="263" t="e">
        <f t="shared" si="255"/>
        <v>#REF!</v>
      </c>
      <c r="AV386" s="263">
        <f t="shared" si="256"/>
        <v>267956554</v>
      </c>
      <c r="AW386" s="263" t="e">
        <f t="shared" si="257"/>
        <v>#REF!</v>
      </c>
      <c r="AX386" s="263" t="e">
        <f>AV386+#REF!+AH386+AA386+T386</f>
        <v>#REF!</v>
      </c>
      <c r="AY386" s="263" t="e">
        <f t="shared" si="258"/>
        <v>#REF!</v>
      </c>
      <c r="AZ386" s="263" t="e">
        <f t="shared" si="259"/>
        <v>#REF!</v>
      </c>
      <c r="BA386" s="263" t="e">
        <f t="shared" si="260"/>
        <v>#REF!</v>
      </c>
      <c r="BB386" s="263" t="e">
        <f t="shared" si="261"/>
        <v>#REF!</v>
      </c>
      <c r="BC386" s="263" t="e">
        <f t="shared" si="262"/>
        <v>#REF!</v>
      </c>
      <c r="BD386" s="263" t="e">
        <f t="shared" si="263"/>
        <v>#REF!</v>
      </c>
      <c r="BE386" s="263" t="e">
        <f>BC386+AV386+#REF!+AH386+AA386</f>
        <v>#REF!</v>
      </c>
      <c r="BF386" s="263" t="e">
        <f t="shared" si="264"/>
        <v>#REF!</v>
      </c>
      <c r="BG386" s="263" t="e">
        <f t="shared" si="265"/>
        <v>#REF!</v>
      </c>
    </row>
    <row r="387" spans="1:59" ht="15.75">
      <c r="A387" s="338">
        <v>29</v>
      </c>
      <c r="B387" s="338" t="s">
        <v>1</v>
      </c>
      <c r="C387" s="258">
        <v>58</v>
      </c>
      <c r="D387" s="328" t="s">
        <v>67</v>
      </c>
      <c r="E387" s="258" t="s">
        <v>9</v>
      </c>
      <c r="F387" s="431">
        <f t="array" ref="F387">MAX((IF(MNU_CODIGO_ALIMENTO_ENTREGA=CONCATENATE($C387,"_","P_"),MNU_GRAMAJE_REQUERIDO_TIPOA,"")))</f>
        <v>100</v>
      </c>
      <c r="G387" s="259">
        <f t="shared" si="266"/>
        <v>143808</v>
      </c>
      <c r="H387" s="259">
        <f t="shared" si="267"/>
        <v>35756</v>
      </c>
      <c r="I387" s="259">
        <f t="shared" si="268"/>
        <v>179564</v>
      </c>
      <c r="J387" s="260">
        <f t="shared" si="269"/>
        <v>23296896</v>
      </c>
      <c r="K387" s="260">
        <f t="shared" si="270"/>
        <v>5792472</v>
      </c>
      <c r="L387" s="260">
        <f t="shared" si="271"/>
        <v>29089368</v>
      </c>
      <c r="M387" s="432">
        <f t="array" ref="M387">MAX((IF(MNU_CODIGO_ALIMENTO_ENTREGA=CONCATENATE($C387,"_","P_"),MNU_GRAMAJE_REQUERIDO_TIPOB,"")))</f>
        <v>100</v>
      </c>
      <c r="N387" s="348">
        <f t="shared" si="272"/>
        <v>176295</v>
      </c>
      <c r="O387" s="348">
        <f t="shared" si="273"/>
        <v>16468</v>
      </c>
      <c r="P387" s="348">
        <f t="shared" si="274"/>
        <v>192763</v>
      </c>
      <c r="Q387" s="349">
        <f t="shared" si="275"/>
        <v>28559790</v>
      </c>
      <c r="R387" s="349">
        <f t="shared" si="276"/>
        <v>2667816</v>
      </c>
      <c r="S387" s="349">
        <f t="shared" si="277"/>
        <v>31227606</v>
      </c>
      <c r="T387" s="353">
        <f t="array" ref="T387">MAX((IF(MNU_CODIGO_ALIMENTO_ENTREGA=CONCATENATE($C387,"_","P_"),MNU_GRAMAJE_REQUERIDO_TIPOC,"")))</f>
        <v>100</v>
      </c>
      <c r="U387" s="259">
        <f t="shared" si="278"/>
        <v>214613</v>
      </c>
      <c r="V387" s="259">
        <f t="shared" si="279"/>
        <v>9407</v>
      </c>
      <c r="W387" s="259">
        <f t="shared" si="280"/>
        <v>224020</v>
      </c>
      <c r="X387" s="260">
        <f t="shared" si="281"/>
        <v>34767306</v>
      </c>
      <c r="Y387" s="260">
        <f t="shared" si="282"/>
        <v>1523934</v>
      </c>
      <c r="Z387" s="260">
        <f t="shared" si="283"/>
        <v>36291240</v>
      </c>
      <c r="AA387" s="258">
        <f t="array" ref="AA387">MAX((IF(MNU_CODIGO_ALIMENTO_ENTREGA=CONCATENATE($C387,"_","P_"),MNU_GRAMAJE_REQUERIDO_TIPOM,"")))</f>
        <v>100</v>
      </c>
      <c r="AB387" s="261">
        <f t="shared" si="284"/>
        <v>5773</v>
      </c>
      <c r="AC387" s="261">
        <v>0</v>
      </c>
      <c r="AD387" s="261">
        <f t="shared" si="285"/>
        <v>5773</v>
      </c>
      <c r="AE387" s="262">
        <f t="shared" si="286"/>
        <v>935226</v>
      </c>
      <c r="AF387" s="262">
        <v>0</v>
      </c>
      <c r="AG387" s="262">
        <f t="shared" si="287"/>
        <v>935226</v>
      </c>
      <c r="AH387" s="353">
        <f t="array" ref="AH387">MAX((IF(MNU_CODIGO_ALIMENTO_ENTREGA=CONCATENATE($C387,"_","P_"),MNU_GRAMAJE_REQUERIDO_TIPOH,"")))</f>
        <v>100</v>
      </c>
      <c r="AI387" s="259">
        <f t="shared" si="288"/>
        <v>6831</v>
      </c>
      <c r="AJ387" s="259">
        <v>0</v>
      </c>
      <c r="AK387" s="259">
        <f t="shared" si="289"/>
        <v>6831</v>
      </c>
      <c r="AL387" s="260">
        <f t="shared" si="290"/>
        <v>1106622</v>
      </c>
      <c r="AM387" s="260">
        <v>0</v>
      </c>
      <c r="AN387" s="260">
        <f t="shared" si="291"/>
        <v>1106622</v>
      </c>
      <c r="AO387" s="457">
        <f t="shared" si="292"/>
        <v>608951</v>
      </c>
      <c r="AP387" s="456">
        <f t="shared" si="293"/>
        <v>98650062</v>
      </c>
      <c r="AQ387" s="263" t="e">
        <f>#REF!+AH387+AA387+T387+M387</f>
        <v>#REF!</v>
      </c>
      <c r="AR387" s="263">
        <f t="shared" si="252"/>
        <v>99053574</v>
      </c>
      <c r="AS387" s="263" t="e">
        <f t="shared" si="253"/>
        <v>#REF!</v>
      </c>
      <c r="AT387" s="263">
        <f t="shared" si="254"/>
        <v>99482961</v>
      </c>
      <c r="AU387" s="263" t="e">
        <f t="shared" si="255"/>
        <v>#REF!</v>
      </c>
      <c r="AV387" s="263">
        <f t="shared" si="256"/>
        <v>103674711</v>
      </c>
      <c r="AW387" s="263" t="e">
        <f t="shared" si="257"/>
        <v>#REF!</v>
      </c>
      <c r="AX387" s="263" t="e">
        <f>AV387+#REF!+AH387+AA387+T387</f>
        <v>#REF!</v>
      </c>
      <c r="AY387" s="263" t="e">
        <f t="shared" si="258"/>
        <v>#REF!</v>
      </c>
      <c r="AZ387" s="263" t="e">
        <f t="shared" si="259"/>
        <v>#REF!</v>
      </c>
      <c r="BA387" s="263" t="e">
        <f t="shared" si="260"/>
        <v>#REF!</v>
      </c>
      <c r="BB387" s="263" t="e">
        <f t="shared" si="261"/>
        <v>#REF!</v>
      </c>
      <c r="BC387" s="263" t="e">
        <f t="shared" si="262"/>
        <v>#REF!</v>
      </c>
      <c r="BD387" s="263" t="e">
        <f t="shared" si="263"/>
        <v>#REF!</v>
      </c>
      <c r="BE387" s="263" t="e">
        <f>BC387+AV387+#REF!+AH387+AA387</f>
        <v>#REF!</v>
      </c>
      <c r="BF387" s="263" t="e">
        <f t="shared" si="264"/>
        <v>#REF!</v>
      </c>
      <c r="BG387" s="263" t="e">
        <f t="shared" si="265"/>
        <v>#REF!</v>
      </c>
    </row>
    <row r="388" spans="1:59" ht="15.75">
      <c r="A388" s="338">
        <v>29</v>
      </c>
      <c r="B388" s="338" t="s">
        <v>1</v>
      </c>
      <c r="C388" s="258">
        <v>59</v>
      </c>
      <c r="D388" s="328" t="s">
        <v>99</v>
      </c>
      <c r="E388" s="258" t="s">
        <v>9</v>
      </c>
      <c r="F388" s="431">
        <f t="array" ref="F388">MAX((IF(MNU_CODIGO_ALIMENTO_ENTREGA=CONCATENATE($C388,"_","P_"),MNU_GRAMAJE_REQUERIDO_TIPOA,"")))</f>
        <v>0</v>
      </c>
      <c r="G388" s="259">
        <f t="shared" si="266"/>
        <v>0</v>
      </c>
      <c r="H388" s="259">
        <f t="shared" si="267"/>
        <v>0</v>
      </c>
      <c r="I388" s="259">
        <f t="shared" si="268"/>
        <v>0</v>
      </c>
      <c r="J388" s="260">
        <f t="shared" si="269"/>
        <v>0</v>
      </c>
      <c r="K388" s="260">
        <f t="shared" si="270"/>
        <v>0</v>
      </c>
      <c r="L388" s="260">
        <f t="shared" si="271"/>
        <v>0</v>
      </c>
      <c r="M388" s="432">
        <f t="array" ref="M388">MAX((IF(MNU_CODIGO_ALIMENTO_ENTREGA=CONCATENATE($C388,"_","P_"),MNU_GRAMAJE_REQUERIDO_TIPOB,"")))</f>
        <v>100</v>
      </c>
      <c r="N388" s="348">
        <f t="shared" si="272"/>
        <v>61320</v>
      </c>
      <c r="O388" s="348">
        <f t="shared" si="273"/>
        <v>7876</v>
      </c>
      <c r="P388" s="348">
        <f t="shared" si="274"/>
        <v>69196</v>
      </c>
      <c r="Q388" s="349">
        <f t="shared" si="275"/>
        <v>18396000</v>
      </c>
      <c r="R388" s="349">
        <f t="shared" si="276"/>
        <v>2362800</v>
      </c>
      <c r="S388" s="349">
        <f t="shared" si="277"/>
        <v>20758800</v>
      </c>
      <c r="T388" s="353">
        <f t="array" ref="T388">MAX((IF(MNU_CODIGO_ALIMENTO_ENTREGA=CONCATENATE($C388,"_","P_"),MNU_GRAMAJE_REQUERIDO_TIPOC,"")))</f>
        <v>100</v>
      </c>
      <c r="U388" s="259">
        <f t="shared" si="278"/>
        <v>74648</v>
      </c>
      <c r="V388" s="259">
        <f t="shared" si="279"/>
        <v>4499</v>
      </c>
      <c r="W388" s="259">
        <f t="shared" si="280"/>
        <v>79147</v>
      </c>
      <c r="X388" s="260">
        <f t="shared" si="281"/>
        <v>22394400</v>
      </c>
      <c r="Y388" s="260">
        <f t="shared" si="282"/>
        <v>1349700</v>
      </c>
      <c r="Z388" s="260">
        <f t="shared" si="283"/>
        <v>23744100</v>
      </c>
      <c r="AA388" s="258">
        <f t="array" ref="AA388">MAX((IF(MNU_CODIGO_ALIMENTO_ENTREGA=CONCATENATE($C388,"_","P_"),MNU_GRAMAJE_REQUERIDO_TIPOM,"")))</f>
        <v>100</v>
      </c>
      <c r="AB388" s="261">
        <f t="shared" si="284"/>
        <v>2008</v>
      </c>
      <c r="AC388" s="261">
        <v>0</v>
      </c>
      <c r="AD388" s="261">
        <f t="shared" si="285"/>
        <v>2008</v>
      </c>
      <c r="AE388" s="262">
        <f t="shared" si="286"/>
        <v>602400</v>
      </c>
      <c r="AF388" s="262">
        <v>0</v>
      </c>
      <c r="AG388" s="262">
        <f t="shared" si="287"/>
        <v>602400</v>
      </c>
      <c r="AH388" s="353">
        <f t="array" ref="AH388">MAX((IF(MNU_CODIGO_ALIMENTO_ENTREGA=CONCATENATE($C388,"_","P_"),MNU_GRAMAJE_REQUERIDO_TIPOH,"")))</f>
        <v>100</v>
      </c>
      <c r="AI388" s="259">
        <f t="shared" si="288"/>
        <v>2376</v>
      </c>
      <c r="AJ388" s="259">
        <v>0</v>
      </c>
      <c r="AK388" s="259">
        <f t="shared" si="289"/>
        <v>2376</v>
      </c>
      <c r="AL388" s="260">
        <f t="shared" si="290"/>
        <v>712800</v>
      </c>
      <c r="AM388" s="260">
        <v>0</v>
      </c>
      <c r="AN388" s="260">
        <f t="shared" si="291"/>
        <v>712800</v>
      </c>
      <c r="AO388" s="457">
        <f t="shared" si="292"/>
        <v>152727</v>
      </c>
      <c r="AP388" s="456">
        <f t="shared" si="293"/>
        <v>45818100</v>
      </c>
      <c r="AQ388" s="263" t="e">
        <f>#REF!+AH388+AA388+T388+M388</f>
        <v>#REF!</v>
      </c>
      <c r="AR388" s="263">
        <f t="shared" si="252"/>
        <v>45958452</v>
      </c>
      <c r="AS388" s="263" t="e">
        <f t="shared" si="253"/>
        <v>#REF!</v>
      </c>
      <c r="AT388" s="263">
        <f t="shared" si="254"/>
        <v>46111179</v>
      </c>
      <c r="AU388" s="263" t="e">
        <f t="shared" si="255"/>
        <v>#REF!</v>
      </c>
      <c r="AV388" s="263">
        <f t="shared" si="256"/>
        <v>49823679</v>
      </c>
      <c r="AW388" s="263" t="e">
        <f t="shared" si="257"/>
        <v>#REF!</v>
      </c>
      <c r="AX388" s="263" t="e">
        <f>AV388+#REF!+AH388+AA388+T388</f>
        <v>#REF!</v>
      </c>
      <c r="AY388" s="263" t="e">
        <f t="shared" si="258"/>
        <v>#REF!</v>
      </c>
      <c r="AZ388" s="263" t="e">
        <f t="shared" si="259"/>
        <v>#REF!</v>
      </c>
      <c r="BA388" s="263" t="e">
        <f t="shared" si="260"/>
        <v>#REF!</v>
      </c>
      <c r="BB388" s="263" t="e">
        <f t="shared" si="261"/>
        <v>#REF!</v>
      </c>
      <c r="BC388" s="263" t="e">
        <f t="shared" si="262"/>
        <v>#REF!</v>
      </c>
      <c r="BD388" s="263" t="e">
        <f t="shared" si="263"/>
        <v>#REF!</v>
      </c>
      <c r="BE388" s="263" t="e">
        <f>BC388+AV388+#REF!+AH388+AA388</f>
        <v>#REF!</v>
      </c>
      <c r="BF388" s="263" t="e">
        <f t="shared" si="264"/>
        <v>#REF!</v>
      </c>
      <c r="BG388" s="263" t="e">
        <f t="shared" si="265"/>
        <v>#REF!</v>
      </c>
    </row>
    <row r="389" spans="1:59" ht="15.75">
      <c r="A389" s="338">
        <v>29</v>
      </c>
      <c r="B389" s="338" t="s">
        <v>1</v>
      </c>
      <c r="C389" s="258">
        <v>69</v>
      </c>
      <c r="D389" s="328" t="s">
        <v>70</v>
      </c>
      <c r="E389" s="258" t="s">
        <v>9</v>
      </c>
      <c r="F389" s="431">
        <f t="array" ref="F389">MAX((IF(MNU_CODIGO_ALIMENTO_ENTREGA=CONCATENATE($C389,"_","P_"),MNU_GRAMAJE_REQUERIDO_TIPOA,"")))</f>
        <v>100</v>
      </c>
      <c r="G389" s="259">
        <f t="shared" si="266"/>
        <v>179760</v>
      </c>
      <c r="H389" s="259">
        <f t="shared" si="267"/>
        <v>22986</v>
      </c>
      <c r="I389" s="259">
        <f t="shared" si="268"/>
        <v>202746</v>
      </c>
      <c r="J389" s="260">
        <f t="shared" si="269"/>
        <v>57523200</v>
      </c>
      <c r="K389" s="260">
        <f t="shared" si="270"/>
        <v>7355520</v>
      </c>
      <c r="L389" s="260">
        <f t="shared" si="271"/>
        <v>64878720</v>
      </c>
      <c r="M389" s="432">
        <f t="array" ref="M389">MAX((IF(MNU_CODIGO_ALIMENTO_ENTREGA=CONCATENATE($C389,"_","P_"),MNU_GRAMAJE_REQUERIDO_TIPOB,"")))</f>
        <v>100</v>
      </c>
      <c r="N389" s="348">
        <f t="shared" si="272"/>
        <v>122640</v>
      </c>
      <c r="O389" s="348">
        <f t="shared" si="273"/>
        <v>8592</v>
      </c>
      <c r="P389" s="348">
        <f t="shared" si="274"/>
        <v>131232</v>
      </c>
      <c r="Q389" s="349">
        <f t="shared" si="275"/>
        <v>39244800</v>
      </c>
      <c r="R389" s="349">
        <f t="shared" si="276"/>
        <v>2749440</v>
      </c>
      <c r="S389" s="349">
        <f t="shared" si="277"/>
        <v>41994240</v>
      </c>
      <c r="T389" s="353">
        <f t="array" ref="T389">MAX((IF(MNU_CODIGO_ALIMENTO_ENTREGA=CONCATENATE($C389,"_","P_"),MNU_GRAMAJE_REQUERIDO_TIPOC,"")))</f>
        <v>100</v>
      </c>
      <c r="U389" s="259">
        <f t="shared" si="278"/>
        <v>149296</v>
      </c>
      <c r="V389" s="259">
        <f t="shared" si="279"/>
        <v>4908</v>
      </c>
      <c r="W389" s="259">
        <f t="shared" si="280"/>
        <v>154204</v>
      </c>
      <c r="X389" s="260">
        <f t="shared" si="281"/>
        <v>47774720</v>
      </c>
      <c r="Y389" s="260">
        <f t="shared" si="282"/>
        <v>1570560</v>
      </c>
      <c r="Z389" s="260">
        <f t="shared" si="283"/>
        <v>49345280</v>
      </c>
      <c r="AA389" s="258">
        <f t="array" ref="AA389">MAX((IF(MNU_CODIGO_ALIMENTO_ENTREGA=CONCATENATE($C389,"_","P_"),MNU_GRAMAJE_REQUERIDO_TIPOM,"")))</f>
        <v>100</v>
      </c>
      <c r="AB389" s="261">
        <f t="shared" si="284"/>
        <v>4016</v>
      </c>
      <c r="AC389" s="261">
        <v>0</v>
      </c>
      <c r="AD389" s="261">
        <f t="shared" si="285"/>
        <v>4016</v>
      </c>
      <c r="AE389" s="262">
        <f t="shared" si="286"/>
        <v>1285120</v>
      </c>
      <c r="AF389" s="262">
        <v>0</v>
      </c>
      <c r="AG389" s="262">
        <f t="shared" si="287"/>
        <v>1285120</v>
      </c>
      <c r="AH389" s="353">
        <f t="array" ref="AH389">MAX((IF(MNU_CODIGO_ALIMENTO_ENTREGA=CONCATENATE($C389,"_","P_"),MNU_GRAMAJE_REQUERIDO_TIPOH,"")))</f>
        <v>100</v>
      </c>
      <c r="AI389" s="259">
        <f t="shared" si="288"/>
        <v>4752</v>
      </c>
      <c r="AJ389" s="259">
        <v>0</v>
      </c>
      <c r="AK389" s="259">
        <f t="shared" si="289"/>
        <v>4752</v>
      </c>
      <c r="AL389" s="260">
        <f t="shared" si="290"/>
        <v>1520640</v>
      </c>
      <c r="AM389" s="260">
        <v>0</v>
      </c>
      <c r="AN389" s="260">
        <f t="shared" si="291"/>
        <v>1520640</v>
      </c>
      <c r="AO389" s="457">
        <f t="shared" si="292"/>
        <v>496950</v>
      </c>
      <c r="AP389" s="456">
        <f t="shared" si="293"/>
        <v>159024000</v>
      </c>
      <c r="AQ389" s="263" t="e">
        <f>#REF!+AH389+AA389+T389+M389</f>
        <v>#REF!</v>
      </c>
      <c r="AR389" s="263">
        <f t="shared" si="252"/>
        <v>159304704</v>
      </c>
      <c r="AS389" s="263" t="e">
        <f t="shared" si="253"/>
        <v>#REF!</v>
      </c>
      <c r="AT389" s="263">
        <f t="shared" si="254"/>
        <v>159598908</v>
      </c>
      <c r="AU389" s="263" t="e">
        <f t="shared" si="255"/>
        <v>#REF!</v>
      </c>
      <c r="AV389" s="263">
        <f t="shared" si="256"/>
        <v>163918908</v>
      </c>
      <c r="AW389" s="263" t="e">
        <f t="shared" si="257"/>
        <v>#REF!</v>
      </c>
      <c r="AX389" s="263" t="e">
        <f>AV389+#REF!+AH389+AA389+T389</f>
        <v>#REF!</v>
      </c>
      <c r="AY389" s="263" t="e">
        <f t="shared" si="258"/>
        <v>#REF!</v>
      </c>
      <c r="AZ389" s="263" t="e">
        <f t="shared" si="259"/>
        <v>#REF!</v>
      </c>
      <c r="BA389" s="263" t="e">
        <f t="shared" si="260"/>
        <v>#REF!</v>
      </c>
      <c r="BB389" s="263" t="e">
        <f t="shared" si="261"/>
        <v>#REF!</v>
      </c>
      <c r="BC389" s="263" t="e">
        <f t="shared" si="262"/>
        <v>#REF!</v>
      </c>
      <c r="BD389" s="263" t="e">
        <f t="shared" si="263"/>
        <v>#REF!</v>
      </c>
      <c r="BE389" s="263" t="e">
        <f>BC389+AV389+#REF!+AH389+AA389</f>
        <v>#REF!</v>
      </c>
      <c r="BF389" s="263" t="e">
        <f t="shared" si="264"/>
        <v>#REF!</v>
      </c>
      <c r="BG389" s="263" t="e">
        <f t="shared" si="265"/>
        <v>#REF!</v>
      </c>
    </row>
    <row r="390" spans="1:59" ht="15.75">
      <c r="A390" s="338">
        <v>29</v>
      </c>
      <c r="B390" s="338" t="s">
        <v>1</v>
      </c>
      <c r="C390" s="258">
        <v>70</v>
      </c>
      <c r="D390" s="328" t="s">
        <v>71</v>
      </c>
      <c r="E390" s="258" t="s">
        <v>9</v>
      </c>
      <c r="F390" s="431">
        <f t="array" ref="F390">MAX((IF(MNU_CODIGO_ALIMENTO_ENTREGA=CONCATENATE($C390,"_","P_"),MNU_GRAMAJE_REQUERIDO_TIPOA,"")))</f>
        <v>0</v>
      </c>
      <c r="G390" s="259">
        <f t="shared" si="266"/>
        <v>0</v>
      </c>
      <c r="H390" s="259">
        <f t="shared" si="267"/>
        <v>0</v>
      </c>
      <c r="I390" s="259">
        <f t="shared" si="268"/>
        <v>0</v>
      </c>
      <c r="J390" s="260">
        <f t="shared" si="269"/>
        <v>0</v>
      </c>
      <c r="K390" s="260">
        <f t="shared" si="270"/>
        <v>0</v>
      </c>
      <c r="L390" s="260">
        <f t="shared" si="271"/>
        <v>0</v>
      </c>
      <c r="M390" s="432">
        <f t="array" ref="M390">MAX((IF(MNU_CODIGO_ALIMENTO_ENTREGA=CONCATENATE($C390,"_","P_"),MNU_GRAMAJE_REQUERIDO_TIPOB,"")))</f>
        <v>100</v>
      </c>
      <c r="N390" s="348">
        <f t="shared" si="272"/>
        <v>76650</v>
      </c>
      <c r="O390" s="348">
        <f t="shared" si="273"/>
        <v>5728</v>
      </c>
      <c r="P390" s="348">
        <f t="shared" si="274"/>
        <v>82378</v>
      </c>
      <c r="Q390" s="349">
        <f t="shared" si="275"/>
        <v>34952400</v>
      </c>
      <c r="R390" s="349">
        <f t="shared" si="276"/>
        <v>2611968</v>
      </c>
      <c r="S390" s="349">
        <f t="shared" si="277"/>
        <v>37564368</v>
      </c>
      <c r="T390" s="353">
        <f t="array" ref="T390">MAX((IF(MNU_CODIGO_ALIMENTO_ENTREGA=CONCATENATE($C390,"_","P_"),MNU_GRAMAJE_REQUERIDO_TIPOC,"")))</f>
        <v>100</v>
      </c>
      <c r="U390" s="259">
        <f t="shared" si="278"/>
        <v>93310</v>
      </c>
      <c r="V390" s="259">
        <f t="shared" si="279"/>
        <v>3272</v>
      </c>
      <c r="W390" s="259">
        <f t="shared" si="280"/>
        <v>96582</v>
      </c>
      <c r="X390" s="260">
        <f t="shared" si="281"/>
        <v>42549360</v>
      </c>
      <c r="Y390" s="260">
        <f t="shared" si="282"/>
        <v>1492032</v>
      </c>
      <c r="Z390" s="260">
        <f t="shared" si="283"/>
        <v>44041392</v>
      </c>
      <c r="AA390" s="258">
        <f t="array" ref="AA390">MAX((IF(MNU_CODIGO_ALIMENTO_ENTREGA=CONCATENATE($C390,"_","P_"),MNU_GRAMAJE_REQUERIDO_TIPOM,"")))</f>
        <v>100</v>
      </c>
      <c r="AB390" s="261">
        <f t="shared" si="284"/>
        <v>2510</v>
      </c>
      <c r="AC390" s="261">
        <v>0</v>
      </c>
      <c r="AD390" s="261">
        <f t="shared" si="285"/>
        <v>2510</v>
      </c>
      <c r="AE390" s="262">
        <f t="shared" si="286"/>
        <v>1144560</v>
      </c>
      <c r="AF390" s="262">
        <v>0</v>
      </c>
      <c r="AG390" s="262">
        <f t="shared" si="287"/>
        <v>1144560</v>
      </c>
      <c r="AH390" s="353">
        <f t="array" ref="AH390">MAX((IF(MNU_CODIGO_ALIMENTO_ENTREGA=CONCATENATE($C390,"_","P_"),MNU_GRAMAJE_REQUERIDO_TIPOH,"")))</f>
        <v>100</v>
      </c>
      <c r="AI390" s="259">
        <f t="shared" si="288"/>
        <v>2970</v>
      </c>
      <c r="AJ390" s="259">
        <v>0</v>
      </c>
      <c r="AK390" s="259">
        <f t="shared" si="289"/>
        <v>2970</v>
      </c>
      <c r="AL390" s="260">
        <f t="shared" si="290"/>
        <v>1354320</v>
      </c>
      <c r="AM390" s="260">
        <v>0</v>
      </c>
      <c r="AN390" s="260">
        <f t="shared" si="291"/>
        <v>1354320</v>
      </c>
      <c r="AO390" s="457">
        <f t="shared" si="292"/>
        <v>184440</v>
      </c>
      <c r="AP390" s="456">
        <f t="shared" si="293"/>
        <v>84104640</v>
      </c>
      <c r="AQ390" s="263" t="e">
        <f>#REF!+AH390+AA390+T390+M390</f>
        <v>#REF!</v>
      </c>
      <c r="AR390" s="263">
        <f t="shared" si="252"/>
        <v>84280080</v>
      </c>
      <c r="AS390" s="263" t="e">
        <f t="shared" si="253"/>
        <v>#REF!</v>
      </c>
      <c r="AT390" s="263">
        <f t="shared" si="254"/>
        <v>84464520</v>
      </c>
      <c r="AU390" s="263" t="e">
        <f t="shared" si="255"/>
        <v>#REF!</v>
      </c>
      <c r="AV390" s="263">
        <f t="shared" si="256"/>
        <v>88568520</v>
      </c>
      <c r="AW390" s="263" t="e">
        <f t="shared" si="257"/>
        <v>#REF!</v>
      </c>
      <c r="AX390" s="263" t="e">
        <f>AV390+#REF!+AH390+AA390+T390</f>
        <v>#REF!</v>
      </c>
      <c r="AY390" s="263" t="e">
        <f t="shared" si="258"/>
        <v>#REF!</v>
      </c>
      <c r="AZ390" s="263" t="e">
        <f t="shared" si="259"/>
        <v>#REF!</v>
      </c>
      <c r="BA390" s="263" t="e">
        <f t="shared" si="260"/>
        <v>#REF!</v>
      </c>
      <c r="BB390" s="263" t="e">
        <f t="shared" si="261"/>
        <v>#REF!</v>
      </c>
      <c r="BC390" s="263" t="e">
        <f t="shared" si="262"/>
        <v>#REF!</v>
      </c>
      <c r="BD390" s="263" t="e">
        <f t="shared" si="263"/>
        <v>#REF!</v>
      </c>
      <c r="BE390" s="263" t="e">
        <f>BC390+AV390+#REF!+AH390+AA390</f>
        <v>#REF!</v>
      </c>
      <c r="BF390" s="263" t="e">
        <f t="shared" si="264"/>
        <v>#REF!</v>
      </c>
      <c r="BG390" s="263" t="e">
        <f t="shared" si="265"/>
        <v>#REF!</v>
      </c>
    </row>
    <row r="391" spans="1:59" ht="15.75">
      <c r="A391" s="338">
        <v>30</v>
      </c>
      <c r="B391" s="338" t="s">
        <v>1</v>
      </c>
      <c r="C391" s="258">
        <v>7</v>
      </c>
      <c r="D391" s="328" t="s">
        <v>57</v>
      </c>
      <c r="E391" s="258" t="s">
        <v>9</v>
      </c>
      <c r="F391" s="431">
        <f t="array" ref="F391">MAX((IF(MNU_CODIGO_ALIMENTO_ENTREGA=CONCATENATE($C391,"_","P_"),MNU_GRAMAJE_REQUERIDO_TIPOA,"")))</f>
        <v>100</v>
      </c>
      <c r="G391" s="259">
        <f t="shared" si="266"/>
        <v>107228</v>
      </c>
      <c r="H391" s="259">
        <f t="shared" si="267"/>
        <v>9424</v>
      </c>
      <c r="I391" s="259">
        <f t="shared" si="268"/>
        <v>116652</v>
      </c>
      <c r="J391" s="260">
        <f t="shared" si="269"/>
        <v>12009536</v>
      </c>
      <c r="K391" s="260">
        <f t="shared" si="270"/>
        <v>1055488</v>
      </c>
      <c r="L391" s="260">
        <f t="shared" si="271"/>
        <v>13065024</v>
      </c>
      <c r="M391" s="432">
        <f t="array" ref="M391">MAX((IF(MNU_CODIGO_ALIMENTO_ENTREGA=CONCATENATE($C391,"_","P_"),MNU_GRAMAJE_REQUERIDO_TIPOB,"")))</f>
        <v>100</v>
      </c>
      <c r="N391" s="348">
        <f t="shared" si="272"/>
        <v>53397</v>
      </c>
      <c r="O391" s="348">
        <f t="shared" si="273"/>
        <v>1584</v>
      </c>
      <c r="P391" s="348">
        <f t="shared" si="274"/>
        <v>54981</v>
      </c>
      <c r="Q391" s="349">
        <f t="shared" si="275"/>
        <v>5980464</v>
      </c>
      <c r="R391" s="349">
        <f t="shared" si="276"/>
        <v>177408</v>
      </c>
      <c r="S391" s="349">
        <f t="shared" si="277"/>
        <v>6157872</v>
      </c>
      <c r="T391" s="353">
        <f t="array" ref="T391">MAX((IF(MNU_CODIGO_ALIMENTO_ENTREGA=CONCATENATE($C391,"_","P_"),MNU_GRAMAJE_REQUERIDO_TIPOC,"")))</f>
        <v>100</v>
      </c>
      <c r="U391" s="259">
        <f t="shared" si="278"/>
        <v>56790</v>
      </c>
      <c r="V391" s="259">
        <f t="shared" si="279"/>
        <v>12342</v>
      </c>
      <c r="W391" s="259">
        <f t="shared" si="280"/>
        <v>69132</v>
      </c>
      <c r="X391" s="260">
        <f t="shared" si="281"/>
        <v>6360480</v>
      </c>
      <c r="Y391" s="260">
        <f t="shared" si="282"/>
        <v>1382304</v>
      </c>
      <c r="Z391" s="260">
        <f t="shared" si="283"/>
        <v>7742784</v>
      </c>
      <c r="AA391" s="258">
        <f t="array" ref="AA391">MAX((IF(MNU_CODIGO_ALIMENTO_ENTREGA=CONCATENATE($C391,"_","P_"),MNU_GRAMAJE_REQUERIDO_TIPOM,"")))</f>
        <v>100</v>
      </c>
      <c r="AB391" s="261">
        <f t="shared" si="284"/>
        <v>2547</v>
      </c>
      <c r="AC391" s="261">
        <v>0</v>
      </c>
      <c r="AD391" s="261">
        <f t="shared" si="285"/>
        <v>2547</v>
      </c>
      <c r="AE391" s="262">
        <f t="shared" si="286"/>
        <v>285264</v>
      </c>
      <c r="AF391" s="262">
        <v>0</v>
      </c>
      <c r="AG391" s="262">
        <f t="shared" si="287"/>
        <v>285264</v>
      </c>
      <c r="AH391" s="353">
        <f t="array" ref="AH391">MAX((IF(MNU_CODIGO_ALIMENTO_ENTREGA=CONCATENATE($C391,"_","P_"),MNU_GRAMAJE_REQUERIDO_TIPOH,"")))</f>
        <v>100</v>
      </c>
      <c r="AI391" s="259">
        <f t="shared" si="288"/>
        <v>2493</v>
      </c>
      <c r="AJ391" s="259">
        <v>0</v>
      </c>
      <c r="AK391" s="259">
        <f t="shared" si="289"/>
        <v>2493</v>
      </c>
      <c r="AL391" s="260">
        <f t="shared" si="290"/>
        <v>279216</v>
      </c>
      <c r="AM391" s="260">
        <v>0</v>
      </c>
      <c r="AN391" s="260">
        <f t="shared" si="291"/>
        <v>279216</v>
      </c>
      <c r="AO391" s="457">
        <f t="shared" si="292"/>
        <v>245805</v>
      </c>
      <c r="AP391" s="456">
        <f t="shared" si="293"/>
        <v>27530160</v>
      </c>
      <c r="AQ391" s="263" t="e">
        <f>#REF!+AH391+AA391+T391+M391</f>
        <v>#REF!</v>
      </c>
      <c r="AR391" s="263">
        <f t="shared" si="252"/>
        <v>27645387</v>
      </c>
      <c r="AS391" s="263" t="e">
        <f t="shared" si="253"/>
        <v>#REF!</v>
      </c>
      <c r="AT391" s="263">
        <f t="shared" si="254"/>
        <v>27774540</v>
      </c>
      <c r="AU391" s="263" t="e">
        <f t="shared" si="255"/>
        <v>#REF!</v>
      </c>
      <c r="AV391" s="263">
        <f t="shared" si="256"/>
        <v>29334252</v>
      </c>
      <c r="AW391" s="263" t="e">
        <f t="shared" si="257"/>
        <v>#REF!</v>
      </c>
      <c r="AX391" s="263" t="e">
        <f>AV391+#REF!+AH391+AA391+T391</f>
        <v>#REF!</v>
      </c>
      <c r="AY391" s="263" t="e">
        <f t="shared" si="258"/>
        <v>#REF!</v>
      </c>
      <c r="AZ391" s="263" t="e">
        <f t="shared" si="259"/>
        <v>#REF!</v>
      </c>
      <c r="BA391" s="263" t="e">
        <f t="shared" si="260"/>
        <v>#REF!</v>
      </c>
      <c r="BB391" s="263" t="e">
        <f t="shared" si="261"/>
        <v>#REF!</v>
      </c>
      <c r="BC391" s="263" t="e">
        <f t="shared" si="262"/>
        <v>#REF!</v>
      </c>
      <c r="BD391" s="263" t="e">
        <f t="shared" si="263"/>
        <v>#REF!</v>
      </c>
      <c r="BE391" s="263" t="e">
        <f>BC391+AV391+#REF!+AH391+AA391</f>
        <v>#REF!</v>
      </c>
      <c r="BF391" s="263" t="e">
        <f t="shared" si="264"/>
        <v>#REF!</v>
      </c>
      <c r="BG391" s="263" t="e">
        <f t="shared" si="265"/>
        <v>#REF!</v>
      </c>
    </row>
    <row r="392" spans="1:59" ht="15.75">
      <c r="A392" s="338">
        <v>30</v>
      </c>
      <c r="B392" s="338" t="s">
        <v>1</v>
      </c>
      <c r="C392" s="258">
        <v>8</v>
      </c>
      <c r="D392" s="328" t="s">
        <v>55</v>
      </c>
      <c r="E392" s="258" t="s">
        <v>9</v>
      </c>
      <c r="F392" s="431">
        <f t="array" ref="F392">MAX((IF(MNU_CODIGO_ALIMENTO_ENTREGA=CONCATENATE($C392,"_","P_"),MNU_GRAMAJE_REQUERIDO_TIPOA,"")))</f>
        <v>100</v>
      </c>
      <c r="G392" s="259">
        <f t="shared" si="266"/>
        <v>48740</v>
      </c>
      <c r="H392" s="259">
        <f t="shared" si="267"/>
        <v>3344</v>
      </c>
      <c r="I392" s="259">
        <f t="shared" si="268"/>
        <v>52084</v>
      </c>
      <c r="J392" s="260">
        <f t="shared" si="269"/>
        <v>6872340</v>
      </c>
      <c r="K392" s="260">
        <f t="shared" si="270"/>
        <v>471504</v>
      </c>
      <c r="L392" s="260">
        <f t="shared" si="271"/>
        <v>7343844</v>
      </c>
      <c r="M392" s="432">
        <f t="array" ref="M392">MAX((IF(MNU_CODIGO_ALIMENTO_ENTREGA=CONCATENATE($C392,"_","P_"),MNU_GRAMAJE_REQUERIDO_TIPOB,"")))</f>
        <v>100</v>
      </c>
      <c r="N392" s="348">
        <f t="shared" si="272"/>
        <v>47464</v>
      </c>
      <c r="O392" s="348">
        <f t="shared" si="273"/>
        <v>1584</v>
      </c>
      <c r="P392" s="348">
        <f t="shared" si="274"/>
        <v>49048</v>
      </c>
      <c r="Q392" s="349">
        <f t="shared" si="275"/>
        <v>6692424</v>
      </c>
      <c r="R392" s="349">
        <f t="shared" si="276"/>
        <v>223344</v>
      </c>
      <c r="S392" s="349">
        <f t="shared" si="277"/>
        <v>6915768</v>
      </c>
      <c r="T392" s="353">
        <f t="array" ref="T392">MAX((IF(MNU_CODIGO_ALIMENTO_ENTREGA=CONCATENATE($C392,"_","P_"),MNU_GRAMAJE_REQUERIDO_TIPOC,"")))</f>
        <v>100</v>
      </c>
      <c r="U392" s="259">
        <f t="shared" si="278"/>
        <v>50480</v>
      </c>
      <c r="V392" s="259">
        <f t="shared" si="279"/>
        <v>12342</v>
      </c>
      <c r="W392" s="259">
        <f t="shared" si="280"/>
        <v>62822</v>
      </c>
      <c r="X392" s="260">
        <f t="shared" si="281"/>
        <v>7117680</v>
      </c>
      <c r="Y392" s="260">
        <f t="shared" si="282"/>
        <v>1740222</v>
      </c>
      <c r="Z392" s="260">
        <f t="shared" si="283"/>
        <v>8857902</v>
      </c>
      <c r="AA392" s="258">
        <f t="array" ref="AA392">MAX((IF(MNU_CODIGO_ALIMENTO_ENTREGA=CONCATENATE($C392,"_","P_"),MNU_GRAMAJE_REQUERIDO_TIPOM,"")))</f>
        <v>100</v>
      </c>
      <c r="AB392" s="261">
        <f t="shared" si="284"/>
        <v>2264</v>
      </c>
      <c r="AC392" s="261">
        <v>0</v>
      </c>
      <c r="AD392" s="261">
        <f t="shared" si="285"/>
        <v>2264</v>
      </c>
      <c r="AE392" s="262">
        <f t="shared" si="286"/>
        <v>319224</v>
      </c>
      <c r="AF392" s="262">
        <v>0</v>
      </c>
      <c r="AG392" s="262">
        <f t="shared" si="287"/>
        <v>319224</v>
      </c>
      <c r="AH392" s="353">
        <f t="array" ref="AH392">MAX((IF(MNU_CODIGO_ALIMENTO_ENTREGA=CONCATENATE($C392,"_","P_"),MNU_GRAMAJE_REQUERIDO_TIPOH,"")))</f>
        <v>100</v>
      </c>
      <c r="AI392" s="259">
        <f t="shared" si="288"/>
        <v>2216</v>
      </c>
      <c r="AJ392" s="259">
        <v>0</v>
      </c>
      <c r="AK392" s="259">
        <f t="shared" si="289"/>
        <v>2216</v>
      </c>
      <c r="AL392" s="260">
        <f t="shared" si="290"/>
        <v>312456</v>
      </c>
      <c r="AM392" s="260">
        <v>0</v>
      </c>
      <c r="AN392" s="260">
        <f t="shared" si="291"/>
        <v>312456</v>
      </c>
      <c r="AO392" s="457">
        <f t="shared" si="292"/>
        <v>168434</v>
      </c>
      <c r="AP392" s="456">
        <f t="shared" si="293"/>
        <v>23749194</v>
      </c>
      <c r="AQ392" s="263" t="e">
        <f>#REF!+AH392+AA392+T392+M392</f>
        <v>#REF!</v>
      </c>
      <c r="AR392" s="263">
        <f t="shared" si="252"/>
        <v>23851618</v>
      </c>
      <c r="AS392" s="263" t="e">
        <f t="shared" si="253"/>
        <v>#REF!</v>
      </c>
      <c r="AT392" s="263">
        <f t="shared" si="254"/>
        <v>23967968</v>
      </c>
      <c r="AU392" s="263" t="e">
        <f t="shared" si="255"/>
        <v>#REF!</v>
      </c>
      <c r="AV392" s="263">
        <f t="shared" si="256"/>
        <v>25931534</v>
      </c>
      <c r="AW392" s="263" t="e">
        <f t="shared" si="257"/>
        <v>#REF!</v>
      </c>
      <c r="AX392" s="263" t="e">
        <f>AV392+#REF!+AH392+AA392+T392</f>
        <v>#REF!</v>
      </c>
      <c r="AY392" s="263" t="e">
        <f t="shared" si="258"/>
        <v>#REF!</v>
      </c>
      <c r="AZ392" s="263" t="e">
        <f t="shared" si="259"/>
        <v>#REF!</v>
      </c>
      <c r="BA392" s="263" t="e">
        <f t="shared" si="260"/>
        <v>#REF!</v>
      </c>
      <c r="BB392" s="263" t="e">
        <f t="shared" si="261"/>
        <v>#REF!</v>
      </c>
      <c r="BC392" s="263" t="e">
        <f t="shared" si="262"/>
        <v>#REF!</v>
      </c>
      <c r="BD392" s="263" t="e">
        <f t="shared" si="263"/>
        <v>#REF!</v>
      </c>
      <c r="BE392" s="263" t="e">
        <f>BC392+AV392+#REF!+AH392+AA392</f>
        <v>#REF!</v>
      </c>
      <c r="BF392" s="263" t="e">
        <f t="shared" si="264"/>
        <v>#REF!</v>
      </c>
      <c r="BG392" s="263" t="e">
        <f t="shared" si="265"/>
        <v>#REF!</v>
      </c>
    </row>
    <row r="393" spans="1:59" ht="15.75">
      <c r="A393" s="338">
        <v>30</v>
      </c>
      <c r="B393" s="338" t="s">
        <v>1</v>
      </c>
      <c r="C393" s="258">
        <v>17</v>
      </c>
      <c r="D393" s="328" t="s">
        <v>53</v>
      </c>
      <c r="E393" s="258" t="s">
        <v>9</v>
      </c>
      <c r="F393" s="431">
        <f t="array" ref="F393">MAX((IF(MNU_CODIGO_ALIMENTO_ENTREGA=CONCATENATE($C393,"_","P_"),MNU_GRAMAJE_REQUERIDO_TIPOA,"")))</f>
        <v>0</v>
      </c>
      <c r="G393" s="259">
        <f t="shared" si="266"/>
        <v>0</v>
      </c>
      <c r="H393" s="259">
        <f t="shared" si="267"/>
        <v>0</v>
      </c>
      <c r="I393" s="259">
        <f t="shared" si="268"/>
        <v>0</v>
      </c>
      <c r="J393" s="260">
        <f t="shared" si="269"/>
        <v>0</v>
      </c>
      <c r="K393" s="260">
        <f t="shared" si="270"/>
        <v>0</v>
      </c>
      <c r="L393" s="260">
        <f t="shared" si="271"/>
        <v>0</v>
      </c>
      <c r="M393" s="432">
        <f t="array" ref="M393">MAX((IF(MNU_CODIGO_ALIMENTO_ENTREGA=CONCATENATE($C393,"_","P_"),MNU_GRAMAJE_REQUERIDO_TIPOB,"")))</f>
        <v>100</v>
      </c>
      <c r="N393" s="348">
        <f t="shared" si="272"/>
        <v>124593</v>
      </c>
      <c r="O393" s="348">
        <f t="shared" si="273"/>
        <v>3312</v>
      </c>
      <c r="P393" s="348">
        <f t="shared" si="274"/>
        <v>127905</v>
      </c>
      <c r="Q393" s="349">
        <f t="shared" si="275"/>
        <v>29528541</v>
      </c>
      <c r="R393" s="349">
        <f t="shared" si="276"/>
        <v>784944</v>
      </c>
      <c r="S393" s="349">
        <f t="shared" si="277"/>
        <v>30313485</v>
      </c>
      <c r="T393" s="353">
        <f t="array" ref="T393">MAX((IF(MNU_CODIGO_ALIMENTO_ENTREGA=CONCATENATE($C393,"_","P_"),MNU_GRAMAJE_REQUERIDO_TIPOC,"")))</f>
        <v>100</v>
      </c>
      <c r="U393" s="259">
        <f t="shared" si="278"/>
        <v>132510</v>
      </c>
      <c r="V393" s="259">
        <f t="shared" si="279"/>
        <v>25806</v>
      </c>
      <c r="W393" s="259">
        <f t="shared" si="280"/>
        <v>158316</v>
      </c>
      <c r="X393" s="260">
        <f t="shared" si="281"/>
        <v>31404870</v>
      </c>
      <c r="Y393" s="260">
        <f t="shared" si="282"/>
        <v>6116022</v>
      </c>
      <c r="Z393" s="260">
        <f t="shared" si="283"/>
        <v>37520892</v>
      </c>
      <c r="AA393" s="258">
        <f t="array" ref="AA393">MAX((IF(MNU_CODIGO_ALIMENTO_ENTREGA=CONCATENATE($C393,"_","P_"),MNU_GRAMAJE_REQUERIDO_TIPOM,"")))</f>
        <v>100</v>
      </c>
      <c r="AB393" s="261">
        <f t="shared" si="284"/>
        <v>5943</v>
      </c>
      <c r="AC393" s="261">
        <v>0</v>
      </c>
      <c r="AD393" s="261">
        <f t="shared" si="285"/>
        <v>5943</v>
      </c>
      <c r="AE393" s="262">
        <f t="shared" si="286"/>
        <v>1408491</v>
      </c>
      <c r="AF393" s="262">
        <v>0</v>
      </c>
      <c r="AG393" s="262">
        <f t="shared" si="287"/>
        <v>1408491</v>
      </c>
      <c r="AH393" s="353">
        <f t="array" ref="AH393">MAX((IF(MNU_CODIGO_ALIMENTO_ENTREGA=CONCATENATE($C393,"_","P_"),MNU_GRAMAJE_REQUERIDO_TIPOH,"")))</f>
        <v>100</v>
      </c>
      <c r="AI393" s="259">
        <f t="shared" si="288"/>
        <v>5817</v>
      </c>
      <c r="AJ393" s="259">
        <v>0</v>
      </c>
      <c r="AK393" s="259">
        <f t="shared" si="289"/>
        <v>5817</v>
      </c>
      <c r="AL393" s="260">
        <f t="shared" si="290"/>
        <v>1378629</v>
      </c>
      <c r="AM393" s="260">
        <v>0</v>
      </c>
      <c r="AN393" s="260">
        <f t="shared" si="291"/>
        <v>1378629</v>
      </c>
      <c r="AO393" s="457">
        <f t="shared" si="292"/>
        <v>297981</v>
      </c>
      <c r="AP393" s="456">
        <f t="shared" si="293"/>
        <v>70621497</v>
      </c>
      <c r="AQ393" s="263" t="e">
        <f>#REF!+AH393+AA393+T393+M393</f>
        <v>#REF!</v>
      </c>
      <c r="AR393" s="263">
        <f t="shared" si="252"/>
        <v>70890360</v>
      </c>
      <c r="AS393" s="263" t="e">
        <f t="shared" si="253"/>
        <v>#REF!</v>
      </c>
      <c r="AT393" s="263">
        <f t="shared" si="254"/>
        <v>71188341</v>
      </c>
      <c r="AU393" s="263" t="e">
        <f t="shared" si="255"/>
        <v>#REF!</v>
      </c>
      <c r="AV393" s="263">
        <f t="shared" si="256"/>
        <v>78089307</v>
      </c>
      <c r="AW393" s="263" t="e">
        <f t="shared" si="257"/>
        <v>#REF!</v>
      </c>
      <c r="AX393" s="263" t="e">
        <f>AV393+#REF!+AH393+AA393+T393</f>
        <v>#REF!</v>
      </c>
      <c r="AY393" s="263" t="e">
        <f t="shared" si="258"/>
        <v>#REF!</v>
      </c>
      <c r="AZ393" s="263" t="e">
        <f t="shared" si="259"/>
        <v>#REF!</v>
      </c>
      <c r="BA393" s="263" t="e">
        <f t="shared" si="260"/>
        <v>#REF!</v>
      </c>
      <c r="BB393" s="263" t="e">
        <f t="shared" si="261"/>
        <v>#REF!</v>
      </c>
      <c r="BC393" s="263" t="e">
        <f t="shared" si="262"/>
        <v>#REF!</v>
      </c>
      <c r="BD393" s="263" t="e">
        <f t="shared" si="263"/>
        <v>#REF!</v>
      </c>
      <c r="BE393" s="263" t="e">
        <f>BC393+AV393+#REF!+AH393+AA393</f>
        <v>#REF!</v>
      </c>
      <c r="BF393" s="263" t="e">
        <f t="shared" si="264"/>
        <v>#REF!</v>
      </c>
      <c r="BG393" s="263" t="e">
        <f t="shared" si="265"/>
        <v>#REF!</v>
      </c>
    </row>
    <row r="394" spans="1:59" ht="15.75">
      <c r="A394" s="338">
        <v>30</v>
      </c>
      <c r="B394" s="338" t="s">
        <v>1</v>
      </c>
      <c r="C394" s="258">
        <v>22</v>
      </c>
      <c r="D394" s="328" t="s">
        <v>51</v>
      </c>
      <c r="E394" s="258" t="s">
        <v>9</v>
      </c>
      <c r="F394" s="431">
        <f t="array" ref="F394">MAX((IF(MNU_CODIGO_ALIMENTO_ENTREGA=CONCATENATE($C394,"_","P_"),MNU_GRAMAJE_REQUERIDO_TIPOA,"")))</f>
        <v>0</v>
      </c>
      <c r="G394" s="259">
        <f t="shared" si="266"/>
        <v>0</v>
      </c>
      <c r="H394" s="259">
        <f t="shared" si="267"/>
        <v>0</v>
      </c>
      <c r="I394" s="259">
        <f t="shared" si="268"/>
        <v>0</v>
      </c>
      <c r="J394" s="260">
        <f t="shared" si="269"/>
        <v>0</v>
      </c>
      <c r="K394" s="260">
        <f t="shared" si="270"/>
        <v>0</v>
      </c>
      <c r="L394" s="260">
        <f t="shared" si="271"/>
        <v>0</v>
      </c>
      <c r="M394" s="432">
        <f t="array" ref="M394">MAX((IF(MNU_CODIGO_ALIMENTO_ENTREGA=CONCATENATE($C394,"_","P_"),MNU_GRAMAJE_REQUERIDO_TIPOB,"")))</f>
        <v>100</v>
      </c>
      <c r="N394" s="348">
        <f t="shared" si="272"/>
        <v>118660</v>
      </c>
      <c r="O394" s="348">
        <f t="shared" si="273"/>
        <v>3312</v>
      </c>
      <c r="P394" s="348">
        <f t="shared" si="274"/>
        <v>121972</v>
      </c>
      <c r="Q394" s="349">
        <f t="shared" si="275"/>
        <v>65381660</v>
      </c>
      <c r="R394" s="349">
        <f t="shared" si="276"/>
        <v>1824912</v>
      </c>
      <c r="S394" s="349">
        <f t="shared" si="277"/>
        <v>67206572</v>
      </c>
      <c r="T394" s="353">
        <f t="array" ref="T394">MAX((IF(MNU_CODIGO_ALIMENTO_ENTREGA=CONCATENATE($C394,"_","P_"),MNU_GRAMAJE_REQUERIDO_TIPOC,"")))</f>
        <v>100</v>
      </c>
      <c r="U394" s="259">
        <f t="shared" si="278"/>
        <v>126200</v>
      </c>
      <c r="V394" s="259">
        <f t="shared" si="279"/>
        <v>25806</v>
      </c>
      <c r="W394" s="259">
        <f t="shared" si="280"/>
        <v>152006</v>
      </c>
      <c r="X394" s="260">
        <f t="shared" si="281"/>
        <v>69536200</v>
      </c>
      <c r="Y394" s="260">
        <f t="shared" si="282"/>
        <v>14219106</v>
      </c>
      <c r="Z394" s="260">
        <f t="shared" si="283"/>
        <v>83755306</v>
      </c>
      <c r="AA394" s="258">
        <f t="array" ref="AA394">MAX((IF(MNU_CODIGO_ALIMENTO_ENTREGA=CONCATENATE($C394,"_","P_"),MNU_GRAMAJE_REQUERIDO_TIPOM,"")))</f>
        <v>100</v>
      </c>
      <c r="AB394" s="261">
        <f t="shared" si="284"/>
        <v>5660</v>
      </c>
      <c r="AC394" s="261">
        <v>0</v>
      </c>
      <c r="AD394" s="261">
        <f t="shared" si="285"/>
        <v>5660</v>
      </c>
      <c r="AE394" s="262">
        <f t="shared" si="286"/>
        <v>3118660</v>
      </c>
      <c r="AF394" s="262">
        <v>0</v>
      </c>
      <c r="AG394" s="262">
        <f t="shared" si="287"/>
        <v>3118660</v>
      </c>
      <c r="AH394" s="353">
        <f t="array" ref="AH394">MAX((IF(MNU_CODIGO_ALIMENTO_ENTREGA=CONCATENATE($C394,"_","P_"),MNU_GRAMAJE_REQUERIDO_TIPOH,"")))</f>
        <v>100</v>
      </c>
      <c r="AI394" s="259">
        <f t="shared" si="288"/>
        <v>5540</v>
      </c>
      <c r="AJ394" s="259">
        <v>0</v>
      </c>
      <c r="AK394" s="259">
        <f t="shared" si="289"/>
        <v>5540</v>
      </c>
      <c r="AL394" s="260">
        <f t="shared" si="290"/>
        <v>3052540</v>
      </c>
      <c r="AM394" s="260">
        <v>0</v>
      </c>
      <c r="AN394" s="260">
        <f t="shared" si="291"/>
        <v>3052540</v>
      </c>
      <c r="AO394" s="457">
        <f t="shared" si="292"/>
        <v>285178</v>
      </c>
      <c r="AP394" s="456">
        <f t="shared" si="293"/>
        <v>157133078</v>
      </c>
      <c r="AQ394" s="263" t="e">
        <f>#REF!+AH394+AA394+T394+M394</f>
        <v>#REF!</v>
      </c>
      <c r="AR394" s="263">
        <f t="shared" si="252"/>
        <v>157389138</v>
      </c>
      <c r="AS394" s="263" t="e">
        <f t="shared" si="253"/>
        <v>#REF!</v>
      </c>
      <c r="AT394" s="263">
        <f t="shared" si="254"/>
        <v>157674316</v>
      </c>
      <c r="AU394" s="263" t="e">
        <f t="shared" si="255"/>
        <v>#REF!</v>
      </c>
      <c r="AV394" s="263">
        <f t="shared" si="256"/>
        <v>173718334</v>
      </c>
      <c r="AW394" s="263" t="e">
        <f t="shared" si="257"/>
        <v>#REF!</v>
      </c>
      <c r="AX394" s="263" t="e">
        <f>AV394+#REF!+AH394+AA394+T394</f>
        <v>#REF!</v>
      </c>
      <c r="AY394" s="263" t="e">
        <f t="shared" si="258"/>
        <v>#REF!</v>
      </c>
      <c r="AZ394" s="263" t="e">
        <f t="shared" si="259"/>
        <v>#REF!</v>
      </c>
      <c r="BA394" s="263" t="e">
        <f t="shared" si="260"/>
        <v>#REF!</v>
      </c>
      <c r="BB394" s="263" t="e">
        <f t="shared" si="261"/>
        <v>#REF!</v>
      </c>
      <c r="BC394" s="263" t="e">
        <f t="shared" si="262"/>
        <v>#REF!</v>
      </c>
      <c r="BD394" s="263" t="e">
        <f t="shared" si="263"/>
        <v>#REF!</v>
      </c>
      <c r="BE394" s="263" t="e">
        <f>BC394+AV394+#REF!+AH394+AA394</f>
        <v>#REF!</v>
      </c>
      <c r="BF394" s="263" t="e">
        <f t="shared" si="264"/>
        <v>#REF!</v>
      </c>
      <c r="BG394" s="263" t="e">
        <f t="shared" si="265"/>
        <v>#REF!</v>
      </c>
    </row>
    <row r="395" spans="1:59" ht="15.75">
      <c r="A395" s="338">
        <v>30</v>
      </c>
      <c r="B395" s="338" t="s">
        <v>1</v>
      </c>
      <c r="C395" s="258">
        <v>33</v>
      </c>
      <c r="D395" s="328" t="s">
        <v>59</v>
      </c>
      <c r="E395" s="258" t="s">
        <v>48</v>
      </c>
      <c r="F395" s="431">
        <v>1</v>
      </c>
      <c r="G395" s="259">
        <f t="shared" si="266"/>
        <v>131598</v>
      </c>
      <c r="H395" s="259">
        <f t="shared" si="267"/>
        <v>8816</v>
      </c>
      <c r="I395" s="259">
        <f t="shared" si="268"/>
        <v>140414</v>
      </c>
      <c r="J395" s="260">
        <f t="shared" si="269"/>
        <v>37242234</v>
      </c>
      <c r="K395" s="260">
        <f t="shared" si="270"/>
        <v>2494928</v>
      </c>
      <c r="L395" s="260">
        <f t="shared" si="271"/>
        <v>39737162</v>
      </c>
      <c r="M395" s="432">
        <v>1</v>
      </c>
      <c r="N395" s="348">
        <f t="shared" si="272"/>
        <v>106794</v>
      </c>
      <c r="O395" s="348">
        <f t="shared" si="273"/>
        <v>3312</v>
      </c>
      <c r="P395" s="348">
        <f t="shared" si="274"/>
        <v>110106</v>
      </c>
      <c r="Q395" s="349">
        <f t="shared" si="275"/>
        <v>30222702</v>
      </c>
      <c r="R395" s="349">
        <f t="shared" si="276"/>
        <v>937296</v>
      </c>
      <c r="S395" s="349">
        <f t="shared" si="277"/>
        <v>31159998</v>
      </c>
      <c r="T395" s="431">
        <v>1</v>
      </c>
      <c r="U395" s="259">
        <f t="shared" si="278"/>
        <v>113580</v>
      </c>
      <c r="V395" s="259">
        <f t="shared" si="279"/>
        <v>25806</v>
      </c>
      <c r="W395" s="259">
        <f t="shared" si="280"/>
        <v>139386</v>
      </c>
      <c r="X395" s="260">
        <f t="shared" si="281"/>
        <v>32143140</v>
      </c>
      <c r="Y395" s="260">
        <f t="shared" si="282"/>
        <v>7303098</v>
      </c>
      <c r="Z395" s="260">
        <f t="shared" si="283"/>
        <v>39446238</v>
      </c>
      <c r="AA395" s="258">
        <v>1</v>
      </c>
      <c r="AB395" s="261">
        <f t="shared" si="284"/>
        <v>5094</v>
      </c>
      <c r="AC395" s="261">
        <v>0</v>
      </c>
      <c r="AD395" s="261">
        <f t="shared" si="285"/>
        <v>5094</v>
      </c>
      <c r="AE395" s="262">
        <f t="shared" si="286"/>
        <v>1441602</v>
      </c>
      <c r="AF395" s="262">
        <v>0</v>
      </c>
      <c r="AG395" s="262">
        <f t="shared" si="287"/>
        <v>1441602</v>
      </c>
      <c r="AH395" s="353">
        <v>1</v>
      </c>
      <c r="AI395" s="259">
        <f t="shared" si="288"/>
        <v>4986</v>
      </c>
      <c r="AJ395" s="259">
        <v>0</v>
      </c>
      <c r="AK395" s="259">
        <f t="shared" si="289"/>
        <v>4986</v>
      </c>
      <c r="AL395" s="260">
        <f t="shared" si="290"/>
        <v>1411038</v>
      </c>
      <c r="AM395" s="260">
        <v>0</v>
      </c>
      <c r="AN395" s="260">
        <f t="shared" si="291"/>
        <v>1411038</v>
      </c>
      <c r="AO395" s="457">
        <f t="shared" si="292"/>
        <v>399986</v>
      </c>
      <c r="AP395" s="456">
        <f t="shared" si="293"/>
        <v>113196038</v>
      </c>
      <c r="AQ395" s="263" t="e">
        <f>#REF!+AH395+AA395+T395+M395</f>
        <v>#REF!</v>
      </c>
      <c r="AR395" s="263">
        <f t="shared" si="252"/>
        <v>113426492</v>
      </c>
      <c r="AS395" s="263" t="e">
        <f t="shared" si="253"/>
        <v>#REF!</v>
      </c>
      <c r="AT395" s="263">
        <f t="shared" si="254"/>
        <v>113686064</v>
      </c>
      <c r="AU395" s="263" t="e">
        <f t="shared" si="255"/>
        <v>#REF!</v>
      </c>
      <c r="AV395" s="263">
        <f t="shared" si="256"/>
        <v>121926458</v>
      </c>
      <c r="AW395" s="263" t="e">
        <f t="shared" si="257"/>
        <v>#REF!</v>
      </c>
      <c r="AX395" s="263" t="e">
        <f>AV395+#REF!+AH395+AA395+T395</f>
        <v>#REF!</v>
      </c>
      <c r="AY395" s="263" t="e">
        <f t="shared" si="258"/>
        <v>#REF!</v>
      </c>
      <c r="AZ395" s="263" t="e">
        <f t="shared" si="259"/>
        <v>#REF!</v>
      </c>
      <c r="BA395" s="263" t="e">
        <f t="shared" si="260"/>
        <v>#REF!</v>
      </c>
      <c r="BB395" s="263" t="e">
        <f t="shared" si="261"/>
        <v>#REF!</v>
      </c>
      <c r="BC395" s="263" t="e">
        <f t="shared" si="262"/>
        <v>#REF!</v>
      </c>
      <c r="BD395" s="263" t="e">
        <f t="shared" si="263"/>
        <v>#REF!</v>
      </c>
      <c r="BE395" s="263" t="e">
        <f>BC395+AV395+#REF!+AH395+AA395</f>
        <v>#REF!</v>
      </c>
      <c r="BF395" s="263" t="e">
        <f t="shared" si="264"/>
        <v>#REF!</v>
      </c>
      <c r="BG395" s="263" t="e">
        <f t="shared" si="265"/>
        <v>#REF!</v>
      </c>
    </row>
    <row r="396" spans="1:59" ht="15.75">
      <c r="A396" s="338">
        <v>30</v>
      </c>
      <c r="B396" s="338" t="s">
        <v>1</v>
      </c>
      <c r="C396" s="258">
        <v>36</v>
      </c>
      <c r="D396" s="328" t="s">
        <v>1340</v>
      </c>
      <c r="E396" s="258" t="s">
        <v>9</v>
      </c>
      <c r="F396" s="431">
        <f t="array" ref="F396">MAX((IF(MNU_CODIGO_ALIMENTO_ENTREGA=CONCATENATE($C396,"_","P_"),MNU_GRAMAJE_REQUERIDO_TIPOA,"")))</f>
        <v>20</v>
      </c>
      <c r="G396" s="259">
        <f t="shared" si="266"/>
        <v>34118</v>
      </c>
      <c r="H396" s="259">
        <f t="shared" si="267"/>
        <v>2432</v>
      </c>
      <c r="I396" s="259">
        <f t="shared" si="268"/>
        <v>36550</v>
      </c>
      <c r="J396" s="260">
        <f t="shared" si="269"/>
        <v>4503576</v>
      </c>
      <c r="K396" s="260">
        <f t="shared" si="270"/>
        <v>321024</v>
      </c>
      <c r="L396" s="260">
        <f t="shared" si="271"/>
        <v>4824600</v>
      </c>
      <c r="M396" s="432">
        <f t="array" ref="M396">MAX((IF(MNU_CODIGO_ALIMENTO_ENTREGA=CONCATENATE($C396,"_","P_"),MNU_GRAMAJE_REQUERIDO_TIPOB,"")))</f>
        <v>40</v>
      </c>
      <c r="N396" s="348">
        <f t="shared" si="272"/>
        <v>41531</v>
      </c>
      <c r="O396" s="348">
        <f t="shared" si="273"/>
        <v>1152</v>
      </c>
      <c r="P396" s="348">
        <f t="shared" si="274"/>
        <v>42683</v>
      </c>
      <c r="Q396" s="349">
        <f t="shared" si="275"/>
        <v>11005715</v>
      </c>
      <c r="R396" s="349">
        <f t="shared" si="276"/>
        <v>305280</v>
      </c>
      <c r="S396" s="349">
        <f t="shared" si="277"/>
        <v>11310995</v>
      </c>
      <c r="T396" s="353">
        <f t="array" ref="T396">MAX((IF(MNU_CODIGO_ALIMENTO_ENTREGA=CONCATENATE($C396,"_","P_"),MNU_GRAMAJE_REQUERIDO_TIPOC,"")))</f>
        <v>40</v>
      </c>
      <c r="U396" s="259">
        <f t="shared" si="278"/>
        <v>44170</v>
      </c>
      <c r="V396" s="259">
        <f t="shared" si="279"/>
        <v>8976</v>
      </c>
      <c r="W396" s="259">
        <f t="shared" si="280"/>
        <v>53146</v>
      </c>
      <c r="X396" s="260">
        <f t="shared" si="281"/>
        <v>11705050</v>
      </c>
      <c r="Y396" s="260">
        <f t="shared" si="282"/>
        <v>2378640</v>
      </c>
      <c r="Z396" s="260">
        <f t="shared" si="283"/>
        <v>14083690</v>
      </c>
      <c r="AA396" s="258">
        <f t="array" ref="AA396">MAX((IF(MNU_CODIGO_ALIMENTO_ENTREGA=CONCATENATE($C396,"_","P_"),MNU_GRAMAJE_REQUERIDO_TIPOM,"")))</f>
        <v>40</v>
      </c>
      <c r="AB396" s="261">
        <f t="shared" si="284"/>
        <v>1981</v>
      </c>
      <c r="AC396" s="261">
        <v>0</v>
      </c>
      <c r="AD396" s="261">
        <f t="shared" si="285"/>
        <v>1981</v>
      </c>
      <c r="AE396" s="262">
        <f t="shared" si="286"/>
        <v>524965</v>
      </c>
      <c r="AF396" s="262">
        <v>0</v>
      </c>
      <c r="AG396" s="262">
        <f t="shared" si="287"/>
        <v>524965</v>
      </c>
      <c r="AH396" s="353">
        <f t="array" ref="AH396">MAX((IF(MNU_CODIGO_ALIMENTO_ENTREGA=CONCATENATE($C396,"_","P_"),MNU_GRAMAJE_REQUERIDO_TIPOH,"")))</f>
        <v>40</v>
      </c>
      <c r="AI396" s="259">
        <f t="shared" si="288"/>
        <v>1939</v>
      </c>
      <c r="AJ396" s="259">
        <v>0</v>
      </c>
      <c r="AK396" s="259">
        <f t="shared" si="289"/>
        <v>1939</v>
      </c>
      <c r="AL396" s="260">
        <f t="shared" si="290"/>
        <v>513835</v>
      </c>
      <c r="AM396" s="260">
        <v>0</v>
      </c>
      <c r="AN396" s="260">
        <f t="shared" si="291"/>
        <v>513835</v>
      </c>
      <c r="AO396" s="457">
        <f t="shared" si="292"/>
        <v>136299</v>
      </c>
      <c r="AP396" s="456">
        <f t="shared" si="293"/>
        <v>31258085</v>
      </c>
      <c r="AQ396" s="263" t="e">
        <f>#REF!+AH396+AA396+T396+M396</f>
        <v>#REF!</v>
      </c>
      <c r="AR396" s="263">
        <f t="shared" si="252"/>
        <v>31347706</v>
      </c>
      <c r="AS396" s="263" t="e">
        <f t="shared" si="253"/>
        <v>#REF!</v>
      </c>
      <c r="AT396" s="263">
        <f t="shared" si="254"/>
        <v>31447455</v>
      </c>
      <c r="AU396" s="263" t="e">
        <f t="shared" si="255"/>
        <v>#REF!</v>
      </c>
      <c r="AV396" s="263">
        <f t="shared" si="256"/>
        <v>34131375</v>
      </c>
      <c r="AW396" s="263" t="e">
        <f t="shared" si="257"/>
        <v>#REF!</v>
      </c>
      <c r="AX396" s="263" t="e">
        <f>AV396+#REF!+AH396+AA396+T396</f>
        <v>#REF!</v>
      </c>
      <c r="AY396" s="263" t="e">
        <f t="shared" si="258"/>
        <v>#REF!</v>
      </c>
      <c r="AZ396" s="263" t="e">
        <f t="shared" si="259"/>
        <v>#REF!</v>
      </c>
      <c r="BA396" s="263" t="e">
        <f t="shared" si="260"/>
        <v>#REF!</v>
      </c>
      <c r="BB396" s="263" t="e">
        <f t="shared" si="261"/>
        <v>#REF!</v>
      </c>
      <c r="BC396" s="263" t="e">
        <f t="shared" si="262"/>
        <v>#REF!</v>
      </c>
      <c r="BD396" s="263" t="e">
        <f t="shared" si="263"/>
        <v>#REF!</v>
      </c>
      <c r="BE396" s="263" t="e">
        <f>BC396+AV396+#REF!+AH396+AA396</f>
        <v>#REF!</v>
      </c>
      <c r="BF396" s="263" t="e">
        <f t="shared" si="264"/>
        <v>#REF!</v>
      </c>
      <c r="BG396" s="263" t="e">
        <f t="shared" si="265"/>
        <v>#REF!</v>
      </c>
    </row>
    <row r="397" spans="1:59" ht="15.75">
      <c r="A397" s="338">
        <v>30</v>
      </c>
      <c r="B397" s="338" t="s">
        <v>1</v>
      </c>
      <c r="C397" s="258">
        <v>42</v>
      </c>
      <c r="D397" s="328" t="s">
        <v>61</v>
      </c>
      <c r="E397" s="258" t="s">
        <v>9</v>
      </c>
      <c r="F397" s="431">
        <f t="array" ref="F397">MAX((IF(MNU_CODIGO_ALIMENTO_ENTREGA=CONCATENATE($C397,"_","P_"),MNU_GRAMAJE_REQUERIDO_TIPOA,"")))</f>
        <v>100</v>
      </c>
      <c r="G397" s="259">
        <f t="shared" si="266"/>
        <v>112102</v>
      </c>
      <c r="H397" s="259">
        <f t="shared" si="267"/>
        <v>10944</v>
      </c>
      <c r="I397" s="259">
        <f t="shared" si="268"/>
        <v>123046</v>
      </c>
      <c r="J397" s="260">
        <f t="shared" si="269"/>
        <v>22868808</v>
      </c>
      <c r="K397" s="260">
        <f t="shared" si="270"/>
        <v>2232576</v>
      </c>
      <c r="L397" s="260">
        <f t="shared" si="271"/>
        <v>25101384</v>
      </c>
      <c r="M397" s="432">
        <f t="array" ref="M397">MAX((IF(MNU_CODIGO_ALIMENTO_ENTREGA=CONCATENATE($C397,"_","P_"),MNU_GRAMAJE_REQUERIDO_TIPOB,"")))</f>
        <v>100</v>
      </c>
      <c r="N397" s="348">
        <f t="shared" si="272"/>
        <v>112727</v>
      </c>
      <c r="O397" s="348">
        <f t="shared" si="273"/>
        <v>2736</v>
      </c>
      <c r="P397" s="348">
        <f t="shared" si="274"/>
        <v>115463</v>
      </c>
      <c r="Q397" s="349">
        <f t="shared" si="275"/>
        <v>22996308</v>
      </c>
      <c r="R397" s="349">
        <f t="shared" si="276"/>
        <v>558144</v>
      </c>
      <c r="S397" s="349">
        <f t="shared" si="277"/>
        <v>23554452</v>
      </c>
      <c r="T397" s="353">
        <f t="array" ref="T397">MAX((IF(MNU_CODIGO_ALIMENTO_ENTREGA=CONCATENATE($C397,"_","P_"),MNU_GRAMAJE_REQUERIDO_TIPOC,"")))</f>
        <v>100</v>
      </c>
      <c r="U397" s="259">
        <f t="shared" si="278"/>
        <v>119890</v>
      </c>
      <c r="V397" s="259">
        <f t="shared" si="279"/>
        <v>21318</v>
      </c>
      <c r="W397" s="259">
        <f t="shared" si="280"/>
        <v>141208</v>
      </c>
      <c r="X397" s="260">
        <f t="shared" si="281"/>
        <v>24457560</v>
      </c>
      <c r="Y397" s="260">
        <f t="shared" si="282"/>
        <v>4348872</v>
      </c>
      <c r="Z397" s="260">
        <f t="shared" si="283"/>
        <v>28806432</v>
      </c>
      <c r="AA397" s="258">
        <f t="array" ref="AA397">MAX((IF(MNU_CODIGO_ALIMENTO_ENTREGA=CONCATENATE($C397,"_","P_"),MNU_GRAMAJE_REQUERIDO_TIPOM,"")))</f>
        <v>100</v>
      </c>
      <c r="AB397" s="261">
        <f t="shared" si="284"/>
        <v>5377</v>
      </c>
      <c r="AC397" s="261">
        <v>0</v>
      </c>
      <c r="AD397" s="261">
        <f t="shared" si="285"/>
        <v>5377</v>
      </c>
      <c r="AE397" s="262">
        <f t="shared" si="286"/>
        <v>1096908</v>
      </c>
      <c r="AF397" s="262">
        <v>0</v>
      </c>
      <c r="AG397" s="262">
        <f t="shared" si="287"/>
        <v>1096908</v>
      </c>
      <c r="AH397" s="353">
        <f t="array" ref="AH397">MAX((IF(MNU_CODIGO_ALIMENTO_ENTREGA=CONCATENATE($C397,"_","P_"),MNU_GRAMAJE_REQUERIDO_TIPOH,"")))</f>
        <v>100</v>
      </c>
      <c r="AI397" s="259">
        <f t="shared" si="288"/>
        <v>5263</v>
      </c>
      <c r="AJ397" s="259">
        <v>0</v>
      </c>
      <c r="AK397" s="259">
        <f t="shared" si="289"/>
        <v>5263</v>
      </c>
      <c r="AL397" s="260">
        <f t="shared" si="290"/>
        <v>1073652</v>
      </c>
      <c r="AM397" s="260">
        <v>0</v>
      </c>
      <c r="AN397" s="260">
        <f t="shared" si="291"/>
        <v>1073652</v>
      </c>
      <c r="AO397" s="457">
        <f t="shared" si="292"/>
        <v>390357</v>
      </c>
      <c r="AP397" s="456">
        <f t="shared" si="293"/>
        <v>79632828</v>
      </c>
      <c r="AQ397" s="263" t="e">
        <f>#REF!+AH397+AA397+T397+M397</f>
        <v>#REF!</v>
      </c>
      <c r="AR397" s="263">
        <f t="shared" si="252"/>
        <v>79876085</v>
      </c>
      <c r="AS397" s="263" t="e">
        <f t="shared" si="253"/>
        <v>#REF!</v>
      </c>
      <c r="AT397" s="263">
        <f t="shared" si="254"/>
        <v>80143396</v>
      </c>
      <c r="AU397" s="263" t="e">
        <f t="shared" si="255"/>
        <v>#REF!</v>
      </c>
      <c r="AV397" s="263">
        <f t="shared" si="256"/>
        <v>85050412</v>
      </c>
      <c r="AW397" s="263" t="e">
        <f t="shared" si="257"/>
        <v>#REF!</v>
      </c>
      <c r="AX397" s="263" t="e">
        <f>AV397+#REF!+AH397+AA397+T397</f>
        <v>#REF!</v>
      </c>
      <c r="AY397" s="263" t="e">
        <f t="shared" si="258"/>
        <v>#REF!</v>
      </c>
      <c r="AZ397" s="263" t="e">
        <f t="shared" si="259"/>
        <v>#REF!</v>
      </c>
      <c r="BA397" s="263" t="e">
        <f t="shared" si="260"/>
        <v>#REF!</v>
      </c>
      <c r="BB397" s="263" t="e">
        <f t="shared" si="261"/>
        <v>#REF!</v>
      </c>
      <c r="BC397" s="263" t="e">
        <f t="shared" si="262"/>
        <v>#REF!</v>
      </c>
      <c r="BD397" s="263" t="e">
        <f t="shared" si="263"/>
        <v>#REF!</v>
      </c>
      <c r="BE397" s="263" t="e">
        <f>BC397+AV397+#REF!+AH397+AA397</f>
        <v>#REF!</v>
      </c>
      <c r="BF397" s="263" t="e">
        <f t="shared" si="264"/>
        <v>#REF!</v>
      </c>
      <c r="BG397" s="263" t="e">
        <f t="shared" si="265"/>
        <v>#REF!</v>
      </c>
    </row>
    <row r="398" spans="1:59" ht="15.75">
      <c r="A398" s="338">
        <v>30</v>
      </c>
      <c r="B398" s="338" t="s">
        <v>1</v>
      </c>
      <c r="C398" s="258">
        <v>43</v>
      </c>
      <c r="D398" s="328" t="s">
        <v>62</v>
      </c>
      <c r="E398" s="258" t="s">
        <v>9</v>
      </c>
      <c r="F398" s="431">
        <f t="array" ref="F398">MAX((IF(MNU_CODIGO_ALIMENTO_ENTREGA=CONCATENATE($C398,"_","P_"),MNU_GRAMAJE_REQUERIDO_TIPOA,"")))</f>
        <v>100</v>
      </c>
      <c r="G398" s="259">
        <f t="shared" si="266"/>
        <v>116976</v>
      </c>
      <c r="H398" s="259">
        <f t="shared" si="267"/>
        <v>8816</v>
      </c>
      <c r="I398" s="259">
        <f t="shared" si="268"/>
        <v>125792</v>
      </c>
      <c r="J398" s="260">
        <f t="shared" si="269"/>
        <v>20821728</v>
      </c>
      <c r="K398" s="260">
        <f t="shared" si="270"/>
        <v>1569248</v>
      </c>
      <c r="L398" s="260">
        <f t="shared" si="271"/>
        <v>22390976</v>
      </c>
      <c r="M398" s="432">
        <f t="array" ref="M398">MAX((IF(MNU_CODIGO_ALIMENTO_ENTREGA=CONCATENATE($C398,"_","P_"),MNU_GRAMAJE_REQUERIDO_TIPOB,"")))</f>
        <v>100</v>
      </c>
      <c r="N398" s="348">
        <f t="shared" si="272"/>
        <v>100861</v>
      </c>
      <c r="O398" s="348">
        <f t="shared" si="273"/>
        <v>3312</v>
      </c>
      <c r="P398" s="348">
        <f t="shared" si="274"/>
        <v>104173</v>
      </c>
      <c r="Q398" s="349">
        <f t="shared" si="275"/>
        <v>17953258</v>
      </c>
      <c r="R398" s="349">
        <f t="shared" si="276"/>
        <v>589536</v>
      </c>
      <c r="S398" s="349">
        <f t="shared" si="277"/>
        <v>18542794</v>
      </c>
      <c r="T398" s="353">
        <f t="array" ref="T398">MAX((IF(MNU_CODIGO_ALIMENTO_ENTREGA=CONCATENATE($C398,"_","P_"),MNU_GRAMAJE_REQUERIDO_TIPOC,"")))</f>
        <v>100</v>
      </c>
      <c r="U398" s="259">
        <f t="shared" si="278"/>
        <v>107270</v>
      </c>
      <c r="V398" s="259">
        <f t="shared" si="279"/>
        <v>25806</v>
      </c>
      <c r="W398" s="259">
        <f t="shared" si="280"/>
        <v>133076</v>
      </c>
      <c r="X398" s="260">
        <f t="shared" si="281"/>
        <v>19094060</v>
      </c>
      <c r="Y398" s="260">
        <f t="shared" si="282"/>
        <v>4593468</v>
      </c>
      <c r="Z398" s="260">
        <f t="shared" si="283"/>
        <v>23687528</v>
      </c>
      <c r="AA398" s="258">
        <f t="array" ref="AA398">MAX((IF(MNU_CODIGO_ALIMENTO_ENTREGA=CONCATENATE($C398,"_","P_"),MNU_GRAMAJE_REQUERIDO_TIPOM,"")))</f>
        <v>100</v>
      </c>
      <c r="AB398" s="261">
        <f t="shared" si="284"/>
        <v>4811</v>
      </c>
      <c r="AC398" s="261">
        <v>0</v>
      </c>
      <c r="AD398" s="261">
        <f t="shared" si="285"/>
        <v>4811</v>
      </c>
      <c r="AE398" s="262">
        <f t="shared" si="286"/>
        <v>856358</v>
      </c>
      <c r="AF398" s="262">
        <v>0</v>
      </c>
      <c r="AG398" s="262">
        <f t="shared" si="287"/>
        <v>856358</v>
      </c>
      <c r="AH398" s="353">
        <f t="array" ref="AH398">MAX((IF(MNU_CODIGO_ALIMENTO_ENTREGA=CONCATENATE($C398,"_","P_"),MNU_GRAMAJE_REQUERIDO_TIPOH,"")))</f>
        <v>100</v>
      </c>
      <c r="AI398" s="259">
        <f t="shared" si="288"/>
        <v>4709</v>
      </c>
      <c r="AJ398" s="259">
        <v>0</v>
      </c>
      <c r="AK398" s="259">
        <f t="shared" si="289"/>
        <v>4709</v>
      </c>
      <c r="AL398" s="260">
        <f t="shared" si="290"/>
        <v>838202</v>
      </c>
      <c r="AM398" s="260">
        <v>0</v>
      </c>
      <c r="AN398" s="260">
        <f t="shared" si="291"/>
        <v>838202</v>
      </c>
      <c r="AO398" s="457">
        <f t="shared" si="292"/>
        <v>372561</v>
      </c>
      <c r="AP398" s="456">
        <f t="shared" si="293"/>
        <v>66315858</v>
      </c>
      <c r="AQ398" s="263" t="e">
        <f>#REF!+AH398+AA398+T398+M398</f>
        <v>#REF!</v>
      </c>
      <c r="AR398" s="263">
        <f t="shared" si="252"/>
        <v>66533509</v>
      </c>
      <c r="AS398" s="263" t="e">
        <f t="shared" si="253"/>
        <v>#REF!</v>
      </c>
      <c r="AT398" s="263">
        <f t="shared" si="254"/>
        <v>66780278</v>
      </c>
      <c r="AU398" s="263" t="e">
        <f t="shared" si="255"/>
        <v>#REF!</v>
      </c>
      <c r="AV398" s="263">
        <f t="shared" si="256"/>
        <v>71963282</v>
      </c>
      <c r="AW398" s="263" t="e">
        <f t="shared" si="257"/>
        <v>#REF!</v>
      </c>
      <c r="AX398" s="263" t="e">
        <f>AV398+#REF!+AH398+AA398+T398</f>
        <v>#REF!</v>
      </c>
      <c r="AY398" s="263" t="e">
        <f t="shared" si="258"/>
        <v>#REF!</v>
      </c>
      <c r="AZ398" s="263" t="e">
        <f t="shared" si="259"/>
        <v>#REF!</v>
      </c>
      <c r="BA398" s="263" t="e">
        <f t="shared" si="260"/>
        <v>#REF!</v>
      </c>
      <c r="BB398" s="263" t="e">
        <f t="shared" si="261"/>
        <v>#REF!</v>
      </c>
      <c r="BC398" s="263" t="e">
        <f t="shared" si="262"/>
        <v>#REF!</v>
      </c>
      <c r="BD398" s="263" t="e">
        <f t="shared" si="263"/>
        <v>#REF!</v>
      </c>
      <c r="BE398" s="263" t="e">
        <f>BC398+AV398+#REF!+AH398+AA398</f>
        <v>#REF!</v>
      </c>
      <c r="BF398" s="263" t="e">
        <f t="shared" si="264"/>
        <v>#REF!</v>
      </c>
      <c r="BG398" s="263" t="e">
        <f t="shared" si="265"/>
        <v>#REF!</v>
      </c>
    </row>
    <row r="399" spans="1:59" ht="15.75">
      <c r="A399" s="338">
        <v>30</v>
      </c>
      <c r="B399" s="338" t="s">
        <v>1</v>
      </c>
      <c r="C399" s="258">
        <v>46</v>
      </c>
      <c r="D399" s="328" t="s">
        <v>64</v>
      </c>
      <c r="E399" s="258" t="s">
        <v>9</v>
      </c>
      <c r="F399" s="431">
        <f t="array" ref="F399">MAX((IF(MNU_CODIGO_ALIMENTO_ENTREGA=CONCATENATE($C399,"_","P_"),MNU_GRAMAJE_REQUERIDO_TIPOA,"")))</f>
        <v>100</v>
      </c>
      <c r="G399" s="259">
        <f t="shared" si="266"/>
        <v>146220</v>
      </c>
      <c r="H399" s="259">
        <f t="shared" si="267"/>
        <v>8816</v>
      </c>
      <c r="I399" s="259">
        <f t="shared" si="268"/>
        <v>155036</v>
      </c>
      <c r="J399" s="260">
        <f t="shared" si="269"/>
        <v>61119960</v>
      </c>
      <c r="K399" s="260">
        <f t="shared" si="270"/>
        <v>3685088</v>
      </c>
      <c r="L399" s="260">
        <f t="shared" si="271"/>
        <v>64805048</v>
      </c>
      <c r="M399" s="432">
        <f t="array" ref="M399">MAX((IF(MNU_CODIGO_ALIMENTO_ENTREGA=CONCATENATE($C399,"_","P_"),MNU_GRAMAJE_REQUERIDO_TIPOB,"")))</f>
        <v>100</v>
      </c>
      <c r="N399" s="348">
        <f t="shared" si="272"/>
        <v>124593</v>
      </c>
      <c r="O399" s="348">
        <f t="shared" si="273"/>
        <v>3456</v>
      </c>
      <c r="P399" s="348">
        <f t="shared" si="274"/>
        <v>128049</v>
      </c>
      <c r="Q399" s="349">
        <f t="shared" si="275"/>
        <v>52079874</v>
      </c>
      <c r="R399" s="349">
        <f t="shared" si="276"/>
        <v>1444608</v>
      </c>
      <c r="S399" s="349">
        <f t="shared" si="277"/>
        <v>53524482</v>
      </c>
      <c r="T399" s="353">
        <f t="array" ref="T399">MAX((IF(MNU_CODIGO_ALIMENTO_ENTREGA=CONCATENATE($C399,"_","P_"),MNU_GRAMAJE_REQUERIDO_TIPOC,"")))</f>
        <v>100</v>
      </c>
      <c r="U399" s="259">
        <f t="shared" si="278"/>
        <v>132510</v>
      </c>
      <c r="V399" s="259">
        <f t="shared" si="279"/>
        <v>26928</v>
      </c>
      <c r="W399" s="259">
        <f t="shared" si="280"/>
        <v>159438</v>
      </c>
      <c r="X399" s="260">
        <f t="shared" si="281"/>
        <v>55389180</v>
      </c>
      <c r="Y399" s="260">
        <f t="shared" si="282"/>
        <v>11255904</v>
      </c>
      <c r="Z399" s="260">
        <f t="shared" si="283"/>
        <v>66645084</v>
      </c>
      <c r="AA399" s="258">
        <f t="array" ref="AA399">MAX((IF(MNU_CODIGO_ALIMENTO_ENTREGA=CONCATENATE($C399,"_","P_"),MNU_GRAMAJE_REQUERIDO_TIPOM,"")))</f>
        <v>100</v>
      </c>
      <c r="AB399" s="261">
        <f t="shared" si="284"/>
        <v>5943</v>
      </c>
      <c r="AC399" s="261">
        <v>0</v>
      </c>
      <c r="AD399" s="261">
        <f t="shared" si="285"/>
        <v>5943</v>
      </c>
      <c r="AE399" s="262">
        <f t="shared" si="286"/>
        <v>2484174</v>
      </c>
      <c r="AF399" s="262">
        <v>0</v>
      </c>
      <c r="AG399" s="262">
        <f t="shared" si="287"/>
        <v>2484174</v>
      </c>
      <c r="AH399" s="353">
        <f t="array" ref="AH399">MAX((IF(MNU_CODIGO_ALIMENTO_ENTREGA=CONCATENATE($C399,"_","P_"),MNU_GRAMAJE_REQUERIDO_TIPOH,"")))</f>
        <v>100</v>
      </c>
      <c r="AI399" s="259">
        <f t="shared" si="288"/>
        <v>5817</v>
      </c>
      <c r="AJ399" s="259">
        <v>0</v>
      </c>
      <c r="AK399" s="259">
        <f t="shared" si="289"/>
        <v>5817</v>
      </c>
      <c r="AL399" s="260">
        <f t="shared" si="290"/>
        <v>2431506</v>
      </c>
      <c r="AM399" s="260">
        <v>0</v>
      </c>
      <c r="AN399" s="260">
        <f t="shared" si="291"/>
        <v>2431506</v>
      </c>
      <c r="AO399" s="457">
        <f t="shared" si="292"/>
        <v>454283</v>
      </c>
      <c r="AP399" s="456">
        <f t="shared" si="293"/>
        <v>189890294</v>
      </c>
      <c r="AQ399" s="263" t="e">
        <f>#REF!+AH399+AA399+T399+M399</f>
        <v>#REF!</v>
      </c>
      <c r="AR399" s="263">
        <f t="shared" si="252"/>
        <v>190159157</v>
      </c>
      <c r="AS399" s="263" t="e">
        <f t="shared" si="253"/>
        <v>#REF!</v>
      </c>
      <c r="AT399" s="263">
        <f t="shared" si="254"/>
        <v>190458404</v>
      </c>
      <c r="AU399" s="263" t="e">
        <f t="shared" si="255"/>
        <v>#REF!</v>
      </c>
      <c r="AV399" s="263">
        <f t="shared" si="256"/>
        <v>203158916</v>
      </c>
      <c r="AW399" s="263" t="e">
        <f t="shared" si="257"/>
        <v>#REF!</v>
      </c>
      <c r="AX399" s="263" t="e">
        <f>AV399+#REF!+AH399+AA399+T399</f>
        <v>#REF!</v>
      </c>
      <c r="AY399" s="263" t="e">
        <f t="shared" si="258"/>
        <v>#REF!</v>
      </c>
      <c r="AZ399" s="263" t="e">
        <f t="shared" si="259"/>
        <v>#REF!</v>
      </c>
      <c r="BA399" s="263" t="e">
        <f t="shared" si="260"/>
        <v>#REF!</v>
      </c>
      <c r="BB399" s="263" t="e">
        <f t="shared" si="261"/>
        <v>#REF!</v>
      </c>
      <c r="BC399" s="263" t="e">
        <f t="shared" si="262"/>
        <v>#REF!</v>
      </c>
      <c r="BD399" s="263" t="e">
        <f t="shared" si="263"/>
        <v>#REF!</v>
      </c>
      <c r="BE399" s="263" t="e">
        <f>BC399+AV399+#REF!+AH399+AA399</f>
        <v>#REF!</v>
      </c>
      <c r="BF399" s="263" t="e">
        <f t="shared" si="264"/>
        <v>#REF!</v>
      </c>
      <c r="BG399" s="263" t="e">
        <f t="shared" si="265"/>
        <v>#REF!</v>
      </c>
    </row>
    <row r="400" spans="1:59" ht="15.75">
      <c r="A400" s="338">
        <v>30</v>
      </c>
      <c r="B400" s="338" t="s">
        <v>1</v>
      </c>
      <c r="C400" s="258">
        <v>58</v>
      </c>
      <c r="D400" s="328" t="s">
        <v>67</v>
      </c>
      <c r="E400" s="258" t="s">
        <v>9</v>
      </c>
      <c r="F400" s="431">
        <f t="array" ref="F400">MAX((IF(MNU_CODIGO_ALIMENTO_ENTREGA=CONCATENATE($C400,"_","P_"),MNU_GRAMAJE_REQUERIDO_TIPOA,"")))</f>
        <v>100</v>
      </c>
      <c r="G400" s="259">
        <f t="shared" si="266"/>
        <v>116976</v>
      </c>
      <c r="H400" s="259">
        <f t="shared" si="267"/>
        <v>8512</v>
      </c>
      <c r="I400" s="259">
        <f t="shared" si="268"/>
        <v>125488</v>
      </c>
      <c r="J400" s="260">
        <f t="shared" si="269"/>
        <v>18950112</v>
      </c>
      <c r="K400" s="260">
        <f t="shared" si="270"/>
        <v>1378944</v>
      </c>
      <c r="L400" s="260">
        <f t="shared" si="271"/>
        <v>20329056</v>
      </c>
      <c r="M400" s="432">
        <f t="array" ref="M400">MAX((IF(MNU_CODIGO_ALIMENTO_ENTREGA=CONCATENATE($C400,"_","P_"),MNU_GRAMAJE_REQUERIDO_TIPOB,"")))</f>
        <v>100</v>
      </c>
      <c r="N400" s="348">
        <f t="shared" si="272"/>
        <v>136459</v>
      </c>
      <c r="O400" s="348">
        <f t="shared" si="273"/>
        <v>3312</v>
      </c>
      <c r="P400" s="348">
        <f t="shared" si="274"/>
        <v>139771</v>
      </c>
      <c r="Q400" s="349">
        <f t="shared" si="275"/>
        <v>22106358</v>
      </c>
      <c r="R400" s="349">
        <f t="shared" si="276"/>
        <v>536544</v>
      </c>
      <c r="S400" s="349">
        <f t="shared" si="277"/>
        <v>22642902</v>
      </c>
      <c r="T400" s="353">
        <f t="array" ref="T400">MAX((IF(MNU_CODIGO_ALIMENTO_ENTREGA=CONCATENATE($C400,"_","P_"),MNU_GRAMAJE_REQUERIDO_TIPOC,"")))</f>
        <v>100</v>
      </c>
      <c r="U400" s="259">
        <f t="shared" si="278"/>
        <v>145130</v>
      </c>
      <c r="V400" s="259">
        <f t="shared" si="279"/>
        <v>25806</v>
      </c>
      <c r="W400" s="259">
        <f t="shared" si="280"/>
        <v>170936</v>
      </c>
      <c r="X400" s="260">
        <f t="shared" si="281"/>
        <v>23511060</v>
      </c>
      <c r="Y400" s="260">
        <f t="shared" si="282"/>
        <v>4180572</v>
      </c>
      <c r="Z400" s="260">
        <f t="shared" si="283"/>
        <v>27691632</v>
      </c>
      <c r="AA400" s="258">
        <f t="array" ref="AA400">MAX((IF(MNU_CODIGO_ALIMENTO_ENTREGA=CONCATENATE($C400,"_","P_"),MNU_GRAMAJE_REQUERIDO_TIPOM,"")))</f>
        <v>100</v>
      </c>
      <c r="AB400" s="261">
        <f t="shared" si="284"/>
        <v>6509</v>
      </c>
      <c r="AC400" s="261">
        <v>0</v>
      </c>
      <c r="AD400" s="261">
        <f t="shared" si="285"/>
        <v>6509</v>
      </c>
      <c r="AE400" s="262">
        <f t="shared" si="286"/>
        <v>1054458</v>
      </c>
      <c r="AF400" s="262">
        <v>0</v>
      </c>
      <c r="AG400" s="262">
        <f t="shared" si="287"/>
        <v>1054458</v>
      </c>
      <c r="AH400" s="353">
        <f t="array" ref="AH400">MAX((IF(MNU_CODIGO_ALIMENTO_ENTREGA=CONCATENATE($C400,"_","P_"),MNU_GRAMAJE_REQUERIDO_TIPOH,"")))</f>
        <v>100</v>
      </c>
      <c r="AI400" s="259">
        <f t="shared" si="288"/>
        <v>6371</v>
      </c>
      <c r="AJ400" s="259">
        <v>0</v>
      </c>
      <c r="AK400" s="259">
        <f t="shared" si="289"/>
        <v>6371</v>
      </c>
      <c r="AL400" s="260">
        <f t="shared" si="290"/>
        <v>1032102</v>
      </c>
      <c r="AM400" s="260">
        <v>0</v>
      </c>
      <c r="AN400" s="260">
        <f t="shared" si="291"/>
        <v>1032102</v>
      </c>
      <c r="AO400" s="457">
        <f t="shared" si="292"/>
        <v>449075</v>
      </c>
      <c r="AP400" s="456">
        <f t="shared" si="293"/>
        <v>72750150</v>
      </c>
      <c r="AQ400" s="263" t="e">
        <f>#REF!+AH400+AA400+T400+M400</f>
        <v>#REF!</v>
      </c>
      <c r="AR400" s="263">
        <f t="shared" si="252"/>
        <v>73044619</v>
      </c>
      <c r="AS400" s="263" t="e">
        <f t="shared" si="253"/>
        <v>#REF!</v>
      </c>
      <c r="AT400" s="263">
        <f t="shared" si="254"/>
        <v>73368206</v>
      </c>
      <c r="AU400" s="263" t="e">
        <f t="shared" si="255"/>
        <v>#REF!</v>
      </c>
      <c r="AV400" s="263">
        <f t="shared" si="256"/>
        <v>78085322</v>
      </c>
      <c r="AW400" s="263" t="e">
        <f t="shared" si="257"/>
        <v>#REF!</v>
      </c>
      <c r="AX400" s="263" t="e">
        <f>AV400+#REF!+AH400+AA400+T400</f>
        <v>#REF!</v>
      </c>
      <c r="AY400" s="263" t="e">
        <f t="shared" si="258"/>
        <v>#REF!</v>
      </c>
      <c r="AZ400" s="263" t="e">
        <f t="shared" si="259"/>
        <v>#REF!</v>
      </c>
      <c r="BA400" s="263" t="e">
        <f t="shared" si="260"/>
        <v>#REF!</v>
      </c>
      <c r="BB400" s="263" t="e">
        <f t="shared" si="261"/>
        <v>#REF!</v>
      </c>
      <c r="BC400" s="263" t="e">
        <f t="shared" si="262"/>
        <v>#REF!</v>
      </c>
      <c r="BD400" s="263" t="e">
        <f t="shared" si="263"/>
        <v>#REF!</v>
      </c>
      <c r="BE400" s="263" t="e">
        <f>BC400+AV400+#REF!+AH400+AA400</f>
        <v>#REF!</v>
      </c>
      <c r="BF400" s="263" t="e">
        <f t="shared" si="264"/>
        <v>#REF!</v>
      </c>
      <c r="BG400" s="263" t="e">
        <f t="shared" si="265"/>
        <v>#REF!</v>
      </c>
    </row>
    <row r="401" spans="1:59" ht="15.75">
      <c r="A401" s="338">
        <v>30</v>
      </c>
      <c r="B401" s="338" t="s">
        <v>1</v>
      </c>
      <c r="C401" s="258">
        <v>59</v>
      </c>
      <c r="D401" s="328" t="s">
        <v>99</v>
      </c>
      <c r="E401" s="258" t="s">
        <v>9</v>
      </c>
      <c r="F401" s="431">
        <f t="array" ref="F401">MAX((IF(MNU_CODIGO_ALIMENTO_ENTREGA=CONCATENATE($C401,"_","P_"),MNU_GRAMAJE_REQUERIDO_TIPOA,"")))</f>
        <v>0</v>
      </c>
      <c r="G401" s="259">
        <f t="shared" si="266"/>
        <v>0</v>
      </c>
      <c r="H401" s="259">
        <f t="shared" si="267"/>
        <v>0</v>
      </c>
      <c r="I401" s="259">
        <f t="shared" si="268"/>
        <v>0</v>
      </c>
      <c r="J401" s="260">
        <f t="shared" si="269"/>
        <v>0</v>
      </c>
      <c r="K401" s="260">
        <f t="shared" si="270"/>
        <v>0</v>
      </c>
      <c r="L401" s="260">
        <f t="shared" si="271"/>
        <v>0</v>
      </c>
      <c r="M401" s="432">
        <f t="array" ref="M401">MAX((IF(MNU_CODIGO_ALIMENTO_ENTREGA=CONCATENATE($C401,"_","P_"),MNU_GRAMAJE_REQUERIDO_TIPOB,"")))</f>
        <v>100</v>
      </c>
      <c r="N401" s="348">
        <f t="shared" si="272"/>
        <v>47464</v>
      </c>
      <c r="O401" s="348">
        <f t="shared" si="273"/>
        <v>1584</v>
      </c>
      <c r="P401" s="348">
        <f t="shared" si="274"/>
        <v>49048</v>
      </c>
      <c r="Q401" s="349">
        <f t="shared" si="275"/>
        <v>14239200</v>
      </c>
      <c r="R401" s="349">
        <f t="shared" si="276"/>
        <v>475200</v>
      </c>
      <c r="S401" s="349">
        <f t="shared" si="277"/>
        <v>14714400</v>
      </c>
      <c r="T401" s="353">
        <f t="array" ref="T401">MAX((IF(MNU_CODIGO_ALIMENTO_ENTREGA=CONCATENATE($C401,"_","P_"),MNU_GRAMAJE_REQUERIDO_TIPOC,"")))</f>
        <v>100</v>
      </c>
      <c r="U401" s="259">
        <f t="shared" si="278"/>
        <v>50480</v>
      </c>
      <c r="V401" s="259">
        <f t="shared" si="279"/>
        <v>12342</v>
      </c>
      <c r="W401" s="259">
        <f t="shared" si="280"/>
        <v>62822</v>
      </c>
      <c r="X401" s="260">
        <f t="shared" si="281"/>
        <v>15144000</v>
      </c>
      <c r="Y401" s="260">
        <f t="shared" si="282"/>
        <v>3702600</v>
      </c>
      <c r="Z401" s="260">
        <f t="shared" si="283"/>
        <v>18846600</v>
      </c>
      <c r="AA401" s="258">
        <f t="array" ref="AA401">MAX((IF(MNU_CODIGO_ALIMENTO_ENTREGA=CONCATENATE($C401,"_","P_"),MNU_GRAMAJE_REQUERIDO_TIPOM,"")))</f>
        <v>100</v>
      </c>
      <c r="AB401" s="261">
        <f t="shared" si="284"/>
        <v>2264</v>
      </c>
      <c r="AC401" s="261">
        <v>0</v>
      </c>
      <c r="AD401" s="261">
        <f t="shared" si="285"/>
        <v>2264</v>
      </c>
      <c r="AE401" s="262">
        <f t="shared" si="286"/>
        <v>679200</v>
      </c>
      <c r="AF401" s="262">
        <v>0</v>
      </c>
      <c r="AG401" s="262">
        <f t="shared" si="287"/>
        <v>679200</v>
      </c>
      <c r="AH401" s="353">
        <f t="array" ref="AH401">MAX((IF(MNU_CODIGO_ALIMENTO_ENTREGA=CONCATENATE($C401,"_","P_"),MNU_GRAMAJE_REQUERIDO_TIPOH,"")))</f>
        <v>100</v>
      </c>
      <c r="AI401" s="259">
        <f t="shared" si="288"/>
        <v>2216</v>
      </c>
      <c r="AJ401" s="259">
        <v>0</v>
      </c>
      <c r="AK401" s="259">
        <f t="shared" si="289"/>
        <v>2216</v>
      </c>
      <c r="AL401" s="260">
        <f t="shared" si="290"/>
        <v>664800</v>
      </c>
      <c r="AM401" s="260">
        <v>0</v>
      </c>
      <c r="AN401" s="260">
        <f t="shared" si="291"/>
        <v>664800</v>
      </c>
      <c r="AO401" s="457">
        <f t="shared" si="292"/>
        <v>116350</v>
      </c>
      <c r="AP401" s="456">
        <f t="shared" si="293"/>
        <v>34905000</v>
      </c>
      <c r="AQ401" s="263" t="e">
        <f>#REF!+AH401+AA401+T401+M401</f>
        <v>#REF!</v>
      </c>
      <c r="AR401" s="263">
        <f t="shared" si="252"/>
        <v>35007424</v>
      </c>
      <c r="AS401" s="263" t="e">
        <f t="shared" si="253"/>
        <v>#REF!</v>
      </c>
      <c r="AT401" s="263">
        <f t="shared" si="254"/>
        <v>35123774</v>
      </c>
      <c r="AU401" s="263" t="e">
        <f t="shared" si="255"/>
        <v>#REF!</v>
      </c>
      <c r="AV401" s="263">
        <f t="shared" si="256"/>
        <v>39301574</v>
      </c>
      <c r="AW401" s="263" t="e">
        <f t="shared" si="257"/>
        <v>#REF!</v>
      </c>
      <c r="AX401" s="263" t="e">
        <f>AV401+#REF!+AH401+AA401+T401</f>
        <v>#REF!</v>
      </c>
      <c r="AY401" s="263" t="e">
        <f t="shared" si="258"/>
        <v>#REF!</v>
      </c>
      <c r="AZ401" s="263" t="e">
        <f t="shared" si="259"/>
        <v>#REF!</v>
      </c>
      <c r="BA401" s="263" t="e">
        <f t="shared" si="260"/>
        <v>#REF!</v>
      </c>
      <c r="BB401" s="263" t="e">
        <f t="shared" si="261"/>
        <v>#REF!</v>
      </c>
      <c r="BC401" s="263" t="e">
        <f t="shared" si="262"/>
        <v>#REF!</v>
      </c>
      <c r="BD401" s="263" t="e">
        <f t="shared" si="263"/>
        <v>#REF!</v>
      </c>
      <c r="BE401" s="263" t="e">
        <f>BC401+AV401+#REF!+AH401+AA401</f>
        <v>#REF!</v>
      </c>
      <c r="BF401" s="263" t="e">
        <f t="shared" si="264"/>
        <v>#REF!</v>
      </c>
      <c r="BG401" s="263" t="e">
        <f t="shared" si="265"/>
        <v>#REF!</v>
      </c>
    </row>
    <row r="402" spans="1:59" ht="15.75">
      <c r="A402" s="338">
        <v>30</v>
      </c>
      <c r="B402" s="338" t="s">
        <v>1</v>
      </c>
      <c r="C402" s="258">
        <v>69</v>
      </c>
      <c r="D402" s="328" t="s">
        <v>70</v>
      </c>
      <c r="E402" s="258" t="s">
        <v>9</v>
      </c>
      <c r="F402" s="431">
        <f t="array" ref="F402">MAX((IF(MNU_CODIGO_ALIMENTO_ENTREGA=CONCATENATE($C402,"_","P_"),MNU_GRAMAJE_REQUERIDO_TIPOA,"")))</f>
        <v>100</v>
      </c>
      <c r="G402" s="259">
        <f t="shared" si="266"/>
        <v>146220</v>
      </c>
      <c r="H402" s="259">
        <f t="shared" si="267"/>
        <v>5472</v>
      </c>
      <c r="I402" s="259">
        <f t="shared" si="268"/>
        <v>151692</v>
      </c>
      <c r="J402" s="260">
        <f t="shared" si="269"/>
        <v>46790400</v>
      </c>
      <c r="K402" s="260">
        <f t="shared" si="270"/>
        <v>1751040</v>
      </c>
      <c r="L402" s="260">
        <f t="shared" si="271"/>
        <v>48541440</v>
      </c>
      <c r="M402" s="432">
        <f t="array" ref="M402">MAX((IF(MNU_CODIGO_ALIMENTO_ENTREGA=CONCATENATE($C402,"_","P_"),MNU_GRAMAJE_REQUERIDO_TIPOB,"")))</f>
        <v>100</v>
      </c>
      <c r="N402" s="348">
        <f t="shared" si="272"/>
        <v>94928</v>
      </c>
      <c r="O402" s="348">
        <f t="shared" si="273"/>
        <v>1728</v>
      </c>
      <c r="P402" s="348">
        <f t="shared" si="274"/>
        <v>96656</v>
      </c>
      <c r="Q402" s="349">
        <f t="shared" si="275"/>
        <v>30376960</v>
      </c>
      <c r="R402" s="349">
        <f t="shared" si="276"/>
        <v>552960</v>
      </c>
      <c r="S402" s="349">
        <f t="shared" si="277"/>
        <v>30929920</v>
      </c>
      <c r="T402" s="353">
        <f t="array" ref="T402">MAX((IF(MNU_CODIGO_ALIMENTO_ENTREGA=CONCATENATE($C402,"_","P_"),MNU_GRAMAJE_REQUERIDO_TIPOC,"")))</f>
        <v>100</v>
      </c>
      <c r="U402" s="259">
        <f t="shared" si="278"/>
        <v>100960</v>
      </c>
      <c r="V402" s="259">
        <f t="shared" si="279"/>
        <v>13464</v>
      </c>
      <c r="W402" s="259">
        <f t="shared" si="280"/>
        <v>114424</v>
      </c>
      <c r="X402" s="260">
        <f t="shared" si="281"/>
        <v>32307200</v>
      </c>
      <c r="Y402" s="260">
        <f t="shared" si="282"/>
        <v>4308480</v>
      </c>
      <c r="Z402" s="260">
        <f t="shared" si="283"/>
        <v>36615680</v>
      </c>
      <c r="AA402" s="258">
        <f t="array" ref="AA402">MAX((IF(MNU_CODIGO_ALIMENTO_ENTREGA=CONCATENATE($C402,"_","P_"),MNU_GRAMAJE_REQUERIDO_TIPOM,"")))</f>
        <v>100</v>
      </c>
      <c r="AB402" s="261">
        <f t="shared" si="284"/>
        <v>4528</v>
      </c>
      <c r="AC402" s="261">
        <v>0</v>
      </c>
      <c r="AD402" s="261">
        <f t="shared" si="285"/>
        <v>4528</v>
      </c>
      <c r="AE402" s="262">
        <f t="shared" si="286"/>
        <v>1448960</v>
      </c>
      <c r="AF402" s="262">
        <v>0</v>
      </c>
      <c r="AG402" s="262">
        <f t="shared" si="287"/>
        <v>1448960</v>
      </c>
      <c r="AH402" s="353">
        <f t="array" ref="AH402">MAX((IF(MNU_CODIGO_ALIMENTO_ENTREGA=CONCATENATE($C402,"_","P_"),MNU_GRAMAJE_REQUERIDO_TIPOH,"")))</f>
        <v>100</v>
      </c>
      <c r="AI402" s="259">
        <f t="shared" si="288"/>
        <v>4432</v>
      </c>
      <c r="AJ402" s="259">
        <v>0</v>
      </c>
      <c r="AK402" s="259">
        <f t="shared" si="289"/>
        <v>4432</v>
      </c>
      <c r="AL402" s="260">
        <f t="shared" si="290"/>
        <v>1418240</v>
      </c>
      <c r="AM402" s="260">
        <v>0</v>
      </c>
      <c r="AN402" s="260">
        <f t="shared" si="291"/>
        <v>1418240</v>
      </c>
      <c r="AO402" s="457">
        <f t="shared" si="292"/>
        <v>371732</v>
      </c>
      <c r="AP402" s="456">
        <f t="shared" si="293"/>
        <v>118954240</v>
      </c>
      <c r="AQ402" s="263" t="e">
        <f>#REF!+AH402+AA402+T402+M402</f>
        <v>#REF!</v>
      </c>
      <c r="AR402" s="263">
        <f t="shared" si="252"/>
        <v>119159088</v>
      </c>
      <c r="AS402" s="263" t="e">
        <f t="shared" si="253"/>
        <v>#REF!</v>
      </c>
      <c r="AT402" s="263">
        <f t="shared" si="254"/>
        <v>119379128</v>
      </c>
      <c r="AU402" s="263" t="e">
        <f t="shared" si="255"/>
        <v>#REF!</v>
      </c>
      <c r="AV402" s="263">
        <f t="shared" si="256"/>
        <v>124240568</v>
      </c>
      <c r="AW402" s="263" t="e">
        <f t="shared" si="257"/>
        <v>#REF!</v>
      </c>
      <c r="AX402" s="263" t="e">
        <f>AV402+#REF!+AH402+AA402+T402</f>
        <v>#REF!</v>
      </c>
      <c r="AY402" s="263" t="e">
        <f t="shared" si="258"/>
        <v>#REF!</v>
      </c>
      <c r="AZ402" s="263" t="e">
        <f t="shared" si="259"/>
        <v>#REF!</v>
      </c>
      <c r="BA402" s="263" t="e">
        <f t="shared" si="260"/>
        <v>#REF!</v>
      </c>
      <c r="BB402" s="263" t="e">
        <f t="shared" si="261"/>
        <v>#REF!</v>
      </c>
      <c r="BC402" s="263" t="e">
        <f t="shared" si="262"/>
        <v>#REF!</v>
      </c>
      <c r="BD402" s="263" t="e">
        <f t="shared" si="263"/>
        <v>#REF!</v>
      </c>
      <c r="BE402" s="263" t="e">
        <f>BC402+AV402+#REF!+AH402+AA402</f>
        <v>#REF!</v>
      </c>
      <c r="BF402" s="263" t="e">
        <f t="shared" si="264"/>
        <v>#REF!</v>
      </c>
      <c r="BG402" s="263" t="e">
        <f t="shared" si="265"/>
        <v>#REF!</v>
      </c>
    </row>
    <row r="403" spans="1:59" ht="15.75">
      <c r="A403" s="338">
        <v>30</v>
      </c>
      <c r="B403" s="338" t="s">
        <v>1</v>
      </c>
      <c r="C403" s="258">
        <v>70</v>
      </c>
      <c r="D403" s="328" t="s">
        <v>71</v>
      </c>
      <c r="E403" s="258" t="s">
        <v>9</v>
      </c>
      <c r="F403" s="431">
        <f t="array" ref="F403">MAX((IF(MNU_CODIGO_ALIMENTO_ENTREGA=CONCATENATE($C403,"_","P_"),MNU_GRAMAJE_REQUERIDO_TIPOA,"")))</f>
        <v>0</v>
      </c>
      <c r="G403" s="259">
        <f t="shared" si="266"/>
        <v>0</v>
      </c>
      <c r="H403" s="259">
        <f t="shared" si="267"/>
        <v>0</v>
      </c>
      <c r="I403" s="259">
        <f t="shared" si="268"/>
        <v>0</v>
      </c>
      <c r="J403" s="260">
        <f t="shared" si="269"/>
        <v>0</v>
      </c>
      <c r="K403" s="260">
        <f t="shared" si="270"/>
        <v>0</v>
      </c>
      <c r="L403" s="260">
        <f t="shared" si="271"/>
        <v>0</v>
      </c>
      <c r="M403" s="432">
        <f t="array" ref="M403">MAX((IF(MNU_CODIGO_ALIMENTO_ENTREGA=CONCATENATE($C403,"_","P_"),MNU_GRAMAJE_REQUERIDO_TIPOB,"")))</f>
        <v>100</v>
      </c>
      <c r="N403" s="348">
        <f t="shared" si="272"/>
        <v>59330</v>
      </c>
      <c r="O403" s="348">
        <f t="shared" si="273"/>
        <v>1152</v>
      </c>
      <c r="P403" s="348">
        <f t="shared" si="274"/>
        <v>60482</v>
      </c>
      <c r="Q403" s="349">
        <f t="shared" si="275"/>
        <v>27054480</v>
      </c>
      <c r="R403" s="349">
        <f t="shared" si="276"/>
        <v>525312</v>
      </c>
      <c r="S403" s="349">
        <f t="shared" si="277"/>
        <v>27579792</v>
      </c>
      <c r="T403" s="353">
        <f t="array" ref="T403">MAX((IF(MNU_CODIGO_ALIMENTO_ENTREGA=CONCATENATE($C403,"_","P_"),MNU_GRAMAJE_REQUERIDO_TIPOC,"")))</f>
        <v>100</v>
      </c>
      <c r="U403" s="259">
        <f t="shared" si="278"/>
        <v>63100</v>
      </c>
      <c r="V403" s="259">
        <f t="shared" si="279"/>
        <v>8976</v>
      </c>
      <c r="W403" s="259">
        <f t="shared" si="280"/>
        <v>72076</v>
      </c>
      <c r="X403" s="260">
        <f t="shared" si="281"/>
        <v>28773600</v>
      </c>
      <c r="Y403" s="260">
        <f t="shared" si="282"/>
        <v>4093056</v>
      </c>
      <c r="Z403" s="260">
        <f t="shared" si="283"/>
        <v>32866656</v>
      </c>
      <c r="AA403" s="258">
        <f t="array" ref="AA403">MAX((IF(MNU_CODIGO_ALIMENTO_ENTREGA=CONCATENATE($C403,"_","P_"),MNU_GRAMAJE_REQUERIDO_TIPOM,"")))</f>
        <v>100</v>
      </c>
      <c r="AB403" s="261">
        <f t="shared" si="284"/>
        <v>2830</v>
      </c>
      <c r="AC403" s="261">
        <v>0</v>
      </c>
      <c r="AD403" s="261">
        <f t="shared" si="285"/>
        <v>2830</v>
      </c>
      <c r="AE403" s="262">
        <f t="shared" si="286"/>
        <v>1290480</v>
      </c>
      <c r="AF403" s="262">
        <v>0</v>
      </c>
      <c r="AG403" s="262">
        <f t="shared" si="287"/>
        <v>1290480</v>
      </c>
      <c r="AH403" s="353">
        <f t="array" ref="AH403">MAX((IF(MNU_CODIGO_ALIMENTO_ENTREGA=CONCATENATE($C403,"_","P_"),MNU_GRAMAJE_REQUERIDO_TIPOH,"")))</f>
        <v>100</v>
      </c>
      <c r="AI403" s="259">
        <f t="shared" si="288"/>
        <v>2770</v>
      </c>
      <c r="AJ403" s="259">
        <v>0</v>
      </c>
      <c r="AK403" s="259">
        <f t="shared" si="289"/>
        <v>2770</v>
      </c>
      <c r="AL403" s="260">
        <f t="shared" si="290"/>
        <v>1263120</v>
      </c>
      <c r="AM403" s="260">
        <v>0</v>
      </c>
      <c r="AN403" s="260">
        <f t="shared" si="291"/>
        <v>1263120</v>
      </c>
      <c r="AO403" s="457">
        <f t="shared" si="292"/>
        <v>138158</v>
      </c>
      <c r="AP403" s="456">
        <f t="shared" si="293"/>
        <v>63000048</v>
      </c>
      <c r="AQ403" s="263" t="e">
        <f>#REF!+AH403+AA403+T403+M403</f>
        <v>#REF!</v>
      </c>
      <c r="AR403" s="263">
        <f t="shared" si="252"/>
        <v>63128078</v>
      </c>
      <c r="AS403" s="263" t="e">
        <f t="shared" si="253"/>
        <v>#REF!</v>
      </c>
      <c r="AT403" s="263">
        <f t="shared" si="254"/>
        <v>63266236</v>
      </c>
      <c r="AU403" s="263" t="e">
        <f t="shared" si="255"/>
        <v>#REF!</v>
      </c>
      <c r="AV403" s="263">
        <f t="shared" si="256"/>
        <v>67884604</v>
      </c>
      <c r="AW403" s="263" t="e">
        <f t="shared" si="257"/>
        <v>#REF!</v>
      </c>
      <c r="AX403" s="263" t="e">
        <f>AV403+#REF!+AH403+AA403+T403</f>
        <v>#REF!</v>
      </c>
      <c r="AY403" s="263" t="e">
        <f t="shared" si="258"/>
        <v>#REF!</v>
      </c>
      <c r="AZ403" s="263" t="e">
        <f t="shared" si="259"/>
        <v>#REF!</v>
      </c>
      <c r="BA403" s="263" t="e">
        <f t="shared" si="260"/>
        <v>#REF!</v>
      </c>
      <c r="BB403" s="263" t="e">
        <f t="shared" si="261"/>
        <v>#REF!</v>
      </c>
      <c r="BC403" s="263" t="e">
        <f t="shared" si="262"/>
        <v>#REF!</v>
      </c>
      <c r="BD403" s="263" t="e">
        <f t="shared" si="263"/>
        <v>#REF!</v>
      </c>
      <c r="BE403" s="263" t="e">
        <f>BC403+AV403+#REF!+AH403+AA403</f>
        <v>#REF!</v>
      </c>
      <c r="BF403" s="263" t="e">
        <f t="shared" si="264"/>
        <v>#REF!</v>
      </c>
      <c r="BG403" s="263" t="e">
        <f t="shared" si="265"/>
        <v>#REF!</v>
      </c>
    </row>
    <row r="404" spans="1:59" ht="15.75">
      <c r="A404" s="458"/>
      <c r="B404" s="458"/>
      <c r="C404" s="458"/>
      <c r="D404" s="458"/>
      <c r="E404" s="458"/>
      <c r="F404" s="458"/>
      <c r="G404" s="458"/>
      <c r="H404" s="458"/>
      <c r="I404" s="458"/>
      <c r="J404" s="458"/>
      <c r="K404" s="458"/>
      <c r="L404" s="458"/>
      <c r="M404" s="458"/>
      <c r="N404" s="458"/>
      <c r="O404" s="458"/>
      <c r="P404" s="458"/>
      <c r="Q404" s="458"/>
      <c r="R404" s="458"/>
      <c r="S404" s="458"/>
      <c r="T404" s="458"/>
      <c r="U404" s="458"/>
      <c r="V404" s="458"/>
      <c r="W404" s="458"/>
      <c r="X404" s="458"/>
      <c r="Y404" s="458"/>
      <c r="Z404" s="458"/>
      <c r="AA404" s="458"/>
      <c r="AB404" s="458"/>
      <c r="AC404" s="458"/>
      <c r="AD404" s="458"/>
      <c r="AE404" s="458"/>
      <c r="AF404" s="458"/>
      <c r="AG404" s="458"/>
      <c r="AH404" s="458"/>
      <c r="AI404" s="458"/>
      <c r="AJ404" s="458"/>
      <c r="AK404" s="458"/>
      <c r="AL404" s="458"/>
      <c r="AM404" s="458"/>
      <c r="AN404" s="458"/>
      <c r="AO404" s="306">
        <f>SUM(AO14:AO403)</f>
        <v>147206083</v>
      </c>
      <c r="AP404" s="304">
        <f>SUM(AP14:AP403)</f>
        <v>40329900220</v>
      </c>
    </row>
    <row r="405" spans="1:59" ht="15.75" hidden="1"/>
    <row r="406" spans="1:59" s="355" customFormat="1" ht="13.5" hidden="1"/>
    <row r="407" spans="1:59" s="355" customFormat="1" ht="13.5" hidden="1"/>
    <row r="408" spans="1:59" s="355" customFormat="1" ht="13.5" hidden="1"/>
    <row r="409" spans="1:59" s="355" customFormat="1" ht="13.5" hidden="1"/>
    <row r="410" spans="1:59" s="355" customFormat="1" ht="13.5" hidden="1"/>
    <row r="411" spans="1:59" s="355" customFormat="1" ht="13.5" hidden="1"/>
    <row r="412" spans="1:59" s="355" customFormat="1" ht="13.5" hidden="1"/>
    <row r="413" spans="1:59" s="355" customFormat="1" ht="13.5" hidden="1"/>
    <row r="414" spans="1:59" s="355" customFormat="1" ht="15.75" hidden="1" customHeight="1">
      <c r="AQ414" s="354"/>
      <c r="AR414" s="354"/>
      <c r="AS414" s="354"/>
      <c r="AT414" s="354"/>
      <c r="AU414" s="354"/>
      <c r="AV414" s="354"/>
      <c r="AW414" s="354"/>
      <c r="AX414" s="354"/>
      <c r="AY414" s="354"/>
      <c r="AZ414" s="354"/>
      <c r="BA414" s="354"/>
      <c r="BB414" s="354"/>
      <c r="BC414" s="354"/>
    </row>
    <row r="415" spans="1:59" s="355" customFormat="1" ht="15.75" hidden="1" customHeight="1">
      <c r="AQ415" s="354"/>
      <c r="AR415" s="354"/>
      <c r="AS415" s="354"/>
      <c r="AT415" s="354"/>
      <c r="AU415" s="354"/>
      <c r="AV415" s="354"/>
      <c r="AW415" s="354"/>
      <c r="AX415" s="354"/>
      <c r="AY415" s="354"/>
      <c r="AZ415" s="354"/>
      <c r="BA415" s="354"/>
      <c r="BB415" s="354"/>
      <c r="BC415" s="354"/>
    </row>
    <row r="416" spans="1:59" s="355" customFormat="1" ht="15.75" hidden="1" customHeight="1">
      <c r="AQ416" s="354"/>
      <c r="AR416" s="354"/>
      <c r="AS416" s="354"/>
      <c r="AT416" s="354"/>
      <c r="AU416" s="354"/>
      <c r="AV416" s="354"/>
      <c r="AW416" s="354"/>
      <c r="AX416" s="354"/>
      <c r="AY416" s="354"/>
      <c r="AZ416" s="354"/>
      <c r="BA416" s="354"/>
      <c r="BB416" s="354"/>
      <c r="BC416" s="354"/>
    </row>
    <row r="417" spans="43:55" s="355" customFormat="1" ht="15.75" hidden="1" customHeight="1">
      <c r="AQ417" s="354"/>
      <c r="AR417" s="354"/>
      <c r="AS417" s="354"/>
      <c r="AT417" s="354"/>
      <c r="AU417" s="354"/>
      <c r="AV417" s="354"/>
      <c r="AW417" s="354"/>
      <c r="AX417" s="354"/>
      <c r="AY417" s="354"/>
      <c r="AZ417" s="354"/>
      <c r="BA417" s="354"/>
      <c r="BB417" s="354"/>
      <c r="BC417" s="354"/>
    </row>
    <row r="418" spans="43:55" s="355" customFormat="1" ht="15.75" hidden="1" customHeight="1">
      <c r="AQ418" s="354"/>
      <c r="AR418" s="354"/>
      <c r="AS418" s="354"/>
      <c r="AT418" s="354"/>
      <c r="AU418" s="354"/>
      <c r="AV418" s="354"/>
      <c r="AW418" s="354"/>
      <c r="AX418" s="354"/>
      <c r="AY418" s="354"/>
      <c r="AZ418" s="354"/>
      <c r="BA418" s="354"/>
      <c r="BB418" s="354"/>
      <c r="BC418" s="354"/>
    </row>
    <row r="419" spans="43:55" s="355" customFormat="1" ht="15.75" hidden="1" customHeight="1">
      <c r="AQ419" s="354"/>
      <c r="AR419" s="354"/>
      <c r="AS419" s="354"/>
      <c r="AT419" s="354"/>
      <c r="AU419" s="354"/>
      <c r="AV419" s="354"/>
      <c r="AW419" s="354"/>
      <c r="AX419" s="354"/>
      <c r="AY419" s="354"/>
      <c r="AZ419" s="354"/>
      <c r="BA419" s="354"/>
      <c r="BB419" s="354"/>
      <c r="BC419" s="354"/>
    </row>
    <row r="420" spans="43:55" s="355" customFormat="1" ht="15.75" hidden="1" customHeight="1">
      <c r="AQ420" s="354"/>
      <c r="AR420" s="354"/>
      <c r="AS420" s="354"/>
      <c r="AT420" s="354"/>
      <c r="AU420" s="354"/>
      <c r="AV420" s="354"/>
      <c r="AW420" s="354"/>
      <c r="AX420" s="354"/>
      <c r="AY420" s="354"/>
      <c r="AZ420" s="354"/>
      <c r="BA420" s="354"/>
      <c r="BB420" s="354"/>
      <c r="BC420" s="354"/>
    </row>
    <row r="421" spans="43:55" s="355" customFormat="1" ht="15.75" hidden="1" customHeight="1">
      <c r="AQ421" s="354"/>
      <c r="AR421" s="354"/>
      <c r="AS421" s="354"/>
      <c r="AT421" s="354"/>
      <c r="AU421" s="354"/>
      <c r="AV421" s="354"/>
      <c r="AW421" s="354"/>
      <c r="AX421" s="354"/>
      <c r="AY421" s="354"/>
      <c r="AZ421" s="354"/>
      <c r="BA421" s="354"/>
      <c r="BB421" s="354"/>
      <c r="BC421" s="354"/>
    </row>
    <row r="422" spans="43:55" s="355" customFormat="1" ht="15.75" hidden="1" customHeight="1">
      <c r="AQ422" s="354"/>
      <c r="AR422" s="354"/>
      <c r="AS422" s="354"/>
      <c r="AT422" s="354"/>
      <c r="AU422" s="354"/>
      <c r="AV422" s="354"/>
      <c r="AW422" s="354"/>
      <c r="AX422" s="354"/>
      <c r="AY422" s="354"/>
      <c r="AZ422" s="354"/>
      <c r="BA422" s="354"/>
      <c r="BB422" s="354"/>
      <c r="BC422" s="354"/>
    </row>
    <row r="423" spans="43:55" s="355" customFormat="1" ht="15.75" hidden="1" customHeight="1">
      <c r="AQ423" s="354"/>
      <c r="AR423" s="354"/>
      <c r="AS423" s="354"/>
      <c r="AT423" s="354"/>
      <c r="AU423" s="354"/>
      <c r="AV423" s="354"/>
      <c r="AW423" s="354"/>
      <c r="AX423" s="354"/>
      <c r="AY423" s="354"/>
      <c r="AZ423" s="354"/>
      <c r="BA423" s="354"/>
      <c r="BB423" s="354"/>
      <c r="BC423" s="354"/>
    </row>
    <row r="424" spans="43:55" s="355" customFormat="1" ht="15.75" hidden="1" customHeight="1">
      <c r="AQ424" s="354"/>
      <c r="AR424" s="354"/>
      <c r="AS424" s="354"/>
      <c r="AT424" s="354"/>
      <c r="AU424" s="354"/>
      <c r="AV424" s="354"/>
      <c r="AW424" s="354"/>
      <c r="AX424" s="354"/>
      <c r="AY424" s="354"/>
      <c r="AZ424" s="354"/>
      <c r="BA424" s="354"/>
      <c r="BB424" s="354"/>
      <c r="BC424" s="354"/>
    </row>
    <row r="425" spans="43:55" s="355" customFormat="1" ht="15.75" hidden="1" customHeight="1">
      <c r="AQ425" s="354"/>
      <c r="AR425" s="354"/>
      <c r="AS425" s="354"/>
      <c r="AT425" s="354"/>
      <c r="AU425" s="354"/>
      <c r="AV425" s="354"/>
      <c r="AW425" s="354"/>
      <c r="AX425" s="354"/>
      <c r="AY425" s="354"/>
      <c r="AZ425" s="354"/>
      <c r="BA425" s="354"/>
      <c r="BB425" s="354"/>
      <c r="BC425" s="354"/>
    </row>
    <row r="426" spans="43:55" s="355" customFormat="1" ht="15.75" hidden="1" customHeight="1">
      <c r="AQ426" s="354"/>
      <c r="AR426" s="354"/>
      <c r="AS426" s="354"/>
      <c r="AT426" s="354"/>
      <c r="AU426" s="354"/>
      <c r="AV426" s="354"/>
      <c r="AW426" s="354"/>
      <c r="AX426" s="354"/>
      <c r="AY426" s="354"/>
      <c r="AZ426" s="354"/>
      <c r="BA426" s="354"/>
      <c r="BB426" s="354"/>
      <c r="BC426" s="354"/>
    </row>
    <row r="427" spans="43:55" s="355" customFormat="1" ht="15.75" hidden="1" customHeight="1">
      <c r="AQ427" s="354"/>
      <c r="AR427" s="354"/>
      <c r="AS427" s="354"/>
      <c r="AT427" s="354"/>
      <c r="AU427" s="354"/>
      <c r="AV427" s="354"/>
      <c r="AW427" s="354"/>
      <c r="AX427" s="354"/>
      <c r="AY427" s="354"/>
      <c r="AZ427" s="354"/>
      <c r="BA427" s="354"/>
      <c r="BB427" s="354"/>
      <c r="BC427" s="354"/>
    </row>
    <row r="428" spans="43:55" s="355" customFormat="1" ht="15.75" hidden="1" customHeight="1">
      <c r="AQ428" s="354"/>
      <c r="AR428" s="354"/>
      <c r="AS428" s="354"/>
      <c r="AT428" s="354"/>
      <c r="AU428" s="354"/>
      <c r="AV428" s="354"/>
      <c r="AW428" s="354"/>
      <c r="AX428" s="354"/>
      <c r="AY428" s="354"/>
      <c r="AZ428" s="354"/>
      <c r="BA428" s="354"/>
      <c r="BB428" s="354"/>
      <c r="BC428" s="354"/>
    </row>
    <row r="429" spans="43:55" s="355" customFormat="1" ht="15.75" hidden="1" customHeight="1">
      <c r="AQ429" s="354"/>
      <c r="AR429" s="354"/>
      <c r="AS429" s="354"/>
      <c r="AT429" s="354"/>
      <c r="AU429" s="354"/>
      <c r="AV429" s="354"/>
      <c r="AW429" s="354"/>
      <c r="AX429" s="354"/>
      <c r="AY429" s="354"/>
      <c r="AZ429" s="354"/>
      <c r="BA429" s="354"/>
      <c r="BB429" s="354"/>
      <c r="BC429" s="354"/>
    </row>
    <row r="430" spans="43:55" s="355" customFormat="1" ht="15.75" hidden="1" customHeight="1">
      <c r="AQ430" s="354"/>
      <c r="AR430" s="354"/>
      <c r="AS430" s="354"/>
      <c r="AT430" s="354"/>
      <c r="AU430" s="354"/>
      <c r="AV430" s="354"/>
      <c r="AW430" s="354"/>
      <c r="AX430" s="354"/>
      <c r="AY430" s="354"/>
      <c r="AZ430" s="354"/>
      <c r="BA430" s="354"/>
      <c r="BB430" s="354"/>
      <c r="BC430" s="354"/>
    </row>
    <row r="431" spans="43:55" s="355" customFormat="1" ht="15.75" hidden="1" customHeight="1">
      <c r="AQ431" s="354"/>
      <c r="AR431" s="354"/>
      <c r="AS431" s="354"/>
      <c r="AT431" s="354"/>
      <c r="AU431" s="354"/>
      <c r="AV431" s="354"/>
      <c r="AW431" s="354"/>
      <c r="AX431" s="354"/>
      <c r="AY431" s="354"/>
      <c r="AZ431" s="354"/>
      <c r="BA431" s="354"/>
      <c r="BB431" s="354"/>
      <c r="BC431" s="354"/>
    </row>
    <row r="432" spans="43:55" s="355" customFormat="1" ht="15.75" hidden="1" customHeight="1">
      <c r="AQ432" s="354"/>
      <c r="AR432" s="354"/>
      <c r="AS432" s="354"/>
      <c r="AT432" s="354"/>
      <c r="AU432" s="354"/>
      <c r="AV432" s="354"/>
      <c r="AW432" s="354"/>
      <c r="AX432" s="354"/>
      <c r="AY432" s="354"/>
      <c r="AZ432" s="354"/>
      <c r="BA432" s="354"/>
      <c r="BB432" s="354"/>
      <c r="BC432" s="354"/>
    </row>
    <row r="433" spans="43:55" s="355" customFormat="1" ht="15.75" hidden="1" customHeight="1">
      <c r="AQ433" s="354"/>
      <c r="AR433" s="354"/>
      <c r="AS433" s="354"/>
      <c r="AT433" s="354"/>
      <c r="AU433" s="354"/>
      <c r="AV433" s="354"/>
      <c r="AW433" s="354"/>
      <c r="AX433" s="354"/>
      <c r="AY433" s="354"/>
      <c r="AZ433" s="354"/>
      <c r="BA433" s="354"/>
      <c r="BB433" s="354"/>
      <c r="BC433" s="354"/>
    </row>
  </sheetData>
  <sortState ref="A14:BG2235">
    <sortCondition ref="B14:B2235"/>
  </sortState>
  <mergeCells count="11">
    <mergeCell ref="F11:L11"/>
    <mergeCell ref="M11:S11"/>
    <mergeCell ref="T11:Z11"/>
    <mergeCell ref="AA11:AG11"/>
    <mergeCell ref="AH11:AN11"/>
    <mergeCell ref="A8:AP8"/>
    <mergeCell ref="C2:D2"/>
    <mergeCell ref="A3:AP3"/>
    <mergeCell ref="A4:AP4"/>
    <mergeCell ref="A5:AP5"/>
    <mergeCell ref="A7:AP7"/>
  </mergeCells>
  <hyperlinks>
    <hyperlink ref="C2:D2" location="'INDICE_ MODELO'!A1" display="Ir a 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CI359"/>
  <sheetViews>
    <sheetView zoomScaleNormal="100" workbookViewId="0"/>
  </sheetViews>
  <sheetFormatPr baseColWidth="10" defaultColWidth="11" defaultRowHeight="13.5"/>
  <cols>
    <col min="1" max="1" width="10.28515625" style="1" customWidth="1"/>
    <col min="2" max="2" width="11" style="1"/>
    <col min="3" max="3" width="6.42578125" style="1" bestFit="1" customWidth="1"/>
    <col min="4" max="4" width="8.42578125" style="213" customWidth="1"/>
    <col min="5" max="5" width="12.140625" style="1" customWidth="1"/>
    <col min="6" max="6" width="20.42578125" style="83" customWidth="1"/>
    <col min="7" max="7" width="5.7109375" style="1" customWidth="1"/>
    <col min="8" max="8" width="34.28515625" style="1" customWidth="1"/>
    <col min="9" max="9" width="43.5703125" style="1" customWidth="1"/>
    <col min="10" max="10" width="7.7109375" style="1" bestFit="1" customWidth="1"/>
    <col min="11" max="11" width="58.140625" style="1" customWidth="1"/>
    <col min="12" max="12" width="8" style="1" customWidth="1"/>
    <col min="13" max="17" width="7.5703125" style="1" customWidth="1"/>
    <col min="18" max="18" width="33.42578125" style="1" customWidth="1"/>
    <col min="19" max="19" width="11" style="1"/>
    <col min="20" max="24" width="11" style="355"/>
    <col min="25" max="31" width="11" style="1"/>
    <col min="32" max="34" width="11" style="355"/>
    <col min="35" max="44" width="11" style="1"/>
    <col min="45" max="45" width="11" style="83"/>
    <col min="46" max="50" width="12.5703125" style="1" customWidth="1"/>
    <col min="51" max="55" width="12.5703125" style="237" customWidth="1"/>
    <col min="56" max="60" width="12.140625" style="1" customWidth="1"/>
    <col min="61" max="61" width="11.42578125" style="237" customWidth="1"/>
    <col min="62" max="65" width="12.140625" style="237" customWidth="1"/>
    <col min="66" max="66" width="15.28515625" style="1" customWidth="1"/>
    <col min="67" max="68" width="14.5703125" style="1" customWidth="1"/>
    <col min="69" max="70" width="13.42578125" style="1" customWidth="1"/>
    <col min="71" max="71" width="14" style="1" customWidth="1"/>
    <col min="72" max="74" width="15.5703125" style="237" customWidth="1"/>
    <col min="75" max="76" width="13.42578125" style="237" customWidth="1"/>
    <col min="77" max="77" width="16.28515625" style="237" customWidth="1"/>
    <col min="78" max="82" width="9" style="237" customWidth="1"/>
    <col min="83" max="87" width="13.85546875" style="237" customWidth="1"/>
    <col min="88" max="16384" width="11" style="1"/>
  </cols>
  <sheetData>
    <row r="1" spans="1:87" ht="15.75">
      <c r="A1" s="162"/>
      <c r="B1" s="163"/>
      <c r="C1" s="163"/>
      <c r="D1" s="163"/>
      <c r="E1" s="163"/>
      <c r="F1" s="163"/>
      <c r="G1" s="163"/>
      <c r="H1" s="163"/>
      <c r="I1" s="163"/>
      <c r="J1" s="163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  <c r="AO1" s="411"/>
      <c r="AP1" s="411"/>
      <c r="AQ1" s="411"/>
      <c r="AR1" s="411"/>
      <c r="AS1" s="411"/>
      <c r="AT1" s="412" t="s">
        <v>1426</v>
      </c>
      <c r="AU1" s="412" t="s">
        <v>1427</v>
      </c>
      <c r="AV1" s="412" t="s">
        <v>1428</v>
      </c>
      <c r="AW1" s="412" t="s">
        <v>1437</v>
      </c>
      <c r="AX1" s="412" t="s">
        <v>1436</v>
      </c>
      <c r="AY1" s="412" t="s">
        <v>1426</v>
      </c>
      <c r="AZ1" s="412" t="s">
        <v>1427</v>
      </c>
      <c r="BA1" s="412" t="s">
        <v>1428</v>
      </c>
      <c r="BB1" s="412" t="s">
        <v>1437</v>
      </c>
      <c r="BC1" s="412" t="s">
        <v>1436</v>
      </c>
      <c r="BD1" s="411"/>
      <c r="BE1" s="411"/>
      <c r="BF1" s="411"/>
      <c r="BG1" s="411"/>
      <c r="BH1" s="411"/>
      <c r="BI1" s="411"/>
      <c r="BJ1" s="411"/>
      <c r="BK1" s="411"/>
      <c r="BL1" s="411"/>
      <c r="BM1" s="411"/>
      <c r="BN1" s="411"/>
      <c r="BO1" s="411"/>
      <c r="BP1" s="411"/>
      <c r="BQ1" s="411"/>
      <c r="BR1" s="411"/>
      <c r="BS1" s="411"/>
      <c r="BT1" s="411"/>
      <c r="BU1" s="411"/>
      <c r="BV1" s="411"/>
      <c r="BW1" s="411"/>
      <c r="BX1" s="411"/>
      <c r="BY1" s="411"/>
      <c r="BZ1" s="411"/>
      <c r="CA1" s="411"/>
      <c r="CB1" s="411"/>
      <c r="CC1" s="411"/>
      <c r="CD1" s="411"/>
      <c r="CE1" s="411"/>
      <c r="CF1" s="411"/>
      <c r="CG1" s="411"/>
      <c r="CH1" s="411"/>
      <c r="CI1" s="411"/>
    </row>
    <row r="2" spans="1:87" ht="20.25">
      <c r="A2" s="413"/>
      <c r="B2" s="356"/>
      <c r="C2" s="480" t="s">
        <v>1940</v>
      </c>
      <c r="D2" s="480"/>
      <c r="E2" s="480"/>
      <c r="F2" s="374"/>
      <c r="G2" s="356"/>
      <c r="H2" s="356"/>
      <c r="I2" s="356"/>
      <c r="J2" s="356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85" t="s">
        <v>1434</v>
      </c>
      <c r="AU2" s="85" t="s">
        <v>1434</v>
      </c>
      <c r="AV2" s="85" t="s">
        <v>1439</v>
      </c>
      <c r="AW2" s="85" t="s">
        <v>1438</v>
      </c>
      <c r="AX2" s="85" t="s">
        <v>1439</v>
      </c>
      <c r="AY2" s="85" t="s">
        <v>1434</v>
      </c>
      <c r="AZ2" s="85" t="s">
        <v>1434</v>
      </c>
      <c r="BA2" s="85" t="s">
        <v>1439</v>
      </c>
      <c r="BB2" s="85" t="s">
        <v>1438</v>
      </c>
      <c r="BC2" s="85" t="s">
        <v>1439</v>
      </c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</row>
    <row r="3" spans="1:87" ht="18.75">
      <c r="A3" s="501" t="s">
        <v>1937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85" t="s">
        <v>1437</v>
      </c>
      <c r="AU3" s="85" t="s">
        <v>1437</v>
      </c>
      <c r="AV3" s="85" t="s">
        <v>1435</v>
      </c>
      <c r="AW3" s="85" t="s">
        <v>1435</v>
      </c>
      <c r="AX3" s="85" t="s">
        <v>1435</v>
      </c>
      <c r="AY3" s="85" t="s">
        <v>1437</v>
      </c>
      <c r="AZ3" s="85" t="s">
        <v>1437</v>
      </c>
      <c r="BA3" s="85" t="s">
        <v>1435</v>
      </c>
      <c r="BB3" s="85" t="s">
        <v>1435</v>
      </c>
      <c r="BC3" s="85" t="s">
        <v>1435</v>
      </c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</row>
    <row r="4" spans="1:87" ht="18.75">
      <c r="A4" s="501" t="s">
        <v>1938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  <c r="AS4" s="361"/>
      <c r="AT4" s="85" t="s">
        <v>1462</v>
      </c>
      <c r="AU4" s="85" t="s">
        <v>1438</v>
      </c>
      <c r="AV4" s="85" t="s">
        <v>1441</v>
      </c>
      <c r="AW4" s="85" t="s">
        <v>1441</v>
      </c>
      <c r="AX4" s="85" t="s">
        <v>1441</v>
      </c>
      <c r="AY4" s="85" t="s">
        <v>1462</v>
      </c>
      <c r="AZ4" s="85" t="s">
        <v>1438</v>
      </c>
      <c r="BA4" s="85" t="s">
        <v>1441</v>
      </c>
      <c r="BB4" s="85" t="s">
        <v>1441</v>
      </c>
      <c r="BC4" s="85" t="s">
        <v>1441</v>
      </c>
      <c r="BD4" s="361"/>
      <c r="BE4" s="361"/>
      <c r="BF4" s="361"/>
      <c r="BG4" s="361"/>
      <c r="BH4" s="361"/>
      <c r="BI4" s="361"/>
      <c r="BJ4" s="361"/>
      <c r="BK4" s="361"/>
      <c r="BL4" s="361"/>
      <c r="BM4" s="361"/>
      <c r="BN4" s="361"/>
      <c r="BO4" s="361"/>
      <c r="BP4" s="361"/>
      <c r="BQ4" s="361"/>
      <c r="BR4" s="361"/>
      <c r="BS4" s="361"/>
      <c r="BT4" s="361"/>
      <c r="BU4" s="361"/>
      <c r="BV4" s="361"/>
      <c r="BW4" s="361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</row>
    <row r="5" spans="1:87" ht="18.75">
      <c r="A5" s="501" t="s">
        <v>1939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85"/>
      <c r="AU5" s="85" t="s">
        <v>1441</v>
      </c>
      <c r="AV5" s="85" t="s">
        <v>1462</v>
      </c>
      <c r="AW5" s="85" t="s">
        <v>152</v>
      </c>
      <c r="AX5" s="85" t="s">
        <v>1440</v>
      </c>
      <c r="AY5" s="85"/>
      <c r="AZ5" s="85" t="s">
        <v>1441</v>
      </c>
      <c r="BA5" s="85" t="s">
        <v>1462</v>
      </c>
      <c r="BB5" s="85" t="s">
        <v>152</v>
      </c>
      <c r="BC5" s="85" t="s">
        <v>1440</v>
      </c>
      <c r="BD5" s="361"/>
      <c r="BE5" s="361"/>
      <c r="BF5" s="361"/>
      <c r="BG5" s="361"/>
      <c r="BH5" s="361"/>
      <c r="BI5" s="361"/>
      <c r="BJ5" s="361"/>
      <c r="BK5" s="361"/>
      <c r="BL5" s="361"/>
      <c r="BM5" s="361"/>
      <c r="BN5" s="361"/>
      <c r="BO5" s="361"/>
      <c r="BP5" s="361"/>
      <c r="BQ5" s="361"/>
      <c r="BR5" s="361"/>
      <c r="BS5" s="361"/>
      <c r="BT5" s="302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1"/>
      <c r="CH5" s="361"/>
      <c r="CI5" s="361"/>
    </row>
    <row r="6" spans="1:87" ht="18.75">
      <c r="A6" s="501"/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85"/>
      <c r="AU6" s="85" t="s">
        <v>1440</v>
      </c>
      <c r="AV6" s="85"/>
      <c r="AW6" s="85" t="s">
        <v>1462</v>
      </c>
      <c r="AX6" s="85" t="s">
        <v>1462</v>
      </c>
      <c r="AY6" s="85"/>
      <c r="AZ6" s="85" t="s">
        <v>1440</v>
      </c>
      <c r="BA6" s="85"/>
      <c r="BB6" s="85" t="s">
        <v>1462</v>
      </c>
      <c r="BC6" s="85" t="s">
        <v>1462</v>
      </c>
      <c r="BD6" s="361"/>
      <c r="BE6" s="361"/>
      <c r="BF6" s="361"/>
      <c r="BG6" s="361"/>
      <c r="BH6" s="361"/>
      <c r="BI6" s="361"/>
      <c r="BJ6" s="361"/>
      <c r="BK6" s="361"/>
      <c r="BL6" s="361"/>
      <c r="BM6" s="361"/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1"/>
      <c r="BY6" s="361"/>
      <c r="BZ6" s="361"/>
      <c r="CA6" s="361"/>
      <c r="CB6" s="361"/>
      <c r="CC6" s="361"/>
      <c r="CD6" s="361"/>
      <c r="CE6" s="361"/>
      <c r="CF6" s="361"/>
      <c r="CG6" s="361"/>
      <c r="CH6" s="361"/>
      <c r="CI6" s="361"/>
    </row>
    <row r="7" spans="1:87" ht="18.75">
      <c r="A7" s="501" t="str">
        <f>CONCATENATE("BASE DE DATOS MENÚS VIGENCIA 2017"," : ",RES_RESUMEN_PRESUPUESTO_2!A1)</f>
        <v>BASE DE DATOS MENÚS VIGENCIA 2017 : FRUTA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81"/>
      <c r="AU7" s="85" t="s">
        <v>1462</v>
      </c>
      <c r="AV7" s="81"/>
      <c r="AW7" s="81"/>
      <c r="AX7" s="81"/>
      <c r="AY7" s="81"/>
      <c r="AZ7" s="85" t="s">
        <v>1462</v>
      </c>
      <c r="BA7" s="81"/>
      <c r="BB7" s="81"/>
      <c r="BC7" s="81"/>
      <c r="BD7" s="510">
        <v>6.9500000000000006E-2</v>
      </c>
      <c r="BE7" s="511"/>
      <c r="BF7" s="511"/>
      <c r="BG7" s="511"/>
      <c r="BH7" s="511"/>
      <c r="BI7" s="511"/>
      <c r="BJ7" s="511"/>
      <c r="BK7" s="511"/>
      <c r="BL7" s="511"/>
      <c r="BM7" s="511"/>
      <c r="BN7" s="361"/>
      <c r="BO7" s="361"/>
      <c r="BP7" s="361"/>
      <c r="BQ7" s="361"/>
      <c r="BR7" s="361"/>
      <c r="BS7" s="361"/>
      <c r="BT7" s="361"/>
      <c r="BU7" s="361"/>
      <c r="BV7" s="361"/>
      <c r="BW7" s="361"/>
      <c r="BX7" s="361"/>
      <c r="BY7" s="361"/>
      <c r="BZ7" s="361"/>
      <c r="CA7" s="361"/>
      <c r="CB7" s="361"/>
      <c r="CC7" s="361"/>
      <c r="CD7" s="361"/>
      <c r="CE7" s="361"/>
      <c r="CF7" s="361"/>
      <c r="CG7" s="361"/>
      <c r="CH7" s="361"/>
      <c r="CI7" s="361"/>
    </row>
    <row r="8" spans="1:87" ht="14.25">
      <c r="A8" s="413"/>
      <c r="B8" s="356"/>
      <c r="C8" s="356"/>
      <c r="D8" s="356"/>
      <c r="E8" s="356"/>
      <c r="F8" s="356"/>
      <c r="G8" s="356"/>
      <c r="H8" s="356"/>
      <c r="I8" s="356"/>
      <c r="J8" s="356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1"/>
      <c r="AQ8" s="361"/>
      <c r="AR8" s="361"/>
      <c r="AS8" s="361"/>
      <c r="AT8" s="81">
        <v>5</v>
      </c>
      <c r="AU8" s="81">
        <v>5</v>
      </c>
      <c r="AV8" s="81">
        <v>5</v>
      </c>
      <c r="AW8" s="81">
        <v>5</v>
      </c>
      <c r="AX8" s="81">
        <v>5</v>
      </c>
      <c r="AY8" s="81">
        <v>6</v>
      </c>
      <c r="AZ8" s="81">
        <v>6</v>
      </c>
      <c r="BA8" s="81">
        <v>6</v>
      </c>
      <c r="BB8" s="81">
        <v>6</v>
      </c>
      <c r="BC8" s="81">
        <v>6</v>
      </c>
      <c r="BD8" s="361"/>
      <c r="BE8" s="361"/>
      <c r="BF8" s="361"/>
      <c r="BG8" s="361"/>
      <c r="BH8" s="361"/>
      <c r="BI8" s="361"/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</row>
    <row r="9" spans="1:87" ht="32.25" customHeight="1">
      <c r="A9" s="414"/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502" t="s">
        <v>1338</v>
      </c>
      <c r="N9" s="502"/>
      <c r="O9" s="502"/>
      <c r="P9" s="502"/>
      <c r="Q9" s="502"/>
      <c r="R9" s="361"/>
      <c r="S9" s="507" t="s">
        <v>2415</v>
      </c>
      <c r="T9" s="508"/>
      <c r="U9" s="508"/>
      <c r="V9" s="508"/>
      <c r="W9" s="508"/>
      <c r="X9" s="509"/>
      <c r="Y9" s="504" t="s">
        <v>1651</v>
      </c>
      <c r="Z9" s="505"/>
      <c r="AA9" s="505"/>
      <c r="AB9" s="505"/>
      <c r="AC9" s="505"/>
      <c r="AD9" s="506"/>
      <c r="AE9" s="507" t="s">
        <v>2414</v>
      </c>
      <c r="AF9" s="508"/>
      <c r="AG9" s="508"/>
      <c r="AH9" s="509"/>
      <c r="AI9" s="503" t="s">
        <v>1652</v>
      </c>
      <c r="AJ9" s="503"/>
      <c r="AK9" s="503"/>
      <c r="AL9" s="503"/>
      <c r="AM9" s="500" t="s">
        <v>1653</v>
      </c>
      <c r="AN9" s="500"/>
      <c r="AO9" s="500"/>
      <c r="AP9" s="500"/>
      <c r="AQ9" s="500"/>
      <c r="AR9" s="500"/>
      <c r="AS9" s="513" t="s">
        <v>1751</v>
      </c>
      <c r="AT9" s="514"/>
      <c r="AU9" s="514"/>
      <c r="AV9" s="514"/>
      <c r="AW9" s="514"/>
      <c r="AX9" s="514"/>
      <c r="AY9" s="514"/>
      <c r="AZ9" s="514"/>
      <c r="BA9" s="514"/>
      <c r="BB9" s="514"/>
      <c r="BC9" s="514"/>
      <c r="BD9" s="514"/>
      <c r="BE9" s="514"/>
      <c r="BF9" s="514"/>
      <c r="BG9" s="514"/>
      <c r="BH9" s="514"/>
      <c r="BI9" s="514"/>
      <c r="BJ9" s="514"/>
      <c r="BK9" s="514"/>
      <c r="BL9" s="514"/>
      <c r="BM9" s="514"/>
      <c r="BN9" s="514"/>
      <c r="BO9" s="514"/>
      <c r="BP9" s="514"/>
      <c r="BQ9" s="514"/>
      <c r="BR9" s="514"/>
      <c r="BS9" s="514"/>
      <c r="BT9" s="514"/>
      <c r="BU9" s="514"/>
      <c r="BV9" s="514"/>
      <c r="BW9" s="514"/>
      <c r="BX9" s="514"/>
      <c r="BY9" s="515"/>
      <c r="BZ9" s="361"/>
      <c r="CA9" s="361"/>
      <c r="CB9" s="361"/>
      <c r="CC9" s="361"/>
      <c r="CD9" s="361"/>
      <c r="CE9" s="361"/>
      <c r="CF9" s="361"/>
      <c r="CG9" s="361"/>
      <c r="CH9" s="361"/>
      <c r="CI9" s="361"/>
    </row>
    <row r="10" spans="1:87" ht="18.75" customHeight="1">
      <c r="A10" s="414"/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96"/>
      <c r="N10" s="396"/>
      <c r="O10" s="396"/>
      <c r="P10" s="396"/>
      <c r="Q10" s="396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499" t="s">
        <v>1752</v>
      </c>
      <c r="AU10" s="499"/>
      <c r="AV10" s="499"/>
      <c r="AW10" s="499"/>
      <c r="AX10" s="499"/>
      <c r="AY10" s="512" t="s">
        <v>1753</v>
      </c>
      <c r="AZ10" s="512"/>
      <c r="BA10" s="512"/>
      <c r="BB10" s="512"/>
      <c r="BC10" s="512"/>
      <c r="BD10" s="499" t="s">
        <v>1752</v>
      </c>
      <c r="BE10" s="499"/>
      <c r="BF10" s="499"/>
      <c r="BG10" s="499"/>
      <c r="BH10" s="499"/>
      <c r="BI10" s="512" t="s">
        <v>1753</v>
      </c>
      <c r="BJ10" s="512"/>
      <c r="BK10" s="512"/>
      <c r="BL10" s="512"/>
      <c r="BM10" s="512"/>
      <c r="BN10" s="499" t="s">
        <v>1752</v>
      </c>
      <c r="BO10" s="499"/>
      <c r="BP10" s="499"/>
      <c r="BQ10" s="499"/>
      <c r="BR10" s="499"/>
      <c r="BS10" s="499"/>
      <c r="BT10" s="512" t="s">
        <v>1753</v>
      </c>
      <c r="BU10" s="512"/>
      <c r="BV10" s="512"/>
      <c r="BW10" s="512"/>
      <c r="BX10" s="512"/>
      <c r="BY10" s="512"/>
      <c r="BZ10" s="499" t="s">
        <v>1760</v>
      </c>
      <c r="CA10" s="499"/>
      <c r="CB10" s="499"/>
      <c r="CC10" s="499"/>
      <c r="CD10" s="499"/>
      <c r="CE10" s="499" t="s">
        <v>1759</v>
      </c>
      <c r="CF10" s="499"/>
      <c r="CG10" s="499"/>
      <c r="CH10" s="499"/>
      <c r="CI10" s="499"/>
    </row>
    <row r="11" spans="1:87" s="237" customFormat="1" ht="8.25" customHeight="1">
      <c r="A11" s="415"/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7"/>
      <c r="N11" s="417"/>
      <c r="O11" s="417"/>
      <c r="P11" s="417"/>
      <c r="Q11" s="417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  <c r="AT11" s="416"/>
      <c r="AU11" s="416"/>
      <c r="AV11" s="416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</row>
    <row r="12" spans="1:87" ht="51">
      <c r="A12" s="404" t="s">
        <v>125</v>
      </c>
      <c r="B12" s="404" t="s">
        <v>124</v>
      </c>
      <c r="C12" s="404" t="s">
        <v>1354</v>
      </c>
      <c r="D12" s="404" t="s">
        <v>1638</v>
      </c>
      <c r="E12" s="404" t="s">
        <v>0</v>
      </c>
      <c r="F12" s="405" t="s">
        <v>1944</v>
      </c>
      <c r="G12" s="404" t="s">
        <v>1978</v>
      </c>
      <c r="H12" s="404" t="s">
        <v>30</v>
      </c>
      <c r="I12" s="404" t="s">
        <v>47</v>
      </c>
      <c r="J12" s="404" t="s">
        <v>72</v>
      </c>
      <c r="K12" s="404" t="s">
        <v>46</v>
      </c>
      <c r="L12" s="404" t="s">
        <v>8</v>
      </c>
      <c r="M12" s="404" t="s">
        <v>3</v>
      </c>
      <c r="N12" s="404" t="s">
        <v>4</v>
      </c>
      <c r="O12" s="404" t="s">
        <v>5</v>
      </c>
      <c r="P12" s="404" t="s">
        <v>6</v>
      </c>
      <c r="Q12" s="404" t="s">
        <v>7</v>
      </c>
      <c r="R12" s="404" t="s">
        <v>45</v>
      </c>
      <c r="S12" s="406" t="s">
        <v>1597</v>
      </c>
      <c r="T12" s="406" t="s">
        <v>2403</v>
      </c>
      <c r="U12" s="406" t="s">
        <v>2404</v>
      </c>
      <c r="V12" s="406" t="s">
        <v>2405</v>
      </c>
      <c r="W12" s="406" t="s">
        <v>2406</v>
      </c>
      <c r="X12" s="406" t="s">
        <v>2407</v>
      </c>
      <c r="Y12" s="407" t="s">
        <v>3</v>
      </c>
      <c r="Z12" s="407" t="s">
        <v>4</v>
      </c>
      <c r="AA12" s="407" t="s">
        <v>5</v>
      </c>
      <c r="AB12" s="407" t="s">
        <v>6</v>
      </c>
      <c r="AC12" s="407" t="s">
        <v>7</v>
      </c>
      <c r="AD12" s="407" t="s">
        <v>103</v>
      </c>
      <c r="AE12" s="406" t="s">
        <v>1596</v>
      </c>
      <c r="AF12" s="406" t="s">
        <v>2411</v>
      </c>
      <c r="AG12" s="406" t="s">
        <v>2412</v>
      </c>
      <c r="AH12" s="406" t="s">
        <v>2413</v>
      </c>
      <c r="AI12" s="408" t="s">
        <v>3</v>
      </c>
      <c r="AJ12" s="408" t="s">
        <v>4</v>
      </c>
      <c r="AK12" s="408" t="s">
        <v>5</v>
      </c>
      <c r="AL12" s="408" t="s">
        <v>103</v>
      </c>
      <c r="AM12" s="404" t="s">
        <v>3</v>
      </c>
      <c r="AN12" s="404" t="s">
        <v>4</v>
      </c>
      <c r="AO12" s="404" t="s">
        <v>5</v>
      </c>
      <c r="AP12" s="404" t="s">
        <v>6</v>
      </c>
      <c r="AQ12" s="404" t="s">
        <v>7</v>
      </c>
      <c r="AR12" s="404" t="s">
        <v>104</v>
      </c>
      <c r="AS12" s="409" t="s">
        <v>1630</v>
      </c>
      <c r="AT12" s="410" t="s">
        <v>1756</v>
      </c>
      <c r="AU12" s="410" t="s">
        <v>1755</v>
      </c>
      <c r="AV12" s="410" t="s">
        <v>1754</v>
      </c>
      <c r="AW12" s="410" t="s">
        <v>1758</v>
      </c>
      <c r="AX12" s="410" t="s">
        <v>1757</v>
      </c>
      <c r="AY12" s="200" t="s">
        <v>1756</v>
      </c>
      <c r="AZ12" s="200" t="s">
        <v>1755</v>
      </c>
      <c r="BA12" s="200" t="s">
        <v>1754</v>
      </c>
      <c r="BB12" s="200" t="s">
        <v>1758</v>
      </c>
      <c r="BC12" s="200" t="s">
        <v>1757</v>
      </c>
      <c r="BD12" s="410" t="s">
        <v>1444</v>
      </c>
      <c r="BE12" s="410" t="s">
        <v>1445</v>
      </c>
      <c r="BF12" s="410" t="s">
        <v>1446</v>
      </c>
      <c r="BG12" s="410" t="s">
        <v>1447</v>
      </c>
      <c r="BH12" s="410" t="s">
        <v>1448</v>
      </c>
      <c r="BI12" s="200" t="s">
        <v>1444</v>
      </c>
      <c r="BJ12" s="200" t="s">
        <v>1445</v>
      </c>
      <c r="BK12" s="200" t="s">
        <v>1446</v>
      </c>
      <c r="BL12" s="200" t="s">
        <v>1447</v>
      </c>
      <c r="BM12" s="200" t="s">
        <v>1448</v>
      </c>
      <c r="BN12" s="409" t="s">
        <v>1444</v>
      </c>
      <c r="BO12" s="409" t="s">
        <v>1445</v>
      </c>
      <c r="BP12" s="409" t="s">
        <v>1446</v>
      </c>
      <c r="BQ12" s="409" t="s">
        <v>1447</v>
      </c>
      <c r="BR12" s="409" t="s">
        <v>1448</v>
      </c>
      <c r="BS12" s="409" t="s">
        <v>1590</v>
      </c>
      <c r="BT12" s="409" t="s">
        <v>1444</v>
      </c>
      <c r="BU12" s="409" t="s">
        <v>1445</v>
      </c>
      <c r="BV12" s="409" t="s">
        <v>1446</v>
      </c>
      <c r="BW12" s="409" t="s">
        <v>1447</v>
      </c>
      <c r="BX12" s="409" t="s">
        <v>1448</v>
      </c>
      <c r="BY12" s="409" t="s">
        <v>1590</v>
      </c>
      <c r="BZ12" s="409" t="s">
        <v>1449</v>
      </c>
      <c r="CA12" s="409" t="s">
        <v>1450</v>
      </c>
      <c r="CB12" s="409" t="s">
        <v>1451</v>
      </c>
      <c r="CC12" s="409" t="s">
        <v>1452</v>
      </c>
      <c r="CD12" s="409" t="s">
        <v>1453</v>
      </c>
      <c r="CE12" s="409" t="s">
        <v>1449</v>
      </c>
      <c r="CF12" s="409" t="s">
        <v>1450</v>
      </c>
      <c r="CG12" s="409" t="s">
        <v>1451</v>
      </c>
      <c r="CH12" s="409" t="s">
        <v>1452</v>
      </c>
      <c r="CI12" s="409" t="s">
        <v>1453</v>
      </c>
    </row>
    <row r="13" spans="1:87">
      <c r="A13" s="182" t="s">
        <v>101</v>
      </c>
      <c r="B13" s="182" t="s">
        <v>98</v>
      </c>
      <c r="C13" s="189" t="str">
        <f t="shared" ref="C13:C75" si="0">CONCATENATE(MID(E13,1,1),"_",G13)</f>
        <v>F_PE1</v>
      </c>
      <c r="D13" s="189" t="str">
        <f t="shared" ref="D13:D75" si="1">CONCATENATE(J13,"_",A13)</f>
        <v>8_P_</v>
      </c>
      <c r="E13" s="190" t="s">
        <v>1</v>
      </c>
      <c r="F13" s="190" t="s">
        <v>1</v>
      </c>
      <c r="G13" s="189" t="s">
        <v>14</v>
      </c>
      <c r="H13" s="190" t="s">
        <v>2</v>
      </c>
      <c r="I13" s="190" t="s">
        <v>54</v>
      </c>
      <c r="J13" s="190">
        <v>8</v>
      </c>
      <c r="K13" s="190" t="s">
        <v>55</v>
      </c>
      <c r="L13" s="189" t="s">
        <v>9</v>
      </c>
      <c r="M13" s="190">
        <v>100</v>
      </c>
      <c r="N13" s="190">
        <v>100</v>
      </c>
      <c r="O13" s="190">
        <v>100</v>
      </c>
      <c r="P13" s="190">
        <v>100</v>
      </c>
      <c r="Q13" s="190">
        <v>100</v>
      </c>
      <c r="R13" s="190"/>
      <c r="S13" s="183">
        <f t="shared" ref="S13:S22" si="2">COUNTIF(CAL_PRIMERA_ENTREGA_FRUTA,CONCATENATE(G13,"_",J13))</f>
        <v>3</v>
      </c>
      <c r="T13" s="385">
        <f t="shared" ref="T13:V14" si="3">$S13</f>
        <v>3</v>
      </c>
      <c r="U13" s="385">
        <f t="shared" si="3"/>
        <v>3</v>
      </c>
      <c r="V13" s="385">
        <f t="shared" si="3"/>
        <v>3</v>
      </c>
      <c r="W13" s="385">
        <f t="shared" ref="W13:X22" si="4">$S13</f>
        <v>3</v>
      </c>
      <c r="X13" s="385">
        <f t="shared" si="4"/>
        <v>3</v>
      </c>
      <c r="Y13" s="184">
        <f t="shared" ref="Y13:Y76" si="5">IF(M13&lt;&gt;0,VLOOKUP(A13,FRE_CANTIDADES_DIARIAS_SUMINISTROS,4,FALSE),0)</f>
        <v>163328</v>
      </c>
      <c r="Z13" s="184">
        <f t="shared" ref="Z13:Z22" si="6">IF(N13&lt;&gt;0,VLOOKUP(A13,FRE_CANTIDADES_DIARIAS_SUMINISTROS,5,FALSE),0)</f>
        <v>217917</v>
      </c>
      <c r="AA13" s="184">
        <f t="shared" ref="AA13:AA22" si="7">IF(O13&lt;&gt;0,VLOOKUP(A13,FRE_CANTIDADES_DIARIAS_SUMINISTROS,6,FALSE),0)</f>
        <v>233081</v>
      </c>
      <c r="AB13" s="184">
        <f t="shared" ref="AB13:AB22" si="8">IF(P13&lt;&gt;0,VLOOKUP(A13,FRE_CANTIDADES_DIARIAS_SUMINISTROS,7,FALSE),0)</f>
        <v>7582</v>
      </c>
      <c r="AC13" s="184">
        <f t="shared" ref="AC13:AC22" si="9">IF(Q13&lt;&gt;0,VLOOKUP(A13,FRE_CANTIDADES_DIARIAS_SUMINISTROS,8,FALSE),0)</f>
        <v>7530</v>
      </c>
      <c r="AD13" s="184">
        <f t="shared" ref="AD13:AD76" si="10">SUM(Y13:AC13)</f>
        <v>629438</v>
      </c>
      <c r="AE13" s="183">
        <f t="shared" ref="AE13:AE18" si="11">IF(ISERROR(VLOOKUP(G13,FRE_FRECUENCIA_MENUS_FDS,2,FALSE)),0,VLOOKUP(G13,FRE_FRECUENCIA_MENUS_FDS,2,FALSE))</f>
        <v>0</v>
      </c>
      <c r="AF13" s="385">
        <f t="shared" ref="AF13:AH27" si="12">$AE13</f>
        <v>0</v>
      </c>
      <c r="AG13" s="385">
        <f t="shared" si="12"/>
        <v>0</v>
      </c>
      <c r="AH13" s="385">
        <f t="shared" si="12"/>
        <v>0</v>
      </c>
      <c r="AI13" s="185">
        <f t="shared" ref="AI13:AI76" si="13">IF(OR(B13="NA",M13=0),0,VLOOKUP(B13,FRE_CANTIDADES_DIARIAS_SUMINISTROS,4,FALSE))</f>
        <v>0</v>
      </c>
      <c r="AJ13" s="185">
        <f t="shared" ref="AJ13:AJ44" si="14">IF(OR(B13="NA",N13=0),0,VLOOKUP(B13,FRE_CANTIDADES_DIARIAS_SUMINISTROS,5,FALSE))</f>
        <v>0</v>
      </c>
      <c r="AK13" s="185">
        <f t="shared" ref="AK13:AK44" si="15">IF(OR(B13="NA",O13=0),0,VLOOKUP(B13,FRE_CANTIDADES_DIARIAS_SUMINISTROS,6,FALSE))</f>
        <v>0</v>
      </c>
      <c r="AL13" s="185">
        <f t="shared" ref="AL13:AL76" si="16">AI13+AJ13+AK13</f>
        <v>0</v>
      </c>
      <c r="AM13" s="173">
        <f t="shared" ref="AM13:AM14" si="17">($S13*Y13)+($AE13*AI13)</f>
        <v>489984</v>
      </c>
      <c r="AN13" s="173">
        <f t="shared" ref="AN13:AN27" si="18">($S13*Z13)+($AE13*AJ13)</f>
        <v>653751</v>
      </c>
      <c r="AO13" s="173">
        <f t="shared" ref="AO13:AO27" si="19">($S13*AA13)+($AE13*AK13)</f>
        <v>699243</v>
      </c>
      <c r="AP13" s="173">
        <f t="shared" ref="AP13:AP75" si="20">($S13*AB13)</f>
        <v>22746</v>
      </c>
      <c r="AQ13" s="173">
        <f t="shared" ref="AQ13:AQ75" si="21">($S13*AC13)</f>
        <v>22590</v>
      </c>
      <c r="AR13" s="173">
        <f t="shared" ref="AR13:AR75" si="22">AM13+AN13+AO13+AP13+AQ13</f>
        <v>1888314</v>
      </c>
      <c r="AS13" s="186" t="s">
        <v>1341</v>
      </c>
      <c r="AT13" s="300">
        <f t="shared" ref="AT13:AX20" si="23">IF(ISERROR(IF(ISERROR(MATCH(CONCATENATE($J13,"_",AT$1),COT_PRE_CODIGO_ALIMENTOS,0)),IF(ISERROR(MATCH(CONCATENATE($J13,"_",AT$2),COT_PRE_CODIGO_ALIMENTOS,0)),IF(ISERROR(MATCH(CONCATENATE($J13,"_",AT$3),COT_PRE_CODIGO_ALIMENTOS,0)),IF(ISERROR(MATCH(CONCATENATE($J13,"_",AT$4),COT_PRE_CODIGO_ALIMENTOS,0)),IF(ISERROR(MATCH(CONCATENATE($J13,"_",AT$5),COT_PRE_CODIGO_ALIMENTOS,0)),IF(ISERROR(MATCH(CONCATENATE($J13,"_",AT$6),COT_PRE_CODIGO_ALIMENTOS,0)),IF(ISERROR(MATCH(CONCATENATE($J13,"_",AT$7),COT_PRE_CODIGO_ALIMENTOS,0)),IF(ISERROR(VLOOKUP($J13,COT_PRE_ALIMENTOS,AT$8,FALSE)),"DATO NO DISPONIBLE",VLOOKUP($J13,COT_PRE_ALIMENTOS,AT$8,FALSE)),VLOOKUP(CONCATENATE($J13,"_",AT$7),COT_PRE_ALIMENTOS,AT$8,FALSE)),VLOOKUP(CONCATENATE($J13,"_",AT$6),COT_PRE_ALIMENTOS,AT$8,FALSE)),VLOOKUP(CONCATENATE($J13,"_",AT$5),COT_PRE_ALIMENTOS,AT$8,FALSE)),VLOOKUP(CONCATENATE($J13,"_",AT$4),COT_PRE_ALIMENTOS,AT$8,FALSE)),VLOOKUP(CONCATENATE($J13,"_",AT$3),COT_PRE_ALIMENTOS,AT$8,FALSE)),VLOOKUP(CONCATENATE($J13,"_",AT$2),COT_PRE_ALIMENTOS,AT$8,FALSE)),VLOOKUP(CONCATENATE($J13,"_",AT$1),COT_PRE_ALIMENTOS,AT$8,FALSE))),"DATO NO DISPONIBLE",IF(ISERROR(MATCH(CONCATENATE($J13,"_",AT$1),COT_PRE_CODIGO_ALIMENTOS,0)),IF(ISERROR(MATCH(CONCATENATE($J13,"_",AT$2),COT_PRE_CODIGO_ALIMENTOS,0)),IF(ISERROR(MATCH(CONCATENATE($J13,"_",AT$3),COT_PRE_CODIGO_ALIMENTOS,0)),IF(ISERROR(MATCH(CONCATENATE($J13,"_",AT$4),COT_PRE_CODIGO_ALIMENTOS,0)),IF(ISERROR(MATCH(CONCATENATE($J13,"_",AT$5),COT_PRE_CODIGO_ALIMENTOS,0)),IF(ISERROR(MATCH(CONCATENATE($J13,"_",AT$6),COT_PRE_CODIGO_ALIMENTOS,0)),IF(ISERROR(MATCH(CONCATENATE($J13,"_",AT$7),COT_PRE_CODIGO_ALIMENTOS,0)),IF(ISERROR(VLOOKUP($J13,COT_PRE_ALIMENTOS,AT$8,FALSE)),"DATO NO DISPONIBLE",VLOOKUP($J13,COT_PRE_ALIMENTOS,AT$8,FALSE)),VLOOKUP(CONCATENATE($J13,"_",AT$7),COT_PRE_ALIMENTOS,AT$8,FALSE)),VLOOKUP(CONCATENATE($J13,"_",AT$6),COT_PRE_ALIMENTOS,AT$8,FALSE)),VLOOKUP(CONCATENATE($J13,"_",AT$5),COT_PRE_ALIMENTOS,AT$8,FALSE)),VLOOKUP(CONCATENATE($J13,"_",AT$4),COT_PRE_ALIMENTOS,AT$8,FALSE)),VLOOKUP(CONCATENATE($J13,"_",AT$3),COT_PRE_ALIMENTOS,AT$8,FALSE)),VLOOKUP(CONCATENATE($J13,"_",AT$2),COT_PRE_ALIMENTOS,AT$8,FALSE)),VLOOKUP(CONCATENATE($J13,"_",AT$1),COT_PRE_ALIMENTOS,AT$8,FALSE)))</f>
        <v>1.25</v>
      </c>
      <c r="AU13" s="300">
        <f t="shared" si="23"/>
        <v>1.25</v>
      </c>
      <c r="AV13" s="300">
        <f t="shared" si="23"/>
        <v>1.25</v>
      </c>
      <c r="AW13" s="300">
        <f t="shared" si="23"/>
        <v>1.25</v>
      </c>
      <c r="AX13" s="300">
        <f t="shared" si="23"/>
        <v>1.25</v>
      </c>
      <c r="AY13" s="301">
        <f t="shared" ref="AY13:BC17" si="24">IF(ISERROR(MATCH(CONCATENATE($J13,"_",AY$1),COT_PRE_CODIGO_ALIMENTOS,0)),IF(ISERROR(MATCH(CONCATENATE($J13,"_",AY$2),COT_PRE_CODIGO_ALIMENTOS,0)),IF(ISERROR(MATCH(CONCATENATE($J13,"_",AY$3),COT_PRE_CODIGO_ALIMENTOS,0)),IF(ISERROR(MATCH(CONCATENATE($J13,"_",AY$4),COT_PRE_CODIGO_ALIMENTOS,0)),IF(ISERROR(MATCH(CONCATENATE($J13,"_",AY$5),COT_PRE_CODIGO_ALIMENTOS,0)),IF(ISERROR(MATCH(CONCATENATE($J13,"_",AY$6),COT_PRE_CODIGO_ALIMENTOS,0)),IF(ISERROR(MATCH(CONCATENATE($J13,"_",AY$7),COT_PRE_CODIGO_ALIMENTOS,0)),IF(ISERROR(VLOOKUP($J13,COT_PRE_ALIMENTOS,AY$8,FALSE)),"DATO NO DISPONIBLE",VLOOKUP($J13,COT_PRE_ALIMENTOS,AY$8,FALSE)),VLOOKUP(CONCATENATE($J13,"_",AY$7),COT_PRE_ALIMENTOS,AY$8,FALSE)),VLOOKUP(CONCATENATE($J13,"_",AY$6),COT_PRE_ALIMENTOS,AY$8,FALSE)),VLOOKUP(CONCATENATE($J13,"_",AY$5),COT_PRE_ALIMENTOS,AY$8,FALSE)),VLOOKUP(CONCATENATE($J13,"_",AY$4),COT_PRE_ALIMENTOS,AY$8,FALSE)),VLOOKUP(CONCATENATE($J13,"_",AY$3),COT_PRE_ALIMENTOS,AY$8,FALSE)),VLOOKUP(CONCATENATE($J13,"_",AY$2),COT_PRE_ALIMENTOS,AY$8,FALSE)),VLOOKUP(CONCATENATE($J13,"_",AY$1),COT_PRE_ALIMENTOS,AY$8,FALSE))</f>
        <v>1.25</v>
      </c>
      <c r="AZ13" s="301">
        <f t="shared" si="24"/>
        <v>1.25</v>
      </c>
      <c r="BA13" s="301">
        <f t="shared" si="24"/>
        <v>1.25</v>
      </c>
      <c r="BB13" s="301">
        <f t="shared" si="24"/>
        <v>1.25</v>
      </c>
      <c r="BC13" s="301">
        <f t="shared" si="24"/>
        <v>1.25</v>
      </c>
      <c r="BD13" s="187">
        <f t="shared" ref="BD13:BD14" si="25">ROUND(IF(OR(M13=0,AT13="DATO NO DISPONIBLE"),"",AT13*M13*($BD$7+1)),0)</f>
        <v>134</v>
      </c>
      <c r="BE13" s="187">
        <f t="shared" ref="BE13:BE28" si="26">ROUND(IF(OR(N13=0,AU13="DATO NO DISPONIBLE"),0,AU13*N13*($BD$7+1)),0)</f>
        <v>134</v>
      </c>
      <c r="BF13" s="187">
        <f t="shared" ref="BF13:BF28" si="27">ROUND(IF(OR(O13=0,AV13="DATO NO DISPONIBLE"),0,AV13*O13*($BD$7+1)),0)</f>
        <v>134</v>
      </c>
      <c r="BG13" s="187">
        <f t="shared" ref="BG13:BG44" si="28">ROUND(IF(OR(P13=0,AW13="DATO NO DISPONIBLE"),0,AW13*P13*($BD$7+1)),0)</f>
        <v>134</v>
      </c>
      <c r="BH13" s="187">
        <f t="shared" ref="BH13:BH44" si="29">ROUND(IF(OR(Q13=0,AX13="DATO NO DISPONIBLE"),0,AX13*Q13*($BD$7+1)),0)</f>
        <v>134</v>
      </c>
      <c r="BI13" s="187">
        <f t="shared" ref="BI13:BI14" si="30">ROUND(IF(OR(M13=0,AY13="DATO NO DISPONIBLE"),0,AY13*M13*($BD$7+1)),0)</f>
        <v>134</v>
      </c>
      <c r="BJ13" s="187">
        <f t="shared" ref="BJ13:BJ14" si="31">ROUND(IF(OR(N13=0,AZ13="DATO NO DISPONIBLE"),0,AZ13*N13*($BD$7+1)),0)</f>
        <v>134</v>
      </c>
      <c r="BK13" s="187">
        <f t="shared" ref="BK13:BK14" si="32">ROUND(IF(OR(O13=0,BA13="DATO NO DISPONIBLE"),0,BA13*O13*($BD$7+1)),0)</f>
        <v>134</v>
      </c>
      <c r="BL13" s="187">
        <f t="shared" ref="BL13:BL44" si="33">ROUND(IF(OR(P13=0,BB13="DATO NO DISPONIBLE"),0,BB13*P13*($BD$7+1)),0)</f>
        <v>134</v>
      </c>
      <c r="BM13" s="187">
        <f t="shared" ref="BM13:BM44" si="34">ROUND(IF(OR(Q13=0,BC13="DATO NO DISPONIBLE"),0,BC13*Q13*($BD$7+1)),0)</f>
        <v>134</v>
      </c>
      <c r="BN13" s="188">
        <f t="shared" ref="BN13:BN14" si="35">BD13*AM13</f>
        <v>65657856</v>
      </c>
      <c r="BO13" s="188">
        <f t="shared" ref="BO13:BO14" si="36">BE13*AN13</f>
        <v>87602634</v>
      </c>
      <c r="BP13" s="188">
        <f t="shared" ref="BP13:BP14" si="37">BF13*AO13</f>
        <v>93698562</v>
      </c>
      <c r="BQ13" s="188">
        <f t="shared" ref="BQ13:BQ14" si="38">BG13*AP13</f>
        <v>3047964</v>
      </c>
      <c r="BR13" s="188">
        <f t="shared" ref="BR13:BR14" si="39">BH13*AQ13</f>
        <v>3027060</v>
      </c>
      <c r="BS13" s="188">
        <f t="shared" ref="BS13:BS75" si="40">SUM(BN13:BR13)</f>
        <v>253034076</v>
      </c>
      <c r="BT13" s="188">
        <f t="shared" ref="BT13:BT75" si="41">BI13*AM13</f>
        <v>65657856</v>
      </c>
      <c r="BU13" s="188">
        <f t="shared" ref="BU13:BU75" si="42">BJ13*AN13</f>
        <v>87602634</v>
      </c>
      <c r="BV13" s="188">
        <f t="shared" ref="BV13:BV75" si="43">BK13*AO13</f>
        <v>93698562</v>
      </c>
      <c r="BW13" s="188">
        <f t="shared" ref="BW13:BW75" si="44">BL13*AP13</f>
        <v>3047964</v>
      </c>
      <c r="BX13" s="188">
        <f t="shared" ref="BX13:BX75" si="45">BM13*AQ13</f>
        <v>3027060</v>
      </c>
      <c r="BY13" s="188">
        <f t="shared" ref="BY13:BY75" si="46">SUM(BT13:BX13)</f>
        <v>253034076</v>
      </c>
      <c r="BZ13" s="305">
        <f>IF(COT_PRECALCULOS!$D$24="Precios Iva Incluído",BI13,BD13)</f>
        <v>134</v>
      </c>
      <c r="CA13" s="305">
        <f>IF(COT_PRECALCULOS!$D$24="Precios Iva Incluído",BJ13,BE13)</f>
        <v>134</v>
      </c>
      <c r="CB13" s="305">
        <f>IF(COT_PRECALCULOS!$D$24="Precios Iva Incluído",BK13,BF13)</f>
        <v>134</v>
      </c>
      <c r="CC13" s="305">
        <f>IF(COT_PRECALCULOS!$D$24="Precios Iva Incluído",BL13,BG13)</f>
        <v>134</v>
      </c>
      <c r="CD13" s="305">
        <f>IF(COT_PRECALCULOS!$D$24="Precios Iva Incluído",BM13,BH13)</f>
        <v>134</v>
      </c>
      <c r="CE13" s="305">
        <f>IF(COT_PRECALCULOS!$D$24="Precios Iva Incluído",BT13,BN13)</f>
        <v>65657856</v>
      </c>
      <c r="CF13" s="305">
        <f>IF(COT_PRECALCULOS!$D$24="Precios Iva Incluído",BU13,BO13)</f>
        <v>87602634</v>
      </c>
      <c r="CG13" s="305">
        <f>IF(COT_PRECALCULOS!$D$24="Precios Iva Incluído",BV13,BP13)</f>
        <v>93698562</v>
      </c>
      <c r="CH13" s="305">
        <f>IF(COT_PRECALCULOS!$D$24="Precios Iva Incluído",BW13,BQ13)</f>
        <v>3047964</v>
      </c>
      <c r="CI13" s="305">
        <f>IF(COT_PRECALCULOS!$D$24="Precios Iva Incluído",BX13,BR13)</f>
        <v>3027060</v>
      </c>
    </row>
    <row r="14" spans="1:87">
      <c r="A14" s="182" t="s">
        <v>101</v>
      </c>
      <c r="B14" s="182" t="s">
        <v>98</v>
      </c>
      <c r="C14" s="189" t="str">
        <f t="shared" si="0"/>
        <v>F_PE1</v>
      </c>
      <c r="D14" s="189" t="str">
        <f t="shared" si="1"/>
        <v>7_P_</v>
      </c>
      <c r="E14" s="211" t="s">
        <v>1</v>
      </c>
      <c r="F14" s="211" t="s">
        <v>1</v>
      </c>
      <c r="G14" s="189" t="s">
        <v>14</v>
      </c>
      <c r="H14" s="211"/>
      <c r="I14" s="211" t="s">
        <v>56</v>
      </c>
      <c r="J14" s="211">
        <v>7</v>
      </c>
      <c r="K14" s="211" t="s">
        <v>57</v>
      </c>
      <c r="L14" s="189" t="s">
        <v>9</v>
      </c>
      <c r="M14" s="211">
        <v>100</v>
      </c>
      <c r="N14" s="211">
        <v>100</v>
      </c>
      <c r="O14" s="211">
        <v>100</v>
      </c>
      <c r="P14" s="211">
        <v>100</v>
      </c>
      <c r="Q14" s="211">
        <v>100</v>
      </c>
      <c r="R14" s="211"/>
      <c r="S14" s="183">
        <f t="shared" si="2"/>
        <v>3</v>
      </c>
      <c r="T14" s="385">
        <f t="shared" si="3"/>
        <v>3</v>
      </c>
      <c r="U14" s="385">
        <f t="shared" si="3"/>
        <v>3</v>
      </c>
      <c r="V14" s="385">
        <f t="shared" si="3"/>
        <v>3</v>
      </c>
      <c r="W14" s="385">
        <f t="shared" si="4"/>
        <v>3</v>
      </c>
      <c r="X14" s="385">
        <f t="shared" si="4"/>
        <v>3</v>
      </c>
      <c r="Y14" s="184">
        <f t="shared" si="5"/>
        <v>163328</v>
      </c>
      <c r="Z14" s="184">
        <f t="shared" si="6"/>
        <v>217917</v>
      </c>
      <c r="AA14" s="184">
        <f t="shared" si="7"/>
        <v>233081</v>
      </c>
      <c r="AB14" s="184">
        <f t="shared" si="8"/>
        <v>7582</v>
      </c>
      <c r="AC14" s="184">
        <f t="shared" si="9"/>
        <v>7530</v>
      </c>
      <c r="AD14" s="184">
        <f t="shared" si="10"/>
        <v>629438</v>
      </c>
      <c r="AE14" s="183">
        <f t="shared" si="11"/>
        <v>0</v>
      </c>
      <c r="AF14" s="385">
        <f t="shared" si="12"/>
        <v>0</v>
      </c>
      <c r="AG14" s="385">
        <f t="shared" si="12"/>
        <v>0</v>
      </c>
      <c r="AH14" s="385">
        <f t="shared" si="12"/>
        <v>0</v>
      </c>
      <c r="AI14" s="185">
        <f t="shared" si="13"/>
        <v>0</v>
      </c>
      <c r="AJ14" s="185">
        <f t="shared" si="14"/>
        <v>0</v>
      </c>
      <c r="AK14" s="185">
        <f t="shared" si="15"/>
        <v>0</v>
      </c>
      <c r="AL14" s="185">
        <f t="shared" si="16"/>
        <v>0</v>
      </c>
      <c r="AM14" s="173">
        <f t="shared" si="17"/>
        <v>489984</v>
      </c>
      <c r="AN14" s="173">
        <f t="shared" si="18"/>
        <v>653751</v>
      </c>
      <c r="AO14" s="173">
        <f t="shared" si="19"/>
        <v>699243</v>
      </c>
      <c r="AP14" s="173">
        <f t="shared" si="20"/>
        <v>22746</v>
      </c>
      <c r="AQ14" s="173">
        <f t="shared" si="21"/>
        <v>22590</v>
      </c>
      <c r="AR14" s="173">
        <f t="shared" si="22"/>
        <v>1888314</v>
      </c>
      <c r="AS14" s="186" t="s">
        <v>1341</v>
      </c>
      <c r="AT14" s="300">
        <f t="shared" si="23"/>
        <v>1</v>
      </c>
      <c r="AU14" s="300">
        <f t="shared" si="23"/>
        <v>1</v>
      </c>
      <c r="AV14" s="300">
        <f t="shared" si="23"/>
        <v>1</v>
      </c>
      <c r="AW14" s="300">
        <f t="shared" si="23"/>
        <v>1</v>
      </c>
      <c r="AX14" s="300">
        <f t="shared" si="23"/>
        <v>1</v>
      </c>
      <c r="AY14" s="301">
        <f t="shared" si="24"/>
        <v>1</v>
      </c>
      <c r="AZ14" s="301">
        <f t="shared" si="24"/>
        <v>1</v>
      </c>
      <c r="BA14" s="301">
        <f t="shared" si="24"/>
        <v>1</v>
      </c>
      <c r="BB14" s="301">
        <f t="shared" si="24"/>
        <v>1</v>
      </c>
      <c r="BC14" s="301">
        <f t="shared" si="24"/>
        <v>1</v>
      </c>
      <c r="BD14" s="187">
        <f t="shared" si="25"/>
        <v>107</v>
      </c>
      <c r="BE14" s="187">
        <f t="shared" si="26"/>
        <v>107</v>
      </c>
      <c r="BF14" s="187">
        <f t="shared" si="27"/>
        <v>107</v>
      </c>
      <c r="BG14" s="187">
        <f t="shared" si="28"/>
        <v>107</v>
      </c>
      <c r="BH14" s="187">
        <f t="shared" si="29"/>
        <v>107</v>
      </c>
      <c r="BI14" s="187">
        <f t="shared" si="30"/>
        <v>107</v>
      </c>
      <c r="BJ14" s="187">
        <f t="shared" si="31"/>
        <v>107</v>
      </c>
      <c r="BK14" s="187">
        <f t="shared" si="32"/>
        <v>107</v>
      </c>
      <c r="BL14" s="187">
        <f t="shared" si="33"/>
        <v>107</v>
      </c>
      <c r="BM14" s="187">
        <f t="shared" si="34"/>
        <v>107</v>
      </c>
      <c r="BN14" s="188">
        <f t="shared" si="35"/>
        <v>52428288</v>
      </c>
      <c r="BO14" s="188">
        <f t="shared" si="36"/>
        <v>69951357</v>
      </c>
      <c r="BP14" s="188">
        <f t="shared" si="37"/>
        <v>74819001</v>
      </c>
      <c r="BQ14" s="188">
        <f t="shared" si="38"/>
        <v>2433822</v>
      </c>
      <c r="BR14" s="188">
        <f t="shared" si="39"/>
        <v>2417130</v>
      </c>
      <c r="BS14" s="188">
        <f t="shared" si="40"/>
        <v>202049598</v>
      </c>
      <c r="BT14" s="188">
        <f t="shared" si="41"/>
        <v>52428288</v>
      </c>
      <c r="BU14" s="188">
        <f t="shared" si="42"/>
        <v>69951357</v>
      </c>
      <c r="BV14" s="188">
        <f t="shared" si="43"/>
        <v>74819001</v>
      </c>
      <c r="BW14" s="188">
        <f t="shared" si="44"/>
        <v>2433822</v>
      </c>
      <c r="BX14" s="188">
        <f t="shared" si="45"/>
        <v>2417130</v>
      </c>
      <c r="BY14" s="188">
        <f t="shared" si="46"/>
        <v>202049598</v>
      </c>
      <c r="BZ14" s="305">
        <f>IF(COT_PRECALCULOS!$D$24="Precios Iva Incluído",BI14,BD14)</f>
        <v>107</v>
      </c>
      <c r="CA14" s="305">
        <f>IF(COT_PRECALCULOS!$D$24="Precios Iva Incluído",BJ14,BE14)</f>
        <v>107</v>
      </c>
      <c r="CB14" s="305">
        <f>IF(COT_PRECALCULOS!$D$24="Precios Iva Incluído",BK14,BF14)</f>
        <v>107</v>
      </c>
      <c r="CC14" s="305">
        <f>IF(COT_PRECALCULOS!$D$24="Precios Iva Incluído",BL14,BG14)</f>
        <v>107</v>
      </c>
      <c r="CD14" s="305">
        <f>IF(COT_PRECALCULOS!$D$24="Precios Iva Incluído",BM14,BH14)</f>
        <v>107</v>
      </c>
      <c r="CE14" s="305">
        <f>IF(COT_PRECALCULOS!$D$24="Precios Iva Incluído",BT14,BN14)</f>
        <v>52428288</v>
      </c>
      <c r="CF14" s="305">
        <f>IF(COT_PRECALCULOS!$D$24="Precios Iva Incluído",BU14,BO14)</f>
        <v>69951357</v>
      </c>
      <c r="CG14" s="305">
        <f>IF(COT_PRECALCULOS!$D$24="Precios Iva Incluído",BV14,BP14)</f>
        <v>74819001</v>
      </c>
      <c r="CH14" s="305">
        <f>IF(COT_PRECALCULOS!$D$24="Precios Iva Incluído",BW14,BQ14)</f>
        <v>2433822</v>
      </c>
      <c r="CI14" s="305">
        <f>IF(COT_PRECALCULOS!$D$24="Precios Iva Incluído",BX14,BR14)</f>
        <v>2417130</v>
      </c>
    </row>
    <row r="15" spans="1:87">
      <c r="A15" s="182" t="s">
        <v>101</v>
      </c>
      <c r="B15" s="182" t="s">
        <v>98</v>
      </c>
      <c r="C15" s="189" t="str">
        <f t="shared" si="0"/>
        <v>F_PE1</v>
      </c>
      <c r="D15" s="189" t="str">
        <f t="shared" si="1"/>
        <v>17_P_</v>
      </c>
      <c r="E15" s="211" t="s">
        <v>1</v>
      </c>
      <c r="F15" s="211" t="s">
        <v>1</v>
      </c>
      <c r="G15" s="189" t="s">
        <v>14</v>
      </c>
      <c r="H15" s="211"/>
      <c r="I15" s="211" t="s">
        <v>52</v>
      </c>
      <c r="J15" s="211">
        <v>17</v>
      </c>
      <c r="K15" s="211" t="s">
        <v>53</v>
      </c>
      <c r="L15" s="189" t="s">
        <v>9</v>
      </c>
      <c r="M15" s="386">
        <v>0</v>
      </c>
      <c r="N15" s="211">
        <v>100</v>
      </c>
      <c r="O15" s="211">
        <v>100</v>
      </c>
      <c r="P15" s="211">
        <v>100</v>
      </c>
      <c r="Q15" s="211">
        <v>100</v>
      </c>
      <c r="R15" s="211" t="s">
        <v>73</v>
      </c>
      <c r="S15" s="183">
        <f t="shared" si="2"/>
        <v>2</v>
      </c>
      <c r="T15" s="386">
        <v>0</v>
      </c>
      <c r="U15" s="385">
        <f t="shared" ref="U15:V22" si="47">$S15</f>
        <v>2</v>
      </c>
      <c r="V15" s="385">
        <f t="shared" si="47"/>
        <v>2</v>
      </c>
      <c r="W15" s="385">
        <f t="shared" si="4"/>
        <v>2</v>
      </c>
      <c r="X15" s="385">
        <f t="shared" si="4"/>
        <v>2</v>
      </c>
      <c r="Y15" s="184">
        <f t="shared" si="5"/>
        <v>0</v>
      </c>
      <c r="Z15" s="184">
        <f t="shared" si="6"/>
        <v>217917</v>
      </c>
      <c r="AA15" s="184">
        <f t="shared" si="7"/>
        <v>233081</v>
      </c>
      <c r="AB15" s="184">
        <f t="shared" si="8"/>
        <v>7582</v>
      </c>
      <c r="AC15" s="184">
        <f t="shared" si="9"/>
        <v>7530</v>
      </c>
      <c r="AD15" s="184">
        <f t="shared" si="10"/>
        <v>466110</v>
      </c>
      <c r="AE15" s="183">
        <f t="shared" si="11"/>
        <v>0</v>
      </c>
      <c r="AF15" s="385">
        <f t="shared" si="12"/>
        <v>0</v>
      </c>
      <c r="AG15" s="385">
        <f t="shared" si="12"/>
        <v>0</v>
      </c>
      <c r="AH15" s="385">
        <f t="shared" si="12"/>
        <v>0</v>
      </c>
      <c r="AI15" s="185">
        <f t="shared" si="13"/>
        <v>0</v>
      </c>
      <c r="AJ15" s="185">
        <f t="shared" si="14"/>
        <v>0</v>
      </c>
      <c r="AK15" s="185">
        <f t="shared" si="15"/>
        <v>0</v>
      </c>
      <c r="AL15" s="185">
        <f t="shared" si="16"/>
        <v>0</v>
      </c>
      <c r="AM15" s="173">
        <v>0</v>
      </c>
      <c r="AN15" s="173">
        <f t="shared" si="18"/>
        <v>435834</v>
      </c>
      <c r="AO15" s="173">
        <f t="shared" si="19"/>
        <v>466162</v>
      </c>
      <c r="AP15" s="173">
        <f t="shared" si="20"/>
        <v>15164</v>
      </c>
      <c r="AQ15" s="173">
        <f t="shared" si="21"/>
        <v>15060</v>
      </c>
      <c r="AR15" s="173">
        <f t="shared" si="22"/>
        <v>932220</v>
      </c>
      <c r="AS15" s="186" t="s">
        <v>1341</v>
      </c>
      <c r="AT15" s="300">
        <f t="shared" si="23"/>
        <v>2.11</v>
      </c>
      <c r="AU15" s="300">
        <f t="shared" si="23"/>
        <v>2.11</v>
      </c>
      <c r="AV15" s="300">
        <f t="shared" si="23"/>
        <v>2.11</v>
      </c>
      <c r="AW15" s="300">
        <f t="shared" si="23"/>
        <v>2.11</v>
      </c>
      <c r="AX15" s="300">
        <f t="shared" si="23"/>
        <v>2.11</v>
      </c>
      <c r="AY15" s="301">
        <f t="shared" si="24"/>
        <v>2.11</v>
      </c>
      <c r="AZ15" s="301">
        <f t="shared" si="24"/>
        <v>2.11</v>
      </c>
      <c r="BA15" s="301">
        <f t="shared" si="24"/>
        <v>2.11</v>
      </c>
      <c r="BB15" s="301">
        <f t="shared" si="24"/>
        <v>2.11</v>
      </c>
      <c r="BC15" s="301">
        <f t="shared" si="24"/>
        <v>2.11</v>
      </c>
      <c r="BD15" s="187"/>
      <c r="BE15" s="187">
        <f t="shared" si="26"/>
        <v>226</v>
      </c>
      <c r="BF15" s="187">
        <f t="shared" si="27"/>
        <v>226</v>
      </c>
      <c r="BG15" s="187">
        <f t="shared" si="28"/>
        <v>226</v>
      </c>
      <c r="BH15" s="187">
        <f t="shared" si="29"/>
        <v>226</v>
      </c>
      <c r="BI15" s="187"/>
      <c r="BJ15" s="187">
        <f t="shared" ref="BJ15:BJ78" si="48">ROUND(IF(OR(N15=0,AZ15="DATO NO DISPONIBLE"),0,AZ15*N15*($BD$7+1)),0)</f>
        <v>226</v>
      </c>
      <c r="BK15" s="187">
        <f t="shared" ref="BK15:BK78" si="49">ROUND(IF(OR(O15=0,BA15="DATO NO DISPONIBLE"),0,BA15*O15*($BD$7+1)),0)</f>
        <v>226</v>
      </c>
      <c r="BL15" s="187">
        <f t="shared" si="33"/>
        <v>226</v>
      </c>
      <c r="BM15" s="187">
        <f t="shared" si="34"/>
        <v>226</v>
      </c>
      <c r="BN15" s="188"/>
      <c r="BO15" s="188">
        <f t="shared" ref="BO15:BO78" si="50">BE15*AN15</f>
        <v>98498484</v>
      </c>
      <c r="BP15" s="188">
        <f t="shared" ref="BP15:BP78" si="51">BF15*AO15</f>
        <v>105352612</v>
      </c>
      <c r="BQ15" s="188">
        <f t="shared" ref="BQ15:BQ78" si="52">BG15*AP15</f>
        <v>3427064</v>
      </c>
      <c r="BR15" s="188">
        <f t="shared" ref="BR15:BR78" si="53">BH15*AQ15</f>
        <v>3403560</v>
      </c>
      <c r="BS15" s="188">
        <f t="shared" si="40"/>
        <v>210681720</v>
      </c>
      <c r="BT15" s="188">
        <f t="shared" si="41"/>
        <v>0</v>
      </c>
      <c r="BU15" s="188">
        <f t="shared" si="42"/>
        <v>98498484</v>
      </c>
      <c r="BV15" s="188">
        <f t="shared" si="43"/>
        <v>105352612</v>
      </c>
      <c r="BW15" s="188">
        <f t="shared" si="44"/>
        <v>3427064</v>
      </c>
      <c r="BX15" s="188">
        <f t="shared" si="45"/>
        <v>3403560</v>
      </c>
      <c r="BY15" s="188">
        <f t="shared" si="46"/>
        <v>210681720</v>
      </c>
      <c r="BZ15" s="305">
        <f>IF(COT_PRECALCULOS!$D$24="Precios Iva Incluído",BI15,BD15)</f>
        <v>0</v>
      </c>
      <c r="CA15" s="305">
        <f>IF(COT_PRECALCULOS!$D$24="Precios Iva Incluído",BJ15,BE15)</f>
        <v>226</v>
      </c>
      <c r="CB15" s="305">
        <f>IF(COT_PRECALCULOS!$D$24="Precios Iva Incluído",BK15,BF15)</f>
        <v>226</v>
      </c>
      <c r="CC15" s="305">
        <f>IF(COT_PRECALCULOS!$D$24="Precios Iva Incluído",BL15,BG15)</f>
        <v>226</v>
      </c>
      <c r="CD15" s="305">
        <f>IF(COT_PRECALCULOS!$D$24="Precios Iva Incluído",BM15,BH15)</f>
        <v>226</v>
      </c>
      <c r="CE15" s="305">
        <f>IF(COT_PRECALCULOS!$D$24="Precios Iva Incluído",BT15,BN15)</f>
        <v>0</v>
      </c>
      <c r="CF15" s="305">
        <f>IF(COT_PRECALCULOS!$D$24="Precios Iva Incluído",BU15,BO15)</f>
        <v>98498484</v>
      </c>
      <c r="CG15" s="305">
        <f>IF(COT_PRECALCULOS!$D$24="Precios Iva Incluído",BV15,BP15)</f>
        <v>105352612</v>
      </c>
      <c r="CH15" s="305">
        <f>IF(COT_PRECALCULOS!$D$24="Precios Iva Incluído",BW15,BQ15)</f>
        <v>3427064</v>
      </c>
      <c r="CI15" s="305">
        <f>IF(COT_PRECALCULOS!$D$24="Precios Iva Incluído",BX15,BR15)</f>
        <v>3403560</v>
      </c>
    </row>
    <row r="16" spans="1:87">
      <c r="A16" s="182" t="s">
        <v>101</v>
      </c>
      <c r="B16" s="182" t="s">
        <v>98</v>
      </c>
      <c r="C16" s="189" t="str">
        <f t="shared" si="0"/>
        <v>F_PE1</v>
      </c>
      <c r="D16" s="189" t="str">
        <f t="shared" si="1"/>
        <v>22_P_</v>
      </c>
      <c r="E16" s="211" t="s">
        <v>1</v>
      </c>
      <c r="F16" s="211" t="s">
        <v>1</v>
      </c>
      <c r="G16" s="189" t="s">
        <v>14</v>
      </c>
      <c r="H16" s="211"/>
      <c r="I16" s="211" t="s">
        <v>50</v>
      </c>
      <c r="J16" s="211">
        <v>22</v>
      </c>
      <c r="K16" s="211" t="s">
        <v>51</v>
      </c>
      <c r="L16" s="189" t="s">
        <v>9</v>
      </c>
      <c r="M16" s="386">
        <v>0</v>
      </c>
      <c r="N16" s="211">
        <v>100</v>
      </c>
      <c r="O16" s="211">
        <v>100</v>
      </c>
      <c r="P16" s="211">
        <v>100</v>
      </c>
      <c r="Q16" s="211">
        <v>100</v>
      </c>
      <c r="R16" s="211" t="s">
        <v>73</v>
      </c>
      <c r="S16" s="183">
        <f t="shared" si="2"/>
        <v>1</v>
      </c>
      <c r="T16" s="386">
        <v>0</v>
      </c>
      <c r="U16" s="385">
        <f t="shared" si="47"/>
        <v>1</v>
      </c>
      <c r="V16" s="385">
        <f t="shared" si="47"/>
        <v>1</v>
      </c>
      <c r="W16" s="385">
        <f t="shared" si="4"/>
        <v>1</v>
      </c>
      <c r="X16" s="385">
        <f t="shared" si="4"/>
        <v>1</v>
      </c>
      <c r="Y16" s="184">
        <f t="shared" si="5"/>
        <v>0</v>
      </c>
      <c r="Z16" s="184">
        <f t="shared" si="6"/>
        <v>217917</v>
      </c>
      <c r="AA16" s="184">
        <f t="shared" si="7"/>
        <v>233081</v>
      </c>
      <c r="AB16" s="184">
        <f t="shared" si="8"/>
        <v>7582</v>
      </c>
      <c r="AC16" s="184">
        <f t="shared" si="9"/>
        <v>7530</v>
      </c>
      <c r="AD16" s="184">
        <f t="shared" si="10"/>
        <v>466110</v>
      </c>
      <c r="AE16" s="183">
        <f t="shared" si="11"/>
        <v>0</v>
      </c>
      <c r="AF16" s="385">
        <f t="shared" si="12"/>
        <v>0</v>
      </c>
      <c r="AG16" s="385">
        <f t="shared" si="12"/>
        <v>0</v>
      </c>
      <c r="AH16" s="385">
        <f t="shared" si="12"/>
        <v>0</v>
      </c>
      <c r="AI16" s="185">
        <f t="shared" si="13"/>
        <v>0</v>
      </c>
      <c r="AJ16" s="185">
        <f t="shared" si="14"/>
        <v>0</v>
      </c>
      <c r="AK16" s="185">
        <f t="shared" si="15"/>
        <v>0</v>
      </c>
      <c r="AL16" s="185">
        <f t="shared" si="16"/>
        <v>0</v>
      </c>
      <c r="AM16" s="173">
        <v>0</v>
      </c>
      <c r="AN16" s="173">
        <f t="shared" si="18"/>
        <v>217917</v>
      </c>
      <c r="AO16" s="173">
        <f t="shared" si="19"/>
        <v>233081</v>
      </c>
      <c r="AP16" s="173">
        <f t="shared" si="20"/>
        <v>7582</v>
      </c>
      <c r="AQ16" s="173">
        <f t="shared" si="21"/>
        <v>7530</v>
      </c>
      <c r="AR16" s="173">
        <f t="shared" si="22"/>
        <v>466110</v>
      </c>
      <c r="AS16" s="186" t="s">
        <v>1341</v>
      </c>
      <c r="AT16" s="300">
        <f t="shared" si="23"/>
        <v>4.9124999999999996</v>
      </c>
      <c r="AU16" s="300">
        <f t="shared" si="23"/>
        <v>4.9124999999999996</v>
      </c>
      <c r="AV16" s="300">
        <f t="shared" si="23"/>
        <v>4.9124999999999996</v>
      </c>
      <c r="AW16" s="300">
        <f t="shared" si="23"/>
        <v>4.9124999999999996</v>
      </c>
      <c r="AX16" s="300">
        <f t="shared" si="23"/>
        <v>4.9124999999999996</v>
      </c>
      <c r="AY16" s="301">
        <f t="shared" si="24"/>
        <v>4.9124999999999996</v>
      </c>
      <c r="AZ16" s="301">
        <f t="shared" si="24"/>
        <v>4.9124999999999996</v>
      </c>
      <c r="BA16" s="301">
        <f t="shared" si="24"/>
        <v>4.9124999999999996</v>
      </c>
      <c r="BB16" s="301">
        <f t="shared" si="24"/>
        <v>4.9124999999999996</v>
      </c>
      <c r="BC16" s="301">
        <f t="shared" si="24"/>
        <v>4.9124999999999996</v>
      </c>
      <c r="BD16" s="187"/>
      <c r="BE16" s="187">
        <f t="shared" si="26"/>
        <v>525</v>
      </c>
      <c r="BF16" s="187">
        <f t="shared" si="27"/>
        <v>525</v>
      </c>
      <c r="BG16" s="187">
        <f t="shared" si="28"/>
        <v>525</v>
      </c>
      <c r="BH16" s="187">
        <f t="shared" si="29"/>
        <v>525</v>
      </c>
      <c r="BI16" s="187"/>
      <c r="BJ16" s="187">
        <f t="shared" si="48"/>
        <v>525</v>
      </c>
      <c r="BK16" s="187">
        <f t="shared" si="49"/>
        <v>525</v>
      </c>
      <c r="BL16" s="187">
        <f t="shared" si="33"/>
        <v>525</v>
      </c>
      <c r="BM16" s="187">
        <f t="shared" si="34"/>
        <v>525</v>
      </c>
      <c r="BN16" s="188"/>
      <c r="BO16" s="188">
        <f t="shared" si="50"/>
        <v>114406425</v>
      </c>
      <c r="BP16" s="188">
        <f t="shared" si="51"/>
        <v>122367525</v>
      </c>
      <c r="BQ16" s="188">
        <f t="shared" si="52"/>
        <v>3980550</v>
      </c>
      <c r="BR16" s="188">
        <f t="shared" si="53"/>
        <v>3953250</v>
      </c>
      <c r="BS16" s="188">
        <f t="shared" si="40"/>
        <v>244707750</v>
      </c>
      <c r="BT16" s="188">
        <f t="shared" si="41"/>
        <v>0</v>
      </c>
      <c r="BU16" s="188">
        <f t="shared" si="42"/>
        <v>114406425</v>
      </c>
      <c r="BV16" s="188">
        <f t="shared" si="43"/>
        <v>122367525</v>
      </c>
      <c r="BW16" s="188">
        <f t="shared" si="44"/>
        <v>3980550</v>
      </c>
      <c r="BX16" s="188">
        <f t="shared" si="45"/>
        <v>3953250</v>
      </c>
      <c r="BY16" s="188">
        <f t="shared" si="46"/>
        <v>244707750</v>
      </c>
      <c r="BZ16" s="305">
        <f>IF(COT_PRECALCULOS!$D$24="Precios Iva Incluído",BI16,BD16)</f>
        <v>0</v>
      </c>
      <c r="CA16" s="305">
        <f>IF(COT_PRECALCULOS!$D$24="Precios Iva Incluído",BJ16,BE16)</f>
        <v>525</v>
      </c>
      <c r="CB16" s="305">
        <f>IF(COT_PRECALCULOS!$D$24="Precios Iva Incluído",BK16,BF16)</f>
        <v>525</v>
      </c>
      <c r="CC16" s="305">
        <f>IF(COT_PRECALCULOS!$D$24="Precios Iva Incluído",BL16,BG16)</f>
        <v>525</v>
      </c>
      <c r="CD16" s="305">
        <f>IF(COT_PRECALCULOS!$D$24="Precios Iva Incluído",BM16,BH16)</f>
        <v>525</v>
      </c>
      <c r="CE16" s="305">
        <f>IF(COT_PRECALCULOS!$D$24="Precios Iva Incluído",BT16,BN16)</f>
        <v>0</v>
      </c>
      <c r="CF16" s="305">
        <f>IF(COT_PRECALCULOS!$D$24="Precios Iva Incluído",BU16,BO16)</f>
        <v>114406425</v>
      </c>
      <c r="CG16" s="305">
        <f>IF(COT_PRECALCULOS!$D$24="Precios Iva Incluído",BV16,BP16)</f>
        <v>122367525</v>
      </c>
      <c r="CH16" s="305">
        <f>IF(COT_PRECALCULOS!$D$24="Precios Iva Incluído",BW16,BQ16)</f>
        <v>3980550</v>
      </c>
      <c r="CI16" s="305">
        <f>IF(COT_PRECALCULOS!$D$24="Precios Iva Incluído",BX16,BR16)</f>
        <v>3953250</v>
      </c>
    </row>
    <row r="17" spans="1:87">
      <c r="A17" s="182" t="s">
        <v>101</v>
      </c>
      <c r="B17" s="182" t="s">
        <v>98</v>
      </c>
      <c r="C17" s="189" t="str">
        <f t="shared" si="0"/>
        <v>F_PE1</v>
      </c>
      <c r="D17" s="189" t="str">
        <f t="shared" si="1"/>
        <v>33_P_</v>
      </c>
      <c r="E17" s="211" t="s">
        <v>1</v>
      </c>
      <c r="F17" s="211" t="s">
        <v>1</v>
      </c>
      <c r="G17" s="189" t="s">
        <v>14</v>
      </c>
      <c r="H17" s="211"/>
      <c r="I17" s="211" t="s">
        <v>58</v>
      </c>
      <c r="J17" s="211">
        <v>33</v>
      </c>
      <c r="K17" s="211" t="s">
        <v>59</v>
      </c>
      <c r="L17" s="189" t="s">
        <v>48</v>
      </c>
      <c r="M17" s="310">
        <v>90</v>
      </c>
      <c r="N17" s="310">
        <v>90</v>
      </c>
      <c r="O17" s="310">
        <v>90</v>
      </c>
      <c r="P17" s="310">
        <v>90</v>
      </c>
      <c r="Q17" s="310">
        <v>90</v>
      </c>
      <c r="R17" s="211"/>
      <c r="S17" s="183">
        <f t="shared" si="2"/>
        <v>1</v>
      </c>
      <c r="T17" s="385">
        <f>$S17</f>
        <v>1</v>
      </c>
      <c r="U17" s="385">
        <f t="shared" si="47"/>
        <v>1</v>
      </c>
      <c r="V17" s="385">
        <f t="shared" si="47"/>
        <v>1</v>
      </c>
      <c r="W17" s="385">
        <f t="shared" si="4"/>
        <v>1</v>
      </c>
      <c r="X17" s="385">
        <f t="shared" si="4"/>
        <v>1</v>
      </c>
      <c r="Y17" s="184">
        <f t="shared" si="5"/>
        <v>163328</v>
      </c>
      <c r="Z17" s="184">
        <f t="shared" si="6"/>
        <v>217917</v>
      </c>
      <c r="AA17" s="184">
        <f t="shared" si="7"/>
        <v>233081</v>
      </c>
      <c r="AB17" s="184">
        <f t="shared" si="8"/>
        <v>7582</v>
      </c>
      <c r="AC17" s="184">
        <f t="shared" si="9"/>
        <v>7530</v>
      </c>
      <c r="AD17" s="184">
        <f t="shared" si="10"/>
        <v>629438</v>
      </c>
      <c r="AE17" s="183">
        <f t="shared" si="11"/>
        <v>0</v>
      </c>
      <c r="AF17" s="385">
        <f t="shared" si="12"/>
        <v>0</v>
      </c>
      <c r="AG17" s="385">
        <f t="shared" si="12"/>
        <v>0</v>
      </c>
      <c r="AH17" s="385">
        <f t="shared" si="12"/>
        <v>0</v>
      </c>
      <c r="AI17" s="185">
        <f t="shared" si="13"/>
        <v>0</v>
      </c>
      <c r="AJ17" s="185">
        <f t="shared" si="14"/>
        <v>0</v>
      </c>
      <c r="AK17" s="185">
        <f t="shared" si="15"/>
        <v>0</v>
      </c>
      <c r="AL17" s="185">
        <f t="shared" si="16"/>
        <v>0</v>
      </c>
      <c r="AM17" s="173">
        <f t="shared" ref="AM17:AM23" si="54">($S17*Y17)+($AE17*AI17)</f>
        <v>163328</v>
      </c>
      <c r="AN17" s="173">
        <f t="shared" si="18"/>
        <v>217917</v>
      </c>
      <c r="AO17" s="173">
        <f t="shared" si="19"/>
        <v>233081</v>
      </c>
      <c r="AP17" s="173">
        <f t="shared" si="20"/>
        <v>7582</v>
      </c>
      <c r="AQ17" s="173">
        <f t="shared" si="21"/>
        <v>7530</v>
      </c>
      <c r="AR17" s="173">
        <f t="shared" si="22"/>
        <v>629438</v>
      </c>
      <c r="AS17" s="186" t="s">
        <v>1341</v>
      </c>
      <c r="AT17" s="300">
        <f t="shared" si="23"/>
        <v>2.8014999999999999</v>
      </c>
      <c r="AU17" s="300">
        <f t="shared" si="23"/>
        <v>2.8014999999999999</v>
      </c>
      <c r="AV17" s="300">
        <f t="shared" si="23"/>
        <v>2.8014999999999999</v>
      </c>
      <c r="AW17" s="300">
        <f t="shared" si="23"/>
        <v>2.8014999999999999</v>
      </c>
      <c r="AX17" s="300">
        <f t="shared" si="23"/>
        <v>2.8014999999999999</v>
      </c>
      <c r="AY17" s="301">
        <f t="shared" si="24"/>
        <v>2.8014999999999999</v>
      </c>
      <c r="AZ17" s="301">
        <f t="shared" si="24"/>
        <v>2.8014999999999999</v>
      </c>
      <c r="BA17" s="301">
        <f t="shared" si="24"/>
        <v>2.8014999999999999</v>
      </c>
      <c r="BB17" s="301">
        <f t="shared" si="24"/>
        <v>2.8014999999999999</v>
      </c>
      <c r="BC17" s="301">
        <f t="shared" si="24"/>
        <v>2.8014999999999999</v>
      </c>
      <c r="BD17" s="187">
        <f>ROUND(IF(OR(M17=0,AT17="DATO NO DISPONIBLE"),"",AT17*M17*($BD$7+1)),0)</f>
        <v>270</v>
      </c>
      <c r="BE17" s="187">
        <f t="shared" si="26"/>
        <v>270</v>
      </c>
      <c r="BF17" s="187">
        <f t="shared" si="27"/>
        <v>270</v>
      </c>
      <c r="BG17" s="187">
        <f t="shared" si="28"/>
        <v>270</v>
      </c>
      <c r="BH17" s="187">
        <f t="shared" si="29"/>
        <v>270</v>
      </c>
      <c r="BI17" s="187">
        <f>ROUND(IF(OR(M17=0,AY17="DATO NO DISPONIBLE"),0,AY17*M17*($BD$7+1)),0)</f>
        <v>270</v>
      </c>
      <c r="BJ17" s="187">
        <f t="shared" si="48"/>
        <v>270</v>
      </c>
      <c r="BK17" s="187">
        <f t="shared" si="49"/>
        <v>270</v>
      </c>
      <c r="BL17" s="187">
        <f t="shared" si="33"/>
        <v>270</v>
      </c>
      <c r="BM17" s="187">
        <f t="shared" si="34"/>
        <v>270</v>
      </c>
      <c r="BN17" s="188">
        <f>BD17*AM17</f>
        <v>44098560</v>
      </c>
      <c r="BO17" s="188">
        <f t="shared" si="50"/>
        <v>58837590</v>
      </c>
      <c r="BP17" s="188">
        <f t="shared" si="51"/>
        <v>62931870</v>
      </c>
      <c r="BQ17" s="188">
        <f t="shared" si="52"/>
        <v>2047140</v>
      </c>
      <c r="BR17" s="188">
        <f t="shared" si="53"/>
        <v>2033100</v>
      </c>
      <c r="BS17" s="188">
        <f t="shared" si="40"/>
        <v>169948260</v>
      </c>
      <c r="BT17" s="188">
        <f t="shared" si="41"/>
        <v>44098560</v>
      </c>
      <c r="BU17" s="188">
        <f t="shared" si="42"/>
        <v>58837590</v>
      </c>
      <c r="BV17" s="188">
        <f t="shared" si="43"/>
        <v>62931870</v>
      </c>
      <c r="BW17" s="188">
        <f t="shared" si="44"/>
        <v>2047140</v>
      </c>
      <c r="BX17" s="188">
        <f t="shared" si="45"/>
        <v>2033100</v>
      </c>
      <c r="BY17" s="188">
        <f t="shared" si="46"/>
        <v>169948260</v>
      </c>
      <c r="BZ17" s="305">
        <f>IF(COT_PRECALCULOS!$D$24="Precios Iva Incluído",BI17,BD17)</f>
        <v>270</v>
      </c>
      <c r="CA17" s="305">
        <f>IF(COT_PRECALCULOS!$D$24="Precios Iva Incluído",BJ17,BE17)</f>
        <v>270</v>
      </c>
      <c r="CB17" s="305">
        <f>IF(COT_PRECALCULOS!$D$24="Precios Iva Incluído",BK17,BF17)</f>
        <v>270</v>
      </c>
      <c r="CC17" s="305">
        <f>IF(COT_PRECALCULOS!$D$24="Precios Iva Incluído",BL17,BG17)</f>
        <v>270</v>
      </c>
      <c r="CD17" s="305">
        <f>IF(COT_PRECALCULOS!$D$24="Precios Iva Incluído",BM17,BH17)</f>
        <v>270</v>
      </c>
      <c r="CE17" s="305">
        <f>IF(COT_PRECALCULOS!$D$24="Precios Iva Incluído",BT17,BN17)</f>
        <v>44098560</v>
      </c>
      <c r="CF17" s="305">
        <f>IF(COT_PRECALCULOS!$D$24="Precios Iva Incluído",BU17,BO17)</f>
        <v>58837590</v>
      </c>
      <c r="CG17" s="305">
        <f>IF(COT_PRECALCULOS!$D$24="Precios Iva Incluído",BV17,BP17)</f>
        <v>62931870</v>
      </c>
      <c r="CH17" s="305">
        <f>IF(COT_PRECALCULOS!$D$24="Precios Iva Incluído",BW17,BQ17)</f>
        <v>2047140</v>
      </c>
      <c r="CI17" s="305">
        <f>IF(COT_PRECALCULOS!$D$24="Precios Iva Incluído",BX17,BR17)</f>
        <v>2033100</v>
      </c>
    </row>
    <row r="18" spans="1:87">
      <c r="A18" s="182" t="s">
        <v>101</v>
      </c>
      <c r="B18" s="182" t="s">
        <v>98</v>
      </c>
      <c r="C18" s="189" t="str">
        <f t="shared" si="0"/>
        <v>F_PE1</v>
      </c>
      <c r="D18" s="189" t="str">
        <f t="shared" si="1"/>
        <v>42_P_</v>
      </c>
      <c r="E18" s="211" t="s">
        <v>1</v>
      </c>
      <c r="F18" s="211" t="s">
        <v>1</v>
      </c>
      <c r="G18" s="189" t="s">
        <v>14</v>
      </c>
      <c r="H18" s="211"/>
      <c r="I18" s="211" t="s">
        <v>49</v>
      </c>
      <c r="J18" s="211">
        <v>42</v>
      </c>
      <c r="K18" s="211" t="s">
        <v>61</v>
      </c>
      <c r="L18" s="189" t="s">
        <v>9</v>
      </c>
      <c r="M18" s="211">
        <v>100</v>
      </c>
      <c r="N18" s="211">
        <v>100</v>
      </c>
      <c r="O18" s="211">
        <v>100</v>
      </c>
      <c r="P18" s="211">
        <v>100</v>
      </c>
      <c r="Q18" s="211">
        <v>100</v>
      </c>
      <c r="R18" s="211"/>
      <c r="S18" s="183">
        <f t="shared" si="2"/>
        <v>4</v>
      </c>
      <c r="T18" s="385">
        <f>$S18</f>
        <v>4</v>
      </c>
      <c r="U18" s="385">
        <f t="shared" si="47"/>
        <v>4</v>
      </c>
      <c r="V18" s="385">
        <f t="shared" si="47"/>
        <v>4</v>
      </c>
      <c r="W18" s="385">
        <f t="shared" si="4"/>
        <v>4</v>
      </c>
      <c r="X18" s="385">
        <f t="shared" si="4"/>
        <v>4</v>
      </c>
      <c r="Y18" s="184">
        <f t="shared" si="5"/>
        <v>163328</v>
      </c>
      <c r="Z18" s="184">
        <f t="shared" si="6"/>
        <v>217917</v>
      </c>
      <c r="AA18" s="184">
        <f t="shared" si="7"/>
        <v>233081</v>
      </c>
      <c r="AB18" s="184">
        <f t="shared" si="8"/>
        <v>7582</v>
      </c>
      <c r="AC18" s="184">
        <f t="shared" si="9"/>
        <v>7530</v>
      </c>
      <c r="AD18" s="184">
        <f t="shared" si="10"/>
        <v>629438</v>
      </c>
      <c r="AE18" s="183">
        <f t="shared" si="11"/>
        <v>0</v>
      </c>
      <c r="AF18" s="385">
        <f t="shared" si="12"/>
        <v>0</v>
      </c>
      <c r="AG18" s="385">
        <f t="shared" si="12"/>
        <v>0</v>
      </c>
      <c r="AH18" s="385">
        <f t="shared" si="12"/>
        <v>0</v>
      </c>
      <c r="AI18" s="185">
        <f t="shared" si="13"/>
        <v>0</v>
      </c>
      <c r="AJ18" s="185">
        <f t="shared" si="14"/>
        <v>0</v>
      </c>
      <c r="AK18" s="185">
        <f t="shared" si="15"/>
        <v>0</v>
      </c>
      <c r="AL18" s="185">
        <f t="shared" si="16"/>
        <v>0</v>
      </c>
      <c r="AM18" s="173">
        <f t="shared" si="54"/>
        <v>653312</v>
      </c>
      <c r="AN18" s="173">
        <f t="shared" si="18"/>
        <v>871668</v>
      </c>
      <c r="AO18" s="173">
        <f t="shared" si="19"/>
        <v>932324</v>
      </c>
      <c r="AP18" s="173">
        <f t="shared" si="20"/>
        <v>30328</v>
      </c>
      <c r="AQ18" s="173">
        <f t="shared" si="21"/>
        <v>30120</v>
      </c>
      <c r="AR18" s="173">
        <f t="shared" si="22"/>
        <v>2517752</v>
      </c>
      <c r="AS18" s="186" t="s">
        <v>1341</v>
      </c>
      <c r="AT18" s="300">
        <f t="shared" si="23"/>
        <v>1.8169999999999999</v>
      </c>
      <c r="AU18" s="300">
        <f t="shared" si="23"/>
        <v>1.8169999999999999</v>
      </c>
      <c r="AV18" s="300">
        <f t="shared" si="23"/>
        <v>1.8169999999999999</v>
      </c>
      <c r="AW18" s="300">
        <f t="shared" si="23"/>
        <v>1.8169999999999999</v>
      </c>
      <c r="AX18" s="300">
        <f t="shared" si="23"/>
        <v>1.8169999999999999</v>
      </c>
      <c r="AY18" s="301">
        <f t="shared" ref="AY18:BC27" si="55">IF(ISERROR(MATCH(CONCATENATE($J18,"_",AY$1),COT_PRE_CODIGO_ALIMENTOS,0)),IF(ISERROR(MATCH(CONCATENATE($J18,"_",AY$2),COT_PRE_CODIGO_ALIMENTOS,0)),IF(ISERROR(MATCH(CONCATENATE($J18,"_",AY$3),COT_PRE_CODIGO_ALIMENTOS,0)),IF(ISERROR(MATCH(CONCATENATE($J18,"_",AY$4),COT_PRE_CODIGO_ALIMENTOS,0)),IF(ISERROR(MATCH(CONCATENATE($J18,"_",AY$5),COT_PRE_CODIGO_ALIMENTOS,0)),IF(ISERROR(MATCH(CONCATENATE($J18,"_",AY$6),COT_PRE_CODIGO_ALIMENTOS,0)),IF(ISERROR(MATCH(CONCATENATE($J18,"_",AY$7),COT_PRE_CODIGO_ALIMENTOS,0)),IF(ISERROR(VLOOKUP($J18,COT_PRE_ALIMENTOS,AY$8,FALSE)),"DATO NO DISPONIBLE",VLOOKUP($J18,COT_PRE_ALIMENTOS,AY$8,FALSE)),VLOOKUP(CONCATENATE($J18,"_",AY$7),COT_PRE_ALIMENTOS,AY$8,FALSE)),VLOOKUP(CONCATENATE($J18,"_",AY$6),COT_PRE_ALIMENTOS,AY$8,FALSE)),VLOOKUP(CONCATENATE($J18,"_",AY$5),COT_PRE_ALIMENTOS,AY$8,FALSE)),VLOOKUP(CONCATENATE($J18,"_",AY$4),COT_PRE_ALIMENTOS,AY$8,FALSE)),VLOOKUP(CONCATENATE($J18,"_",AY$3),COT_PRE_ALIMENTOS,AY$8,FALSE)),VLOOKUP(CONCATENATE($J18,"_",AY$2),COT_PRE_ALIMENTOS,AY$8,FALSE)),VLOOKUP(CONCATENATE($J18,"_",AY$1),COT_PRE_ALIMENTOS,AY$8,FALSE))</f>
        <v>1.8169999999999999</v>
      </c>
      <c r="AZ18" s="301">
        <f t="shared" si="55"/>
        <v>1.8169999999999999</v>
      </c>
      <c r="BA18" s="301">
        <f t="shared" si="55"/>
        <v>1.8169999999999999</v>
      </c>
      <c r="BB18" s="301">
        <f t="shared" si="55"/>
        <v>1.8169999999999999</v>
      </c>
      <c r="BC18" s="301">
        <f t="shared" si="55"/>
        <v>1.8169999999999999</v>
      </c>
      <c r="BD18" s="187">
        <f>ROUND(IF(OR(M18=0,AT18="DATO NO DISPONIBLE"),"",AT18*M18*($BD$7+1)),0)</f>
        <v>194</v>
      </c>
      <c r="BE18" s="187">
        <f t="shared" si="26"/>
        <v>194</v>
      </c>
      <c r="BF18" s="187">
        <f t="shared" si="27"/>
        <v>194</v>
      </c>
      <c r="BG18" s="187">
        <f t="shared" si="28"/>
        <v>194</v>
      </c>
      <c r="BH18" s="187">
        <f t="shared" si="29"/>
        <v>194</v>
      </c>
      <c r="BI18" s="187">
        <f>ROUND(IF(OR(M18=0,AY18="DATO NO DISPONIBLE"),0,AY18*M18*($BD$7+1)),0)</f>
        <v>194</v>
      </c>
      <c r="BJ18" s="187">
        <f t="shared" si="48"/>
        <v>194</v>
      </c>
      <c r="BK18" s="187">
        <f t="shared" si="49"/>
        <v>194</v>
      </c>
      <c r="BL18" s="187">
        <f t="shared" si="33"/>
        <v>194</v>
      </c>
      <c r="BM18" s="187">
        <f t="shared" si="34"/>
        <v>194</v>
      </c>
      <c r="BN18" s="188">
        <f>BD18*AM18</f>
        <v>126742528</v>
      </c>
      <c r="BO18" s="188">
        <f t="shared" si="50"/>
        <v>169103592</v>
      </c>
      <c r="BP18" s="188">
        <f t="shared" si="51"/>
        <v>180870856</v>
      </c>
      <c r="BQ18" s="188">
        <f t="shared" si="52"/>
        <v>5883632</v>
      </c>
      <c r="BR18" s="188">
        <f t="shared" si="53"/>
        <v>5843280</v>
      </c>
      <c r="BS18" s="188">
        <f t="shared" si="40"/>
        <v>488443888</v>
      </c>
      <c r="BT18" s="188">
        <f t="shared" si="41"/>
        <v>126742528</v>
      </c>
      <c r="BU18" s="188">
        <f t="shared" si="42"/>
        <v>169103592</v>
      </c>
      <c r="BV18" s="188">
        <f t="shared" si="43"/>
        <v>180870856</v>
      </c>
      <c r="BW18" s="188">
        <f t="shared" si="44"/>
        <v>5883632</v>
      </c>
      <c r="BX18" s="188">
        <f t="shared" si="45"/>
        <v>5843280</v>
      </c>
      <c r="BY18" s="188">
        <f t="shared" si="46"/>
        <v>488443888</v>
      </c>
      <c r="BZ18" s="305">
        <f>IF(COT_PRECALCULOS!$D$24="Precios Iva Incluído",BI18,BD18)</f>
        <v>194</v>
      </c>
      <c r="CA18" s="305">
        <f>IF(COT_PRECALCULOS!$D$24="Precios Iva Incluído",BJ18,BE18)</f>
        <v>194</v>
      </c>
      <c r="CB18" s="305">
        <f>IF(COT_PRECALCULOS!$D$24="Precios Iva Incluído",BK18,BF18)</f>
        <v>194</v>
      </c>
      <c r="CC18" s="305">
        <f>IF(COT_PRECALCULOS!$D$24="Precios Iva Incluído",BL18,BG18)</f>
        <v>194</v>
      </c>
      <c r="CD18" s="305">
        <f>IF(COT_PRECALCULOS!$D$24="Precios Iva Incluído",BM18,BH18)</f>
        <v>194</v>
      </c>
      <c r="CE18" s="305">
        <f>IF(COT_PRECALCULOS!$D$24="Precios Iva Incluído",BT18,BN18)</f>
        <v>126742528</v>
      </c>
      <c r="CF18" s="305">
        <f>IF(COT_PRECALCULOS!$D$24="Precios Iva Incluído",BU18,BO18)</f>
        <v>169103592</v>
      </c>
      <c r="CG18" s="305">
        <f>IF(COT_PRECALCULOS!$D$24="Precios Iva Incluído",BV18,BP18)</f>
        <v>180870856</v>
      </c>
      <c r="CH18" s="305">
        <f>IF(COT_PRECALCULOS!$D$24="Precios Iva Incluído",BW18,BQ18)</f>
        <v>5883632</v>
      </c>
      <c r="CI18" s="305">
        <f>IF(COT_PRECALCULOS!$D$24="Precios Iva Incluído",BX18,BR18)</f>
        <v>5843280</v>
      </c>
    </row>
    <row r="19" spans="1:87">
      <c r="A19" s="182" t="s">
        <v>101</v>
      </c>
      <c r="B19" s="182" t="s">
        <v>98</v>
      </c>
      <c r="C19" s="189" t="str">
        <f t="shared" si="0"/>
        <v>F_PE1</v>
      </c>
      <c r="D19" s="189" t="str">
        <f t="shared" si="1"/>
        <v>43_P_</v>
      </c>
      <c r="E19" s="211" t="s">
        <v>1</v>
      </c>
      <c r="F19" s="211" t="s">
        <v>1</v>
      </c>
      <c r="G19" s="189" t="s">
        <v>14</v>
      </c>
      <c r="H19" s="211"/>
      <c r="I19" s="211" t="s">
        <v>60</v>
      </c>
      <c r="J19" s="211">
        <v>43</v>
      </c>
      <c r="K19" s="211" t="s">
        <v>62</v>
      </c>
      <c r="L19" s="189" t="s">
        <v>9</v>
      </c>
      <c r="M19" s="211">
        <v>100</v>
      </c>
      <c r="N19" s="211">
        <v>100</v>
      </c>
      <c r="O19" s="211">
        <v>100</v>
      </c>
      <c r="P19" s="211">
        <v>100</v>
      </c>
      <c r="Q19" s="211">
        <v>100</v>
      </c>
      <c r="R19" s="211"/>
      <c r="S19" s="183">
        <f t="shared" si="2"/>
        <v>1</v>
      </c>
      <c r="T19" s="385">
        <f>$S19</f>
        <v>1</v>
      </c>
      <c r="U19" s="385">
        <f t="shared" si="47"/>
        <v>1</v>
      </c>
      <c r="V19" s="385">
        <f t="shared" si="47"/>
        <v>1</v>
      </c>
      <c r="W19" s="385">
        <f t="shared" si="4"/>
        <v>1</v>
      </c>
      <c r="X19" s="385">
        <f t="shared" si="4"/>
        <v>1</v>
      </c>
      <c r="Y19" s="184">
        <f t="shared" si="5"/>
        <v>163328</v>
      </c>
      <c r="Z19" s="184">
        <f t="shared" si="6"/>
        <v>217917</v>
      </c>
      <c r="AA19" s="184">
        <f t="shared" si="7"/>
        <v>233081</v>
      </c>
      <c r="AB19" s="184">
        <f t="shared" si="8"/>
        <v>7582</v>
      </c>
      <c r="AC19" s="184">
        <f t="shared" si="9"/>
        <v>7530</v>
      </c>
      <c r="AD19" s="184">
        <f t="shared" si="10"/>
        <v>629438</v>
      </c>
      <c r="AE19" s="183">
        <f t="shared" ref="AE19:AE50" si="56">IF(ISERROR(VLOOKUP(G19,FRE_FRECUENCIA_MENUS_FDS,2,FALSE)),0,VLOOKUP(G19,FRE_FRECUENCIA_MENUS_FDS,2,FALSE))</f>
        <v>0</v>
      </c>
      <c r="AF19" s="385">
        <f t="shared" si="12"/>
        <v>0</v>
      </c>
      <c r="AG19" s="385">
        <f t="shared" si="12"/>
        <v>0</v>
      </c>
      <c r="AH19" s="385">
        <f t="shared" si="12"/>
        <v>0</v>
      </c>
      <c r="AI19" s="185">
        <f t="shared" si="13"/>
        <v>0</v>
      </c>
      <c r="AJ19" s="185">
        <f t="shared" si="14"/>
        <v>0</v>
      </c>
      <c r="AK19" s="185">
        <f t="shared" si="15"/>
        <v>0</v>
      </c>
      <c r="AL19" s="185">
        <f t="shared" si="16"/>
        <v>0</v>
      </c>
      <c r="AM19" s="173">
        <f t="shared" si="54"/>
        <v>163328</v>
      </c>
      <c r="AN19" s="173">
        <f t="shared" si="18"/>
        <v>217917</v>
      </c>
      <c r="AO19" s="173">
        <f t="shared" si="19"/>
        <v>233081</v>
      </c>
      <c r="AP19" s="173">
        <f t="shared" si="20"/>
        <v>7582</v>
      </c>
      <c r="AQ19" s="173">
        <f t="shared" si="21"/>
        <v>7530</v>
      </c>
      <c r="AR19" s="173">
        <f t="shared" si="22"/>
        <v>629438</v>
      </c>
      <c r="AS19" s="186" t="s">
        <v>1341</v>
      </c>
      <c r="AT19" s="300">
        <f t="shared" si="23"/>
        <v>1.5892500000000001</v>
      </c>
      <c r="AU19" s="300">
        <f t="shared" si="23"/>
        <v>1.5892500000000001</v>
      </c>
      <c r="AV19" s="300">
        <f t="shared" si="23"/>
        <v>1.5892500000000001</v>
      </c>
      <c r="AW19" s="300">
        <f t="shared" si="23"/>
        <v>1.5892500000000001</v>
      </c>
      <c r="AX19" s="300">
        <f t="shared" si="23"/>
        <v>1.5892500000000001</v>
      </c>
      <c r="AY19" s="301">
        <f t="shared" si="55"/>
        <v>1.5892500000000001</v>
      </c>
      <c r="AZ19" s="301">
        <f t="shared" si="55"/>
        <v>1.5892500000000001</v>
      </c>
      <c r="BA19" s="301">
        <f t="shared" si="55"/>
        <v>1.5892500000000001</v>
      </c>
      <c r="BB19" s="301">
        <f t="shared" si="55"/>
        <v>1.5892500000000001</v>
      </c>
      <c r="BC19" s="301">
        <f t="shared" si="55"/>
        <v>1.5892500000000001</v>
      </c>
      <c r="BD19" s="187">
        <f>ROUND(IF(OR(M19=0,AT19="DATO NO DISPONIBLE"),"",AT19*M19*($BD$7+1)),0)</f>
        <v>170</v>
      </c>
      <c r="BE19" s="187">
        <f t="shared" si="26"/>
        <v>170</v>
      </c>
      <c r="BF19" s="187">
        <f t="shared" si="27"/>
        <v>170</v>
      </c>
      <c r="BG19" s="187">
        <f t="shared" si="28"/>
        <v>170</v>
      </c>
      <c r="BH19" s="187">
        <f t="shared" si="29"/>
        <v>170</v>
      </c>
      <c r="BI19" s="187">
        <f>ROUND(IF(OR(M19=0,AY19="DATO NO DISPONIBLE"),0,AY19*M19*($BD$7+1)),0)</f>
        <v>170</v>
      </c>
      <c r="BJ19" s="187">
        <f t="shared" si="48"/>
        <v>170</v>
      </c>
      <c r="BK19" s="187">
        <f t="shared" si="49"/>
        <v>170</v>
      </c>
      <c r="BL19" s="187">
        <f t="shared" si="33"/>
        <v>170</v>
      </c>
      <c r="BM19" s="187">
        <f t="shared" si="34"/>
        <v>170</v>
      </c>
      <c r="BN19" s="188">
        <f>BD19*AM19</f>
        <v>27765760</v>
      </c>
      <c r="BO19" s="188">
        <f t="shared" si="50"/>
        <v>37045890</v>
      </c>
      <c r="BP19" s="188">
        <f t="shared" si="51"/>
        <v>39623770</v>
      </c>
      <c r="BQ19" s="188">
        <f t="shared" si="52"/>
        <v>1288940</v>
      </c>
      <c r="BR19" s="188">
        <f t="shared" si="53"/>
        <v>1280100</v>
      </c>
      <c r="BS19" s="188">
        <f t="shared" si="40"/>
        <v>107004460</v>
      </c>
      <c r="BT19" s="188">
        <f t="shared" si="41"/>
        <v>27765760</v>
      </c>
      <c r="BU19" s="188">
        <f t="shared" si="42"/>
        <v>37045890</v>
      </c>
      <c r="BV19" s="188">
        <f t="shared" si="43"/>
        <v>39623770</v>
      </c>
      <c r="BW19" s="188">
        <f t="shared" si="44"/>
        <v>1288940</v>
      </c>
      <c r="BX19" s="188">
        <f t="shared" si="45"/>
        <v>1280100</v>
      </c>
      <c r="BY19" s="188">
        <f t="shared" si="46"/>
        <v>107004460</v>
      </c>
      <c r="BZ19" s="305">
        <f>IF(COT_PRECALCULOS!$D$24="Precios Iva Incluído",BI19,BD19)</f>
        <v>170</v>
      </c>
      <c r="CA19" s="305">
        <f>IF(COT_PRECALCULOS!$D$24="Precios Iva Incluído",BJ19,BE19)</f>
        <v>170</v>
      </c>
      <c r="CB19" s="305">
        <f>IF(COT_PRECALCULOS!$D$24="Precios Iva Incluído",BK19,BF19)</f>
        <v>170</v>
      </c>
      <c r="CC19" s="305">
        <f>IF(COT_PRECALCULOS!$D$24="Precios Iva Incluído",BL19,BG19)</f>
        <v>170</v>
      </c>
      <c r="CD19" s="305">
        <f>IF(COT_PRECALCULOS!$D$24="Precios Iva Incluído",BM19,BH19)</f>
        <v>170</v>
      </c>
      <c r="CE19" s="305">
        <f>IF(COT_PRECALCULOS!$D$24="Precios Iva Incluído",BT19,BN19)</f>
        <v>27765760</v>
      </c>
      <c r="CF19" s="305">
        <f>IF(COT_PRECALCULOS!$D$24="Precios Iva Incluído",BU19,BO19)</f>
        <v>37045890</v>
      </c>
      <c r="CG19" s="305">
        <f>IF(COT_PRECALCULOS!$D$24="Precios Iva Incluído",BV19,BP19)</f>
        <v>39623770</v>
      </c>
      <c r="CH19" s="305">
        <f>IF(COT_PRECALCULOS!$D$24="Precios Iva Incluído",BW19,BQ19)</f>
        <v>1288940</v>
      </c>
      <c r="CI19" s="305">
        <f>IF(COT_PRECALCULOS!$D$24="Precios Iva Incluído",BX19,BR19)</f>
        <v>1280100</v>
      </c>
    </row>
    <row r="20" spans="1:87">
      <c r="A20" s="182" t="s">
        <v>101</v>
      </c>
      <c r="B20" s="182" t="s">
        <v>98</v>
      </c>
      <c r="C20" s="189" t="str">
        <f t="shared" si="0"/>
        <v>F_PE1</v>
      </c>
      <c r="D20" s="189" t="str">
        <f t="shared" si="1"/>
        <v>46_P_</v>
      </c>
      <c r="E20" s="211" t="s">
        <v>1</v>
      </c>
      <c r="F20" s="211" t="s">
        <v>1</v>
      </c>
      <c r="G20" s="189" t="s">
        <v>14</v>
      </c>
      <c r="H20" s="211"/>
      <c r="I20" s="211" t="s">
        <v>63</v>
      </c>
      <c r="J20" s="211">
        <v>46</v>
      </c>
      <c r="K20" s="211" t="s">
        <v>64</v>
      </c>
      <c r="L20" s="189" t="s">
        <v>9</v>
      </c>
      <c r="M20" s="211">
        <v>100</v>
      </c>
      <c r="N20" s="211">
        <v>100</v>
      </c>
      <c r="O20" s="211">
        <v>100</v>
      </c>
      <c r="P20" s="211">
        <v>100</v>
      </c>
      <c r="Q20" s="211">
        <v>100</v>
      </c>
      <c r="R20" s="211"/>
      <c r="S20" s="183">
        <f t="shared" si="2"/>
        <v>1</v>
      </c>
      <c r="T20" s="385">
        <f>$S20</f>
        <v>1</v>
      </c>
      <c r="U20" s="385">
        <f t="shared" si="47"/>
        <v>1</v>
      </c>
      <c r="V20" s="385">
        <f t="shared" si="47"/>
        <v>1</v>
      </c>
      <c r="W20" s="385">
        <f t="shared" si="4"/>
        <v>1</v>
      </c>
      <c r="X20" s="385">
        <f t="shared" si="4"/>
        <v>1</v>
      </c>
      <c r="Y20" s="184">
        <f t="shared" si="5"/>
        <v>163328</v>
      </c>
      <c r="Z20" s="184">
        <f t="shared" si="6"/>
        <v>217917</v>
      </c>
      <c r="AA20" s="184">
        <f t="shared" si="7"/>
        <v>233081</v>
      </c>
      <c r="AB20" s="184">
        <f t="shared" si="8"/>
        <v>7582</v>
      </c>
      <c r="AC20" s="184">
        <f t="shared" si="9"/>
        <v>7530</v>
      </c>
      <c r="AD20" s="184">
        <f t="shared" si="10"/>
        <v>629438</v>
      </c>
      <c r="AE20" s="183">
        <f t="shared" si="56"/>
        <v>0</v>
      </c>
      <c r="AF20" s="385">
        <f t="shared" si="12"/>
        <v>0</v>
      </c>
      <c r="AG20" s="385">
        <f t="shared" si="12"/>
        <v>0</v>
      </c>
      <c r="AH20" s="385">
        <f t="shared" si="12"/>
        <v>0</v>
      </c>
      <c r="AI20" s="185">
        <f t="shared" si="13"/>
        <v>0</v>
      </c>
      <c r="AJ20" s="185">
        <f t="shared" si="14"/>
        <v>0</v>
      </c>
      <c r="AK20" s="185">
        <f t="shared" si="15"/>
        <v>0</v>
      </c>
      <c r="AL20" s="185">
        <f t="shared" si="16"/>
        <v>0</v>
      </c>
      <c r="AM20" s="173">
        <f t="shared" si="54"/>
        <v>163328</v>
      </c>
      <c r="AN20" s="173">
        <f t="shared" si="18"/>
        <v>217917</v>
      </c>
      <c r="AO20" s="173">
        <f t="shared" si="19"/>
        <v>233081</v>
      </c>
      <c r="AP20" s="173">
        <f t="shared" si="20"/>
        <v>7582</v>
      </c>
      <c r="AQ20" s="173">
        <f t="shared" si="21"/>
        <v>7530</v>
      </c>
      <c r="AR20" s="173">
        <f t="shared" si="22"/>
        <v>629438</v>
      </c>
      <c r="AS20" s="186" t="s">
        <v>1341</v>
      </c>
      <c r="AT20" s="300">
        <f t="shared" si="23"/>
        <v>3.7214999999999998</v>
      </c>
      <c r="AU20" s="300">
        <f t="shared" si="23"/>
        <v>3.7214999999999998</v>
      </c>
      <c r="AV20" s="300">
        <f t="shared" si="23"/>
        <v>3.7214999999999998</v>
      </c>
      <c r="AW20" s="300">
        <f t="shared" si="23"/>
        <v>3.7214999999999998</v>
      </c>
      <c r="AX20" s="300">
        <f t="shared" si="23"/>
        <v>3.7214999999999998</v>
      </c>
      <c r="AY20" s="301">
        <f t="shared" si="55"/>
        <v>3.7214999999999998</v>
      </c>
      <c r="AZ20" s="301">
        <f t="shared" si="55"/>
        <v>3.7214999999999998</v>
      </c>
      <c r="BA20" s="301">
        <f t="shared" si="55"/>
        <v>3.7214999999999998</v>
      </c>
      <c r="BB20" s="301">
        <f t="shared" si="55"/>
        <v>3.7214999999999998</v>
      </c>
      <c r="BC20" s="301">
        <f t="shared" si="55"/>
        <v>3.7214999999999998</v>
      </c>
      <c r="BD20" s="187">
        <f>ROUND(IF(OR(M20=0,AT20="DATO NO DISPONIBLE"),"",AT20*M20*($BD$7+1)),0)</f>
        <v>398</v>
      </c>
      <c r="BE20" s="187">
        <f t="shared" si="26"/>
        <v>398</v>
      </c>
      <c r="BF20" s="187">
        <f t="shared" si="27"/>
        <v>398</v>
      </c>
      <c r="BG20" s="187">
        <f t="shared" si="28"/>
        <v>398</v>
      </c>
      <c r="BH20" s="187">
        <f t="shared" si="29"/>
        <v>398</v>
      </c>
      <c r="BI20" s="187">
        <f>ROUND(IF(OR(M20=0,AY20="DATO NO DISPONIBLE"),0,AY20*M20*($BD$7+1)),0)</f>
        <v>398</v>
      </c>
      <c r="BJ20" s="187">
        <f t="shared" si="48"/>
        <v>398</v>
      </c>
      <c r="BK20" s="187">
        <f t="shared" si="49"/>
        <v>398</v>
      </c>
      <c r="BL20" s="187">
        <f t="shared" si="33"/>
        <v>398</v>
      </c>
      <c r="BM20" s="187">
        <f t="shared" si="34"/>
        <v>398</v>
      </c>
      <c r="BN20" s="188">
        <f>BD20*AM20</f>
        <v>65004544</v>
      </c>
      <c r="BO20" s="188">
        <f t="shared" si="50"/>
        <v>86730966</v>
      </c>
      <c r="BP20" s="188">
        <f t="shared" si="51"/>
        <v>92766238</v>
      </c>
      <c r="BQ20" s="188">
        <f t="shared" si="52"/>
        <v>3017636</v>
      </c>
      <c r="BR20" s="188">
        <f t="shared" si="53"/>
        <v>2996940</v>
      </c>
      <c r="BS20" s="188">
        <f t="shared" si="40"/>
        <v>250516324</v>
      </c>
      <c r="BT20" s="188">
        <f t="shared" si="41"/>
        <v>65004544</v>
      </c>
      <c r="BU20" s="188">
        <f t="shared" si="42"/>
        <v>86730966</v>
      </c>
      <c r="BV20" s="188">
        <f t="shared" si="43"/>
        <v>92766238</v>
      </c>
      <c r="BW20" s="188">
        <f t="shared" si="44"/>
        <v>3017636</v>
      </c>
      <c r="BX20" s="188">
        <f t="shared" si="45"/>
        <v>2996940</v>
      </c>
      <c r="BY20" s="188">
        <f t="shared" si="46"/>
        <v>250516324</v>
      </c>
      <c r="BZ20" s="305">
        <f>IF(COT_PRECALCULOS!$D$24="Precios Iva Incluído",BI20,BD20)</f>
        <v>398</v>
      </c>
      <c r="CA20" s="305">
        <f>IF(COT_PRECALCULOS!$D$24="Precios Iva Incluído",BJ20,BE20)</f>
        <v>398</v>
      </c>
      <c r="CB20" s="305">
        <f>IF(COT_PRECALCULOS!$D$24="Precios Iva Incluído",BK20,BF20)</f>
        <v>398</v>
      </c>
      <c r="CC20" s="305">
        <f>IF(COT_PRECALCULOS!$D$24="Precios Iva Incluído",BL20,BG20)</f>
        <v>398</v>
      </c>
      <c r="CD20" s="305">
        <f>IF(COT_PRECALCULOS!$D$24="Precios Iva Incluído",BM20,BH20)</f>
        <v>398</v>
      </c>
      <c r="CE20" s="305">
        <f>IF(COT_PRECALCULOS!$D$24="Precios Iva Incluído",BT20,BN20)</f>
        <v>65004544</v>
      </c>
      <c r="CF20" s="305">
        <f>IF(COT_PRECALCULOS!$D$24="Precios Iva Incluído",BU20,BO20)</f>
        <v>86730966</v>
      </c>
      <c r="CG20" s="305">
        <f>IF(COT_PRECALCULOS!$D$24="Precios Iva Incluído",BV20,BP20)</f>
        <v>92766238</v>
      </c>
      <c r="CH20" s="305">
        <f>IF(COT_PRECALCULOS!$D$24="Precios Iva Incluído",BW20,BQ20)</f>
        <v>3017636</v>
      </c>
      <c r="CI20" s="305">
        <f>IF(COT_PRECALCULOS!$D$24="Precios Iva Incluído",BX20,BR20)</f>
        <v>2996940</v>
      </c>
    </row>
    <row r="21" spans="1:87">
      <c r="A21" s="182" t="s">
        <v>101</v>
      </c>
      <c r="B21" s="182" t="s">
        <v>98</v>
      </c>
      <c r="C21" s="189" t="str">
        <f t="shared" si="0"/>
        <v>F_PE1</v>
      </c>
      <c r="D21" s="189" t="str">
        <f t="shared" si="1"/>
        <v>58_P_</v>
      </c>
      <c r="E21" s="190" t="s">
        <v>1</v>
      </c>
      <c r="F21" s="190" t="s">
        <v>1</v>
      </c>
      <c r="G21" s="189" t="s">
        <v>14</v>
      </c>
      <c r="H21" s="190"/>
      <c r="I21" s="190" t="s">
        <v>65</v>
      </c>
      <c r="J21" s="190">
        <v>58</v>
      </c>
      <c r="K21" s="190" t="s">
        <v>67</v>
      </c>
      <c r="L21" s="189" t="s">
        <v>9</v>
      </c>
      <c r="M21" s="211">
        <v>100</v>
      </c>
      <c r="N21" s="211">
        <v>100</v>
      </c>
      <c r="O21" s="211">
        <v>100</v>
      </c>
      <c r="P21" s="211">
        <v>100</v>
      </c>
      <c r="Q21" s="211">
        <v>100</v>
      </c>
      <c r="R21" s="190"/>
      <c r="S21" s="183">
        <f t="shared" si="2"/>
        <v>1</v>
      </c>
      <c r="T21" s="385">
        <f>$S21</f>
        <v>1</v>
      </c>
      <c r="U21" s="385">
        <f t="shared" si="47"/>
        <v>1</v>
      </c>
      <c r="V21" s="385">
        <f t="shared" si="47"/>
        <v>1</v>
      </c>
      <c r="W21" s="385">
        <f t="shared" si="4"/>
        <v>1</v>
      </c>
      <c r="X21" s="385">
        <f t="shared" si="4"/>
        <v>1</v>
      </c>
      <c r="Y21" s="184">
        <f t="shared" si="5"/>
        <v>163328</v>
      </c>
      <c r="Z21" s="184">
        <f t="shared" si="6"/>
        <v>217917</v>
      </c>
      <c r="AA21" s="184">
        <f t="shared" si="7"/>
        <v>233081</v>
      </c>
      <c r="AB21" s="184">
        <f t="shared" si="8"/>
        <v>7582</v>
      </c>
      <c r="AC21" s="184">
        <f t="shared" si="9"/>
        <v>7530</v>
      </c>
      <c r="AD21" s="184">
        <f t="shared" si="10"/>
        <v>629438</v>
      </c>
      <c r="AE21" s="183">
        <f t="shared" si="56"/>
        <v>0</v>
      </c>
      <c r="AF21" s="385">
        <f t="shared" si="12"/>
        <v>0</v>
      </c>
      <c r="AG21" s="385">
        <f t="shared" si="12"/>
        <v>0</v>
      </c>
      <c r="AH21" s="385">
        <f t="shared" si="12"/>
        <v>0</v>
      </c>
      <c r="AI21" s="185">
        <f t="shared" si="13"/>
        <v>0</v>
      </c>
      <c r="AJ21" s="185">
        <f t="shared" si="14"/>
        <v>0</v>
      </c>
      <c r="AK21" s="185">
        <f t="shared" si="15"/>
        <v>0</v>
      </c>
      <c r="AL21" s="185">
        <f t="shared" si="16"/>
        <v>0</v>
      </c>
      <c r="AM21" s="173">
        <f t="shared" si="54"/>
        <v>163328</v>
      </c>
      <c r="AN21" s="173">
        <f t="shared" si="18"/>
        <v>217917</v>
      </c>
      <c r="AO21" s="173">
        <f t="shared" si="19"/>
        <v>233081</v>
      </c>
      <c r="AP21" s="173">
        <f t="shared" si="20"/>
        <v>7582</v>
      </c>
      <c r="AQ21" s="173">
        <f t="shared" si="21"/>
        <v>7530</v>
      </c>
      <c r="AR21" s="173">
        <f t="shared" si="22"/>
        <v>629438</v>
      </c>
      <c r="AS21" s="186" t="s">
        <v>1341</v>
      </c>
      <c r="AT21" s="300">
        <f t="shared" ref="AT21:AX30" si="57">IF(ISERROR(IF(ISERROR(MATCH(CONCATENATE($J21,"_",AT$1),COT_PRE_CODIGO_ALIMENTOS,0)),IF(ISERROR(MATCH(CONCATENATE($J21,"_",AT$2),COT_PRE_CODIGO_ALIMENTOS,0)),IF(ISERROR(MATCH(CONCATENATE($J21,"_",AT$3),COT_PRE_CODIGO_ALIMENTOS,0)),IF(ISERROR(MATCH(CONCATENATE($J21,"_",AT$4),COT_PRE_CODIGO_ALIMENTOS,0)),IF(ISERROR(MATCH(CONCATENATE($J21,"_",AT$5),COT_PRE_CODIGO_ALIMENTOS,0)),IF(ISERROR(MATCH(CONCATENATE($J21,"_",AT$6),COT_PRE_CODIGO_ALIMENTOS,0)),IF(ISERROR(MATCH(CONCATENATE($J21,"_",AT$7),COT_PRE_CODIGO_ALIMENTOS,0)),IF(ISERROR(VLOOKUP($J21,COT_PRE_ALIMENTOS,AT$8,FALSE)),"DATO NO DISPONIBLE",VLOOKUP($J21,COT_PRE_ALIMENTOS,AT$8,FALSE)),VLOOKUP(CONCATENATE($J21,"_",AT$7),COT_PRE_ALIMENTOS,AT$8,FALSE)),VLOOKUP(CONCATENATE($J21,"_",AT$6),COT_PRE_ALIMENTOS,AT$8,FALSE)),VLOOKUP(CONCATENATE($J21,"_",AT$5),COT_PRE_ALIMENTOS,AT$8,FALSE)),VLOOKUP(CONCATENATE($J21,"_",AT$4),COT_PRE_ALIMENTOS,AT$8,FALSE)),VLOOKUP(CONCATENATE($J21,"_",AT$3),COT_PRE_ALIMENTOS,AT$8,FALSE)),VLOOKUP(CONCATENATE($J21,"_",AT$2),COT_PRE_ALIMENTOS,AT$8,FALSE)),VLOOKUP(CONCATENATE($J21,"_",AT$1),COT_PRE_ALIMENTOS,AT$8,FALSE))),"DATO NO DISPONIBLE",IF(ISERROR(MATCH(CONCATENATE($J21,"_",AT$1),COT_PRE_CODIGO_ALIMENTOS,0)),IF(ISERROR(MATCH(CONCATENATE($J21,"_",AT$2),COT_PRE_CODIGO_ALIMENTOS,0)),IF(ISERROR(MATCH(CONCATENATE($J21,"_",AT$3),COT_PRE_CODIGO_ALIMENTOS,0)),IF(ISERROR(MATCH(CONCATENATE($J21,"_",AT$4),COT_PRE_CODIGO_ALIMENTOS,0)),IF(ISERROR(MATCH(CONCATENATE($J21,"_",AT$5),COT_PRE_CODIGO_ALIMENTOS,0)),IF(ISERROR(MATCH(CONCATENATE($J21,"_",AT$6),COT_PRE_CODIGO_ALIMENTOS,0)),IF(ISERROR(MATCH(CONCATENATE($J21,"_",AT$7),COT_PRE_CODIGO_ALIMENTOS,0)),IF(ISERROR(VLOOKUP($J21,COT_PRE_ALIMENTOS,AT$8,FALSE)),"DATO NO DISPONIBLE",VLOOKUP($J21,COT_PRE_ALIMENTOS,AT$8,FALSE)),VLOOKUP(CONCATENATE($J21,"_",AT$7),COT_PRE_ALIMENTOS,AT$8,FALSE)),VLOOKUP(CONCATENATE($J21,"_",AT$6),COT_PRE_ALIMENTOS,AT$8,FALSE)),VLOOKUP(CONCATENATE($J21,"_",AT$5),COT_PRE_ALIMENTOS,AT$8,FALSE)),VLOOKUP(CONCATENATE($J21,"_",AT$4),COT_PRE_ALIMENTOS,AT$8,FALSE)),VLOOKUP(CONCATENATE($J21,"_",AT$3),COT_PRE_ALIMENTOS,AT$8,FALSE)),VLOOKUP(CONCATENATE($J21,"_",AT$2),COT_PRE_ALIMENTOS,AT$8,FALSE)),VLOOKUP(CONCATENATE($J21,"_",AT$1),COT_PRE_ALIMENTOS,AT$8,FALSE)))</f>
        <v>1.4384999999999999</v>
      </c>
      <c r="AU21" s="300">
        <f t="shared" si="57"/>
        <v>1.4384999999999999</v>
      </c>
      <c r="AV21" s="300">
        <f t="shared" si="57"/>
        <v>1.4384999999999999</v>
      </c>
      <c r="AW21" s="300">
        <f t="shared" si="57"/>
        <v>1.4384999999999999</v>
      </c>
      <c r="AX21" s="300">
        <f t="shared" si="57"/>
        <v>1.4384999999999999</v>
      </c>
      <c r="AY21" s="301">
        <f t="shared" si="55"/>
        <v>1.4384999999999999</v>
      </c>
      <c r="AZ21" s="301">
        <f t="shared" si="55"/>
        <v>1.4384999999999999</v>
      </c>
      <c r="BA21" s="301">
        <f t="shared" si="55"/>
        <v>1.4384999999999999</v>
      </c>
      <c r="BB21" s="301">
        <f t="shared" si="55"/>
        <v>1.4384999999999999</v>
      </c>
      <c r="BC21" s="301">
        <f t="shared" si="55"/>
        <v>1.4384999999999999</v>
      </c>
      <c r="BD21" s="187">
        <f>ROUND(IF(OR(M21=0,AT21="DATO NO DISPONIBLE"),"",AT21*M21*($BD$7+1)),0)</f>
        <v>154</v>
      </c>
      <c r="BE21" s="187">
        <f t="shared" si="26"/>
        <v>154</v>
      </c>
      <c r="BF21" s="187">
        <f t="shared" si="27"/>
        <v>154</v>
      </c>
      <c r="BG21" s="187">
        <f t="shared" si="28"/>
        <v>154</v>
      </c>
      <c r="BH21" s="187">
        <f t="shared" si="29"/>
        <v>154</v>
      </c>
      <c r="BI21" s="187">
        <f>ROUND(IF(OR(M21=0,AY21="DATO NO DISPONIBLE"),0,AY21*M21*($BD$7+1)),0)</f>
        <v>154</v>
      </c>
      <c r="BJ21" s="187">
        <f t="shared" si="48"/>
        <v>154</v>
      </c>
      <c r="BK21" s="187">
        <f t="shared" si="49"/>
        <v>154</v>
      </c>
      <c r="BL21" s="187">
        <f t="shared" si="33"/>
        <v>154</v>
      </c>
      <c r="BM21" s="187">
        <f t="shared" si="34"/>
        <v>154</v>
      </c>
      <c r="BN21" s="188">
        <f>BD21*AM21</f>
        <v>25152512</v>
      </c>
      <c r="BO21" s="188">
        <f t="shared" si="50"/>
        <v>33559218</v>
      </c>
      <c r="BP21" s="188">
        <f t="shared" si="51"/>
        <v>35894474</v>
      </c>
      <c r="BQ21" s="188">
        <f t="shared" si="52"/>
        <v>1167628</v>
      </c>
      <c r="BR21" s="188">
        <f t="shared" si="53"/>
        <v>1159620</v>
      </c>
      <c r="BS21" s="188">
        <f t="shared" si="40"/>
        <v>96933452</v>
      </c>
      <c r="BT21" s="188">
        <f t="shared" si="41"/>
        <v>25152512</v>
      </c>
      <c r="BU21" s="188">
        <f t="shared" si="42"/>
        <v>33559218</v>
      </c>
      <c r="BV21" s="188">
        <f t="shared" si="43"/>
        <v>35894474</v>
      </c>
      <c r="BW21" s="188">
        <f t="shared" si="44"/>
        <v>1167628</v>
      </c>
      <c r="BX21" s="188">
        <f t="shared" si="45"/>
        <v>1159620</v>
      </c>
      <c r="BY21" s="188">
        <f t="shared" si="46"/>
        <v>96933452</v>
      </c>
      <c r="BZ21" s="305">
        <f>IF(COT_PRECALCULOS!$D$24="Precios Iva Incluído",BI21,BD21)</f>
        <v>154</v>
      </c>
      <c r="CA21" s="305">
        <f>IF(COT_PRECALCULOS!$D$24="Precios Iva Incluído",BJ21,BE21)</f>
        <v>154</v>
      </c>
      <c r="CB21" s="305">
        <f>IF(COT_PRECALCULOS!$D$24="Precios Iva Incluído",BK21,BF21)</f>
        <v>154</v>
      </c>
      <c r="CC21" s="305">
        <f>IF(COT_PRECALCULOS!$D$24="Precios Iva Incluído",BL21,BG21)</f>
        <v>154</v>
      </c>
      <c r="CD21" s="305">
        <f>IF(COT_PRECALCULOS!$D$24="Precios Iva Incluído",BM21,BH21)</f>
        <v>154</v>
      </c>
      <c r="CE21" s="305">
        <f>IF(COT_PRECALCULOS!$D$24="Precios Iva Incluído",BT21,BN21)</f>
        <v>25152512</v>
      </c>
      <c r="CF21" s="305">
        <f>IF(COT_PRECALCULOS!$D$24="Precios Iva Incluído",BU21,BO21)</f>
        <v>33559218</v>
      </c>
      <c r="CG21" s="305">
        <f>IF(COT_PRECALCULOS!$D$24="Precios Iva Incluído",BV21,BP21)</f>
        <v>35894474</v>
      </c>
      <c r="CH21" s="305">
        <f>IF(COT_PRECALCULOS!$D$24="Precios Iva Incluído",BW21,BQ21)</f>
        <v>1167628</v>
      </c>
      <c r="CI21" s="305">
        <f>IF(COT_PRECALCULOS!$D$24="Precios Iva Incluído",BX21,BR21)</f>
        <v>1159620</v>
      </c>
    </row>
    <row r="22" spans="1:87">
      <c r="A22" s="182" t="s">
        <v>101</v>
      </c>
      <c r="B22" s="182" t="s">
        <v>98</v>
      </c>
      <c r="C22" s="189" t="str">
        <f t="shared" si="0"/>
        <v>F_PE1</v>
      </c>
      <c r="D22" s="189" t="str">
        <f t="shared" si="1"/>
        <v>59_P_</v>
      </c>
      <c r="E22" s="190" t="s">
        <v>1</v>
      </c>
      <c r="F22" s="190" t="s">
        <v>1</v>
      </c>
      <c r="G22" s="189" t="s">
        <v>14</v>
      </c>
      <c r="H22" s="190"/>
      <c r="I22" s="190" t="s">
        <v>66</v>
      </c>
      <c r="J22" s="190">
        <v>59</v>
      </c>
      <c r="K22" s="190" t="s">
        <v>99</v>
      </c>
      <c r="L22" s="189" t="s">
        <v>9</v>
      </c>
      <c r="M22" s="386">
        <v>0</v>
      </c>
      <c r="N22" s="211">
        <v>100</v>
      </c>
      <c r="O22" s="211">
        <v>100</v>
      </c>
      <c r="P22" s="211">
        <v>100</v>
      </c>
      <c r="Q22" s="211">
        <v>100</v>
      </c>
      <c r="R22" s="190" t="s">
        <v>73</v>
      </c>
      <c r="S22" s="385">
        <f t="shared" si="2"/>
        <v>0</v>
      </c>
      <c r="T22" s="386">
        <v>0</v>
      </c>
      <c r="U22" s="385">
        <f t="shared" si="47"/>
        <v>0</v>
      </c>
      <c r="V22" s="385">
        <f t="shared" si="47"/>
        <v>0</v>
      </c>
      <c r="W22" s="385">
        <f t="shared" si="4"/>
        <v>0</v>
      </c>
      <c r="X22" s="385">
        <f t="shared" si="4"/>
        <v>0</v>
      </c>
      <c r="Y22" s="184">
        <f t="shared" si="5"/>
        <v>0</v>
      </c>
      <c r="Z22" s="184">
        <f t="shared" si="6"/>
        <v>217917</v>
      </c>
      <c r="AA22" s="184">
        <f t="shared" si="7"/>
        <v>233081</v>
      </c>
      <c r="AB22" s="184">
        <f t="shared" si="8"/>
        <v>7582</v>
      </c>
      <c r="AC22" s="184">
        <f t="shared" si="9"/>
        <v>7530</v>
      </c>
      <c r="AD22" s="184">
        <f t="shared" si="10"/>
        <v>466110</v>
      </c>
      <c r="AE22" s="183">
        <f t="shared" si="56"/>
        <v>0</v>
      </c>
      <c r="AF22" s="385">
        <f t="shared" si="12"/>
        <v>0</v>
      </c>
      <c r="AG22" s="385">
        <f t="shared" si="12"/>
        <v>0</v>
      </c>
      <c r="AH22" s="385">
        <f t="shared" si="12"/>
        <v>0</v>
      </c>
      <c r="AI22" s="185">
        <f t="shared" si="13"/>
        <v>0</v>
      </c>
      <c r="AJ22" s="185">
        <f t="shared" si="14"/>
        <v>0</v>
      </c>
      <c r="AK22" s="185">
        <f t="shared" si="15"/>
        <v>0</v>
      </c>
      <c r="AL22" s="185">
        <f t="shared" si="16"/>
        <v>0</v>
      </c>
      <c r="AM22" s="173">
        <f t="shared" si="54"/>
        <v>0</v>
      </c>
      <c r="AN22" s="173">
        <f t="shared" si="18"/>
        <v>0</v>
      </c>
      <c r="AO22" s="173">
        <f t="shared" si="19"/>
        <v>0</v>
      </c>
      <c r="AP22" s="173">
        <f t="shared" si="20"/>
        <v>0</v>
      </c>
      <c r="AQ22" s="173">
        <f t="shared" si="21"/>
        <v>0</v>
      </c>
      <c r="AR22" s="173">
        <f t="shared" si="22"/>
        <v>0</v>
      </c>
      <c r="AS22" s="186" t="s">
        <v>1341</v>
      </c>
      <c r="AT22" s="300">
        <f t="shared" si="57"/>
        <v>2.6785000000000001</v>
      </c>
      <c r="AU22" s="300">
        <f t="shared" si="57"/>
        <v>2.6785000000000001</v>
      </c>
      <c r="AV22" s="300">
        <f t="shared" si="57"/>
        <v>2.6785000000000001</v>
      </c>
      <c r="AW22" s="300">
        <f t="shared" si="57"/>
        <v>2.6785000000000001</v>
      </c>
      <c r="AX22" s="300">
        <f t="shared" si="57"/>
        <v>2.6785000000000001</v>
      </c>
      <c r="AY22" s="301">
        <f t="shared" si="55"/>
        <v>2.6785000000000001</v>
      </c>
      <c r="AZ22" s="301">
        <f t="shared" si="55"/>
        <v>2.6785000000000001</v>
      </c>
      <c r="BA22" s="301">
        <f t="shared" si="55"/>
        <v>2.6785000000000001</v>
      </c>
      <c r="BB22" s="301">
        <f t="shared" si="55"/>
        <v>2.6785000000000001</v>
      </c>
      <c r="BC22" s="301">
        <f t="shared" si="55"/>
        <v>2.6785000000000001</v>
      </c>
      <c r="BD22" s="187"/>
      <c r="BE22" s="187">
        <f t="shared" si="26"/>
        <v>286</v>
      </c>
      <c r="BF22" s="187">
        <f t="shared" si="27"/>
        <v>286</v>
      </c>
      <c r="BG22" s="187">
        <f t="shared" si="28"/>
        <v>286</v>
      </c>
      <c r="BH22" s="187">
        <f t="shared" si="29"/>
        <v>286</v>
      </c>
      <c r="BI22" s="187"/>
      <c r="BJ22" s="187">
        <f t="shared" si="48"/>
        <v>286</v>
      </c>
      <c r="BK22" s="187">
        <f t="shared" si="49"/>
        <v>286</v>
      </c>
      <c r="BL22" s="187">
        <f t="shared" si="33"/>
        <v>286</v>
      </c>
      <c r="BM22" s="187">
        <f t="shared" si="34"/>
        <v>286</v>
      </c>
      <c r="BN22" s="188"/>
      <c r="BO22" s="188">
        <f t="shared" si="50"/>
        <v>0</v>
      </c>
      <c r="BP22" s="188">
        <f t="shared" si="51"/>
        <v>0</v>
      </c>
      <c r="BQ22" s="188">
        <f t="shared" si="52"/>
        <v>0</v>
      </c>
      <c r="BR22" s="188">
        <f t="shared" si="53"/>
        <v>0</v>
      </c>
      <c r="BS22" s="188">
        <f t="shared" si="40"/>
        <v>0</v>
      </c>
      <c r="BT22" s="188">
        <f t="shared" si="41"/>
        <v>0</v>
      </c>
      <c r="BU22" s="188">
        <f t="shared" si="42"/>
        <v>0</v>
      </c>
      <c r="BV22" s="188">
        <f t="shared" si="43"/>
        <v>0</v>
      </c>
      <c r="BW22" s="188">
        <f t="shared" si="44"/>
        <v>0</v>
      </c>
      <c r="BX22" s="188">
        <f t="shared" si="45"/>
        <v>0</v>
      </c>
      <c r="BY22" s="188">
        <f t="shared" si="46"/>
        <v>0</v>
      </c>
      <c r="BZ22" s="305">
        <f>IF(COT_PRECALCULOS!$D$24="Precios Iva Incluído",BI22,BD22)</f>
        <v>0</v>
      </c>
      <c r="CA22" s="305">
        <f>IF(COT_PRECALCULOS!$D$24="Precios Iva Incluído",BJ22,BE22)</f>
        <v>286</v>
      </c>
      <c r="CB22" s="305">
        <f>IF(COT_PRECALCULOS!$D$24="Precios Iva Incluído",BK22,BF22)</f>
        <v>286</v>
      </c>
      <c r="CC22" s="305">
        <f>IF(COT_PRECALCULOS!$D$24="Precios Iva Incluído",BL22,BG22)</f>
        <v>286</v>
      </c>
      <c r="CD22" s="305">
        <f>IF(COT_PRECALCULOS!$D$24="Precios Iva Incluído",BM22,BH22)</f>
        <v>286</v>
      </c>
      <c r="CE22" s="305">
        <f>IF(COT_PRECALCULOS!$D$24="Precios Iva Incluído",BT22,BN22)</f>
        <v>0</v>
      </c>
      <c r="CF22" s="305">
        <f>IF(COT_PRECALCULOS!$D$24="Precios Iva Incluído",BU22,BO22)</f>
        <v>0</v>
      </c>
      <c r="CG22" s="305">
        <f>IF(COT_PRECALCULOS!$D$24="Precios Iva Incluído",BV22,BP22)</f>
        <v>0</v>
      </c>
      <c r="CH22" s="305">
        <f>IF(COT_PRECALCULOS!$D$24="Precios Iva Incluído",BW22,BQ22)</f>
        <v>0</v>
      </c>
      <c r="CI22" s="305">
        <f>IF(COT_PRECALCULOS!$D$24="Precios Iva Incluído",BX22,BR22)</f>
        <v>0</v>
      </c>
    </row>
    <row r="23" spans="1:87">
      <c r="A23" s="182" t="s">
        <v>101</v>
      </c>
      <c r="B23" s="182" t="s">
        <v>98</v>
      </c>
      <c r="C23" s="189" t="str">
        <f t="shared" si="0"/>
        <v>F_PE1</v>
      </c>
      <c r="D23" s="189" t="str">
        <f t="shared" si="1"/>
        <v>69_P_</v>
      </c>
      <c r="E23" s="190" t="s">
        <v>1</v>
      </c>
      <c r="F23" s="190" t="s">
        <v>1</v>
      </c>
      <c r="G23" s="189" t="s">
        <v>14</v>
      </c>
      <c r="H23" s="190"/>
      <c r="I23" s="190" t="s">
        <v>68</v>
      </c>
      <c r="J23" s="190">
        <v>69</v>
      </c>
      <c r="K23" s="190" t="s">
        <v>70</v>
      </c>
      <c r="L23" s="189" t="s">
        <v>9</v>
      </c>
      <c r="M23" s="211">
        <v>100</v>
      </c>
      <c r="N23" s="211">
        <v>100</v>
      </c>
      <c r="O23" s="211">
        <v>100</v>
      </c>
      <c r="P23" s="211">
        <v>100</v>
      </c>
      <c r="Q23" s="211">
        <v>100</v>
      </c>
      <c r="R23" s="190"/>
      <c r="S23" s="388">
        <v>3</v>
      </c>
      <c r="T23" s="388">
        <f>$S23</f>
        <v>3</v>
      </c>
      <c r="U23" s="388">
        <v>0</v>
      </c>
      <c r="V23" s="388">
        <v>0</v>
      </c>
      <c r="W23" s="388">
        <v>0</v>
      </c>
      <c r="X23" s="388">
        <v>0</v>
      </c>
      <c r="Y23" s="184">
        <f t="shared" si="5"/>
        <v>163328</v>
      </c>
      <c r="Z23" s="184">
        <v>0</v>
      </c>
      <c r="AA23" s="184">
        <v>0</v>
      </c>
      <c r="AB23" s="184">
        <v>0</v>
      </c>
      <c r="AC23" s="184">
        <v>0</v>
      </c>
      <c r="AD23" s="184">
        <f t="shared" si="10"/>
        <v>163328</v>
      </c>
      <c r="AE23" s="183">
        <f t="shared" si="56"/>
        <v>0</v>
      </c>
      <c r="AF23" s="385">
        <f t="shared" si="12"/>
        <v>0</v>
      </c>
      <c r="AG23" s="385">
        <f t="shared" si="12"/>
        <v>0</v>
      </c>
      <c r="AH23" s="385">
        <f t="shared" si="12"/>
        <v>0</v>
      </c>
      <c r="AI23" s="185">
        <f t="shared" si="13"/>
        <v>0</v>
      </c>
      <c r="AJ23" s="185">
        <f t="shared" si="14"/>
        <v>0</v>
      </c>
      <c r="AK23" s="185">
        <f t="shared" si="15"/>
        <v>0</v>
      </c>
      <c r="AL23" s="185">
        <f t="shared" si="16"/>
        <v>0</v>
      </c>
      <c r="AM23" s="173">
        <f t="shared" si="54"/>
        <v>489984</v>
      </c>
      <c r="AN23" s="173">
        <f t="shared" si="18"/>
        <v>0</v>
      </c>
      <c r="AO23" s="173">
        <f t="shared" si="19"/>
        <v>0</v>
      </c>
      <c r="AP23" s="173">
        <f t="shared" si="20"/>
        <v>0</v>
      </c>
      <c r="AQ23" s="173">
        <f t="shared" si="21"/>
        <v>0</v>
      </c>
      <c r="AR23" s="173">
        <f t="shared" si="22"/>
        <v>489984</v>
      </c>
      <c r="AS23" s="186" t="s">
        <v>1341</v>
      </c>
      <c r="AT23" s="300">
        <f t="shared" si="57"/>
        <v>2.8519999999999999</v>
      </c>
      <c r="AU23" s="300">
        <f t="shared" si="57"/>
        <v>2.8519999999999999</v>
      </c>
      <c r="AV23" s="300">
        <f t="shared" si="57"/>
        <v>2.8519999999999999</v>
      </c>
      <c r="AW23" s="300">
        <f t="shared" si="57"/>
        <v>2.8519999999999999</v>
      </c>
      <c r="AX23" s="300">
        <f t="shared" si="57"/>
        <v>2.8519999999999999</v>
      </c>
      <c r="AY23" s="301">
        <f t="shared" si="55"/>
        <v>2.8519999999999999</v>
      </c>
      <c r="AZ23" s="301">
        <f t="shared" si="55"/>
        <v>2.8519999999999999</v>
      </c>
      <c r="BA23" s="301">
        <f t="shared" si="55"/>
        <v>2.8519999999999999</v>
      </c>
      <c r="BB23" s="301">
        <f t="shared" si="55"/>
        <v>2.8519999999999999</v>
      </c>
      <c r="BC23" s="301">
        <f t="shared" si="55"/>
        <v>2.8519999999999999</v>
      </c>
      <c r="BD23" s="187">
        <f>ROUND(IF(OR(M23=0,AT23="DATO NO DISPONIBLE"),"",AT23*M23*($BD$7+1)),0)</f>
        <v>305</v>
      </c>
      <c r="BE23" s="187">
        <f t="shared" si="26"/>
        <v>305</v>
      </c>
      <c r="BF23" s="187">
        <f t="shared" si="27"/>
        <v>305</v>
      </c>
      <c r="BG23" s="187">
        <f t="shared" si="28"/>
        <v>305</v>
      </c>
      <c r="BH23" s="187">
        <f t="shared" si="29"/>
        <v>305</v>
      </c>
      <c r="BI23" s="187">
        <f>ROUND(IF(OR(M23=0,AY23="DATO NO DISPONIBLE"),0,AY23*M23*($BD$7+1)),0)</f>
        <v>305</v>
      </c>
      <c r="BJ23" s="187">
        <f t="shared" si="48"/>
        <v>305</v>
      </c>
      <c r="BK23" s="187">
        <f t="shared" si="49"/>
        <v>305</v>
      </c>
      <c r="BL23" s="187">
        <f t="shared" si="33"/>
        <v>305</v>
      </c>
      <c r="BM23" s="187">
        <f t="shared" si="34"/>
        <v>305</v>
      </c>
      <c r="BN23" s="188">
        <f>BD23*AM23</f>
        <v>149445120</v>
      </c>
      <c r="BO23" s="188">
        <f t="shared" si="50"/>
        <v>0</v>
      </c>
      <c r="BP23" s="188">
        <f t="shared" si="51"/>
        <v>0</v>
      </c>
      <c r="BQ23" s="188">
        <f t="shared" si="52"/>
        <v>0</v>
      </c>
      <c r="BR23" s="188">
        <f t="shared" si="53"/>
        <v>0</v>
      </c>
      <c r="BS23" s="188">
        <f t="shared" si="40"/>
        <v>149445120</v>
      </c>
      <c r="BT23" s="188">
        <f t="shared" si="41"/>
        <v>149445120</v>
      </c>
      <c r="BU23" s="188">
        <f t="shared" si="42"/>
        <v>0</v>
      </c>
      <c r="BV23" s="188">
        <f t="shared" si="43"/>
        <v>0</v>
      </c>
      <c r="BW23" s="188">
        <f t="shared" si="44"/>
        <v>0</v>
      </c>
      <c r="BX23" s="188">
        <f t="shared" si="45"/>
        <v>0</v>
      </c>
      <c r="BY23" s="188">
        <f t="shared" si="46"/>
        <v>149445120</v>
      </c>
      <c r="BZ23" s="305">
        <f>IF(COT_PRECALCULOS!$D$24="Precios Iva Incluído",BI23,BD23)</f>
        <v>305</v>
      </c>
      <c r="CA23" s="305">
        <f>IF(COT_PRECALCULOS!$D$24="Precios Iva Incluído",BJ23,BE23)</f>
        <v>305</v>
      </c>
      <c r="CB23" s="305">
        <f>IF(COT_PRECALCULOS!$D$24="Precios Iva Incluído",BK23,BF23)</f>
        <v>305</v>
      </c>
      <c r="CC23" s="305">
        <f>IF(COT_PRECALCULOS!$D$24="Precios Iva Incluído",BL23,BG23)</f>
        <v>305</v>
      </c>
      <c r="CD23" s="305">
        <f>IF(COT_PRECALCULOS!$D$24="Precios Iva Incluído",BM23,BH23)</f>
        <v>305</v>
      </c>
      <c r="CE23" s="305">
        <f>IF(COT_PRECALCULOS!$D$24="Precios Iva Incluído",BT23,BN23)</f>
        <v>149445120</v>
      </c>
      <c r="CF23" s="305">
        <f>IF(COT_PRECALCULOS!$D$24="Precios Iva Incluído",BU23,BO23)</f>
        <v>0</v>
      </c>
      <c r="CG23" s="305">
        <f>IF(COT_PRECALCULOS!$D$24="Precios Iva Incluído",BV23,BP23)</f>
        <v>0</v>
      </c>
      <c r="CH23" s="305">
        <f>IF(COT_PRECALCULOS!$D$24="Precios Iva Incluído",BW23,BQ23)</f>
        <v>0</v>
      </c>
      <c r="CI23" s="305">
        <f>IF(COT_PRECALCULOS!$D$24="Precios Iva Incluído",BX23,BR23)</f>
        <v>0</v>
      </c>
    </row>
    <row r="24" spans="1:87">
      <c r="A24" s="182" t="s">
        <v>101</v>
      </c>
      <c r="B24" s="182" t="s">
        <v>98</v>
      </c>
      <c r="C24" s="189" t="str">
        <f t="shared" si="0"/>
        <v>F_PE1</v>
      </c>
      <c r="D24" s="189" t="str">
        <f t="shared" si="1"/>
        <v>70_P_</v>
      </c>
      <c r="E24" s="190" t="s">
        <v>1</v>
      </c>
      <c r="F24" s="190" t="s">
        <v>1</v>
      </c>
      <c r="G24" s="189" t="s">
        <v>14</v>
      </c>
      <c r="H24" s="190"/>
      <c r="I24" s="190" t="s">
        <v>69</v>
      </c>
      <c r="J24" s="190">
        <v>70</v>
      </c>
      <c r="K24" s="190" t="s">
        <v>71</v>
      </c>
      <c r="L24" s="189" t="s">
        <v>9</v>
      </c>
      <c r="M24" s="191">
        <v>0</v>
      </c>
      <c r="N24" s="211">
        <v>100</v>
      </c>
      <c r="O24" s="211">
        <v>100</v>
      </c>
      <c r="P24" s="211">
        <v>100</v>
      </c>
      <c r="Q24" s="211">
        <v>100</v>
      </c>
      <c r="R24" s="190" t="s">
        <v>73</v>
      </c>
      <c r="S24" s="183">
        <f>COUNTIF(CAL_PRIMERA_ENTREGA_FRUTA,CONCATENATE(G24,"_",J24))</f>
        <v>0</v>
      </c>
      <c r="T24" s="386">
        <v>0</v>
      </c>
      <c r="U24" s="385">
        <f t="shared" ref="U24:X26" si="58">$S24</f>
        <v>0</v>
      </c>
      <c r="V24" s="385">
        <f t="shared" si="58"/>
        <v>0</v>
      </c>
      <c r="W24" s="385">
        <f t="shared" si="58"/>
        <v>0</v>
      </c>
      <c r="X24" s="385">
        <f t="shared" si="58"/>
        <v>0</v>
      </c>
      <c r="Y24" s="184">
        <f t="shared" si="5"/>
        <v>0</v>
      </c>
      <c r="Z24" s="184">
        <f>IF(N24&lt;&gt;0,VLOOKUP(A24,FRE_CANTIDADES_DIARIAS_SUMINISTROS,5,FALSE),0)</f>
        <v>217917</v>
      </c>
      <c r="AA24" s="184">
        <f>IF(O24&lt;&gt;0,VLOOKUP(A24,FRE_CANTIDADES_DIARIAS_SUMINISTROS,6,FALSE),0)</f>
        <v>233081</v>
      </c>
      <c r="AB24" s="184">
        <f>IF(P24&lt;&gt;0,VLOOKUP(A24,FRE_CANTIDADES_DIARIAS_SUMINISTROS,7,FALSE),0)</f>
        <v>7582</v>
      </c>
      <c r="AC24" s="184">
        <f>IF(Q24&lt;&gt;0,VLOOKUP(A24,FRE_CANTIDADES_DIARIAS_SUMINISTROS,8,FALSE),0)</f>
        <v>7530</v>
      </c>
      <c r="AD24" s="184">
        <f t="shared" si="10"/>
        <v>466110</v>
      </c>
      <c r="AE24" s="183">
        <f t="shared" si="56"/>
        <v>0</v>
      </c>
      <c r="AF24" s="385">
        <f t="shared" si="12"/>
        <v>0</v>
      </c>
      <c r="AG24" s="385">
        <f t="shared" si="12"/>
        <v>0</v>
      </c>
      <c r="AH24" s="385">
        <f t="shared" si="12"/>
        <v>0</v>
      </c>
      <c r="AI24" s="185">
        <f t="shared" si="13"/>
        <v>0</v>
      </c>
      <c r="AJ24" s="185">
        <f t="shared" si="14"/>
        <v>0</v>
      </c>
      <c r="AK24" s="185">
        <f t="shared" si="15"/>
        <v>0</v>
      </c>
      <c r="AL24" s="185">
        <f t="shared" si="16"/>
        <v>0</v>
      </c>
      <c r="AM24" s="173">
        <v>0</v>
      </c>
      <c r="AN24" s="173">
        <f t="shared" si="18"/>
        <v>0</v>
      </c>
      <c r="AO24" s="173">
        <f t="shared" si="19"/>
        <v>0</v>
      </c>
      <c r="AP24" s="173">
        <f t="shared" si="20"/>
        <v>0</v>
      </c>
      <c r="AQ24" s="173">
        <f t="shared" si="21"/>
        <v>0</v>
      </c>
      <c r="AR24" s="173">
        <f t="shared" si="22"/>
        <v>0</v>
      </c>
      <c r="AS24" s="186" t="s">
        <v>1341</v>
      </c>
      <c r="AT24" s="300">
        <f t="shared" si="57"/>
        <v>4.0575000000000001</v>
      </c>
      <c r="AU24" s="300">
        <f t="shared" si="57"/>
        <v>4.0575000000000001</v>
      </c>
      <c r="AV24" s="300">
        <f t="shared" si="57"/>
        <v>4.0575000000000001</v>
      </c>
      <c r="AW24" s="300">
        <f t="shared" si="57"/>
        <v>4.0575000000000001</v>
      </c>
      <c r="AX24" s="300">
        <f t="shared" si="57"/>
        <v>4.0575000000000001</v>
      </c>
      <c r="AY24" s="301">
        <f t="shared" si="55"/>
        <v>4.0575000000000001</v>
      </c>
      <c r="AZ24" s="301">
        <f t="shared" si="55"/>
        <v>4.0575000000000001</v>
      </c>
      <c r="BA24" s="301">
        <f t="shared" si="55"/>
        <v>4.0575000000000001</v>
      </c>
      <c r="BB24" s="301">
        <f t="shared" si="55"/>
        <v>4.0575000000000001</v>
      </c>
      <c r="BC24" s="301">
        <f t="shared" si="55"/>
        <v>4.0575000000000001</v>
      </c>
      <c r="BD24" s="187"/>
      <c r="BE24" s="187">
        <f t="shared" si="26"/>
        <v>434</v>
      </c>
      <c r="BF24" s="187">
        <f t="shared" si="27"/>
        <v>434</v>
      </c>
      <c r="BG24" s="187">
        <f t="shared" si="28"/>
        <v>434</v>
      </c>
      <c r="BH24" s="187">
        <f t="shared" si="29"/>
        <v>434</v>
      </c>
      <c r="BI24" s="187"/>
      <c r="BJ24" s="187">
        <f t="shared" si="48"/>
        <v>434</v>
      </c>
      <c r="BK24" s="187">
        <f t="shared" si="49"/>
        <v>434</v>
      </c>
      <c r="BL24" s="187">
        <f t="shared" si="33"/>
        <v>434</v>
      </c>
      <c r="BM24" s="187">
        <f t="shared" si="34"/>
        <v>434</v>
      </c>
      <c r="BN24" s="188"/>
      <c r="BO24" s="188">
        <f t="shared" si="50"/>
        <v>0</v>
      </c>
      <c r="BP24" s="188">
        <f t="shared" si="51"/>
        <v>0</v>
      </c>
      <c r="BQ24" s="188">
        <f t="shared" si="52"/>
        <v>0</v>
      </c>
      <c r="BR24" s="188">
        <f t="shared" si="53"/>
        <v>0</v>
      </c>
      <c r="BS24" s="188">
        <f t="shared" si="40"/>
        <v>0</v>
      </c>
      <c r="BT24" s="188">
        <f t="shared" si="41"/>
        <v>0</v>
      </c>
      <c r="BU24" s="188">
        <f t="shared" si="42"/>
        <v>0</v>
      </c>
      <c r="BV24" s="188">
        <f t="shared" si="43"/>
        <v>0</v>
      </c>
      <c r="BW24" s="188">
        <f t="shared" si="44"/>
        <v>0</v>
      </c>
      <c r="BX24" s="188">
        <f t="shared" si="45"/>
        <v>0</v>
      </c>
      <c r="BY24" s="188">
        <f t="shared" si="46"/>
        <v>0</v>
      </c>
      <c r="BZ24" s="305">
        <f>IF(COT_PRECALCULOS!$D$24="Precios Iva Incluído",BI24,BD24)</f>
        <v>0</v>
      </c>
      <c r="CA24" s="305">
        <f>IF(COT_PRECALCULOS!$D$24="Precios Iva Incluído",BJ24,BE24)</f>
        <v>434</v>
      </c>
      <c r="CB24" s="305">
        <f>IF(COT_PRECALCULOS!$D$24="Precios Iva Incluído",BK24,BF24)</f>
        <v>434</v>
      </c>
      <c r="CC24" s="305">
        <f>IF(COT_PRECALCULOS!$D$24="Precios Iva Incluído",BL24,BG24)</f>
        <v>434</v>
      </c>
      <c r="CD24" s="305">
        <f>IF(COT_PRECALCULOS!$D$24="Precios Iva Incluído",BM24,BH24)</f>
        <v>434</v>
      </c>
      <c r="CE24" s="305">
        <f>IF(COT_PRECALCULOS!$D$24="Precios Iva Incluído",BT24,BN24)</f>
        <v>0</v>
      </c>
      <c r="CF24" s="305">
        <f>IF(COT_PRECALCULOS!$D$24="Precios Iva Incluído",BU24,BO24)</f>
        <v>0</v>
      </c>
      <c r="CG24" s="305">
        <f>IF(COT_PRECALCULOS!$D$24="Precios Iva Incluído",BV24,BP24)</f>
        <v>0</v>
      </c>
      <c r="CH24" s="305">
        <f>IF(COT_PRECALCULOS!$D$24="Precios Iva Incluído",BW24,BQ24)</f>
        <v>0</v>
      </c>
      <c r="CI24" s="305">
        <f>IF(COT_PRECALCULOS!$D$24="Precios Iva Incluído",BX24,BR24)</f>
        <v>0</v>
      </c>
    </row>
    <row r="25" spans="1:87">
      <c r="A25" s="182" t="s">
        <v>101</v>
      </c>
      <c r="B25" s="182" t="s">
        <v>98</v>
      </c>
      <c r="C25" s="189" t="str">
        <f t="shared" si="0"/>
        <v>F_PE1</v>
      </c>
      <c r="D25" s="189" t="str">
        <f t="shared" si="1"/>
        <v>36_P_</v>
      </c>
      <c r="E25" s="190" t="s">
        <v>1</v>
      </c>
      <c r="F25" s="190" t="s">
        <v>1</v>
      </c>
      <c r="G25" s="189" t="s">
        <v>14</v>
      </c>
      <c r="H25" s="190"/>
      <c r="I25" s="190" t="s">
        <v>1340</v>
      </c>
      <c r="J25" s="190">
        <v>36</v>
      </c>
      <c r="K25" s="190" t="s">
        <v>1340</v>
      </c>
      <c r="L25" s="189" t="s">
        <v>9</v>
      </c>
      <c r="M25" s="211">
        <v>20</v>
      </c>
      <c r="N25" s="211">
        <v>40</v>
      </c>
      <c r="O25" s="211">
        <v>40</v>
      </c>
      <c r="P25" s="211">
        <v>40</v>
      </c>
      <c r="Q25" s="211">
        <v>40</v>
      </c>
      <c r="R25" s="190"/>
      <c r="S25" s="385">
        <f>COUNTIF(CAL_PRIMERA_ENTREGA_FRUTA,CONCATENATE(G25,"_",J25))</f>
        <v>0</v>
      </c>
      <c r="T25" s="385">
        <f>$S25</f>
        <v>0</v>
      </c>
      <c r="U25" s="385">
        <f t="shared" si="58"/>
        <v>0</v>
      </c>
      <c r="V25" s="385">
        <f t="shared" si="58"/>
        <v>0</v>
      </c>
      <c r="W25" s="385">
        <f t="shared" si="58"/>
        <v>0</v>
      </c>
      <c r="X25" s="385">
        <f t="shared" si="58"/>
        <v>0</v>
      </c>
      <c r="Y25" s="184">
        <f t="shared" si="5"/>
        <v>163328</v>
      </c>
      <c r="Z25" s="184">
        <f>IF(N25&lt;&gt;0,VLOOKUP(A25,FRE_CANTIDADES_DIARIAS_SUMINISTROS,5,FALSE),0)</f>
        <v>217917</v>
      </c>
      <c r="AA25" s="184">
        <f>IF(O25&lt;&gt;0,VLOOKUP(A25,FRE_CANTIDADES_DIARIAS_SUMINISTROS,6,FALSE),0)</f>
        <v>233081</v>
      </c>
      <c r="AB25" s="184">
        <f>IF(P25&lt;&gt;0,VLOOKUP(A25,FRE_CANTIDADES_DIARIAS_SUMINISTROS,7,FALSE),0)</f>
        <v>7582</v>
      </c>
      <c r="AC25" s="184">
        <f>IF(Q25&lt;&gt;0,VLOOKUP(A25,FRE_CANTIDADES_DIARIAS_SUMINISTROS,8,FALSE),0)</f>
        <v>7530</v>
      </c>
      <c r="AD25" s="184">
        <f t="shared" si="10"/>
        <v>629438</v>
      </c>
      <c r="AE25" s="183">
        <f t="shared" si="56"/>
        <v>0</v>
      </c>
      <c r="AF25" s="385">
        <f t="shared" si="12"/>
        <v>0</v>
      </c>
      <c r="AG25" s="385">
        <f t="shared" si="12"/>
        <v>0</v>
      </c>
      <c r="AH25" s="385">
        <f t="shared" si="12"/>
        <v>0</v>
      </c>
      <c r="AI25" s="185">
        <f t="shared" si="13"/>
        <v>0</v>
      </c>
      <c r="AJ25" s="185">
        <f t="shared" si="14"/>
        <v>0</v>
      </c>
      <c r="AK25" s="185">
        <f t="shared" si="15"/>
        <v>0</v>
      </c>
      <c r="AL25" s="185">
        <f t="shared" si="16"/>
        <v>0</v>
      </c>
      <c r="AM25" s="173">
        <f>($S25*Y25)+($AE25*AI25)</f>
        <v>0</v>
      </c>
      <c r="AN25" s="173">
        <f t="shared" si="18"/>
        <v>0</v>
      </c>
      <c r="AO25" s="173">
        <f t="shared" si="19"/>
        <v>0</v>
      </c>
      <c r="AP25" s="173">
        <f t="shared" si="20"/>
        <v>0</v>
      </c>
      <c r="AQ25" s="173">
        <f t="shared" si="21"/>
        <v>0</v>
      </c>
      <c r="AR25" s="173">
        <f t="shared" si="22"/>
        <v>0</v>
      </c>
      <c r="AS25" s="186" t="s">
        <v>1341</v>
      </c>
      <c r="AT25" s="300">
        <f t="shared" si="57"/>
        <v>5.9</v>
      </c>
      <c r="AU25" s="300">
        <f t="shared" si="57"/>
        <v>5.9</v>
      </c>
      <c r="AV25" s="300">
        <f t="shared" si="57"/>
        <v>5.9</v>
      </c>
      <c r="AW25" s="300">
        <f t="shared" si="57"/>
        <v>5.9</v>
      </c>
      <c r="AX25" s="300">
        <f t="shared" si="57"/>
        <v>5.9</v>
      </c>
      <c r="AY25" s="301">
        <f t="shared" si="55"/>
        <v>5.9</v>
      </c>
      <c r="AZ25" s="301">
        <f t="shared" si="55"/>
        <v>5.9</v>
      </c>
      <c r="BA25" s="301">
        <f t="shared" si="55"/>
        <v>5.9</v>
      </c>
      <c r="BB25" s="301">
        <f t="shared" si="55"/>
        <v>5.9</v>
      </c>
      <c r="BC25" s="301">
        <f t="shared" si="55"/>
        <v>5.9</v>
      </c>
      <c r="BD25" s="187">
        <f>ROUND(IF(OR(M25=0,AT25="DATO NO DISPONIBLE"),"",AT25*M25*($BD$7+1)),0)</f>
        <v>126</v>
      </c>
      <c r="BE25" s="187">
        <f t="shared" si="26"/>
        <v>252</v>
      </c>
      <c r="BF25" s="187">
        <f t="shared" si="27"/>
        <v>252</v>
      </c>
      <c r="BG25" s="187">
        <f t="shared" si="28"/>
        <v>252</v>
      </c>
      <c r="BH25" s="187">
        <f t="shared" si="29"/>
        <v>252</v>
      </c>
      <c r="BI25" s="187">
        <f>ROUND(IF(OR(M25=0,AY25="DATO NO DISPONIBLE"),0,AY25*M25*($BD$7+1)),0)</f>
        <v>126</v>
      </c>
      <c r="BJ25" s="187">
        <f t="shared" si="48"/>
        <v>252</v>
      </c>
      <c r="BK25" s="187">
        <f t="shared" si="49"/>
        <v>252</v>
      </c>
      <c r="BL25" s="187">
        <f t="shared" si="33"/>
        <v>252</v>
      </c>
      <c r="BM25" s="187">
        <f t="shared" si="34"/>
        <v>252</v>
      </c>
      <c r="BN25" s="188">
        <f>BD25*AM25</f>
        <v>0</v>
      </c>
      <c r="BO25" s="188">
        <f t="shared" si="50"/>
        <v>0</v>
      </c>
      <c r="BP25" s="188">
        <f t="shared" si="51"/>
        <v>0</v>
      </c>
      <c r="BQ25" s="188">
        <f t="shared" si="52"/>
        <v>0</v>
      </c>
      <c r="BR25" s="188">
        <f t="shared" si="53"/>
        <v>0</v>
      </c>
      <c r="BS25" s="188">
        <f t="shared" si="40"/>
        <v>0</v>
      </c>
      <c r="BT25" s="188">
        <f t="shared" si="41"/>
        <v>0</v>
      </c>
      <c r="BU25" s="188">
        <f t="shared" si="42"/>
        <v>0</v>
      </c>
      <c r="BV25" s="188">
        <f t="shared" si="43"/>
        <v>0</v>
      </c>
      <c r="BW25" s="188">
        <f t="shared" si="44"/>
        <v>0</v>
      </c>
      <c r="BX25" s="188">
        <f t="shared" si="45"/>
        <v>0</v>
      </c>
      <c r="BY25" s="188">
        <f t="shared" si="46"/>
        <v>0</v>
      </c>
      <c r="BZ25" s="305">
        <f>IF(COT_PRECALCULOS!$D$24="Precios Iva Incluído",BI25,BD25)</f>
        <v>126</v>
      </c>
      <c r="CA25" s="305">
        <f>IF(COT_PRECALCULOS!$D$24="Precios Iva Incluído",BJ25,BE25)</f>
        <v>252</v>
      </c>
      <c r="CB25" s="305">
        <f>IF(COT_PRECALCULOS!$D$24="Precios Iva Incluído",BK25,BF25)</f>
        <v>252</v>
      </c>
      <c r="CC25" s="305">
        <f>IF(COT_PRECALCULOS!$D$24="Precios Iva Incluído",BL25,BG25)</f>
        <v>252</v>
      </c>
      <c r="CD25" s="305">
        <f>IF(COT_PRECALCULOS!$D$24="Precios Iva Incluído",BM25,BH25)</f>
        <v>252</v>
      </c>
      <c r="CE25" s="305">
        <f>IF(COT_PRECALCULOS!$D$24="Precios Iva Incluído",BT25,BN25)</f>
        <v>0</v>
      </c>
      <c r="CF25" s="305">
        <f>IF(COT_PRECALCULOS!$D$24="Precios Iva Incluído",BU25,BO25)</f>
        <v>0</v>
      </c>
      <c r="CG25" s="305">
        <f>IF(COT_PRECALCULOS!$D$24="Precios Iva Incluído",BV25,BP25)</f>
        <v>0</v>
      </c>
      <c r="CH25" s="305">
        <f>IF(COT_PRECALCULOS!$D$24="Precios Iva Incluído",BW25,BQ25)</f>
        <v>0</v>
      </c>
      <c r="CI25" s="305">
        <f>IF(COT_PRECALCULOS!$D$24="Precios Iva Incluído",BX25,BR25)</f>
        <v>0</v>
      </c>
    </row>
    <row r="26" spans="1:87">
      <c r="A26" s="182" t="s">
        <v>101</v>
      </c>
      <c r="B26" s="182" t="s">
        <v>98</v>
      </c>
      <c r="C26" s="189" t="str">
        <f t="shared" si="0"/>
        <v>F_PE2</v>
      </c>
      <c r="D26" s="189" t="str">
        <f t="shared" si="1"/>
        <v>8_P_</v>
      </c>
      <c r="E26" s="190" t="s">
        <v>1</v>
      </c>
      <c r="F26" s="190" t="s">
        <v>1</v>
      </c>
      <c r="G26" s="189" t="s">
        <v>15</v>
      </c>
      <c r="H26" s="190" t="s">
        <v>2</v>
      </c>
      <c r="I26" s="190" t="s">
        <v>54</v>
      </c>
      <c r="J26" s="190">
        <v>8</v>
      </c>
      <c r="K26" s="190" t="s">
        <v>55</v>
      </c>
      <c r="L26" s="189" t="s">
        <v>9</v>
      </c>
      <c r="M26" s="211">
        <v>100</v>
      </c>
      <c r="N26" s="211">
        <v>100</v>
      </c>
      <c r="O26" s="211">
        <v>100</v>
      </c>
      <c r="P26" s="211">
        <v>100</v>
      </c>
      <c r="Q26" s="211">
        <v>100</v>
      </c>
      <c r="R26" s="190"/>
      <c r="S26" s="183">
        <f>COUNTIF(CAL_PRIMERA_ENTREGA_FRUTA,CONCATENATE(G26,"_",J26))</f>
        <v>1</v>
      </c>
      <c r="T26" s="385">
        <f>$S26</f>
        <v>1</v>
      </c>
      <c r="U26" s="385">
        <f t="shared" si="58"/>
        <v>1</v>
      </c>
      <c r="V26" s="385">
        <f t="shared" si="58"/>
        <v>1</v>
      </c>
      <c r="W26" s="385">
        <f t="shared" si="58"/>
        <v>1</v>
      </c>
      <c r="X26" s="385">
        <f t="shared" si="58"/>
        <v>1</v>
      </c>
      <c r="Y26" s="184">
        <f t="shared" si="5"/>
        <v>163328</v>
      </c>
      <c r="Z26" s="184">
        <f>IF(N26&lt;&gt;0,VLOOKUP(A26,FRE_CANTIDADES_DIARIAS_SUMINISTROS,5,FALSE),0)</f>
        <v>217917</v>
      </c>
      <c r="AA26" s="184">
        <f>IF(O26&lt;&gt;0,VLOOKUP(A26,FRE_CANTIDADES_DIARIAS_SUMINISTROS,6,FALSE),0)</f>
        <v>233081</v>
      </c>
      <c r="AB26" s="184">
        <f>IF(P26&lt;&gt;0,VLOOKUP(A26,FRE_CANTIDADES_DIARIAS_SUMINISTROS,7,FALSE),0)</f>
        <v>7582</v>
      </c>
      <c r="AC26" s="184">
        <f>IF(Q26&lt;&gt;0,VLOOKUP(A26,FRE_CANTIDADES_DIARIAS_SUMINISTROS,8,FALSE),0)</f>
        <v>7530</v>
      </c>
      <c r="AD26" s="184">
        <f t="shared" si="10"/>
        <v>629438</v>
      </c>
      <c r="AE26" s="183">
        <f t="shared" si="56"/>
        <v>0</v>
      </c>
      <c r="AF26" s="385">
        <f t="shared" si="12"/>
        <v>0</v>
      </c>
      <c r="AG26" s="385">
        <f t="shared" si="12"/>
        <v>0</v>
      </c>
      <c r="AH26" s="385">
        <f t="shared" si="12"/>
        <v>0</v>
      </c>
      <c r="AI26" s="185">
        <f t="shared" si="13"/>
        <v>0</v>
      </c>
      <c r="AJ26" s="185">
        <f t="shared" si="14"/>
        <v>0</v>
      </c>
      <c r="AK26" s="185">
        <f t="shared" si="15"/>
        <v>0</v>
      </c>
      <c r="AL26" s="185">
        <f t="shared" si="16"/>
        <v>0</v>
      </c>
      <c r="AM26" s="173">
        <f>($S26*Y26)+($AE26*AI26)</f>
        <v>163328</v>
      </c>
      <c r="AN26" s="173">
        <f t="shared" si="18"/>
        <v>217917</v>
      </c>
      <c r="AO26" s="173">
        <f t="shared" si="19"/>
        <v>233081</v>
      </c>
      <c r="AP26" s="173">
        <f t="shared" si="20"/>
        <v>7582</v>
      </c>
      <c r="AQ26" s="173">
        <f t="shared" si="21"/>
        <v>7530</v>
      </c>
      <c r="AR26" s="173">
        <f t="shared" si="22"/>
        <v>629438</v>
      </c>
      <c r="AS26" s="186" t="s">
        <v>1342</v>
      </c>
      <c r="AT26" s="300">
        <f t="shared" si="57"/>
        <v>1.25</v>
      </c>
      <c r="AU26" s="300">
        <f t="shared" si="57"/>
        <v>1.25</v>
      </c>
      <c r="AV26" s="300">
        <f t="shared" si="57"/>
        <v>1.25</v>
      </c>
      <c r="AW26" s="300">
        <f t="shared" si="57"/>
        <v>1.25</v>
      </c>
      <c r="AX26" s="300">
        <f t="shared" si="57"/>
        <v>1.25</v>
      </c>
      <c r="AY26" s="301">
        <f t="shared" si="55"/>
        <v>1.25</v>
      </c>
      <c r="AZ26" s="301">
        <f t="shared" si="55"/>
        <v>1.25</v>
      </c>
      <c r="BA26" s="301">
        <f t="shared" si="55"/>
        <v>1.25</v>
      </c>
      <c r="BB26" s="301">
        <f t="shared" si="55"/>
        <v>1.25</v>
      </c>
      <c r="BC26" s="301">
        <f t="shared" si="55"/>
        <v>1.25</v>
      </c>
      <c r="BD26" s="187">
        <f>ROUND(IF(OR(M26=0,AT26="DATO NO DISPONIBLE"),"",AT26*M26*($BD$7+1)),0)</f>
        <v>134</v>
      </c>
      <c r="BE26" s="187">
        <f t="shared" si="26"/>
        <v>134</v>
      </c>
      <c r="BF26" s="187">
        <f t="shared" si="27"/>
        <v>134</v>
      </c>
      <c r="BG26" s="187">
        <f t="shared" si="28"/>
        <v>134</v>
      </c>
      <c r="BH26" s="187">
        <f t="shared" si="29"/>
        <v>134</v>
      </c>
      <c r="BI26" s="187">
        <f>ROUND(IF(OR(M26=0,AY26="DATO NO DISPONIBLE"),0,AY26*M26*($BD$7+1)),0)</f>
        <v>134</v>
      </c>
      <c r="BJ26" s="187">
        <f t="shared" si="48"/>
        <v>134</v>
      </c>
      <c r="BK26" s="187">
        <f t="shared" si="49"/>
        <v>134</v>
      </c>
      <c r="BL26" s="187">
        <f t="shared" si="33"/>
        <v>134</v>
      </c>
      <c r="BM26" s="187">
        <f t="shared" si="34"/>
        <v>134</v>
      </c>
      <c r="BN26" s="188">
        <f>BD26*AM26</f>
        <v>21885952</v>
      </c>
      <c r="BO26" s="188">
        <f t="shared" si="50"/>
        <v>29200878</v>
      </c>
      <c r="BP26" s="188">
        <f t="shared" si="51"/>
        <v>31232854</v>
      </c>
      <c r="BQ26" s="188">
        <f t="shared" si="52"/>
        <v>1015988</v>
      </c>
      <c r="BR26" s="188">
        <f t="shared" si="53"/>
        <v>1009020</v>
      </c>
      <c r="BS26" s="188">
        <f t="shared" si="40"/>
        <v>84344692</v>
      </c>
      <c r="BT26" s="188">
        <f t="shared" si="41"/>
        <v>21885952</v>
      </c>
      <c r="BU26" s="188">
        <f t="shared" si="42"/>
        <v>29200878</v>
      </c>
      <c r="BV26" s="188">
        <f t="shared" si="43"/>
        <v>31232854</v>
      </c>
      <c r="BW26" s="188">
        <f t="shared" si="44"/>
        <v>1015988</v>
      </c>
      <c r="BX26" s="188">
        <f t="shared" si="45"/>
        <v>1009020</v>
      </c>
      <c r="BY26" s="188">
        <f t="shared" si="46"/>
        <v>84344692</v>
      </c>
      <c r="BZ26" s="305">
        <f>IF(COT_PRECALCULOS!$D$24="Precios Iva Incluído",BI26,BD26)</f>
        <v>134</v>
      </c>
      <c r="CA26" s="305">
        <f>IF(COT_PRECALCULOS!$D$24="Precios Iva Incluído",BJ26,BE26)</f>
        <v>134</v>
      </c>
      <c r="CB26" s="305">
        <f>IF(COT_PRECALCULOS!$D$24="Precios Iva Incluído",BK26,BF26)</f>
        <v>134</v>
      </c>
      <c r="CC26" s="305">
        <f>IF(COT_PRECALCULOS!$D$24="Precios Iva Incluído",BL26,BG26)</f>
        <v>134</v>
      </c>
      <c r="CD26" s="305">
        <f>IF(COT_PRECALCULOS!$D$24="Precios Iva Incluído",BM26,BH26)</f>
        <v>134</v>
      </c>
      <c r="CE26" s="305">
        <f>IF(COT_PRECALCULOS!$D$24="Precios Iva Incluído",BT26,BN26)</f>
        <v>21885952</v>
      </c>
      <c r="CF26" s="305">
        <f>IF(COT_PRECALCULOS!$D$24="Precios Iva Incluído",BU26,BO26)</f>
        <v>29200878</v>
      </c>
      <c r="CG26" s="305">
        <f>IF(COT_PRECALCULOS!$D$24="Precios Iva Incluído",BV26,BP26)</f>
        <v>31232854</v>
      </c>
      <c r="CH26" s="305">
        <f>IF(COT_PRECALCULOS!$D$24="Precios Iva Incluído",BW26,BQ26)</f>
        <v>1015988</v>
      </c>
      <c r="CI26" s="305">
        <f>IF(COT_PRECALCULOS!$D$24="Precios Iva Incluído",BX26,BR26)</f>
        <v>1009020</v>
      </c>
    </row>
    <row r="27" spans="1:87">
      <c r="A27" s="182" t="s">
        <v>101</v>
      </c>
      <c r="B27" s="182" t="s">
        <v>98</v>
      </c>
      <c r="C27" s="189" t="str">
        <f t="shared" si="0"/>
        <v>F_PE2</v>
      </c>
      <c r="D27" s="189" t="str">
        <f t="shared" si="1"/>
        <v>7_P_</v>
      </c>
      <c r="E27" s="190" t="s">
        <v>1</v>
      </c>
      <c r="F27" s="190" t="s">
        <v>1</v>
      </c>
      <c r="G27" s="189" t="s">
        <v>15</v>
      </c>
      <c r="H27" s="190"/>
      <c r="I27" s="190" t="s">
        <v>56</v>
      </c>
      <c r="J27" s="190">
        <v>7</v>
      </c>
      <c r="K27" s="190" t="s">
        <v>57</v>
      </c>
      <c r="L27" s="189" t="s">
        <v>9</v>
      </c>
      <c r="M27" s="211">
        <v>100</v>
      </c>
      <c r="N27" s="211">
        <v>100</v>
      </c>
      <c r="O27" s="211">
        <v>100</v>
      </c>
      <c r="P27" s="211">
        <v>100</v>
      </c>
      <c r="Q27" s="211">
        <v>100</v>
      </c>
      <c r="R27" s="190"/>
      <c r="S27" s="388">
        <v>2</v>
      </c>
      <c r="T27" s="388">
        <f>$S27</f>
        <v>2</v>
      </c>
      <c r="U27" s="388">
        <v>0</v>
      </c>
      <c r="V27" s="388">
        <v>0</v>
      </c>
      <c r="W27" s="388">
        <v>0</v>
      </c>
      <c r="X27" s="388">
        <v>0</v>
      </c>
      <c r="Y27" s="184">
        <f t="shared" si="5"/>
        <v>163328</v>
      </c>
      <c r="Z27" s="184">
        <v>0</v>
      </c>
      <c r="AA27" s="184">
        <v>0</v>
      </c>
      <c r="AB27" s="184">
        <v>0</v>
      </c>
      <c r="AC27" s="184">
        <v>0</v>
      </c>
      <c r="AD27" s="184">
        <f t="shared" si="10"/>
        <v>163328</v>
      </c>
      <c r="AE27" s="183">
        <f t="shared" si="56"/>
        <v>0</v>
      </c>
      <c r="AF27" s="385">
        <f t="shared" si="12"/>
        <v>0</v>
      </c>
      <c r="AG27" s="385">
        <f t="shared" si="12"/>
        <v>0</v>
      </c>
      <c r="AH27" s="385">
        <f t="shared" si="12"/>
        <v>0</v>
      </c>
      <c r="AI27" s="185">
        <f t="shared" si="13"/>
        <v>0</v>
      </c>
      <c r="AJ27" s="185">
        <f t="shared" si="14"/>
        <v>0</v>
      </c>
      <c r="AK27" s="185">
        <f t="shared" si="15"/>
        <v>0</v>
      </c>
      <c r="AL27" s="185">
        <f t="shared" si="16"/>
        <v>0</v>
      </c>
      <c r="AM27" s="173">
        <f>($S27*Y27)+($AE27*AI27)</f>
        <v>326656</v>
      </c>
      <c r="AN27" s="173">
        <f t="shared" si="18"/>
        <v>0</v>
      </c>
      <c r="AO27" s="173">
        <f t="shared" si="19"/>
        <v>0</v>
      </c>
      <c r="AP27" s="173">
        <f t="shared" si="20"/>
        <v>0</v>
      </c>
      <c r="AQ27" s="173">
        <f t="shared" si="21"/>
        <v>0</v>
      </c>
      <c r="AR27" s="173">
        <f t="shared" si="22"/>
        <v>326656</v>
      </c>
      <c r="AS27" s="186" t="s">
        <v>1342</v>
      </c>
      <c r="AT27" s="300">
        <f t="shared" si="57"/>
        <v>1</v>
      </c>
      <c r="AU27" s="300">
        <f t="shared" si="57"/>
        <v>1</v>
      </c>
      <c r="AV27" s="300">
        <f t="shared" si="57"/>
        <v>1</v>
      </c>
      <c r="AW27" s="300">
        <f t="shared" si="57"/>
        <v>1</v>
      </c>
      <c r="AX27" s="300">
        <f t="shared" si="57"/>
        <v>1</v>
      </c>
      <c r="AY27" s="301">
        <f t="shared" si="55"/>
        <v>1</v>
      </c>
      <c r="AZ27" s="301">
        <f t="shared" si="55"/>
        <v>1</v>
      </c>
      <c r="BA27" s="301">
        <f t="shared" si="55"/>
        <v>1</v>
      </c>
      <c r="BB27" s="301">
        <f t="shared" si="55"/>
        <v>1</v>
      </c>
      <c r="BC27" s="301">
        <f t="shared" si="55"/>
        <v>1</v>
      </c>
      <c r="BD27" s="187">
        <f>ROUND(IF(OR(M27=0,AT27="DATO NO DISPONIBLE"),"",AT27*M27*($BD$7+1)),0)</f>
        <v>107</v>
      </c>
      <c r="BE27" s="187">
        <f t="shared" si="26"/>
        <v>107</v>
      </c>
      <c r="BF27" s="187">
        <f t="shared" si="27"/>
        <v>107</v>
      </c>
      <c r="BG27" s="187">
        <f t="shared" si="28"/>
        <v>107</v>
      </c>
      <c r="BH27" s="187">
        <f t="shared" si="29"/>
        <v>107</v>
      </c>
      <c r="BI27" s="187">
        <f>ROUND(IF(OR(M27=0,AY27="DATO NO DISPONIBLE"),0,AY27*M27*($BD$7+1)),0)</f>
        <v>107</v>
      </c>
      <c r="BJ27" s="187">
        <f t="shared" si="48"/>
        <v>107</v>
      </c>
      <c r="BK27" s="187">
        <f t="shared" si="49"/>
        <v>107</v>
      </c>
      <c r="BL27" s="187">
        <f t="shared" si="33"/>
        <v>107</v>
      </c>
      <c r="BM27" s="187">
        <f t="shared" si="34"/>
        <v>107</v>
      </c>
      <c r="BN27" s="188">
        <f>BD27*AM27</f>
        <v>34952192</v>
      </c>
      <c r="BO27" s="188">
        <f t="shared" si="50"/>
        <v>0</v>
      </c>
      <c r="BP27" s="188">
        <f t="shared" si="51"/>
        <v>0</v>
      </c>
      <c r="BQ27" s="188">
        <f t="shared" si="52"/>
        <v>0</v>
      </c>
      <c r="BR27" s="188">
        <f t="shared" si="53"/>
        <v>0</v>
      </c>
      <c r="BS27" s="188">
        <f t="shared" si="40"/>
        <v>34952192</v>
      </c>
      <c r="BT27" s="188">
        <f t="shared" si="41"/>
        <v>34952192</v>
      </c>
      <c r="BU27" s="188">
        <f t="shared" si="42"/>
        <v>0</v>
      </c>
      <c r="BV27" s="188">
        <f t="shared" si="43"/>
        <v>0</v>
      </c>
      <c r="BW27" s="188">
        <f t="shared" si="44"/>
        <v>0</v>
      </c>
      <c r="BX27" s="188">
        <f t="shared" si="45"/>
        <v>0</v>
      </c>
      <c r="BY27" s="188">
        <f t="shared" si="46"/>
        <v>34952192</v>
      </c>
      <c r="BZ27" s="305">
        <f>IF(COT_PRECALCULOS!$D$24="Precios Iva Incluído",BI27,BD27)</f>
        <v>107</v>
      </c>
      <c r="CA27" s="305">
        <f>IF(COT_PRECALCULOS!$D$24="Precios Iva Incluído",BJ27,BE27)</f>
        <v>107</v>
      </c>
      <c r="CB27" s="305">
        <f>IF(COT_PRECALCULOS!$D$24="Precios Iva Incluído",BK27,BF27)</f>
        <v>107</v>
      </c>
      <c r="CC27" s="305">
        <f>IF(COT_PRECALCULOS!$D$24="Precios Iva Incluído",BL27,BG27)</f>
        <v>107</v>
      </c>
      <c r="CD27" s="305">
        <f>IF(COT_PRECALCULOS!$D$24="Precios Iva Incluído",BM27,BH27)</f>
        <v>107</v>
      </c>
      <c r="CE27" s="305">
        <f>IF(COT_PRECALCULOS!$D$24="Precios Iva Incluído",BT27,BN27)</f>
        <v>34952192</v>
      </c>
      <c r="CF27" s="305">
        <f>IF(COT_PRECALCULOS!$D$24="Precios Iva Incluído",BU27,BO27)</f>
        <v>0</v>
      </c>
      <c r="CG27" s="305">
        <f>IF(COT_PRECALCULOS!$D$24="Precios Iva Incluído",BV27,BP27)</f>
        <v>0</v>
      </c>
      <c r="CH27" s="305">
        <f>IF(COT_PRECALCULOS!$D$24="Precios Iva Incluído",BW27,BQ27)</f>
        <v>0</v>
      </c>
      <c r="CI27" s="305">
        <f>IF(COT_PRECALCULOS!$D$24="Precios Iva Incluído",BX27,BR27)</f>
        <v>0</v>
      </c>
    </row>
    <row r="28" spans="1:87">
      <c r="A28" s="182" t="s">
        <v>101</v>
      </c>
      <c r="B28" s="182" t="s">
        <v>98</v>
      </c>
      <c r="C28" s="189" t="str">
        <f t="shared" si="0"/>
        <v>F_PE2</v>
      </c>
      <c r="D28" s="189" t="str">
        <f t="shared" si="1"/>
        <v>17_P_</v>
      </c>
      <c r="E28" s="190" t="s">
        <v>1</v>
      </c>
      <c r="F28" s="190" t="s">
        <v>1</v>
      </c>
      <c r="G28" s="189" t="s">
        <v>15</v>
      </c>
      <c r="H28" s="190"/>
      <c r="I28" s="190" t="s">
        <v>52</v>
      </c>
      <c r="J28" s="190">
        <v>17</v>
      </c>
      <c r="K28" s="190" t="s">
        <v>53</v>
      </c>
      <c r="L28" s="189" t="s">
        <v>9</v>
      </c>
      <c r="M28" s="386">
        <v>0</v>
      </c>
      <c r="N28" s="211">
        <v>100</v>
      </c>
      <c r="O28" s="211">
        <v>100</v>
      </c>
      <c r="P28" s="211">
        <v>100</v>
      </c>
      <c r="Q28" s="211">
        <v>100</v>
      </c>
      <c r="R28" s="190" t="s">
        <v>73</v>
      </c>
      <c r="S28" s="183">
        <f>COUNTIF(CAL_PRIMERA_ENTREGA_FRUTA,CONCATENATE(G28,"_",J28))</f>
        <v>2</v>
      </c>
      <c r="T28" s="386">
        <v>0</v>
      </c>
      <c r="U28" s="385">
        <f t="shared" ref="U28:X32" si="59">$S28</f>
        <v>2</v>
      </c>
      <c r="V28" s="385">
        <f t="shared" si="59"/>
        <v>2</v>
      </c>
      <c r="W28" s="385">
        <f t="shared" si="59"/>
        <v>2</v>
      </c>
      <c r="X28" s="385">
        <f t="shared" si="59"/>
        <v>2</v>
      </c>
      <c r="Y28" s="184">
        <f t="shared" si="5"/>
        <v>0</v>
      </c>
      <c r="Z28" s="184">
        <f>IF(N28&lt;&gt;0,VLOOKUP(A28,FRE_CANTIDADES_DIARIAS_SUMINISTROS,5,FALSE),0)</f>
        <v>217917</v>
      </c>
      <c r="AA28" s="184">
        <f>IF(O28&lt;&gt;0,VLOOKUP(A28,FRE_CANTIDADES_DIARIAS_SUMINISTROS,6,FALSE),0)</f>
        <v>233081</v>
      </c>
      <c r="AB28" s="184">
        <f>IF(P28&lt;&gt;0,VLOOKUP(A28,FRE_CANTIDADES_DIARIAS_SUMINISTROS,7,FALSE),0)</f>
        <v>7582</v>
      </c>
      <c r="AC28" s="184">
        <f>IF(Q28&lt;&gt;0,VLOOKUP(A28,FRE_CANTIDADES_DIARIAS_SUMINISTROS,8,FALSE),0)</f>
        <v>7530</v>
      </c>
      <c r="AD28" s="184">
        <f t="shared" si="10"/>
        <v>466110</v>
      </c>
      <c r="AE28" s="183">
        <f t="shared" si="56"/>
        <v>0</v>
      </c>
      <c r="AF28" s="385">
        <f t="shared" ref="AF28:AH47" si="60">$AE28</f>
        <v>0</v>
      </c>
      <c r="AG28" s="385">
        <f t="shared" si="60"/>
        <v>0</v>
      </c>
      <c r="AH28" s="385">
        <f t="shared" si="60"/>
        <v>0</v>
      </c>
      <c r="AI28" s="185">
        <f t="shared" si="13"/>
        <v>0</v>
      </c>
      <c r="AJ28" s="185">
        <f t="shared" si="14"/>
        <v>0</v>
      </c>
      <c r="AK28" s="185">
        <f t="shared" si="15"/>
        <v>0</v>
      </c>
      <c r="AL28" s="185">
        <f t="shared" si="16"/>
        <v>0</v>
      </c>
      <c r="AM28" s="173">
        <v>0</v>
      </c>
      <c r="AN28" s="173">
        <f t="shared" ref="AN28:AN91" si="61">($S28*Z28)+($AE28*AJ28)</f>
        <v>435834</v>
      </c>
      <c r="AO28" s="173">
        <f t="shared" ref="AO28:AO91" si="62">($S28*AA28)+($AE28*AK28)</f>
        <v>466162</v>
      </c>
      <c r="AP28" s="173">
        <f t="shared" si="20"/>
        <v>15164</v>
      </c>
      <c r="AQ28" s="173">
        <f t="shared" si="21"/>
        <v>15060</v>
      </c>
      <c r="AR28" s="173">
        <f t="shared" si="22"/>
        <v>932220</v>
      </c>
      <c r="AS28" s="186" t="s">
        <v>1342</v>
      </c>
      <c r="AT28" s="300">
        <f t="shared" si="57"/>
        <v>2.11</v>
      </c>
      <c r="AU28" s="300">
        <f t="shared" si="57"/>
        <v>2.11</v>
      </c>
      <c r="AV28" s="300">
        <f t="shared" si="57"/>
        <v>2.11</v>
      </c>
      <c r="AW28" s="300">
        <f t="shared" si="57"/>
        <v>2.11</v>
      </c>
      <c r="AX28" s="300">
        <f t="shared" si="57"/>
        <v>2.11</v>
      </c>
      <c r="AY28" s="301">
        <f t="shared" ref="AY28:BC37" si="63">IF(ISERROR(MATCH(CONCATENATE($J28,"_",AY$1),COT_PRE_CODIGO_ALIMENTOS,0)),IF(ISERROR(MATCH(CONCATENATE($J28,"_",AY$2),COT_PRE_CODIGO_ALIMENTOS,0)),IF(ISERROR(MATCH(CONCATENATE($J28,"_",AY$3),COT_PRE_CODIGO_ALIMENTOS,0)),IF(ISERROR(MATCH(CONCATENATE($J28,"_",AY$4),COT_PRE_CODIGO_ALIMENTOS,0)),IF(ISERROR(MATCH(CONCATENATE($J28,"_",AY$5),COT_PRE_CODIGO_ALIMENTOS,0)),IF(ISERROR(MATCH(CONCATENATE($J28,"_",AY$6),COT_PRE_CODIGO_ALIMENTOS,0)),IF(ISERROR(MATCH(CONCATENATE($J28,"_",AY$7),COT_PRE_CODIGO_ALIMENTOS,0)),IF(ISERROR(VLOOKUP($J28,COT_PRE_ALIMENTOS,AY$8,FALSE)),"DATO NO DISPONIBLE",VLOOKUP($J28,COT_PRE_ALIMENTOS,AY$8,FALSE)),VLOOKUP(CONCATENATE($J28,"_",AY$7),COT_PRE_ALIMENTOS,AY$8,FALSE)),VLOOKUP(CONCATENATE($J28,"_",AY$6),COT_PRE_ALIMENTOS,AY$8,FALSE)),VLOOKUP(CONCATENATE($J28,"_",AY$5),COT_PRE_ALIMENTOS,AY$8,FALSE)),VLOOKUP(CONCATENATE($J28,"_",AY$4),COT_PRE_ALIMENTOS,AY$8,FALSE)),VLOOKUP(CONCATENATE($J28,"_",AY$3),COT_PRE_ALIMENTOS,AY$8,FALSE)),VLOOKUP(CONCATENATE($J28,"_",AY$2),COT_PRE_ALIMENTOS,AY$8,FALSE)),VLOOKUP(CONCATENATE($J28,"_",AY$1),COT_PRE_ALIMENTOS,AY$8,FALSE))</f>
        <v>2.11</v>
      </c>
      <c r="AZ28" s="301">
        <f t="shared" si="63"/>
        <v>2.11</v>
      </c>
      <c r="BA28" s="301">
        <f t="shared" si="63"/>
        <v>2.11</v>
      </c>
      <c r="BB28" s="301">
        <f t="shared" si="63"/>
        <v>2.11</v>
      </c>
      <c r="BC28" s="301">
        <f t="shared" si="63"/>
        <v>2.11</v>
      </c>
      <c r="BD28" s="187"/>
      <c r="BE28" s="187">
        <f t="shared" si="26"/>
        <v>226</v>
      </c>
      <c r="BF28" s="187">
        <f t="shared" si="27"/>
        <v>226</v>
      </c>
      <c r="BG28" s="187">
        <f t="shared" si="28"/>
        <v>226</v>
      </c>
      <c r="BH28" s="187">
        <f t="shared" si="29"/>
        <v>226</v>
      </c>
      <c r="BI28" s="187"/>
      <c r="BJ28" s="187">
        <f t="shared" si="48"/>
        <v>226</v>
      </c>
      <c r="BK28" s="187">
        <f t="shared" si="49"/>
        <v>226</v>
      </c>
      <c r="BL28" s="187">
        <f t="shared" si="33"/>
        <v>226</v>
      </c>
      <c r="BM28" s="187">
        <f t="shared" si="34"/>
        <v>226</v>
      </c>
      <c r="BN28" s="188"/>
      <c r="BO28" s="188">
        <f t="shared" si="50"/>
        <v>98498484</v>
      </c>
      <c r="BP28" s="188">
        <f t="shared" si="51"/>
        <v>105352612</v>
      </c>
      <c r="BQ28" s="188">
        <f t="shared" si="52"/>
        <v>3427064</v>
      </c>
      <c r="BR28" s="188">
        <f t="shared" si="53"/>
        <v>3403560</v>
      </c>
      <c r="BS28" s="188">
        <f t="shared" si="40"/>
        <v>210681720</v>
      </c>
      <c r="BT28" s="188">
        <f t="shared" si="41"/>
        <v>0</v>
      </c>
      <c r="BU28" s="188">
        <f t="shared" si="42"/>
        <v>98498484</v>
      </c>
      <c r="BV28" s="188">
        <f t="shared" si="43"/>
        <v>105352612</v>
      </c>
      <c r="BW28" s="188">
        <f t="shared" si="44"/>
        <v>3427064</v>
      </c>
      <c r="BX28" s="188">
        <f t="shared" si="45"/>
        <v>3403560</v>
      </c>
      <c r="BY28" s="188">
        <f t="shared" si="46"/>
        <v>210681720</v>
      </c>
      <c r="BZ28" s="305">
        <f>IF(COT_PRECALCULOS!$D$24="Precios Iva Incluído",BI28,BD28)</f>
        <v>0</v>
      </c>
      <c r="CA28" s="305">
        <f>IF(COT_PRECALCULOS!$D$24="Precios Iva Incluído",BJ28,BE28)</f>
        <v>226</v>
      </c>
      <c r="CB28" s="305">
        <f>IF(COT_PRECALCULOS!$D$24="Precios Iva Incluído",BK28,BF28)</f>
        <v>226</v>
      </c>
      <c r="CC28" s="305">
        <f>IF(COT_PRECALCULOS!$D$24="Precios Iva Incluído",BL28,BG28)</f>
        <v>226</v>
      </c>
      <c r="CD28" s="305">
        <f>IF(COT_PRECALCULOS!$D$24="Precios Iva Incluído",BM28,BH28)</f>
        <v>226</v>
      </c>
      <c r="CE28" s="305">
        <f>IF(COT_PRECALCULOS!$D$24="Precios Iva Incluído",BT28,BN28)</f>
        <v>0</v>
      </c>
      <c r="CF28" s="305">
        <f>IF(COT_PRECALCULOS!$D$24="Precios Iva Incluído",BU28,BO28)</f>
        <v>98498484</v>
      </c>
      <c r="CG28" s="305">
        <f>IF(COT_PRECALCULOS!$D$24="Precios Iva Incluído",BV28,BP28)</f>
        <v>105352612</v>
      </c>
      <c r="CH28" s="305">
        <f>IF(COT_PRECALCULOS!$D$24="Precios Iva Incluído",BW28,BQ28)</f>
        <v>3427064</v>
      </c>
      <c r="CI28" s="305">
        <f>IF(COT_PRECALCULOS!$D$24="Precios Iva Incluído",BX28,BR28)</f>
        <v>3403560</v>
      </c>
    </row>
    <row r="29" spans="1:87">
      <c r="A29" s="182" t="s">
        <v>101</v>
      </c>
      <c r="B29" s="182" t="s">
        <v>98</v>
      </c>
      <c r="C29" s="189" t="str">
        <f t="shared" si="0"/>
        <v>F_PE2</v>
      </c>
      <c r="D29" s="189" t="str">
        <f t="shared" si="1"/>
        <v>22_P_</v>
      </c>
      <c r="E29" s="190" t="s">
        <v>1</v>
      </c>
      <c r="F29" s="190" t="s">
        <v>1</v>
      </c>
      <c r="G29" s="189" t="s">
        <v>15</v>
      </c>
      <c r="H29" s="190"/>
      <c r="I29" s="190" t="s">
        <v>50</v>
      </c>
      <c r="J29" s="190">
        <v>22</v>
      </c>
      <c r="K29" s="190" t="s">
        <v>51</v>
      </c>
      <c r="L29" s="189" t="s">
        <v>9</v>
      </c>
      <c r="M29" s="386">
        <v>0</v>
      </c>
      <c r="N29" s="211">
        <v>100</v>
      </c>
      <c r="O29" s="211">
        <v>100</v>
      </c>
      <c r="P29" s="211">
        <v>100</v>
      </c>
      <c r="Q29" s="211">
        <v>100</v>
      </c>
      <c r="R29" s="190" t="s">
        <v>73</v>
      </c>
      <c r="S29" s="385">
        <f>COUNTIF(CAL_PRIMERA_ENTREGA_FRUTA,CONCATENATE(G29,"_",J29))</f>
        <v>0</v>
      </c>
      <c r="T29" s="386">
        <v>0</v>
      </c>
      <c r="U29" s="385">
        <f t="shared" si="59"/>
        <v>0</v>
      </c>
      <c r="V29" s="385">
        <f t="shared" si="59"/>
        <v>0</v>
      </c>
      <c r="W29" s="385">
        <f t="shared" si="59"/>
        <v>0</v>
      </c>
      <c r="X29" s="385">
        <f t="shared" si="59"/>
        <v>0</v>
      </c>
      <c r="Y29" s="184">
        <f t="shared" si="5"/>
        <v>0</v>
      </c>
      <c r="Z29" s="184">
        <f>IF(N29&lt;&gt;0,VLOOKUP(A29,FRE_CANTIDADES_DIARIAS_SUMINISTROS,5,FALSE),0)</f>
        <v>217917</v>
      </c>
      <c r="AA29" s="184">
        <f>IF(O29&lt;&gt;0,VLOOKUP(A29,FRE_CANTIDADES_DIARIAS_SUMINISTROS,6,FALSE),0)</f>
        <v>233081</v>
      </c>
      <c r="AB29" s="184">
        <f>IF(P29&lt;&gt;0,VLOOKUP(A29,FRE_CANTIDADES_DIARIAS_SUMINISTROS,7,FALSE),0)</f>
        <v>7582</v>
      </c>
      <c r="AC29" s="184">
        <f>IF(Q29&lt;&gt;0,VLOOKUP(A29,FRE_CANTIDADES_DIARIAS_SUMINISTROS,8,FALSE),0)</f>
        <v>7530</v>
      </c>
      <c r="AD29" s="184">
        <f t="shared" si="10"/>
        <v>466110</v>
      </c>
      <c r="AE29" s="183">
        <f t="shared" si="56"/>
        <v>0</v>
      </c>
      <c r="AF29" s="385">
        <f t="shared" si="60"/>
        <v>0</v>
      </c>
      <c r="AG29" s="385">
        <f t="shared" si="60"/>
        <v>0</v>
      </c>
      <c r="AH29" s="385">
        <f t="shared" si="60"/>
        <v>0</v>
      </c>
      <c r="AI29" s="185">
        <f t="shared" si="13"/>
        <v>0</v>
      </c>
      <c r="AJ29" s="185">
        <f t="shared" si="14"/>
        <v>0</v>
      </c>
      <c r="AK29" s="185">
        <f t="shared" si="15"/>
        <v>0</v>
      </c>
      <c r="AL29" s="185">
        <f t="shared" si="16"/>
        <v>0</v>
      </c>
      <c r="AM29" s="173">
        <v>0</v>
      </c>
      <c r="AN29" s="173">
        <f t="shared" si="61"/>
        <v>0</v>
      </c>
      <c r="AO29" s="173">
        <f t="shared" si="62"/>
        <v>0</v>
      </c>
      <c r="AP29" s="173">
        <f t="shared" si="20"/>
        <v>0</v>
      </c>
      <c r="AQ29" s="173">
        <f t="shared" si="21"/>
        <v>0</v>
      </c>
      <c r="AR29" s="173">
        <f t="shared" si="22"/>
        <v>0</v>
      </c>
      <c r="AS29" s="186" t="s">
        <v>1342</v>
      </c>
      <c r="AT29" s="300">
        <f t="shared" si="57"/>
        <v>4.9124999999999996</v>
      </c>
      <c r="AU29" s="300">
        <f t="shared" si="57"/>
        <v>4.9124999999999996</v>
      </c>
      <c r="AV29" s="300">
        <f t="shared" si="57"/>
        <v>4.9124999999999996</v>
      </c>
      <c r="AW29" s="300">
        <f t="shared" si="57"/>
        <v>4.9124999999999996</v>
      </c>
      <c r="AX29" s="300">
        <f t="shared" si="57"/>
        <v>4.9124999999999996</v>
      </c>
      <c r="AY29" s="301">
        <f t="shared" si="63"/>
        <v>4.9124999999999996</v>
      </c>
      <c r="AZ29" s="301">
        <f t="shared" si="63"/>
        <v>4.9124999999999996</v>
      </c>
      <c r="BA29" s="301">
        <f t="shared" si="63"/>
        <v>4.9124999999999996</v>
      </c>
      <c r="BB29" s="301">
        <f t="shared" si="63"/>
        <v>4.9124999999999996</v>
      </c>
      <c r="BC29" s="301">
        <f t="shared" si="63"/>
        <v>4.9124999999999996</v>
      </c>
      <c r="BD29" s="187"/>
      <c r="BE29" s="187">
        <f t="shared" ref="BE29:BE92" si="64">ROUND(IF(OR(N29=0,AU29="DATO NO DISPONIBLE"),0,AU29*N29*($BD$7+1)),0)</f>
        <v>525</v>
      </c>
      <c r="BF29" s="187">
        <f t="shared" ref="BF29:BF92" si="65">ROUND(IF(OR(O29=0,AV29="DATO NO DISPONIBLE"),0,AV29*O29*($BD$7+1)),0)</f>
        <v>525</v>
      </c>
      <c r="BG29" s="187">
        <f t="shared" si="28"/>
        <v>525</v>
      </c>
      <c r="BH29" s="187">
        <f t="shared" si="29"/>
        <v>525</v>
      </c>
      <c r="BI29" s="187"/>
      <c r="BJ29" s="187">
        <f t="shared" si="48"/>
        <v>525</v>
      </c>
      <c r="BK29" s="187">
        <f t="shared" si="49"/>
        <v>525</v>
      </c>
      <c r="BL29" s="187">
        <f t="shared" si="33"/>
        <v>525</v>
      </c>
      <c r="BM29" s="187">
        <f t="shared" si="34"/>
        <v>525</v>
      </c>
      <c r="BN29" s="188"/>
      <c r="BO29" s="188">
        <f t="shared" si="50"/>
        <v>0</v>
      </c>
      <c r="BP29" s="188">
        <f t="shared" si="51"/>
        <v>0</v>
      </c>
      <c r="BQ29" s="188">
        <f t="shared" si="52"/>
        <v>0</v>
      </c>
      <c r="BR29" s="188">
        <f t="shared" si="53"/>
        <v>0</v>
      </c>
      <c r="BS29" s="188">
        <f t="shared" si="40"/>
        <v>0</v>
      </c>
      <c r="BT29" s="188">
        <f t="shared" si="41"/>
        <v>0</v>
      </c>
      <c r="BU29" s="188">
        <f t="shared" si="42"/>
        <v>0</v>
      </c>
      <c r="BV29" s="188">
        <f t="shared" si="43"/>
        <v>0</v>
      </c>
      <c r="BW29" s="188">
        <f t="shared" si="44"/>
        <v>0</v>
      </c>
      <c r="BX29" s="188">
        <f t="shared" si="45"/>
        <v>0</v>
      </c>
      <c r="BY29" s="188">
        <f t="shared" si="46"/>
        <v>0</v>
      </c>
      <c r="BZ29" s="305">
        <f>IF(COT_PRECALCULOS!$D$24="Precios Iva Incluído",BI29,BD29)</f>
        <v>0</v>
      </c>
      <c r="CA29" s="305">
        <f>IF(COT_PRECALCULOS!$D$24="Precios Iva Incluído",BJ29,BE29)</f>
        <v>525</v>
      </c>
      <c r="CB29" s="305">
        <f>IF(COT_PRECALCULOS!$D$24="Precios Iva Incluído",BK29,BF29)</f>
        <v>525</v>
      </c>
      <c r="CC29" s="305">
        <f>IF(COT_PRECALCULOS!$D$24="Precios Iva Incluído",BL29,BG29)</f>
        <v>525</v>
      </c>
      <c r="CD29" s="305">
        <f>IF(COT_PRECALCULOS!$D$24="Precios Iva Incluído",BM29,BH29)</f>
        <v>525</v>
      </c>
      <c r="CE29" s="305">
        <f>IF(COT_PRECALCULOS!$D$24="Precios Iva Incluído",BT29,BN29)</f>
        <v>0</v>
      </c>
      <c r="CF29" s="305">
        <f>IF(COT_PRECALCULOS!$D$24="Precios Iva Incluído",BU29,BO29)</f>
        <v>0</v>
      </c>
      <c r="CG29" s="305">
        <f>IF(COT_PRECALCULOS!$D$24="Precios Iva Incluído",BV29,BP29)</f>
        <v>0</v>
      </c>
      <c r="CH29" s="305">
        <f>IF(COT_PRECALCULOS!$D$24="Precios Iva Incluído",BW29,BQ29)</f>
        <v>0</v>
      </c>
      <c r="CI29" s="305">
        <f>IF(COT_PRECALCULOS!$D$24="Precios Iva Incluído",BX29,BR29)</f>
        <v>0</v>
      </c>
    </row>
    <row r="30" spans="1:87">
      <c r="A30" s="182" t="s">
        <v>101</v>
      </c>
      <c r="B30" s="182" t="s">
        <v>98</v>
      </c>
      <c r="C30" s="189" t="str">
        <f t="shared" si="0"/>
        <v>F_PE2</v>
      </c>
      <c r="D30" s="189" t="str">
        <f t="shared" si="1"/>
        <v>33_P_</v>
      </c>
      <c r="E30" s="190" t="s">
        <v>1</v>
      </c>
      <c r="F30" s="190" t="s">
        <v>1</v>
      </c>
      <c r="G30" s="189" t="s">
        <v>15</v>
      </c>
      <c r="H30" s="190"/>
      <c r="I30" s="190" t="s">
        <v>58</v>
      </c>
      <c r="J30" s="190">
        <v>33</v>
      </c>
      <c r="K30" s="190" t="s">
        <v>59</v>
      </c>
      <c r="L30" s="189" t="s">
        <v>48</v>
      </c>
      <c r="M30" s="310">
        <v>90</v>
      </c>
      <c r="N30" s="310">
        <v>90</v>
      </c>
      <c r="O30" s="310">
        <v>90</v>
      </c>
      <c r="P30" s="310">
        <v>90</v>
      </c>
      <c r="Q30" s="310">
        <v>90</v>
      </c>
      <c r="R30" s="211"/>
      <c r="S30" s="183">
        <f>COUNTIF(CAL_PRIMERA_ENTREGA_FRUTA,CONCATENATE(G30,"_",J30))</f>
        <v>1</v>
      </c>
      <c r="T30" s="385">
        <f>$S30</f>
        <v>1</v>
      </c>
      <c r="U30" s="385">
        <f t="shared" si="59"/>
        <v>1</v>
      </c>
      <c r="V30" s="385">
        <f t="shared" si="59"/>
        <v>1</v>
      </c>
      <c r="W30" s="385">
        <f t="shared" si="59"/>
        <v>1</v>
      </c>
      <c r="X30" s="385">
        <f t="shared" si="59"/>
        <v>1</v>
      </c>
      <c r="Y30" s="184">
        <f t="shared" si="5"/>
        <v>163328</v>
      </c>
      <c r="Z30" s="184">
        <f>IF(N30&lt;&gt;0,VLOOKUP(A30,FRE_CANTIDADES_DIARIAS_SUMINISTROS,5,FALSE),0)</f>
        <v>217917</v>
      </c>
      <c r="AA30" s="184">
        <f>IF(O30&lt;&gt;0,VLOOKUP(A30,FRE_CANTIDADES_DIARIAS_SUMINISTROS,6,FALSE),0)</f>
        <v>233081</v>
      </c>
      <c r="AB30" s="184">
        <f>IF(P30&lt;&gt;0,VLOOKUP(A30,FRE_CANTIDADES_DIARIAS_SUMINISTROS,7,FALSE),0)</f>
        <v>7582</v>
      </c>
      <c r="AC30" s="184">
        <f>IF(Q30&lt;&gt;0,VLOOKUP(A30,FRE_CANTIDADES_DIARIAS_SUMINISTROS,8,FALSE),0)</f>
        <v>7530</v>
      </c>
      <c r="AD30" s="184">
        <f t="shared" si="10"/>
        <v>629438</v>
      </c>
      <c r="AE30" s="183">
        <f t="shared" si="56"/>
        <v>0</v>
      </c>
      <c r="AF30" s="385">
        <f t="shared" si="60"/>
        <v>0</v>
      </c>
      <c r="AG30" s="385">
        <f t="shared" si="60"/>
        <v>0</v>
      </c>
      <c r="AH30" s="385">
        <f t="shared" si="60"/>
        <v>0</v>
      </c>
      <c r="AI30" s="185">
        <f t="shared" si="13"/>
        <v>0</v>
      </c>
      <c r="AJ30" s="185">
        <f t="shared" si="14"/>
        <v>0</v>
      </c>
      <c r="AK30" s="185">
        <f t="shared" si="15"/>
        <v>0</v>
      </c>
      <c r="AL30" s="185">
        <f t="shared" si="16"/>
        <v>0</v>
      </c>
      <c r="AM30" s="173">
        <f t="shared" ref="AM30:AM36" si="66">($S30*Y30)+($AE30*AI30)</f>
        <v>163328</v>
      </c>
      <c r="AN30" s="173">
        <f t="shared" si="61"/>
        <v>217917</v>
      </c>
      <c r="AO30" s="173">
        <f t="shared" si="62"/>
        <v>233081</v>
      </c>
      <c r="AP30" s="173">
        <f t="shared" si="20"/>
        <v>7582</v>
      </c>
      <c r="AQ30" s="173">
        <f t="shared" si="21"/>
        <v>7530</v>
      </c>
      <c r="AR30" s="173">
        <f t="shared" si="22"/>
        <v>629438</v>
      </c>
      <c r="AS30" s="186" t="s">
        <v>1342</v>
      </c>
      <c r="AT30" s="300">
        <f t="shared" si="57"/>
        <v>2.8014999999999999</v>
      </c>
      <c r="AU30" s="300">
        <f t="shared" si="57"/>
        <v>2.8014999999999999</v>
      </c>
      <c r="AV30" s="300">
        <f t="shared" si="57"/>
        <v>2.8014999999999999</v>
      </c>
      <c r="AW30" s="300">
        <f t="shared" si="57"/>
        <v>2.8014999999999999</v>
      </c>
      <c r="AX30" s="300">
        <f t="shared" si="57"/>
        <v>2.8014999999999999</v>
      </c>
      <c r="AY30" s="301">
        <f t="shared" si="63"/>
        <v>2.8014999999999999</v>
      </c>
      <c r="AZ30" s="301">
        <f t="shared" si="63"/>
        <v>2.8014999999999999</v>
      </c>
      <c r="BA30" s="301">
        <f t="shared" si="63"/>
        <v>2.8014999999999999</v>
      </c>
      <c r="BB30" s="301">
        <f t="shared" si="63"/>
        <v>2.8014999999999999</v>
      </c>
      <c r="BC30" s="301">
        <f t="shared" si="63"/>
        <v>2.8014999999999999</v>
      </c>
      <c r="BD30" s="187">
        <f>ROUND(IF(OR(M30=0,AT30="DATO NO DISPONIBLE"),"",AT30*M30*($BD$7+1)),0)</f>
        <v>270</v>
      </c>
      <c r="BE30" s="187">
        <f t="shared" si="64"/>
        <v>270</v>
      </c>
      <c r="BF30" s="187">
        <f t="shared" si="65"/>
        <v>270</v>
      </c>
      <c r="BG30" s="187">
        <f t="shared" si="28"/>
        <v>270</v>
      </c>
      <c r="BH30" s="187">
        <f t="shared" si="29"/>
        <v>270</v>
      </c>
      <c r="BI30" s="187">
        <f>ROUND(IF(OR(M30=0,AY30="DATO NO DISPONIBLE"),0,AY30*M30*($BD$7+1)),0)</f>
        <v>270</v>
      </c>
      <c r="BJ30" s="187">
        <f t="shared" si="48"/>
        <v>270</v>
      </c>
      <c r="BK30" s="187">
        <f t="shared" si="49"/>
        <v>270</v>
      </c>
      <c r="BL30" s="187">
        <f t="shared" si="33"/>
        <v>270</v>
      </c>
      <c r="BM30" s="187">
        <f t="shared" si="34"/>
        <v>270</v>
      </c>
      <c r="BN30" s="188">
        <f>BD30*AM30</f>
        <v>44098560</v>
      </c>
      <c r="BO30" s="188">
        <f t="shared" si="50"/>
        <v>58837590</v>
      </c>
      <c r="BP30" s="188">
        <f t="shared" si="51"/>
        <v>62931870</v>
      </c>
      <c r="BQ30" s="188">
        <f t="shared" si="52"/>
        <v>2047140</v>
      </c>
      <c r="BR30" s="188">
        <f t="shared" si="53"/>
        <v>2033100</v>
      </c>
      <c r="BS30" s="188">
        <f t="shared" si="40"/>
        <v>169948260</v>
      </c>
      <c r="BT30" s="188">
        <f t="shared" si="41"/>
        <v>44098560</v>
      </c>
      <c r="BU30" s="188">
        <f t="shared" si="42"/>
        <v>58837590</v>
      </c>
      <c r="BV30" s="188">
        <f t="shared" si="43"/>
        <v>62931870</v>
      </c>
      <c r="BW30" s="188">
        <f t="shared" si="44"/>
        <v>2047140</v>
      </c>
      <c r="BX30" s="188">
        <f t="shared" si="45"/>
        <v>2033100</v>
      </c>
      <c r="BY30" s="188">
        <f t="shared" si="46"/>
        <v>169948260</v>
      </c>
      <c r="BZ30" s="305">
        <f>IF(COT_PRECALCULOS!$D$24="Precios Iva Incluído",BI30,BD30)</f>
        <v>270</v>
      </c>
      <c r="CA30" s="305">
        <f>IF(COT_PRECALCULOS!$D$24="Precios Iva Incluído",BJ30,BE30)</f>
        <v>270</v>
      </c>
      <c r="CB30" s="305">
        <f>IF(COT_PRECALCULOS!$D$24="Precios Iva Incluído",BK30,BF30)</f>
        <v>270</v>
      </c>
      <c r="CC30" s="305">
        <f>IF(COT_PRECALCULOS!$D$24="Precios Iva Incluído",BL30,BG30)</f>
        <v>270</v>
      </c>
      <c r="CD30" s="305">
        <f>IF(COT_PRECALCULOS!$D$24="Precios Iva Incluído",BM30,BH30)</f>
        <v>270</v>
      </c>
      <c r="CE30" s="305">
        <f>IF(COT_PRECALCULOS!$D$24="Precios Iva Incluído",BT30,BN30)</f>
        <v>44098560</v>
      </c>
      <c r="CF30" s="305">
        <f>IF(COT_PRECALCULOS!$D$24="Precios Iva Incluído",BU30,BO30)</f>
        <v>58837590</v>
      </c>
      <c r="CG30" s="305">
        <f>IF(COT_PRECALCULOS!$D$24="Precios Iva Incluído",BV30,BP30)</f>
        <v>62931870</v>
      </c>
      <c r="CH30" s="305">
        <f>IF(COT_PRECALCULOS!$D$24="Precios Iva Incluído",BW30,BQ30)</f>
        <v>2047140</v>
      </c>
      <c r="CI30" s="305">
        <f>IF(COT_PRECALCULOS!$D$24="Precios Iva Incluído",BX30,BR30)</f>
        <v>2033100</v>
      </c>
    </row>
    <row r="31" spans="1:87">
      <c r="A31" s="182" t="s">
        <v>101</v>
      </c>
      <c r="B31" s="182" t="s">
        <v>98</v>
      </c>
      <c r="C31" s="189" t="str">
        <f t="shared" si="0"/>
        <v>F_PE2</v>
      </c>
      <c r="D31" s="189" t="str">
        <f t="shared" si="1"/>
        <v>42_P_</v>
      </c>
      <c r="E31" s="190" t="s">
        <v>1</v>
      </c>
      <c r="F31" s="190" t="s">
        <v>1</v>
      </c>
      <c r="G31" s="189" t="s">
        <v>15</v>
      </c>
      <c r="H31" s="190"/>
      <c r="I31" s="190" t="s">
        <v>49</v>
      </c>
      <c r="J31" s="190">
        <v>42</v>
      </c>
      <c r="K31" s="190" t="s">
        <v>61</v>
      </c>
      <c r="L31" s="189" t="s">
        <v>9</v>
      </c>
      <c r="M31" s="211">
        <v>100</v>
      </c>
      <c r="N31" s="211">
        <v>100</v>
      </c>
      <c r="O31" s="211">
        <v>100</v>
      </c>
      <c r="P31" s="211">
        <v>100</v>
      </c>
      <c r="Q31" s="211">
        <v>100</v>
      </c>
      <c r="R31" s="190"/>
      <c r="S31" s="183">
        <f>COUNTIF(CAL_PRIMERA_ENTREGA_FRUTA,CONCATENATE(G31,"_",J31))</f>
        <v>1</v>
      </c>
      <c r="T31" s="385">
        <f>$S31</f>
        <v>1</v>
      </c>
      <c r="U31" s="385">
        <f t="shared" si="59"/>
        <v>1</v>
      </c>
      <c r="V31" s="385">
        <f t="shared" si="59"/>
        <v>1</v>
      </c>
      <c r="W31" s="385">
        <f t="shared" si="59"/>
        <v>1</v>
      </c>
      <c r="X31" s="385">
        <f t="shared" si="59"/>
        <v>1</v>
      </c>
      <c r="Y31" s="184">
        <f t="shared" si="5"/>
        <v>163328</v>
      </c>
      <c r="Z31" s="184">
        <f>IF(N31&lt;&gt;0,VLOOKUP(A31,FRE_CANTIDADES_DIARIAS_SUMINISTROS,5,FALSE),0)</f>
        <v>217917</v>
      </c>
      <c r="AA31" s="184">
        <f>IF(O31&lt;&gt;0,VLOOKUP(A31,FRE_CANTIDADES_DIARIAS_SUMINISTROS,6,FALSE),0)</f>
        <v>233081</v>
      </c>
      <c r="AB31" s="184">
        <f>IF(P31&lt;&gt;0,VLOOKUP(A31,FRE_CANTIDADES_DIARIAS_SUMINISTROS,7,FALSE),0)</f>
        <v>7582</v>
      </c>
      <c r="AC31" s="184">
        <f>IF(Q31&lt;&gt;0,VLOOKUP(A31,FRE_CANTIDADES_DIARIAS_SUMINISTROS,8,FALSE),0)</f>
        <v>7530</v>
      </c>
      <c r="AD31" s="184">
        <f t="shared" si="10"/>
        <v>629438</v>
      </c>
      <c r="AE31" s="183">
        <f t="shared" si="56"/>
        <v>0</v>
      </c>
      <c r="AF31" s="385">
        <f t="shared" si="60"/>
        <v>0</v>
      </c>
      <c r="AG31" s="385">
        <f t="shared" si="60"/>
        <v>0</v>
      </c>
      <c r="AH31" s="385">
        <f t="shared" si="60"/>
        <v>0</v>
      </c>
      <c r="AI31" s="185">
        <f t="shared" si="13"/>
        <v>0</v>
      </c>
      <c r="AJ31" s="185">
        <f t="shared" si="14"/>
        <v>0</v>
      </c>
      <c r="AK31" s="185">
        <f t="shared" si="15"/>
        <v>0</v>
      </c>
      <c r="AL31" s="185">
        <f t="shared" si="16"/>
        <v>0</v>
      </c>
      <c r="AM31" s="173">
        <f t="shared" si="66"/>
        <v>163328</v>
      </c>
      <c r="AN31" s="173">
        <f t="shared" si="61"/>
        <v>217917</v>
      </c>
      <c r="AO31" s="173">
        <f t="shared" si="62"/>
        <v>233081</v>
      </c>
      <c r="AP31" s="173">
        <f t="shared" si="20"/>
        <v>7582</v>
      </c>
      <c r="AQ31" s="173">
        <f t="shared" si="21"/>
        <v>7530</v>
      </c>
      <c r="AR31" s="173">
        <f t="shared" si="22"/>
        <v>629438</v>
      </c>
      <c r="AS31" s="186" t="s">
        <v>1342</v>
      </c>
      <c r="AT31" s="300">
        <f t="shared" ref="AT31:AX40" si="67">IF(ISERROR(IF(ISERROR(MATCH(CONCATENATE($J31,"_",AT$1),COT_PRE_CODIGO_ALIMENTOS,0)),IF(ISERROR(MATCH(CONCATENATE($J31,"_",AT$2),COT_PRE_CODIGO_ALIMENTOS,0)),IF(ISERROR(MATCH(CONCATENATE($J31,"_",AT$3),COT_PRE_CODIGO_ALIMENTOS,0)),IF(ISERROR(MATCH(CONCATENATE($J31,"_",AT$4),COT_PRE_CODIGO_ALIMENTOS,0)),IF(ISERROR(MATCH(CONCATENATE($J31,"_",AT$5),COT_PRE_CODIGO_ALIMENTOS,0)),IF(ISERROR(MATCH(CONCATENATE($J31,"_",AT$6),COT_PRE_CODIGO_ALIMENTOS,0)),IF(ISERROR(MATCH(CONCATENATE($J31,"_",AT$7),COT_PRE_CODIGO_ALIMENTOS,0)),IF(ISERROR(VLOOKUP($J31,COT_PRE_ALIMENTOS,AT$8,FALSE)),"DATO NO DISPONIBLE",VLOOKUP($J31,COT_PRE_ALIMENTOS,AT$8,FALSE)),VLOOKUP(CONCATENATE($J31,"_",AT$7),COT_PRE_ALIMENTOS,AT$8,FALSE)),VLOOKUP(CONCATENATE($J31,"_",AT$6),COT_PRE_ALIMENTOS,AT$8,FALSE)),VLOOKUP(CONCATENATE($J31,"_",AT$5),COT_PRE_ALIMENTOS,AT$8,FALSE)),VLOOKUP(CONCATENATE($J31,"_",AT$4),COT_PRE_ALIMENTOS,AT$8,FALSE)),VLOOKUP(CONCATENATE($J31,"_",AT$3),COT_PRE_ALIMENTOS,AT$8,FALSE)),VLOOKUP(CONCATENATE($J31,"_",AT$2),COT_PRE_ALIMENTOS,AT$8,FALSE)),VLOOKUP(CONCATENATE($J31,"_",AT$1),COT_PRE_ALIMENTOS,AT$8,FALSE))),"DATO NO DISPONIBLE",IF(ISERROR(MATCH(CONCATENATE($J31,"_",AT$1),COT_PRE_CODIGO_ALIMENTOS,0)),IF(ISERROR(MATCH(CONCATENATE($J31,"_",AT$2),COT_PRE_CODIGO_ALIMENTOS,0)),IF(ISERROR(MATCH(CONCATENATE($J31,"_",AT$3),COT_PRE_CODIGO_ALIMENTOS,0)),IF(ISERROR(MATCH(CONCATENATE($J31,"_",AT$4),COT_PRE_CODIGO_ALIMENTOS,0)),IF(ISERROR(MATCH(CONCATENATE($J31,"_",AT$5),COT_PRE_CODIGO_ALIMENTOS,0)),IF(ISERROR(MATCH(CONCATENATE($J31,"_",AT$6),COT_PRE_CODIGO_ALIMENTOS,0)),IF(ISERROR(MATCH(CONCATENATE($J31,"_",AT$7),COT_PRE_CODIGO_ALIMENTOS,0)),IF(ISERROR(VLOOKUP($J31,COT_PRE_ALIMENTOS,AT$8,FALSE)),"DATO NO DISPONIBLE",VLOOKUP($J31,COT_PRE_ALIMENTOS,AT$8,FALSE)),VLOOKUP(CONCATENATE($J31,"_",AT$7),COT_PRE_ALIMENTOS,AT$8,FALSE)),VLOOKUP(CONCATENATE($J31,"_",AT$6),COT_PRE_ALIMENTOS,AT$8,FALSE)),VLOOKUP(CONCATENATE($J31,"_",AT$5),COT_PRE_ALIMENTOS,AT$8,FALSE)),VLOOKUP(CONCATENATE($J31,"_",AT$4),COT_PRE_ALIMENTOS,AT$8,FALSE)),VLOOKUP(CONCATENATE($J31,"_",AT$3),COT_PRE_ALIMENTOS,AT$8,FALSE)),VLOOKUP(CONCATENATE($J31,"_",AT$2),COT_PRE_ALIMENTOS,AT$8,FALSE)),VLOOKUP(CONCATENATE($J31,"_",AT$1),COT_PRE_ALIMENTOS,AT$8,FALSE)))</f>
        <v>1.8169999999999999</v>
      </c>
      <c r="AU31" s="300">
        <f t="shared" si="67"/>
        <v>1.8169999999999999</v>
      </c>
      <c r="AV31" s="300">
        <f t="shared" si="67"/>
        <v>1.8169999999999999</v>
      </c>
      <c r="AW31" s="300">
        <f t="shared" si="67"/>
        <v>1.8169999999999999</v>
      </c>
      <c r="AX31" s="300">
        <f t="shared" si="67"/>
        <v>1.8169999999999999</v>
      </c>
      <c r="AY31" s="301">
        <f t="shared" si="63"/>
        <v>1.8169999999999999</v>
      </c>
      <c r="AZ31" s="301">
        <f t="shared" si="63"/>
        <v>1.8169999999999999</v>
      </c>
      <c r="BA31" s="301">
        <f t="shared" si="63"/>
        <v>1.8169999999999999</v>
      </c>
      <c r="BB31" s="301">
        <f t="shared" si="63"/>
        <v>1.8169999999999999</v>
      </c>
      <c r="BC31" s="301">
        <f t="shared" si="63"/>
        <v>1.8169999999999999</v>
      </c>
      <c r="BD31" s="187">
        <f>ROUND(IF(OR(M31=0,AT31="DATO NO DISPONIBLE"),"",AT31*M31*($BD$7+1)),0)</f>
        <v>194</v>
      </c>
      <c r="BE31" s="187">
        <f t="shared" si="64"/>
        <v>194</v>
      </c>
      <c r="BF31" s="187">
        <f t="shared" si="65"/>
        <v>194</v>
      </c>
      <c r="BG31" s="187">
        <f t="shared" si="28"/>
        <v>194</v>
      </c>
      <c r="BH31" s="187">
        <f t="shared" si="29"/>
        <v>194</v>
      </c>
      <c r="BI31" s="187">
        <f>ROUND(IF(OR(M31=0,AY31="DATO NO DISPONIBLE"),0,AY31*M31*($BD$7+1)),0)</f>
        <v>194</v>
      </c>
      <c r="BJ31" s="187">
        <f t="shared" si="48"/>
        <v>194</v>
      </c>
      <c r="BK31" s="187">
        <f t="shared" si="49"/>
        <v>194</v>
      </c>
      <c r="BL31" s="187">
        <f t="shared" si="33"/>
        <v>194</v>
      </c>
      <c r="BM31" s="187">
        <f t="shared" si="34"/>
        <v>194</v>
      </c>
      <c r="BN31" s="188">
        <f>BD31*AM31</f>
        <v>31685632</v>
      </c>
      <c r="BO31" s="188">
        <f t="shared" si="50"/>
        <v>42275898</v>
      </c>
      <c r="BP31" s="188">
        <f t="shared" si="51"/>
        <v>45217714</v>
      </c>
      <c r="BQ31" s="188">
        <f t="shared" si="52"/>
        <v>1470908</v>
      </c>
      <c r="BR31" s="188">
        <f t="shared" si="53"/>
        <v>1460820</v>
      </c>
      <c r="BS31" s="188">
        <f t="shared" si="40"/>
        <v>122110972</v>
      </c>
      <c r="BT31" s="188">
        <f t="shared" si="41"/>
        <v>31685632</v>
      </c>
      <c r="BU31" s="188">
        <f t="shared" si="42"/>
        <v>42275898</v>
      </c>
      <c r="BV31" s="188">
        <f t="shared" si="43"/>
        <v>45217714</v>
      </c>
      <c r="BW31" s="188">
        <f t="shared" si="44"/>
        <v>1470908</v>
      </c>
      <c r="BX31" s="188">
        <f t="shared" si="45"/>
        <v>1460820</v>
      </c>
      <c r="BY31" s="188">
        <f t="shared" si="46"/>
        <v>122110972</v>
      </c>
      <c r="BZ31" s="305">
        <f>IF(COT_PRECALCULOS!$D$24="Precios Iva Incluído",BI31,BD31)</f>
        <v>194</v>
      </c>
      <c r="CA31" s="305">
        <f>IF(COT_PRECALCULOS!$D$24="Precios Iva Incluído",BJ31,BE31)</f>
        <v>194</v>
      </c>
      <c r="CB31" s="305">
        <f>IF(COT_PRECALCULOS!$D$24="Precios Iva Incluído",BK31,BF31)</f>
        <v>194</v>
      </c>
      <c r="CC31" s="305">
        <f>IF(COT_PRECALCULOS!$D$24="Precios Iva Incluído",BL31,BG31)</f>
        <v>194</v>
      </c>
      <c r="CD31" s="305">
        <f>IF(COT_PRECALCULOS!$D$24="Precios Iva Incluído",BM31,BH31)</f>
        <v>194</v>
      </c>
      <c r="CE31" s="305">
        <f>IF(COT_PRECALCULOS!$D$24="Precios Iva Incluído",BT31,BN31)</f>
        <v>31685632</v>
      </c>
      <c r="CF31" s="305">
        <f>IF(COT_PRECALCULOS!$D$24="Precios Iva Incluído",BU31,BO31)</f>
        <v>42275898</v>
      </c>
      <c r="CG31" s="305">
        <f>IF(COT_PRECALCULOS!$D$24="Precios Iva Incluído",BV31,BP31)</f>
        <v>45217714</v>
      </c>
      <c r="CH31" s="305">
        <f>IF(COT_PRECALCULOS!$D$24="Precios Iva Incluído",BW31,BQ31)</f>
        <v>1470908</v>
      </c>
      <c r="CI31" s="305">
        <f>IF(COT_PRECALCULOS!$D$24="Precios Iva Incluído",BX31,BR31)</f>
        <v>1460820</v>
      </c>
    </row>
    <row r="32" spans="1:87">
      <c r="A32" s="182" t="s">
        <v>101</v>
      </c>
      <c r="B32" s="182" t="s">
        <v>98</v>
      </c>
      <c r="C32" s="189" t="str">
        <f t="shared" si="0"/>
        <v>F_PE2</v>
      </c>
      <c r="D32" s="189" t="str">
        <f t="shared" si="1"/>
        <v>43_P_</v>
      </c>
      <c r="E32" s="190" t="s">
        <v>1</v>
      </c>
      <c r="F32" s="190" t="s">
        <v>1</v>
      </c>
      <c r="G32" s="189" t="s">
        <v>15</v>
      </c>
      <c r="H32" s="190"/>
      <c r="I32" s="190" t="s">
        <v>60</v>
      </c>
      <c r="J32" s="190">
        <v>43</v>
      </c>
      <c r="K32" s="190" t="s">
        <v>62</v>
      </c>
      <c r="L32" s="189" t="s">
        <v>9</v>
      </c>
      <c r="M32" s="211">
        <v>100</v>
      </c>
      <c r="N32" s="211">
        <v>100</v>
      </c>
      <c r="O32" s="211">
        <v>100</v>
      </c>
      <c r="P32" s="211">
        <v>100</v>
      </c>
      <c r="Q32" s="211">
        <v>100</v>
      </c>
      <c r="R32" s="190"/>
      <c r="S32" s="183">
        <f>COUNTIF(CAL_PRIMERA_ENTREGA_FRUTA,CONCATENATE(G32,"_",J32))</f>
        <v>3</v>
      </c>
      <c r="T32" s="385">
        <f>$S32</f>
        <v>3</v>
      </c>
      <c r="U32" s="385">
        <f t="shared" si="59"/>
        <v>3</v>
      </c>
      <c r="V32" s="385">
        <f t="shared" si="59"/>
        <v>3</v>
      </c>
      <c r="W32" s="385">
        <f t="shared" si="59"/>
        <v>3</v>
      </c>
      <c r="X32" s="385">
        <f t="shared" si="59"/>
        <v>3</v>
      </c>
      <c r="Y32" s="184">
        <f t="shared" si="5"/>
        <v>163328</v>
      </c>
      <c r="Z32" s="184">
        <f>IF(N32&lt;&gt;0,VLOOKUP(A32,FRE_CANTIDADES_DIARIAS_SUMINISTROS,5,FALSE),0)</f>
        <v>217917</v>
      </c>
      <c r="AA32" s="184">
        <f>IF(O32&lt;&gt;0,VLOOKUP(A32,FRE_CANTIDADES_DIARIAS_SUMINISTROS,6,FALSE),0)</f>
        <v>233081</v>
      </c>
      <c r="AB32" s="184">
        <f>IF(P32&lt;&gt;0,VLOOKUP(A32,FRE_CANTIDADES_DIARIAS_SUMINISTROS,7,FALSE),0)</f>
        <v>7582</v>
      </c>
      <c r="AC32" s="184">
        <f>IF(Q32&lt;&gt;0,VLOOKUP(A32,FRE_CANTIDADES_DIARIAS_SUMINISTROS,8,FALSE),0)</f>
        <v>7530</v>
      </c>
      <c r="AD32" s="184">
        <f t="shared" si="10"/>
        <v>629438</v>
      </c>
      <c r="AE32" s="183">
        <f t="shared" si="56"/>
        <v>0</v>
      </c>
      <c r="AF32" s="385">
        <f t="shared" si="60"/>
        <v>0</v>
      </c>
      <c r="AG32" s="385">
        <f t="shared" si="60"/>
        <v>0</v>
      </c>
      <c r="AH32" s="385">
        <f t="shared" si="60"/>
        <v>0</v>
      </c>
      <c r="AI32" s="185">
        <f t="shared" si="13"/>
        <v>0</v>
      </c>
      <c r="AJ32" s="185">
        <f t="shared" si="14"/>
        <v>0</v>
      </c>
      <c r="AK32" s="185">
        <f t="shared" si="15"/>
        <v>0</v>
      </c>
      <c r="AL32" s="185">
        <f t="shared" si="16"/>
        <v>0</v>
      </c>
      <c r="AM32" s="173">
        <f t="shared" si="66"/>
        <v>489984</v>
      </c>
      <c r="AN32" s="173">
        <f t="shared" si="61"/>
        <v>653751</v>
      </c>
      <c r="AO32" s="173">
        <f t="shared" si="62"/>
        <v>699243</v>
      </c>
      <c r="AP32" s="173">
        <f t="shared" si="20"/>
        <v>22746</v>
      </c>
      <c r="AQ32" s="173">
        <f t="shared" si="21"/>
        <v>22590</v>
      </c>
      <c r="AR32" s="173">
        <f t="shared" si="22"/>
        <v>1888314</v>
      </c>
      <c r="AS32" s="186" t="s">
        <v>1342</v>
      </c>
      <c r="AT32" s="300">
        <f t="shared" si="67"/>
        <v>1.5892500000000001</v>
      </c>
      <c r="AU32" s="300">
        <f t="shared" si="67"/>
        <v>1.5892500000000001</v>
      </c>
      <c r="AV32" s="300">
        <f t="shared" si="67"/>
        <v>1.5892500000000001</v>
      </c>
      <c r="AW32" s="300">
        <f t="shared" si="67"/>
        <v>1.5892500000000001</v>
      </c>
      <c r="AX32" s="300">
        <f t="shared" si="67"/>
        <v>1.5892500000000001</v>
      </c>
      <c r="AY32" s="301">
        <f t="shared" si="63"/>
        <v>1.5892500000000001</v>
      </c>
      <c r="AZ32" s="301">
        <f t="shared" si="63"/>
        <v>1.5892500000000001</v>
      </c>
      <c r="BA32" s="301">
        <f t="shared" si="63"/>
        <v>1.5892500000000001</v>
      </c>
      <c r="BB32" s="301">
        <f t="shared" si="63"/>
        <v>1.5892500000000001</v>
      </c>
      <c r="BC32" s="301">
        <f t="shared" si="63"/>
        <v>1.5892500000000001</v>
      </c>
      <c r="BD32" s="187">
        <f>ROUND(IF(OR(M32=0,AT32="DATO NO DISPONIBLE"),"",AT32*M32*($BD$7+1)),0)</f>
        <v>170</v>
      </c>
      <c r="BE32" s="187">
        <f t="shared" si="64"/>
        <v>170</v>
      </c>
      <c r="BF32" s="187">
        <f t="shared" si="65"/>
        <v>170</v>
      </c>
      <c r="BG32" s="187">
        <f t="shared" si="28"/>
        <v>170</v>
      </c>
      <c r="BH32" s="187">
        <f t="shared" si="29"/>
        <v>170</v>
      </c>
      <c r="BI32" s="187">
        <f>ROUND(IF(OR(M32=0,AY32="DATO NO DISPONIBLE"),0,AY32*M32*($BD$7+1)),0)</f>
        <v>170</v>
      </c>
      <c r="BJ32" s="187">
        <f t="shared" si="48"/>
        <v>170</v>
      </c>
      <c r="BK32" s="187">
        <f t="shared" si="49"/>
        <v>170</v>
      </c>
      <c r="BL32" s="187">
        <f t="shared" si="33"/>
        <v>170</v>
      </c>
      <c r="BM32" s="187">
        <f t="shared" si="34"/>
        <v>170</v>
      </c>
      <c r="BN32" s="188">
        <f>BD32*AM32</f>
        <v>83297280</v>
      </c>
      <c r="BO32" s="188">
        <f t="shared" si="50"/>
        <v>111137670</v>
      </c>
      <c r="BP32" s="188">
        <f t="shared" si="51"/>
        <v>118871310</v>
      </c>
      <c r="BQ32" s="188">
        <f t="shared" si="52"/>
        <v>3866820</v>
      </c>
      <c r="BR32" s="188">
        <f t="shared" si="53"/>
        <v>3840300</v>
      </c>
      <c r="BS32" s="188">
        <f t="shared" si="40"/>
        <v>321013380</v>
      </c>
      <c r="BT32" s="188">
        <f t="shared" si="41"/>
        <v>83297280</v>
      </c>
      <c r="BU32" s="188">
        <f t="shared" si="42"/>
        <v>111137670</v>
      </c>
      <c r="BV32" s="188">
        <f t="shared" si="43"/>
        <v>118871310</v>
      </c>
      <c r="BW32" s="188">
        <f t="shared" si="44"/>
        <v>3866820</v>
      </c>
      <c r="BX32" s="188">
        <f t="shared" si="45"/>
        <v>3840300</v>
      </c>
      <c r="BY32" s="188">
        <f t="shared" si="46"/>
        <v>321013380</v>
      </c>
      <c r="BZ32" s="305">
        <f>IF(COT_PRECALCULOS!$D$24="Precios Iva Incluído",BI32,BD32)</f>
        <v>170</v>
      </c>
      <c r="CA32" s="305">
        <f>IF(COT_PRECALCULOS!$D$24="Precios Iva Incluído",BJ32,BE32)</f>
        <v>170</v>
      </c>
      <c r="CB32" s="305">
        <f>IF(COT_PRECALCULOS!$D$24="Precios Iva Incluído",BK32,BF32)</f>
        <v>170</v>
      </c>
      <c r="CC32" s="305">
        <f>IF(COT_PRECALCULOS!$D$24="Precios Iva Incluído",BL32,BG32)</f>
        <v>170</v>
      </c>
      <c r="CD32" s="305">
        <f>IF(COT_PRECALCULOS!$D$24="Precios Iva Incluído",BM32,BH32)</f>
        <v>170</v>
      </c>
      <c r="CE32" s="305">
        <f>IF(COT_PRECALCULOS!$D$24="Precios Iva Incluído",BT32,BN32)</f>
        <v>83297280</v>
      </c>
      <c r="CF32" s="305">
        <f>IF(COT_PRECALCULOS!$D$24="Precios Iva Incluído",BU32,BO32)</f>
        <v>111137670</v>
      </c>
      <c r="CG32" s="305">
        <f>IF(COT_PRECALCULOS!$D$24="Precios Iva Incluído",BV32,BP32)</f>
        <v>118871310</v>
      </c>
      <c r="CH32" s="305">
        <f>IF(COT_PRECALCULOS!$D$24="Precios Iva Incluído",BW32,BQ32)</f>
        <v>3866820</v>
      </c>
      <c r="CI32" s="305">
        <f>IF(COT_PRECALCULOS!$D$24="Precios Iva Incluído",BX32,BR32)</f>
        <v>3840300</v>
      </c>
    </row>
    <row r="33" spans="1:87">
      <c r="A33" s="182" t="s">
        <v>101</v>
      </c>
      <c r="B33" s="182" t="s">
        <v>98</v>
      </c>
      <c r="C33" s="189" t="str">
        <f t="shared" si="0"/>
        <v>F_PE2</v>
      </c>
      <c r="D33" s="189" t="str">
        <f t="shared" si="1"/>
        <v>46_P_</v>
      </c>
      <c r="E33" s="190" t="s">
        <v>1</v>
      </c>
      <c r="F33" s="190" t="s">
        <v>1</v>
      </c>
      <c r="G33" s="189" t="s">
        <v>15</v>
      </c>
      <c r="H33" s="190"/>
      <c r="I33" s="190" t="s">
        <v>63</v>
      </c>
      <c r="J33" s="190">
        <v>46</v>
      </c>
      <c r="K33" s="190" t="s">
        <v>64</v>
      </c>
      <c r="L33" s="189" t="s">
        <v>9</v>
      </c>
      <c r="M33" s="190">
        <v>100</v>
      </c>
      <c r="N33" s="190">
        <v>100</v>
      </c>
      <c r="O33" s="190">
        <v>100</v>
      </c>
      <c r="P33" s="190">
        <v>100</v>
      </c>
      <c r="Q33" s="190">
        <v>100</v>
      </c>
      <c r="R33" s="190"/>
      <c r="S33" s="388">
        <v>2</v>
      </c>
      <c r="T33" s="388">
        <f>$S33</f>
        <v>2</v>
      </c>
      <c r="U33" s="388">
        <v>0</v>
      </c>
      <c r="V33" s="388">
        <v>0</v>
      </c>
      <c r="W33" s="388">
        <v>0</v>
      </c>
      <c r="X33" s="388">
        <v>0</v>
      </c>
      <c r="Y33" s="184">
        <f t="shared" si="5"/>
        <v>163328</v>
      </c>
      <c r="Z33" s="184">
        <v>0</v>
      </c>
      <c r="AA33" s="184">
        <v>0</v>
      </c>
      <c r="AB33" s="184">
        <v>0</v>
      </c>
      <c r="AC33" s="184">
        <v>0</v>
      </c>
      <c r="AD33" s="184">
        <f t="shared" si="10"/>
        <v>163328</v>
      </c>
      <c r="AE33" s="183">
        <f t="shared" si="56"/>
        <v>0</v>
      </c>
      <c r="AF33" s="385">
        <f t="shared" si="60"/>
        <v>0</v>
      </c>
      <c r="AG33" s="385">
        <f t="shared" si="60"/>
        <v>0</v>
      </c>
      <c r="AH33" s="385">
        <f t="shared" si="60"/>
        <v>0</v>
      </c>
      <c r="AI33" s="185">
        <f t="shared" si="13"/>
        <v>0</v>
      </c>
      <c r="AJ33" s="185">
        <f t="shared" si="14"/>
        <v>0</v>
      </c>
      <c r="AK33" s="185">
        <f t="shared" si="15"/>
        <v>0</v>
      </c>
      <c r="AL33" s="185">
        <f t="shared" si="16"/>
        <v>0</v>
      </c>
      <c r="AM33" s="173">
        <f t="shared" si="66"/>
        <v>326656</v>
      </c>
      <c r="AN33" s="173">
        <f t="shared" si="61"/>
        <v>0</v>
      </c>
      <c r="AO33" s="173">
        <f t="shared" si="62"/>
        <v>0</v>
      </c>
      <c r="AP33" s="173">
        <f t="shared" si="20"/>
        <v>0</v>
      </c>
      <c r="AQ33" s="173">
        <f t="shared" si="21"/>
        <v>0</v>
      </c>
      <c r="AR33" s="173">
        <f t="shared" si="22"/>
        <v>326656</v>
      </c>
      <c r="AS33" s="186" t="s">
        <v>1342</v>
      </c>
      <c r="AT33" s="300">
        <f t="shared" si="67"/>
        <v>3.7214999999999998</v>
      </c>
      <c r="AU33" s="300">
        <f t="shared" si="67"/>
        <v>3.7214999999999998</v>
      </c>
      <c r="AV33" s="300">
        <f t="shared" si="67"/>
        <v>3.7214999999999998</v>
      </c>
      <c r="AW33" s="300">
        <f t="shared" si="67"/>
        <v>3.7214999999999998</v>
      </c>
      <c r="AX33" s="300">
        <f t="shared" si="67"/>
        <v>3.7214999999999998</v>
      </c>
      <c r="AY33" s="301">
        <f t="shared" si="63"/>
        <v>3.7214999999999998</v>
      </c>
      <c r="AZ33" s="301">
        <f t="shared" si="63"/>
        <v>3.7214999999999998</v>
      </c>
      <c r="BA33" s="301">
        <f t="shared" si="63"/>
        <v>3.7214999999999998</v>
      </c>
      <c r="BB33" s="301">
        <f t="shared" si="63"/>
        <v>3.7214999999999998</v>
      </c>
      <c r="BC33" s="301">
        <f t="shared" si="63"/>
        <v>3.7214999999999998</v>
      </c>
      <c r="BD33" s="187">
        <f>ROUND(IF(OR(M33=0,AT33="DATO NO DISPONIBLE"),"",AT33*M33*($BD$7+1)),0)</f>
        <v>398</v>
      </c>
      <c r="BE33" s="187">
        <f t="shared" si="64"/>
        <v>398</v>
      </c>
      <c r="BF33" s="187">
        <f t="shared" si="65"/>
        <v>398</v>
      </c>
      <c r="BG33" s="187">
        <f t="shared" si="28"/>
        <v>398</v>
      </c>
      <c r="BH33" s="187">
        <f t="shared" si="29"/>
        <v>398</v>
      </c>
      <c r="BI33" s="187">
        <f>ROUND(IF(OR(M33=0,AY33="DATO NO DISPONIBLE"),0,AY33*M33*($BD$7+1)),0)</f>
        <v>398</v>
      </c>
      <c r="BJ33" s="187">
        <f t="shared" si="48"/>
        <v>398</v>
      </c>
      <c r="BK33" s="187">
        <f t="shared" si="49"/>
        <v>398</v>
      </c>
      <c r="BL33" s="187">
        <f t="shared" si="33"/>
        <v>398</v>
      </c>
      <c r="BM33" s="187">
        <f t="shared" si="34"/>
        <v>398</v>
      </c>
      <c r="BN33" s="188">
        <f>BD33*AM33</f>
        <v>130009088</v>
      </c>
      <c r="BO33" s="188">
        <f t="shared" si="50"/>
        <v>0</v>
      </c>
      <c r="BP33" s="188">
        <f t="shared" si="51"/>
        <v>0</v>
      </c>
      <c r="BQ33" s="188">
        <f t="shared" si="52"/>
        <v>0</v>
      </c>
      <c r="BR33" s="188">
        <f t="shared" si="53"/>
        <v>0</v>
      </c>
      <c r="BS33" s="188">
        <f t="shared" si="40"/>
        <v>130009088</v>
      </c>
      <c r="BT33" s="188">
        <f t="shared" si="41"/>
        <v>130009088</v>
      </c>
      <c r="BU33" s="188">
        <f t="shared" si="42"/>
        <v>0</v>
      </c>
      <c r="BV33" s="188">
        <f t="shared" si="43"/>
        <v>0</v>
      </c>
      <c r="BW33" s="188">
        <f t="shared" si="44"/>
        <v>0</v>
      </c>
      <c r="BX33" s="188">
        <f t="shared" si="45"/>
        <v>0</v>
      </c>
      <c r="BY33" s="188">
        <f t="shared" si="46"/>
        <v>130009088</v>
      </c>
      <c r="BZ33" s="305">
        <f>IF(COT_PRECALCULOS!$D$24="Precios Iva Incluído",BI33,BD33)</f>
        <v>398</v>
      </c>
      <c r="CA33" s="305">
        <f>IF(COT_PRECALCULOS!$D$24="Precios Iva Incluído",BJ33,BE33)</f>
        <v>398</v>
      </c>
      <c r="CB33" s="305">
        <f>IF(COT_PRECALCULOS!$D$24="Precios Iva Incluído",BK33,BF33)</f>
        <v>398</v>
      </c>
      <c r="CC33" s="305">
        <f>IF(COT_PRECALCULOS!$D$24="Precios Iva Incluído",BL33,BG33)</f>
        <v>398</v>
      </c>
      <c r="CD33" s="305">
        <f>IF(COT_PRECALCULOS!$D$24="Precios Iva Incluído",BM33,BH33)</f>
        <v>398</v>
      </c>
      <c r="CE33" s="305">
        <f>IF(COT_PRECALCULOS!$D$24="Precios Iva Incluído",BT33,BN33)</f>
        <v>130009088</v>
      </c>
      <c r="CF33" s="305">
        <f>IF(COT_PRECALCULOS!$D$24="Precios Iva Incluído",BU33,BO33)</f>
        <v>0</v>
      </c>
      <c r="CG33" s="305">
        <f>IF(COT_PRECALCULOS!$D$24="Precios Iva Incluído",BV33,BP33)</f>
        <v>0</v>
      </c>
      <c r="CH33" s="305">
        <f>IF(COT_PRECALCULOS!$D$24="Precios Iva Incluído",BW33,BQ33)</f>
        <v>0</v>
      </c>
      <c r="CI33" s="305">
        <f>IF(COT_PRECALCULOS!$D$24="Precios Iva Incluído",BX33,BR33)</f>
        <v>0</v>
      </c>
    </row>
    <row r="34" spans="1:87" s="83" customFormat="1">
      <c r="A34" s="182" t="s">
        <v>101</v>
      </c>
      <c r="B34" s="182" t="s">
        <v>98</v>
      </c>
      <c r="C34" s="189" t="str">
        <f t="shared" si="0"/>
        <v>F_PE2</v>
      </c>
      <c r="D34" s="189" t="str">
        <f t="shared" si="1"/>
        <v>58_P_</v>
      </c>
      <c r="E34" s="211" t="s">
        <v>1</v>
      </c>
      <c r="F34" s="211" t="s">
        <v>1</v>
      </c>
      <c r="G34" s="189" t="s">
        <v>15</v>
      </c>
      <c r="H34" s="211"/>
      <c r="I34" s="211" t="s">
        <v>65</v>
      </c>
      <c r="J34" s="211">
        <v>58</v>
      </c>
      <c r="K34" s="211" t="s">
        <v>67</v>
      </c>
      <c r="L34" s="189" t="s">
        <v>9</v>
      </c>
      <c r="M34" s="211">
        <v>100</v>
      </c>
      <c r="N34" s="211">
        <v>100</v>
      </c>
      <c r="O34" s="211">
        <v>100</v>
      </c>
      <c r="P34" s="211">
        <v>100</v>
      </c>
      <c r="Q34" s="211">
        <v>100</v>
      </c>
      <c r="R34" s="211"/>
      <c r="S34" s="183">
        <f>COUNTIF(CAL_PRIMERA_ENTREGA_FRUTA,CONCATENATE(G34,"_",J34))</f>
        <v>3</v>
      </c>
      <c r="T34" s="385">
        <f>$S34</f>
        <v>3</v>
      </c>
      <c r="U34" s="385">
        <f t="shared" ref="U34:X38" si="68">$S34</f>
        <v>3</v>
      </c>
      <c r="V34" s="385">
        <f t="shared" si="68"/>
        <v>3</v>
      </c>
      <c r="W34" s="385">
        <f t="shared" si="68"/>
        <v>3</v>
      </c>
      <c r="X34" s="385">
        <f t="shared" si="68"/>
        <v>3</v>
      </c>
      <c r="Y34" s="184">
        <f t="shared" si="5"/>
        <v>163328</v>
      </c>
      <c r="Z34" s="184">
        <f>IF(N34&lt;&gt;0,VLOOKUP(A34,FRE_CANTIDADES_DIARIAS_SUMINISTROS,5,FALSE),0)</f>
        <v>217917</v>
      </c>
      <c r="AA34" s="184">
        <f>IF(O34&lt;&gt;0,VLOOKUP(A34,FRE_CANTIDADES_DIARIAS_SUMINISTROS,6,FALSE),0)</f>
        <v>233081</v>
      </c>
      <c r="AB34" s="184">
        <f>IF(P34&lt;&gt;0,VLOOKUP(A34,FRE_CANTIDADES_DIARIAS_SUMINISTROS,7,FALSE),0)</f>
        <v>7582</v>
      </c>
      <c r="AC34" s="184">
        <f>IF(Q34&lt;&gt;0,VLOOKUP(A34,FRE_CANTIDADES_DIARIAS_SUMINISTROS,8,FALSE),0)</f>
        <v>7530</v>
      </c>
      <c r="AD34" s="184">
        <f t="shared" si="10"/>
        <v>629438</v>
      </c>
      <c r="AE34" s="183">
        <f t="shared" si="56"/>
        <v>0</v>
      </c>
      <c r="AF34" s="385">
        <f t="shared" si="60"/>
        <v>0</v>
      </c>
      <c r="AG34" s="385">
        <f t="shared" si="60"/>
        <v>0</v>
      </c>
      <c r="AH34" s="385">
        <f t="shared" si="60"/>
        <v>0</v>
      </c>
      <c r="AI34" s="185">
        <f t="shared" si="13"/>
        <v>0</v>
      </c>
      <c r="AJ34" s="185">
        <f t="shared" si="14"/>
        <v>0</v>
      </c>
      <c r="AK34" s="185">
        <f t="shared" si="15"/>
        <v>0</v>
      </c>
      <c r="AL34" s="185">
        <f t="shared" si="16"/>
        <v>0</v>
      </c>
      <c r="AM34" s="173">
        <f t="shared" si="66"/>
        <v>489984</v>
      </c>
      <c r="AN34" s="173">
        <f t="shared" si="61"/>
        <v>653751</v>
      </c>
      <c r="AO34" s="173">
        <f t="shared" si="62"/>
        <v>699243</v>
      </c>
      <c r="AP34" s="173">
        <f t="shared" si="20"/>
        <v>22746</v>
      </c>
      <c r="AQ34" s="173">
        <f t="shared" si="21"/>
        <v>22590</v>
      </c>
      <c r="AR34" s="173">
        <f t="shared" si="22"/>
        <v>1888314</v>
      </c>
      <c r="AS34" s="186" t="s">
        <v>1342</v>
      </c>
      <c r="AT34" s="300">
        <f t="shared" si="67"/>
        <v>1.4384999999999999</v>
      </c>
      <c r="AU34" s="300">
        <f t="shared" si="67"/>
        <v>1.4384999999999999</v>
      </c>
      <c r="AV34" s="300">
        <f t="shared" si="67"/>
        <v>1.4384999999999999</v>
      </c>
      <c r="AW34" s="300">
        <f t="shared" si="67"/>
        <v>1.4384999999999999</v>
      </c>
      <c r="AX34" s="300">
        <f t="shared" si="67"/>
        <v>1.4384999999999999</v>
      </c>
      <c r="AY34" s="301">
        <f t="shared" si="63"/>
        <v>1.4384999999999999</v>
      </c>
      <c r="AZ34" s="301">
        <f t="shared" si="63"/>
        <v>1.4384999999999999</v>
      </c>
      <c r="BA34" s="301">
        <f t="shared" si="63"/>
        <v>1.4384999999999999</v>
      </c>
      <c r="BB34" s="301">
        <f t="shared" si="63"/>
        <v>1.4384999999999999</v>
      </c>
      <c r="BC34" s="301">
        <f t="shared" si="63"/>
        <v>1.4384999999999999</v>
      </c>
      <c r="BD34" s="187">
        <f>ROUND(IF(OR(M34=0,AT34="DATO NO DISPONIBLE"),"",AT34*M34*($BD$7+1)),0)</f>
        <v>154</v>
      </c>
      <c r="BE34" s="187">
        <f t="shared" si="64"/>
        <v>154</v>
      </c>
      <c r="BF34" s="187">
        <f t="shared" si="65"/>
        <v>154</v>
      </c>
      <c r="BG34" s="187">
        <f t="shared" si="28"/>
        <v>154</v>
      </c>
      <c r="BH34" s="187">
        <f t="shared" si="29"/>
        <v>154</v>
      </c>
      <c r="BI34" s="187">
        <f>ROUND(IF(OR(M34=0,AY34="DATO NO DISPONIBLE"),0,AY34*M34*($BD$7+1)),0)</f>
        <v>154</v>
      </c>
      <c r="BJ34" s="187">
        <f t="shared" si="48"/>
        <v>154</v>
      </c>
      <c r="BK34" s="187">
        <f t="shared" si="49"/>
        <v>154</v>
      </c>
      <c r="BL34" s="187">
        <f t="shared" si="33"/>
        <v>154</v>
      </c>
      <c r="BM34" s="187">
        <f t="shared" si="34"/>
        <v>154</v>
      </c>
      <c r="BN34" s="188">
        <f>BD34*AM34</f>
        <v>75457536</v>
      </c>
      <c r="BO34" s="188">
        <f t="shared" si="50"/>
        <v>100677654</v>
      </c>
      <c r="BP34" s="188">
        <f t="shared" si="51"/>
        <v>107683422</v>
      </c>
      <c r="BQ34" s="188">
        <f t="shared" si="52"/>
        <v>3502884</v>
      </c>
      <c r="BR34" s="188">
        <f t="shared" si="53"/>
        <v>3478860</v>
      </c>
      <c r="BS34" s="188">
        <f t="shared" si="40"/>
        <v>290800356</v>
      </c>
      <c r="BT34" s="188">
        <f t="shared" si="41"/>
        <v>75457536</v>
      </c>
      <c r="BU34" s="188">
        <f t="shared" si="42"/>
        <v>100677654</v>
      </c>
      <c r="BV34" s="188">
        <f t="shared" si="43"/>
        <v>107683422</v>
      </c>
      <c r="BW34" s="188">
        <f t="shared" si="44"/>
        <v>3502884</v>
      </c>
      <c r="BX34" s="188">
        <f t="shared" si="45"/>
        <v>3478860</v>
      </c>
      <c r="BY34" s="188">
        <f t="shared" si="46"/>
        <v>290800356</v>
      </c>
      <c r="BZ34" s="305">
        <f>IF(COT_PRECALCULOS!$D$24="Precios Iva Incluído",BI34,BD34)</f>
        <v>154</v>
      </c>
      <c r="CA34" s="305">
        <f>IF(COT_PRECALCULOS!$D$24="Precios Iva Incluído",BJ34,BE34)</f>
        <v>154</v>
      </c>
      <c r="CB34" s="305">
        <f>IF(COT_PRECALCULOS!$D$24="Precios Iva Incluído",BK34,BF34)</f>
        <v>154</v>
      </c>
      <c r="CC34" s="305">
        <f>IF(COT_PRECALCULOS!$D$24="Precios Iva Incluído",BL34,BG34)</f>
        <v>154</v>
      </c>
      <c r="CD34" s="305">
        <f>IF(COT_PRECALCULOS!$D$24="Precios Iva Incluído",BM34,BH34)</f>
        <v>154</v>
      </c>
      <c r="CE34" s="305">
        <f>IF(COT_PRECALCULOS!$D$24="Precios Iva Incluído",BT34,BN34)</f>
        <v>75457536</v>
      </c>
      <c r="CF34" s="305">
        <f>IF(COT_PRECALCULOS!$D$24="Precios Iva Incluído",BU34,BO34)</f>
        <v>100677654</v>
      </c>
      <c r="CG34" s="305">
        <f>IF(COT_PRECALCULOS!$D$24="Precios Iva Incluído",BV34,BP34)</f>
        <v>107683422</v>
      </c>
      <c r="CH34" s="305">
        <f>IF(COT_PRECALCULOS!$D$24="Precios Iva Incluído",BW34,BQ34)</f>
        <v>3502884</v>
      </c>
      <c r="CI34" s="305">
        <f>IF(COT_PRECALCULOS!$D$24="Precios Iva Incluído",BX34,BR34)</f>
        <v>3478860</v>
      </c>
    </row>
    <row r="35" spans="1:87">
      <c r="A35" s="182" t="s">
        <v>101</v>
      </c>
      <c r="B35" s="182" t="s">
        <v>98</v>
      </c>
      <c r="C35" s="189" t="str">
        <f t="shared" si="0"/>
        <v>F_PE2</v>
      </c>
      <c r="D35" s="189" t="str">
        <f t="shared" si="1"/>
        <v>59_P_</v>
      </c>
      <c r="E35" s="211" t="s">
        <v>1</v>
      </c>
      <c r="F35" s="211" t="s">
        <v>1</v>
      </c>
      <c r="G35" s="189" t="s">
        <v>15</v>
      </c>
      <c r="H35" s="211"/>
      <c r="I35" s="211" t="s">
        <v>66</v>
      </c>
      <c r="J35" s="211">
        <v>59</v>
      </c>
      <c r="K35" s="211" t="s">
        <v>99</v>
      </c>
      <c r="L35" s="189" t="s">
        <v>9</v>
      </c>
      <c r="M35" s="386">
        <v>0</v>
      </c>
      <c r="N35" s="211">
        <v>100</v>
      </c>
      <c r="O35" s="211">
        <v>100</v>
      </c>
      <c r="P35" s="211">
        <v>100</v>
      </c>
      <c r="Q35" s="211">
        <v>100</v>
      </c>
      <c r="R35" s="211" t="s">
        <v>73</v>
      </c>
      <c r="S35" s="183">
        <f>COUNTIF(CAL_PRIMERA_ENTREGA_FRUTA,CONCATENATE(G35,"_",J35))</f>
        <v>2</v>
      </c>
      <c r="T35" s="386">
        <v>0</v>
      </c>
      <c r="U35" s="385">
        <f t="shared" si="68"/>
        <v>2</v>
      </c>
      <c r="V35" s="385">
        <f t="shared" si="68"/>
        <v>2</v>
      </c>
      <c r="W35" s="385">
        <f t="shared" si="68"/>
        <v>2</v>
      </c>
      <c r="X35" s="385">
        <f t="shared" si="68"/>
        <v>2</v>
      </c>
      <c r="Y35" s="184">
        <f t="shared" si="5"/>
        <v>0</v>
      </c>
      <c r="Z35" s="184">
        <f>IF(N35&lt;&gt;0,VLOOKUP(A35,FRE_CANTIDADES_DIARIAS_SUMINISTROS,5,FALSE),0)</f>
        <v>217917</v>
      </c>
      <c r="AA35" s="184">
        <f>IF(O35&lt;&gt;0,VLOOKUP(A35,FRE_CANTIDADES_DIARIAS_SUMINISTROS,6,FALSE),0)</f>
        <v>233081</v>
      </c>
      <c r="AB35" s="184">
        <f>IF(P35&lt;&gt;0,VLOOKUP(A35,FRE_CANTIDADES_DIARIAS_SUMINISTROS,7,FALSE),0)</f>
        <v>7582</v>
      </c>
      <c r="AC35" s="184">
        <f>IF(Q35&lt;&gt;0,VLOOKUP(A35,FRE_CANTIDADES_DIARIAS_SUMINISTROS,8,FALSE),0)</f>
        <v>7530</v>
      </c>
      <c r="AD35" s="184">
        <f t="shared" si="10"/>
        <v>466110</v>
      </c>
      <c r="AE35" s="183">
        <f t="shared" si="56"/>
        <v>0</v>
      </c>
      <c r="AF35" s="385">
        <f t="shared" si="60"/>
        <v>0</v>
      </c>
      <c r="AG35" s="385">
        <f t="shared" si="60"/>
        <v>0</v>
      </c>
      <c r="AH35" s="385">
        <f t="shared" si="60"/>
        <v>0</v>
      </c>
      <c r="AI35" s="185">
        <f t="shared" si="13"/>
        <v>0</v>
      </c>
      <c r="AJ35" s="185">
        <f t="shared" si="14"/>
        <v>0</v>
      </c>
      <c r="AK35" s="185">
        <f t="shared" si="15"/>
        <v>0</v>
      </c>
      <c r="AL35" s="185">
        <f t="shared" si="16"/>
        <v>0</v>
      </c>
      <c r="AM35" s="173">
        <f t="shared" si="66"/>
        <v>0</v>
      </c>
      <c r="AN35" s="173">
        <f t="shared" si="61"/>
        <v>435834</v>
      </c>
      <c r="AO35" s="173">
        <f t="shared" si="62"/>
        <v>466162</v>
      </c>
      <c r="AP35" s="173">
        <f t="shared" si="20"/>
        <v>15164</v>
      </c>
      <c r="AQ35" s="173">
        <f t="shared" si="21"/>
        <v>15060</v>
      </c>
      <c r="AR35" s="173">
        <f t="shared" si="22"/>
        <v>932220</v>
      </c>
      <c r="AS35" s="186" t="s">
        <v>1342</v>
      </c>
      <c r="AT35" s="300">
        <f t="shared" si="67"/>
        <v>2.6785000000000001</v>
      </c>
      <c r="AU35" s="300">
        <f t="shared" si="67"/>
        <v>2.6785000000000001</v>
      </c>
      <c r="AV35" s="300">
        <f t="shared" si="67"/>
        <v>2.6785000000000001</v>
      </c>
      <c r="AW35" s="300">
        <f t="shared" si="67"/>
        <v>2.6785000000000001</v>
      </c>
      <c r="AX35" s="300">
        <f t="shared" si="67"/>
        <v>2.6785000000000001</v>
      </c>
      <c r="AY35" s="301">
        <f t="shared" si="63"/>
        <v>2.6785000000000001</v>
      </c>
      <c r="AZ35" s="301">
        <f t="shared" si="63"/>
        <v>2.6785000000000001</v>
      </c>
      <c r="BA35" s="301">
        <f t="shared" si="63"/>
        <v>2.6785000000000001</v>
      </c>
      <c r="BB35" s="301">
        <f t="shared" si="63"/>
        <v>2.6785000000000001</v>
      </c>
      <c r="BC35" s="301">
        <f t="shared" si="63"/>
        <v>2.6785000000000001</v>
      </c>
      <c r="BD35" s="187"/>
      <c r="BE35" s="187">
        <f t="shared" si="64"/>
        <v>286</v>
      </c>
      <c r="BF35" s="187">
        <f t="shared" si="65"/>
        <v>286</v>
      </c>
      <c r="BG35" s="187">
        <f t="shared" si="28"/>
        <v>286</v>
      </c>
      <c r="BH35" s="187">
        <f t="shared" si="29"/>
        <v>286</v>
      </c>
      <c r="BI35" s="187"/>
      <c r="BJ35" s="187">
        <f t="shared" si="48"/>
        <v>286</v>
      </c>
      <c r="BK35" s="187">
        <f t="shared" si="49"/>
        <v>286</v>
      </c>
      <c r="BL35" s="187">
        <f t="shared" si="33"/>
        <v>286</v>
      </c>
      <c r="BM35" s="187">
        <f t="shared" si="34"/>
        <v>286</v>
      </c>
      <c r="BN35" s="188"/>
      <c r="BO35" s="188">
        <f t="shared" si="50"/>
        <v>124648524</v>
      </c>
      <c r="BP35" s="188">
        <f t="shared" si="51"/>
        <v>133322332</v>
      </c>
      <c r="BQ35" s="188">
        <f t="shared" si="52"/>
        <v>4336904</v>
      </c>
      <c r="BR35" s="188">
        <f t="shared" si="53"/>
        <v>4307160</v>
      </c>
      <c r="BS35" s="188">
        <f t="shared" si="40"/>
        <v>266614920</v>
      </c>
      <c r="BT35" s="188">
        <f t="shared" si="41"/>
        <v>0</v>
      </c>
      <c r="BU35" s="188">
        <f t="shared" si="42"/>
        <v>124648524</v>
      </c>
      <c r="BV35" s="188">
        <f t="shared" si="43"/>
        <v>133322332</v>
      </c>
      <c r="BW35" s="188">
        <f t="shared" si="44"/>
        <v>4336904</v>
      </c>
      <c r="BX35" s="188">
        <f t="shared" si="45"/>
        <v>4307160</v>
      </c>
      <c r="BY35" s="188">
        <f t="shared" si="46"/>
        <v>266614920</v>
      </c>
      <c r="BZ35" s="305">
        <f>IF(COT_PRECALCULOS!$D$24="Precios Iva Incluído",BI35,BD35)</f>
        <v>0</v>
      </c>
      <c r="CA35" s="305">
        <f>IF(COT_PRECALCULOS!$D$24="Precios Iva Incluído",BJ35,BE35)</f>
        <v>286</v>
      </c>
      <c r="CB35" s="305">
        <f>IF(COT_PRECALCULOS!$D$24="Precios Iva Incluído",BK35,BF35)</f>
        <v>286</v>
      </c>
      <c r="CC35" s="305">
        <f>IF(COT_PRECALCULOS!$D$24="Precios Iva Incluído",BL35,BG35)</f>
        <v>286</v>
      </c>
      <c r="CD35" s="305">
        <f>IF(COT_PRECALCULOS!$D$24="Precios Iva Incluído",BM35,BH35)</f>
        <v>286</v>
      </c>
      <c r="CE35" s="305">
        <f>IF(COT_PRECALCULOS!$D$24="Precios Iva Incluído",BT35,BN35)</f>
        <v>0</v>
      </c>
      <c r="CF35" s="305">
        <f>IF(COT_PRECALCULOS!$D$24="Precios Iva Incluído",BU35,BO35)</f>
        <v>124648524</v>
      </c>
      <c r="CG35" s="305">
        <f>IF(COT_PRECALCULOS!$D$24="Precios Iva Incluído",BV35,BP35)</f>
        <v>133322332</v>
      </c>
      <c r="CH35" s="305">
        <f>IF(COT_PRECALCULOS!$D$24="Precios Iva Incluído",BW35,BQ35)</f>
        <v>4336904</v>
      </c>
      <c r="CI35" s="305">
        <f>IF(COT_PRECALCULOS!$D$24="Precios Iva Incluído",BX35,BR35)</f>
        <v>4307160</v>
      </c>
    </row>
    <row r="36" spans="1:87">
      <c r="A36" s="182" t="s">
        <v>101</v>
      </c>
      <c r="B36" s="182" t="s">
        <v>98</v>
      </c>
      <c r="C36" s="189" t="str">
        <f t="shared" si="0"/>
        <v>F_PE2</v>
      </c>
      <c r="D36" s="189" t="str">
        <f t="shared" si="1"/>
        <v>69_P_</v>
      </c>
      <c r="E36" s="211" t="s">
        <v>1</v>
      </c>
      <c r="F36" s="211" t="s">
        <v>1</v>
      </c>
      <c r="G36" s="189" t="s">
        <v>15</v>
      </c>
      <c r="H36" s="211"/>
      <c r="I36" s="211" t="s">
        <v>68</v>
      </c>
      <c r="J36" s="211">
        <v>69</v>
      </c>
      <c r="K36" s="211" t="s">
        <v>70</v>
      </c>
      <c r="L36" s="189" t="s">
        <v>9</v>
      </c>
      <c r="M36" s="211">
        <v>100</v>
      </c>
      <c r="N36" s="211">
        <v>100</v>
      </c>
      <c r="O36" s="211">
        <v>100</v>
      </c>
      <c r="P36" s="211">
        <v>100</v>
      </c>
      <c r="Q36" s="211">
        <v>100</v>
      </c>
      <c r="R36" s="211"/>
      <c r="S36" s="183">
        <f>COUNTIF(CAL_PRIMERA_ENTREGA_FRUTA,CONCATENATE(G36,"_",J36))</f>
        <v>2</v>
      </c>
      <c r="T36" s="385">
        <f>$S36</f>
        <v>2</v>
      </c>
      <c r="U36" s="385">
        <f t="shared" si="68"/>
        <v>2</v>
      </c>
      <c r="V36" s="385">
        <f t="shared" si="68"/>
        <v>2</v>
      </c>
      <c r="W36" s="385">
        <f t="shared" si="68"/>
        <v>2</v>
      </c>
      <c r="X36" s="385">
        <f t="shared" si="68"/>
        <v>2</v>
      </c>
      <c r="Y36" s="184">
        <f t="shared" si="5"/>
        <v>163328</v>
      </c>
      <c r="Z36" s="184">
        <f>IF(N36&lt;&gt;0,VLOOKUP(A36,FRE_CANTIDADES_DIARIAS_SUMINISTROS,5,FALSE),0)</f>
        <v>217917</v>
      </c>
      <c r="AA36" s="184">
        <f>IF(O36&lt;&gt;0,VLOOKUP(A36,FRE_CANTIDADES_DIARIAS_SUMINISTROS,6,FALSE),0)</f>
        <v>233081</v>
      </c>
      <c r="AB36" s="184">
        <f>IF(P36&lt;&gt;0,VLOOKUP(A36,FRE_CANTIDADES_DIARIAS_SUMINISTROS,7,FALSE),0)</f>
        <v>7582</v>
      </c>
      <c r="AC36" s="184">
        <f>IF(Q36&lt;&gt;0,VLOOKUP(A36,FRE_CANTIDADES_DIARIAS_SUMINISTROS,8,FALSE),0)</f>
        <v>7530</v>
      </c>
      <c r="AD36" s="184">
        <f t="shared" si="10"/>
        <v>629438</v>
      </c>
      <c r="AE36" s="183">
        <f t="shared" si="56"/>
        <v>0</v>
      </c>
      <c r="AF36" s="385">
        <f t="shared" si="60"/>
        <v>0</v>
      </c>
      <c r="AG36" s="385">
        <f t="shared" si="60"/>
        <v>0</v>
      </c>
      <c r="AH36" s="385">
        <f t="shared" si="60"/>
        <v>0</v>
      </c>
      <c r="AI36" s="185">
        <f t="shared" si="13"/>
        <v>0</v>
      </c>
      <c r="AJ36" s="185">
        <f t="shared" si="14"/>
        <v>0</v>
      </c>
      <c r="AK36" s="185">
        <f t="shared" si="15"/>
        <v>0</v>
      </c>
      <c r="AL36" s="185">
        <f t="shared" si="16"/>
        <v>0</v>
      </c>
      <c r="AM36" s="173">
        <f t="shared" si="66"/>
        <v>326656</v>
      </c>
      <c r="AN36" s="173">
        <f t="shared" si="61"/>
        <v>435834</v>
      </c>
      <c r="AO36" s="173">
        <f t="shared" si="62"/>
        <v>466162</v>
      </c>
      <c r="AP36" s="173">
        <f t="shared" si="20"/>
        <v>15164</v>
      </c>
      <c r="AQ36" s="173">
        <f t="shared" si="21"/>
        <v>15060</v>
      </c>
      <c r="AR36" s="173">
        <f t="shared" si="22"/>
        <v>1258876</v>
      </c>
      <c r="AS36" s="186" t="s">
        <v>1342</v>
      </c>
      <c r="AT36" s="300">
        <f t="shared" si="67"/>
        <v>2.8519999999999999</v>
      </c>
      <c r="AU36" s="300">
        <f t="shared" si="67"/>
        <v>2.8519999999999999</v>
      </c>
      <c r="AV36" s="300">
        <f t="shared" si="67"/>
        <v>2.8519999999999999</v>
      </c>
      <c r="AW36" s="300">
        <f t="shared" si="67"/>
        <v>2.8519999999999999</v>
      </c>
      <c r="AX36" s="300">
        <f t="shared" si="67"/>
        <v>2.8519999999999999</v>
      </c>
      <c r="AY36" s="301">
        <f t="shared" si="63"/>
        <v>2.8519999999999999</v>
      </c>
      <c r="AZ36" s="301">
        <f t="shared" si="63"/>
        <v>2.8519999999999999</v>
      </c>
      <c r="BA36" s="301">
        <f t="shared" si="63"/>
        <v>2.8519999999999999</v>
      </c>
      <c r="BB36" s="301">
        <f t="shared" si="63"/>
        <v>2.8519999999999999</v>
      </c>
      <c r="BC36" s="301">
        <f t="shared" si="63"/>
        <v>2.8519999999999999</v>
      </c>
      <c r="BD36" s="187">
        <f>ROUND(IF(OR(M36=0,AT36="DATO NO DISPONIBLE"),"",AT36*M36*($BD$7+1)),0)</f>
        <v>305</v>
      </c>
      <c r="BE36" s="187">
        <f t="shared" si="64"/>
        <v>305</v>
      </c>
      <c r="BF36" s="187">
        <f t="shared" si="65"/>
        <v>305</v>
      </c>
      <c r="BG36" s="187">
        <f t="shared" si="28"/>
        <v>305</v>
      </c>
      <c r="BH36" s="187">
        <f t="shared" si="29"/>
        <v>305</v>
      </c>
      <c r="BI36" s="187">
        <f>ROUND(IF(OR(M36=0,AY36="DATO NO DISPONIBLE"),0,AY36*M36*($BD$7+1)),0)</f>
        <v>305</v>
      </c>
      <c r="BJ36" s="187">
        <f t="shared" si="48"/>
        <v>305</v>
      </c>
      <c r="BK36" s="187">
        <f t="shared" si="49"/>
        <v>305</v>
      </c>
      <c r="BL36" s="187">
        <f t="shared" si="33"/>
        <v>305</v>
      </c>
      <c r="BM36" s="187">
        <f t="shared" si="34"/>
        <v>305</v>
      </c>
      <c r="BN36" s="188">
        <f>BD36*AM36</f>
        <v>99630080</v>
      </c>
      <c r="BO36" s="188">
        <f t="shared" si="50"/>
        <v>132929370</v>
      </c>
      <c r="BP36" s="188">
        <f t="shared" si="51"/>
        <v>142179410</v>
      </c>
      <c r="BQ36" s="188">
        <f t="shared" si="52"/>
        <v>4625020</v>
      </c>
      <c r="BR36" s="188">
        <f t="shared" si="53"/>
        <v>4593300</v>
      </c>
      <c r="BS36" s="188">
        <f t="shared" si="40"/>
        <v>383957180</v>
      </c>
      <c r="BT36" s="188">
        <f t="shared" si="41"/>
        <v>99630080</v>
      </c>
      <c r="BU36" s="188">
        <f t="shared" si="42"/>
        <v>132929370</v>
      </c>
      <c r="BV36" s="188">
        <f t="shared" si="43"/>
        <v>142179410</v>
      </c>
      <c r="BW36" s="188">
        <f t="shared" si="44"/>
        <v>4625020</v>
      </c>
      <c r="BX36" s="188">
        <f t="shared" si="45"/>
        <v>4593300</v>
      </c>
      <c r="BY36" s="188">
        <f t="shared" si="46"/>
        <v>383957180</v>
      </c>
      <c r="BZ36" s="305">
        <f>IF(COT_PRECALCULOS!$D$24="Precios Iva Incluído",BI36,BD36)</f>
        <v>305</v>
      </c>
      <c r="CA36" s="305">
        <f>IF(COT_PRECALCULOS!$D$24="Precios Iva Incluído",BJ36,BE36)</f>
        <v>305</v>
      </c>
      <c r="CB36" s="305">
        <f>IF(COT_PRECALCULOS!$D$24="Precios Iva Incluído",BK36,BF36)</f>
        <v>305</v>
      </c>
      <c r="CC36" s="305">
        <f>IF(COT_PRECALCULOS!$D$24="Precios Iva Incluído",BL36,BG36)</f>
        <v>305</v>
      </c>
      <c r="CD36" s="305">
        <f>IF(COT_PRECALCULOS!$D$24="Precios Iva Incluído",BM36,BH36)</f>
        <v>305</v>
      </c>
      <c r="CE36" s="305">
        <f>IF(COT_PRECALCULOS!$D$24="Precios Iva Incluído",BT36,BN36)</f>
        <v>99630080</v>
      </c>
      <c r="CF36" s="305">
        <f>IF(COT_PRECALCULOS!$D$24="Precios Iva Incluído",BU36,BO36)</f>
        <v>132929370</v>
      </c>
      <c r="CG36" s="305">
        <f>IF(COT_PRECALCULOS!$D$24="Precios Iva Incluído",BV36,BP36)</f>
        <v>142179410</v>
      </c>
      <c r="CH36" s="305">
        <f>IF(COT_PRECALCULOS!$D$24="Precios Iva Incluído",BW36,BQ36)</f>
        <v>4625020</v>
      </c>
      <c r="CI36" s="305">
        <f>IF(COT_PRECALCULOS!$D$24="Precios Iva Incluído",BX36,BR36)</f>
        <v>4593300</v>
      </c>
    </row>
    <row r="37" spans="1:87">
      <c r="A37" s="182" t="s">
        <v>101</v>
      </c>
      <c r="B37" s="182" t="s">
        <v>98</v>
      </c>
      <c r="C37" s="189" t="str">
        <f t="shared" si="0"/>
        <v>F_PE2</v>
      </c>
      <c r="D37" s="189" t="str">
        <f t="shared" si="1"/>
        <v>70_P_</v>
      </c>
      <c r="E37" s="190" t="s">
        <v>1</v>
      </c>
      <c r="F37" s="190" t="s">
        <v>1</v>
      </c>
      <c r="G37" s="189" t="s">
        <v>15</v>
      </c>
      <c r="H37" s="190"/>
      <c r="I37" s="190" t="s">
        <v>69</v>
      </c>
      <c r="J37" s="190">
        <v>70</v>
      </c>
      <c r="K37" s="190" t="s">
        <v>71</v>
      </c>
      <c r="L37" s="189" t="s">
        <v>9</v>
      </c>
      <c r="M37" s="386">
        <v>0</v>
      </c>
      <c r="N37" s="211">
        <v>100</v>
      </c>
      <c r="O37" s="211">
        <v>100</v>
      </c>
      <c r="P37" s="211">
        <v>100</v>
      </c>
      <c r="Q37" s="211">
        <v>100</v>
      </c>
      <c r="R37" s="190" t="s">
        <v>73</v>
      </c>
      <c r="S37" s="183">
        <f>COUNTIF(CAL_PRIMERA_ENTREGA_FRUTA,CONCATENATE(G37,"_",J37))</f>
        <v>0</v>
      </c>
      <c r="T37" s="386">
        <v>0</v>
      </c>
      <c r="U37" s="385">
        <f t="shared" si="68"/>
        <v>0</v>
      </c>
      <c r="V37" s="385">
        <f t="shared" si="68"/>
        <v>0</v>
      </c>
      <c r="W37" s="385">
        <f t="shared" si="68"/>
        <v>0</v>
      </c>
      <c r="X37" s="385">
        <f t="shared" si="68"/>
        <v>0</v>
      </c>
      <c r="Y37" s="184">
        <f t="shared" si="5"/>
        <v>0</v>
      </c>
      <c r="Z37" s="184">
        <f>IF(N37&lt;&gt;0,VLOOKUP(A37,FRE_CANTIDADES_DIARIAS_SUMINISTROS,5,FALSE),0)</f>
        <v>217917</v>
      </c>
      <c r="AA37" s="184">
        <f>IF(O37&lt;&gt;0,VLOOKUP(A37,FRE_CANTIDADES_DIARIAS_SUMINISTROS,6,FALSE),0)</f>
        <v>233081</v>
      </c>
      <c r="AB37" s="184">
        <f>IF(P37&lt;&gt;0,VLOOKUP(A37,FRE_CANTIDADES_DIARIAS_SUMINISTROS,7,FALSE),0)</f>
        <v>7582</v>
      </c>
      <c r="AC37" s="184">
        <f>IF(Q37&lt;&gt;0,VLOOKUP(A37,FRE_CANTIDADES_DIARIAS_SUMINISTROS,8,FALSE),0)</f>
        <v>7530</v>
      </c>
      <c r="AD37" s="184">
        <f t="shared" si="10"/>
        <v>466110</v>
      </c>
      <c r="AE37" s="183">
        <f t="shared" si="56"/>
        <v>0</v>
      </c>
      <c r="AF37" s="385">
        <f t="shared" si="60"/>
        <v>0</v>
      </c>
      <c r="AG37" s="385">
        <f t="shared" si="60"/>
        <v>0</v>
      </c>
      <c r="AH37" s="385">
        <f t="shared" si="60"/>
        <v>0</v>
      </c>
      <c r="AI37" s="185">
        <f t="shared" si="13"/>
        <v>0</v>
      </c>
      <c r="AJ37" s="185">
        <f t="shared" si="14"/>
        <v>0</v>
      </c>
      <c r="AK37" s="185">
        <f t="shared" si="15"/>
        <v>0</v>
      </c>
      <c r="AL37" s="185">
        <f t="shared" si="16"/>
        <v>0</v>
      </c>
      <c r="AM37" s="173">
        <v>0</v>
      </c>
      <c r="AN37" s="173">
        <f t="shared" si="61"/>
        <v>0</v>
      </c>
      <c r="AO37" s="173">
        <f t="shared" si="62"/>
        <v>0</v>
      </c>
      <c r="AP37" s="173">
        <f t="shared" si="20"/>
        <v>0</v>
      </c>
      <c r="AQ37" s="173">
        <f t="shared" si="21"/>
        <v>0</v>
      </c>
      <c r="AR37" s="173">
        <f t="shared" si="22"/>
        <v>0</v>
      </c>
      <c r="AS37" s="186" t="s">
        <v>1342</v>
      </c>
      <c r="AT37" s="300">
        <f t="shared" si="67"/>
        <v>4.0575000000000001</v>
      </c>
      <c r="AU37" s="300">
        <f t="shared" si="67"/>
        <v>4.0575000000000001</v>
      </c>
      <c r="AV37" s="300">
        <f t="shared" si="67"/>
        <v>4.0575000000000001</v>
      </c>
      <c r="AW37" s="300">
        <f t="shared" si="67"/>
        <v>4.0575000000000001</v>
      </c>
      <c r="AX37" s="300">
        <f t="shared" si="67"/>
        <v>4.0575000000000001</v>
      </c>
      <c r="AY37" s="301">
        <f t="shared" si="63"/>
        <v>4.0575000000000001</v>
      </c>
      <c r="AZ37" s="301">
        <f t="shared" si="63"/>
        <v>4.0575000000000001</v>
      </c>
      <c r="BA37" s="301">
        <f t="shared" si="63"/>
        <v>4.0575000000000001</v>
      </c>
      <c r="BB37" s="301">
        <f t="shared" si="63"/>
        <v>4.0575000000000001</v>
      </c>
      <c r="BC37" s="301">
        <f t="shared" si="63"/>
        <v>4.0575000000000001</v>
      </c>
      <c r="BD37" s="187"/>
      <c r="BE37" s="187">
        <f t="shared" si="64"/>
        <v>434</v>
      </c>
      <c r="BF37" s="187">
        <f t="shared" si="65"/>
        <v>434</v>
      </c>
      <c r="BG37" s="187">
        <f t="shared" si="28"/>
        <v>434</v>
      </c>
      <c r="BH37" s="187">
        <f t="shared" si="29"/>
        <v>434</v>
      </c>
      <c r="BI37" s="187"/>
      <c r="BJ37" s="187">
        <f t="shared" si="48"/>
        <v>434</v>
      </c>
      <c r="BK37" s="187">
        <f t="shared" si="49"/>
        <v>434</v>
      </c>
      <c r="BL37" s="187">
        <f t="shared" si="33"/>
        <v>434</v>
      </c>
      <c r="BM37" s="187">
        <f t="shared" si="34"/>
        <v>434</v>
      </c>
      <c r="BN37" s="188"/>
      <c r="BO37" s="188">
        <f t="shared" si="50"/>
        <v>0</v>
      </c>
      <c r="BP37" s="188">
        <f t="shared" si="51"/>
        <v>0</v>
      </c>
      <c r="BQ37" s="188">
        <f t="shared" si="52"/>
        <v>0</v>
      </c>
      <c r="BR37" s="188">
        <f t="shared" si="53"/>
        <v>0</v>
      </c>
      <c r="BS37" s="188">
        <f t="shared" si="40"/>
        <v>0</v>
      </c>
      <c r="BT37" s="188">
        <f t="shared" si="41"/>
        <v>0</v>
      </c>
      <c r="BU37" s="188">
        <f t="shared" si="42"/>
        <v>0</v>
      </c>
      <c r="BV37" s="188">
        <f t="shared" si="43"/>
        <v>0</v>
      </c>
      <c r="BW37" s="188">
        <f t="shared" si="44"/>
        <v>0</v>
      </c>
      <c r="BX37" s="188">
        <f t="shared" si="45"/>
        <v>0</v>
      </c>
      <c r="BY37" s="188">
        <f t="shared" si="46"/>
        <v>0</v>
      </c>
      <c r="BZ37" s="305">
        <f>IF(COT_PRECALCULOS!$D$24="Precios Iva Incluído",BI37,BD37)</f>
        <v>0</v>
      </c>
      <c r="CA37" s="305">
        <f>IF(COT_PRECALCULOS!$D$24="Precios Iva Incluído",BJ37,BE37)</f>
        <v>434</v>
      </c>
      <c r="CB37" s="305">
        <f>IF(COT_PRECALCULOS!$D$24="Precios Iva Incluído",BK37,BF37)</f>
        <v>434</v>
      </c>
      <c r="CC37" s="305">
        <f>IF(COT_PRECALCULOS!$D$24="Precios Iva Incluído",BL37,BG37)</f>
        <v>434</v>
      </c>
      <c r="CD37" s="305">
        <f>IF(COT_PRECALCULOS!$D$24="Precios Iva Incluído",BM37,BH37)</f>
        <v>434</v>
      </c>
      <c r="CE37" s="305">
        <f>IF(COT_PRECALCULOS!$D$24="Precios Iva Incluído",BT37,BN37)</f>
        <v>0</v>
      </c>
      <c r="CF37" s="305">
        <f>IF(COT_PRECALCULOS!$D$24="Precios Iva Incluído",BU37,BO37)</f>
        <v>0</v>
      </c>
      <c r="CG37" s="305">
        <f>IF(COT_PRECALCULOS!$D$24="Precios Iva Incluído",BV37,BP37)</f>
        <v>0</v>
      </c>
      <c r="CH37" s="305">
        <f>IF(COT_PRECALCULOS!$D$24="Precios Iva Incluído",BW37,BQ37)</f>
        <v>0</v>
      </c>
      <c r="CI37" s="305">
        <f>IF(COT_PRECALCULOS!$D$24="Precios Iva Incluído",BX37,BR37)</f>
        <v>0</v>
      </c>
    </row>
    <row r="38" spans="1:87">
      <c r="A38" s="182" t="s">
        <v>101</v>
      </c>
      <c r="B38" s="182" t="s">
        <v>98</v>
      </c>
      <c r="C38" s="189" t="str">
        <f t="shared" si="0"/>
        <v>F_PE2</v>
      </c>
      <c r="D38" s="189" t="str">
        <f t="shared" si="1"/>
        <v>36_P_</v>
      </c>
      <c r="E38" s="190" t="s">
        <v>1</v>
      </c>
      <c r="F38" s="190" t="s">
        <v>1</v>
      </c>
      <c r="G38" s="189" t="s">
        <v>15</v>
      </c>
      <c r="H38" s="190"/>
      <c r="I38" s="190" t="s">
        <v>1340</v>
      </c>
      <c r="J38" s="190">
        <v>36</v>
      </c>
      <c r="K38" s="190" t="s">
        <v>1340</v>
      </c>
      <c r="L38" s="189" t="s">
        <v>9</v>
      </c>
      <c r="M38" s="211">
        <v>20</v>
      </c>
      <c r="N38" s="211">
        <v>40</v>
      </c>
      <c r="O38" s="211">
        <v>40</v>
      </c>
      <c r="P38" s="211">
        <v>40</v>
      </c>
      <c r="Q38" s="211">
        <v>40</v>
      </c>
      <c r="R38" s="190"/>
      <c r="S38" s="183">
        <f>COUNTIF(CAL_PRIMERA_ENTREGA_FRUTA,CONCATENATE(G38,"_",J38))</f>
        <v>1</v>
      </c>
      <c r="T38" s="385">
        <f>$S38</f>
        <v>1</v>
      </c>
      <c r="U38" s="385">
        <f t="shared" si="68"/>
        <v>1</v>
      </c>
      <c r="V38" s="385">
        <f t="shared" si="68"/>
        <v>1</v>
      </c>
      <c r="W38" s="385">
        <f t="shared" si="68"/>
        <v>1</v>
      </c>
      <c r="X38" s="385">
        <f t="shared" si="68"/>
        <v>1</v>
      </c>
      <c r="Y38" s="184">
        <f t="shared" si="5"/>
        <v>163328</v>
      </c>
      <c r="Z38" s="184">
        <f>IF(N38&lt;&gt;0,VLOOKUP(A38,FRE_CANTIDADES_DIARIAS_SUMINISTROS,5,FALSE),0)</f>
        <v>217917</v>
      </c>
      <c r="AA38" s="184">
        <f>IF(O38&lt;&gt;0,VLOOKUP(A38,FRE_CANTIDADES_DIARIAS_SUMINISTROS,6,FALSE),0)</f>
        <v>233081</v>
      </c>
      <c r="AB38" s="184">
        <f>IF(P38&lt;&gt;0,VLOOKUP(A38,FRE_CANTIDADES_DIARIAS_SUMINISTROS,7,FALSE),0)</f>
        <v>7582</v>
      </c>
      <c r="AC38" s="184">
        <f>IF(Q38&lt;&gt;0,VLOOKUP(A38,FRE_CANTIDADES_DIARIAS_SUMINISTROS,8,FALSE),0)</f>
        <v>7530</v>
      </c>
      <c r="AD38" s="184">
        <f t="shared" si="10"/>
        <v>629438</v>
      </c>
      <c r="AE38" s="183">
        <f t="shared" si="56"/>
        <v>0</v>
      </c>
      <c r="AF38" s="385">
        <f t="shared" si="60"/>
        <v>0</v>
      </c>
      <c r="AG38" s="385">
        <f t="shared" si="60"/>
        <v>0</v>
      </c>
      <c r="AH38" s="385">
        <f t="shared" si="60"/>
        <v>0</v>
      </c>
      <c r="AI38" s="185">
        <f t="shared" si="13"/>
        <v>0</v>
      </c>
      <c r="AJ38" s="185">
        <f t="shared" si="14"/>
        <v>0</v>
      </c>
      <c r="AK38" s="185">
        <f t="shared" si="15"/>
        <v>0</v>
      </c>
      <c r="AL38" s="185">
        <f t="shared" si="16"/>
        <v>0</v>
      </c>
      <c r="AM38" s="173">
        <f>($S38*Y38)+($AE38*AI38)</f>
        <v>163328</v>
      </c>
      <c r="AN38" s="173">
        <f t="shared" si="61"/>
        <v>217917</v>
      </c>
      <c r="AO38" s="173">
        <f t="shared" si="62"/>
        <v>233081</v>
      </c>
      <c r="AP38" s="173">
        <f t="shared" si="20"/>
        <v>7582</v>
      </c>
      <c r="AQ38" s="173">
        <f t="shared" si="21"/>
        <v>7530</v>
      </c>
      <c r="AR38" s="173">
        <f t="shared" si="22"/>
        <v>629438</v>
      </c>
      <c r="AS38" s="186" t="s">
        <v>1342</v>
      </c>
      <c r="AT38" s="300">
        <f t="shared" si="67"/>
        <v>5.9</v>
      </c>
      <c r="AU38" s="300">
        <f t="shared" si="67"/>
        <v>5.9</v>
      </c>
      <c r="AV38" s="300">
        <f t="shared" si="67"/>
        <v>5.9</v>
      </c>
      <c r="AW38" s="300">
        <f t="shared" si="67"/>
        <v>5.9</v>
      </c>
      <c r="AX38" s="300">
        <f t="shared" si="67"/>
        <v>5.9</v>
      </c>
      <c r="AY38" s="301">
        <f t="shared" ref="AY38:BC47" si="69">IF(ISERROR(MATCH(CONCATENATE($J38,"_",AY$1),COT_PRE_CODIGO_ALIMENTOS,0)),IF(ISERROR(MATCH(CONCATENATE($J38,"_",AY$2),COT_PRE_CODIGO_ALIMENTOS,0)),IF(ISERROR(MATCH(CONCATENATE($J38,"_",AY$3),COT_PRE_CODIGO_ALIMENTOS,0)),IF(ISERROR(MATCH(CONCATENATE($J38,"_",AY$4),COT_PRE_CODIGO_ALIMENTOS,0)),IF(ISERROR(MATCH(CONCATENATE($J38,"_",AY$5),COT_PRE_CODIGO_ALIMENTOS,0)),IF(ISERROR(MATCH(CONCATENATE($J38,"_",AY$6),COT_PRE_CODIGO_ALIMENTOS,0)),IF(ISERROR(MATCH(CONCATENATE($J38,"_",AY$7),COT_PRE_CODIGO_ALIMENTOS,0)),IF(ISERROR(VLOOKUP($J38,COT_PRE_ALIMENTOS,AY$8,FALSE)),"DATO NO DISPONIBLE",VLOOKUP($J38,COT_PRE_ALIMENTOS,AY$8,FALSE)),VLOOKUP(CONCATENATE($J38,"_",AY$7),COT_PRE_ALIMENTOS,AY$8,FALSE)),VLOOKUP(CONCATENATE($J38,"_",AY$6),COT_PRE_ALIMENTOS,AY$8,FALSE)),VLOOKUP(CONCATENATE($J38,"_",AY$5),COT_PRE_ALIMENTOS,AY$8,FALSE)),VLOOKUP(CONCATENATE($J38,"_",AY$4),COT_PRE_ALIMENTOS,AY$8,FALSE)),VLOOKUP(CONCATENATE($J38,"_",AY$3),COT_PRE_ALIMENTOS,AY$8,FALSE)),VLOOKUP(CONCATENATE($J38,"_",AY$2),COT_PRE_ALIMENTOS,AY$8,FALSE)),VLOOKUP(CONCATENATE($J38,"_",AY$1),COT_PRE_ALIMENTOS,AY$8,FALSE))</f>
        <v>5.9</v>
      </c>
      <c r="AZ38" s="301">
        <f t="shared" si="69"/>
        <v>5.9</v>
      </c>
      <c r="BA38" s="301">
        <f t="shared" si="69"/>
        <v>5.9</v>
      </c>
      <c r="BB38" s="301">
        <f t="shared" si="69"/>
        <v>5.9</v>
      </c>
      <c r="BC38" s="301">
        <f t="shared" si="69"/>
        <v>5.9</v>
      </c>
      <c r="BD38" s="187">
        <f>ROUND(IF(OR(M38=0,AT38="DATO NO DISPONIBLE"),"",AT38*M38*($BD$7+1)),0)</f>
        <v>126</v>
      </c>
      <c r="BE38" s="187">
        <f t="shared" si="64"/>
        <v>252</v>
      </c>
      <c r="BF38" s="187">
        <f t="shared" si="65"/>
        <v>252</v>
      </c>
      <c r="BG38" s="187">
        <f t="shared" si="28"/>
        <v>252</v>
      </c>
      <c r="BH38" s="187">
        <f t="shared" si="29"/>
        <v>252</v>
      </c>
      <c r="BI38" s="187">
        <f>ROUND(IF(OR(M38=0,AY38="DATO NO DISPONIBLE"),0,AY38*M38*($BD$7+1)),0)</f>
        <v>126</v>
      </c>
      <c r="BJ38" s="187">
        <f t="shared" si="48"/>
        <v>252</v>
      </c>
      <c r="BK38" s="187">
        <f t="shared" si="49"/>
        <v>252</v>
      </c>
      <c r="BL38" s="187">
        <f t="shared" si="33"/>
        <v>252</v>
      </c>
      <c r="BM38" s="187">
        <f t="shared" si="34"/>
        <v>252</v>
      </c>
      <c r="BN38" s="188">
        <f>BD38*AM38</f>
        <v>20579328</v>
      </c>
      <c r="BO38" s="188">
        <f t="shared" si="50"/>
        <v>54915084</v>
      </c>
      <c r="BP38" s="188">
        <f t="shared" si="51"/>
        <v>58736412</v>
      </c>
      <c r="BQ38" s="188">
        <f t="shared" si="52"/>
        <v>1910664</v>
      </c>
      <c r="BR38" s="188">
        <f t="shared" si="53"/>
        <v>1897560</v>
      </c>
      <c r="BS38" s="188">
        <f t="shared" si="40"/>
        <v>138039048</v>
      </c>
      <c r="BT38" s="188">
        <f t="shared" si="41"/>
        <v>20579328</v>
      </c>
      <c r="BU38" s="188">
        <f t="shared" si="42"/>
        <v>54915084</v>
      </c>
      <c r="BV38" s="188">
        <f t="shared" si="43"/>
        <v>58736412</v>
      </c>
      <c r="BW38" s="188">
        <f t="shared" si="44"/>
        <v>1910664</v>
      </c>
      <c r="BX38" s="188">
        <f t="shared" si="45"/>
        <v>1897560</v>
      </c>
      <c r="BY38" s="188">
        <f t="shared" si="46"/>
        <v>138039048</v>
      </c>
      <c r="BZ38" s="305">
        <f>IF(COT_PRECALCULOS!$D$24="Precios Iva Incluído",BI38,BD38)</f>
        <v>126</v>
      </c>
      <c r="CA38" s="305">
        <f>IF(COT_PRECALCULOS!$D$24="Precios Iva Incluído",BJ38,BE38)</f>
        <v>252</v>
      </c>
      <c r="CB38" s="305">
        <f>IF(COT_PRECALCULOS!$D$24="Precios Iva Incluído",BK38,BF38)</f>
        <v>252</v>
      </c>
      <c r="CC38" s="305">
        <f>IF(COT_PRECALCULOS!$D$24="Precios Iva Incluído",BL38,BG38)</f>
        <v>252</v>
      </c>
      <c r="CD38" s="305">
        <f>IF(COT_PRECALCULOS!$D$24="Precios Iva Incluído",BM38,BH38)</f>
        <v>252</v>
      </c>
      <c r="CE38" s="305">
        <f>IF(COT_PRECALCULOS!$D$24="Precios Iva Incluído",BT38,BN38)</f>
        <v>20579328</v>
      </c>
      <c r="CF38" s="305">
        <f>IF(COT_PRECALCULOS!$D$24="Precios Iva Incluído",BU38,BO38)</f>
        <v>54915084</v>
      </c>
      <c r="CG38" s="305">
        <f>IF(COT_PRECALCULOS!$D$24="Precios Iva Incluído",BV38,BP38)</f>
        <v>58736412</v>
      </c>
      <c r="CH38" s="305">
        <f>IF(COT_PRECALCULOS!$D$24="Precios Iva Incluído",BW38,BQ38)</f>
        <v>1910664</v>
      </c>
      <c r="CI38" s="305">
        <f>IF(COT_PRECALCULOS!$D$24="Precios Iva Incluído",BX38,BR38)</f>
        <v>1897560</v>
      </c>
    </row>
    <row r="39" spans="1:87">
      <c r="A39" s="182" t="s">
        <v>101</v>
      </c>
      <c r="B39" s="182" t="s">
        <v>98</v>
      </c>
      <c r="C39" s="189" t="str">
        <f t="shared" si="0"/>
        <v>F_PE3</v>
      </c>
      <c r="D39" s="189" t="str">
        <f t="shared" si="1"/>
        <v>8_P_</v>
      </c>
      <c r="E39" s="190" t="s">
        <v>1</v>
      </c>
      <c r="F39" s="190" t="s">
        <v>1</v>
      </c>
      <c r="G39" s="189" t="s">
        <v>16</v>
      </c>
      <c r="H39" s="190" t="s">
        <v>2</v>
      </c>
      <c r="I39" s="190" t="s">
        <v>54</v>
      </c>
      <c r="J39" s="190">
        <v>8</v>
      </c>
      <c r="K39" s="190" t="s">
        <v>55</v>
      </c>
      <c r="L39" s="189" t="s">
        <v>9</v>
      </c>
      <c r="M39" s="211">
        <v>100</v>
      </c>
      <c r="N39" s="211">
        <v>100</v>
      </c>
      <c r="O39" s="211">
        <v>100</v>
      </c>
      <c r="P39" s="211">
        <v>100</v>
      </c>
      <c r="Q39" s="211">
        <v>100</v>
      </c>
      <c r="R39" s="190"/>
      <c r="S39" s="388">
        <v>2</v>
      </c>
      <c r="T39" s="388">
        <f>$S39</f>
        <v>2</v>
      </c>
      <c r="U39" s="388">
        <v>0</v>
      </c>
      <c r="V39" s="388">
        <v>0</v>
      </c>
      <c r="W39" s="388">
        <v>0</v>
      </c>
      <c r="X39" s="388">
        <v>0</v>
      </c>
      <c r="Y39" s="184">
        <f t="shared" si="5"/>
        <v>163328</v>
      </c>
      <c r="Z39" s="184">
        <v>0</v>
      </c>
      <c r="AA39" s="184">
        <v>0</v>
      </c>
      <c r="AB39" s="184">
        <v>0</v>
      </c>
      <c r="AC39" s="184">
        <v>0</v>
      </c>
      <c r="AD39" s="184">
        <f t="shared" si="10"/>
        <v>163328</v>
      </c>
      <c r="AE39" s="183">
        <f t="shared" si="56"/>
        <v>0</v>
      </c>
      <c r="AF39" s="385">
        <f t="shared" si="60"/>
        <v>0</v>
      </c>
      <c r="AG39" s="385">
        <f t="shared" si="60"/>
        <v>0</v>
      </c>
      <c r="AH39" s="385">
        <f t="shared" si="60"/>
        <v>0</v>
      </c>
      <c r="AI39" s="185">
        <f t="shared" si="13"/>
        <v>0</v>
      </c>
      <c r="AJ39" s="185">
        <f t="shared" si="14"/>
        <v>0</v>
      </c>
      <c r="AK39" s="185">
        <f t="shared" si="15"/>
        <v>0</v>
      </c>
      <c r="AL39" s="185">
        <f t="shared" si="16"/>
        <v>0</v>
      </c>
      <c r="AM39" s="173">
        <f>($S39*Y39)+($AE39*AI39)</f>
        <v>326656</v>
      </c>
      <c r="AN39" s="173">
        <f t="shared" si="61"/>
        <v>0</v>
      </c>
      <c r="AO39" s="173">
        <f t="shared" si="62"/>
        <v>0</v>
      </c>
      <c r="AP39" s="173">
        <f t="shared" si="20"/>
        <v>0</v>
      </c>
      <c r="AQ39" s="173">
        <f t="shared" si="21"/>
        <v>0</v>
      </c>
      <c r="AR39" s="173">
        <f t="shared" si="22"/>
        <v>326656</v>
      </c>
      <c r="AS39" s="186" t="s">
        <v>1343</v>
      </c>
      <c r="AT39" s="300">
        <f t="shared" si="67"/>
        <v>1.25</v>
      </c>
      <c r="AU39" s="300">
        <f t="shared" si="67"/>
        <v>1.25</v>
      </c>
      <c r="AV39" s="300">
        <f t="shared" si="67"/>
        <v>1.25</v>
      </c>
      <c r="AW39" s="300">
        <f t="shared" si="67"/>
        <v>1.25</v>
      </c>
      <c r="AX39" s="300">
        <f t="shared" si="67"/>
        <v>1.25</v>
      </c>
      <c r="AY39" s="301">
        <f t="shared" si="69"/>
        <v>1.25</v>
      </c>
      <c r="AZ39" s="301">
        <f t="shared" si="69"/>
        <v>1.25</v>
      </c>
      <c r="BA39" s="301">
        <f t="shared" si="69"/>
        <v>1.25</v>
      </c>
      <c r="BB39" s="301">
        <f t="shared" si="69"/>
        <v>1.25</v>
      </c>
      <c r="BC39" s="301">
        <f t="shared" si="69"/>
        <v>1.25</v>
      </c>
      <c r="BD39" s="187">
        <f>ROUND(IF(OR(M39=0,AT39="DATO NO DISPONIBLE"),"",AT39*M39*($BD$7+1)),0)</f>
        <v>134</v>
      </c>
      <c r="BE39" s="187">
        <f t="shared" si="64"/>
        <v>134</v>
      </c>
      <c r="BF39" s="187">
        <f t="shared" si="65"/>
        <v>134</v>
      </c>
      <c r="BG39" s="187">
        <f t="shared" si="28"/>
        <v>134</v>
      </c>
      <c r="BH39" s="187">
        <f t="shared" si="29"/>
        <v>134</v>
      </c>
      <c r="BI39" s="187">
        <f>ROUND(IF(OR(M39=0,AY39="DATO NO DISPONIBLE"),0,AY39*M39*($BD$7+1)),0)</f>
        <v>134</v>
      </c>
      <c r="BJ39" s="187">
        <f t="shared" si="48"/>
        <v>134</v>
      </c>
      <c r="BK39" s="187">
        <f t="shared" si="49"/>
        <v>134</v>
      </c>
      <c r="BL39" s="187">
        <f t="shared" si="33"/>
        <v>134</v>
      </c>
      <c r="BM39" s="187">
        <f t="shared" si="34"/>
        <v>134</v>
      </c>
      <c r="BN39" s="188">
        <f>BD39*AM39</f>
        <v>43771904</v>
      </c>
      <c r="BO39" s="188">
        <f t="shared" si="50"/>
        <v>0</v>
      </c>
      <c r="BP39" s="188">
        <f t="shared" si="51"/>
        <v>0</v>
      </c>
      <c r="BQ39" s="188">
        <f t="shared" si="52"/>
        <v>0</v>
      </c>
      <c r="BR39" s="188">
        <f t="shared" si="53"/>
        <v>0</v>
      </c>
      <c r="BS39" s="188">
        <f t="shared" si="40"/>
        <v>43771904</v>
      </c>
      <c r="BT39" s="188">
        <f t="shared" si="41"/>
        <v>43771904</v>
      </c>
      <c r="BU39" s="188">
        <f t="shared" si="42"/>
        <v>0</v>
      </c>
      <c r="BV39" s="188">
        <f t="shared" si="43"/>
        <v>0</v>
      </c>
      <c r="BW39" s="188">
        <f t="shared" si="44"/>
        <v>0</v>
      </c>
      <c r="BX39" s="188">
        <f t="shared" si="45"/>
        <v>0</v>
      </c>
      <c r="BY39" s="188">
        <f t="shared" si="46"/>
        <v>43771904</v>
      </c>
      <c r="BZ39" s="305">
        <f>IF(COT_PRECALCULOS!$D$24="Precios Iva Incluído",BI39,BD39)</f>
        <v>134</v>
      </c>
      <c r="CA39" s="305">
        <f>IF(COT_PRECALCULOS!$D$24="Precios Iva Incluído",BJ39,BE39)</f>
        <v>134</v>
      </c>
      <c r="CB39" s="305">
        <f>IF(COT_PRECALCULOS!$D$24="Precios Iva Incluído",BK39,BF39)</f>
        <v>134</v>
      </c>
      <c r="CC39" s="305">
        <f>IF(COT_PRECALCULOS!$D$24="Precios Iva Incluído",BL39,BG39)</f>
        <v>134</v>
      </c>
      <c r="CD39" s="305">
        <f>IF(COT_PRECALCULOS!$D$24="Precios Iva Incluído",BM39,BH39)</f>
        <v>134</v>
      </c>
      <c r="CE39" s="305">
        <f>IF(COT_PRECALCULOS!$D$24="Precios Iva Incluído",BT39,BN39)</f>
        <v>43771904</v>
      </c>
      <c r="CF39" s="305">
        <f>IF(COT_PRECALCULOS!$D$24="Precios Iva Incluído",BU39,BO39)</f>
        <v>0</v>
      </c>
      <c r="CG39" s="305">
        <f>IF(COT_PRECALCULOS!$D$24="Precios Iva Incluído",BV39,BP39)</f>
        <v>0</v>
      </c>
      <c r="CH39" s="305">
        <f>IF(COT_PRECALCULOS!$D$24="Precios Iva Incluído",BW39,BQ39)</f>
        <v>0</v>
      </c>
      <c r="CI39" s="305">
        <f>IF(COT_PRECALCULOS!$D$24="Precios Iva Incluído",BX39,BR39)</f>
        <v>0</v>
      </c>
    </row>
    <row r="40" spans="1:87">
      <c r="A40" s="182" t="s">
        <v>101</v>
      </c>
      <c r="B40" s="182" t="s">
        <v>98</v>
      </c>
      <c r="C40" s="189" t="str">
        <f t="shared" si="0"/>
        <v>F_PE3</v>
      </c>
      <c r="D40" s="189" t="str">
        <f t="shared" si="1"/>
        <v>7_P_</v>
      </c>
      <c r="E40" s="190" t="s">
        <v>1</v>
      </c>
      <c r="F40" s="190" t="s">
        <v>1</v>
      </c>
      <c r="G40" s="189" t="s">
        <v>16</v>
      </c>
      <c r="H40" s="190"/>
      <c r="I40" s="190" t="s">
        <v>56</v>
      </c>
      <c r="J40" s="190">
        <v>7</v>
      </c>
      <c r="K40" s="190" t="s">
        <v>57</v>
      </c>
      <c r="L40" s="189" t="s">
        <v>9</v>
      </c>
      <c r="M40" s="211">
        <v>100</v>
      </c>
      <c r="N40" s="211">
        <v>100</v>
      </c>
      <c r="O40" s="211">
        <v>100</v>
      </c>
      <c r="P40" s="211">
        <v>100</v>
      </c>
      <c r="Q40" s="211">
        <v>100</v>
      </c>
      <c r="R40" s="190"/>
      <c r="S40" s="183">
        <f t="shared" ref="S40:S57" si="70">COUNTIF(CAL_PRIMERA_ENTREGA_FRUTA,CONCATENATE(G40,"_",J40))</f>
        <v>1</v>
      </c>
      <c r="T40" s="385">
        <f>$S40</f>
        <v>1</v>
      </c>
      <c r="U40" s="385">
        <f t="shared" ref="U40:X57" si="71">$S40</f>
        <v>1</v>
      </c>
      <c r="V40" s="385">
        <f t="shared" si="71"/>
        <v>1</v>
      </c>
      <c r="W40" s="385">
        <f t="shared" si="71"/>
        <v>1</v>
      </c>
      <c r="X40" s="385">
        <f t="shared" si="71"/>
        <v>1</v>
      </c>
      <c r="Y40" s="184">
        <f t="shared" si="5"/>
        <v>163328</v>
      </c>
      <c r="Z40" s="184">
        <f t="shared" ref="Z40:Z57" si="72">IF(N40&lt;&gt;0,VLOOKUP(A40,FRE_CANTIDADES_DIARIAS_SUMINISTROS,5,FALSE),0)</f>
        <v>217917</v>
      </c>
      <c r="AA40" s="184">
        <f t="shared" ref="AA40:AA57" si="73">IF(O40&lt;&gt;0,VLOOKUP(A40,FRE_CANTIDADES_DIARIAS_SUMINISTROS,6,FALSE),0)</f>
        <v>233081</v>
      </c>
      <c r="AB40" s="184">
        <f t="shared" ref="AB40:AB57" si="74">IF(P40&lt;&gt;0,VLOOKUP(A40,FRE_CANTIDADES_DIARIAS_SUMINISTROS,7,FALSE),0)</f>
        <v>7582</v>
      </c>
      <c r="AC40" s="184">
        <f t="shared" ref="AC40:AC57" si="75">IF(Q40&lt;&gt;0,VLOOKUP(A40,FRE_CANTIDADES_DIARIAS_SUMINISTROS,8,FALSE),0)</f>
        <v>7530</v>
      </c>
      <c r="AD40" s="184">
        <f t="shared" si="10"/>
        <v>629438</v>
      </c>
      <c r="AE40" s="183">
        <f t="shared" si="56"/>
        <v>0</v>
      </c>
      <c r="AF40" s="385">
        <f t="shared" si="60"/>
        <v>0</v>
      </c>
      <c r="AG40" s="385">
        <f t="shared" si="60"/>
        <v>0</v>
      </c>
      <c r="AH40" s="385">
        <f t="shared" si="60"/>
        <v>0</v>
      </c>
      <c r="AI40" s="185">
        <f t="shared" si="13"/>
        <v>0</v>
      </c>
      <c r="AJ40" s="185">
        <f t="shared" si="14"/>
        <v>0</v>
      </c>
      <c r="AK40" s="185">
        <f t="shared" si="15"/>
        <v>0</v>
      </c>
      <c r="AL40" s="185">
        <f t="shared" si="16"/>
        <v>0</v>
      </c>
      <c r="AM40" s="173">
        <f>($S40*Y40)+($AE40*AI40)</f>
        <v>163328</v>
      </c>
      <c r="AN40" s="173">
        <f t="shared" si="61"/>
        <v>217917</v>
      </c>
      <c r="AO40" s="173">
        <f t="shared" si="62"/>
        <v>233081</v>
      </c>
      <c r="AP40" s="173">
        <f t="shared" si="20"/>
        <v>7582</v>
      </c>
      <c r="AQ40" s="173">
        <f t="shared" si="21"/>
        <v>7530</v>
      </c>
      <c r="AR40" s="173">
        <f t="shared" si="22"/>
        <v>629438</v>
      </c>
      <c r="AS40" s="186" t="s">
        <v>1343</v>
      </c>
      <c r="AT40" s="300">
        <f t="shared" si="67"/>
        <v>1</v>
      </c>
      <c r="AU40" s="300">
        <f t="shared" si="67"/>
        <v>1</v>
      </c>
      <c r="AV40" s="300">
        <f t="shared" si="67"/>
        <v>1</v>
      </c>
      <c r="AW40" s="300">
        <f t="shared" si="67"/>
        <v>1</v>
      </c>
      <c r="AX40" s="300">
        <f t="shared" si="67"/>
        <v>1</v>
      </c>
      <c r="AY40" s="301">
        <f t="shared" si="69"/>
        <v>1</v>
      </c>
      <c r="AZ40" s="301">
        <f t="shared" si="69"/>
        <v>1</v>
      </c>
      <c r="BA40" s="301">
        <f t="shared" si="69"/>
        <v>1</v>
      </c>
      <c r="BB40" s="301">
        <f t="shared" si="69"/>
        <v>1</v>
      </c>
      <c r="BC40" s="301">
        <f t="shared" si="69"/>
        <v>1</v>
      </c>
      <c r="BD40" s="187">
        <f>ROUND(IF(OR(M40=0,AT40="DATO NO DISPONIBLE"),"",AT40*M40*($BD$7+1)),0)</f>
        <v>107</v>
      </c>
      <c r="BE40" s="187">
        <f t="shared" si="64"/>
        <v>107</v>
      </c>
      <c r="BF40" s="187">
        <f t="shared" si="65"/>
        <v>107</v>
      </c>
      <c r="BG40" s="187">
        <f t="shared" si="28"/>
        <v>107</v>
      </c>
      <c r="BH40" s="187">
        <f t="shared" si="29"/>
        <v>107</v>
      </c>
      <c r="BI40" s="187">
        <f>ROUND(IF(OR(M40=0,AY40="DATO NO DISPONIBLE"),0,AY40*M40*($BD$7+1)),0)</f>
        <v>107</v>
      </c>
      <c r="BJ40" s="187">
        <f t="shared" si="48"/>
        <v>107</v>
      </c>
      <c r="BK40" s="187">
        <f t="shared" si="49"/>
        <v>107</v>
      </c>
      <c r="BL40" s="187">
        <f t="shared" si="33"/>
        <v>107</v>
      </c>
      <c r="BM40" s="187">
        <f t="shared" si="34"/>
        <v>107</v>
      </c>
      <c r="BN40" s="188">
        <f>BD40*AM40</f>
        <v>17476096</v>
      </c>
      <c r="BO40" s="188">
        <f t="shared" si="50"/>
        <v>23317119</v>
      </c>
      <c r="BP40" s="188">
        <f t="shared" si="51"/>
        <v>24939667</v>
      </c>
      <c r="BQ40" s="188">
        <f t="shared" si="52"/>
        <v>811274</v>
      </c>
      <c r="BR40" s="188">
        <f t="shared" si="53"/>
        <v>805710</v>
      </c>
      <c r="BS40" s="188">
        <f t="shared" si="40"/>
        <v>67349866</v>
      </c>
      <c r="BT40" s="188">
        <f t="shared" si="41"/>
        <v>17476096</v>
      </c>
      <c r="BU40" s="188">
        <f t="shared" si="42"/>
        <v>23317119</v>
      </c>
      <c r="BV40" s="188">
        <f t="shared" si="43"/>
        <v>24939667</v>
      </c>
      <c r="BW40" s="188">
        <f t="shared" si="44"/>
        <v>811274</v>
      </c>
      <c r="BX40" s="188">
        <f t="shared" si="45"/>
        <v>805710</v>
      </c>
      <c r="BY40" s="188">
        <f t="shared" si="46"/>
        <v>67349866</v>
      </c>
      <c r="BZ40" s="305">
        <f>IF(COT_PRECALCULOS!$D$24="Precios Iva Incluído",BI40,BD40)</f>
        <v>107</v>
      </c>
      <c r="CA40" s="305">
        <f>IF(COT_PRECALCULOS!$D$24="Precios Iva Incluído",BJ40,BE40)</f>
        <v>107</v>
      </c>
      <c r="CB40" s="305">
        <f>IF(COT_PRECALCULOS!$D$24="Precios Iva Incluído",BK40,BF40)</f>
        <v>107</v>
      </c>
      <c r="CC40" s="305">
        <f>IF(COT_PRECALCULOS!$D$24="Precios Iva Incluído",BL40,BG40)</f>
        <v>107</v>
      </c>
      <c r="CD40" s="305">
        <f>IF(COT_PRECALCULOS!$D$24="Precios Iva Incluído",BM40,BH40)</f>
        <v>107</v>
      </c>
      <c r="CE40" s="305">
        <f>IF(COT_PRECALCULOS!$D$24="Precios Iva Incluído",BT40,BN40)</f>
        <v>17476096</v>
      </c>
      <c r="CF40" s="305">
        <f>IF(COT_PRECALCULOS!$D$24="Precios Iva Incluído",BU40,BO40)</f>
        <v>23317119</v>
      </c>
      <c r="CG40" s="305">
        <f>IF(COT_PRECALCULOS!$D$24="Precios Iva Incluído",BV40,BP40)</f>
        <v>24939667</v>
      </c>
      <c r="CH40" s="305">
        <f>IF(COT_PRECALCULOS!$D$24="Precios Iva Incluído",BW40,BQ40)</f>
        <v>811274</v>
      </c>
      <c r="CI40" s="305">
        <f>IF(COT_PRECALCULOS!$D$24="Precios Iva Incluído",BX40,BR40)</f>
        <v>805710</v>
      </c>
    </row>
    <row r="41" spans="1:87">
      <c r="A41" s="182" t="s">
        <v>101</v>
      </c>
      <c r="B41" s="182" t="s">
        <v>98</v>
      </c>
      <c r="C41" s="189" t="str">
        <f t="shared" si="0"/>
        <v>F_PE3</v>
      </c>
      <c r="D41" s="189" t="str">
        <f t="shared" si="1"/>
        <v>17_P_</v>
      </c>
      <c r="E41" s="190" t="s">
        <v>1</v>
      </c>
      <c r="F41" s="190" t="s">
        <v>1</v>
      </c>
      <c r="G41" s="189" t="s">
        <v>16</v>
      </c>
      <c r="H41" s="190"/>
      <c r="I41" s="190" t="s">
        <v>52</v>
      </c>
      <c r="J41" s="190">
        <v>17</v>
      </c>
      <c r="K41" s="190" t="s">
        <v>53</v>
      </c>
      <c r="L41" s="189" t="s">
        <v>9</v>
      </c>
      <c r="M41" s="386">
        <v>0</v>
      </c>
      <c r="N41" s="211">
        <v>100</v>
      </c>
      <c r="O41" s="211">
        <v>100</v>
      </c>
      <c r="P41" s="211">
        <v>100</v>
      </c>
      <c r="Q41" s="211">
        <v>100</v>
      </c>
      <c r="R41" s="190" t="s">
        <v>73</v>
      </c>
      <c r="S41" s="385">
        <f t="shared" si="70"/>
        <v>1</v>
      </c>
      <c r="T41" s="386">
        <v>0</v>
      </c>
      <c r="U41" s="385">
        <f t="shared" si="71"/>
        <v>1</v>
      </c>
      <c r="V41" s="385">
        <f t="shared" si="71"/>
        <v>1</v>
      </c>
      <c r="W41" s="385">
        <f t="shared" si="71"/>
        <v>1</v>
      </c>
      <c r="X41" s="385">
        <f t="shared" si="71"/>
        <v>1</v>
      </c>
      <c r="Y41" s="184">
        <f t="shared" si="5"/>
        <v>0</v>
      </c>
      <c r="Z41" s="184">
        <f t="shared" si="72"/>
        <v>217917</v>
      </c>
      <c r="AA41" s="184">
        <f t="shared" si="73"/>
        <v>233081</v>
      </c>
      <c r="AB41" s="184">
        <f t="shared" si="74"/>
        <v>7582</v>
      </c>
      <c r="AC41" s="184">
        <f t="shared" si="75"/>
        <v>7530</v>
      </c>
      <c r="AD41" s="184">
        <f t="shared" si="10"/>
        <v>466110</v>
      </c>
      <c r="AE41" s="183">
        <f t="shared" si="56"/>
        <v>0</v>
      </c>
      <c r="AF41" s="385">
        <f t="shared" si="60"/>
        <v>0</v>
      </c>
      <c r="AG41" s="385">
        <f t="shared" si="60"/>
        <v>0</v>
      </c>
      <c r="AH41" s="385">
        <f t="shared" si="60"/>
        <v>0</v>
      </c>
      <c r="AI41" s="185">
        <f t="shared" si="13"/>
        <v>0</v>
      </c>
      <c r="AJ41" s="185">
        <f t="shared" si="14"/>
        <v>0</v>
      </c>
      <c r="AK41" s="185">
        <f t="shared" si="15"/>
        <v>0</v>
      </c>
      <c r="AL41" s="185">
        <f t="shared" si="16"/>
        <v>0</v>
      </c>
      <c r="AM41" s="173">
        <v>0</v>
      </c>
      <c r="AN41" s="173">
        <f t="shared" si="61"/>
        <v>217917</v>
      </c>
      <c r="AO41" s="173">
        <f t="shared" si="62"/>
        <v>233081</v>
      </c>
      <c r="AP41" s="173">
        <f t="shared" si="20"/>
        <v>7582</v>
      </c>
      <c r="AQ41" s="173">
        <f t="shared" si="21"/>
        <v>7530</v>
      </c>
      <c r="AR41" s="173">
        <f t="shared" si="22"/>
        <v>466110</v>
      </c>
      <c r="AS41" s="186" t="s">
        <v>1343</v>
      </c>
      <c r="AT41" s="300">
        <f t="shared" ref="AT41:AX50" si="76">IF(ISERROR(IF(ISERROR(MATCH(CONCATENATE($J41,"_",AT$1),COT_PRE_CODIGO_ALIMENTOS,0)),IF(ISERROR(MATCH(CONCATENATE($J41,"_",AT$2),COT_PRE_CODIGO_ALIMENTOS,0)),IF(ISERROR(MATCH(CONCATENATE($J41,"_",AT$3),COT_PRE_CODIGO_ALIMENTOS,0)),IF(ISERROR(MATCH(CONCATENATE($J41,"_",AT$4),COT_PRE_CODIGO_ALIMENTOS,0)),IF(ISERROR(MATCH(CONCATENATE($J41,"_",AT$5),COT_PRE_CODIGO_ALIMENTOS,0)),IF(ISERROR(MATCH(CONCATENATE($J41,"_",AT$6),COT_PRE_CODIGO_ALIMENTOS,0)),IF(ISERROR(MATCH(CONCATENATE($J41,"_",AT$7),COT_PRE_CODIGO_ALIMENTOS,0)),IF(ISERROR(VLOOKUP($J41,COT_PRE_ALIMENTOS,AT$8,FALSE)),"DATO NO DISPONIBLE",VLOOKUP($J41,COT_PRE_ALIMENTOS,AT$8,FALSE)),VLOOKUP(CONCATENATE($J41,"_",AT$7),COT_PRE_ALIMENTOS,AT$8,FALSE)),VLOOKUP(CONCATENATE($J41,"_",AT$6),COT_PRE_ALIMENTOS,AT$8,FALSE)),VLOOKUP(CONCATENATE($J41,"_",AT$5),COT_PRE_ALIMENTOS,AT$8,FALSE)),VLOOKUP(CONCATENATE($J41,"_",AT$4),COT_PRE_ALIMENTOS,AT$8,FALSE)),VLOOKUP(CONCATENATE($J41,"_",AT$3),COT_PRE_ALIMENTOS,AT$8,FALSE)),VLOOKUP(CONCATENATE($J41,"_",AT$2),COT_PRE_ALIMENTOS,AT$8,FALSE)),VLOOKUP(CONCATENATE($J41,"_",AT$1),COT_PRE_ALIMENTOS,AT$8,FALSE))),"DATO NO DISPONIBLE",IF(ISERROR(MATCH(CONCATENATE($J41,"_",AT$1),COT_PRE_CODIGO_ALIMENTOS,0)),IF(ISERROR(MATCH(CONCATENATE($J41,"_",AT$2),COT_PRE_CODIGO_ALIMENTOS,0)),IF(ISERROR(MATCH(CONCATENATE($J41,"_",AT$3),COT_PRE_CODIGO_ALIMENTOS,0)),IF(ISERROR(MATCH(CONCATENATE($J41,"_",AT$4),COT_PRE_CODIGO_ALIMENTOS,0)),IF(ISERROR(MATCH(CONCATENATE($J41,"_",AT$5),COT_PRE_CODIGO_ALIMENTOS,0)),IF(ISERROR(MATCH(CONCATENATE($J41,"_",AT$6),COT_PRE_CODIGO_ALIMENTOS,0)),IF(ISERROR(MATCH(CONCATENATE($J41,"_",AT$7),COT_PRE_CODIGO_ALIMENTOS,0)),IF(ISERROR(VLOOKUP($J41,COT_PRE_ALIMENTOS,AT$8,FALSE)),"DATO NO DISPONIBLE",VLOOKUP($J41,COT_PRE_ALIMENTOS,AT$8,FALSE)),VLOOKUP(CONCATENATE($J41,"_",AT$7),COT_PRE_ALIMENTOS,AT$8,FALSE)),VLOOKUP(CONCATENATE($J41,"_",AT$6),COT_PRE_ALIMENTOS,AT$8,FALSE)),VLOOKUP(CONCATENATE($J41,"_",AT$5),COT_PRE_ALIMENTOS,AT$8,FALSE)),VLOOKUP(CONCATENATE($J41,"_",AT$4),COT_PRE_ALIMENTOS,AT$8,FALSE)),VLOOKUP(CONCATENATE($J41,"_",AT$3),COT_PRE_ALIMENTOS,AT$8,FALSE)),VLOOKUP(CONCATENATE($J41,"_",AT$2),COT_PRE_ALIMENTOS,AT$8,FALSE)),VLOOKUP(CONCATENATE($J41,"_",AT$1),COT_PRE_ALIMENTOS,AT$8,FALSE)))</f>
        <v>2.11</v>
      </c>
      <c r="AU41" s="300">
        <f t="shared" si="76"/>
        <v>2.11</v>
      </c>
      <c r="AV41" s="300">
        <f t="shared" si="76"/>
        <v>2.11</v>
      </c>
      <c r="AW41" s="300">
        <f t="shared" si="76"/>
        <v>2.11</v>
      </c>
      <c r="AX41" s="300">
        <f t="shared" si="76"/>
        <v>2.11</v>
      </c>
      <c r="AY41" s="301">
        <f t="shared" si="69"/>
        <v>2.11</v>
      </c>
      <c r="AZ41" s="301">
        <f t="shared" si="69"/>
        <v>2.11</v>
      </c>
      <c r="BA41" s="301">
        <f t="shared" si="69"/>
        <v>2.11</v>
      </c>
      <c r="BB41" s="301">
        <f t="shared" si="69"/>
        <v>2.11</v>
      </c>
      <c r="BC41" s="301">
        <f t="shared" si="69"/>
        <v>2.11</v>
      </c>
      <c r="BD41" s="187"/>
      <c r="BE41" s="187">
        <f t="shared" si="64"/>
        <v>226</v>
      </c>
      <c r="BF41" s="187">
        <f t="shared" si="65"/>
        <v>226</v>
      </c>
      <c r="BG41" s="187">
        <f t="shared" si="28"/>
        <v>226</v>
      </c>
      <c r="BH41" s="187">
        <f t="shared" si="29"/>
        <v>226</v>
      </c>
      <c r="BI41" s="187"/>
      <c r="BJ41" s="187">
        <f t="shared" si="48"/>
        <v>226</v>
      </c>
      <c r="BK41" s="187">
        <f t="shared" si="49"/>
        <v>226</v>
      </c>
      <c r="BL41" s="187">
        <f t="shared" si="33"/>
        <v>226</v>
      </c>
      <c r="BM41" s="187">
        <f t="shared" si="34"/>
        <v>226</v>
      </c>
      <c r="BN41" s="188"/>
      <c r="BO41" s="188">
        <f t="shared" si="50"/>
        <v>49249242</v>
      </c>
      <c r="BP41" s="188">
        <f t="shared" si="51"/>
        <v>52676306</v>
      </c>
      <c r="BQ41" s="188">
        <f t="shared" si="52"/>
        <v>1713532</v>
      </c>
      <c r="BR41" s="188">
        <f t="shared" si="53"/>
        <v>1701780</v>
      </c>
      <c r="BS41" s="188">
        <f t="shared" si="40"/>
        <v>105340860</v>
      </c>
      <c r="BT41" s="188">
        <f t="shared" si="41"/>
        <v>0</v>
      </c>
      <c r="BU41" s="188">
        <f t="shared" si="42"/>
        <v>49249242</v>
      </c>
      <c r="BV41" s="188">
        <f t="shared" si="43"/>
        <v>52676306</v>
      </c>
      <c r="BW41" s="188">
        <f t="shared" si="44"/>
        <v>1713532</v>
      </c>
      <c r="BX41" s="188">
        <f t="shared" si="45"/>
        <v>1701780</v>
      </c>
      <c r="BY41" s="188">
        <f t="shared" si="46"/>
        <v>105340860</v>
      </c>
      <c r="BZ41" s="305">
        <f>IF(COT_PRECALCULOS!$D$24="Precios Iva Incluído",BI41,BD41)</f>
        <v>0</v>
      </c>
      <c r="CA41" s="305">
        <f>IF(COT_PRECALCULOS!$D$24="Precios Iva Incluído",BJ41,BE41)</f>
        <v>226</v>
      </c>
      <c r="CB41" s="305">
        <f>IF(COT_PRECALCULOS!$D$24="Precios Iva Incluído",BK41,BF41)</f>
        <v>226</v>
      </c>
      <c r="CC41" s="305">
        <f>IF(COT_PRECALCULOS!$D$24="Precios Iva Incluído",BL41,BG41)</f>
        <v>226</v>
      </c>
      <c r="CD41" s="305">
        <f>IF(COT_PRECALCULOS!$D$24="Precios Iva Incluído",BM41,BH41)</f>
        <v>226</v>
      </c>
      <c r="CE41" s="305">
        <f>IF(COT_PRECALCULOS!$D$24="Precios Iva Incluído",BT41,BN41)</f>
        <v>0</v>
      </c>
      <c r="CF41" s="305">
        <f>IF(COT_PRECALCULOS!$D$24="Precios Iva Incluído",BU41,BO41)</f>
        <v>49249242</v>
      </c>
      <c r="CG41" s="305">
        <f>IF(COT_PRECALCULOS!$D$24="Precios Iva Incluído",BV41,BP41)</f>
        <v>52676306</v>
      </c>
      <c r="CH41" s="305">
        <f>IF(COT_PRECALCULOS!$D$24="Precios Iva Incluído",BW41,BQ41)</f>
        <v>1713532</v>
      </c>
      <c r="CI41" s="305">
        <f>IF(COT_PRECALCULOS!$D$24="Precios Iva Incluído",BX41,BR41)</f>
        <v>1701780</v>
      </c>
    </row>
    <row r="42" spans="1:87">
      <c r="A42" s="182" t="s">
        <v>101</v>
      </c>
      <c r="B42" s="182" t="s">
        <v>98</v>
      </c>
      <c r="C42" s="189" t="str">
        <f t="shared" si="0"/>
        <v>F_PE3</v>
      </c>
      <c r="D42" s="189" t="str">
        <f t="shared" si="1"/>
        <v>22_P_</v>
      </c>
      <c r="E42" s="190" t="s">
        <v>1</v>
      </c>
      <c r="F42" s="190" t="s">
        <v>1</v>
      </c>
      <c r="G42" s="189" t="s">
        <v>16</v>
      </c>
      <c r="H42" s="190"/>
      <c r="I42" s="190" t="s">
        <v>50</v>
      </c>
      <c r="J42" s="190">
        <v>22</v>
      </c>
      <c r="K42" s="190" t="s">
        <v>51</v>
      </c>
      <c r="L42" s="189" t="s">
        <v>9</v>
      </c>
      <c r="M42" s="386">
        <v>0</v>
      </c>
      <c r="N42" s="211">
        <v>100</v>
      </c>
      <c r="O42" s="211">
        <v>100</v>
      </c>
      <c r="P42" s="211">
        <v>100</v>
      </c>
      <c r="Q42" s="211">
        <v>100</v>
      </c>
      <c r="R42" s="190" t="s">
        <v>73</v>
      </c>
      <c r="S42" s="183">
        <f t="shared" si="70"/>
        <v>1</v>
      </c>
      <c r="T42" s="386">
        <v>0</v>
      </c>
      <c r="U42" s="385">
        <f t="shared" si="71"/>
        <v>1</v>
      </c>
      <c r="V42" s="385">
        <f t="shared" si="71"/>
        <v>1</v>
      </c>
      <c r="W42" s="385">
        <f t="shared" si="71"/>
        <v>1</v>
      </c>
      <c r="X42" s="385">
        <f t="shared" si="71"/>
        <v>1</v>
      </c>
      <c r="Y42" s="184">
        <f t="shared" si="5"/>
        <v>0</v>
      </c>
      <c r="Z42" s="184">
        <f t="shared" si="72"/>
        <v>217917</v>
      </c>
      <c r="AA42" s="184">
        <f t="shared" si="73"/>
        <v>233081</v>
      </c>
      <c r="AB42" s="184">
        <f t="shared" si="74"/>
        <v>7582</v>
      </c>
      <c r="AC42" s="184">
        <f t="shared" si="75"/>
        <v>7530</v>
      </c>
      <c r="AD42" s="184">
        <f t="shared" si="10"/>
        <v>466110</v>
      </c>
      <c r="AE42" s="183">
        <f t="shared" si="56"/>
        <v>0</v>
      </c>
      <c r="AF42" s="385">
        <f t="shared" si="60"/>
        <v>0</v>
      </c>
      <c r="AG42" s="385">
        <f t="shared" si="60"/>
        <v>0</v>
      </c>
      <c r="AH42" s="385">
        <f t="shared" si="60"/>
        <v>0</v>
      </c>
      <c r="AI42" s="185">
        <f t="shared" si="13"/>
        <v>0</v>
      </c>
      <c r="AJ42" s="185">
        <f t="shared" si="14"/>
        <v>0</v>
      </c>
      <c r="AK42" s="185">
        <f t="shared" si="15"/>
        <v>0</v>
      </c>
      <c r="AL42" s="185">
        <f t="shared" si="16"/>
        <v>0</v>
      </c>
      <c r="AM42" s="173">
        <v>0</v>
      </c>
      <c r="AN42" s="173">
        <f t="shared" si="61"/>
        <v>217917</v>
      </c>
      <c r="AO42" s="173">
        <f t="shared" si="62"/>
        <v>233081</v>
      </c>
      <c r="AP42" s="173">
        <f t="shared" si="20"/>
        <v>7582</v>
      </c>
      <c r="AQ42" s="173">
        <f t="shared" si="21"/>
        <v>7530</v>
      </c>
      <c r="AR42" s="173">
        <f t="shared" si="22"/>
        <v>466110</v>
      </c>
      <c r="AS42" s="186" t="s">
        <v>1343</v>
      </c>
      <c r="AT42" s="300">
        <f t="shared" si="76"/>
        <v>4.9124999999999996</v>
      </c>
      <c r="AU42" s="300">
        <f t="shared" si="76"/>
        <v>4.9124999999999996</v>
      </c>
      <c r="AV42" s="300">
        <f t="shared" si="76"/>
        <v>4.9124999999999996</v>
      </c>
      <c r="AW42" s="300">
        <f t="shared" si="76"/>
        <v>4.9124999999999996</v>
      </c>
      <c r="AX42" s="300">
        <f t="shared" si="76"/>
        <v>4.9124999999999996</v>
      </c>
      <c r="AY42" s="301">
        <f t="shared" si="69"/>
        <v>4.9124999999999996</v>
      </c>
      <c r="AZ42" s="301">
        <f t="shared" si="69"/>
        <v>4.9124999999999996</v>
      </c>
      <c r="BA42" s="301">
        <f t="shared" si="69"/>
        <v>4.9124999999999996</v>
      </c>
      <c r="BB42" s="301">
        <f t="shared" si="69"/>
        <v>4.9124999999999996</v>
      </c>
      <c r="BC42" s="301">
        <f t="shared" si="69"/>
        <v>4.9124999999999996</v>
      </c>
      <c r="BD42" s="187"/>
      <c r="BE42" s="187">
        <f t="shared" si="64"/>
        <v>525</v>
      </c>
      <c r="BF42" s="187">
        <f t="shared" si="65"/>
        <v>525</v>
      </c>
      <c r="BG42" s="187">
        <f t="shared" si="28"/>
        <v>525</v>
      </c>
      <c r="BH42" s="187">
        <f t="shared" si="29"/>
        <v>525</v>
      </c>
      <c r="BI42" s="187"/>
      <c r="BJ42" s="187">
        <f t="shared" si="48"/>
        <v>525</v>
      </c>
      <c r="BK42" s="187">
        <f t="shared" si="49"/>
        <v>525</v>
      </c>
      <c r="BL42" s="187">
        <f t="shared" si="33"/>
        <v>525</v>
      </c>
      <c r="BM42" s="187">
        <f t="shared" si="34"/>
        <v>525</v>
      </c>
      <c r="BN42" s="188"/>
      <c r="BO42" s="188">
        <f t="shared" si="50"/>
        <v>114406425</v>
      </c>
      <c r="BP42" s="188">
        <f t="shared" si="51"/>
        <v>122367525</v>
      </c>
      <c r="BQ42" s="188">
        <f t="shared" si="52"/>
        <v>3980550</v>
      </c>
      <c r="BR42" s="188">
        <f t="shared" si="53"/>
        <v>3953250</v>
      </c>
      <c r="BS42" s="188">
        <f t="shared" si="40"/>
        <v>244707750</v>
      </c>
      <c r="BT42" s="188">
        <f t="shared" si="41"/>
        <v>0</v>
      </c>
      <c r="BU42" s="188">
        <f t="shared" si="42"/>
        <v>114406425</v>
      </c>
      <c r="BV42" s="188">
        <f t="shared" si="43"/>
        <v>122367525</v>
      </c>
      <c r="BW42" s="188">
        <f t="shared" si="44"/>
        <v>3980550</v>
      </c>
      <c r="BX42" s="188">
        <f t="shared" si="45"/>
        <v>3953250</v>
      </c>
      <c r="BY42" s="188">
        <f t="shared" si="46"/>
        <v>244707750</v>
      </c>
      <c r="BZ42" s="305">
        <f>IF(COT_PRECALCULOS!$D$24="Precios Iva Incluído",BI42,BD42)</f>
        <v>0</v>
      </c>
      <c r="CA42" s="305">
        <f>IF(COT_PRECALCULOS!$D$24="Precios Iva Incluído",BJ42,BE42)</f>
        <v>525</v>
      </c>
      <c r="CB42" s="305">
        <f>IF(COT_PRECALCULOS!$D$24="Precios Iva Incluído",BK42,BF42)</f>
        <v>525</v>
      </c>
      <c r="CC42" s="305">
        <f>IF(COT_PRECALCULOS!$D$24="Precios Iva Incluído",BL42,BG42)</f>
        <v>525</v>
      </c>
      <c r="CD42" s="305">
        <f>IF(COT_PRECALCULOS!$D$24="Precios Iva Incluído",BM42,BH42)</f>
        <v>525</v>
      </c>
      <c r="CE42" s="305">
        <f>IF(COT_PRECALCULOS!$D$24="Precios Iva Incluído",BT42,BN42)</f>
        <v>0</v>
      </c>
      <c r="CF42" s="305">
        <f>IF(COT_PRECALCULOS!$D$24="Precios Iva Incluído",BU42,BO42)</f>
        <v>114406425</v>
      </c>
      <c r="CG42" s="305">
        <f>IF(COT_PRECALCULOS!$D$24="Precios Iva Incluído",BV42,BP42)</f>
        <v>122367525</v>
      </c>
      <c r="CH42" s="305">
        <f>IF(COT_PRECALCULOS!$D$24="Precios Iva Incluído",BW42,BQ42)</f>
        <v>3980550</v>
      </c>
      <c r="CI42" s="305">
        <f>IF(COT_PRECALCULOS!$D$24="Precios Iva Incluído",BX42,BR42)</f>
        <v>3953250</v>
      </c>
    </row>
    <row r="43" spans="1:87">
      <c r="A43" s="182" t="s">
        <v>101</v>
      </c>
      <c r="B43" s="182" t="s">
        <v>98</v>
      </c>
      <c r="C43" s="189" t="str">
        <f t="shared" si="0"/>
        <v>F_PE3</v>
      </c>
      <c r="D43" s="189" t="str">
        <f t="shared" si="1"/>
        <v>33_P_</v>
      </c>
      <c r="E43" s="190" t="s">
        <v>1</v>
      </c>
      <c r="F43" s="190" t="s">
        <v>1</v>
      </c>
      <c r="G43" s="189" t="s">
        <v>16</v>
      </c>
      <c r="H43" s="190"/>
      <c r="I43" s="190" t="s">
        <v>58</v>
      </c>
      <c r="J43" s="190">
        <v>33</v>
      </c>
      <c r="K43" s="190" t="s">
        <v>59</v>
      </c>
      <c r="L43" s="189" t="s">
        <v>48</v>
      </c>
      <c r="M43" s="310">
        <v>90</v>
      </c>
      <c r="N43" s="310">
        <v>90</v>
      </c>
      <c r="O43" s="310">
        <v>90</v>
      </c>
      <c r="P43" s="310">
        <v>90</v>
      </c>
      <c r="Q43" s="310">
        <v>90</v>
      </c>
      <c r="R43" s="190"/>
      <c r="S43" s="385">
        <f t="shared" si="70"/>
        <v>1</v>
      </c>
      <c r="T43" s="385">
        <f>$S43</f>
        <v>1</v>
      </c>
      <c r="U43" s="385">
        <f t="shared" si="71"/>
        <v>1</v>
      </c>
      <c r="V43" s="385">
        <f t="shared" si="71"/>
        <v>1</v>
      </c>
      <c r="W43" s="385">
        <f t="shared" si="71"/>
        <v>1</v>
      </c>
      <c r="X43" s="385">
        <f t="shared" si="71"/>
        <v>1</v>
      </c>
      <c r="Y43" s="184">
        <f t="shared" si="5"/>
        <v>163328</v>
      </c>
      <c r="Z43" s="184">
        <f t="shared" si="72"/>
        <v>217917</v>
      </c>
      <c r="AA43" s="184">
        <f t="shared" si="73"/>
        <v>233081</v>
      </c>
      <c r="AB43" s="184">
        <f t="shared" si="74"/>
        <v>7582</v>
      </c>
      <c r="AC43" s="184">
        <f t="shared" si="75"/>
        <v>7530</v>
      </c>
      <c r="AD43" s="184">
        <f t="shared" si="10"/>
        <v>629438</v>
      </c>
      <c r="AE43" s="183">
        <f t="shared" si="56"/>
        <v>0</v>
      </c>
      <c r="AF43" s="385">
        <f t="shared" si="60"/>
        <v>0</v>
      </c>
      <c r="AG43" s="385">
        <f t="shared" si="60"/>
        <v>0</v>
      </c>
      <c r="AH43" s="385">
        <f t="shared" si="60"/>
        <v>0</v>
      </c>
      <c r="AI43" s="185">
        <f t="shared" si="13"/>
        <v>0</v>
      </c>
      <c r="AJ43" s="185">
        <f t="shared" si="14"/>
        <v>0</v>
      </c>
      <c r="AK43" s="185">
        <f t="shared" si="15"/>
        <v>0</v>
      </c>
      <c r="AL43" s="185">
        <f t="shared" si="16"/>
        <v>0</v>
      </c>
      <c r="AM43" s="173">
        <f t="shared" ref="AM43:AM49" si="77">($S43*Y43)+($AE43*AI43)</f>
        <v>163328</v>
      </c>
      <c r="AN43" s="173">
        <f t="shared" si="61"/>
        <v>217917</v>
      </c>
      <c r="AO43" s="173">
        <f t="shared" si="62"/>
        <v>233081</v>
      </c>
      <c r="AP43" s="173">
        <f t="shared" si="20"/>
        <v>7582</v>
      </c>
      <c r="AQ43" s="173">
        <f t="shared" si="21"/>
        <v>7530</v>
      </c>
      <c r="AR43" s="173">
        <f t="shared" si="22"/>
        <v>629438</v>
      </c>
      <c r="AS43" s="186" t="s">
        <v>1343</v>
      </c>
      <c r="AT43" s="300">
        <f t="shared" si="76"/>
        <v>2.8014999999999999</v>
      </c>
      <c r="AU43" s="300">
        <f t="shared" si="76"/>
        <v>2.8014999999999999</v>
      </c>
      <c r="AV43" s="300">
        <f t="shared" si="76"/>
        <v>2.8014999999999999</v>
      </c>
      <c r="AW43" s="300">
        <f t="shared" si="76"/>
        <v>2.8014999999999999</v>
      </c>
      <c r="AX43" s="300">
        <f t="shared" si="76"/>
        <v>2.8014999999999999</v>
      </c>
      <c r="AY43" s="301">
        <f t="shared" si="69"/>
        <v>2.8014999999999999</v>
      </c>
      <c r="AZ43" s="301">
        <f t="shared" si="69"/>
        <v>2.8014999999999999</v>
      </c>
      <c r="BA43" s="301">
        <f t="shared" si="69"/>
        <v>2.8014999999999999</v>
      </c>
      <c r="BB43" s="301">
        <f t="shared" si="69"/>
        <v>2.8014999999999999</v>
      </c>
      <c r="BC43" s="301">
        <f t="shared" si="69"/>
        <v>2.8014999999999999</v>
      </c>
      <c r="BD43" s="187">
        <f>ROUND(IF(OR(M43=0,AT43="DATO NO DISPONIBLE"),"",AT43*M43*($BD$7+1)),0)</f>
        <v>270</v>
      </c>
      <c r="BE43" s="187">
        <f t="shared" si="64"/>
        <v>270</v>
      </c>
      <c r="BF43" s="187">
        <f t="shared" si="65"/>
        <v>270</v>
      </c>
      <c r="BG43" s="187">
        <f t="shared" si="28"/>
        <v>270</v>
      </c>
      <c r="BH43" s="187">
        <f t="shared" si="29"/>
        <v>270</v>
      </c>
      <c r="BI43" s="187">
        <f>ROUND(IF(OR(M43=0,AY43="DATO NO DISPONIBLE"),0,AY43*M43*($BD$7+1)),0)</f>
        <v>270</v>
      </c>
      <c r="BJ43" s="187">
        <f t="shared" si="48"/>
        <v>270</v>
      </c>
      <c r="BK43" s="187">
        <f t="shared" si="49"/>
        <v>270</v>
      </c>
      <c r="BL43" s="187">
        <f t="shared" si="33"/>
        <v>270</v>
      </c>
      <c r="BM43" s="187">
        <f t="shared" si="34"/>
        <v>270</v>
      </c>
      <c r="BN43" s="188">
        <f>BD43*AM43</f>
        <v>44098560</v>
      </c>
      <c r="BO43" s="188">
        <f t="shared" si="50"/>
        <v>58837590</v>
      </c>
      <c r="BP43" s="188">
        <f t="shared" si="51"/>
        <v>62931870</v>
      </c>
      <c r="BQ43" s="188">
        <f t="shared" si="52"/>
        <v>2047140</v>
      </c>
      <c r="BR43" s="188">
        <f t="shared" si="53"/>
        <v>2033100</v>
      </c>
      <c r="BS43" s="188">
        <f t="shared" si="40"/>
        <v>169948260</v>
      </c>
      <c r="BT43" s="188">
        <f t="shared" si="41"/>
        <v>44098560</v>
      </c>
      <c r="BU43" s="188">
        <f t="shared" si="42"/>
        <v>58837590</v>
      </c>
      <c r="BV43" s="188">
        <f t="shared" si="43"/>
        <v>62931870</v>
      </c>
      <c r="BW43" s="188">
        <f t="shared" si="44"/>
        <v>2047140</v>
      </c>
      <c r="BX43" s="188">
        <f t="shared" si="45"/>
        <v>2033100</v>
      </c>
      <c r="BY43" s="188">
        <f t="shared" si="46"/>
        <v>169948260</v>
      </c>
      <c r="BZ43" s="305">
        <f>IF(COT_PRECALCULOS!$D$24="Precios Iva Incluído",BI43,BD43)</f>
        <v>270</v>
      </c>
      <c r="CA43" s="305">
        <f>IF(COT_PRECALCULOS!$D$24="Precios Iva Incluído",BJ43,BE43)</f>
        <v>270</v>
      </c>
      <c r="CB43" s="305">
        <f>IF(COT_PRECALCULOS!$D$24="Precios Iva Incluído",BK43,BF43)</f>
        <v>270</v>
      </c>
      <c r="CC43" s="305">
        <f>IF(COT_PRECALCULOS!$D$24="Precios Iva Incluído",BL43,BG43)</f>
        <v>270</v>
      </c>
      <c r="CD43" s="305">
        <f>IF(COT_PRECALCULOS!$D$24="Precios Iva Incluído",BM43,BH43)</f>
        <v>270</v>
      </c>
      <c r="CE43" s="305">
        <f>IF(COT_PRECALCULOS!$D$24="Precios Iva Incluído",BT43,BN43)</f>
        <v>44098560</v>
      </c>
      <c r="CF43" s="305">
        <f>IF(COT_PRECALCULOS!$D$24="Precios Iva Incluído",BU43,BO43)</f>
        <v>58837590</v>
      </c>
      <c r="CG43" s="305">
        <f>IF(COT_PRECALCULOS!$D$24="Precios Iva Incluído",BV43,BP43)</f>
        <v>62931870</v>
      </c>
      <c r="CH43" s="305">
        <f>IF(COT_PRECALCULOS!$D$24="Precios Iva Incluído",BW43,BQ43)</f>
        <v>2047140</v>
      </c>
      <c r="CI43" s="305">
        <f>IF(COT_PRECALCULOS!$D$24="Precios Iva Incluído",BX43,BR43)</f>
        <v>2033100</v>
      </c>
    </row>
    <row r="44" spans="1:87">
      <c r="A44" s="182" t="s">
        <v>101</v>
      </c>
      <c r="B44" s="182" t="s">
        <v>98</v>
      </c>
      <c r="C44" s="189" t="str">
        <f t="shared" si="0"/>
        <v>F_PE3</v>
      </c>
      <c r="D44" s="189" t="str">
        <f t="shared" si="1"/>
        <v>42_P_</v>
      </c>
      <c r="E44" s="190" t="s">
        <v>1</v>
      </c>
      <c r="F44" s="190" t="s">
        <v>1</v>
      </c>
      <c r="G44" s="189" t="s">
        <v>16</v>
      </c>
      <c r="H44" s="190"/>
      <c r="I44" s="190" t="s">
        <v>49</v>
      </c>
      <c r="J44" s="190">
        <v>42</v>
      </c>
      <c r="K44" s="190" t="s">
        <v>61</v>
      </c>
      <c r="L44" s="189" t="s">
        <v>9</v>
      </c>
      <c r="M44" s="211">
        <v>100</v>
      </c>
      <c r="N44" s="211">
        <v>100</v>
      </c>
      <c r="O44" s="211">
        <v>100</v>
      </c>
      <c r="P44" s="211">
        <v>100</v>
      </c>
      <c r="Q44" s="211">
        <v>100</v>
      </c>
      <c r="R44" s="190"/>
      <c r="S44" s="183">
        <f t="shared" si="70"/>
        <v>2</v>
      </c>
      <c r="T44" s="385">
        <f>$S44</f>
        <v>2</v>
      </c>
      <c r="U44" s="385">
        <f t="shared" si="71"/>
        <v>2</v>
      </c>
      <c r="V44" s="385">
        <f t="shared" si="71"/>
        <v>2</v>
      </c>
      <c r="W44" s="385">
        <f t="shared" si="71"/>
        <v>2</v>
      </c>
      <c r="X44" s="385">
        <f t="shared" si="71"/>
        <v>2</v>
      </c>
      <c r="Y44" s="184">
        <f t="shared" si="5"/>
        <v>163328</v>
      </c>
      <c r="Z44" s="184">
        <f t="shared" si="72"/>
        <v>217917</v>
      </c>
      <c r="AA44" s="184">
        <f t="shared" si="73"/>
        <v>233081</v>
      </c>
      <c r="AB44" s="184">
        <f t="shared" si="74"/>
        <v>7582</v>
      </c>
      <c r="AC44" s="184">
        <f t="shared" si="75"/>
        <v>7530</v>
      </c>
      <c r="AD44" s="184">
        <f t="shared" si="10"/>
        <v>629438</v>
      </c>
      <c r="AE44" s="183">
        <f t="shared" si="56"/>
        <v>0</v>
      </c>
      <c r="AF44" s="385">
        <f t="shared" si="60"/>
        <v>0</v>
      </c>
      <c r="AG44" s="385">
        <f t="shared" si="60"/>
        <v>0</v>
      </c>
      <c r="AH44" s="385">
        <f t="shared" si="60"/>
        <v>0</v>
      </c>
      <c r="AI44" s="185">
        <f t="shared" si="13"/>
        <v>0</v>
      </c>
      <c r="AJ44" s="185">
        <f t="shared" si="14"/>
        <v>0</v>
      </c>
      <c r="AK44" s="185">
        <f t="shared" si="15"/>
        <v>0</v>
      </c>
      <c r="AL44" s="185">
        <f t="shared" si="16"/>
        <v>0</v>
      </c>
      <c r="AM44" s="173">
        <f t="shared" si="77"/>
        <v>326656</v>
      </c>
      <c r="AN44" s="173">
        <f t="shared" si="61"/>
        <v>435834</v>
      </c>
      <c r="AO44" s="173">
        <f t="shared" si="62"/>
        <v>466162</v>
      </c>
      <c r="AP44" s="173">
        <f t="shared" si="20"/>
        <v>15164</v>
      </c>
      <c r="AQ44" s="173">
        <f t="shared" si="21"/>
        <v>15060</v>
      </c>
      <c r="AR44" s="173">
        <f t="shared" si="22"/>
        <v>1258876</v>
      </c>
      <c r="AS44" s="186" t="s">
        <v>1343</v>
      </c>
      <c r="AT44" s="300">
        <f t="shared" si="76"/>
        <v>1.8169999999999999</v>
      </c>
      <c r="AU44" s="300">
        <f t="shared" si="76"/>
        <v>1.8169999999999999</v>
      </c>
      <c r="AV44" s="300">
        <f t="shared" si="76"/>
        <v>1.8169999999999999</v>
      </c>
      <c r="AW44" s="300">
        <f t="shared" si="76"/>
        <v>1.8169999999999999</v>
      </c>
      <c r="AX44" s="300">
        <f t="shared" si="76"/>
        <v>1.8169999999999999</v>
      </c>
      <c r="AY44" s="301">
        <f t="shared" si="69"/>
        <v>1.8169999999999999</v>
      </c>
      <c r="AZ44" s="301">
        <f t="shared" si="69"/>
        <v>1.8169999999999999</v>
      </c>
      <c r="BA44" s="301">
        <f t="shared" si="69"/>
        <v>1.8169999999999999</v>
      </c>
      <c r="BB44" s="301">
        <f t="shared" si="69"/>
        <v>1.8169999999999999</v>
      </c>
      <c r="BC44" s="301">
        <f t="shared" si="69"/>
        <v>1.8169999999999999</v>
      </c>
      <c r="BD44" s="187">
        <f>ROUND(IF(OR(M44=0,AT44="DATO NO DISPONIBLE"),"",AT44*M44*($BD$7+1)),0)</f>
        <v>194</v>
      </c>
      <c r="BE44" s="187">
        <f t="shared" si="64"/>
        <v>194</v>
      </c>
      <c r="BF44" s="187">
        <f t="shared" si="65"/>
        <v>194</v>
      </c>
      <c r="BG44" s="187">
        <f t="shared" si="28"/>
        <v>194</v>
      </c>
      <c r="BH44" s="187">
        <f t="shared" si="29"/>
        <v>194</v>
      </c>
      <c r="BI44" s="187">
        <f>ROUND(IF(OR(M44=0,AY44="DATO NO DISPONIBLE"),0,AY44*M44*($BD$7+1)),0)</f>
        <v>194</v>
      </c>
      <c r="BJ44" s="187">
        <f t="shared" si="48"/>
        <v>194</v>
      </c>
      <c r="BK44" s="187">
        <f t="shared" si="49"/>
        <v>194</v>
      </c>
      <c r="BL44" s="187">
        <f t="shared" si="33"/>
        <v>194</v>
      </c>
      <c r="BM44" s="187">
        <f t="shared" si="34"/>
        <v>194</v>
      </c>
      <c r="BN44" s="188">
        <f>BD44*AM44</f>
        <v>63371264</v>
      </c>
      <c r="BO44" s="188">
        <f t="shared" si="50"/>
        <v>84551796</v>
      </c>
      <c r="BP44" s="188">
        <f t="shared" si="51"/>
        <v>90435428</v>
      </c>
      <c r="BQ44" s="188">
        <f t="shared" si="52"/>
        <v>2941816</v>
      </c>
      <c r="BR44" s="188">
        <f t="shared" si="53"/>
        <v>2921640</v>
      </c>
      <c r="BS44" s="188">
        <f t="shared" si="40"/>
        <v>244221944</v>
      </c>
      <c r="BT44" s="188">
        <f t="shared" si="41"/>
        <v>63371264</v>
      </c>
      <c r="BU44" s="188">
        <f t="shared" si="42"/>
        <v>84551796</v>
      </c>
      <c r="BV44" s="188">
        <f t="shared" si="43"/>
        <v>90435428</v>
      </c>
      <c r="BW44" s="188">
        <f t="shared" si="44"/>
        <v>2941816</v>
      </c>
      <c r="BX44" s="188">
        <f t="shared" si="45"/>
        <v>2921640</v>
      </c>
      <c r="BY44" s="188">
        <f t="shared" si="46"/>
        <v>244221944</v>
      </c>
      <c r="BZ44" s="305">
        <f>IF(COT_PRECALCULOS!$D$24="Precios Iva Incluído",BI44,BD44)</f>
        <v>194</v>
      </c>
      <c r="CA44" s="305">
        <f>IF(COT_PRECALCULOS!$D$24="Precios Iva Incluído",BJ44,BE44)</f>
        <v>194</v>
      </c>
      <c r="CB44" s="305">
        <f>IF(COT_PRECALCULOS!$D$24="Precios Iva Incluído",BK44,BF44)</f>
        <v>194</v>
      </c>
      <c r="CC44" s="305">
        <f>IF(COT_PRECALCULOS!$D$24="Precios Iva Incluído",BL44,BG44)</f>
        <v>194</v>
      </c>
      <c r="CD44" s="305">
        <f>IF(COT_PRECALCULOS!$D$24="Precios Iva Incluído",BM44,BH44)</f>
        <v>194</v>
      </c>
      <c r="CE44" s="305">
        <f>IF(COT_PRECALCULOS!$D$24="Precios Iva Incluído",BT44,BN44)</f>
        <v>63371264</v>
      </c>
      <c r="CF44" s="305">
        <f>IF(COT_PRECALCULOS!$D$24="Precios Iva Incluído",BU44,BO44)</f>
        <v>84551796</v>
      </c>
      <c r="CG44" s="305">
        <f>IF(COT_PRECALCULOS!$D$24="Precios Iva Incluído",BV44,BP44)</f>
        <v>90435428</v>
      </c>
      <c r="CH44" s="305">
        <f>IF(COT_PRECALCULOS!$D$24="Precios Iva Incluído",BW44,BQ44)</f>
        <v>2941816</v>
      </c>
      <c r="CI44" s="305">
        <f>IF(COT_PRECALCULOS!$D$24="Precios Iva Incluído",BX44,BR44)</f>
        <v>2921640</v>
      </c>
    </row>
    <row r="45" spans="1:87">
      <c r="A45" s="182" t="s">
        <v>101</v>
      </c>
      <c r="B45" s="182" t="s">
        <v>98</v>
      </c>
      <c r="C45" s="189" t="str">
        <f t="shared" si="0"/>
        <v>F_PE3</v>
      </c>
      <c r="D45" s="189" t="str">
        <f t="shared" si="1"/>
        <v>43_P_</v>
      </c>
      <c r="E45" s="190" t="s">
        <v>1</v>
      </c>
      <c r="F45" s="190" t="s">
        <v>1</v>
      </c>
      <c r="G45" s="189" t="s">
        <v>16</v>
      </c>
      <c r="H45" s="190"/>
      <c r="I45" s="190" t="s">
        <v>60</v>
      </c>
      <c r="J45" s="190">
        <v>43</v>
      </c>
      <c r="K45" s="190" t="s">
        <v>62</v>
      </c>
      <c r="L45" s="189" t="s">
        <v>9</v>
      </c>
      <c r="M45" s="211">
        <v>100</v>
      </c>
      <c r="N45" s="211">
        <v>100</v>
      </c>
      <c r="O45" s="211">
        <v>100</v>
      </c>
      <c r="P45" s="211">
        <v>100</v>
      </c>
      <c r="Q45" s="211">
        <v>100</v>
      </c>
      <c r="R45" s="190"/>
      <c r="S45" s="183">
        <f t="shared" si="70"/>
        <v>4</v>
      </c>
      <c r="T45" s="385">
        <f>$S45</f>
        <v>4</v>
      </c>
      <c r="U45" s="385">
        <f t="shared" si="71"/>
        <v>4</v>
      </c>
      <c r="V45" s="385">
        <f t="shared" si="71"/>
        <v>4</v>
      </c>
      <c r="W45" s="385">
        <f t="shared" si="71"/>
        <v>4</v>
      </c>
      <c r="X45" s="385">
        <f t="shared" si="71"/>
        <v>4</v>
      </c>
      <c r="Y45" s="184">
        <f t="shared" si="5"/>
        <v>163328</v>
      </c>
      <c r="Z45" s="184">
        <f t="shared" si="72"/>
        <v>217917</v>
      </c>
      <c r="AA45" s="184">
        <f t="shared" si="73"/>
        <v>233081</v>
      </c>
      <c r="AB45" s="184">
        <f t="shared" si="74"/>
        <v>7582</v>
      </c>
      <c r="AC45" s="184">
        <f t="shared" si="75"/>
        <v>7530</v>
      </c>
      <c r="AD45" s="184">
        <f t="shared" si="10"/>
        <v>629438</v>
      </c>
      <c r="AE45" s="183">
        <f t="shared" si="56"/>
        <v>0</v>
      </c>
      <c r="AF45" s="385">
        <f t="shared" si="60"/>
        <v>0</v>
      </c>
      <c r="AG45" s="385">
        <f t="shared" si="60"/>
        <v>0</v>
      </c>
      <c r="AH45" s="385">
        <f t="shared" si="60"/>
        <v>0</v>
      </c>
      <c r="AI45" s="185">
        <f t="shared" si="13"/>
        <v>0</v>
      </c>
      <c r="AJ45" s="185">
        <f t="shared" ref="AJ45:AJ76" si="78">IF(OR(B45="NA",N45=0),0,VLOOKUP(B45,FRE_CANTIDADES_DIARIAS_SUMINISTROS,5,FALSE))</f>
        <v>0</v>
      </c>
      <c r="AK45" s="185">
        <f t="shared" ref="AK45:AK76" si="79">IF(OR(B45="NA",O45=0),0,VLOOKUP(B45,FRE_CANTIDADES_DIARIAS_SUMINISTROS,6,FALSE))</f>
        <v>0</v>
      </c>
      <c r="AL45" s="185">
        <f t="shared" si="16"/>
        <v>0</v>
      </c>
      <c r="AM45" s="173">
        <f t="shared" si="77"/>
        <v>653312</v>
      </c>
      <c r="AN45" s="173">
        <f t="shared" si="61"/>
        <v>871668</v>
      </c>
      <c r="AO45" s="173">
        <f t="shared" si="62"/>
        <v>932324</v>
      </c>
      <c r="AP45" s="173">
        <f t="shared" si="20"/>
        <v>30328</v>
      </c>
      <c r="AQ45" s="173">
        <f t="shared" si="21"/>
        <v>30120</v>
      </c>
      <c r="AR45" s="173">
        <f t="shared" si="22"/>
        <v>2517752</v>
      </c>
      <c r="AS45" s="186" t="s">
        <v>1343</v>
      </c>
      <c r="AT45" s="300">
        <f t="shared" si="76"/>
        <v>1.5892500000000001</v>
      </c>
      <c r="AU45" s="300">
        <f t="shared" si="76"/>
        <v>1.5892500000000001</v>
      </c>
      <c r="AV45" s="300">
        <f t="shared" si="76"/>
        <v>1.5892500000000001</v>
      </c>
      <c r="AW45" s="300">
        <f t="shared" si="76"/>
        <v>1.5892500000000001</v>
      </c>
      <c r="AX45" s="300">
        <f t="shared" si="76"/>
        <v>1.5892500000000001</v>
      </c>
      <c r="AY45" s="301">
        <f t="shared" si="69"/>
        <v>1.5892500000000001</v>
      </c>
      <c r="AZ45" s="301">
        <f t="shared" si="69"/>
        <v>1.5892500000000001</v>
      </c>
      <c r="BA45" s="301">
        <f t="shared" si="69"/>
        <v>1.5892500000000001</v>
      </c>
      <c r="BB45" s="301">
        <f t="shared" si="69"/>
        <v>1.5892500000000001</v>
      </c>
      <c r="BC45" s="301">
        <f t="shared" si="69"/>
        <v>1.5892500000000001</v>
      </c>
      <c r="BD45" s="187">
        <f>ROUND(IF(OR(M45=0,AT45="DATO NO DISPONIBLE"),"",AT45*M45*($BD$7+1)),0)</f>
        <v>170</v>
      </c>
      <c r="BE45" s="187">
        <f t="shared" si="64"/>
        <v>170</v>
      </c>
      <c r="BF45" s="187">
        <f t="shared" si="65"/>
        <v>170</v>
      </c>
      <c r="BG45" s="187">
        <f t="shared" ref="BG45:BG76" si="80">ROUND(IF(OR(P45=0,AW45="DATO NO DISPONIBLE"),0,AW45*P45*($BD$7+1)),0)</f>
        <v>170</v>
      </c>
      <c r="BH45" s="187">
        <f t="shared" ref="BH45:BH76" si="81">ROUND(IF(OR(Q45=0,AX45="DATO NO DISPONIBLE"),0,AX45*Q45*($BD$7+1)),0)</f>
        <v>170</v>
      </c>
      <c r="BI45" s="187">
        <f>ROUND(IF(OR(M45=0,AY45="DATO NO DISPONIBLE"),0,AY45*M45*($BD$7+1)),0)</f>
        <v>170</v>
      </c>
      <c r="BJ45" s="187">
        <f t="shared" si="48"/>
        <v>170</v>
      </c>
      <c r="BK45" s="187">
        <f t="shared" si="49"/>
        <v>170</v>
      </c>
      <c r="BL45" s="187">
        <f t="shared" ref="BL45:BL76" si="82">ROUND(IF(OR(P45=0,BB45="DATO NO DISPONIBLE"),0,BB45*P45*($BD$7+1)),0)</f>
        <v>170</v>
      </c>
      <c r="BM45" s="187">
        <f t="shared" ref="BM45:BM76" si="83">ROUND(IF(OR(Q45=0,BC45="DATO NO DISPONIBLE"),0,BC45*Q45*($BD$7+1)),0)</f>
        <v>170</v>
      </c>
      <c r="BN45" s="188">
        <f>BD45*AM45</f>
        <v>111063040</v>
      </c>
      <c r="BO45" s="188">
        <f t="shared" si="50"/>
        <v>148183560</v>
      </c>
      <c r="BP45" s="188">
        <f t="shared" si="51"/>
        <v>158495080</v>
      </c>
      <c r="BQ45" s="188">
        <f t="shared" si="52"/>
        <v>5155760</v>
      </c>
      <c r="BR45" s="188">
        <f t="shared" si="53"/>
        <v>5120400</v>
      </c>
      <c r="BS45" s="188">
        <f t="shared" si="40"/>
        <v>428017840</v>
      </c>
      <c r="BT45" s="188">
        <f t="shared" si="41"/>
        <v>111063040</v>
      </c>
      <c r="BU45" s="188">
        <f t="shared" si="42"/>
        <v>148183560</v>
      </c>
      <c r="BV45" s="188">
        <f t="shared" si="43"/>
        <v>158495080</v>
      </c>
      <c r="BW45" s="188">
        <f t="shared" si="44"/>
        <v>5155760</v>
      </c>
      <c r="BX45" s="188">
        <f t="shared" si="45"/>
        <v>5120400</v>
      </c>
      <c r="BY45" s="188">
        <f t="shared" si="46"/>
        <v>428017840</v>
      </c>
      <c r="BZ45" s="305">
        <f>IF(COT_PRECALCULOS!$D$24="Precios Iva Incluído",BI45,BD45)</f>
        <v>170</v>
      </c>
      <c r="CA45" s="305">
        <f>IF(COT_PRECALCULOS!$D$24="Precios Iva Incluído",BJ45,BE45)</f>
        <v>170</v>
      </c>
      <c r="CB45" s="305">
        <f>IF(COT_PRECALCULOS!$D$24="Precios Iva Incluído",BK45,BF45)</f>
        <v>170</v>
      </c>
      <c r="CC45" s="305">
        <f>IF(COT_PRECALCULOS!$D$24="Precios Iva Incluído",BL45,BG45)</f>
        <v>170</v>
      </c>
      <c r="CD45" s="305">
        <f>IF(COT_PRECALCULOS!$D$24="Precios Iva Incluído",BM45,BH45)</f>
        <v>170</v>
      </c>
      <c r="CE45" s="305">
        <f>IF(COT_PRECALCULOS!$D$24="Precios Iva Incluído",BT45,BN45)</f>
        <v>111063040</v>
      </c>
      <c r="CF45" s="305">
        <f>IF(COT_PRECALCULOS!$D$24="Precios Iva Incluído",BU45,BO45)</f>
        <v>148183560</v>
      </c>
      <c r="CG45" s="305">
        <f>IF(COT_PRECALCULOS!$D$24="Precios Iva Incluído",BV45,BP45)</f>
        <v>158495080</v>
      </c>
      <c r="CH45" s="305">
        <f>IF(COT_PRECALCULOS!$D$24="Precios Iva Incluído",BW45,BQ45)</f>
        <v>5155760</v>
      </c>
      <c r="CI45" s="305">
        <f>IF(COT_PRECALCULOS!$D$24="Precios Iva Incluído",BX45,BR45)</f>
        <v>5120400</v>
      </c>
    </row>
    <row r="46" spans="1:87">
      <c r="A46" s="182" t="s">
        <v>101</v>
      </c>
      <c r="B46" s="182" t="s">
        <v>98</v>
      </c>
      <c r="C46" s="189" t="str">
        <f t="shared" si="0"/>
        <v>F_PE3</v>
      </c>
      <c r="D46" s="189" t="str">
        <f t="shared" si="1"/>
        <v>46_P_</v>
      </c>
      <c r="E46" s="190" t="s">
        <v>1</v>
      </c>
      <c r="F46" s="190" t="s">
        <v>1</v>
      </c>
      <c r="G46" s="189" t="s">
        <v>16</v>
      </c>
      <c r="H46" s="190"/>
      <c r="I46" s="190" t="s">
        <v>63</v>
      </c>
      <c r="J46" s="190">
        <v>46</v>
      </c>
      <c r="K46" s="190" t="s">
        <v>64</v>
      </c>
      <c r="L46" s="189" t="s">
        <v>9</v>
      </c>
      <c r="M46" s="211">
        <v>100</v>
      </c>
      <c r="N46" s="211">
        <v>100</v>
      </c>
      <c r="O46" s="211">
        <v>100</v>
      </c>
      <c r="P46" s="211">
        <v>100</v>
      </c>
      <c r="Q46" s="211">
        <v>100</v>
      </c>
      <c r="R46" s="211"/>
      <c r="S46" s="183">
        <f t="shared" si="70"/>
        <v>3</v>
      </c>
      <c r="T46" s="385">
        <f>$S46</f>
        <v>3</v>
      </c>
      <c r="U46" s="385">
        <f t="shared" si="71"/>
        <v>3</v>
      </c>
      <c r="V46" s="385">
        <f t="shared" si="71"/>
        <v>3</v>
      </c>
      <c r="W46" s="385">
        <f t="shared" si="71"/>
        <v>3</v>
      </c>
      <c r="X46" s="385">
        <f t="shared" si="71"/>
        <v>3</v>
      </c>
      <c r="Y46" s="184">
        <f t="shared" si="5"/>
        <v>163328</v>
      </c>
      <c r="Z46" s="184">
        <f t="shared" si="72"/>
        <v>217917</v>
      </c>
      <c r="AA46" s="184">
        <f t="shared" si="73"/>
        <v>233081</v>
      </c>
      <c r="AB46" s="184">
        <f t="shared" si="74"/>
        <v>7582</v>
      </c>
      <c r="AC46" s="184">
        <f t="shared" si="75"/>
        <v>7530</v>
      </c>
      <c r="AD46" s="184">
        <f t="shared" si="10"/>
        <v>629438</v>
      </c>
      <c r="AE46" s="183">
        <f t="shared" si="56"/>
        <v>0</v>
      </c>
      <c r="AF46" s="385">
        <f t="shared" si="60"/>
        <v>0</v>
      </c>
      <c r="AG46" s="385">
        <f t="shared" si="60"/>
        <v>0</v>
      </c>
      <c r="AH46" s="385">
        <f t="shared" si="60"/>
        <v>0</v>
      </c>
      <c r="AI46" s="185">
        <f t="shared" si="13"/>
        <v>0</v>
      </c>
      <c r="AJ46" s="185">
        <f t="shared" si="78"/>
        <v>0</v>
      </c>
      <c r="AK46" s="185">
        <f t="shared" si="79"/>
        <v>0</v>
      </c>
      <c r="AL46" s="185">
        <f t="shared" si="16"/>
        <v>0</v>
      </c>
      <c r="AM46" s="173">
        <f t="shared" si="77"/>
        <v>489984</v>
      </c>
      <c r="AN46" s="173">
        <f t="shared" si="61"/>
        <v>653751</v>
      </c>
      <c r="AO46" s="173">
        <f t="shared" si="62"/>
        <v>699243</v>
      </c>
      <c r="AP46" s="173">
        <f t="shared" si="20"/>
        <v>22746</v>
      </c>
      <c r="AQ46" s="173">
        <f t="shared" si="21"/>
        <v>22590</v>
      </c>
      <c r="AR46" s="173">
        <f t="shared" si="22"/>
        <v>1888314</v>
      </c>
      <c r="AS46" s="186" t="s">
        <v>1343</v>
      </c>
      <c r="AT46" s="300">
        <f t="shared" si="76"/>
        <v>3.7214999999999998</v>
      </c>
      <c r="AU46" s="300">
        <f t="shared" si="76"/>
        <v>3.7214999999999998</v>
      </c>
      <c r="AV46" s="300">
        <f t="shared" si="76"/>
        <v>3.7214999999999998</v>
      </c>
      <c r="AW46" s="300">
        <f t="shared" si="76"/>
        <v>3.7214999999999998</v>
      </c>
      <c r="AX46" s="300">
        <f t="shared" si="76"/>
        <v>3.7214999999999998</v>
      </c>
      <c r="AY46" s="301">
        <f t="shared" si="69"/>
        <v>3.7214999999999998</v>
      </c>
      <c r="AZ46" s="301">
        <f t="shared" si="69"/>
        <v>3.7214999999999998</v>
      </c>
      <c r="BA46" s="301">
        <f t="shared" si="69"/>
        <v>3.7214999999999998</v>
      </c>
      <c r="BB46" s="301">
        <f t="shared" si="69"/>
        <v>3.7214999999999998</v>
      </c>
      <c r="BC46" s="301">
        <f t="shared" si="69"/>
        <v>3.7214999999999998</v>
      </c>
      <c r="BD46" s="187">
        <f>ROUND(IF(OR(M46=0,AT46="DATO NO DISPONIBLE"),"",AT46*M46*($BD$7+1)),0)</f>
        <v>398</v>
      </c>
      <c r="BE46" s="187">
        <f t="shared" si="64"/>
        <v>398</v>
      </c>
      <c r="BF46" s="187">
        <f t="shared" si="65"/>
        <v>398</v>
      </c>
      <c r="BG46" s="187">
        <f t="shared" si="80"/>
        <v>398</v>
      </c>
      <c r="BH46" s="187">
        <f t="shared" si="81"/>
        <v>398</v>
      </c>
      <c r="BI46" s="187">
        <f>ROUND(IF(OR(M46=0,AY46="DATO NO DISPONIBLE"),0,AY46*M46*($BD$7+1)),0)</f>
        <v>398</v>
      </c>
      <c r="BJ46" s="187">
        <f t="shared" si="48"/>
        <v>398</v>
      </c>
      <c r="BK46" s="187">
        <f t="shared" si="49"/>
        <v>398</v>
      </c>
      <c r="BL46" s="187">
        <f t="shared" si="82"/>
        <v>398</v>
      </c>
      <c r="BM46" s="187">
        <f t="shared" si="83"/>
        <v>398</v>
      </c>
      <c r="BN46" s="188">
        <f>BD46*AM46</f>
        <v>195013632</v>
      </c>
      <c r="BO46" s="188">
        <f t="shared" si="50"/>
        <v>260192898</v>
      </c>
      <c r="BP46" s="188">
        <f t="shared" si="51"/>
        <v>278298714</v>
      </c>
      <c r="BQ46" s="188">
        <f t="shared" si="52"/>
        <v>9052908</v>
      </c>
      <c r="BR46" s="188">
        <f t="shared" si="53"/>
        <v>8990820</v>
      </c>
      <c r="BS46" s="188">
        <f t="shared" si="40"/>
        <v>751548972</v>
      </c>
      <c r="BT46" s="188">
        <f t="shared" si="41"/>
        <v>195013632</v>
      </c>
      <c r="BU46" s="188">
        <f t="shared" si="42"/>
        <v>260192898</v>
      </c>
      <c r="BV46" s="188">
        <f t="shared" si="43"/>
        <v>278298714</v>
      </c>
      <c r="BW46" s="188">
        <f t="shared" si="44"/>
        <v>9052908</v>
      </c>
      <c r="BX46" s="188">
        <f t="shared" si="45"/>
        <v>8990820</v>
      </c>
      <c r="BY46" s="188">
        <f t="shared" si="46"/>
        <v>751548972</v>
      </c>
      <c r="BZ46" s="305">
        <f>IF(COT_PRECALCULOS!$D$24="Precios Iva Incluído",BI46,BD46)</f>
        <v>398</v>
      </c>
      <c r="CA46" s="305">
        <f>IF(COT_PRECALCULOS!$D$24="Precios Iva Incluído",BJ46,BE46)</f>
        <v>398</v>
      </c>
      <c r="CB46" s="305">
        <f>IF(COT_PRECALCULOS!$D$24="Precios Iva Incluído",BK46,BF46)</f>
        <v>398</v>
      </c>
      <c r="CC46" s="305">
        <f>IF(COT_PRECALCULOS!$D$24="Precios Iva Incluído",BL46,BG46)</f>
        <v>398</v>
      </c>
      <c r="CD46" s="305">
        <f>IF(COT_PRECALCULOS!$D$24="Precios Iva Incluído",BM46,BH46)</f>
        <v>398</v>
      </c>
      <c r="CE46" s="305">
        <f>IF(COT_PRECALCULOS!$D$24="Precios Iva Incluído",BT46,BN46)</f>
        <v>195013632</v>
      </c>
      <c r="CF46" s="305">
        <f>IF(COT_PRECALCULOS!$D$24="Precios Iva Incluído",BU46,BO46)</f>
        <v>260192898</v>
      </c>
      <c r="CG46" s="305">
        <f>IF(COT_PRECALCULOS!$D$24="Precios Iva Incluído",BV46,BP46)</f>
        <v>278298714</v>
      </c>
      <c r="CH46" s="305">
        <f>IF(COT_PRECALCULOS!$D$24="Precios Iva Incluído",BW46,BQ46)</f>
        <v>9052908</v>
      </c>
      <c r="CI46" s="305">
        <f>IF(COT_PRECALCULOS!$D$24="Precios Iva Incluído",BX46,BR46)</f>
        <v>8990820</v>
      </c>
    </row>
    <row r="47" spans="1:87">
      <c r="A47" s="182" t="s">
        <v>101</v>
      </c>
      <c r="B47" s="182" t="s">
        <v>98</v>
      </c>
      <c r="C47" s="189" t="str">
        <f t="shared" si="0"/>
        <v>F_PE3</v>
      </c>
      <c r="D47" s="189" t="str">
        <f t="shared" si="1"/>
        <v>58_P_</v>
      </c>
      <c r="E47" s="190" t="s">
        <v>1</v>
      </c>
      <c r="F47" s="190" t="s">
        <v>1</v>
      </c>
      <c r="G47" s="189" t="s">
        <v>16</v>
      </c>
      <c r="H47" s="190"/>
      <c r="I47" s="190" t="s">
        <v>65</v>
      </c>
      <c r="J47" s="190">
        <v>58</v>
      </c>
      <c r="K47" s="190" t="s">
        <v>67</v>
      </c>
      <c r="L47" s="189" t="s">
        <v>9</v>
      </c>
      <c r="M47" s="211">
        <v>100</v>
      </c>
      <c r="N47" s="211">
        <v>100</v>
      </c>
      <c r="O47" s="211">
        <v>100</v>
      </c>
      <c r="P47" s="211">
        <v>100</v>
      </c>
      <c r="Q47" s="211">
        <v>100</v>
      </c>
      <c r="R47" s="190"/>
      <c r="S47" s="183">
        <f t="shared" si="70"/>
        <v>1</v>
      </c>
      <c r="T47" s="385">
        <f>$S47</f>
        <v>1</v>
      </c>
      <c r="U47" s="385">
        <f t="shared" si="71"/>
        <v>1</v>
      </c>
      <c r="V47" s="385">
        <f t="shared" si="71"/>
        <v>1</v>
      </c>
      <c r="W47" s="385">
        <f t="shared" si="71"/>
        <v>1</v>
      </c>
      <c r="X47" s="385">
        <f t="shared" si="71"/>
        <v>1</v>
      </c>
      <c r="Y47" s="184">
        <f t="shared" si="5"/>
        <v>163328</v>
      </c>
      <c r="Z47" s="184">
        <f t="shared" si="72"/>
        <v>217917</v>
      </c>
      <c r="AA47" s="184">
        <f t="shared" si="73"/>
        <v>233081</v>
      </c>
      <c r="AB47" s="184">
        <f t="shared" si="74"/>
        <v>7582</v>
      </c>
      <c r="AC47" s="184">
        <f t="shared" si="75"/>
        <v>7530</v>
      </c>
      <c r="AD47" s="184">
        <f t="shared" si="10"/>
        <v>629438</v>
      </c>
      <c r="AE47" s="183">
        <f t="shared" si="56"/>
        <v>0</v>
      </c>
      <c r="AF47" s="385">
        <f t="shared" si="60"/>
        <v>0</v>
      </c>
      <c r="AG47" s="385">
        <f t="shared" si="60"/>
        <v>0</v>
      </c>
      <c r="AH47" s="385">
        <f t="shared" si="60"/>
        <v>0</v>
      </c>
      <c r="AI47" s="185">
        <f t="shared" si="13"/>
        <v>0</v>
      </c>
      <c r="AJ47" s="185">
        <f t="shared" si="78"/>
        <v>0</v>
      </c>
      <c r="AK47" s="185">
        <f t="shared" si="79"/>
        <v>0</v>
      </c>
      <c r="AL47" s="185">
        <f t="shared" si="16"/>
        <v>0</v>
      </c>
      <c r="AM47" s="173">
        <f t="shared" si="77"/>
        <v>163328</v>
      </c>
      <c r="AN47" s="173">
        <f t="shared" si="61"/>
        <v>217917</v>
      </c>
      <c r="AO47" s="173">
        <f t="shared" si="62"/>
        <v>233081</v>
      </c>
      <c r="AP47" s="173">
        <f t="shared" si="20"/>
        <v>7582</v>
      </c>
      <c r="AQ47" s="173">
        <f t="shared" si="21"/>
        <v>7530</v>
      </c>
      <c r="AR47" s="173">
        <f t="shared" si="22"/>
        <v>629438</v>
      </c>
      <c r="AS47" s="186" t="s">
        <v>1343</v>
      </c>
      <c r="AT47" s="300">
        <f t="shared" si="76"/>
        <v>1.4384999999999999</v>
      </c>
      <c r="AU47" s="300">
        <f t="shared" si="76"/>
        <v>1.4384999999999999</v>
      </c>
      <c r="AV47" s="300">
        <f t="shared" si="76"/>
        <v>1.4384999999999999</v>
      </c>
      <c r="AW47" s="300">
        <f t="shared" si="76"/>
        <v>1.4384999999999999</v>
      </c>
      <c r="AX47" s="300">
        <f t="shared" si="76"/>
        <v>1.4384999999999999</v>
      </c>
      <c r="AY47" s="301">
        <f t="shared" si="69"/>
        <v>1.4384999999999999</v>
      </c>
      <c r="AZ47" s="301">
        <f t="shared" si="69"/>
        <v>1.4384999999999999</v>
      </c>
      <c r="BA47" s="301">
        <f t="shared" si="69"/>
        <v>1.4384999999999999</v>
      </c>
      <c r="BB47" s="301">
        <f t="shared" si="69"/>
        <v>1.4384999999999999</v>
      </c>
      <c r="BC47" s="301">
        <f t="shared" si="69"/>
        <v>1.4384999999999999</v>
      </c>
      <c r="BD47" s="187">
        <f>ROUND(IF(OR(M47=0,AT47="DATO NO DISPONIBLE"),"",AT47*M47*($BD$7+1)),0)</f>
        <v>154</v>
      </c>
      <c r="BE47" s="187">
        <f t="shared" si="64"/>
        <v>154</v>
      </c>
      <c r="BF47" s="187">
        <f t="shared" si="65"/>
        <v>154</v>
      </c>
      <c r="BG47" s="187">
        <f t="shared" si="80"/>
        <v>154</v>
      </c>
      <c r="BH47" s="187">
        <f t="shared" si="81"/>
        <v>154</v>
      </c>
      <c r="BI47" s="187">
        <f>ROUND(IF(OR(M47=0,AY47="DATO NO DISPONIBLE"),0,AY47*M47*($BD$7+1)),0)</f>
        <v>154</v>
      </c>
      <c r="BJ47" s="187">
        <f t="shared" si="48"/>
        <v>154</v>
      </c>
      <c r="BK47" s="187">
        <f t="shared" si="49"/>
        <v>154</v>
      </c>
      <c r="BL47" s="187">
        <f t="shared" si="82"/>
        <v>154</v>
      </c>
      <c r="BM47" s="187">
        <f t="shared" si="83"/>
        <v>154</v>
      </c>
      <c r="BN47" s="188">
        <f>BD47*AM47</f>
        <v>25152512</v>
      </c>
      <c r="BO47" s="188">
        <f t="shared" si="50"/>
        <v>33559218</v>
      </c>
      <c r="BP47" s="188">
        <f t="shared" si="51"/>
        <v>35894474</v>
      </c>
      <c r="BQ47" s="188">
        <f t="shared" si="52"/>
        <v>1167628</v>
      </c>
      <c r="BR47" s="188">
        <f t="shared" si="53"/>
        <v>1159620</v>
      </c>
      <c r="BS47" s="188">
        <f t="shared" si="40"/>
        <v>96933452</v>
      </c>
      <c r="BT47" s="188">
        <f t="shared" si="41"/>
        <v>25152512</v>
      </c>
      <c r="BU47" s="188">
        <f t="shared" si="42"/>
        <v>33559218</v>
      </c>
      <c r="BV47" s="188">
        <f t="shared" si="43"/>
        <v>35894474</v>
      </c>
      <c r="BW47" s="188">
        <f t="shared" si="44"/>
        <v>1167628</v>
      </c>
      <c r="BX47" s="188">
        <f t="shared" si="45"/>
        <v>1159620</v>
      </c>
      <c r="BY47" s="188">
        <f t="shared" si="46"/>
        <v>96933452</v>
      </c>
      <c r="BZ47" s="305">
        <f>IF(COT_PRECALCULOS!$D$24="Precios Iva Incluído",BI47,BD47)</f>
        <v>154</v>
      </c>
      <c r="CA47" s="305">
        <f>IF(COT_PRECALCULOS!$D$24="Precios Iva Incluído",BJ47,BE47)</f>
        <v>154</v>
      </c>
      <c r="CB47" s="305">
        <f>IF(COT_PRECALCULOS!$D$24="Precios Iva Incluído",BK47,BF47)</f>
        <v>154</v>
      </c>
      <c r="CC47" s="305">
        <f>IF(COT_PRECALCULOS!$D$24="Precios Iva Incluído",BL47,BG47)</f>
        <v>154</v>
      </c>
      <c r="CD47" s="305">
        <f>IF(COT_PRECALCULOS!$D$24="Precios Iva Incluído",BM47,BH47)</f>
        <v>154</v>
      </c>
      <c r="CE47" s="305">
        <f>IF(COT_PRECALCULOS!$D$24="Precios Iva Incluído",BT47,BN47)</f>
        <v>25152512</v>
      </c>
      <c r="CF47" s="305">
        <f>IF(COT_PRECALCULOS!$D$24="Precios Iva Incluído",BU47,BO47)</f>
        <v>33559218</v>
      </c>
      <c r="CG47" s="305">
        <f>IF(COT_PRECALCULOS!$D$24="Precios Iva Incluído",BV47,BP47)</f>
        <v>35894474</v>
      </c>
      <c r="CH47" s="305">
        <f>IF(COT_PRECALCULOS!$D$24="Precios Iva Incluído",BW47,BQ47)</f>
        <v>1167628</v>
      </c>
      <c r="CI47" s="305">
        <f>IF(COT_PRECALCULOS!$D$24="Precios Iva Incluído",BX47,BR47)</f>
        <v>1159620</v>
      </c>
    </row>
    <row r="48" spans="1:87">
      <c r="A48" s="182" t="s">
        <v>101</v>
      </c>
      <c r="B48" s="182" t="s">
        <v>98</v>
      </c>
      <c r="C48" s="189" t="str">
        <f t="shared" si="0"/>
        <v>F_PE3</v>
      </c>
      <c r="D48" s="189" t="str">
        <f t="shared" si="1"/>
        <v>59_P_</v>
      </c>
      <c r="E48" s="190" t="s">
        <v>1</v>
      </c>
      <c r="F48" s="190" t="s">
        <v>1</v>
      </c>
      <c r="G48" s="189" t="s">
        <v>16</v>
      </c>
      <c r="H48" s="190"/>
      <c r="I48" s="190" t="s">
        <v>66</v>
      </c>
      <c r="J48" s="190">
        <v>59</v>
      </c>
      <c r="K48" s="190" t="s">
        <v>99</v>
      </c>
      <c r="L48" s="189" t="s">
        <v>9</v>
      </c>
      <c r="M48" s="191">
        <v>0</v>
      </c>
      <c r="N48" s="211">
        <v>100</v>
      </c>
      <c r="O48" s="211">
        <v>100</v>
      </c>
      <c r="P48" s="211">
        <v>100</v>
      </c>
      <c r="Q48" s="211">
        <v>100</v>
      </c>
      <c r="R48" s="190" t="s">
        <v>73</v>
      </c>
      <c r="S48" s="183">
        <f t="shared" si="70"/>
        <v>0</v>
      </c>
      <c r="T48" s="386">
        <v>0</v>
      </c>
      <c r="U48" s="385">
        <f t="shared" si="71"/>
        <v>0</v>
      </c>
      <c r="V48" s="385">
        <f t="shared" si="71"/>
        <v>0</v>
      </c>
      <c r="W48" s="385">
        <f t="shared" si="71"/>
        <v>0</v>
      </c>
      <c r="X48" s="385">
        <f t="shared" si="71"/>
        <v>0</v>
      </c>
      <c r="Y48" s="184">
        <f t="shared" si="5"/>
        <v>0</v>
      </c>
      <c r="Z48" s="184">
        <f t="shared" si="72"/>
        <v>217917</v>
      </c>
      <c r="AA48" s="184">
        <f t="shared" si="73"/>
        <v>233081</v>
      </c>
      <c r="AB48" s="184">
        <f t="shared" si="74"/>
        <v>7582</v>
      </c>
      <c r="AC48" s="184">
        <f t="shared" si="75"/>
        <v>7530</v>
      </c>
      <c r="AD48" s="184">
        <f t="shared" si="10"/>
        <v>466110</v>
      </c>
      <c r="AE48" s="183">
        <f t="shared" si="56"/>
        <v>0</v>
      </c>
      <c r="AF48" s="385">
        <f t="shared" ref="AF48:AH67" si="84">$AE48</f>
        <v>0</v>
      </c>
      <c r="AG48" s="385">
        <f t="shared" si="84"/>
        <v>0</v>
      </c>
      <c r="AH48" s="385">
        <f t="shared" si="84"/>
        <v>0</v>
      </c>
      <c r="AI48" s="185">
        <f t="shared" si="13"/>
        <v>0</v>
      </c>
      <c r="AJ48" s="185">
        <f t="shared" si="78"/>
        <v>0</v>
      </c>
      <c r="AK48" s="185">
        <f t="shared" si="79"/>
        <v>0</v>
      </c>
      <c r="AL48" s="185">
        <f t="shared" si="16"/>
        <v>0</v>
      </c>
      <c r="AM48" s="173">
        <f t="shared" si="77"/>
        <v>0</v>
      </c>
      <c r="AN48" s="173">
        <f t="shared" si="61"/>
        <v>0</v>
      </c>
      <c r="AO48" s="173">
        <f t="shared" si="62"/>
        <v>0</v>
      </c>
      <c r="AP48" s="173">
        <f t="shared" si="20"/>
        <v>0</v>
      </c>
      <c r="AQ48" s="173">
        <f t="shared" si="21"/>
        <v>0</v>
      </c>
      <c r="AR48" s="173">
        <f t="shared" si="22"/>
        <v>0</v>
      </c>
      <c r="AS48" s="186" t="s">
        <v>1343</v>
      </c>
      <c r="AT48" s="300">
        <f t="shared" si="76"/>
        <v>2.6785000000000001</v>
      </c>
      <c r="AU48" s="300">
        <f t="shared" si="76"/>
        <v>2.6785000000000001</v>
      </c>
      <c r="AV48" s="300">
        <f t="shared" si="76"/>
        <v>2.6785000000000001</v>
      </c>
      <c r="AW48" s="300">
        <f t="shared" si="76"/>
        <v>2.6785000000000001</v>
      </c>
      <c r="AX48" s="300">
        <f t="shared" si="76"/>
        <v>2.6785000000000001</v>
      </c>
      <c r="AY48" s="301">
        <f t="shared" ref="AY48:BC57" si="85">IF(ISERROR(MATCH(CONCATENATE($J48,"_",AY$1),COT_PRE_CODIGO_ALIMENTOS,0)),IF(ISERROR(MATCH(CONCATENATE($J48,"_",AY$2),COT_PRE_CODIGO_ALIMENTOS,0)),IF(ISERROR(MATCH(CONCATENATE($J48,"_",AY$3),COT_PRE_CODIGO_ALIMENTOS,0)),IF(ISERROR(MATCH(CONCATENATE($J48,"_",AY$4),COT_PRE_CODIGO_ALIMENTOS,0)),IF(ISERROR(MATCH(CONCATENATE($J48,"_",AY$5),COT_PRE_CODIGO_ALIMENTOS,0)),IF(ISERROR(MATCH(CONCATENATE($J48,"_",AY$6),COT_PRE_CODIGO_ALIMENTOS,0)),IF(ISERROR(MATCH(CONCATENATE($J48,"_",AY$7),COT_PRE_CODIGO_ALIMENTOS,0)),IF(ISERROR(VLOOKUP($J48,COT_PRE_ALIMENTOS,AY$8,FALSE)),"DATO NO DISPONIBLE",VLOOKUP($J48,COT_PRE_ALIMENTOS,AY$8,FALSE)),VLOOKUP(CONCATENATE($J48,"_",AY$7),COT_PRE_ALIMENTOS,AY$8,FALSE)),VLOOKUP(CONCATENATE($J48,"_",AY$6),COT_PRE_ALIMENTOS,AY$8,FALSE)),VLOOKUP(CONCATENATE($J48,"_",AY$5),COT_PRE_ALIMENTOS,AY$8,FALSE)),VLOOKUP(CONCATENATE($J48,"_",AY$4),COT_PRE_ALIMENTOS,AY$8,FALSE)),VLOOKUP(CONCATENATE($J48,"_",AY$3),COT_PRE_ALIMENTOS,AY$8,FALSE)),VLOOKUP(CONCATENATE($J48,"_",AY$2),COT_PRE_ALIMENTOS,AY$8,FALSE)),VLOOKUP(CONCATENATE($J48,"_",AY$1),COT_PRE_ALIMENTOS,AY$8,FALSE))</f>
        <v>2.6785000000000001</v>
      </c>
      <c r="AZ48" s="301">
        <f t="shared" si="85"/>
        <v>2.6785000000000001</v>
      </c>
      <c r="BA48" s="301">
        <f t="shared" si="85"/>
        <v>2.6785000000000001</v>
      </c>
      <c r="BB48" s="301">
        <f t="shared" si="85"/>
        <v>2.6785000000000001</v>
      </c>
      <c r="BC48" s="301">
        <f t="shared" si="85"/>
        <v>2.6785000000000001</v>
      </c>
      <c r="BD48" s="187"/>
      <c r="BE48" s="187">
        <f t="shared" si="64"/>
        <v>286</v>
      </c>
      <c r="BF48" s="187">
        <f t="shared" si="65"/>
        <v>286</v>
      </c>
      <c r="BG48" s="187">
        <f t="shared" si="80"/>
        <v>286</v>
      </c>
      <c r="BH48" s="187">
        <f t="shared" si="81"/>
        <v>286</v>
      </c>
      <c r="BI48" s="187"/>
      <c r="BJ48" s="187">
        <f t="shared" si="48"/>
        <v>286</v>
      </c>
      <c r="BK48" s="187">
        <f t="shared" si="49"/>
        <v>286</v>
      </c>
      <c r="BL48" s="187">
        <f t="shared" si="82"/>
        <v>286</v>
      </c>
      <c r="BM48" s="187">
        <f t="shared" si="83"/>
        <v>286</v>
      </c>
      <c r="BN48" s="188"/>
      <c r="BO48" s="188">
        <f t="shared" si="50"/>
        <v>0</v>
      </c>
      <c r="BP48" s="188">
        <f t="shared" si="51"/>
        <v>0</v>
      </c>
      <c r="BQ48" s="188">
        <f t="shared" si="52"/>
        <v>0</v>
      </c>
      <c r="BR48" s="188">
        <f t="shared" si="53"/>
        <v>0</v>
      </c>
      <c r="BS48" s="188">
        <f t="shared" si="40"/>
        <v>0</v>
      </c>
      <c r="BT48" s="188">
        <f t="shared" si="41"/>
        <v>0</v>
      </c>
      <c r="BU48" s="188">
        <f t="shared" si="42"/>
        <v>0</v>
      </c>
      <c r="BV48" s="188">
        <f t="shared" si="43"/>
        <v>0</v>
      </c>
      <c r="BW48" s="188">
        <f t="shared" si="44"/>
        <v>0</v>
      </c>
      <c r="BX48" s="188">
        <f t="shared" si="45"/>
        <v>0</v>
      </c>
      <c r="BY48" s="188">
        <f t="shared" si="46"/>
        <v>0</v>
      </c>
      <c r="BZ48" s="305">
        <f>IF(COT_PRECALCULOS!$D$24="Precios Iva Incluído",BI48,BD48)</f>
        <v>0</v>
      </c>
      <c r="CA48" s="305">
        <f>IF(COT_PRECALCULOS!$D$24="Precios Iva Incluído",BJ48,BE48)</f>
        <v>286</v>
      </c>
      <c r="CB48" s="305">
        <f>IF(COT_PRECALCULOS!$D$24="Precios Iva Incluído",BK48,BF48)</f>
        <v>286</v>
      </c>
      <c r="CC48" s="305">
        <f>IF(COT_PRECALCULOS!$D$24="Precios Iva Incluído",BL48,BG48)</f>
        <v>286</v>
      </c>
      <c r="CD48" s="305">
        <f>IF(COT_PRECALCULOS!$D$24="Precios Iva Incluído",BM48,BH48)</f>
        <v>286</v>
      </c>
      <c r="CE48" s="305">
        <f>IF(COT_PRECALCULOS!$D$24="Precios Iva Incluído",BT48,BN48)</f>
        <v>0</v>
      </c>
      <c r="CF48" s="305">
        <f>IF(COT_PRECALCULOS!$D$24="Precios Iva Incluído",BU48,BO48)</f>
        <v>0</v>
      </c>
      <c r="CG48" s="305">
        <f>IF(COT_PRECALCULOS!$D$24="Precios Iva Incluído",BV48,BP48)</f>
        <v>0</v>
      </c>
      <c r="CH48" s="305">
        <f>IF(COT_PRECALCULOS!$D$24="Precios Iva Incluído",BW48,BQ48)</f>
        <v>0</v>
      </c>
      <c r="CI48" s="305">
        <f>IF(COT_PRECALCULOS!$D$24="Precios Iva Incluído",BX48,BR48)</f>
        <v>0</v>
      </c>
    </row>
    <row r="49" spans="1:87">
      <c r="A49" s="182" t="s">
        <v>101</v>
      </c>
      <c r="B49" s="182" t="s">
        <v>98</v>
      </c>
      <c r="C49" s="189" t="str">
        <f t="shared" si="0"/>
        <v>F_PE3</v>
      </c>
      <c r="D49" s="189" t="str">
        <f t="shared" si="1"/>
        <v>69_P_</v>
      </c>
      <c r="E49" s="190" t="s">
        <v>1</v>
      </c>
      <c r="F49" s="190" t="s">
        <v>1</v>
      </c>
      <c r="G49" s="189" t="s">
        <v>16</v>
      </c>
      <c r="H49" s="190"/>
      <c r="I49" s="190" t="s">
        <v>68</v>
      </c>
      <c r="J49" s="190">
        <v>69</v>
      </c>
      <c r="K49" s="190" t="s">
        <v>70</v>
      </c>
      <c r="L49" s="189" t="s">
        <v>9</v>
      </c>
      <c r="M49" s="190">
        <v>100</v>
      </c>
      <c r="N49" s="190">
        <v>100</v>
      </c>
      <c r="O49" s="190">
        <v>100</v>
      </c>
      <c r="P49" s="190">
        <v>100</v>
      </c>
      <c r="Q49" s="190">
        <v>100</v>
      </c>
      <c r="R49" s="190"/>
      <c r="S49" s="183">
        <f t="shared" si="70"/>
        <v>3</v>
      </c>
      <c r="T49" s="385">
        <f>$S49</f>
        <v>3</v>
      </c>
      <c r="U49" s="385">
        <f t="shared" si="71"/>
        <v>3</v>
      </c>
      <c r="V49" s="385">
        <f t="shared" si="71"/>
        <v>3</v>
      </c>
      <c r="W49" s="385">
        <f t="shared" si="71"/>
        <v>3</v>
      </c>
      <c r="X49" s="385">
        <f t="shared" si="71"/>
        <v>3</v>
      </c>
      <c r="Y49" s="184">
        <f t="shared" si="5"/>
        <v>163328</v>
      </c>
      <c r="Z49" s="184">
        <f t="shared" si="72"/>
        <v>217917</v>
      </c>
      <c r="AA49" s="184">
        <f t="shared" si="73"/>
        <v>233081</v>
      </c>
      <c r="AB49" s="184">
        <f t="shared" si="74"/>
        <v>7582</v>
      </c>
      <c r="AC49" s="184">
        <f t="shared" si="75"/>
        <v>7530</v>
      </c>
      <c r="AD49" s="184">
        <f t="shared" si="10"/>
        <v>629438</v>
      </c>
      <c r="AE49" s="183">
        <f t="shared" si="56"/>
        <v>0</v>
      </c>
      <c r="AF49" s="385">
        <f t="shared" si="84"/>
        <v>0</v>
      </c>
      <c r="AG49" s="385">
        <f t="shared" si="84"/>
        <v>0</v>
      </c>
      <c r="AH49" s="385">
        <f t="shared" si="84"/>
        <v>0</v>
      </c>
      <c r="AI49" s="185">
        <f t="shared" si="13"/>
        <v>0</v>
      </c>
      <c r="AJ49" s="185">
        <f t="shared" si="78"/>
        <v>0</v>
      </c>
      <c r="AK49" s="185">
        <f t="shared" si="79"/>
        <v>0</v>
      </c>
      <c r="AL49" s="185">
        <f t="shared" si="16"/>
        <v>0</v>
      </c>
      <c r="AM49" s="173">
        <f t="shared" si="77"/>
        <v>489984</v>
      </c>
      <c r="AN49" s="173">
        <f t="shared" si="61"/>
        <v>653751</v>
      </c>
      <c r="AO49" s="173">
        <f t="shared" si="62"/>
        <v>699243</v>
      </c>
      <c r="AP49" s="173">
        <f t="shared" si="20"/>
        <v>22746</v>
      </c>
      <c r="AQ49" s="173">
        <f t="shared" si="21"/>
        <v>22590</v>
      </c>
      <c r="AR49" s="173">
        <f t="shared" si="22"/>
        <v>1888314</v>
      </c>
      <c r="AS49" s="186" t="s">
        <v>1343</v>
      </c>
      <c r="AT49" s="300">
        <f t="shared" si="76"/>
        <v>2.8519999999999999</v>
      </c>
      <c r="AU49" s="300">
        <f t="shared" si="76"/>
        <v>2.8519999999999999</v>
      </c>
      <c r="AV49" s="300">
        <f t="shared" si="76"/>
        <v>2.8519999999999999</v>
      </c>
      <c r="AW49" s="300">
        <f t="shared" si="76"/>
        <v>2.8519999999999999</v>
      </c>
      <c r="AX49" s="300">
        <f t="shared" si="76"/>
        <v>2.8519999999999999</v>
      </c>
      <c r="AY49" s="301">
        <f t="shared" si="85"/>
        <v>2.8519999999999999</v>
      </c>
      <c r="AZ49" s="301">
        <f t="shared" si="85"/>
        <v>2.8519999999999999</v>
      </c>
      <c r="BA49" s="301">
        <f t="shared" si="85"/>
        <v>2.8519999999999999</v>
      </c>
      <c r="BB49" s="301">
        <f t="shared" si="85"/>
        <v>2.8519999999999999</v>
      </c>
      <c r="BC49" s="301">
        <f t="shared" si="85"/>
        <v>2.8519999999999999</v>
      </c>
      <c r="BD49" s="187">
        <f>ROUND(IF(OR(M49=0,AT49="DATO NO DISPONIBLE"),"",AT49*M49*($BD$7+1)),0)</f>
        <v>305</v>
      </c>
      <c r="BE49" s="187">
        <f t="shared" si="64"/>
        <v>305</v>
      </c>
      <c r="BF49" s="187">
        <f t="shared" si="65"/>
        <v>305</v>
      </c>
      <c r="BG49" s="187">
        <f t="shared" si="80"/>
        <v>305</v>
      </c>
      <c r="BH49" s="187">
        <f t="shared" si="81"/>
        <v>305</v>
      </c>
      <c r="BI49" s="187">
        <f>ROUND(IF(OR(M49=0,AY49="DATO NO DISPONIBLE"),0,AY49*M49*($BD$7+1)),0)</f>
        <v>305</v>
      </c>
      <c r="BJ49" s="187">
        <f t="shared" si="48"/>
        <v>305</v>
      </c>
      <c r="BK49" s="187">
        <f t="shared" si="49"/>
        <v>305</v>
      </c>
      <c r="BL49" s="187">
        <f t="shared" si="82"/>
        <v>305</v>
      </c>
      <c r="BM49" s="187">
        <f t="shared" si="83"/>
        <v>305</v>
      </c>
      <c r="BN49" s="188">
        <f>BD49*AM49</f>
        <v>149445120</v>
      </c>
      <c r="BO49" s="188">
        <f t="shared" si="50"/>
        <v>199394055</v>
      </c>
      <c r="BP49" s="188">
        <f t="shared" si="51"/>
        <v>213269115</v>
      </c>
      <c r="BQ49" s="188">
        <f t="shared" si="52"/>
        <v>6937530</v>
      </c>
      <c r="BR49" s="188">
        <f t="shared" si="53"/>
        <v>6889950</v>
      </c>
      <c r="BS49" s="188">
        <f t="shared" si="40"/>
        <v>575935770</v>
      </c>
      <c r="BT49" s="188">
        <f t="shared" si="41"/>
        <v>149445120</v>
      </c>
      <c r="BU49" s="188">
        <f t="shared" si="42"/>
        <v>199394055</v>
      </c>
      <c r="BV49" s="188">
        <f t="shared" si="43"/>
        <v>213269115</v>
      </c>
      <c r="BW49" s="188">
        <f t="shared" si="44"/>
        <v>6937530</v>
      </c>
      <c r="BX49" s="188">
        <f t="shared" si="45"/>
        <v>6889950</v>
      </c>
      <c r="BY49" s="188">
        <f t="shared" si="46"/>
        <v>575935770</v>
      </c>
      <c r="BZ49" s="305">
        <f>IF(COT_PRECALCULOS!$D$24="Precios Iva Incluído",BI49,BD49)</f>
        <v>305</v>
      </c>
      <c r="CA49" s="305">
        <f>IF(COT_PRECALCULOS!$D$24="Precios Iva Incluído",BJ49,BE49)</f>
        <v>305</v>
      </c>
      <c r="CB49" s="305">
        <f>IF(COT_PRECALCULOS!$D$24="Precios Iva Incluído",BK49,BF49)</f>
        <v>305</v>
      </c>
      <c r="CC49" s="305">
        <f>IF(COT_PRECALCULOS!$D$24="Precios Iva Incluído",BL49,BG49)</f>
        <v>305</v>
      </c>
      <c r="CD49" s="305">
        <f>IF(COT_PRECALCULOS!$D$24="Precios Iva Incluído",BM49,BH49)</f>
        <v>305</v>
      </c>
      <c r="CE49" s="305">
        <f>IF(COT_PRECALCULOS!$D$24="Precios Iva Incluído",BT49,BN49)</f>
        <v>149445120</v>
      </c>
      <c r="CF49" s="305">
        <f>IF(COT_PRECALCULOS!$D$24="Precios Iva Incluído",BU49,BO49)</f>
        <v>199394055</v>
      </c>
      <c r="CG49" s="305">
        <f>IF(COT_PRECALCULOS!$D$24="Precios Iva Incluído",BV49,BP49)</f>
        <v>213269115</v>
      </c>
      <c r="CH49" s="305">
        <f>IF(COT_PRECALCULOS!$D$24="Precios Iva Incluído",BW49,BQ49)</f>
        <v>6937530</v>
      </c>
      <c r="CI49" s="305">
        <f>IF(COT_PRECALCULOS!$D$24="Precios Iva Incluído",BX49,BR49)</f>
        <v>6889950</v>
      </c>
    </row>
    <row r="50" spans="1:87">
      <c r="A50" s="182" t="s">
        <v>101</v>
      </c>
      <c r="B50" s="182" t="s">
        <v>98</v>
      </c>
      <c r="C50" s="189" t="str">
        <f t="shared" si="0"/>
        <v>F_PE3</v>
      </c>
      <c r="D50" s="189" t="str">
        <f t="shared" si="1"/>
        <v>70_P_</v>
      </c>
      <c r="E50" s="211" t="s">
        <v>1</v>
      </c>
      <c r="F50" s="211" t="s">
        <v>1</v>
      </c>
      <c r="G50" s="189" t="s">
        <v>16</v>
      </c>
      <c r="H50" s="211"/>
      <c r="I50" s="211" t="s">
        <v>69</v>
      </c>
      <c r="J50" s="211">
        <v>70</v>
      </c>
      <c r="K50" s="211" t="s">
        <v>71</v>
      </c>
      <c r="L50" s="189" t="s">
        <v>9</v>
      </c>
      <c r="M50" s="386">
        <v>0</v>
      </c>
      <c r="N50" s="211">
        <v>100</v>
      </c>
      <c r="O50" s="211">
        <v>100</v>
      </c>
      <c r="P50" s="211">
        <v>100</v>
      </c>
      <c r="Q50" s="211">
        <v>100</v>
      </c>
      <c r="R50" s="211" t="s">
        <v>73</v>
      </c>
      <c r="S50" s="183">
        <f t="shared" si="70"/>
        <v>0</v>
      </c>
      <c r="T50" s="386">
        <v>0</v>
      </c>
      <c r="U50" s="385">
        <f t="shared" si="71"/>
        <v>0</v>
      </c>
      <c r="V50" s="385">
        <f t="shared" si="71"/>
        <v>0</v>
      </c>
      <c r="W50" s="385">
        <f t="shared" si="71"/>
        <v>0</v>
      </c>
      <c r="X50" s="385">
        <f t="shared" si="71"/>
        <v>0</v>
      </c>
      <c r="Y50" s="184">
        <f t="shared" si="5"/>
        <v>0</v>
      </c>
      <c r="Z50" s="184">
        <f t="shared" si="72"/>
        <v>217917</v>
      </c>
      <c r="AA50" s="184">
        <f t="shared" si="73"/>
        <v>233081</v>
      </c>
      <c r="AB50" s="184">
        <f t="shared" si="74"/>
        <v>7582</v>
      </c>
      <c r="AC50" s="184">
        <f t="shared" si="75"/>
        <v>7530</v>
      </c>
      <c r="AD50" s="184">
        <f t="shared" si="10"/>
        <v>466110</v>
      </c>
      <c r="AE50" s="183">
        <f t="shared" si="56"/>
        <v>0</v>
      </c>
      <c r="AF50" s="385">
        <f t="shared" si="84"/>
        <v>0</v>
      </c>
      <c r="AG50" s="385">
        <f t="shared" si="84"/>
        <v>0</v>
      </c>
      <c r="AH50" s="385">
        <f t="shared" si="84"/>
        <v>0</v>
      </c>
      <c r="AI50" s="185">
        <f t="shared" si="13"/>
        <v>0</v>
      </c>
      <c r="AJ50" s="185">
        <f t="shared" si="78"/>
        <v>0</v>
      </c>
      <c r="AK50" s="185">
        <f t="shared" si="79"/>
        <v>0</v>
      </c>
      <c r="AL50" s="185">
        <f t="shared" si="16"/>
        <v>0</v>
      </c>
      <c r="AM50" s="173">
        <v>0</v>
      </c>
      <c r="AN50" s="173">
        <f t="shared" si="61"/>
        <v>0</v>
      </c>
      <c r="AO50" s="173">
        <f t="shared" si="62"/>
        <v>0</v>
      </c>
      <c r="AP50" s="173">
        <f t="shared" si="20"/>
        <v>0</v>
      </c>
      <c r="AQ50" s="173">
        <f t="shared" si="21"/>
        <v>0</v>
      </c>
      <c r="AR50" s="173">
        <f t="shared" si="22"/>
        <v>0</v>
      </c>
      <c r="AS50" s="186" t="s">
        <v>1343</v>
      </c>
      <c r="AT50" s="300">
        <f t="shared" si="76"/>
        <v>4.0575000000000001</v>
      </c>
      <c r="AU50" s="300">
        <f t="shared" si="76"/>
        <v>4.0575000000000001</v>
      </c>
      <c r="AV50" s="300">
        <f t="shared" si="76"/>
        <v>4.0575000000000001</v>
      </c>
      <c r="AW50" s="300">
        <f t="shared" si="76"/>
        <v>4.0575000000000001</v>
      </c>
      <c r="AX50" s="300">
        <f t="shared" si="76"/>
        <v>4.0575000000000001</v>
      </c>
      <c r="AY50" s="301">
        <f t="shared" si="85"/>
        <v>4.0575000000000001</v>
      </c>
      <c r="AZ50" s="301">
        <f t="shared" si="85"/>
        <v>4.0575000000000001</v>
      </c>
      <c r="BA50" s="301">
        <f t="shared" si="85"/>
        <v>4.0575000000000001</v>
      </c>
      <c r="BB50" s="301">
        <f t="shared" si="85"/>
        <v>4.0575000000000001</v>
      </c>
      <c r="BC50" s="301">
        <f t="shared" si="85"/>
        <v>4.0575000000000001</v>
      </c>
      <c r="BD50" s="187"/>
      <c r="BE50" s="187">
        <f t="shared" si="64"/>
        <v>434</v>
      </c>
      <c r="BF50" s="187">
        <f t="shared" si="65"/>
        <v>434</v>
      </c>
      <c r="BG50" s="187">
        <f t="shared" si="80"/>
        <v>434</v>
      </c>
      <c r="BH50" s="187">
        <f t="shared" si="81"/>
        <v>434</v>
      </c>
      <c r="BI50" s="187"/>
      <c r="BJ50" s="187">
        <f t="shared" si="48"/>
        <v>434</v>
      </c>
      <c r="BK50" s="187">
        <f t="shared" si="49"/>
        <v>434</v>
      </c>
      <c r="BL50" s="187">
        <f t="shared" si="82"/>
        <v>434</v>
      </c>
      <c r="BM50" s="187">
        <f t="shared" si="83"/>
        <v>434</v>
      </c>
      <c r="BN50" s="188"/>
      <c r="BO50" s="188">
        <f t="shared" si="50"/>
        <v>0</v>
      </c>
      <c r="BP50" s="188">
        <f t="shared" si="51"/>
        <v>0</v>
      </c>
      <c r="BQ50" s="188">
        <f t="shared" si="52"/>
        <v>0</v>
      </c>
      <c r="BR50" s="188">
        <f t="shared" si="53"/>
        <v>0</v>
      </c>
      <c r="BS50" s="188">
        <f t="shared" si="40"/>
        <v>0</v>
      </c>
      <c r="BT50" s="188">
        <f t="shared" si="41"/>
        <v>0</v>
      </c>
      <c r="BU50" s="188">
        <f t="shared" si="42"/>
        <v>0</v>
      </c>
      <c r="BV50" s="188">
        <f t="shared" si="43"/>
        <v>0</v>
      </c>
      <c r="BW50" s="188">
        <f t="shared" si="44"/>
        <v>0</v>
      </c>
      <c r="BX50" s="188">
        <f t="shared" si="45"/>
        <v>0</v>
      </c>
      <c r="BY50" s="188">
        <f t="shared" si="46"/>
        <v>0</v>
      </c>
      <c r="BZ50" s="305">
        <f>IF(COT_PRECALCULOS!$D$24="Precios Iva Incluído",BI50,BD50)</f>
        <v>0</v>
      </c>
      <c r="CA50" s="305">
        <f>IF(COT_PRECALCULOS!$D$24="Precios Iva Incluído",BJ50,BE50)</f>
        <v>434</v>
      </c>
      <c r="CB50" s="305">
        <f>IF(COT_PRECALCULOS!$D$24="Precios Iva Incluído",BK50,BF50)</f>
        <v>434</v>
      </c>
      <c r="CC50" s="305">
        <f>IF(COT_PRECALCULOS!$D$24="Precios Iva Incluído",BL50,BG50)</f>
        <v>434</v>
      </c>
      <c r="CD50" s="305">
        <f>IF(COT_PRECALCULOS!$D$24="Precios Iva Incluído",BM50,BH50)</f>
        <v>434</v>
      </c>
      <c r="CE50" s="305">
        <f>IF(COT_PRECALCULOS!$D$24="Precios Iva Incluído",BT50,BN50)</f>
        <v>0</v>
      </c>
      <c r="CF50" s="305">
        <f>IF(COT_PRECALCULOS!$D$24="Precios Iva Incluído",BU50,BO50)</f>
        <v>0</v>
      </c>
      <c r="CG50" s="305">
        <f>IF(COT_PRECALCULOS!$D$24="Precios Iva Incluído",BV50,BP50)</f>
        <v>0</v>
      </c>
      <c r="CH50" s="305">
        <f>IF(COT_PRECALCULOS!$D$24="Precios Iva Incluído",BW50,BQ50)</f>
        <v>0</v>
      </c>
      <c r="CI50" s="305">
        <f>IF(COT_PRECALCULOS!$D$24="Precios Iva Incluído",BX50,BR50)</f>
        <v>0</v>
      </c>
    </row>
    <row r="51" spans="1:87">
      <c r="A51" s="182" t="s">
        <v>101</v>
      </c>
      <c r="B51" s="182" t="s">
        <v>98</v>
      </c>
      <c r="C51" s="189" t="str">
        <f t="shared" si="0"/>
        <v>F_PE3</v>
      </c>
      <c r="D51" s="189" t="str">
        <f t="shared" si="1"/>
        <v>36_P_</v>
      </c>
      <c r="E51" s="211" t="s">
        <v>1</v>
      </c>
      <c r="F51" s="211" t="s">
        <v>1</v>
      </c>
      <c r="G51" s="189" t="s">
        <v>16</v>
      </c>
      <c r="H51" s="211"/>
      <c r="I51" s="211" t="s">
        <v>1340</v>
      </c>
      <c r="J51" s="211">
        <v>36</v>
      </c>
      <c r="K51" s="211" t="s">
        <v>1340</v>
      </c>
      <c r="L51" s="189" t="s">
        <v>9</v>
      </c>
      <c r="M51" s="211">
        <v>20</v>
      </c>
      <c r="N51" s="211">
        <v>40</v>
      </c>
      <c r="O51" s="211">
        <v>40</v>
      </c>
      <c r="P51" s="211">
        <v>40</v>
      </c>
      <c r="Q51" s="211">
        <v>40</v>
      </c>
      <c r="R51" s="211"/>
      <c r="S51" s="183">
        <f t="shared" si="70"/>
        <v>0</v>
      </c>
      <c r="T51" s="385">
        <f>$S51</f>
        <v>0</v>
      </c>
      <c r="U51" s="385">
        <f t="shared" si="71"/>
        <v>0</v>
      </c>
      <c r="V51" s="385">
        <f t="shared" si="71"/>
        <v>0</v>
      </c>
      <c r="W51" s="385">
        <f t="shared" si="71"/>
        <v>0</v>
      </c>
      <c r="X51" s="385">
        <f t="shared" si="71"/>
        <v>0</v>
      </c>
      <c r="Y51" s="184">
        <f t="shared" si="5"/>
        <v>163328</v>
      </c>
      <c r="Z51" s="184">
        <f t="shared" si="72"/>
        <v>217917</v>
      </c>
      <c r="AA51" s="184">
        <f t="shared" si="73"/>
        <v>233081</v>
      </c>
      <c r="AB51" s="184">
        <f t="shared" si="74"/>
        <v>7582</v>
      </c>
      <c r="AC51" s="184">
        <f t="shared" si="75"/>
        <v>7530</v>
      </c>
      <c r="AD51" s="184">
        <f t="shared" si="10"/>
        <v>629438</v>
      </c>
      <c r="AE51" s="183">
        <f t="shared" ref="AE51:AE82" si="86">IF(ISERROR(VLOOKUP(G51,FRE_FRECUENCIA_MENUS_FDS,2,FALSE)),0,VLOOKUP(G51,FRE_FRECUENCIA_MENUS_FDS,2,FALSE))</f>
        <v>0</v>
      </c>
      <c r="AF51" s="385">
        <f t="shared" si="84"/>
        <v>0</v>
      </c>
      <c r="AG51" s="385">
        <f t="shared" si="84"/>
        <v>0</v>
      </c>
      <c r="AH51" s="385">
        <f t="shared" si="84"/>
        <v>0</v>
      </c>
      <c r="AI51" s="185">
        <f t="shared" si="13"/>
        <v>0</v>
      </c>
      <c r="AJ51" s="185">
        <f t="shared" si="78"/>
        <v>0</v>
      </c>
      <c r="AK51" s="185">
        <f t="shared" si="79"/>
        <v>0</v>
      </c>
      <c r="AL51" s="185">
        <f t="shared" si="16"/>
        <v>0</v>
      </c>
      <c r="AM51" s="173">
        <f>($S51*Y51)+($AE51*AI51)</f>
        <v>0</v>
      </c>
      <c r="AN51" s="173">
        <f t="shared" si="61"/>
        <v>0</v>
      </c>
      <c r="AO51" s="173">
        <f t="shared" si="62"/>
        <v>0</v>
      </c>
      <c r="AP51" s="173">
        <f t="shared" si="20"/>
        <v>0</v>
      </c>
      <c r="AQ51" s="173">
        <f t="shared" si="21"/>
        <v>0</v>
      </c>
      <c r="AR51" s="173">
        <f t="shared" si="22"/>
        <v>0</v>
      </c>
      <c r="AS51" s="186" t="s">
        <v>1343</v>
      </c>
      <c r="AT51" s="300">
        <f t="shared" ref="AT51:AX60" si="87">IF(ISERROR(IF(ISERROR(MATCH(CONCATENATE($J51,"_",AT$1),COT_PRE_CODIGO_ALIMENTOS,0)),IF(ISERROR(MATCH(CONCATENATE($J51,"_",AT$2),COT_PRE_CODIGO_ALIMENTOS,0)),IF(ISERROR(MATCH(CONCATENATE($J51,"_",AT$3),COT_PRE_CODIGO_ALIMENTOS,0)),IF(ISERROR(MATCH(CONCATENATE($J51,"_",AT$4),COT_PRE_CODIGO_ALIMENTOS,0)),IF(ISERROR(MATCH(CONCATENATE($J51,"_",AT$5),COT_PRE_CODIGO_ALIMENTOS,0)),IF(ISERROR(MATCH(CONCATENATE($J51,"_",AT$6),COT_PRE_CODIGO_ALIMENTOS,0)),IF(ISERROR(MATCH(CONCATENATE($J51,"_",AT$7),COT_PRE_CODIGO_ALIMENTOS,0)),IF(ISERROR(VLOOKUP($J51,COT_PRE_ALIMENTOS,AT$8,FALSE)),"DATO NO DISPONIBLE",VLOOKUP($J51,COT_PRE_ALIMENTOS,AT$8,FALSE)),VLOOKUP(CONCATENATE($J51,"_",AT$7),COT_PRE_ALIMENTOS,AT$8,FALSE)),VLOOKUP(CONCATENATE($J51,"_",AT$6),COT_PRE_ALIMENTOS,AT$8,FALSE)),VLOOKUP(CONCATENATE($J51,"_",AT$5),COT_PRE_ALIMENTOS,AT$8,FALSE)),VLOOKUP(CONCATENATE($J51,"_",AT$4),COT_PRE_ALIMENTOS,AT$8,FALSE)),VLOOKUP(CONCATENATE($J51,"_",AT$3),COT_PRE_ALIMENTOS,AT$8,FALSE)),VLOOKUP(CONCATENATE($J51,"_",AT$2),COT_PRE_ALIMENTOS,AT$8,FALSE)),VLOOKUP(CONCATENATE($J51,"_",AT$1),COT_PRE_ALIMENTOS,AT$8,FALSE))),"DATO NO DISPONIBLE",IF(ISERROR(MATCH(CONCATENATE($J51,"_",AT$1),COT_PRE_CODIGO_ALIMENTOS,0)),IF(ISERROR(MATCH(CONCATENATE($J51,"_",AT$2),COT_PRE_CODIGO_ALIMENTOS,0)),IF(ISERROR(MATCH(CONCATENATE($J51,"_",AT$3),COT_PRE_CODIGO_ALIMENTOS,0)),IF(ISERROR(MATCH(CONCATENATE($J51,"_",AT$4),COT_PRE_CODIGO_ALIMENTOS,0)),IF(ISERROR(MATCH(CONCATENATE($J51,"_",AT$5),COT_PRE_CODIGO_ALIMENTOS,0)),IF(ISERROR(MATCH(CONCATENATE($J51,"_",AT$6),COT_PRE_CODIGO_ALIMENTOS,0)),IF(ISERROR(MATCH(CONCATENATE($J51,"_",AT$7),COT_PRE_CODIGO_ALIMENTOS,0)),IF(ISERROR(VLOOKUP($J51,COT_PRE_ALIMENTOS,AT$8,FALSE)),"DATO NO DISPONIBLE",VLOOKUP($J51,COT_PRE_ALIMENTOS,AT$8,FALSE)),VLOOKUP(CONCATENATE($J51,"_",AT$7),COT_PRE_ALIMENTOS,AT$8,FALSE)),VLOOKUP(CONCATENATE($J51,"_",AT$6),COT_PRE_ALIMENTOS,AT$8,FALSE)),VLOOKUP(CONCATENATE($J51,"_",AT$5),COT_PRE_ALIMENTOS,AT$8,FALSE)),VLOOKUP(CONCATENATE($J51,"_",AT$4),COT_PRE_ALIMENTOS,AT$8,FALSE)),VLOOKUP(CONCATENATE($J51,"_",AT$3),COT_PRE_ALIMENTOS,AT$8,FALSE)),VLOOKUP(CONCATENATE($J51,"_",AT$2),COT_PRE_ALIMENTOS,AT$8,FALSE)),VLOOKUP(CONCATENATE($J51,"_",AT$1),COT_PRE_ALIMENTOS,AT$8,FALSE)))</f>
        <v>5.9</v>
      </c>
      <c r="AU51" s="300">
        <f t="shared" si="87"/>
        <v>5.9</v>
      </c>
      <c r="AV51" s="300">
        <f t="shared" si="87"/>
        <v>5.9</v>
      </c>
      <c r="AW51" s="300">
        <f t="shared" si="87"/>
        <v>5.9</v>
      </c>
      <c r="AX51" s="300">
        <f t="shared" si="87"/>
        <v>5.9</v>
      </c>
      <c r="AY51" s="301">
        <f t="shared" si="85"/>
        <v>5.9</v>
      </c>
      <c r="AZ51" s="301">
        <f t="shared" si="85"/>
        <v>5.9</v>
      </c>
      <c r="BA51" s="301">
        <f t="shared" si="85"/>
        <v>5.9</v>
      </c>
      <c r="BB51" s="301">
        <f t="shared" si="85"/>
        <v>5.9</v>
      </c>
      <c r="BC51" s="301">
        <f t="shared" si="85"/>
        <v>5.9</v>
      </c>
      <c r="BD51" s="187">
        <f>ROUND(IF(OR(M51=0,AT51="DATO NO DISPONIBLE"),"",AT51*M51*($BD$7+1)),0)</f>
        <v>126</v>
      </c>
      <c r="BE51" s="187">
        <f t="shared" si="64"/>
        <v>252</v>
      </c>
      <c r="BF51" s="187">
        <f t="shared" si="65"/>
        <v>252</v>
      </c>
      <c r="BG51" s="187">
        <f t="shared" si="80"/>
        <v>252</v>
      </c>
      <c r="BH51" s="187">
        <f t="shared" si="81"/>
        <v>252</v>
      </c>
      <c r="BI51" s="187">
        <f>ROUND(IF(OR(M51=0,AY51="DATO NO DISPONIBLE"),0,AY51*M51*($BD$7+1)),0)</f>
        <v>126</v>
      </c>
      <c r="BJ51" s="187">
        <f t="shared" si="48"/>
        <v>252</v>
      </c>
      <c r="BK51" s="187">
        <f t="shared" si="49"/>
        <v>252</v>
      </c>
      <c r="BL51" s="187">
        <f t="shared" si="82"/>
        <v>252</v>
      </c>
      <c r="BM51" s="187">
        <f t="shared" si="83"/>
        <v>252</v>
      </c>
      <c r="BN51" s="188">
        <f>BD51*AM51</f>
        <v>0</v>
      </c>
      <c r="BO51" s="188">
        <f t="shared" si="50"/>
        <v>0</v>
      </c>
      <c r="BP51" s="188">
        <f t="shared" si="51"/>
        <v>0</v>
      </c>
      <c r="BQ51" s="188">
        <f t="shared" si="52"/>
        <v>0</v>
      </c>
      <c r="BR51" s="188">
        <f t="shared" si="53"/>
        <v>0</v>
      </c>
      <c r="BS51" s="188">
        <f t="shared" si="40"/>
        <v>0</v>
      </c>
      <c r="BT51" s="188">
        <f t="shared" si="41"/>
        <v>0</v>
      </c>
      <c r="BU51" s="188">
        <f t="shared" si="42"/>
        <v>0</v>
      </c>
      <c r="BV51" s="188">
        <f t="shared" si="43"/>
        <v>0</v>
      </c>
      <c r="BW51" s="188">
        <f t="shared" si="44"/>
        <v>0</v>
      </c>
      <c r="BX51" s="188">
        <f t="shared" si="45"/>
        <v>0</v>
      </c>
      <c r="BY51" s="188">
        <f t="shared" si="46"/>
        <v>0</v>
      </c>
      <c r="BZ51" s="305">
        <f>IF(COT_PRECALCULOS!$D$24="Precios Iva Incluído",BI51,BD51)</f>
        <v>126</v>
      </c>
      <c r="CA51" s="305">
        <f>IF(COT_PRECALCULOS!$D$24="Precios Iva Incluído",BJ51,BE51)</f>
        <v>252</v>
      </c>
      <c r="CB51" s="305">
        <f>IF(COT_PRECALCULOS!$D$24="Precios Iva Incluído",BK51,BF51)</f>
        <v>252</v>
      </c>
      <c r="CC51" s="305">
        <f>IF(COT_PRECALCULOS!$D$24="Precios Iva Incluído",BL51,BG51)</f>
        <v>252</v>
      </c>
      <c r="CD51" s="305">
        <f>IF(COT_PRECALCULOS!$D$24="Precios Iva Incluído",BM51,BH51)</f>
        <v>252</v>
      </c>
      <c r="CE51" s="305">
        <f>IF(COT_PRECALCULOS!$D$24="Precios Iva Incluído",BT51,BN51)</f>
        <v>0</v>
      </c>
      <c r="CF51" s="305">
        <f>IF(COT_PRECALCULOS!$D$24="Precios Iva Incluído",BU51,BO51)</f>
        <v>0</v>
      </c>
      <c r="CG51" s="305">
        <f>IF(COT_PRECALCULOS!$D$24="Precios Iva Incluído",BV51,BP51)</f>
        <v>0</v>
      </c>
      <c r="CH51" s="305">
        <f>IF(COT_PRECALCULOS!$D$24="Precios Iva Incluído",BW51,BQ51)</f>
        <v>0</v>
      </c>
      <c r="CI51" s="305">
        <f>IF(COT_PRECALCULOS!$D$24="Precios Iva Incluído",BX51,BR51)</f>
        <v>0</v>
      </c>
    </row>
    <row r="52" spans="1:87">
      <c r="A52" s="182" t="s">
        <v>101</v>
      </c>
      <c r="B52" s="182" t="s">
        <v>98</v>
      </c>
      <c r="C52" s="189" t="str">
        <f t="shared" si="0"/>
        <v>F_PE4</v>
      </c>
      <c r="D52" s="189" t="str">
        <f t="shared" si="1"/>
        <v>8_P_</v>
      </c>
      <c r="E52" s="211" t="s">
        <v>1</v>
      </c>
      <c r="F52" s="211" t="s">
        <v>1</v>
      </c>
      <c r="G52" s="189" t="s">
        <v>17</v>
      </c>
      <c r="H52" s="211" t="s">
        <v>2</v>
      </c>
      <c r="I52" s="211" t="s">
        <v>54</v>
      </c>
      <c r="J52" s="211">
        <v>8</v>
      </c>
      <c r="K52" s="211" t="s">
        <v>55</v>
      </c>
      <c r="L52" s="189" t="s">
        <v>9</v>
      </c>
      <c r="M52" s="211">
        <v>100</v>
      </c>
      <c r="N52" s="211">
        <v>100</v>
      </c>
      <c r="O52" s="211">
        <v>100</v>
      </c>
      <c r="P52" s="211">
        <v>100</v>
      </c>
      <c r="Q52" s="211">
        <v>100</v>
      </c>
      <c r="R52" s="211"/>
      <c r="S52" s="183">
        <f t="shared" si="70"/>
        <v>1</v>
      </c>
      <c r="T52" s="385">
        <f>$S52</f>
        <v>1</v>
      </c>
      <c r="U52" s="385">
        <f t="shared" si="71"/>
        <v>1</v>
      </c>
      <c r="V52" s="385">
        <f t="shared" si="71"/>
        <v>1</v>
      </c>
      <c r="W52" s="385">
        <f t="shared" si="71"/>
        <v>1</v>
      </c>
      <c r="X52" s="385">
        <f t="shared" si="71"/>
        <v>1</v>
      </c>
      <c r="Y52" s="184">
        <f t="shared" si="5"/>
        <v>163328</v>
      </c>
      <c r="Z52" s="184">
        <f t="shared" si="72"/>
        <v>217917</v>
      </c>
      <c r="AA52" s="184">
        <f t="shared" si="73"/>
        <v>233081</v>
      </c>
      <c r="AB52" s="184">
        <f t="shared" si="74"/>
        <v>7582</v>
      </c>
      <c r="AC52" s="184">
        <f t="shared" si="75"/>
        <v>7530</v>
      </c>
      <c r="AD52" s="184">
        <f t="shared" si="10"/>
        <v>629438</v>
      </c>
      <c r="AE52" s="183">
        <f t="shared" si="86"/>
        <v>0</v>
      </c>
      <c r="AF52" s="385">
        <f t="shared" si="84"/>
        <v>0</v>
      </c>
      <c r="AG52" s="385">
        <f t="shared" si="84"/>
        <v>0</v>
      </c>
      <c r="AH52" s="385">
        <f t="shared" si="84"/>
        <v>0</v>
      </c>
      <c r="AI52" s="185">
        <f t="shared" si="13"/>
        <v>0</v>
      </c>
      <c r="AJ52" s="185">
        <f t="shared" si="78"/>
        <v>0</v>
      </c>
      <c r="AK52" s="185">
        <f t="shared" si="79"/>
        <v>0</v>
      </c>
      <c r="AL52" s="185">
        <f t="shared" si="16"/>
        <v>0</v>
      </c>
      <c r="AM52" s="173">
        <f>($S52*Y52)+($AE52*AI52)</f>
        <v>163328</v>
      </c>
      <c r="AN52" s="173">
        <f t="shared" si="61"/>
        <v>217917</v>
      </c>
      <c r="AO52" s="173">
        <f t="shared" si="62"/>
        <v>233081</v>
      </c>
      <c r="AP52" s="173">
        <f t="shared" si="20"/>
        <v>7582</v>
      </c>
      <c r="AQ52" s="173">
        <f t="shared" si="21"/>
        <v>7530</v>
      </c>
      <c r="AR52" s="173">
        <f t="shared" si="22"/>
        <v>629438</v>
      </c>
      <c r="AS52" s="186" t="s">
        <v>1344</v>
      </c>
      <c r="AT52" s="300">
        <f t="shared" si="87"/>
        <v>1.25</v>
      </c>
      <c r="AU52" s="300">
        <f t="shared" si="87"/>
        <v>1.25</v>
      </c>
      <c r="AV52" s="300">
        <f t="shared" si="87"/>
        <v>1.25</v>
      </c>
      <c r="AW52" s="300">
        <f t="shared" si="87"/>
        <v>1.25</v>
      </c>
      <c r="AX52" s="300">
        <f t="shared" si="87"/>
        <v>1.25</v>
      </c>
      <c r="AY52" s="301">
        <f t="shared" si="85"/>
        <v>1.25</v>
      </c>
      <c r="AZ52" s="301">
        <f t="shared" si="85"/>
        <v>1.25</v>
      </c>
      <c r="BA52" s="301">
        <f t="shared" si="85"/>
        <v>1.25</v>
      </c>
      <c r="BB52" s="301">
        <f t="shared" si="85"/>
        <v>1.25</v>
      </c>
      <c r="BC52" s="301">
        <f t="shared" si="85"/>
        <v>1.25</v>
      </c>
      <c r="BD52" s="187">
        <f>ROUND(IF(OR(M52=0,AT52="DATO NO DISPONIBLE"),"",AT52*M52*($BD$7+1)),0)</f>
        <v>134</v>
      </c>
      <c r="BE52" s="187">
        <f t="shared" si="64"/>
        <v>134</v>
      </c>
      <c r="BF52" s="187">
        <f t="shared" si="65"/>
        <v>134</v>
      </c>
      <c r="BG52" s="187">
        <f t="shared" si="80"/>
        <v>134</v>
      </c>
      <c r="BH52" s="187">
        <f t="shared" si="81"/>
        <v>134</v>
      </c>
      <c r="BI52" s="187">
        <f>ROUND(IF(OR(M52=0,AY52="DATO NO DISPONIBLE"),0,AY52*M52*($BD$7+1)),0)</f>
        <v>134</v>
      </c>
      <c r="BJ52" s="187">
        <f t="shared" si="48"/>
        <v>134</v>
      </c>
      <c r="BK52" s="187">
        <f t="shared" si="49"/>
        <v>134</v>
      </c>
      <c r="BL52" s="187">
        <f t="shared" si="82"/>
        <v>134</v>
      </c>
      <c r="BM52" s="187">
        <f t="shared" si="83"/>
        <v>134</v>
      </c>
      <c r="BN52" s="188">
        <f>BD52*AM52</f>
        <v>21885952</v>
      </c>
      <c r="BO52" s="188">
        <f t="shared" si="50"/>
        <v>29200878</v>
      </c>
      <c r="BP52" s="188">
        <f t="shared" si="51"/>
        <v>31232854</v>
      </c>
      <c r="BQ52" s="188">
        <f t="shared" si="52"/>
        <v>1015988</v>
      </c>
      <c r="BR52" s="188">
        <f t="shared" si="53"/>
        <v>1009020</v>
      </c>
      <c r="BS52" s="188">
        <f t="shared" si="40"/>
        <v>84344692</v>
      </c>
      <c r="BT52" s="188">
        <f t="shared" si="41"/>
        <v>21885952</v>
      </c>
      <c r="BU52" s="188">
        <f t="shared" si="42"/>
        <v>29200878</v>
      </c>
      <c r="BV52" s="188">
        <f t="shared" si="43"/>
        <v>31232854</v>
      </c>
      <c r="BW52" s="188">
        <f t="shared" si="44"/>
        <v>1015988</v>
      </c>
      <c r="BX52" s="188">
        <f t="shared" si="45"/>
        <v>1009020</v>
      </c>
      <c r="BY52" s="188">
        <f t="shared" si="46"/>
        <v>84344692</v>
      </c>
      <c r="BZ52" s="305">
        <f>IF(COT_PRECALCULOS!$D$24="Precios Iva Incluído",BI52,BD52)</f>
        <v>134</v>
      </c>
      <c r="CA52" s="305">
        <f>IF(COT_PRECALCULOS!$D$24="Precios Iva Incluído",BJ52,BE52)</f>
        <v>134</v>
      </c>
      <c r="CB52" s="305">
        <f>IF(COT_PRECALCULOS!$D$24="Precios Iva Incluído",BK52,BF52)</f>
        <v>134</v>
      </c>
      <c r="CC52" s="305">
        <f>IF(COT_PRECALCULOS!$D$24="Precios Iva Incluído",BL52,BG52)</f>
        <v>134</v>
      </c>
      <c r="CD52" s="305">
        <f>IF(COT_PRECALCULOS!$D$24="Precios Iva Incluído",BM52,BH52)</f>
        <v>134</v>
      </c>
      <c r="CE52" s="305">
        <f>IF(COT_PRECALCULOS!$D$24="Precios Iva Incluído",BT52,BN52)</f>
        <v>21885952</v>
      </c>
      <c r="CF52" s="305">
        <f>IF(COT_PRECALCULOS!$D$24="Precios Iva Incluído",BU52,BO52)</f>
        <v>29200878</v>
      </c>
      <c r="CG52" s="305">
        <f>IF(COT_PRECALCULOS!$D$24="Precios Iva Incluído",BV52,BP52)</f>
        <v>31232854</v>
      </c>
      <c r="CH52" s="305">
        <f>IF(COT_PRECALCULOS!$D$24="Precios Iva Incluído",BW52,BQ52)</f>
        <v>1015988</v>
      </c>
      <c r="CI52" s="305">
        <f>IF(COT_PRECALCULOS!$D$24="Precios Iva Incluído",BX52,BR52)</f>
        <v>1009020</v>
      </c>
    </row>
    <row r="53" spans="1:87">
      <c r="A53" s="182" t="s">
        <v>101</v>
      </c>
      <c r="B53" s="182" t="s">
        <v>98</v>
      </c>
      <c r="C53" s="189" t="str">
        <f t="shared" si="0"/>
        <v>F_PE4</v>
      </c>
      <c r="D53" s="189" t="str">
        <f t="shared" si="1"/>
        <v>7_P_</v>
      </c>
      <c r="E53" s="211" t="s">
        <v>1</v>
      </c>
      <c r="F53" s="211" t="s">
        <v>1</v>
      </c>
      <c r="G53" s="189" t="s">
        <v>17</v>
      </c>
      <c r="H53" s="211"/>
      <c r="I53" s="211" t="s">
        <v>56</v>
      </c>
      <c r="J53" s="211">
        <v>7</v>
      </c>
      <c r="K53" s="211" t="s">
        <v>57</v>
      </c>
      <c r="L53" s="189" t="s">
        <v>9</v>
      </c>
      <c r="M53" s="211">
        <v>100</v>
      </c>
      <c r="N53" s="211">
        <v>100</v>
      </c>
      <c r="O53" s="211">
        <v>100</v>
      </c>
      <c r="P53" s="211">
        <v>100</v>
      </c>
      <c r="Q53" s="211">
        <v>100</v>
      </c>
      <c r="R53" s="211"/>
      <c r="S53" s="183">
        <f t="shared" si="70"/>
        <v>1</v>
      </c>
      <c r="T53" s="385">
        <f>$S53</f>
        <v>1</v>
      </c>
      <c r="U53" s="385">
        <f t="shared" si="71"/>
        <v>1</v>
      </c>
      <c r="V53" s="385">
        <f t="shared" si="71"/>
        <v>1</v>
      </c>
      <c r="W53" s="385">
        <f t="shared" si="71"/>
        <v>1</v>
      </c>
      <c r="X53" s="385">
        <f t="shared" si="71"/>
        <v>1</v>
      </c>
      <c r="Y53" s="184">
        <f t="shared" si="5"/>
        <v>163328</v>
      </c>
      <c r="Z53" s="184">
        <f t="shared" si="72"/>
        <v>217917</v>
      </c>
      <c r="AA53" s="184">
        <f t="shared" si="73"/>
        <v>233081</v>
      </c>
      <c r="AB53" s="184">
        <f t="shared" si="74"/>
        <v>7582</v>
      </c>
      <c r="AC53" s="184">
        <f t="shared" si="75"/>
        <v>7530</v>
      </c>
      <c r="AD53" s="184">
        <f t="shared" si="10"/>
        <v>629438</v>
      </c>
      <c r="AE53" s="183">
        <f t="shared" si="86"/>
        <v>0</v>
      </c>
      <c r="AF53" s="385">
        <f t="shared" si="84"/>
        <v>0</v>
      </c>
      <c r="AG53" s="385">
        <f t="shared" si="84"/>
        <v>0</v>
      </c>
      <c r="AH53" s="385">
        <f t="shared" si="84"/>
        <v>0</v>
      </c>
      <c r="AI53" s="185">
        <f t="shared" si="13"/>
        <v>0</v>
      </c>
      <c r="AJ53" s="185">
        <f t="shared" si="78"/>
        <v>0</v>
      </c>
      <c r="AK53" s="185">
        <f t="shared" si="79"/>
        <v>0</v>
      </c>
      <c r="AL53" s="185">
        <f t="shared" si="16"/>
        <v>0</v>
      </c>
      <c r="AM53" s="173">
        <f>($S53*Y53)+($AE53*AI53)</f>
        <v>163328</v>
      </c>
      <c r="AN53" s="173">
        <f t="shared" si="61"/>
        <v>217917</v>
      </c>
      <c r="AO53" s="173">
        <f t="shared" si="62"/>
        <v>233081</v>
      </c>
      <c r="AP53" s="173">
        <f t="shared" si="20"/>
        <v>7582</v>
      </c>
      <c r="AQ53" s="173">
        <f t="shared" si="21"/>
        <v>7530</v>
      </c>
      <c r="AR53" s="173">
        <f t="shared" si="22"/>
        <v>629438</v>
      </c>
      <c r="AS53" s="186" t="s">
        <v>1344</v>
      </c>
      <c r="AT53" s="300">
        <f t="shared" si="87"/>
        <v>1</v>
      </c>
      <c r="AU53" s="300">
        <f t="shared" si="87"/>
        <v>1</v>
      </c>
      <c r="AV53" s="300">
        <f t="shared" si="87"/>
        <v>1</v>
      </c>
      <c r="AW53" s="300">
        <f t="shared" si="87"/>
        <v>1</v>
      </c>
      <c r="AX53" s="300">
        <f t="shared" si="87"/>
        <v>1</v>
      </c>
      <c r="AY53" s="301">
        <f t="shared" si="85"/>
        <v>1</v>
      </c>
      <c r="AZ53" s="301">
        <f t="shared" si="85"/>
        <v>1</v>
      </c>
      <c r="BA53" s="301">
        <f t="shared" si="85"/>
        <v>1</v>
      </c>
      <c r="BB53" s="301">
        <f t="shared" si="85"/>
        <v>1</v>
      </c>
      <c r="BC53" s="301">
        <f t="shared" si="85"/>
        <v>1</v>
      </c>
      <c r="BD53" s="187">
        <f>ROUND(IF(OR(M53=0,AT53="DATO NO DISPONIBLE"),"",AT53*M53*($BD$7+1)),0)</f>
        <v>107</v>
      </c>
      <c r="BE53" s="187">
        <f t="shared" si="64"/>
        <v>107</v>
      </c>
      <c r="BF53" s="187">
        <f t="shared" si="65"/>
        <v>107</v>
      </c>
      <c r="BG53" s="187">
        <f t="shared" si="80"/>
        <v>107</v>
      </c>
      <c r="BH53" s="187">
        <f t="shared" si="81"/>
        <v>107</v>
      </c>
      <c r="BI53" s="187">
        <f>ROUND(IF(OR(M53=0,AY53="DATO NO DISPONIBLE"),0,AY53*M53*($BD$7+1)),0)</f>
        <v>107</v>
      </c>
      <c r="BJ53" s="187">
        <f t="shared" si="48"/>
        <v>107</v>
      </c>
      <c r="BK53" s="187">
        <f t="shared" si="49"/>
        <v>107</v>
      </c>
      <c r="BL53" s="187">
        <f t="shared" si="82"/>
        <v>107</v>
      </c>
      <c r="BM53" s="187">
        <f t="shared" si="83"/>
        <v>107</v>
      </c>
      <c r="BN53" s="188">
        <f>BD53*AM53</f>
        <v>17476096</v>
      </c>
      <c r="BO53" s="188">
        <f t="shared" si="50"/>
        <v>23317119</v>
      </c>
      <c r="BP53" s="188">
        <f t="shared" si="51"/>
        <v>24939667</v>
      </c>
      <c r="BQ53" s="188">
        <f t="shared" si="52"/>
        <v>811274</v>
      </c>
      <c r="BR53" s="188">
        <f t="shared" si="53"/>
        <v>805710</v>
      </c>
      <c r="BS53" s="188">
        <f t="shared" si="40"/>
        <v>67349866</v>
      </c>
      <c r="BT53" s="188">
        <f t="shared" si="41"/>
        <v>17476096</v>
      </c>
      <c r="BU53" s="188">
        <f t="shared" si="42"/>
        <v>23317119</v>
      </c>
      <c r="BV53" s="188">
        <f t="shared" si="43"/>
        <v>24939667</v>
      </c>
      <c r="BW53" s="188">
        <f t="shared" si="44"/>
        <v>811274</v>
      </c>
      <c r="BX53" s="188">
        <f t="shared" si="45"/>
        <v>805710</v>
      </c>
      <c r="BY53" s="188">
        <f t="shared" si="46"/>
        <v>67349866</v>
      </c>
      <c r="BZ53" s="305">
        <f>IF(COT_PRECALCULOS!$D$24="Precios Iva Incluído",BI53,BD53)</f>
        <v>107</v>
      </c>
      <c r="CA53" s="305">
        <f>IF(COT_PRECALCULOS!$D$24="Precios Iva Incluído",BJ53,BE53)</f>
        <v>107</v>
      </c>
      <c r="CB53" s="305">
        <f>IF(COT_PRECALCULOS!$D$24="Precios Iva Incluído",BK53,BF53)</f>
        <v>107</v>
      </c>
      <c r="CC53" s="305">
        <f>IF(COT_PRECALCULOS!$D$24="Precios Iva Incluído",BL53,BG53)</f>
        <v>107</v>
      </c>
      <c r="CD53" s="305">
        <f>IF(COT_PRECALCULOS!$D$24="Precios Iva Incluído",BM53,BH53)</f>
        <v>107</v>
      </c>
      <c r="CE53" s="305">
        <f>IF(COT_PRECALCULOS!$D$24="Precios Iva Incluído",BT53,BN53)</f>
        <v>17476096</v>
      </c>
      <c r="CF53" s="305">
        <f>IF(COT_PRECALCULOS!$D$24="Precios Iva Incluído",BU53,BO53)</f>
        <v>23317119</v>
      </c>
      <c r="CG53" s="305">
        <f>IF(COT_PRECALCULOS!$D$24="Precios Iva Incluído",BV53,BP53)</f>
        <v>24939667</v>
      </c>
      <c r="CH53" s="305">
        <f>IF(COT_PRECALCULOS!$D$24="Precios Iva Incluído",BW53,BQ53)</f>
        <v>811274</v>
      </c>
      <c r="CI53" s="305">
        <f>IF(COT_PRECALCULOS!$D$24="Precios Iva Incluído",BX53,BR53)</f>
        <v>805710</v>
      </c>
    </row>
    <row r="54" spans="1:87">
      <c r="A54" s="182" t="s">
        <v>101</v>
      </c>
      <c r="B54" s="182" t="s">
        <v>98</v>
      </c>
      <c r="C54" s="189" t="str">
        <f t="shared" si="0"/>
        <v>F_PE4</v>
      </c>
      <c r="D54" s="189" t="str">
        <f t="shared" si="1"/>
        <v>17_P_</v>
      </c>
      <c r="E54" s="211" t="s">
        <v>1</v>
      </c>
      <c r="F54" s="211" t="s">
        <v>1</v>
      </c>
      <c r="G54" s="189" t="s">
        <v>17</v>
      </c>
      <c r="H54" s="211"/>
      <c r="I54" s="211" t="s">
        <v>52</v>
      </c>
      <c r="J54" s="211">
        <v>17</v>
      </c>
      <c r="K54" s="211" t="s">
        <v>53</v>
      </c>
      <c r="L54" s="189" t="s">
        <v>9</v>
      </c>
      <c r="M54" s="386">
        <v>0</v>
      </c>
      <c r="N54" s="211">
        <v>100</v>
      </c>
      <c r="O54" s="211">
        <v>100</v>
      </c>
      <c r="P54" s="211">
        <v>100</v>
      </c>
      <c r="Q54" s="211">
        <v>100</v>
      </c>
      <c r="R54" s="211" t="s">
        <v>73</v>
      </c>
      <c r="S54" s="183">
        <f t="shared" si="70"/>
        <v>2</v>
      </c>
      <c r="T54" s="386">
        <v>0</v>
      </c>
      <c r="U54" s="385">
        <f t="shared" si="71"/>
        <v>2</v>
      </c>
      <c r="V54" s="385">
        <f t="shared" si="71"/>
        <v>2</v>
      </c>
      <c r="W54" s="385">
        <f t="shared" si="71"/>
        <v>2</v>
      </c>
      <c r="X54" s="385">
        <f t="shared" si="71"/>
        <v>2</v>
      </c>
      <c r="Y54" s="184">
        <f t="shared" si="5"/>
        <v>0</v>
      </c>
      <c r="Z54" s="184">
        <f t="shared" si="72"/>
        <v>217917</v>
      </c>
      <c r="AA54" s="184">
        <f t="shared" si="73"/>
        <v>233081</v>
      </c>
      <c r="AB54" s="184">
        <f t="shared" si="74"/>
        <v>7582</v>
      </c>
      <c r="AC54" s="184">
        <f t="shared" si="75"/>
        <v>7530</v>
      </c>
      <c r="AD54" s="184">
        <f t="shared" si="10"/>
        <v>466110</v>
      </c>
      <c r="AE54" s="183">
        <f t="shared" si="86"/>
        <v>0</v>
      </c>
      <c r="AF54" s="385">
        <f t="shared" si="84"/>
        <v>0</v>
      </c>
      <c r="AG54" s="385">
        <f t="shared" si="84"/>
        <v>0</v>
      </c>
      <c r="AH54" s="385">
        <f t="shared" si="84"/>
        <v>0</v>
      </c>
      <c r="AI54" s="185">
        <f t="shared" si="13"/>
        <v>0</v>
      </c>
      <c r="AJ54" s="185">
        <f t="shared" si="78"/>
        <v>0</v>
      </c>
      <c r="AK54" s="185">
        <f t="shared" si="79"/>
        <v>0</v>
      </c>
      <c r="AL54" s="185">
        <f t="shared" si="16"/>
        <v>0</v>
      </c>
      <c r="AM54" s="173">
        <v>0</v>
      </c>
      <c r="AN54" s="173">
        <f t="shared" si="61"/>
        <v>435834</v>
      </c>
      <c r="AO54" s="173">
        <f t="shared" si="62"/>
        <v>466162</v>
      </c>
      <c r="AP54" s="173">
        <f t="shared" si="20"/>
        <v>15164</v>
      </c>
      <c r="AQ54" s="173">
        <f t="shared" si="21"/>
        <v>15060</v>
      </c>
      <c r="AR54" s="173">
        <f t="shared" si="22"/>
        <v>932220</v>
      </c>
      <c r="AS54" s="186" t="s">
        <v>1344</v>
      </c>
      <c r="AT54" s="300">
        <f t="shared" si="87"/>
        <v>2.11</v>
      </c>
      <c r="AU54" s="300">
        <f t="shared" si="87"/>
        <v>2.11</v>
      </c>
      <c r="AV54" s="300">
        <f t="shared" si="87"/>
        <v>2.11</v>
      </c>
      <c r="AW54" s="300">
        <f t="shared" si="87"/>
        <v>2.11</v>
      </c>
      <c r="AX54" s="300">
        <f t="shared" si="87"/>
        <v>2.11</v>
      </c>
      <c r="AY54" s="301">
        <f t="shared" si="85"/>
        <v>2.11</v>
      </c>
      <c r="AZ54" s="301">
        <f t="shared" si="85"/>
        <v>2.11</v>
      </c>
      <c r="BA54" s="301">
        <f t="shared" si="85"/>
        <v>2.11</v>
      </c>
      <c r="BB54" s="301">
        <f t="shared" si="85"/>
        <v>2.11</v>
      </c>
      <c r="BC54" s="301">
        <f t="shared" si="85"/>
        <v>2.11</v>
      </c>
      <c r="BD54" s="187"/>
      <c r="BE54" s="187">
        <f t="shared" si="64"/>
        <v>226</v>
      </c>
      <c r="BF54" s="187">
        <f t="shared" si="65"/>
        <v>226</v>
      </c>
      <c r="BG54" s="187">
        <f t="shared" si="80"/>
        <v>226</v>
      </c>
      <c r="BH54" s="187">
        <f t="shared" si="81"/>
        <v>226</v>
      </c>
      <c r="BI54" s="187"/>
      <c r="BJ54" s="187">
        <f t="shared" si="48"/>
        <v>226</v>
      </c>
      <c r="BK54" s="187">
        <f t="shared" si="49"/>
        <v>226</v>
      </c>
      <c r="BL54" s="187">
        <f t="shared" si="82"/>
        <v>226</v>
      </c>
      <c r="BM54" s="187">
        <f t="shared" si="83"/>
        <v>226</v>
      </c>
      <c r="BN54" s="188"/>
      <c r="BO54" s="188">
        <f t="shared" si="50"/>
        <v>98498484</v>
      </c>
      <c r="BP54" s="188">
        <f t="shared" si="51"/>
        <v>105352612</v>
      </c>
      <c r="BQ54" s="188">
        <f t="shared" si="52"/>
        <v>3427064</v>
      </c>
      <c r="BR54" s="188">
        <f t="shared" si="53"/>
        <v>3403560</v>
      </c>
      <c r="BS54" s="188">
        <f t="shared" si="40"/>
        <v>210681720</v>
      </c>
      <c r="BT54" s="188">
        <f t="shared" si="41"/>
        <v>0</v>
      </c>
      <c r="BU54" s="188">
        <f t="shared" si="42"/>
        <v>98498484</v>
      </c>
      <c r="BV54" s="188">
        <f t="shared" si="43"/>
        <v>105352612</v>
      </c>
      <c r="BW54" s="188">
        <f t="shared" si="44"/>
        <v>3427064</v>
      </c>
      <c r="BX54" s="188">
        <f t="shared" si="45"/>
        <v>3403560</v>
      </c>
      <c r="BY54" s="188">
        <f t="shared" si="46"/>
        <v>210681720</v>
      </c>
      <c r="BZ54" s="305">
        <f>IF(COT_PRECALCULOS!$D$24="Precios Iva Incluído",BI54,BD54)</f>
        <v>0</v>
      </c>
      <c r="CA54" s="305">
        <f>IF(COT_PRECALCULOS!$D$24="Precios Iva Incluído",BJ54,BE54)</f>
        <v>226</v>
      </c>
      <c r="CB54" s="305">
        <f>IF(COT_PRECALCULOS!$D$24="Precios Iva Incluído",BK54,BF54)</f>
        <v>226</v>
      </c>
      <c r="CC54" s="305">
        <f>IF(COT_PRECALCULOS!$D$24="Precios Iva Incluído",BL54,BG54)</f>
        <v>226</v>
      </c>
      <c r="CD54" s="305">
        <f>IF(COT_PRECALCULOS!$D$24="Precios Iva Incluído",BM54,BH54)</f>
        <v>226</v>
      </c>
      <c r="CE54" s="305">
        <f>IF(COT_PRECALCULOS!$D$24="Precios Iva Incluído",BT54,BN54)</f>
        <v>0</v>
      </c>
      <c r="CF54" s="305">
        <f>IF(COT_PRECALCULOS!$D$24="Precios Iva Incluído",BU54,BO54)</f>
        <v>98498484</v>
      </c>
      <c r="CG54" s="305">
        <f>IF(COT_PRECALCULOS!$D$24="Precios Iva Incluído",BV54,BP54)</f>
        <v>105352612</v>
      </c>
      <c r="CH54" s="305">
        <f>IF(COT_PRECALCULOS!$D$24="Precios Iva Incluído",BW54,BQ54)</f>
        <v>3427064</v>
      </c>
      <c r="CI54" s="305">
        <f>IF(COT_PRECALCULOS!$D$24="Precios Iva Incluído",BX54,BR54)</f>
        <v>3403560</v>
      </c>
    </row>
    <row r="55" spans="1:87">
      <c r="A55" s="182" t="s">
        <v>101</v>
      </c>
      <c r="B55" s="182" t="s">
        <v>98</v>
      </c>
      <c r="C55" s="189" t="str">
        <f t="shared" si="0"/>
        <v>F_PE4</v>
      </c>
      <c r="D55" s="189" t="str">
        <f t="shared" si="1"/>
        <v>22_P_</v>
      </c>
      <c r="E55" s="211" t="s">
        <v>1</v>
      </c>
      <c r="F55" s="211" t="s">
        <v>1</v>
      </c>
      <c r="G55" s="189" t="s">
        <v>17</v>
      </c>
      <c r="H55" s="211"/>
      <c r="I55" s="211" t="s">
        <v>50</v>
      </c>
      <c r="J55" s="211">
        <v>22</v>
      </c>
      <c r="K55" s="211" t="s">
        <v>51</v>
      </c>
      <c r="L55" s="189" t="s">
        <v>9</v>
      </c>
      <c r="M55" s="386">
        <v>0</v>
      </c>
      <c r="N55" s="211">
        <v>100</v>
      </c>
      <c r="O55" s="211">
        <v>100</v>
      </c>
      <c r="P55" s="211">
        <v>100</v>
      </c>
      <c r="Q55" s="211">
        <v>100</v>
      </c>
      <c r="R55" s="211" t="s">
        <v>73</v>
      </c>
      <c r="S55" s="183">
        <f t="shared" si="70"/>
        <v>3</v>
      </c>
      <c r="T55" s="386">
        <v>0</v>
      </c>
      <c r="U55" s="385">
        <f t="shared" si="71"/>
        <v>3</v>
      </c>
      <c r="V55" s="385">
        <f t="shared" si="71"/>
        <v>3</v>
      </c>
      <c r="W55" s="385">
        <f t="shared" si="71"/>
        <v>3</v>
      </c>
      <c r="X55" s="385">
        <f t="shared" si="71"/>
        <v>3</v>
      </c>
      <c r="Y55" s="184">
        <f t="shared" si="5"/>
        <v>0</v>
      </c>
      <c r="Z55" s="184">
        <f t="shared" si="72"/>
        <v>217917</v>
      </c>
      <c r="AA55" s="184">
        <f t="shared" si="73"/>
        <v>233081</v>
      </c>
      <c r="AB55" s="184">
        <f t="shared" si="74"/>
        <v>7582</v>
      </c>
      <c r="AC55" s="184">
        <f t="shared" si="75"/>
        <v>7530</v>
      </c>
      <c r="AD55" s="184">
        <f t="shared" si="10"/>
        <v>466110</v>
      </c>
      <c r="AE55" s="183">
        <f t="shared" si="86"/>
        <v>0</v>
      </c>
      <c r="AF55" s="385">
        <f t="shared" si="84"/>
        <v>0</v>
      </c>
      <c r="AG55" s="385">
        <f t="shared" si="84"/>
        <v>0</v>
      </c>
      <c r="AH55" s="385">
        <f t="shared" si="84"/>
        <v>0</v>
      </c>
      <c r="AI55" s="185">
        <f t="shared" si="13"/>
        <v>0</v>
      </c>
      <c r="AJ55" s="185">
        <f t="shared" si="78"/>
        <v>0</v>
      </c>
      <c r="AK55" s="185">
        <f t="shared" si="79"/>
        <v>0</v>
      </c>
      <c r="AL55" s="185">
        <f t="shared" si="16"/>
        <v>0</v>
      </c>
      <c r="AM55" s="173">
        <v>0</v>
      </c>
      <c r="AN55" s="173">
        <f t="shared" si="61"/>
        <v>653751</v>
      </c>
      <c r="AO55" s="173">
        <f t="shared" si="62"/>
        <v>699243</v>
      </c>
      <c r="AP55" s="173">
        <f t="shared" si="20"/>
        <v>22746</v>
      </c>
      <c r="AQ55" s="173">
        <f t="shared" si="21"/>
        <v>22590</v>
      </c>
      <c r="AR55" s="173">
        <f t="shared" si="22"/>
        <v>1398330</v>
      </c>
      <c r="AS55" s="186" t="s">
        <v>1344</v>
      </c>
      <c r="AT55" s="300">
        <f t="shared" si="87"/>
        <v>4.9124999999999996</v>
      </c>
      <c r="AU55" s="300">
        <f t="shared" si="87"/>
        <v>4.9124999999999996</v>
      </c>
      <c r="AV55" s="300">
        <f t="shared" si="87"/>
        <v>4.9124999999999996</v>
      </c>
      <c r="AW55" s="300">
        <f t="shared" si="87"/>
        <v>4.9124999999999996</v>
      </c>
      <c r="AX55" s="300">
        <f t="shared" si="87"/>
        <v>4.9124999999999996</v>
      </c>
      <c r="AY55" s="301">
        <f t="shared" si="85"/>
        <v>4.9124999999999996</v>
      </c>
      <c r="AZ55" s="301">
        <f t="shared" si="85"/>
        <v>4.9124999999999996</v>
      </c>
      <c r="BA55" s="301">
        <f t="shared" si="85"/>
        <v>4.9124999999999996</v>
      </c>
      <c r="BB55" s="301">
        <f t="shared" si="85"/>
        <v>4.9124999999999996</v>
      </c>
      <c r="BC55" s="301">
        <f t="shared" si="85"/>
        <v>4.9124999999999996</v>
      </c>
      <c r="BD55" s="187"/>
      <c r="BE55" s="187">
        <f t="shared" si="64"/>
        <v>525</v>
      </c>
      <c r="BF55" s="187">
        <f t="shared" si="65"/>
        <v>525</v>
      </c>
      <c r="BG55" s="187">
        <f t="shared" si="80"/>
        <v>525</v>
      </c>
      <c r="BH55" s="187">
        <f t="shared" si="81"/>
        <v>525</v>
      </c>
      <c r="BI55" s="187"/>
      <c r="BJ55" s="187">
        <f t="shared" si="48"/>
        <v>525</v>
      </c>
      <c r="BK55" s="187">
        <f t="shared" si="49"/>
        <v>525</v>
      </c>
      <c r="BL55" s="187">
        <f t="shared" si="82"/>
        <v>525</v>
      </c>
      <c r="BM55" s="187">
        <f t="shared" si="83"/>
        <v>525</v>
      </c>
      <c r="BN55" s="188"/>
      <c r="BO55" s="188">
        <f t="shared" si="50"/>
        <v>343219275</v>
      </c>
      <c r="BP55" s="188">
        <f t="shared" si="51"/>
        <v>367102575</v>
      </c>
      <c r="BQ55" s="188">
        <f t="shared" si="52"/>
        <v>11941650</v>
      </c>
      <c r="BR55" s="188">
        <f t="shared" si="53"/>
        <v>11859750</v>
      </c>
      <c r="BS55" s="188">
        <f t="shared" si="40"/>
        <v>734123250</v>
      </c>
      <c r="BT55" s="188">
        <f t="shared" si="41"/>
        <v>0</v>
      </c>
      <c r="BU55" s="188">
        <f t="shared" si="42"/>
        <v>343219275</v>
      </c>
      <c r="BV55" s="188">
        <f t="shared" si="43"/>
        <v>367102575</v>
      </c>
      <c r="BW55" s="188">
        <f t="shared" si="44"/>
        <v>11941650</v>
      </c>
      <c r="BX55" s="188">
        <f t="shared" si="45"/>
        <v>11859750</v>
      </c>
      <c r="BY55" s="188">
        <f t="shared" si="46"/>
        <v>734123250</v>
      </c>
      <c r="BZ55" s="305">
        <f>IF(COT_PRECALCULOS!$D$24="Precios Iva Incluído",BI55,BD55)</f>
        <v>0</v>
      </c>
      <c r="CA55" s="305">
        <f>IF(COT_PRECALCULOS!$D$24="Precios Iva Incluído",BJ55,BE55)</f>
        <v>525</v>
      </c>
      <c r="CB55" s="305">
        <f>IF(COT_PRECALCULOS!$D$24="Precios Iva Incluído",BK55,BF55)</f>
        <v>525</v>
      </c>
      <c r="CC55" s="305">
        <f>IF(COT_PRECALCULOS!$D$24="Precios Iva Incluído",BL55,BG55)</f>
        <v>525</v>
      </c>
      <c r="CD55" s="305">
        <f>IF(COT_PRECALCULOS!$D$24="Precios Iva Incluído",BM55,BH55)</f>
        <v>525</v>
      </c>
      <c r="CE55" s="305">
        <f>IF(COT_PRECALCULOS!$D$24="Precios Iva Incluído",BT55,BN55)</f>
        <v>0</v>
      </c>
      <c r="CF55" s="305">
        <f>IF(COT_PRECALCULOS!$D$24="Precios Iva Incluído",BU55,BO55)</f>
        <v>343219275</v>
      </c>
      <c r="CG55" s="305">
        <f>IF(COT_PRECALCULOS!$D$24="Precios Iva Incluído",BV55,BP55)</f>
        <v>367102575</v>
      </c>
      <c r="CH55" s="305">
        <f>IF(COT_PRECALCULOS!$D$24="Precios Iva Incluído",BW55,BQ55)</f>
        <v>11941650</v>
      </c>
      <c r="CI55" s="305">
        <f>IF(COT_PRECALCULOS!$D$24="Precios Iva Incluído",BX55,BR55)</f>
        <v>11859750</v>
      </c>
    </row>
    <row r="56" spans="1:87">
      <c r="A56" s="182" t="s">
        <v>101</v>
      </c>
      <c r="B56" s="182" t="s">
        <v>98</v>
      </c>
      <c r="C56" s="189" t="str">
        <f t="shared" si="0"/>
        <v>F_PE4</v>
      </c>
      <c r="D56" s="189" t="str">
        <f t="shared" si="1"/>
        <v>33_P_</v>
      </c>
      <c r="E56" s="211" t="s">
        <v>1</v>
      </c>
      <c r="F56" s="211" t="s">
        <v>1</v>
      </c>
      <c r="G56" s="189" t="s">
        <v>17</v>
      </c>
      <c r="H56" s="211"/>
      <c r="I56" s="211" t="s">
        <v>58</v>
      </c>
      <c r="J56" s="211">
        <v>33</v>
      </c>
      <c r="K56" s="211" t="s">
        <v>59</v>
      </c>
      <c r="L56" s="189" t="s">
        <v>48</v>
      </c>
      <c r="M56" s="310">
        <v>90</v>
      </c>
      <c r="N56" s="310">
        <v>90</v>
      </c>
      <c r="O56" s="310">
        <v>90</v>
      </c>
      <c r="P56" s="310">
        <v>90</v>
      </c>
      <c r="Q56" s="310">
        <v>90</v>
      </c>
      <c r="R56" s="211"/>
      <c r="S56" s="183">
        <f t="shared" si="70"/>
        <v>2</v>
      </c>
      <c r="T56" s="385">
        <f>$S56</f>
        <v>2</v>
      </c>
      <c r="U56" s="385">
        <f t="shared" si="71"/>
        <v>2</v>
      </c>
      <c r="V56" s="385">
        <f t="shared" si="71"/>
        <v>2</v>
      </c>
      <c r="W56" s="385">
        <f t="shared" si="71"/>
        <v>2</v>
      </c>
      <c r="X56" s="385">
        <f t="shared" si="71"/>
        <v>2</v>
      </c>
      <c r="Y56" s="184">
        <f t="shared" si="5"/>
        <v>163328</v>
      </c>
      <c r="Z56" s="184">
        <f t="shared" si="72"/>
        <v>217917</v>
      </c>
      <c r="AA56" s="184">
        <f t="shared" si="73"/>
        <v>233081</v>
      </c>
      <c r="AB56" s="184">
        <f t="shared" si="74"/>
        <v>7582</v>
      </c>
      <c r="AC56" s="184">
        <f t="shared" si="75"/>
        <v>7530</v>
      </c>
      <c r="AD56" s="184">
        <f t="shared" si="10"/>
        <v>629438</v>
      </c>
      <c r="AE56" s="183">
        <f t="shared" si="86"/>
        <v>0</v>
      </c>
      <c r="AF56" s="385">
        <f t="shared" si="84"/>
        <v>0</v>
      </c>
      <c r="AG56" s="385">
        <f t="shared" si="84"/>
        <v>0</v>
      </c>
      <c r="AH56" s="385">
        <f t="shared" si="84"/>
        <v>0</v>
      </c>
      <c r="AI56" s="185">
        <f t="shared" si="13"/>
        <v>0</v>
      </c>
      <c r="AJ56" s="185">
        <f t="shared" si="78"/>
        <v>0</v>
      </c>
      <c r="AK56" s="185">
        <f t="shared" si="79"/>
        <v>0</v>
      </c>
      <c r="AL56" s="185">
        <f t="shared" si="16"/>
        <v>0</v>
      </c>
      <c r="AM56" s="173">
        <f t="shared" ref="AM56:AM62" si="88">($S56*Y56)+($AE56*AI56)</f>
        <v>326656</v>
      </c>
      <c r="AN56" s="173">
        <f t="shared" si="61"/>
        <v>435834</v>
      </c>
      <c r="AO56" s="173">
        <f t="shared" si="62"/>
        <v>466162</v>
      </c>
      <c r="AP56" s="173">
        <f t="shared" si="20"/>
        <v>15164</v>
      </c>
      <c r="AQ56" s="173">
        <f t="shared" si="21"/>
        <v>15060</v>
      </c>
      <c r="AR56" s="173">
        <f t="shared" si="22"/>
        <v>1258876</v>
      </c>
      <c r="AS56" s="186" t="s">
        <v>1344</v>
      </c>
      <c r="AT56" s="300">
        <f t="shared" si="87"/>
        <v>2.8014999999999999</v>
      </c>
      <c r="AU56" s="300">
        <f t="shared" si="87"/>
        <v>2.8014999999999999</v>
      </c>
      <c r="AV56" s="300">
        <f t="shared" si="87"/>
        <v>2.8014999999999999</v>
      </c>
      <c r="AW56" s="300">
        <f t="shared" si="87"/>
        <v>2.8014999999999999</v>
      </c>
      <c r="AX56" s="300">
        <f t="shared" si="87"/>
        <v>2.8014999999999999</v>
      </c>
      <c r="AY56" s="301">
        <f t="shared" si="85"/>
        <v>2.8014999999999999</v>
      </c>
      <c r="AZ56" s="301">
        <f t="shared" si="85"/>
        <v>2.8014999999999999</v>
      </c>
      <c r="BA56" s="301">
        <f t="shared" si="85"/>
        <v>2.8014999999999999</v>
      </c>
      <c r="BB56" s="301">
        <f t="shared" si="85"/>
        <v>2.8014999999999999</v>
      </c>
      <c r="BC56" s="301">
        <f t="shared" si="85"/>
        <v>2.8014999999999999</v>
      </c>
      <c r="BD56" s="187">
        <f>ROUND(IF(OR(M56=0,AT56="DATO NO DISPONIBLE"),"",AT56*M56*($BD$7+1)),0)</f>
        <v>270</v>
      </c>
      <c r="BE56" s="187">
        <f t="shared" si="64"/>
        <v>270</v>
      </c>
      <c r="BF56" s="187">
        <f t="shared" si="65"/>
        <v>270</v>
      </c>
      <c r="BG56" s="187">
        <f t="shared" si="80"/>
        <v>270</v>
      </c>
      <c r="BH56" s="187">
        <f t="shared" si="81"/>
        <v>270</v>
      </c>
      <c r="BI56" s="187">
        <f>ROUND(IF(OR(M56=0,AY56="DATO NO DISPONIBLE"),0,AY56*M56*($BD$7+1)),0)</f>
        <v>270</v>
      </c>
      <c r="BJ56" s="187">
        <f t="shared" si="48"/>
        <v>270</v>
      </c>
      <c r="BK56" s="187">
        <f t="shared" si="49"/>
        <v>270</v>
      </c>
      <c r="BL56" s="187">
        <f t="shared" si="82"/>
        <v>270</v>
      </c>
      <c r="BM56" s="187">
        <f t="shared" si="83"/>
        <v>270</v>
      </c>
      <c r="BN56" s="188">
        <f>BD56*AM56</f>
        <v>88197120</v>
      </c>
      <c r="BO56" s="188">
        <f t="shared" si="50"/>
        <v>117675180</v>
      </c>
      <c r="BP56" s="188">
        <f t="shared" si="51"/>
        <v>125863740</v>
      </c>
      <c r="BQ56" s="188">
        <f t="shared" si="52"/>
        <v>4094280</v>
      </c>
      <c r="BR56" s="188">
        <f t="shared" si="53"/>
        <v>4066200</v>
      </c>
      <c r="BS56" s="188">
        <f t="shared" si="40"/>
        <v>339896520</v>
      </c>
      <c r="BT56" s="188">
        <f t="shared" si="41"/>
        <v>88197120</v>
      </c>
      <c r="BU56" s="188">
        <f t="shared" si="42"/>
        <v>117675180</v>
      </c>
      <c r="BV56" s="188">
        <f t="shared" si="43"/>
        <v>125863740</v>
      </c>
      <c r="BW56" s="188">
        <f t="shared" si="44"/>
        <v>4094280</v>
      </c>
      <c r="BX56" s="188">
        <f t="shared" si="45"/>
        <v>4066200</v>
      </c>
      <c r="BY56" s="188">
        <f t="shared" si="46"/>
        <v>339896520</v>
      </c>
      <c r="BZ56" s="305">
        <f>IF(COT_PRECALCULOS!$D$24="Precios Iva Incluído",BI56,BD56)</f>
        <v>270</v>
      </c>
      <c r="CA56" s="305">
        <f>IF(COT_PRECALCULOS!$D$24="Precios Iva Incluído",BJ56,BE56)</f>
        <v>270</v>
      </c>
      <c r="CB56" s="305">
        <f>IF(COT_PRECALCULOS!$D$24="Precios Iva Incluído",BK56,BF56)</f>
        <v>270</v>
      </c>
      <c r="CC56" s="305">
        <f>IF(COT_PRECALCULOS!$D$24="Precios Iva Incluído",BL56,BG56)</f>
        <v>270</v>
      </c>
      <c r="CD56" s="305">
        <f>IF(COT_PRECALCULOS!$D$24="Precios Iva Incluído",BM56,BH56)</f>
        <v>270</v>
      </c>
      <c r="CE56" s="305">
        <f>IF(COT_PRECALCULOS!$D$24="Precios Iva Incluído",BT56,BN56)</f>
        <v>88197120</v>
      </c>
      <c r="CF56" s="305">
        <f>IF(COT_PRECALCULOS!$D$24="Precios Iva Incluído",BU56,BO56)</f>
        <v>117675180</v>
      </c>
      <c r="CG56" s="305">
        <f>IF(COT_PRECALCULOS!$D$24="Precios Iva Incluído",BV56,BP56)</f>
        <v>125863740</v>
      </c>
      <c r="CH56" s="305">
        <f>IF(COT_PRECALCULOS!$D$24="Precios Iva Incluído",BW56,BQ56)</f>
        <v>4094280</v>
      </c>
      <c r="CI56" s="305">
        <f>IF(COT_PRECALCULOS!$D$24="Precios Iva Incluído",BX56,BR56)</f>
        <v>4066200</v>
      </c>
    </row>
    <row r="57" spans="1:87">
      <c r="A57" s="182" t="s">
        <v>101</v>
      </c>
      <c r="B57" s="182" t="s">
        <v>98</v>
      </c>
      <c r="C57" s="189" t="str">
        <f t="shared" si="0"/>
        <v>F_PE4</v>
      </c>
      <c r="D57" s="189" t="str">
        <f t="shared" si="1"/>
        <v>42_P_</v>
      </c>
      <c r="E57" s="211" t="s">
        <v>1</v>
      </c>
      <c r="F57" s="211" t="s">
        <v>1</v>
      </c>
      <c r="G57" s="189" t="s">
        <v>17</v>
      </c>
      <c r="H57" s="211"/>
      <c r="I57" s="211" t="s">
        <v>49</v>
      </c>
      <c r="J57" s="211">
        <v>42</v>
      </c>
      <c r="K57" s="211" t="s">
        <v>61</v>
      </c>
      <c r="L57" s="189" t="s">
        <v>9</v>
      </c>
      <c r="M57" s="211">
        <v>100</v>
      </c>
      <c r="N57" s="211">
        <v>100</v>
      </c>
      <c r="O57" s="211">
        <v>100</v>
      </c>
      <c r="P57" s="211">
        <v>100</v>
      </c>
      <c r="Q57" s="211">
        <v>100</v>
      </c>
      <c r="R57" s="211"/>
      <c r="S57" s="183">
        <f t="shared" si="70"/>
        <v>2</v>
      </c>
      <c r="T57" s="385">
        <f>$S57</f>
        <v>2</v>
      </c>
      <c r="U57" s="385">
        <f t="shared" si="71"/>
        <v>2</v>
      </c>
      <c r="V57" s="385">
        <f t="shared" si="71"/>
        <v>2</v>
      </c>
      <c r="W57" s="385">
        <f t="shared" si="71"/>
        <v>2</v>
      </c>
      <c r="X57" s="385">
        <f t="shared" si="71"/>
        <v>2</v>
      </c>
      <c r="Y57" s="184">
        <f t="shared" si="5"/>
        <v>163328</v>
      </c>
      <c r="Z57" s="184">
        <f t="shared" si="72"/>
        <v>217917</v>
      </c>
      <c r="AA57" s="184">
        <f t="shared" si="73"/>
        <v>233081</v>
      </c>
      <c r="AB57" s="184">
        <f t="shared" si="74"/>
        <v>7582</v>
      </c>
      <c r="AC57" s="184">
        <f t="shared" si="75"/>
        <v>7530</v>
      </c>
      <c r="AD57" s="184">
        <f t="shared" si="10"/>
        <v>629438</v>
      </c>
      <c r="AE57" s="183">
        <f t="shared" si="86"/>
        <v>0</v>
      </c>
      <c r="AF57" s="385">
        <f t="shared" si="84"/>
        <v>0</v>
      </c>
      <c r="AG57" s="385">
        <f t="shared" si="84"/>
        <v>0</v>
      </c>
      <c r="AH57" s="385">
        <f t="shared" si="84"/>
        <v>0</v>
      </c>
      <c r="AI57" s="185">
        <f t="shared" si="13"/>
        <v>0</v>
      </c>
      <c r="AJ57" s="185">
        <f t="shared" si="78"/>
        <v>0</v>
      </c>
      <c r="AK57" s="185">
        <f t="shared" si="79"/>
        <v>0</v>
      </c>
      <c r="AL57" s="185">
        <f t="shared" si="16"/>
        <v>0</v>
      </c>
      <c r="AM57" s="173">
        <f t="shared" si="88"/>
        <v>326656</v>
      </c>
      <c r="AN57" s="173">
        <f t="shared" si="61"/>
        <v>435834</v>
      </c>
      <c r="AO57" s="173">
        <f t="shared" si="62"/>
        <v>466162</v>
      </c>
      <c r="AP57" s="173">
        <f t="shared" si="20"/>
        <v>15164</v>
      </c>
      <c r="AQ57" s="173">
        <f t="shared" si="21"/>
        <v>15060</v>
      </c>
      <c r="AR57" s="173">
        <f t="shared" si="22"/>
        <v>1258876</v>
      </c>
      <c r="AS57" s="186" t="s">
        <v>1344</v>
      </c>
      <c r="AT57" s="300">
        <f t="shared" si="87"/>
        <v>1.8169999999999999</v>
      </c>
      <c r="AU57" s="300">
        <f t="shared" si="87"/>
        <v>1.8169999999999999</v>
      </c>
      <c r="AV57" s="300">
        <f t="shared" si="87"/>
        <v>1.8169999999999999</v>
      </c>
      <c r="AW57" s="300">
        <f t="shared" si="87"/>
        <v>1.8169999999999999</v>
      </c>
      <c r="AX57" s="300">
        <f t="shared" si="87"/>
        <v>1.8169999999999999</v>
      </c>
      <c r="AY57" s="301">
        <f t="shared" si="85"/>
        <v>1.8169999999999999</v>
      </c>
      <c r="AZ57" s="301">
        <f t="shared" si="85"/>
        <v>1.8169999999999999</v>
      </c>
      <c r="BA57" s="301">
        <f t="shared" si="85"/>
        <v>1.8169999999999999</v>
      </c>
      <c r="BB57" s="301">
        <f t="shared" si="85"/>
        <v>1.8169999999999999</v>
      </c>
      <c r="BC57" s="301">
        <f t="shared" si="85"/>
        <v>1.8169999999999999</v>
      </c>
      <c r="BD57" s="187">
        <f>ROUND(IF(OR(M57=0,AT57="DATO NO DISPONIBLE"),"",AT57*M57*($BD$7+1)),0)</f>
        <v>194</v>
      </c>
      <c r="BE57" s="187">
        <f t="shared" si="64"/>
        <v>194</v>
      </c>
      <c r="BF57" s="187">
        <f t="shared" si="65"/>
        <v>194</v>
      </c>
      <c r="BG57" s="187">
        <f t="shared" si="80"/>
        <v>194</v>
      </c>
      <c r="BH57" s="187">
        <f t="shared" si="81"/>
        <v>194</v>
      </c>
      <c r="BI57" s="187">
        <f>ROUND(IF(OR(M57=0,AY57="DATO NO DISPONIBLE"),0,AY57*M57*($BD$7+1)),0)</f>
        <v>194</v>
      </c>
      <c r="BJ57" s="187">
        <f t="shared" si="48"/>
        <v>194</v>
      </c>
      <c r="BK57" s="187">
        <f t="shared" si="49"/>
        <v>194</v>
      </c>
      <c r="BL57" s="187">
        <f t="shared" si="82"/>
        <v>194</v>
      </c>
      <c r="BM57" s="187">
        <f t="shared" si="83"/>
        <v>194</v>
      </c>
      <c r="BN57" s="188">
        <f>BD57*AM57</f>
        <v>63371264</v>
      </c>
      <c r="BO57" s="188">
        <f t="shared" si="50"/>
        <v>84551796</v>
      </c>
      <c r="BP57" s="188">
        <f t="shared" si="51"/>
        <v>90435428</v>
      </c>
      <c r="BQ57" s="188">
        <f t="shared" si="52"/>
        <v>2941816</v>
      </c>
      <c r="BR57" s="188">
        <f t="shared" si="53"/>
        <v>2921640</v>
      </c>
      <c r="BS57" s="188">
        <f t="shared" si="40"/>
        <v>244221944</v>
      </c>
      <c r="BT57" s="188">
        <f t="shared" si="41"/>
        <v>63371264</v>
      </c>
      <c r="BU57" s="188">
        <f t="shared" si="42"/>
        <v>84551796</v>
      </c>
      <c r="BV57" s="188">
        <f t="shared" si="43"/>
        <v>90435428</v>
      </c>
      <c r="BW57" s="188">
        <f t="shared" si="44"/>
        <v>2941816</v>
      </c>
      <c r="BX57" s="188">
        <f t="shared" si="45"/>
        <v>2921640</v>
      </c>
      <c r="BY57" s="188">
        <f t="shared" si="46"/>
        <v>244221944</v>
      </c>
      <c r="BZ57" s="305">
        <f>IF(COT_PRECALCULOS!$D$24="Precios Iva Incluído",BI57,BD57)</f>
        <v>194</v>
      </c>
      <c r="CA57" s="305">
        <f>IF(COT_PRECALCULOS!$D$24="Precios Iva Incluído",BJ57,BE57)</f>
        <v>194</v>
      </c>
      <c r="CB57" s="305">
        <f>IF(COT_PRECALCULOS!$D$24="Precios Iva Incluído",BK57,BF57)</f>
        <v>194</v>
      </c>
      <c r="CC57" s="305">
        <f>IF(COT_PRECALCULOS!$D$24="Precios Iva Incluído",BL57,BG57)</f>
        <v>194</v>
      </c>
      <c r="CD57" s="305">
        <f>IF(COT_PRECALCULOS!$D$24="Precios Iva Incluído",BM57,BH57)</f>
        <v>194</v>
      </c>
      <c r="CE57" s="305">
        <f>IF(COT_PRECALCULOS!$D$24="Precios Iva Incluído",BT57,BN57)</f>
        <v>63371264</v>
      </c>
      <c r="CF57" s="305">
        <f>IF(COT_PRECALCULOS!$D$24="Precios Iva Incluído",BU57,BO57)</f>
        <v>84551796</v>
      </c>
      <c r="CG57" s="305">
        <f>IF(COT_PRECALCULOS!$D$24="Precios Iva Incluído",BV57,BP57)</f>
        <v>90435428</v>
      </c>
      <c r="CH57" s="305">
        <f>IF(COT_PRECALCULOS!$D$24="Precios Iva Incluído",BW57,BQ57)</f>
        <v>2941816</v>
      </c>
      <c r="CI57" s="305">
        <f>IF(COT_PRECALCULOS!$D$24="Precios Iva Incluído",BX57,BR57)</f>
        <v>2921640</v>
      </c>
    </row>
    <row r="58" spans="1:87">
      <c r="A58" s="182" t="s">
        <v>101</v>
      </c>
      <c r="B58" s="182" t="s">
        <v>98</v>
      </c>
      <c r="C58" s="189" t="str">
        <f t="shared" si="0"/>
        <v>F_PE4</v>
      </c>
      <c r="D58" s="189" t="str">
        <f t="shared" si="1"/>
        <v>43_P_</v>
      </c>
      <c r="E58" s="211" t="s">
        <v>1</v>
      </c>
      <c r="F58" s="211" t="s">
        <v>1</v>
      </c>
      <c r="G58" s="189" t="s">
        <v>17</v>
      </c>
      <c r="H58" s="211"/>
      <c r="I58" s="211" t="s">
        <v>60</v>
      </c>
      <c r="J58" s="211">
        <v>43</v>
      </c>
      <c r="K58" s="211" t="s">
        <v>62</v>
      </c>
      <c r="L58" s="189" t="s">
        <v>9</v>
      </c>
      <c r="M58" s="211">
        <v>100</v>
      </c>
      <c r="N58" s="211">
        <v>100</v>
      </c>
      <c r="O58" s="211">
        <v>100</v>
      </c>
      <c r="P58" s="211">
        <v>100</v>
      </c>
      <c r="Q58" s="211">
        <v>100</v>
      </c>
      <c r="R58" s="211"/>
      <c r="S58" s="388">
        <v>3</v>
      </c>
      <c r="T58" s="388">
        <f>$S58</f>
        <v>3</v>
      </c>
      <c r="U58" s="388">
        <v>0</v>
      </c>
      <c r="V58" s="388">
        <v>0</v>
      </c>
      <c r="W58" s="388">
        <v>0</v>
      </c>
      <c r="X58" s="388">
        <v>0</v>
      </c>
      <c r="Y58" s="184">
        <f t="shared" si="5"/>
        <v>163328</v>
      </c>
      <c r="Z58" s="184">
        <v>0</v>
      </c>
      <c r="AA58" s="184">
        <v>0</v>
      </c>
      <c r="AB58" s="184">
        <v>0</v>
      </c>
      <c r="AC58" s="184">
        <v>0</v>
      </c>
      <c r="AD58" s="184">
        <f t="shared" si="10"/>
        <v>163328</v>
      </c>
      <c r="AE58" s="183">
        <f t="shared" si="86"/>
        <v>0</v>
      </c>
      <c r="AF58" s="385">
        <f t="shared" si="84"/>
        <v>0</v>
      </c>
      <c r="AG58" s="385">
        <f t="shared" si="84"/>
        <v>0</v>
      </c>
      <c r="AH58" s="385">
        <f t="shared" si="84"/>
        <v>0</v>
      </c>
      <c r="AI58" s="185">
        <f t="shared" si="13"/>
        <v>0</v>
      </c>
      <c r="AJ58" s="185">
        <f t="shared" si="78"/>
        <v>0</v>
      </c>
      <c r="AK58" s="185">
        <f t="shared" si="79"/>
        <v>0</v>
      </c>
      <c r="AL58" s="185">
        <f t="shared" si="16"/>
        <v>0</v>
      </c>
      <c r="AM58" s="173">
        <f t="shared" si="88"/>
        <v>489984</v>
      </c>
      <c r="AN58" s="173">
        <f t="shared" si="61"/>
        <v>0</v>
      </c>
      <c r="AO58" s="173">
        <f t="shared" si="62"/>
        <v>0</v>
      </c>
      <c r="AP58" s="173">
        <f t="shared" si="20"/>
        <v>0</v>
      </c>
      <c r="AQ58" s="173">
        <f t="shared" si="21"/>
        <v>0</v>
      </c>
      <c r="AR58" s="173">
        <f t="shared" si="22"/>
        <v>489984</v>
      </c>
      <c r="AS58" s="186" t="s">
        <v>1344</v>
      </c>
      <c r="AT58" s="300">
        <f t="shared" si="87"/>
        <v>1.5892500000000001</v>
      </c>
      <c r="AU58" s="300">
        <f t="shared" si="87"/>
        <v>1.5892500000000001</v>
      </c>
      <c r="AV58" s="300">
        <f t="shared" si="87"/>
        <v>1.5892500000000001</v>
      </c>
      <c r="AW58" s="300">
        <f t="shared" si="87"/>
        <v>1.5892500000000001</v>
      </c>
      <c r="AX58" s="300">
        <f t="shared" si="87"/>
        <v>1.5892500000000001</v>
      </c>
      <c r="AY58" s="301">
        <f t="shared" ref="AY58:BC67" si="89">IF(ISERROR(MATCH(CONCATENATE($J58,"_",AY$1),COT_PRE_CODIGO_ALIMENTOS,0)),IF(ISERROR(MATCH(CONCATENATE($J58,"_",AY$2),COT_PRE_CODIGO_ALIMENTOS,0)),IF(ISERROR(MATCH(CONCATENATE($J58,"_",AY$3),COT_PRE_CODIGO_ALIMENTOS,0)),IF(ISERROR(MATCH(CONCATENATE($J58,"_",AY$4),COT_PRE_CODIGO_ALIMENTOS,0)),IF(ISERROR(MATCH(CONCATENATE($J58,"_",AY$5),COT_PRE_CODIGO_ALIMENTOS,0)),IF(ISERROR(MATCH(CONCATENATE($J58,"_",AY$6),COT_PRE_CODIGO_ALIMENTOS,0)),IF(ISERROR(MATCH(CONCATENATE($J58,"_",AY$7),COT_PRE_CODIGO_ALIMENTOS,0)),IF(ISERROR(VLOOKUP($J58,COT_PRE_ALIMENTOS,AY$8,FALSE)),"DATO NO DISPONIBLE",VLOOKUP($J58,COT_PRE_ALIMENTOS,AY$8,FALSE)),VLOOKUP(CONCATENATE($J58,"_",AY$7),COT_PRE_ALIMENTOS,AY$8,FALSE)),VLOOKUP(CONCATENATE($J58,"_",AY$6),COT_PRE_ALIMENTOS,AY$8,FALSE)),VLOOKUP(CONCATENATE($J58,"_",AY$5),COT_PRE_ALIMENTOS,AY$8,FALSE)),VLOOKUP(CONCATENATE($J58,"_",AY$4),COT_PRE_ALIMENTOS,AY$8,FALSE)),VLOOKUP(CONCATENATE($J58,"_",AY$3),COT_PRE_ALIMENTOS,AY$8,FALSE)),VLOOKUP(CONCATENATE($J58,"_",AY$2),COT_PRE_ALIMENTOS,AY$8,FALSE)),VLOOKUP(CONCATENATE($J58,"_",AY$1),COT_PRE_ALIMENTOS,AY$8,FALSE))</f>
        <v>1.5892500000000001</v>
      </c>
      <c r="AZ58" s="301">
        <f t="shared" si="89"/>
        <v>1.5892500000000001</v>
      </c>
      <c r="BA58" s="301">
        <f t="shared" si="89"/>
        <v>1.5892500000000001</v>
      </c>
      <c r="BB58" s="301">
        <f t="shared" si="89"/>
        <v>1.5892500000000001</v>
      </c>
      <c r="BC58" s="301">
        <f t="shared" si="89"/>
        <v>1.5892500000000001</v>
      </c>
      <c r="BD58" s="187">
        <f>ROUND(IF(OR(M58=0,AT58="DATO NO DISPONIBLE"),"",AT58*M58*($BD$7+1)),0)</f>
        <v>170</v>
      </c>
      <c r="BE58" s="187">
        <f t="shared" si="64"/>
        <v>170</v>
      </c>
      <c r="BF58" s="187">
        <f t="shared" si="65"/>
        <v>170</v>
      </c>
      <c r="BG58" s="187">
        <f t="shared" si="80"/>
        <v>170</v>
      </c>
      <c r="BH58" s="187">
        <f t="shared" si="81"/>
        <v>170</v>
      </c>
      <c r="BI58" s="187">
        <f>ROUND(IF(OR(M58=0,AY58="DATO NO DISPONIBLE"),0,AY58*M58*($BD$7+1)),0)</f>
        <v>170</v>
      </c>
      <c r="BJ58" s="187">
        <f t="shared" si="48"/>
        <v>170</v>
      </c>
      <c r="BK58" s="187">
        <f t="shared" si="49"/>
        <v>170</v>
      </c>
      <c r="BL58" s="187">
        <f t="shared" si="82"/>
        <v>170</v>
      </c>
      <c r="BM58" s="187">
        <f t="shared" si="83"/>
        <v>170</v>
      </c>
      <c r="BN58" s="188">
        <f>BD58*AM58</f>
        <v>83297280</v>
      </c>
      <c r="BO58" s="188">
        <f t="shared" si="50"/>
        <v>0</v>
      </c>
      <c r="BP58" s="188">
        <f t="shared" si="51"/>
        <v>0</v>
      </c>
      <c r="BQ58" s="188">
        <f t="shared" si="52"/>
        <v>0</v>
      </c>
      <c r="BR58" s="188">
        <f t="shared" si="53"/>
        <v>0</v>
      </c>
      <c r="BS58" s="188">
        <f t="shared" si="40"/>
        <v>83297280</v>
      </c>
      <c r="BT58" s="188">
        <f t="shared" si="41"/>
        <v>83297280</v>
      </c>
      <c r="BU58" s="188">
        <f t="shared" si="42"/>
        <v>0</v>
      </c>
      <c r="BV58" s="188">
        <f t="shared" si="43"/>
        <v>0</v>
      </c>
      <c r="BW58" s="188">
        <f t="shared" si="44"/>
        <v>0</v>
      </c>
      <c r="BX58" s="188">
        <f t="shared" si="45"/>
        <v>0</v>
      </c>
      <c r="BY58" s="188">
        <f t="shared" si="46"/>
        <v>83297280</v>
      </c>
      <c r="BZ58" s="305">
        <f>IF(COT_PRECALCULOS!$D$24="Precios Iva Incluído",BI58,BD58)</f>
        <v>170</v>
      </c>
      <c r="CA58" s="305">
        <f>IF(COT_PRECALCULOS!$D$24="Precios Iva Incluído",BJ58,BE58)</f>
        <v>170</v>
      </c>
      <c r="CB58" s="305">
        <f>IF(COT_PRECALCULOS!$D$24="Precios Iva Incluído",BK58,BF58)</f>
        <v>170</v>
      </c>
      <c r="CC58" s="305">
        <f>IF(COT_PRECALCULOS!$D$24="Precios Iva Incluído",BL58,BG58)</f>
        <v>170</v>
      </c>
      <c r="CD58" s="305">
        <f>IF(COT_PRECALCULOS!$D$24="Precios Iva Incluído",BM58,BH58)</f>
        <v>170</v>
      </c>
      <c r="CE58" s="305">
        <f>IF(COT_PRECALCULOS!$D$24="Precios Iva Incluído",BT58,BN58)</f>
        <v>83297280</v>
      </c>
      <c r="CF58" s="305">
        <f>IF(COT_PRECALCULOS!$D$24="Precios Iva Incluído",BU58,BO58)</f>
        <v>0</v>
      </c>
      <c r="CG58" s="305">
        <f>IF(COT_PRECALCULOS!$D$24="Precios Iva Incluído",BV58,BP58)</f>
        <v>0</v>
      </c>
      <c r="CH58" s="305">
        <f>IF(COT_PRECALCULOS!$D$24="Precios Iva Incluído",BW58,BQ58)</f>
        <v>0</v>
      </c>
      <c r="CI58" s="305">
        <f>IF(COT_PRECALCULOS!$D$24="Precios Iva Incluído",BX58,BR58)</f>
        <v>0</v>
      </c>
    </row>
    <row r="59" spans="1:87">
      <c r="A59" s="182" t="s">
        <v>101</v>
      </c>
      <c r="B59" s="182" t="s">
        <v>98</v>
      </c>
      <c r="C59" s="189" t="str">
        <f t="shared" si="0"/>
        <v>F_PE4</v>
      </c>
      <c r="D59" s="189" t="str">
        <f t="shared" si="1"/>
        <v>46_P_</v>
      </c>
      <c r="E59" s="190" t="s">
        <v>1</v>
      </c>
      <c r="F59" s="190" t="s">
        <v>1</v>
      </c>
      <c r="G59" s="189" t="s">
        <v>17</v>
      </c>
      <c r="H59" s="190"/>
      <c r="I59" s="190" t="s">
        <v>63</v>
      </c>
      <c r="J59" s="190">
        <v>46</v>
      </c>
      <c r="K59" s="190" t="s">
        <v>64</v>
      </c>
      <c r="L59" s="189" t="s">
        <v>9</v>
      </c>
      <c r="M59" s="211">
        <v>100</v>
      </c>
      <c r="N59" s="211">
        <v>100</v>
      </c>
      <c r="O59" s="211">
        <v>100</v>
      </c>
      <c r="P59" s="211">
        <v>100</v>
      </c>
      <c r="Q59" s="211">
        <v>100</v>
      </c>
      <c r="R59" s="190"/>
      <c r="S59" s="183">
        <f>COUNTIF(CAL_PRIMERA_ENTREGA_FRUTA,CONCATENATE(G59,"_",J59))</f>
        <v>2</v>
      </c>
      <c r="T59" s="385">
        <f>$S59</f>
        <v>2</v>
      </c>
      <c r="U59" s="385">
        <f t="shared" ref="U59:X61" si="90">$S59</f>
        <v>2</v>
      </c>
      <c r="V59" s="385">
        <f t="shared" si="90"/>
        <v>2</v>
      </c>
      <c r="W59" s="385">
        <f t="shared" si="90"/>
        <v>2</v>
      </c>
      <c r="X59" s="385">
        <f t="shared" si="90"/>
        <v>2</v>
      </c>
      <c r="Y59" s="184">
        <f t="shared" si="5"/>
        <v>163328</v>
      </c>
      <c r="Z59" s="184">
        <f>IF(N59&lt;&gt;0,VLOOKUP(A59,FRE_CANTIDADES_DIARIAS_SUMINISTROS,5,FALSE),0)</f>
        <v>217917</v>
      </c>
      <c r="AA59" s="184">
        <f>IF(O59&lt;&gt;0,VLOOKUP(A59,FRE_CANTIDADES_DIARIAS_SUMINISTROS,6,FALSE),0)</f>
        <v>233081</v>
      </c>
      <c r="AB59" s="184">
        <f>IF(P59&lt;&gt;0,VLOOKUP(A59,FRE_CANTIDADES_DIARIAS_SUMINISTROS,7,FALSE),0)</f>
        <v>7582</v>
      </c>
      <c r="AC59" s="184">
        <f>IF(Q59&lt;&gt;0,VLOOKUP(A59,FRE_CANTIDADES_DIARIAS_SUMINISTROS,8,FALSE),0)</f>
        <v>7530</v>
      </c>
      <c r="AD59" s="184">
        <f t="shared" si="10"/>
        <v>629438</v>
      </c>
      <c r="AE59" s="183">
        <f t="shared" si="86"/>
        <v>0</v>
      </c>
      <c r="AF59" s="385">
        <f t="shared" si="84"/>
        <v>0</v>
      </c>
      <c r="AG59" s="385">
        <f t="shared" si="84"/>
        <v>0</v>
      </c>
      <c r="AH59" s="385">
        <f t="shared" si="84"/>
        <v>0</v>
      </c>
      <c r="AI59" s="185">
        <f t="shared" si="13"/>
        <v>0</v>
      </c>
      <c r="AJ59" s="185">
        <f t="shared" si="78"/>
        <v>0</v>
      </c>
      <c r="AK59" s="185">
        <f t="shared" si="79"/>
        <v>0</v>
      </c>
      <c r="AL59" s="185">
        <f t="shared" si="16"/>
        <v>0</v>
      </c>
      <c r="AM59" s="173">
        <f t="shared" si="88"/>
        <v>326656</v>
      </c>
      <c r="AN59" s="173">
        <f t="shared" si="61"/>
        <v>435834</v>
      </c>
      <c r="AO59" s="173">
        <f t="shared" si="62"/>
        <v>466162</v>
      </c>
      <c r="AP59" s="173">
        <f t="shared" si="20"/>
        <v>15164</v>
      </c>
      <c r="AQ59" s="173">
        <f t="shared" si="21"/>
        <v>15060</v>
      </c>
      <c r="AR59" s="173">
        <f t="shared" si="22"/>
        <v>1258876</v>
      </c>
      <c r="AS59" s="186" t="s">
        <v>1344</v>
      </c>
      <c r="AT59" s="300">
        <f t="shared" si="87"/>
        <v>3.7214999999999998</v>
      </c>
      <c r="AU59" s="300">
        <f t="shared" si="87"/>
        <v>3.7214999999999998</v>
      </c>
      <c r="AV59" s="300">
        <f t="shared" si="87"/>
        <v>3.7214999999999998</v>
      </c>
      <c r="AW59" s="300">
        <f t="shared" si="87"/>
        <v>3.7214999999999998</v>
      </c>
      <c r="AX59" s="300">
        <f t="shared" si="87"/>
        <v>3.7214999999999998</v>
      </c>
      <c r="AY59" s="301">
        <f t="shared" si="89"/>
        <v>3.7214999999999998</v>
      </c>
      <c r="AZ59" s="301">
        <f t="shared" si="89"/>
        <v>3.7214999999999998</v>
      </c>
      <c r="BA59" s="301">
        <f t="shared" si="89"/>
        <v>3.7214999999999998</v>
      </c>
      <c r="BB59" s="301">
        <f t="shared" si="89"/>
        <v>3.7214999999999998</v>
      </c>
      <c r="BC59" s="301">
        <f t="shared" si="89"/>
        <v>3.7214999999999998</v>
      </c>
      <c r="BD59" s="187">
        <f>ROUND(IF(OR(M59=0,AT59="DATO NO DISPONIBLE"),"",AT59*M59*($BD$7+1)),0)</f>
        <v>398</v>
      </c>
      <c r="BE59" s="187">
        <f t="shared" si="64"/>
        <v>398</v>
      </c>
      <c r="BF59" s="187">
        <f t="shared" si="65"/>
        <v>398</v>
      </c>
      <c r="BG59" s="187">
        <f t="shared" si="80"/>
        <v>398</v>
      </c>
      <c r="BH59" s="187">
        <f t="shared" si="81"/>
        <v>398</v>
      </c>
      <c r="BI59" s="187">
        <f>ROUND(IF(OR(M59=0,AY59="DATO NO DISPONIBLE"),0,AY59*M59*($BD$7+1)),0)</f>
        <v>398</v>
      </c>
      <c r="BJ59" s="187">
        <f t="shared" si="48"/>
        <v>398</v>
      </c>
      <c r="BK59" s="187">
        <f t="shared" si="49"/>
        <v>398</v>
      </c>
      <c r="BL59" s="187">
        <f t="shared" si="82"/>
        <v>398</v>
      </c>
      <c r="BM59" s="187">
        <f t="shared" si="83"/>
        <v>398</v>
      </c>
      <c r="BN59" s="188">
        <f>BD59*AM59</f>
        <v>130009088</v>
      </c>
      <c r="BO59" s="188">
        <f t="shared" si="50"/>
        <v>173461932</v>
      </c>
      <c r="BP59" s="188">
        <f t="shared" si="51"/>
        <v>185532476</v>
      </c>
      <c r="BQ59" s="188">
        <f t="shared" si="52"/>
        <v>6035272</v>
      </c>
      <c r="BR59" s="188">
        <f t="shared" si="53"/>
        <v>5993880</v>
      </c>
      <c r="BS59" s="188">
        <f t="shared" si="40"/>
        <v>501032648</v>
      </c>
      <c r="BT59" s="188">
        <f t="shared" si="41"/>
        <v>130009088</v>
      </c>
      <c r="BU59" s="188">
        <f t="shared" si="42"/>
        <v>173461932</v>
      </c>
      <c r="BV59" s="188">
        <f t="shared" si="43"/>
        <v>185532476</v>
      </c>
      <c r="BW59" s="188">
        <f t="shared" si="44"/>
        <v>6035272</v>
      </c>
      <c r="BX59" s="188">
        <f t="shared" si="45"/>
        <v>5993880</v>
      </c>
      <c r="BY59" s="188">
        <f t="shared" si="46"/>
        <v>501032648</v>
      </c>
      <c r="BZ59" s="305">
        <f>IF(COT_PRECALCULOS!$D$24="Precios Iva Incluído",BI59,BD59)</f>
        <v>398</v>
      </c>
      <c r="CA59" s="305">
        <f>IF(COT_PRECALCULOS!$D$24="Precios Iva Incluído",BJ59,BE59)</f>
        <v>398</v>
      </c>
      <c r="CB59" s="305">
        <f>IF(COT_PRECALCULOS!$D$24="Precios Iva Incluído",BK59,BF59)</f>
        <v>398</v>
      </c>
      <c r="CC59" s="305">
        <f>IF(COT_PRECALCULOS!$D$24="Precios Iva Incluído",BL59,BG59)</f>
        <v>398</v>
      </c>
      <c r="CD59" s="305">
        <f>IF(COT_PRECALCULOS!$D$24="Precios Iva Incluído",BM59,BH59)</f>
        <v>398</v>
      </c>
      <c r="CE59" s="305">
        <f>IF(COT_PRECALCULOS!$D$24="Precios Iva Incluído",BT59,BN59)</f>
        <v>130009088</v>
      </c>
      <c r="CF59" s="305">
        <f>IF(COT_PRECALCULOS!$D$24="Precios Iva Incluído",BU59,BO59)</f>
        <v>173461932</v>
      </c>
      <c r="CG59" s="305">
        <f>IF(COT_PRECALCULOS!$D$24="Precios Iva Incluído",BV59,BP59)</f>
        <v>185532476</v>
      </c>
      <c r="CH59" s="305">
        <f>IF(COT_PRECALCULOS!$D$24="Precios Iva Incluído",BW59,BQ59)</f>
        <v>6035272</v>
      </c>
      <c r="CI59" s="305">
        <f>IF(COT_PRECALCULOS!$D$24="Precios Iva Incluído",BX59,BR59)</f>
        <v>5993880</v>
      </c>
    </row>
    <row r="60" spans="1:87">
      <c r="A60" s="182" t="s">
        <v>101</v>
      </c>
      <c r="B60" s="182" t="s">
        <v>98</v>
      </c>
      <c r="C60" s="189" t="str">
        <f t="shared" si="0"/>
        <v>F_PE4</v>
      </c>
      <c r="D60" s="189" t="str">
        <f t="shared" si="1"/>
        <v>58_P_</v>
      </c>
      <c r="E60" s="190" t="s">
        <v>1</v>
      </c>
      <c r="F60" s="190" t="s">
        <v>1</v>
      </c>
      <c r="G60" s="189" t="s">
        <v>17</v>
      </c>
      <c r="H60" s="190"/>
      <c r="I60" s="190" t="s">
        <v>65</v>
      </c>
      <c r="J60" s="190">
        <v>58</v>
      </c>
      <c r="K60" s="190" t="s">
        <v>67</v>
      </c>
      <c r="L60" s="189" t="s">
        <v>9</v>
      </c>
      <c r="M60" s="211">
        <v>100</v>
      </c>
      <c r="N60" s="211">
        <v>100</v>
      </c>
      <c r="O60" s="211">
        <v>100</v>
      </c>
      <c r="P60" s="211">
        <v>100</v>
      </c>
      <c r="Q60" s="211">
        <v>100</v>
      </c>
      <c r="R60" s="190"/>
      <c r="S60" s="385">
        <f>COUNTIF(CAL_PRIMERA_ENTREGA_FRUTA,CONCATENATE(G60,"_",J60))</f>
        <v>3</v>
      </c>
      <c r="T60" s="385">
        <f>$S60</f>
        <v>3</v>
      </c>
      <c r="U60" s="385">
        <f t="shared" si="90"/>
        <v>3</v>
      </c>
      <c r="V60" s="385">
        <f t="shared" si="90"/>
        <v>3</v>
      </c>
      <c r="W60" s="385">
        <f t="shared" si="90"/>
        <v>3</v>
      </c>
      <c r="X60" s="385">
        <f t="shared" si="90"/>
        <v>3</v>
      </c>
      <c r="Y60" s="184">
        <f t="shared" si="5"/>
        <v>163328</v>
      </c>
      <c r="Z60" s="184">
        <f>IF(N60&lt;&gt;0,VLOOKUP(A60,FRE_CANTIDADES_DIARIAS_SUMINISTROS,5,FALSE),0)</f>
        <v>217917</v>
      </c>
      <c r="AA60" s="184">
        <f>IF(O60&lt;&gt;0,VLOOKUP(A60,FRE_CANTIDADES_DIARIAS_SUMINISTROS,6,FALSE),0)</f>
        <v>233081</v>
      </c>
      <c r="AB60" s="184">
        <f>IF(P60&lt;&gt;0,VLOOKUP(A60,FRE_CANTIDADES_DIARIAS_SUMINISTROS,7,FALSE),0)</f>
        <v>7582</v>
      </c>
      <c r="AC60" s="184">
        <f>IF(Q60&lt;&gt;0,VLOOKUP(A60,FRE_CANTIDADES_DIARIAS_SUMINISTROS,8,FALSE),0)</f>
        <v>7530</v>
      </c>
      <c r="AD60" s="184">
        <f t="shared" si="10"/>
        <v>629438</v>
      </c>
      <c r="AE60" s="183">
        <f t="shared" si="86"/>
        <v>0</v>
      </c>
      <c r="AF60" s="385">
        <f t="shared" si="84"/>
        <v>0</v>
      </c>
      <c r="AG60" s="385">
        <f t="shared" si="84"/>
        <v>0</v>
      </c>
      <c r="AH60" s="385">
        <f t="shared" si="84"/>
        <v>0</v>
      </c>
      <c r="AI60" s="185">
        <f t="shared" si="13"/>
        <v>0</v>
      </c>
      <c r="AJ60" s="185">
        <f t="shared" si="78"/>
        <v>0</v>
      </c>
      <c r="AK60" s="185">
        <f t="shared" si="79"/>
        <v>0</v>
      </c>
      <c r="AL60" s="185">
        <f t="shared" si="16"/>
        <v>0</v>
      </c>
      <c r="AM60" s="173">
        <f t="shared" si="88"/>
        <v>489984</v>
      </c>
      <c r="AN60" s="173">
        <f t="shared" si="61"/>
        <v>653751</v>
      </c>
      <c r="AO60" s="173">
        <f t="shared" si="62"/>
        <v>699243</v>
      </c>
      <c r="AP60" s="173">
        <f t="shared" si="20"/>
        <v>22746</v>
      </c>
      <c r="AQ60" s="173">
        <f t="shared" si="21"/>
        <v>22590</v>
      </c>
      <c r="AR60" s="173">
        <f t="shared" si="22"/>
        <v>1888314</v>
      </c>
      <c r="AS60" s="186" t="s">
        <v>1344</v>
      </c>
      <c r="AT60" s="300">
        <f t="shared" si="87"/>
        <v>1.4384999999999999</v>
      </c>
      <c r="AU60" s="300">
        <f t="shared" si="87"/>
        <v>1.4384999999999999</v>
      </c>
      <c r="AV60" s="300">
        <f t="shared" si="87"/>
        <v>1.4384999999999999</v>
      </c>
      <c r="AW60" s="300">
        <f t="shared" si="87"/>
        <v>1.4384999999999999</v>
      </c>
      <c r="AX60" s="300">
        <f t="shared" si="87"/>
        <v>1.4384999999999999</v>
      </c>
      <c r="AY60" s="301">
        <f t="shared" si="89"/>
        <v>1.4384999999999999</v>
      </c>
      <c r="AZ60" s="301">
        <f t="shared" si="89"/>
        <v>1.4384999999999999</v>
      </c>
      <c r="BA60" s="301">
        <f t="shared" si="89"/>
        <v>1.4384999999999999</v>
      </c>
      <c r="BB60" s="301">
        <f t="shared" si="89"/>
        <v>1.4384999999999999</v>
      </c>
      <c r="BC60" s="301">
        <f t="shared" si="89"/>
        <v>1.4384999999999999</v>
      </c>
      <c r="BD60" s="187">
        <f>ROUND(IF(OR(M60=0,AT60="DATO NO DISPONIBLE"),"",AT60*M60*($BD$7+1)),0)</f>
        <v>154</v>
      </c>
      <c r="BE60" s="187">
        <f t="shared" si="64"/>
        <v>154</v>
      </c>
      <c r="BF60" s="187">
        <f t="shared" si="65"/>
        <v>154</v>
      </c>
      <c r="BG60" s="187">
        <f t="shared" si="80"/>
        <v>154</v>
      </c>
      <c r="BH60" s="187">
        <f t="shared" si="81"/>
        <v>154</v>
      </c>
      <c r="BI60" s="187">
        <f>ROUND(IF(OR(M60=0,AY60="DATO NO DISPONIBLE"),0,AY60*M60*($BD$7+1)),0)</f>
        <v>154</v>
      </c>
      <c r="BJ60" s="187">
        <f t="shared" si="48"/>
        <v>154</v>
      </c>
      <c r="BK60" s="187">
        <f t="shared" si="49"/>
        <v>154</v>
      </c>
      <c r="BL60" s="187">
        <f t="shared" si="82"/>
        <v>154</v>
      </c>
      <c r="BM60" s="187">
        <f t="shared" si="83"/>
        <v>154</v>
      </c>
      <c r="BN60" s="188">
        <f>BD60*AM60</f>
        <v>75457536</v>
      </c>
      <c r="BO60" s="188">
        <f t="shared" si="50"/>
        <v>100677654</v>
      </c>
      <c r="BP60" s="188">
        <f t="shared" si="51"/>
        <v>107683422</v>
      </c>
      <c r="BQ60" s="188">
        <f t="shared" si="52"/>
        <v>3502884</v>
      </c>
      <c r="BR60" s="188">
        <f t="shared" si="53"/>
        <v>3478860</v>
      </c>
      <c r="BS60" s="188">
        <f t="shared" si="40"/>
        <v>290800356</v>
      </c>
      <c r="BT60" s="188">
        <f t="shared" si="41"/>
        <v>75457536</v>
      </c>
      <c r="BU60" s="188">
        <f t="shared" si="42"/>
        <v>100677654</v>
      </c>
      <c r="BV60" s="188">
        <f t="shared" si="43"/>
        <v>107683422</v>
      </c>
      <c r="BW60" s="188">
        <f t="shared" si="44"/>
        <v>3502884</v>
      </c>
      <c r="BX60" s="188">
        <f t="shared" si="45"/>
        <v>3478860</v>
      </c>
      <c r="BY60" s="188">
        <f t="shared" si="46"/>
        <v>290800356</v>
      </c>
      <c r="BZ60" s="305">
        <f>IF(COT_PRECALCULOS!$D$24="Precios Iva Incluído",BI60,BD60)</f>
        <v>154</v>
      </c>
      <c r="CA60" s="305">
        <f>IF(COT_PRECALCULOS!$D$24="Precios Iva Incluído",BJ60,BE60)</f>
        <v>154</v>
      </c>
      <c r="CB60" s="305">
        <f>IF(COT_PRECALCULOS!$D$24="Precios Iva Incluído",BK60,BF60)</f>
        <v>154</v>
      </c>
      <c r="CC60" s="305">
        <f>IF(COT_PRECALCULOS!$D$24="Precios Iva Incluído",BL60,BG60)</f>
        <v>154</v>
      </c>
      <c r="CD60" s="305">
        <f>IF(COT_PRECALCULOS!$D$24="Precios Iva Incluído",BM60,BH60)</f>
        <v>154</v>
      </c>
      <c r="CE60" s="305">
        <f>IF(COT_PRECALCULOS!$D$24="Precios Iva Incluído",BT60,BN60)</f>
        <v>75457536</v>
      </c>
      <c r="CF60" s="305">
        <f>IF(COT_PRECALCULOS!$D$24="Precios Iva Incluído",BU60,BO60)</f>
        <v>100677654</v>
      </c>
      <c r="CG60" s="305">
        <f>IF(COT_PRECALCULOS!$D$24="Precios Iva Incluído",BV60,BP60)</f>
        <v>107683422</v>
      </c>
      <c r="CH60" s="305">
        <f>IF(COT_PRECALCULOS!$D$24="Precios Iva Incluído",BW60,BQ60)</f>
        <v>3502884</v>
      </c>
      <c r="CI60" s="305">
        <f>IF(COT_PRECALCULOS!$D$24="Precios Iva Incluído",BX60,BR60)</f>
        <v>3478860</v>
      </c>
    </row>
    <row r="61" spans="1:87">
      <c r="A61" s="182" t="s">
        <v>101</v>
      </c>
      <c r="B61" s="182" t="s">
        <v>98</v>
      </c>
      <c r="C61" s="189" t="str">
        <f t="shared" si="0"/>
        <v>F_PE4</v>
      </c>
      <c r="D61" s="189" t="str">
        <f t="shared" si="1"/>
        <v>59_P_</v>
      </c>
      <c r="E61" s="190" t="s">
        <v>1</v>
      </c>
      <c r="F61" s="190" t="s">
        <v>1</v>
      </c>
      <c r="G61" s="189" t="s">
        <v>17</v>
      </c>
      <c r="H61" s="190"/>
      <c r="I61" s="190" t="s">
        <v>66</v>
      </c>
      <c r="J61" s="190">
        <v>59</v>
      </c>
      <c r="K61" s="190" t="s">
        <v>99</v>
      </c>
      <c r="L61" s="189" t="s">
        <v>9</v>
      </c>
      <c r="M61" s="191">
        <v>0</v>
      </c>
      <c r="N61" s="211">
        <v>100</v>
      </c>
      <c r="O61" s="211">
        <v>100</v>
      </c>
      <c r="P61" s="211">
        <v>100</v>
      </c>
      <c r="Q61" s="211">
        <v>100</v>
      </c>
      <c r="R61" s="190" t="s">
        <v>73</v>
      </c>
      <c r="S61" s="183">
        <f>COUNTIF(CAL_PRIMERA_ENTREGA_FRUTA,CONCATENATE(G61,"_",J61))</f>
        <v>1</v>
      </c>
      <c r="T61" s="386">
        <v>0</v>
      </c>
      <c r="U61" s="385">
        <f t="shared" si="90"/>
        <v>1</v>
      </c>
      <c r="V61" s="385">
        <f t="shared" si="90"/>
        <v>1</v>
      </c>
      <c r="W61" s="385">
        <f t="shared" si="90"/>
        <v>1</v>
      </c>
      <c r="X61" s="385">
        <f t="shared" si="90"/>
        <v>1</v>
      </c>
      <c r="Y61" s="184">
        <f t="shared" si="5"/>
        <v>0</v>
      </c>
      <c r="Z61" s="184">
        <f>IF(N61&lt;&gt;0,VLOOKUP(A61,FRE_CANTIDADES_DIARIAS_SUMINISTROS,5,FALSE),0)</f>
        <v>217917</v>
      </c>
      <c r="AA61" s="184">
        <f>IF(O61&lt;&gt;0,VLOOKUP(A61,FRE_CANTIDADES_DIARIAS_SUMINISTROS,6,FALSE),0)</f>
        <v>233081</v>
      </c>
      <c r="AB61" s="184">
        <f>IF(P61&lt;&gt;0,VLOOKUP(A61,FRE_CANTIDADES_DIARIAS_SUMINISTROS,7,FALSE),0)</f>
        <v>7582</v>
      </c>
      <c r="AC61" s="184">
        <f>IF(Q61&lt;&gt;0,VLOOKUP(A61,FRE_CANTIDADES_DIARIAS_SUMINISTROS,8,FALSE),0)</f>
        <v>7530</v>
      </c>
      <c r="AD61" s="184">
        <f t="shared" si="10"/>
        <v>466110</v>
      </c>
      <c r="AE61" s="183">
        <f t="shared" si="86"/>
        <v>0</v>
      </c>
      <c r="AF61" s="385">
        <f t="shared" si="84"/>
        <v>0</v>
      </c>
      <c r="AG61" s="385">
        <f t="shared" si="84"/>
        <v>0</v>
      </c>
      <c r="AH61" s="385">
        <f t="shared" si="84"/>
        <v>0</v>
      </c>
      <c r="AI61" s="185">
        <f t="shared" si="13"/>
        <v>0</v>
      </c>
      <c r="AJ61" s="185">
        <f t="shared" si="78"/>
        <v>0</v>
      </c>
      <c r="AK61" s="185">
        <f t="shared" si="79"/>
        <v>0</v>
      </c>
      <c r="AL61" s="185">
        <f t="shared" si="16"/>
        <v>0</v>
      </c>
      <c r="AM61" s="173">
        <f t="shared" si="88"/>
        <v>0</v>
      </c>
      <c r="AN61" s="173">
        <f t="shared" si="61"/>
        <v>217917</v>
      </c>
      <c r="AO61" s="173">
        <f t="shared" si="62"/>
        <v>233081</v>
      </c>
      <c r="AP61" s="173">
        <f t="shared" si="20"/>
        <v>7582</v>
      </c>
      <c r="AQ61" s="173">
        <f t="shared" si="21"/>
        <v>7530</v>
      </c>
      <c r="AR61" s="173">
        <f t="shared" si="22"/>
        <v>466110</v>
      </c>
      <c r="AS61" s="186" t="s">
        <v>1344</v>
      </c>
      <c r="AT61" s="300">
        <f t="shared" ref="AT61:AX70" si="91">IF(ISERROR(IF(ISERROR(MATCH(CONCATENATE($J61,"_",AT$1),COT_PRE_CODIGO_ALIMENTOS,0)),IF(ISERROR(MATCH(CONCATENATE($J61,"_",AT$2),COT_PRE_CODIGO_ALIMENTOS,0)),IF(ISERROR(MATCH(CONCATENATE($J61,"_",AT$3),COT_PRE_CODIGO_ALIMENTOS,0)),IF(ISERROR(MATCH(CONCATENATE($J61,"_",AT$4),COT_PRE_CODIGO_ALIMENTOS,0)),IF(ISERROR(MATCH(CONCATENATE($J61,"_",AT$5),COT_PRE_CODIGO_ALIMENTOS,0)),IF(ISERROR(MATCH(CONCATENATE($J61,"_",AT$6),COT_PRE_CODIGO_ALIMENTOS,0)),IF(ISERROR(MATCH(CONCATENATE($J61,"_",AT$7),COT_PRE_CODIGO_ALIMENTOS,0)),IF(ISERROR(VLOOKUP($J61,COT_PRE_ALIMENTOS,AT$8,FALSE)),"DATO NO DISPONIBLE",VLOOKUP($J61,COT_PRE_ALIMENTOS,AT$8,FALSE)),VLOOKUP(CONCATENATE($J61,"_",AT$7),COT_PRE_ALIMENTOS,AT$8,FALSE)),VLOOKUP(CONCATENATE($J61,"_",AT$6),COT_PRE_ALIMENTOS,AT$8,FALSE)),VLOOKUP(CONCATENATE($J61,"_",AT$5),COT_PRE_ALIMENTOS,AT$8,FALSE)),VLOOKUP(CONCATENATE($J61,"_",AT$4),COT_PRE_ALIMENTOS,AT$8,FALSE)),VLOOKUP(CONCATENATE($J61,"_",AT$3),COT_PRE_ALIMENTOS,AT$8,FALSE)),VLOOKUP(CONCATENATE($J61,"_",AT$2),COT_PRE_ALIMENTOS,AT$8,FALSE)),VLOOKUP(CONCATENATE($J61,"_",AT$1),COT_PRE_ALIMENTOS,AT$8,FALSE))),"DATO NO DISPONIBLE",IF(ISERROR(MATCH(CONCATENATE($J61,"_",AT$1),COT_PRE_CODIGO_ALIMENTOS,0)),IF(ISERROR(MATCH(CONCATENATE($J61,"_",AT$2),COT_PRE_CODIGO_ALIMENTOS,0)),IF(ISERROR(MATCH(CONCATENATE($J61,"_",AT$3),COT_PRE_CODIGO_ALIMENTOS,0)),IF(ISERROR(MATCH(CONCATENATE($J61,"_",AT$4),COT_PRE_CODIGO_ALIMENTOS,0)),IF(ISERROR(MATCH(CONCATENATE($J61,"_",AT$5),COT_PRE_CODIGO_ALIMENTOS,0)),IF(ISERROR(MATCH(CONCATENATE($J61,"_",AT$6),COT_PRE_CODIGO_ALIMENTOS,0)),IF(ISERROR(MATCH(CONCATENATE($J61,"_",AT$7),COT_PRE_CODIGO_ALIMENTOS,0)),IF(ISERROR(VLOOKUP($J61,COT_PRE_ALIMENTOS,AT$8,FALSE)),"DATO NO DISPONIBLE",VLOOKUP($J61,COT_PRE_ALIMENTOS,AT$8,FALSE)),VLOOKUP(CONCATENATE($J61,"_",AT$7),COT_PRE_ALIMENTOS,AT$8,FALSE)),VLOOKUP(CONCATENATE($J61,"_",AT$6),COT_PRE_ALIMENTOS,AT$8,FALSE)),VLOOKUP(CONCATENATE($J61,"_",AT$5),COT_PRE_ALIMENTOS,AT$8,FALSE)),VLOOKUP(CONCATENATE($J61,"_",AT$4),COT_PRE_ALIMENTOS,AT$8,FALSE)),VLOOKUP(CONCATENATE($J61,"_",AT$3),COT_PRE_ALIMENTOS,AT$8,FALSE)),VLOOKUP(CONCATENATE($J61,"_",AT$2),COT_PRE_ALIMENTOS,AT$8,FALSE)),VLOOKUP(CONCATENATE($J61,"_",AT$1),COT_PRE_ALIMENTOS,AT$8,FALSE)))</f>
        <v>2.6785000000000001</v>
      </c>
      <c r="AU61" s="300">
        <f t="shared" si="91"/>
        <v>2.6785000000000001</v>
      </c>
      <c r="AV61" s="300">
        <f t="shared" si="91"/>
        <v>2.6785000000000001</v>
      </c>
      <c r="AW61" s="300">
        <f t="shared" si="91"/>
        <v>2.6785000000000001</v>
      </c>
      <c r="AX61" s="300">
        <f t="shared" si="91"/>
        <v>2.6785000000000001</v>
      </c>
      <c r="AY61" s="301">
        <f t="shared" si="89"/>
        <v>2.6785000000000001</v>
      </c>
      <c r="AZ61" s="301">
        <f t="shared" si="89"/>
        <v>2.6785000000000001</v>
      </c>
      <c r="BA61" s="301">
        <f t="shared" si="89"/>
        <v>2.6785000000000001</v>
      </c>
      <c r="BB61" s="301">
        <f t="shared" si="89"/>
        <v>2.6785000000000001</v>
      </c>
      <c r="BC61" s="301">
        <f t="shared" si="89"/>
        <v>2.6785000000000001</v>
      </c>
      <c r="BD61" s="187"/>
      <c r="BE61" s="187">
        <f t="shared" si="64"/>
        <v>286</v>
      </c>
      <c r="BF61" s="187">
        <f t="shared" si="65"/>
        <v>286</v>
      </c>
      <c r="BG61" s="187">
        <f t="shared" si="80"/>
        <v>286</v>
      </c>
      <c r="BH61" s="187">
        <f t="shared" si="81"/>
        <v>286</v>
      </c>
      <c r="BI61" s="187"/>
      <c r="BJ61" s="187">
        <f t="shared" si="48"/>
        <v>286</v>
      </c>
      <c r="BK61" s="187">
        <f t="shared" si="49"/>
        <v>286</v>
      </c>
      <c r="BL61" s="187">
        <f t="shared" si="82"/>
        <v>286</v>
      </c>
      <c r="BM61" s="187">
        <f t="shared" si="83"/>
        <v>286</v>
      </c>
      <c r="BN61" s="188"/>
      <c r="BO61" s="188">
        <f t="shared" si="50"/>
        <v>62324262</v>
      </c>
      <c r="BP61" s="188">
        <f t="shared" si="51"/>
        <v>66661166</v>
      </c>
      <c r="BQ61" s="188">
        <f t="shared" si="52"/>
        <v>2168452</v>
      </c>
      <c r="BR61" s="188">
        <f t="shared" si="53"/>
        <v>2153580</v>
      </c>
      <c r="BS61" s="188">
        <f t="shared" si="40"/>
        <v>133307460</v>
      </c>
      <c r="BT61" s="188">
        <f t="shared" si="41"/>
        <v>0</v>
      </c>
      <c r="BU61" s="188">
        <f t="shared" si="42"/>
        <v>62324262</v>
      </c>
      <c r="BV61" s="188">
        <f t="shared" si="43"/>
        <v>66661166</v>
      </c>
      <c r="BW61" s="188">
        <f t="shared" si="44"/>
        <v>2168452</v>
      </c>
      <c r="BX61" s="188">
        <f t="shared" si="45"/>
        <v>2153580</v>
      </c>
      <c r="BY61" s="188">
        <f t="shared" si="46"/>
        <v>133307460</v>
      </c>
      <c r="BZ61" s="305">
        <f>IF(COT_PRECALCULOS!$D$24="Precios Iva Incluído",BI61,BD61)</f>
        <v>0</v>
      </c>
      <c r="CA61" s="305">
        <f>IF(COT_PRECALCULOS!$D$24="Precios Iva Incluído",BJ61,BE61)</f>
        <v>286</v>
      </c>
      <c r="CB61" s="305">
        <f>IF(COT_PRECALCULOS!$D$24="Precios Iva Incluído",BK61,BF61)</f>
        <v>286</v>
      </c>
      <c r="CC61" s="305">
        <f>IF(COT_PRECALCULOS!$D$24="Precios Iva Incluído",BL61,BG61)</f>
        <v>286</v>
      </c>
      <c r="CD61" s="305">
        <f>IF(COT_PRECALCULOS!$D$24="Precios Iva Incluído",BM61,BH61)</f>
        <v>286</v>
      </c>
      <c r="CE61" s="305">
        <f>IF(COT_PRECALCULOS!$D$24="Precios Iva Incluído",BT61,BN61)</f>
        <v>0</v>
      </c>
      <c r="CF61" s="305">
        <f>IF(COT_PRECALCULOS!$D$24="Precios Iva Incluído",BU61,BO61)</f>
        <v>62324262</v>
      </c>
      <c r="CG61" s="305">
        <f>IF(COT_PRECALCULOS!$D$24="Precios Iva Incluído",BV61,BP61)</f>
        <v>66661166</v>
      </c>
      <c r="CH61" s="305">
        <f>IF(COT_PRECALCULOS!$D$24="Precios Iva Incluído",BW61,BQ61)</f>
        <v>2168452</v>
      </c>
      <c r="CI61" s="305">
        <f>IF(COT_PRECALCULOS!$D$24="Precios Iva Incluído",BX61,BR61)</f>
        <v>2153580</v>
      </c>
    </row>
    <row r="62" spans="1:87">
      <c r="A62" s="182" t="s">
        <v>101</v>
      </c>
      <c r="B62" s="182" t="s">
        <v>98</v>
      </c>
      <c r="C62" s="189" t="str">
        <f t="shared" si="0"/>
        <v>F_PE4</v>
      </c>
      <c r="D62" s="189" t="str">
        <f t="shared" si="1"/>
        <v>69_P_</v>
      </c>
      <c r="E62" s="190" t="s">
        <v>1</v>
      </c>
      <c r="F62" s="190" t="s">
        <v>1</v>
      </c>
      <c r="G62" s="189" t="s">
        <v>17</v>
      </c>
      <c r="H62" s="190"/>
      <c r="I62" s="190" t="s">
        <v>68</v>
      </c>
      <c r="J62" s="190">
        <v>69</v>
      </c>
      <c r="K62" s="190" t="s">
        <v>70</v>
      </c>
      <c r="L62" s="189" t="s">
        <v>9</v>
      </c>
      <c r="M62" s="211">
        <v>100</v>
      </c>
      <c r="N62" s="211">
        <v>100</v>
      </c>
      <c r="O62" s="211">
        <v>100</v>
      </c>
      <c r="P62" s="211">
        <v>100</v>
      </c>
      <c r="Q62" s="211">
        <v>100</v>
      </c>
      <c r="R62" s="190"/>
      <c r="S62" s="388">
        <v>3</v>
      </c>
      <c r="T62" s="388">
        <f>$S62</f>
        <v>3</v>
      </c>
      <c r="U62" s="388">
        <v>0</v>
      </c>
      <c r="V62" s="388">
        <v>0</v>
      </c>
      <c r="W62" s="388">
        <v>0</v>
      </c>
      <c r="X62" s="388">
        <v>0</v>
      </c>
      <c r="Y62" s="184">
        <f t="shared" si="5"/>
        <v>163328</v>
      </c>
      <c r="Z62" s="184">
        <v>0</v>
      </c>
      <c r="AA62" s="184">
        <v>0</v>
      </c>
      <c r="AB62" s="184">
        <v>0</v>
      </c>
      <c r="AC62" s="184">
        <v>0</v>
      </c>
      <c r="AD62" s="184">
        <f t="shared" si="10"/>
        <v>163328</v>
      </c>
      <c r="AE62" s="183">
        <f t="shared" si="86"/>
        <v>0</v>
      </c>
      <c r="AF62" s="385">
        <f t="shared" si="84"/>
        <v>0</v>
      </c>
      <c r="AG62" s="385">
        <f t="shared" si="84"/>
        <v>0</v>
      </c>
      <c r="AH62" s="385">
        <f t="shared" si="84"/>
        <v>0</v>
      </c>
      <c r="AI62" s="185">
        <f t="shared" si="13"/>
        <v>0</v>
      </c>
      <c r="AJ62" s="185">
        <f t="shared" si="78"/>
        <v>0</v>
      </c>
      <c r="AK62" s="185">
        <f t="shared" si="79"/>
        <v>0</v>
      </c>
      <c r="AL62" s="185">
        <f t="shared" si="16"/>
        <v>0</v>
      </c>
      <c r="AM62" s="173">
        <f t="shared" si="88"/>
        <v>489984</v>
      </c>
      <c r="AN62" s="173">
        <f t="shared" si="61"/>
        <v>0</v>
      </c>
      <c r="AO62" s="173">
        <f t="shared" si="62"/>
        <v>0</v>
      </c>
      <c r="AP62" s="173">
        <f t="shared" si="20"/>
        <v>0</v>
      </c>
      <c r="AQ62" s="173">
        <f t="shared" si="21"/>
        <v>0</v>
      </c>
      <c r="AR62" s="173">
        <f t="shared" si="22"/>
        <v>489984</v>
      </c>
      <c r="AS62" s="186" t="s">
        <v>1344</v>
      </c>
      <c r="AT62" s="300">
        <f t="shared" si="91"/>
        <v>2.8519999999999999</v>
      </c>
      <c r="AU62" s="300">
        <f t="shared" si="91"/>
        <v>2.8519999999999999</v>
      </c>
      <c r="AV62" s="300">
        <f t="shared" si="91"/>
        <v>2.8519999999999999</v>
      </c>
      <c r="AW62" s="300">
        <f t="shared" si="91"/>
        <v>2.8519999999999999</v>
      </c>
      <c r="AX62" s="300">
        <f t="shared" si="91"/>
        <v>2.8519999999999999</v>
      </c>
      <c r="AY62" s="301">
        <f t="shared" si="89"/>
        <v>2.8519999999999999</v>
      </c>
      <c r="AZ62" s="301">
        <f t="shared" si="89"/>
        <v>2.8519999999999999</v>
      </c>
      <c r="BA62" s="301">
        <f t="shared" si="89"/>
        <v>2.8519999999999999</v>
      </c>
      <c r="BB62" s="301">
        <f t="shared" si="89"/>
        <v>2.8519999999999999</v>
      </c>
      <c r="BC62" s="301">
        <f t="shared" si="89"/>
        <v>2.8519999999999999</v>
      </c>
      <c r="BD62" s="187">
        <f>ROUND(IF(OR(M62=0,AT62="DATO NO DISPONIBLE"),"",AT62*M62*($BD$7+1)),0)</f>
        <v>305</v>
      </c>
      <c r="BE62" s="187">
        <f t="shared" si="64"/>
        <v>305</v>
      </c>
      <c r="BF62" s="187">
        <f t="shared" si="65"/>
        <v>305</v>
      </c>
      <c r="BG62" s="187">
        <f t="shared" si="80"/>
        <v>305</v>
      </c>
      <c r="BH62" s="187">
        <f t="shared" si="81"/>
        <v>305</v>
      </c>
      <c r="BI62" s="187">
        <f>ROUND(IF(OR(M62=0,AY62="DATO NO DISPONIBLE"),0,AY62*M62*($BD$7+1)),0)</f>
        <v>305</v>
      </c>
      <c r="BJ62" s="187">
        <f t="shared" si="48"/>
        <v>305</v>
      </c>
      <c r="BK62" s="187">
        <f t="shared" si="49"/>
        <v>305</v>
      </c>
      <c r="BL62" s="187">
        <f t="shared" si="82"/>
        <v>305</v>
      </c>
      <c r="BM62" s="187">
        <f t="shared" si="83"/>
        <v>305</v>
      </c>
      <c r="BN62" s="188">
        <f>BD62*AM62</f>
        <v>149445120</v>
      </c>
      <c r="BO62" s="188">
        <f t="shared" si="50"/>
        <v>0</v>
      </c>
      <c r="BP62" s="188">
        <f t="shared" si="51"/>
        <v>0</v>
      </c>
      <c r="BQ62" s="188">
        <f t="shared" si="52"/>
        <v>0</v>
      </c>
      <c r="BR62" s="188">
        <f t="shared" si="53"/>
        <v>0</v>
      </c>
      <c r="BS62" s="188">
        <f t="shared" si="40"/>
        <v>149445120</v>
      </c>
      <c r="BT62" s="188">
        <f t="shared" si="41"/>
        <v>149445120</v>
      </c>
      <c r="BU62" s="188">
        <f t="shared" si="42"/>
        <v>0</v>
      </c>
      <c r="BV62" s="188">
        <f t="shared" si="43"/>
        <v>0</v>
      </c>
      <c r="BW62" s="188">
        <f t="shared" si="44"/>
        <v>0</v>
      </c>
      <c r="BX62" s="188">
        <f t="shared" si="45"/>
        <v>0</v>
      </c>
      <c r="BY62" s="188">
        <f t="shared" si="46"/>
        <v>149445120</v>
      </c>
      <c r="BZ62" s="305">
        <f>IF(COT_PRECALCULOS!$D$24="Precios Iva Incluído",BI62,BD62)</f>
        <v>305</v>
      </c>
      <c r="CA62" s="305">
        <f>IF(COT_PRECALCULOS!$D$24="Precios Iva Incluído",BJ62,BE62)</f>
        <v>305</v>
      </c>
      <c r="CB62" s="305">
        <f>IF(COT_PRECALCULOS!$D$24="Precios Iva Incluído",BK62,BF62)</f>
        <v>305</v>
      </c>
      <c r="CC62" s="305">
        <f>IF(COT_PRECALCULOS!$D$24="Precios Iva Incluído",BL62,BG62)</f>
        <v>305</v>
      </c>
      <c r="CD62" s="305">
        <f>IF(COT_PRECALCULOS!$D$24="Precios Iva Incluído",BM62,BH62)</f>
        <v>305</v>
      </c>
      <c r="CE62" s="305">
        <f>IF(COT_PRECALCULOS!$D$24="Precios Iva Incluído",BT62,BN62)</f>
        <v>149445120</v>
      </c>
      <c r="CF62" s="305">
        <f>IF(COT_PRECALCULOS!$D$24="Precios Iva Incluído",BU62,BO62)</f>
        <v>0</v>
      </c>
      <c r="CG62" s="305">
        <f>IF(COT_PRECALCULOS!$D$24="Precios Iva Incluído",BV62,BP62)</f>
        <v>0</v>
      </c>
      <c r="CH62" s="305">
        <f>IF(COT_PRECALCULOS!$D$24="Precios Iva Incluído",BW62,BQ62)</f>
        <v>0</v>
      </c>
      <c r="CI62" s="305">
        <f>IF(COT_PRECALCULOS!$D$24="Precios Iva Incluído",BX62,BR62)</f>
        <v>0</v>
      </c>
    </row>
    <row r="63" spans="1:87">
      <c r="A63" s="182" t="s">
        <v>101</v>
      </c>
      <c r="B63" s="182" t="s">
        <v>98</v>
      </c>
      <c r="C63" s="189" t="str">
        <f t="shared" si="0"/>
        <v>F_PE4</v>
      </c>
      <c r="D63" s="189" t="str">
        <f t="shared" si="1"/>
        <v>70_P_</v>
      </c>
      <c r="E63" s="190" t="s">
        <v>1</v>
      </c>
      <c r="F63" s="190" t="s">
        <v>1</v>
      </c>
      <c r="G63" s="189" t="s">
        <v>17</v>
      </c>
      <c r="H63" s="190"/>
      <c r="I63" s="190" t="s">
        <v>69</v>
      </c>
      <c r="J63" s="190">
        <v>70</v>
      </c>
      <c r="K63" s="190" t="s">
        <v>71</v>
      </c>
      <c r="L63" s="189" t="s">
        <v>9</v>
      </c>
      <c r="M63" s="386">
        <v>0</v>
      </c>
      <c r="N63" s="211">
        <v>100</v>
      </c>
      <c r="O63" s="211">
        <v>100</v>
      </c>
      <c r="P63" s="211">
        <v>100</v>
      </c>
      <c r="Q63" s="211">
        <v>100</v>
      </c>
      <c r="R63" s="190" t="s">
        <v>73</v>
      </c>
      <c r="S63" s="183">
        <f>COUNTIF(CAL_PRIMERA_ENTREGA_FRUTA,CONCATENATE(G63,"_",J63))</f>
        <v>0</v>
      </c>
      <c r="T63" s="386">
        <v>0</v>
      </c>
      <c r="U63" s="385">
        <f t="shared" ref="U63:X65" si="92">$S63</f>
        <v>0</v>
      </c>
      <c r="V63" s="385">
        <f t="shared" si="92"/>
        <v>0</v>
      </c>
      <c r="W63" s="385">
        <f t="shared" si="92"/>
        <v>0</v>
      </c>
      <c r="X63" s="385">
        <f t="shared" si="92"/>
        <v>0</v>
      </c>
      <c r="Y63" s="184">
        <f t="shared" si="5"/>
        <v>0</v>
      </c>
      <c r="Z63" s="184">
        <f>IF(N63&lt;&gt;0,VLOOKUP(A63,FRE_CANTIDADES_DIARIAS_SUMINISTROS,5,FALSE),0)</f>
        <v>217917</v>
      </c>
      <c r="AA63" s="184">
        <f>IF(O63&lt;&gt;0,VLOOKUP(A63,FRE_CANTIDADES_DIARIAS_SUMINISTROS,6,FALSE),0)</f>
        <v>233081</v>
      </c>
      <c r="AB63" s="184">
        <f>IF(P63&lt;&gt;0,VLOOKUP(A63,FRE_CANTIDADES_DIARIAS_SUMINISTROS,7,FALSE),0)</f>
        <v>7582</v>
      </c>
      <c r="AC63" s="184">
        <f>IF(Q63&lt;&gt;0,VLOOKUP(A63,FRE_CANTIDADES_DIARIAS_SUMINISTROS,8,FALSE),0)</f>
        <v>7530</v>
      </c>
      <c r="AD63" s="184">
        <f t="shared" si="10"/>
        <v>466110</v>
      </c>
      <c r="AE63" s="183">
        <f t="shared" si="86"/>
        <v>0</v>
      </c>
      <c r="AF63" s="385">
        <f t="shared" si="84"/>
        <v>0</v>
      </c>
      <c r="AG63" s="385">
        <f t="shared" si="84"/>
        <v>0</v>
      </c>
      <c r="AH63" s="385">
        <f t="shared" si="84"/>
        <v>0</v>
      </c>
      <c r="AI63" s="185">
        <f t="shared" si="13"/>
        <v>0</v>
      </c>
      <c r="AJ63" s="185">
        <f t="shared" si="78"/>
        <v>0</v>
      </c>
      <c r="AK63" s="185">
        <f t="shared" si="79"/>
        <v>0</v>
      </c>
      <c r="AL63" s="185">
        <f t="shared" si="16"/>
        <v>0</v>
      </c>
      <c r="AM63" s="173">
        <v>0</v>
      </c>
      <c r="AN63" s="173">
        <f t="shared" si="61"/>
        <v>0</v>
      </c>
      <c r="AO63" s="173">
        <f t="shared" si="62"/>
        <v>0</v>
      </c>
      <c r="AP63" s="173">
        <f t="shared" si="20"/>
        <v>0</v>
      </c>
      <c r="AQ63" s="173">
        <f t="shared" si="21"/>
        <v>0</v>
      </c>
      <c r="AR63" s="173">
        <f t="shared" si="22"/>
        <v>0</v>
      </c>
      <c r="AS63" s="186" t="s">
        <v>1344</v>
      </c>
      <c r="AT63" s="300">
        <f t="shared" si="91"/>
        <v>4.0575000000000001</v>
      </c>
      <c r="AU63" s="300">
        <f t="shared" si="91"/>
        <v>4.0575000000000001</v>
      </c>
      <c r="AV63" s="300">
        <f t="shared" si="91"/>
        <v>4.0575000000000001</v>
      </c>
      <c r="AW63" s="300">
        <f t="shared" si="91"/>
        <v>4.0575000000000001</v>
      </c>
      <c r="AX63" s="300">
        <f t="shared" si="91"/>
        <v>4.0575000000000001</v>
      </c>
      <c r="AY63" s="301">
        <f t="shared" si="89"/>
        <v>4.0575000000000001</v>
      </c>
      <c r="AZ63" s="301">
        <f t="shared" si="89"/>
        <v>4.0575000000000001</v>
      </c>
      <c r="BA63" s="301">
        <f t="shared" si="89"/>
        <v>4.0575000000000001</v>
      </c>
      <c r="BB63" s="301">
        <f t="shared" si="89"/>
        <v>4.0575000000000001</v>
      </c>
      <c r="BC63" s="301">
        <f t="shared" si="89"/>
        <v>4.0575000000000001</v>
      </c>
      <c r="BD63" s="187"/>
      <c r="BE63" s="187">
        <f t="shared" si="64"/>
        <v>434</v>
      </c>
      <c r="BF63" s="187">
        <f t="shared" si="65"/>
        <v>434</v>
      </c>
      <c r="BG63" s="187">
        <f t="shared" si="80"/>
        <v>434</v>
      </c>
      <c r="BH63" s="187">
        <f t="shared" si="81"/>
        <v>434</v>
      </c>
      <c r="BI63" s="187"/>
      <c r="BJ63" s="187">
        <f t="shared" si="48"/>
        <v>434</v>
      </c>
      <c r="BK63" s="187">
        <f t="shared" si="49"/>
        <v>434</v>
      </c>
      <c r="BL63" s="187">
        <f t="shared" si="82"/>
        <v>434</v>
      </c>
      <c r="BM63" s="187">
        <f t="shared" si="83"/>
        <v>434</v>
      </c>
      <c r="BN63" s="188"/>
      <c r="BO63" s="188">
        <f t="shared" si="50"/>
        <v>0</v>
      </c>
      <c r="BP63" s="188">
        <f t="shared" si="51"/>
        <v>0</v>
      </c>
      <c r="BQ63" s="188">
        <f t="shared" si="52"/>
        <v>0</v>
      </c>
      <c r="BR63" s="188">
        <f t="shared" si="53"/>
        <v>0</v>
      </c>
      <c r="BS63" s="188">
        <f t="shared" si="40"/>
        <v>0</v>
      </c>
      <c r="BT63" s="188">
        <f t="shared" si="41"/>
        <v>0</v>
      </c>
      <c r="BU63" s="188">
        <f t="shared" si="42"/>
        <v>0</v>
      </c>
      <c r="BV63" s="188">
        <f t="shared" si="43"/>
        <v>0</v>
      </c>
      <c r="BW63" s="188">
        <f t="shared" si="44"/>
        <v>0</v>
      </c>
      <c r="BX63" s="188">
        <f t="shared" si="45"/>
        <v>0</v>
      </c>
      <c r="BY63" s="188">
        <f t="shared" si="46"/>
        <v>0</v>
      </c>
      <c r="BZ63" s="305">
        <f>IF(COT_PRECALCULOS!$D$24="Precios Iva Incluído",BI63,BD63)</f>
        <v>0</v>
      </c>
      <c r="CA63" s="305">
        <f>IF(COT_PRECALCULOS!$D$24="Precios Iva Incluído",BJ63,BE63)</f>
        <v>434</v>
      </c>
      <c r="CB63" s="305">
        <f>IF(COT_PRECALCULOS!$D$24="Precios Iva Incluído",BK63,BF63)</f>
        <v>434</v>
      </c>
      <c r="CC63" s="305">
        <f>IF(COT_PRECALCULOS!$D$24="Precios Iva Incluído",BL63,BG63)</f>
        <v>434</v>
      </c>
      <c r="CD63" s="305">
        <f>IF(COT_PRECALCULOS!$D$24="Precios Iva Incluído",BM63,BH63)</f>
        <v>434</v>
      </c>
      <c r="CE63" s="305">
        <f>IF(COT_PRECALCULOS!$D$24="Precios Iva Incluído",BT63,BN63)</f>
        <v>0</v>
      </c>
      <c r="CF63" s="305">
        <f>IF(COT_PRECALCULOS!$D$24="Precios Iva Incluído",BU63,BO63)</f>
        <v>0</v>
      </c>
      <c r="CG63" s="305">
        <f>IF(COT_PRECALCULOS!$D$24="Precios Iva Incluído",BV63,BP63)</f>
        <v>0</v>
      </c>
      <c r="CH63" s="305">
        <f>IF(COT_PRECALCULOS!$D$24="Precios Iva Incluído",BW63,BQ63)</f>
        <v>0</v>
      </c>
      <c r="CI63" s="305">
        <f>IF(COT_PRECALCULOS!$D$24="Precios Iva Incluído",BX63,BR63)</f>
        <v>0</v>
      </c>
    </row>
    <row r="64" spans="1:87">
      <c r="A64" s="182" t="s">
        <v>101</v>
      </c>
      <c r="B64" s="182" t="s">
        <v>98</v>
      </c>
      <c r="C64" s="189" t="str">
        <f t="shared" si="0"/>
        <v>F_PE4</v>
      </c>
      <c r="D64" s="189" t="str">
        <f t="shared" si="1"/>
        <v>36_P_</v>
      </c>
      <c r="E64" s="190" t="s">
        <v>1</v>
      </c>
      <c r="F64" s="190" t="s">
        <v>1</v>
      </c>
      <c r="G64" s="189" t="s">
        <v>17</v>
      </c>
      <c r="H64" s="190"/>
      <c r="I64" s="190" t="s">
        <v>1340</v>
      </c>
      <c r="J64" s="190">
        <v>36</v>
      </c>
      <c r="K64" s="190" t="s">
        <v>1340</v>
      </c>
      <c r="L64" s="189" t="s">
        <v>9</v>
      </c>
      <c r="M64" s="211">
        <v>20</v>
      </c>
      <c r="N64" s="211">
        <v>40</v>
      </c>
      <c r="O64" s="211">
        <v>40</v>
      </c>
      <c r="P64" s="211">
        <v>40</v>
      </c>
      <c r="Q64" s="211">
        <v>40</v>
      </c>
      <c r="R64" s="190"/>
      <c r="S64" s="183">
        <f>COUNTIF(CAL_PRIMERA_ENTREGA_FRUTA,CONCATENATE(G64,"_",J64))</f>
        <v>0</v>
      </c>
      <c r="T64" s="385">
        <f>$S64</f>
        <v>0</v>
      </c>
      <c r="U64" s="385">
        <f t="shared" si="92"/>
        <v>0</v>
      </c>
      <c r="V64" s="385">
        <f t="shared" si="92"/>
        <v>0</v>
      </c>
      <c r="W64" s="385">
        <f t="shared" si="92"/>
        <v>0</v>
      </c>
      <c r="X64" s="385">
        <f t="shared" si="92"/>
        <v>0</v>
      </c>
      <c r="Y64" s="184">
        <f t="shared" si="5"/>
        <v>163328</v>
      </c>
      <c r="Z64" s="184">
        <f>IF(N64&lt;&gt;0,VLOOKUP(A64,FRE_CANTIDADES_DIARIAS_SUMINISTROS,5,FALSE),0)</f>
        <v>217917</v>
      </c>
      <c r="AA64" s="184">
        <f>IF(O64&lt;&gt;0,VLOOKUP(A64,FRE_CANTIDADES_DIARIAS_SUMINISTROS,6,FALSE),0)</f>
        <v>233081</v>
      </c>
      <c r="AB64" s="184">
        <f>IF(P64&lt;&gt;0,VLOOKUP(A64,FRE_CANTIDADES_DIARIAS_SUMINISTROS,7,FALSE),0)</f>
        <v>7582</v>
      </c>
      <c r="AC64" s="184">
        <f>IF(Q64&lt;&gt;0,VLOOKUP(A64,FRE_CANTIDADES_DIARIAS_SUMINISTROS,8,FALSE),0)</f>
        <v>7530</v>
      </c>
      <c r="AD64" s="184">
        <f t="shared" si="10"/>
        <v>629438</v>
      </c>
      <c r="AE64" s="183">
        <f t="shared" si="86"/>
        <v>0</v>
      </c>
      <c r="AF64" s="385">
        <f t="shared" si="84"/>
        <v>0</v>
      </c>
      <c r="AG64" s="385">
        <f t="shared" si="84"/>
        <v>0</v>
      </c>
      <c r="AH64" s="385">
        <f t="shared" si="84"/>
        <v>0</v>
      </c>
      <c r="AI64" s="185">
        <f t="shared" si="13"/>
        <v>0</v>
      </c>
      <c r="AJ64" s="185">
        <f t="shared" si="78"/>
        <v>0</v>
      </c>
      <c r="AK64" s="185">
        <f t="shared" si="79"/>
        <v>0</v>
      </c>
      <c r="AL64" s="185">
        <f t="shared" si="16"/>
        <v>0</v>
      </c>
      <c r="AM64" s="173">
        <f>($S64*Y64)+($AE64*AI64)</f>
        <v>0</v>
      </c>
      <c r="AN64" s="173">
        <f t="shared" si="61"/>
        <v>0</v>
      </c>
      <c r="AO64" s="173">
        <f t="shared" si="62"/>
        <v>0</v>
      </c>
      <c r="AP64" s="173">
        <f t="shared" si="20"/>
        <v>0</v>
      </c>
      <c r="AQ64" s="173">
        <f t="shared" si="21"/>
        <v>0</v>
      </c>
      <c r="AR64" s="173">
        <f t="shared" si="22"/>
        <v>0</v>
      </c>
      <c r="AS64" s="186" t="s">
        <v>1344</v>
      </c>
      <c r="AT64" s="300">
        <f t="shared" si="91"/>
        <v>5.9</v>
      </c>
      <c r="AU64" s="300">
        <f t="shared" si="91"/>
        <v>5.9</v>
      </c>
      <c r="AV64" s="300">
        <f t="shared" si="91"/>
        <v>5.9</v>
      </c>
      <c r="AW64" s="300">
        <f t="shared" si="91"/>
        <v>5.9</v>
      </c>
      <c r="AX64" s="300">
        <f t="shared" si="91"/>
        <v>5.9</v>
      </c>
      <c r="AY64" s="301">
        <f t="shared" si="89"/>
        <v>5.9</v>
      </c>
      <c r="AZ64" s="301">
        <f t="shared" si="89"/>
        <v>5.9</v>
      </c>
      <c r="BA64" s="301">
        <f t="shared" si="89"/>
        <v>5.9</v>
      </c>
      <c r="BB64" s="301">
        <f t="shared" si="89"/>
        <v>5.9</v>
      </c>
      <c r="BC64" s="301">
        <f t="shared" si="89"/>
        <v>5.9</v>
      </c>
      <c r="BD64" s="187">
        <f>ROUND(IF(OR(M64=0,AT64="DATO NO DISPONIBLE"),"",AT64*M64*($BD$7+1)),0)</f>
        <v>126</v>
      </c>
      <c r="BE64" s="187">
        <f t="shared" si="64"/>
        <v>252</v>
      </c>
      <c r="BF64" s="187">
        <f t="shared" si="65"/>
        <v>252</v>
      </c>
      <c r="BG64" s="187">
        <f t="shared" si="80"/>
        <v>252</v>
      </c>
      <c r="BH64" s="187">
        <f t="shared" si="81"/>
        <v>252</v>
      </c>
      <c r="BI64" s="187">
        <f>ROUND(IF(OR(M64=0,AY64="DATO NO DISPONIBLE"),0,AY64*M64*($BD$7+1)),0)</f>
        <v>126</v>
      </c>
      <c r="BJ64" s="187">
        <f t="shared" si="48"/>
        <v>252</v>
      </c>
      <c r="BK64" s="187">
        <f t="shared" si="49"/>
        <v>252</v>
      </c>
      <c r="BL64" s="187">
        <f t="shared" si="82"/>
        <v>252</v>
      </c>
      <c r="BM64" s="187">
        <f t="shared" si="83"/>
        <v>252</v>
      </c>
      <c r="BN64" s="188">
        <f>BD64*AM64</f>
        <v>0</v>
      </c>
      <c r="BO64" s="188">
        <f t="shared" si="50"/>
        <v>0</v>
      </c>
      <c r="BP64" s="188">
        <f t="shared" si="51"/>
        <v>0</v>
      </c>
      <c r="BQ64" s="188">
        <f t="shared" si="52"/>
        <v>0</v>
      </c>
      <c r="BR64" s="188">
        <f t="shared" si="53"/>
        <v>0</v>
      </c>
      <c r="BS64" s="188">
        <f t="shared" si="40"/>
        <v>0</v>
      </c>
      <c r="BT64" s="188">
        <f t="shared" si="41"/>
        <v>0</v>
      </c>
      <c r="BU64" s="188">
        <f t="shared" si="42"/>
        <v>0</v>
      </c>
      <c r="BV64" s="188">
        <f t="shared" si="43"/>
        <v>0</v>
      </c>
      <c r="BW64" s="188">
        <f t="shared" si="44"/>
        <v>0</v>
      </c>
      <c r="BX64" s="188">
        <f t="shared" si="45"/>
        <v>0</v>
      </c>
      <c r="BY64" s="188">
        <f t="shared" si="46"/>
        <v>0</v>
      </c>
      <c r="BZ64" s="305">
        <f>IF(COT_PRECALCULOS!$D$24="Precios Iva Incluído",BI64,BD64)</f>
        <v>126</v>
      </c>
      <c r="CA64" s="305">
        <f>IF(COT_PRECALCULOS!$D$24="Precios Iva Incluído",BJ64,BE64)</f>
        <v>252</v>
      </c>
      <c r="CB64" s="305">
        <f>IF(COT_PRECALCULOS!$D$24="Precios Iva Incluído",BK64,BF64)</f>
        <v>252</v>
      </c>
      <c r="CC64" s="305">
        <f>IF(COT_PRECALCULOS!$D$24="Precios Iva Incluído",BL64,BG64)</f>
        <v>252</v>
      </c>
      <c r="CD64" s="305">
        <f>IF(COT_PRECALCULOS!$D$24="Precios Iva Incluído",BM64,BH64)</f>
        <v>252</v>
      </c>
      <c r="CE64" s="305">
        <f>IF(COT_PRECALCULOS!$D$24="Precios Iva Incluído",BT64,BN64)</f>
        <v>0</v>
      </c>
      <c r="CF64" s="305">
        <f>IF(COT_PRECALCULOS!$D$24="Precios Iva Incluído",BU64,BO64)</f>
        <v>0</v>
      </c>
      <c r="CG64" s="305">
        <f>IF(COT_PRECALCULOS!$D$24="Precios Iva Incluído",BV64,BP64)</f>
        <v>0</v>
      </c>
      <c r="CH64" s="305">
        <f>IF(COT_PRECALCULOS!$D$24="Precios Iva Incluído",BW64,BQ64)</f>
        <v>0</v>
      </c>
      <c r="CI64" s="305">
        <f>IF(COT_PRECALCULOS!$D$24="Precios Iva Incluído",BX64,BR64)</f>
        <v>0</v>
      </c>
    </row>
    <row r="65" spans="1:87">
      <c r="A65" s="182" t="s">
        <v>101</v>
      </c>
      <c r="B65" s="182" t="s">
        <v>98</v>
      </c>
      <c r="C65" s="189" t="str">
        <f t="shared" si="0"/>
        <v>F_PE6</v>
      </c>
      <c r="D65" s="189" t="str">
        <f t="shared" si="1"/>
        <v>8_P_</v>
      </c>
      <c r="E65" s="190" t="s">
        <v>1</v>
      </c>
      <c r="F65" s="190" t="s">
        <v>1</v>
      </c>
      <c r="G65" s="189" t="s">
        <v>19</v>
      </c>
      <c r="H65" s="190" t="s">
        <v>2</v>
      </c>
      <c r="I65" s="190" t="s">
        <v>54</v>
      </c>
      <c r="J65" s="190">
        <v>8</v>
      </c>
      <c r="K65" s="190" t="s">
        <v>55</v>
      </c>
      <c r="L65" s="189" t="s">
        <v>9</v>
      </c>
      <c r="M65" s="211">
        <v>100</v>
      </c>
      <c r="N65" s="211">
        <v>100</v>
      </c>
      <c r="O65" s="211">
        <v>100</v>
      </c>
      <c r="P65" s="211">
        <v>100</v>
      </c>
      <c r="Q65" s="211">
        <v>100</v>
      </c>
      <c r="R65" s="190"/>
      <c r="S65" s="385">
        <f>COUNTIF(CAL_PRIMERA_ENTREGA_FRUTA,CONCATENATE(G65,"_",J65))</f>
        <v>1</v>
      </c>
      <c r="T65" s="385">
        <f>$S65</f>
        <v>1</v>
      </c>
      <c r="U65" s="385">
        <f t="shared" si="92"/>
        <v>1</v>
      </c>
      <c r="V65" s="385">
        <f t="shared" si="92"/>
        <v>1</v>
      </c>
      <c r="W65" s="385">
        <f t="shared" si="92"/>
        <v>1</v>
      </c>
      <c r="X65" s="385">
        <f t="shared" si="92"/>
        <v>1</v>
      </c>
      <c r="Y65" s="184">
        <f t="shared" si="5"/>
        <v>163328</v>
      </c>
      <c r="Z65" s="184">
        <f>IF(N65&lt;&gt;0,VLOOKUP(A65,FRE_CANTIDADES_DIARIAS_SUMINISTROS,5,FALSE),0)</f>
        <v>217917</v>
      </c>
      <c r="AA65" s="184">
        <f>IF(O65&lt;&gt;0,VLOOKUP(A65,FRE_CANTIDADES_DIARIAS_SUMINISTROS,6,FALSE),0)</f>
        <v>233081</v>
      </c>
      <c r="AB65" s="184">
        <f>IF(P65&lt;&gt;0,VLOOKUP(A65,FRE_CANTIDADES_DIARIAS_SUMINISTROS,7,FALSE),0)</f>
        <v>7582</v>
      </c>
      <c r="AC65" s="184">
        <f>IF(Q65&lt;&gt;0,VLOOKUP(A65,FRE_CANTIDADES_DIARIAS_SUMINISTROS,8,FALSE),0)</f>
        <v>7530</v>
      </c>
      <c r="AD65" s="184">
        <f t="shared" si="10"/>
        <v>629438</v>
      </c>
      <c r="AE65" s="183">
        <f t="shared" si="86"/>
        <v>0</v>
      </c>
      <c r="AF65" s="385">
        <f t="shared" si="84"/>
        <v>0</v>
      </c>
      <c r="AG65" s="385">
        <f t="shared" si="84"/>
        <v>0</v>
      </c>
      <c r="AH65" s="385">
        <f t="shared" si="84"/>
        <v>0</v>
      </c>
      <c r="AI65" s="185">
        <f t="shared" si="13"/>
        <v>0</v>
      </c>
      <c r="AJ65" s="185">
        <f t="shared" si="78"/>
        <v>0</v>
      </c>
      <c r="AK65" s="185">
        <f t="shared" si="79"/>
        <v>0</v>
      </c>
      <c r="AL65" s="185">
        <f t="shared" si="16"/>
        <v>0</v>
      </c>
      <c r="AM65" s="173">
        <f>($S65*Y65)+($AE65*AI65)</f>
        <v>163328</v>
      </c>
      <c r="AN65" s="173">
        <f t="shared" si="61"/>
        <v>217917</v>
      </c>
      <c r="AO65" s="173">
        <f t="shared" si="62"/>
        <v>233081</v>
      </c>
      <c r="AP65" s="173">
        <f t="shared" si="20"/>
        <v>7582</v>
      </c>
      <c r="AQ65" s="173">
        <f t="shared" si="21"/>
        <v>7530</v>
      </c>
      <c r="AR65" s="173">
        <f t="shared" si="22"/>
        <v>629438</v>
      </c>
      <c r="AS65" s="186" t="s">
        <v>1345</v>
      </c>
      <c r="AT65" s="300">
        <f t="shared" si="91"/>
        <v>1.25</v>
      </c>
      <c r="AU65" s="300">
        <f t="shared" si="91"/>
        <v>1.25</v>
      </c>
      <c r="AV65" s="300">
        <f t="shared" si="91"/>
        <v>1.25</v>
      </c>
      <c r="AW65" s="300">
        <f t="shared" si="91"/>
        <v>1.25</v>
      </c>
      <c r="AX65" s="300">
        <f t="shared" si="91"/>
        <v>1.25</v>
      </c>
      <c r="AY65" s="301">
        <f t="shared" si="89"/>
        <v>1.25</v>
      </c>
      <c r="AZ65" s="301">
        <f t="shared" si="89"/>
        <v>1.25</v>
      </c>
      <c r="BA65" s="301">
        <f t="shared" si="89"/>
        <v>1.25</v>
      </c>
      <c r="BB65" s="301">
        <f t="shared" si="89"/>
        <v>1.25</v>
      </c>
      <c r="BC65" s="301">
        <f t="shared" si="89"/>
        <v>1.25</v>
      </c>
      <c r="BD65" s="187">
        <f>ROUND(IF(OR(M65=0,AT65="DATO NO DISPONIBLE"),"",AT65*M65*($BD$7+1)),0)</f>
        <v>134</v>
      </c>
      <c r="BE65" s="187">
        <f t="shared" si="64"/>
        <v>134</v>
      </c>
      <c r="BF65" s="187">
        <f t="shared" si="65"/>
        <v>134</v>
      </c>
      <c r="BG65" s="187">
        <f t="shared" si="80"/>
        <v>134</v>
      </c>
      <c r="BH65" s="187">
        <f t="shared" si="81"/>
        <v>134</v>
      </c>
      <c r="BI65" s="187">
        <f>ROUND(IF(OR(M65=0,AY65="DATO NO DISPONIBLE"),0,AY65*M65*($BD$7+1)),0)</f>
        <v>134</v>
      </c>
      <c r="BJ65" s="187">
        <f t="shared" si="48"/>
        <v>134</v>
      </c>
      <c r="BK65" s="187">
        <f t="shared" si="49"/>
        <v>134</v>
      </c>
      <c r="BL65" s="187">
        <f t="shared" si="82"/>
        <v>134</v>
      </c>
      <c r="BM65" s="187">
        <f t="shared" si="83"/>
        <v>134</v>
      </c>
      <c r="BN65" s="188">
        <f>BD65*AM65</f>
        <v>21885952</v>
      </c>
      <c r="BO65" s="188">
        <f t="shared" si="50"/>
        <v>29200878</v>
      </c>
      <c r="BP65" s="188">
        <f t="shared" si="51"/>
        <v>31232854</v>
      </c>
      <c r="BQ65" s="188">
        <f t="shared" si="52"/>
        <v>1015988</v>
      </c>
      <c r="BR65" s="188">
        <f t="shared" si="53"/>
        <v>1009020</v>
      </c>
      <c r="BS65" s="188">
        <f t="shared" si="40"/>
        <v>84344692</v>
      </c>
      <c r="BT65" s="188">
        <f t="shared" si="41"/>
        <v>21885952</v>
      </c>
      <c r="BU65" s="188">
        <f t="shared" si="42"/>
        <v>29200878</v>
      </c>
      <c r="BV65" s="188">
        <f t="shared" si="43"/>
        <v>31232854</v>
      </c>
      <c r="BW65" s="188">
        <f t="shared" si="44"/>
        <v>1015988</v>
      </c>
      <c r="BX65" s="188">
        <f t="shared" si="45"/>
        <v>1009020</v>
      </c>
      <c r="BY65" s="188">
        <f t="shared" si="46"/>
        <v>84344692</v>
      </c>
      <c r="BZ65" s="305">
        <f>IF(COT_PRECALCULOS!$D$24="Precios Iva Incluído",BI65,BD65)</f>
        <v>134</v>
      </c>
      <c r="CA65" s="305">
        <f>IF(COT_PRECALCULOS!$D$24="Precios Iva Incluído",BJ65,BE65)</f>
        <v>134</v>
      </c>
      <c r="CB65" s="305">
        <f>IF(COT_PRECALCULOS!$D$24="Precios Iva Incluído",BK65,BF65)</f>
        <v>134</v>
      </c>
      <c r="CC65" s="305">
        <f>IF(COT_PRECALCULOS!$D$24="Precios Iva Incluído",BL65,BG65)</f>
        <v>134</v>
      </c>
      <c r="CD65" s="305">
        <f>IF(COT_PRECALCULOS!$D$24="Precios Iva Incluído",BM65,BH65)</f>
        <v>134</v>
      </c>
      <c r="CE65" s="305">
        <f>IF(COT_PRECALCULOS!$D$24="Precios Iva Incluído",BT65,BN65)</f>
        <v>21885952</v>
      </c>
      <c r="CF65" s="305">
        <f>IF(COT_PRECALCULOS!$D$24="Precios Iva Incluído",BU65,BO65)</f>
        <v>29200878</v>
      </c>
      <c r="CG65" s="305">
        <f>IF(COT_PRECALCULOS!$D$24="Precios Iva Incluído",BV65,BP65)</f>
        <v>31232854</v>
      </c>
      <c r="CH65" s="305">
        <f>IF(COT_PRECALCULOS!$D$24="Precios Iva Incluído",BW65,BQ65)</f>
        <v>1015988</v>
      </c>
      <c r="CI65" s="305">
        <f>IF(COT_PRECALCULOS!$D$24="Precios Iva Incluído",BX65,BR65)</f>
        <v>1009020</v>
      </c>
    </row>
    <row r="66" spans="1:87">
      <c r="A66" s="182" t="s">
        <v>101</v>
      </c>
      <c r="B66" s="182" t="s">
        <v>98</v>
      </c>
      <c r="C66" s="189" t="str">
        <f t="shared" si="0"/>
        <v>F_PE6</v>
      </c>
      <c r="D66" s="189" t="str">
        <f t="shared" si="1"/>
        <v>7_P_</v>
      </c>
      <c r="E66" s="190" t="s">
        <v>1</v>
      </c>
      <c r="F66" s="190" t="s">
        <v>1</v>
      </c>
      <c r="G66" s="189" t="s">
        <v>19</v>
      </c>
      <c r="H66" s="190"/>
      <c r="I66" s="190" t="s">
        <v>56</v>
      </c>
      <c r="J66" s="190">
        <v>7</v>
      </c>
      <c r="K66" s="190" t="s">
        <v>57</v>
      </c>
      <c r="L66" s="189" t="s">
        <v>9</v>
      </c>
      <c r="M66" s="211">
        <v>100</v>
      </c>
      <c r="N66" s="211">
        <v>100</v>
      </c>
      <c r="O66" s="211">
        <v>100</v>
      </c>
      <c r="P66" s="211">
        <v>100</v>
      </c>
      <c r="Q66" s="211">
        <v>100</v>
      </c>
      <c r="R66" s="190"/>
      <c r="S66" s="388">
        <v>6</v>
      </c>
      <c r="T66" s="388">
        <f>$S66</f>
        <v>6</v>
      </c>
      <c r="U66" s="388">
        <v>0</v>
      </c>
      <c r="V66" s="388">
        <v>0</v>
      </c>
      <c r="W66" s="388">
        <v>0</v>
      </c>
      <c r="X66" s="388">
        <v>0</v>
      </c>
      <c r="Y66" s="184">
        <f t="shared" si="5"/>
        <v>163328</v>
      </c>
      <c r="Z66" s="184">
        <v>0</v>
      </c>
      <c r="AA66" s="184">
        <v>0</v>
      </c>
      <c r="AB66" s="184">
        <v>0</v>
      </c>
      <c r="AC66" s="184">
        <v>0</v>
      </c>
      <c r="AD66" s="184">
        <f t="shared" si="10"/>
        <v>163328</v>
      </c>
      <c r="AE66" s="183">
        <f t="shared" si="86"/>
        <v>0</v>
      </c>
      <c r="AF66" s="385">
        <f t="shared" si="84"/>
        <v>0</v>
      </c>
      <c r="AG66" s="385">
        <f t="shared" si="84"/>
        <v>0</v>
      </c>
      <c r="AH66" s="385">
        <f t="shared" si="84"/>
        <v>0</v>
      </c>
      <c r="AI66" s="185">
        <f t="shared" si="13"/>
        <v>0</v>
      </c>
      <c r="AJ66" s="185">
        <f t="shared" si="78"/>
        <v>0</v>
      </c>
      <c r="AK66" s="185">
        <f t="shared" si="79"/>
        <v>0</v>
      </c>
      <c r="AL66" s="185">
        <f t="shared" si="16"/>
        <v>0</v>
      </c>
      <c r="AM66" s="173">
        <f>($S66*Y66)+($AE66*AI66)</f>
        <v>979968</v>
      </c>
      <c r="AN66" s="173">
        <f t="shared" si="61"/>
        <v>0</v>
      </c>
      <c r="AO66" s="173">
        <f t="shared" si="62"/>
        <v>0</v>
      </c>
      <c r="AP66" s="173">
        <f t="shared" si="20"/>
        <v>0</v>
      </c>
      <c r="AQ66" s="173">
        <f t="shared" si="21"/>
        <v>0</v>
      </c>
      <c r="AR66" s="173">
        <f t="shared" si="22"/>
        <v>979968</v>
      </c>
      <c r="AS66" s="186" t="s">
        <v>1345</v>
      </c>
      <c r="AT66" s="300">
        <f t="shared" si="91"/>
        <v>1</v>
      </c>
      <c r="AU66" s="300">
        <f t="shared" si="91"/>
        <v>1</v>
      </c>
      <c r="AV66" s="300">
        <f t="shared" si="91"/>
        <v>1</v>
      </c>
      <c r="AW66" s="300">
        <f t="shared" si="91"/>
        <v>1</v>
      </c>
      <c r="AX66" s="300">
        <f t="shared" si="91"/>
        <v>1</v>
      </c>
      <c r="AY66" s="301">
        <f t="shared" si="89"/>
        <v>1</v>
      </c>
      <c r="AZ66" s="301">
        <f t="shared" si="89"/>
        <v>1</v>
      </c>
      <c r="BA66" s="301">
        <f t="shared" si="89"/>
        <v>1</v>
      </c>
      <c r="BB66" s="301">
        <f t="shared" si="89"/>
        <v>1</v>
      </c>
      <c r="BC66" s="301">
        <f t="shared" si="89"/>
        <v>1</v>
      </c>
      <c r="BD66" s="187">
        <f>ROUND(IF(OR(M66=0,AT66="DATO NO DISPONIBLE"),"",AT66*M66*($BD$7+1)),0)</f>
        <v>107</v>
      </c>
      <c r="BE66" s="187">
        <f t="shared" si="64"/>
        <v>107</v>
      </c>
      <c r="BF66" s="187">
        <f t="shared" si="65"/>
        <v>107</v>
      </c>
      <c r="BG66" s="187">
        <f t="shared" si="80"/>
        <v>107</v>
      </c>
      <c r="BH66" s="187">
        <f t="shared" si="81"/>
        <v>107</v>
      </c>
      <c r="BI66" s="187">
        <f>ROUND(IF(OR(M66=0,AY66="DATO NO DISPONIBLE"),0,AY66*M66*($BD$7+1)),0)</f>
        <v>107</v>
      </c>
      <c r="BJ66" s="187">
        <f t="shared" si="48"/>
        <v>107</v>
      </c>
      <c r="BK66" s="187">
        <f t="shared" si="49"/>
        <v>107</v>
      </c>
      <c r="BL66" s="187">
        <f t="shared" si="82"/>
        <v>107</v>
      </c>
      <c r="BM66" s="187">
        <f t="shared" si="83"/>
        <v>107</v>
      </c>
      <c r="BN66" s="188">
        <f>BD66*AM66</f>
        <v>104856576</v>
      </c>
      <c r="BO66" s="188">
        <f t="shared" si="50"/>
        <v>0</v>
      </c>
      <c r="BP66" s="188">
        <f t="shared" si="51"/>
        <v>0</v>
      </c>
      <c r="BQ66" s="188">
        <f t="shared" si="52"/>
        <v>0</v>
      </c>
      <c r="BR66" s="188">
        <f t="shared" si="53"/>
        <v>0</v>
      </c>
      <c r="BS66" s="188">
        <f t="shared" si="40"/>
        <v>104856576</v>
      </c>
      <c r="BT66" s="188">
        <f t="shared" si="41"/>
        <v>104856576</v>
      </c>
      <c r="BU66" s="188">
        <f t="shared" si="42"/>
        <v>0</v>
      </c>
      <c r="BV66" s="188">
        <f t="shared" si="43"/>
        <v>0</v>
      </c>
      <c r="BW66" s="188">
        <f t="shared" si="44"/>
        <v>0</v>
      </c>
      <c r="BX66" s="188">
        <f t="shared" si="45"/>
        <v>0</v>
      </c>
      <c r="BY66" s="188">
        <f t="shared" si="46"/>
        <v>104856576</v>
      </c>
      <c r="BZ66" s="305">
        <f>IF(COT_PRECALCULOS!$D$24="Precios Iva Incluído",BI66,BD66)</f>
        <v>107</v>
      </c>
      <c r="CA66" s="305">
        <f>IF(COT_PRECALCULOS!$D$24="Precios Iva Incluído",BJ66,BE66)</f>
        <v>107</v>
      </c>
      <c r="CB66" s="305">
        <f>IF(COT_PRECALCULOS!$D$24="Precios Iva Incluído",BK66,BF66)</f>
        <v>107</v>
      </c>
      <c r="CC66" s="305">
        <f>IF(COT_PRECALCULOS!$D$24="Precios Iva Incluído",BL66,BG66)</f>
        <v>107</v>
      </c>
      <c r="CD66" s="305">
        <f>IF(COT_PRECALCULOS!$D$24="Precios Iva Incluído",BM66,BH66)</f>
        <v>107</v>
      </c>
      <c r="CE66" s="305">
        <f>IF(COT_PRECALCULOS!$D$24="Precios Iva Incluído",BT66,BN66)</f>
        <v>104856576</v>
      </c>
      <c r="CF66" s="305">
        <f>IF(COT_PRECALCULOS!$D$24="Precios Iva Incluído",BU66,BO66)</f>
        <v>0</v>
      </c>
      <c r="CG66" s="305">
        <f>IF(COT_PRECALCULOS!$D$24="Precios Iva Incluído",BV66,BP66)</f>
        <v>0</v>
      </c>
      <c r="CH66" s="305">
        <f>IF(COT_PRECALCULOS!$D$24="Precios Iva Incluído",BW66,BQ66)</f>
        <v>0</v>
      </c>
      <c r="CI66" s="305">
        <f>IF(COT_PRECALCULOS!$D$24="Precios Iva Incluído",BX66,BR66)</f>
        <v>0</v>
      </c>
    </row>
    <row r="67" spans="1:87">
      <c r="A67" s="182" t="s">
        <v>101</v>
      </c>
      <c r="B67" s="182" t="s">
        <v>98</v>
      </c>
      <c r="C67" s="189" t="str">
        <f t="shared" si="0"/>
        <v>F_PE6</v>
      </c>
      <c r="D67" s="189" t="str">
        <f t="shared" si="1"/>
        <v>17_P_</v>
      </c>
      <c r="E67" s="190" t="s">
        <v>1</v>
      </c>
      <c r="F67" s="190" t="s">
        <v>1</v>
      </c>
      <c r="G67" s="189" t="s">
        <v>19</v>
      </c>
      <c r="H67" s="190"/>
      <c r="I67" s="190" t="s">
        <v>52</v>
      </c>
      <c r="J67" s="190">
        <v>17</v>
      </c>
      <c r="K67" s="190" t="s">
        <v>53</v>
      </c>
      <c r="L67" s="189" t="s">
        <v>9</v>
      </c>
      <c r="M67" s="386">
        <v>0</v>
      </c>
      <c r="N67" s="211">
        <v>100</v>
      </c>
      <c r="O67" s="211">
        <v>100</v>
      </c>
      <c r="P67" s="211">
        <v>100</v>
      </c>
      <c r="Q67" s="211">
        <v>100</v>
      </c>
      <c r="R67" s="190" t="s">
        <v>73</v>
      </c>
      <c r="S67" s="183">
        <f t="shared" ref="S67:S81" si="93">COUNTIF(CAL_PRIMERA_ENTREGA_FRUTA,CONCATENATE(G67,"_",J67))</f>
        <v>1</v>
      </c>
      <c r="T67" s="386">
        <v>0</v>
      </c>
      <c r="U67" s="385">
        <f t="shared" ref="U67:X81" si="94">$S67</f>
        <v>1</v>
      </c>
      <c r="V67" s="385">
        <f t="shared" si="94"/>
        <v>1</v>
      </c>
      <c r="W67" s="385">
        <f t="shared" si="94"/>
        <v>1</v>
      </c>
      <c r="X67" s="385">
        <f t="shared" si="94"/>
        <v>1</v>
      </c>
      <c r="Y67" s="184">
        <f t="shared" si="5"/>
        <v>0</v>
      </c>
      <c r="Z67" s="184">
        <f t="shared" ref="Z67:Z81" si="95">IF(N67&lt;&gt;0,VLOOKUP(A67,FRE_CANTIDADES_DIARIAS_SUMINISTROS,5,FALSE),0)</f>
        <v>217917</v>
      </c>
      <c r="AA67" s="184">
        <f t="shared" ref="AA67:AA81" si="96">IF(O67&lt;&gt;0,VLOOKUP(A67,FRE_CANTIDADES_DIARIAS_SUMINISTROS,6,FALSE),0)</f>
        <v>233081</v>
      </c>
      <c r="AB67" s="184">
        <f t="shared" ref="AB67:AB81" si="97">IF(P67&lt;&gt;0,VLOOKUP(A67,FRE_CANTIDADES_DIARIAS_SUMINISTROS,7,FALSE),0)</f>
        <v>7582</v>
      </c>
      <c r="AC67" s="184">
        <f t="shared" ref="AC67:AC81" si="98">IF(Q67&lt;&gt;0,VLOOKUP(A67,FRE_CANTIDADES_DIARIAS_SUMINISTROS,8,FALSE),0)</f>
        <v>7530</v>
      </c>
      <c r="AD67" s="184">
        <f t="shared" si="10"/>
        <v>466110</v>
      </c>
      <c r="AE67" s="183">
        <f t="shared" si="86"/>
        <v>0</v>
      </c>
      <c r="AF67" s="385">
        <f t="shared" si="84"/>
        <v>0</v>
      </c>
      <c r="AG67" s="385">
        <f t="shared" si="84"/>
        <v>0</v>
      </c>
      <c r="AH67" s="385">
        <f t="shared" si="84"/>
        <v>0</v>
      </c>
      <c r="AI67" s="185">
        <f t="shared" si="13"/>
        <v>0</v>
      </c>
      <c r="AJ67" s="185">
        <f t="shared" si="78"/>
        <v>0</v>
      </c>
      <c r="AK67" s="185">
        <f t="shared" si="79"/>
        <v>0</v>
      </c>
      <c r="AL67" s="185">
        <f t="shared" si="16"/>
        <v>0</v>
      </c>
      <c r="AM67" s="173">
        <v>0</v>
      </c>
      <c r="AN67" s="173">
        <f t="shared" si="61"/>
        <v>217917</v>
      </c>
      <c r="AO67" s="173">
        <f t="shared" si="62"/>
        <v>233081</v>
      </c>
      <c r="AP67" s="173">
        <f t="shared" si="20"/>
        <v>7582</v>
      </c>
      <c r="AQ67" s="173">
        <f t="shared" si="21"/>
        <v>7530</v>
      </c>
      <c r="AR67" s="173">
        <f t="shared" si="22"/>
        <v>466110</v>
      </c>
      <c r="AS67" s="186" t="s">
        <v>1345</v>
      </c>
      <c r="AT67" s="300">
        <f t="shared" si="91"/>
        <v>2.11</v>
      </c>
      <c r="AU67" s="300">
        <f t="shared" si="91"/>
        <v>2.11</v>
      </c>
      <c r="AV67" s="300">
        <f t="shared" si="91"/>
        <v>2.11</v>
      </c>
      <c r="AW67" s="300">
        <f t="shared" si="91"/>
        <v>2.11</v>
      </c>
      <c r="AX67" s="300">
        <f t="shared" si="91"/>
        <v>2.11</v>
      </c>
      <c r="AY67" s="301">
        <f t="shared" si="89"/>
        <v>2.11</v>
      </c>
      <c r="AZ67" s="301">
        <f t="shared" si="89"/>
        <v>2.11</v>
      </c>
      <c r="BA67" s="301">
        <f t="shared" si="89"/>
        <v>2.11</v>
      </c>
      <c r="BB67" s="301">
        <f t="shared" si="89"/>
        <v>2.11</v>
      </c>
      <c r="BC67" s="301">
        <f t="shared" si="89"/>
        <v>2.11</v>
      </c>
      <c r="BD67" s="187"/>
      <c r="BE67" s="187">
        <f t="shared" si="64"/>
        <v>226</v>
      </c>
      <c r="BF67" s="187">
        <f t="shared" si="65"/>
        <v>226</v>
      </c>
      <c r="BG67" s="187">
        <f t="shared" si="80"/>
        <v>226</v>
      </c>
      <c r="BH67" s="187">
        <f t="shared" si="81"/>
        <v>226</v>
      </c>
      <c r="BI67" s="187"/>
      <c r="BJ67" s="187">
        <f t="shared" si="48"/>
        <v>226</v>
      </c>
      <c r="BK67" s="187">
        <f t="shared" si="49"/>
        <v>226</v>
      </c>
      <c r="BL67" s="187">
        <f t="shared" si="82"/>
        <v>226</v>
      </c>
      <c r="BM67" s="187">
        <f t="shared" si="83"/>
        <v>226</v>
      </c>
      <c r="BN67" s="188"/>
      <c r="BO67" s="188">
        <f t="shared" si="50"/>
        <v>49249242</v>
      </c>
      <c r="BP67" s="188">
        <f t="shared" si="51"/>
        <v>52676306</v>
      </c>
      <c r="BQ67" s="188">
        <f t="shared" si="52"/>
        <v>1713532</v>
      </c>
      <c r="BR67" s="188">
        <f t="shared" si="53"/>
        <v>1701780</v>
      </c>
      <c r="BS67" s="188">
        <f t="shared" si="40"/>
        <v>105340860</v>
      </c>
      <c r="BT67" s="188">
        <f t="shared" si="41"/>
        <v>0</v>
      </c>
      <c r="BU67" s="188">
        <f t="shared" si="42"/>
        <v>49249242</v>
      </c>
      <c r="BV67" s="188">
        <f t="shared" si="43"/>
        <v>52676306</v>
      </c>
      <c r="BW67" s="188">
        <f t="shared" si="44"/>
        <v>1713532</v>
      </c>
      <c r="BX67" s="188">
        <f t="shared" si="45"/>
        <v>1701780</v>
      </c>
      <c r="BY67" s="188">
        <f t="shared" si="46"/>
        <v>105340860</v>
      </c>
      <c r="BZ67" s="305">
        <f>IF(COT_PRECALCULOS!$D$24="Precios Iva Incluído",BI67,BD67)</f>
        <v>0</v>
      </c>
      <c r="CA67" s="305">
        <f>IF(COT_PRECALCULOS!$D$24="Precios Iva Incluído",BJ67,BE67)</f>
        <v>226</v>
      </c>
      <c r="CB67" s="305">
        <f>IF(COT_PRECALCULOS!$D$24="Precios Iva Incluído",BK67,BF67)</f>
        <v>226</v>
      </c>
      <c r="CC67" s="305">
        <f>IF(COT_PRECALCULOS!$D$24="Precios Iva Incluído",BL67,BG67)</f>
        <v>226</v>
      </c>
      <c r="CD67" s="305">
        <f>IF(COT_PRECALCULOS!$D$24="Precios Iva Incluído",BM67,BH67)</f>
        <v>226</v>
      </c>
      <c r="CE67" s="305">
        <f>IF(COT_PRECALCULOS!$D$24="Precios Iva Incluído",BT67,BN67)</f>
        <v>0</v>
      </c>
      <c r="CF67" s="305">
        <f>IF(COT_PRECALCULOS!$D$24="Precios Iva Incluído",BU67,BO67)</f>
        <v>49249242</v>
      </c>
      <c r="CG67" s="305">
        <f>IF(COT_PRECALCULOS!$D$24="Precios Iva Incluído",BV67,BP67)</f>
        <v>52676306</v>
      </c>
      <c r="CH67" s="305">
        <f>IF(COT_PRECALCULOS!$D$24="Precios Iva Incluído",BW67,BQ67)</f>
        <v>1713532</v>
      </c>
      <c r="CI67" s="305">
        <f>IF(COT_PRECALCULOS!$D$24="Precios Iva Incluído",BX67,BR67)</f>
        <v>1701780</v>
      </c>
    </row>
    <row r="68" spans="1:87">
      <c r="A68" s="182" t="s">
        <v>101</v>
      </c>
      <c r="B68" s="182" t="s">
        <v>98</v>
      </c>
      <c r="C68" s="189" t="str">
        <f t="shared" si="0"/>
        <v>F_PE6</v>
      </c>
      <c r="D68" s="189" t="str">
        <f t="shared" si="1"/>
        <v>22_P_</v>
      </c>
      <c r="E68" s="190" t="s">
        <v>1</v>
      </c>
      <c r="F68" s="190" t="s">
        <v>1</v>
      </c>
      <c r="G68" s="189" t="s">
        <v>19</v>
      </c>
      <c r="H68" s="190"/>
      <c r="I68" s="190" t="s">
        <v>50</v>
      </c>
      <c r="J68" s="190">
        <v>22</v>
      </c>
      <c r="K68" s="190" t="s">
        <v>51</v>
      </c>
      <c r="L68" s="189" t="s">
        <v>9</v>
      </c>
      <c r="M68" s="191">
        <v>0</v>
      </c>
      <c r="N68" s="211">
        <v>100</v>
      </c>
      <c r="O68" s="211">
        <v>100</v>
      </c>
      <c r="P68" s="211">
        <v>100</v>
      </c>
      <c r="Q68" s="211">
        <v>100</v>
      </c>
      <c r="R68" s="211" t="s">
        <v>73</v>
      </c>
      <c r="S68" s="183">
        <f t="shared" si="93"/>
        <v>2</v>
      </c>
      <c r="T68" s="386">
        <v>0</v>
      </c>
      <c r="U68" s="385">
        <f t="shared" si="94"/>
        <v>2</v>
      </c>
      <c r="V68" s="385">
        <f t="shared" si="94"/>
        <v>2</v>
      </c>
      <c r="W68" s="385">
        <f t="shared" si="94"/>
        <v>2</v>
      </c>
      <c r="X68" s="385">
        <f t="shared" si="94"/>
        <v>2</v>
      </c>
      <c r="Y68" s="184">
        <f t="shared" si="5"/>
        <v>0</v>
      </c>
      <c r="Z68" s="184">
        <f t="shared" si="95"/>
        <v>217917</v>
      </c>
      <c r="AA68" s="184">
        <f t="shared" si="96"/>
        <v>233081</v>
      </c>
      <c r="AB68" s="184">
        <f t="shared" si="97"/>
        <v>7582</v>
      </c>
      <c r="AC68" s="184">
        <f t="shared" si="98"/>
        <v>7530</v>
      </c>
      <c r="AD68" s="184">
        <f t="shared" si="10"/>
        <v>466110</v>
      </c>
      <c r="AE68" s="183">
        <f t="shared" si="86"/>
        <v>0</v>
      </c>
      <c r="AF68" s="385">
        <f t="shared" ref="AF68:AH87" si="99">$AE68</f>
        <v>0</v>
      </c>
      <c r="AG68" s="385">
        <f t="shared" si="99"/>
        <v>0</v>
      </c>
      <c r="AH68" s="385">
        <f t="shared" si="99"/>
        <v>0</v>
      </c>
      <c r="AI68" s="185">
        <f t="shared" si="13"/>
        <v>0</v>
      </c>
      <c r="AJ68" s="185">
        <f t="shared" si="78"/>
        <v>0</v>
      </c>
      <c r="AK68" s="185">
        <f t="shared" si="79"/>
        <v>0</v>
      </c>
      <c r="AL68" s="185">
        <f t="shared" si="16"/>
        <v>0</v>
      </c>
      <c r="AM68" s="173">
        <v>0</v>
      </c>
      <c r="AN68" s="173">
        <f t="shared" si="61"/>
        <v>435834</v>
      </c>
      <c r="AO68" s="173">
        <f t="shared" si="62"/>
        <v>466162</v>
      </c>
      <c r="AP68" s="173">
        <f t="shared" si="20"/>
        <v>15164</v>
      </c>
      <c r="AQ68" s="173">
        <f t="shared" si="21"/>
        <v>15060</v>
      </c>
      <c r="AR68" s="173">
        <f t="shared" si="22"/>
        <v>932220</v>
      </c>
      <c r="AS68" s="186" t="s">
        <v>1345</v>
      </c>
      <c r="AT68" s="300">
        <f t="shared" si="91"/>
        <v>4.9124999999999996</v>
      </c>
      <c r="AU68" s="300">
        <f t="shared" si="91"/>
        <v>4.9124999999999996</v>
      </c>
      <c r="AV68" s="300">
        <f t="shared" si="91"/>
        <v>4.9124999999999996</v>
      </c>
      <c r="AW68" s="300">
        <f t="shared" si="91"/>
        <v>4.9124999999999996</v>
      </c>
      <c r="AX68" s="300">
        <f t="shared" si="91"/>
        <v>4.9124999999999996</v>
      </c>
      <c r="AY68" s="301">
        <f t="shared" ref="AY68:BC77" si="100">IF(ISERROR(MATCH(CONCATENATE($J68,"_",AY$1),COT_PRE_CODIGO_ALIMENTOS,0)),IF(ISERROR(MATCH(CONCATENATE($J68,"_",AY$2),COT_PRE_CODIGO_ALIMENTOS,0)),IF(ISERROR(MATCH(CONCATENATE($J68,"_",AY$3),COT_PRE_CODIGO_ALIMENTOS,0)),IF(ISERROR(MATCH(CONCATENATE($J68,"_",AY$4),COT_PRE_CODIGO_ALIMENTOS,0)),IF(ISERROR(MATCH(CONCATENATE($J68,"_",AY$5),COT_PRE_CODIGO_ALIMENTOS,0)),IF(ISERROR(MATCH(CONCATENATE($J68,"_",AY$6),COT_PRE_CODIGO_ALIMENTOS,0)),IF(ISERROR(MATCH(CONCATENATE($J68,"_",AY$7),COT_PRE_CODIGO_ALIMENTOS,0)),IF(ISERROR(VLOOKUP($J68,COT_PRE_ALIMENTOS,AY$8,FALSE)),"DATO NO DISPONIBLE",VLOOKUP($J68,COT_PRE_ALIMENTOS,AY$8,FALSE)),VLOOKUP(CONCATENATE($J68,"_",AY$7),COT_PRE_ALIMENTOS,AY$8,FALSE)),VLOOKUP(CONCATENATE($J68,"_",AY$6),COT_PRE_ALIMENTOS,AY$8,FALSE)),VLOOKUP(CONCATENATE($J68,"_",AY$5),COT_PRE_ALIMENTOS,AY$8,FALSE)),VLOOKUP(CONCATENATE($J68,"_",AY$4),COT_PRE_ALIMENTOS,AY$8,FALSE)),VLOOKUP(CONCATENATE($J68,"_",AY$3),COT_PRE_ALIMENTOS,AY$8,FALSE)),VLOOKUP(CONCATENATE($J68,"_",AY$2),COT_PRE_ALIMENTOS,AY$8,FALSE)),VLOOKUP(CONCATENATE($J68,"_",AY$1),COT_PRE_ALIMENTOS,AY$8,FALSE))</f>
        <v>4.9124999999999996</v>
      </c>
      <c r="AZ68" s="301">
        <f t="shared" si="100"/>
        <v>4.9124999999999996</v>
      </c>
      <c r="BA68" s="301">
        <f t="shared" si="100"/>
        <v>4.9124999999999996</v>
      </c>
      <c r="BB68" s="301">
        <f t="shared" si="100"/>
        <v>4.9124999999999996</v>
      </c>
      <c r="BC68" s="301">
        <f t="shared" si="100"/>
        <v>4.9124999999999996</v>
      </c>
      <c r="BD68" s="187"/>
      <c r="BE68" s="187">
        <f t="shared" si="64"/>
        <v>525</v>
      </c>
      <c r="BF68" s="187">
        <f t="shared" si="65"/>
        <v>525</v>
      </c>
      <c r="BG68" s="187">
        <f t="shared" si="80"/>
        <v>525</v>
      </c>
      <c r="BH68" s="187">
        <f t="shared" si="81"/>
        <v>525</v>
      </c>
      <c r="BI68" s="187"/>
      <c r="BJ68" s="187">
        <f t="shared" si="48"/>
        <v>525</v>
      </c>
      <c r="BK68" s="187">
        <f t="shared" si="49"/>
        <v>525</v>
      </c>
      <c r="BL68" s="187">
        <f t="shared" si="82"/>
        <v>525</v>
      </c>
      <c r="BM68" s="187">
        <f t="shared" si="83"/>
        <v>525</v>
      </c>
      <c r="BN68" s="188"/>
      <c r="BO68" s="188">
        <f t="shared" si="50"/>
        <v>228812850</v>
      </c>
      <c r="BP68" s="188">
        <f t="shared" si="51"/>
        <v>244735050</v>
      </c>
      <c r="BQ68" s="188">
        <f t="shared" si="52"/>
        <v>7961100</v>
      </c>
      <c r="BR68" s="188">
        <f t="shared" si="53"/>
        <v>7906500</v>
      </c>
      <c r="BS68" s="188">
        <f t="shared" si="40"/>
        <v>489415500</v>
      </c>
      <c r="BT68" s="188">
        <f t="shared" si="41"/>
        <v>0</v>
      </c>
      <c r="BU68" s="188">
        <f t="shared" si="42"/>
        <v>228812850</v>
      </c>
      <c r="BV68" s="188">
        <f t="shared" si="43"/>
        <v>244735050</v>
      </c>
      <c r="BW68" s="188">
        <f t="shared" si="44"/>
        <v>7961100</v>
      </c>
      <c r="BX68" s="188">
        <f t="shared" si="45"/>
        <v>7906500</v>
      </c>
      <c r="BY68" s="188">
        <f t="shared" si="46"/>
        <v>489415500</v>
      </c>
      <c r="BZ68" s="305">
        <f>IF(COT_PRECALCULOS!$D$24="Precios Iva Incluído",BI68,BD68)</f>
        <v>0</v>
      </c>
      <c r="CA68" s="305">
        <f>IF(COT_PRECALCULOS!$D$24="Precios Iva Incluído",BJ68,BE68)</f>
        <v>525</v>
      </c>
      <c r="CB68" s="305">
        <f>IF(COT_PRECALCULOS!$D$24="Precios Iva Incluído",BK68,BF68)</f>
        <v>525</v>
      </c>
      <c r="CC68" s="305">
        <f>IF(COT_PRECALCULOS!$D$24="Precios Iva Incluído",BL68,BG68)</f>
        <v>525</v>
      </c>
      <c r="CD68" s="305">
        <f>IF(COT_PRECALCULOS!$D$24="Precios Iva Incluído",BM68,BH68)</f>
        <v>525</v>
      </c>
      <c r="CE68" s="305">
        <f>IF(COT_PRECALCULOS!$D$24="Precios Iva Incluído",BT68,BN68)</f>
        <v>0</v>
      </c>
      <c r="CF68" s="305">
        <f>IF(COT_PRECALCULOS!$D$24="Precios Iva Incluído",BU68,BO68)</f>
        <v>228812850</v>
      </c>
      <c r="CG68" s="305">
        <f>IF(COT_PRECALCULOS!$D$24="Precios Iva Incluído",BV68,BP68)</f>
        <v>244735050</v>
      </c>
      <c r="CH68" s="305">
        <f>IF(COT_PRECALCULOS!$D$24="Precios Iva Incluído",BW68,BQ68)</f>
        <v>7961100</v>
      </c>
      <c r="CI68" s="305">
        <f>IF(COT_PRECALCULOS!$D$24="Precios Iva Incluído",BX68,BR68)</f>
        <v>7906500</v>
      </c>
    </row>
    <row r="69" spans="1:87">
      <c r="A69" s="182" t="s">
        <v>101</v>
      </c>
      <c r="B69" s="182" t="s">
        <v>98</v>
      </c>
      <c r="C69" s="189" t="str">
        <f t="shared" si="0"/>
        <v>F_PE6</v>
      </c>
      <c r="D69" s="189" t="str">
        <f t="shared" si="1"/>
        <v>33_P_</v>
      </c>
      <c r="E69" s="190" t="s">
        <v>1</v>
      </c>
      <c r="F69" s="190" t="s">
        <v>1</v>
      </c>
      <c r="G69" s="189" t="s">
        <v>19</v>
      </c>
      <c r="H69" s="190"/>
      <c r="I69" s="190" t="s">
        <v>58</v>
      </c>
      <c r="J69" s="190">
        <v>33</v>
      </c>
      <c r="K69" s="190" t="s">
        <v>59</v>
      </c>
      <c r="L69" s="189" t="s">
        <v>48</v>
      </c>
      <c r="M69" s="310">
        <v>90</v>
      </c>
      <c r="N69" s="310">
        <v>90</v>
      </c>
      <c r="O69" s="310">
        <v>90</v>
      </c>
      <c r="P69" s="310">
        <v>90</v>
      </c>
      <c r="Q69" s="310">
        <v>90</v>
      </c>
      <c r="R69" s="190"/>
      <c r="S69" s="183">
        <f t="shared" si="93"/>
        <v>2</v>
      </c>
      <c r="T69" s="385">
        <f>$S69</f>
        <v>2</v>
      </c>
      <c r="U69" s="385">
        <f t="shared" si="94"/>
        <v>2</v>
      </c>
      <c r="V69" s="385">
        <f t="shared" si="94"/>
        <v>2</v>
      </c>
      <c r="W69" s="385">
        <f t="shared" si="94"/>
        <v>2</v>
      </c>
      <c r="X69" s="385">
        <f t="shared" si="94"/>
        <v>2</v>
      </c>
      <c r="Y69" s="184">
        <f t="shared" si="5"/>
        <v>163328</v>
      </c>
      <c r="Z69" s="184">
        <f t="shared" si="95"/>
        <v>217917</v>
      </c>
      <c r="AA69" s="184">
        <f t="shared" si="96"/>
        <v>233081</v>
      </c>
      <c r="AB69" s="184">
        <f t="shared" si="97"/>
        <v>7582</v>
      </c>
      <c r="AC69" s="184">
        <f t="shared" si="98"/>
        <v>7530</v>
      </c>
      <c r="AD69" s="184">
        <f t="shared" si="10"/>
        <v>629438</v>
      </c>
      <c r="AE69" s="183">
        <f t="shared" si="86"/>
        <v>0</v>
      </c>
      <c r="AF69" s="385">
        <f t="shared" si="99"/>
        <v>0</v>
      </c>
      <c r="AG69" s="385">
        <f t="shared" si="99"/>
        <v>0</v>
      </c>
      <c r="AH69" s="385">
        <f t="shared" si="99"/>
        <v>0</v>
      </c>
      <c r="AI69" s="185">
        <f t="shared" si="13"/>
        <v>0</v>
      </c>
      <c r="AJ69" s="185">
        <f t="shared" si="78"/>
        <v>0</v>
      </c>
      <c r="AK69" s="185">
        <f t="shared" si="79"/>
        <v>0</v>
      </c>
      <c r="AL69" s="185">
        <f t="shared" si="16"/>
        <v>0</v>
      </c>
      <c r="AM69" s="173">
        <f t="shared" ref="AM69:AM75" si="101">($S69*Y69)+($AE69*AI69)</f>
        <v>326656</v>
      </c>
      <c r="AN69" s="173">
        <f t="shared" si="61"/>
        <v>435834</v>
      </c>
      <c r="AO69" s="173">
        <f t="shared" si="62"/>
        <v>466162</v>
      </c>
      <c r="AP69" s="173">
        <f t="shared" si="20"/>
        <v>15164</v>
      </c>
      <c r="AQ69" s="173">
        <f t="shared" si="21"/>
        <v>15060</v>
      </c>
      <c r="AR69" s="173">
        <f t="shared" si="22"/>
        <v>1258876</v>
      </c>
      <c r="AS69" s="186" t="s">
        <v>1345</v>
      </c>
      <c r="AT69" s="300">
        <f t="shared" si="91"/>
        <v>2.8014999999999999</v>
      </c>
      <c r="AU69" s="300">
        <f t="shared" si="91"/>
        <v>2.8014999999999999</v>
      </c>
      <c r="AV69" s="300">
        <f t="shared" si="91"/>
        <v>2.8014999999999999</v>
      </c>
      <c r="AW69" s="300">
        <f t="shared" si="91"/>
        <v>2.8014999999999999</v>
      </c>
      <c r="AX69" s="300">
        <f t="shared" si="91"/>
        <v>2.8014999999999999</v>
      </c>
      <c r="AY69" s="301">
        <f t="shared" si="100"/>
        <v>2.8014999999999999</v>
      </c>
      <c r="AZ69" s="301">
        <f t="shared" si="100"/>
        <v>2.8014999999999999</v>
      </c>
      <c r="BA69" s="301">
        <f t="shared" si="100"/>
        <v>2.8014999999999999</v>
      </c>
      <c r="BB69" s="301">
        <f t="shared" si="100"/>
        <v>2.8014999999999999</v>
      </c>
      <c r="BC69" s="301">
        <f t="shared" si="100"/>
        <v>2.8014999999999999</v>
      </c>
      <c r="BD69" s="187">
        <f>ROUND(IF(OR(M69=0,AT69="DATO NO DISPONIBLE"),"",AT69*M69*($BD$7+1)),0)</f>
        <v>270</v>
      </c>
      <c r="BE69" s="187">
        <f t="shared" si="64"/>
        <v>270</v>
      </c>
      <c r="BF69" s="187">
        <f t="shared" si="65"/>
        <v>270</v>
      </c>
      <c r="BG69" s="187">
        <f t="shared" si="80"/>
        <v>270</v>
      </c>
      <c r="BH69" s="187">
        <f t="shared" si="81"/>
        <v>270</v>
      </c>
      <c r="BI69" s="187">
        <f>ROUND(IF(OR(M69=0,AY69="DATO NO DISPONIBLE"),0,AY69*M69*($BD$7+1)),0)</f>
        <v>270</v>
      </c>
      <c r="BJ69" s="187">
        <f t="shared" si="48"/>
        <v>270</v>
      </c>
      <c r="BK69" s="187">
        <f t="shared" si="49"/>
        <v>270</v>
      </c>
      <c r="BL69" s="187">
        <f t="shared" si="82"/>
        <v>270</v>
      </c>
      <c r="BM69" s="187">
        <f t="shared" si="83"/>
        <v>270</v>
      </c>
      <c r="BN69" s="188">
        <f>BD69*AM69</f>
        <v>88197120</v>
      </c>
      <c r="BO69" s="188">
        <f t="shared" si="50"/>
        <v>117675180</v>
      </c>
      <c r="BP69" s="188">
        <f t="shared" si="51"/>
        <v>125863740</v>
      </c>
      <c r="BQ69" s="188">
        <f t="shared" si="52"/>
        <v>4094280</v>
      </c>
      <c r="BR69" s="188">
        <f t="shared" si="53"/>
        <v>4066200</v>
      </c>
      <c r="BS69" s="188">
        <f t="shared" si="40"/>
        <v>339896520</v>
      </c>
      <c r="BT69" s="188">
        <f t="shared" si="41"/>
        <v>88197120</v>
      </c>
      <c r="BU69" s="188">
        <f t="shared" si="42"/>
        <v>117675180</v>
      </c>
      <c r="BV69" s="188">
        <f t="shared" si="43"/>
        <v>125863740</v>
      </c>
      <c r="BW69" s="188">
        <f t="shared" si="44"/>
        <v>4094280</v>
      </c>
      <c r="BX69" s="188">
        <f t="shared" si="45"/>
        <v>4066200</v>
      </c>
      <c r="BY69" s="188">
        <f t="shared" si="46"/>
        <v>339896520</v>
      </c>
      <c r="BZ69" s="305">
        <f>IF(COT_PRECALCULOS!$D$24="Precios Iva Incluído",BI69,BD69)</f>
        <v>270</v>
      </c>
      <c r="CA69" s="305">
        <f>IF(COT_PRECALCULOS!$D$24="Precios Iva Incluído",BJ69,BE69)</f>
        <v>270</v>
      </c>
      <c r="CB69" s="305">
        <f>IF(COT_PRECALCULOS!$D$24="Precios Iva Incluído",BK69,BF69)</f>
        <v>270</v>
      </c>
      <c r="CC69" s="305">
        <f>IF(COT_PRECALCULOS!$D$24="Precios Iva Incluído",BL69,BG69)</f>
        <v>270</v>
      </c>
      <c r="CD69" s="305">
        <f>IF(COT_PRECALCULOS!$D$24="Precios Iva Incluído",BM69,BH69)</f>
        <v>270</v>
      </c>
      <c r="CE69" s="305">
        <f>IF(COT_PRECALCULOS!$D$24="Precios Iva Incluído",BT69,BN69)</f>
        <v>88197120</v>
      </c>
      <c r="CF69" s="305">
        <f>IF(COT_PRECALCULOS!$D$24="Precios Iva Incluído",BU69,BO69)</f>
        <v>117675180</v>
      </c>
      <c r="CG69" s="305">
        <f>IF(COT_PRECALCULOS!$D$24="Precios Iva Incluído",BV69,BP69)</f>
        <v>125863740</v>
      </c>
      <c r="CH69" s="305">
        <f>IF(COT_PRECALCULOS!$D$24="Precios Iva Incluído",BW69,BQ69)</f>
        <v>4094280</v>
      </c>
      <c r="CI69" s="305">
        <f>IF(COT_PRECALCULOS!$D$24="Precios Iva Incluído",BX69,BR69)</f>
        <v>4066200</v>
      </c>
    </row>
    <row r="70" spans="1:87">
      <c r="A70" s="182" t="s">
        <v>101</v>
      </c>
      <c r="B70" s="182" t="s">
        <v>98</v>
      </c>
      <c r="C70" s="189" t="str">
        <f t="shared" si="0"/>
        <v>F_PE6</v>
      </c>
      <c r="D70" s="189" t="str">
        <f t="shared" si="1"/>
        <v>42_P_</v>
      </c>
      <c r="E70" s="190" t="s">
        <v>1</v>
      </c>
      <c r="F70" s="190" t="s">
        <v>1</v>
      </c>
      <c r="G70" s="189" t="s">
        <v>19</v>
      </c>
      <c r="H70" s="190"/>
      <c r="I70" s="190" t="s">
        <v>49</v>
      </c>
      <c r="J70" s="190">
        <v>42</v>
      </c>
      <c r="K70" s="190" t="s">
        <v>61</v>
      </c>
      <c r="L70" s="189" t="s">
        <v>9</v>
      </c>
      <c r="M70" s="211">
        <v>100</v>
      </c>
      <c r="N70" s="211">
        <v>100</v>
      </c>
      <c r="O70" s="211">
        <v>100</v>
      </c>
      <c r="P70" s="211">
        <v>100</v>
      </c>
      <c r="Q70" s="211">
        <v>100</v>
      </c>
      <c r="R70" s="190"/>
      <c r="S70" s="183">
        <f t="shared" si="93"/>
        <v>2</v>
      </c>
      <c r="T70" s="385">
        <f>$S70</f>
        <v>2</v>
      </c>
      <c r="U70" s="385">
        <f t="shared" si="94"/>
        <v>2</v>
      </c>
      <c r="V70" s="385">
        <f t="shared" si="94"/>
        <v>2</v>
      </c>
      <c r="W70" s="385">
        <f t="shared" si="94"/>
        <v>2</v>
      </c>
      <c r="X70" s="385">
        <f t="shared" si="94"/>
        <v>2</v>
      </c>
      <c r="Y70" s="184">
        <f t="shared" si="5"/>
        <v>163328</v>
      </c>
      <c r="Z70" s="184">
        <f t="shared" si="95"/>
        <v>217917</v>
      </c>
      <c r="AA70" s="184">
        <f t="shared" si="96"/>
        <v>233081</v>
      </c>
      <c r="AB70" s="184">
        <f t="shared" si="97"/>
        <v>7582</v>
      </c>
      <c r="AC70" s="184">
        <f t="shared" si="98"/>
        <v>7530</v>
      </c>
      <c r="AD70" s="184">
        <f t="shared" si="10"/>
        <v>629438</v>
      </c>
      <c r="AE70" s="183">
        <f t="shared" si="86"/>
        <v>0</v>
      </c>
      <c r="AF70" s="385">
        <f t="shared" si="99"/>
        <v>0</v>
      </c>
      <c r="AG70" s="385">
        <f t="shared" si="99"/>
        <v>0</v>
      </c>
      <c r="AH70" s="385">
        <f t="shared" si="99"/>
        <v>0</v>
      </c>
      <c r="AI70" s="185">
        <f t="shared" si="13"/>
        <v>0</v>
      </c>
      <c r="AJ70" s="185">
        <f t="shared" si="78"/>
        <v>0</v>
      </c>
      <c r="AK70" s="185">
        <f t="shared" si="79"/>
        <v>0</v>
      </c>
      <c r="AL70" s="185">
        <f t="shared" si="16"/>
        <v>0</v>
      </c>
      <c r="AM70" s="173">
        <f t="shared" si="101"/>
        <v>326656</v>
      </c>
      <c r="AN70" s="173">
        <f t="shared" si="61"/>
        <v>435834</v>
      </c>
      <c r="AO70" s="173">
        <f t="shared" si="62"/>
        <v>466162</v>
      </c>
      <c r="AP70" s="173">
        <f t="shared" si="20"/>
        <v>15164</v>
      </c>
      <c r="AQ70" s="173">
        <f t="shared" si="21"/>
        <v>15060</v>
      </c>
      <c r="AR70" s="173">
        <f t="shared" si="22"/>
        <v>1258876</v>
      </c>
      <c r="AS70" s="186" t="s">
        <v>1345</v>
      </c>
      <c r="AT70" s="300">
        <f t="shared" si="91"/>
        <v>1.8169999999999999</v>
      </c>
      <c r="AU70" s="300">
        <f t="shared" si="91"/>
        <v>1.8169999999999999</v>
      </c>
      <c r="AV70" s="300">
        <f t="shared" si="91"/>
        <v>1.8169999999999999</v>
      </c>
      <c r="AW70" s="300">
        <f t="shared" si="91"/>
        <v>1.8169999999999999</v>
      </c>
      <c r="AX70" s="300">
        <f t="shared" si="91"/>
        <v>1.8169999999999999</v>
      </c>
      <c r="AY70" s="301">
        <f t="shared" si="100"/>
        <v>1.8169999999999999</v>
      </c>
      <c r="AZ70" s="301">
        <f t="shared" si="100"/>
        <v>1.8169999999999999</v>
      </c>
      <c r="BA70" s="301">
        <f t="shared" si="100"/>
        <v>1.8169999999999999</v>
      </c>
      <c r="BB70" s="301">
        <f t="shared" si="100"/>
        <v>1.8169999999999999</v>
      </c>
      <c r="BC70" s="301">
        <f t="shared" si="100"/>
        <v>1.8169999999999999</v>
      </c>
      <c r="BD70" s="187">
        <f>ROUND(IF(OR(M70=0,AT70="DATO NO DISPONIBLE"),"",AT70*M70*($BD$7+1)),0)</f>
        <v>194</v>
      </c>
      <c r="BE70" s="187">
        <f t="shared" si="64"/>
        <v>194</v>
      </c>
      <c r="BF70" s="187">
        <f t="shared" si="65"/>
        <v>194</v>
      </c>
      <c r="BG70" s="187">
        <f t="shared" si="80"/>
        <v>194</v>
      </c>
      <c r="BH70" s="187">
        <f t="shared" si="81"/>
        <v>194</v>
      </c>
      <c r="BI70" s="187">
        <f>ROUND(IF(OR(M70=0,AY70="DATO NO DISPONIBLE"),0,AY70*M70*($BD$7+1)),0)</f>
        <v>194</v>
      </c>
      <c r="BJ70" s="187">
        <f t="shared" si="48"/>
        <v>194</v>
      </c>
      <c r="BK70" s="187">
        <f t="shared" si="49"/>
        <v>194</v>
      </c>
      <c r="BL70" s="187">
        <f t="shared" si="82"/>
        <v>194</v>
      </c>
      <c r="BM70" s="187">
        <f t="shared" si="83"/>
        <v>194</v>
      </c>
      <c r="BN70" s="188">
        <f>BD70*AM70</f>
        <v>63371264</v>
      </c>
      <c r="BO70" s="188">
        <f t="shared" si="50"/>
        <v>84551796</v>
      </c>
      <c r="BP70" s="188">
        <f t="shared" si="51"/>
        <v>90435428</v>
      </c>
      <c r="BQ70" s="188">
        <f t="shared" si="52"/>
        <v>2941816</v>
      </c>
      <c r="BR70" s="188">
        <f t="shared" si="53"/>
        <v>2921640</v>
      </c>
      <c r="BS70" s="188">
        <f t="shared" si="40"/>
        <v>244221944</v>
      </c>
      <c r="BT70" s="188">
        <f t="shared" si="41"/>
        <v>63371264</v>
      </c>
      <c r="BU70" s="188">
        <f t="shared" si="42"/>
        <v>84551796</v>
      </c>
      <c r="BV70" s="188">
        <f t="shared" si="43"/>
        <v>90435428</v>
      </c>
      <c r="BW70" s="188">
        <f t="shared" si="44"/>
        <v>2941816</v>
      </c>
      <c r="BX70" s="188">
        <f t="shared" si="45"/>
        <v>2921640</v>
      </c>
      <c r="BY70" s="188">
        <f t="shared" si="46"/>
        <v>244221944</v>
      </c>
      <c r="BZ70" s="305">
        <f>IF(COT_PRECALCULOS!$D$24="Precios Iva Incluído",BI70,BD70)</f>
        <v>194</v>
      </c>
      <c r="CA70" s="305">
        <f>IF(COT_PRECALCULOS!$D$24="Precios Iva Incluído",BJ70,BE70)</f>
        <v>194</v>
      </c>
      <c r="CB70" s="305">
        <f>IF(COT_PRECALCULOS!$D$24="Precios Iva Incluído",BK70,BF70)</f>
        <v>194</v>
      </c>
      <c r="CC70" s="305">
        <f>IF(COT_PRECALCULOS!$D$24="Precios Iva Incluído",BL70,BG70)</f>
        <v>194</v>
      </c>
      <c r="CD70" s="305">
        <f>IF(COT_PRECALCULOS!$D$24="Precios Iva Incluído",BM70,BH70)</f>
        <v>194</v>
      </c>
      <c r="CE70" s="305">
        <f>IF(COT_PRECALCULOS!$D$24="Precios Iva Incluído",BT70,BN70)</f>
        <v>63371264</v>
      </c>
      <c r="CF70" s="305">
        <f>IF(COT_PRECALCULOS!$D$24="Precios Iva Incluído",BU70,BO70)</f>
        <v>84551796</v>
      </c>
      <c r="CG70" s="305">
        <f>IF(COT_PRECALCULOS!$D$24="Precios Iva Incluído",BV70,BP70)</f>
        <v>90435428</v>
      </c>
      <c r="CH70" s="305">
        <f>IF(COT_PRECALCULOS!$D$24="Precios Iva Incluído",BW70,BQ70)</f>
        <v>2941816</v>
      </c>
      <c r="CI70" s="305">
        <f>IF(COT_PRECALCULOS!$D$24="Precios Iva Incluído",BX70,BR70)</f>
        <v>2921640</v>
      </c>
    </row>
    <row r="71" spans="1:87">
      <c r="A71" s="182" t="s">
        <v>101</v>
      </c>
      <c r="B71" s="182" t="s">
        <v>98</v>
      </c>
      <c r="C71" s="189" t="str">
        <f t="shared" si="0"/>
        <v>F_PE6</v>
      </c>
      <c r="D71" s="189" t="str">
        <f t="shared" si="1"/>
        <v>43_P_</v>
      </c>
      <c r="E71" s="190" t="s">
        <v>1</v>
      </c>
      <c r="F71" s="190" t="s">
        <v>1</v>
      </c>
      <c r="G71" s="189" t="s">
        <v>19</v>
      </c>
      <c r="H71" s="190"/>
      <c r="I71" s="190" t="s">
        <v>60</v>
      </c>
      <c r="J71" s="190">
        <v>43</v>
      </c>
      <c r="K71" s="190" t="s">
        <v>62</v>
      </c>
      <c r="L71" s="189" t="s">
        <v>9</v>
      </c>
      <c r="M71" s="190">
        <v>100</v>
      </c>
      <c r="N71" s="190">
        <v>100</v>
      </c>
      <c r="O71" s="190">
        <v>100</v>
      </c>
      <c r="P71" s="190">
        <v>100</v>
      </c>
      <c r="Q71" s="190">
        <v>100</v>
      </c>
      <c r="R71" s="190"/>
      <c r="S71" s="183">
        <f t="shared" si="93"/>
        <v>1</v>
      </c>
      <c r="T71" s="385">
        <f>$S71</f>
        <v>1</v>
      </c>
      <c r="U71" s="385">
        <f t="shared" si="94"/>
        <v>1</v>
      </c>
      <c r="V71" s="385">
        <f t="shared" si="94"/>
        <v>1</v>
      </c>
      <c r="W71" s="385">
        <f t="shared" si="94"/>
        <v>1</v>
      </c>
      <c r="X71" s="385">
        <f t="shared" si="94"/>
        <v>1</v>
      </c>
      <c r="Y71" s="184">
        <f t="shared" si="5"/>
        <v>163328</v>
      </c>
      <c r="Z71" s="184">
        <f t="shared" si="95"/>
        <v>217917</v>
      </c>
      <c r="AA71" s="184">
        <f t="shared" si="96"/>
        <v>233081</v>
      </c>
      <c r="AB71" s="184">
        <f t="shared" si="97"/>
        <v>7582</v>
      </c>
      <c r="AC71" s="184">
        <f t="shared" si="98"/>
        <v>7530</v>
      </c>
      <c r="AD71" s="184">
        <f t="shared" si="10"/>
        <v>629438</v>
      </c>
      <c r="AE71" s="183">
        <f t="shared" si="86"/>
        <v>0</v>
      </c>
      <c r="AF71" s="385">
        <f t="shared" si="99"/>
        <v>0</v>
      </c>
      <c r="AG71" s="385">
        <f t="shared" si="99"/>
        <v>0</v>
      </c>
      <c r="AH71" s="385">
        <f t="shared" si="99"/>
        <v>0</v>
      </c>
      <c r="AI71" s="185">
        <f t="shared" si="13"/>
        <v>0</v>
      </c>
      <c r="AJ71" s="185">
        <f t="shared" si="78"/>
        <v>0</v>
      </c>
      <c r="AK71" s="185">
        <f t="shared" si="79"/>
        <v>0</v>
      </c>
      <c r="AL71" s="185">
        <f t="shared" si="16"/>
        <v>0</v>
      </c>
      <c r="AM71" s="173">
        <f t="shared" si="101"/>
        <v>163328</v>
      </c>
      <c r="AN71" s="173">
        <f t="shared" si="61"/>
        <v>217917</v>
      </c>
      <c r="AO71" s="173">
        <f t="shared" si="62"/>
        <v>233081</v>
      </c>
      <c r="AP71" s="173">
        <f t="shared" si="20"/>
        <v>7582</v>
      </c>
      <c r="AQ71" s="173">
        <f t="shared" si="21"/>
        <v>7530</v>
      </c>
      <c r="AR71" s="173">
        <f t="shared" si="22"/>
        <v>629438</v>
      </c>
      <c r="AS71" s="186" t="s">
        <v>1345</v>
      </c>
      <c r="AT71" s="300">
        <f t="shared" ref="AT71:AX80" si="102">IF(ISERROR(IF(ISERROR(MATCH(CONCATENATE($J71,"_",AT$1),COT_PRE_CODIGO_ALIMENTOS,0)),IF(ISERROR(MATCH(CONCATENATE($J71,"_",AT$2),COT_PRE_CODIGO_ALIMENTOS,0)),IF(ISERROR(MATCH(CONCATENATE($J71,"_",AT$3),COT_PRE_CODIGO_ALIMENTOS,0)),IF(ISERROR(MATCH(CONCATENATE($J71,"_",AT$4),COT_PRE_CODIGO_ALIMENTOS,0)),IF(ISERROR(MATCH(CONCATENATE($J71,"_",AT$5),COT_PRE_CODIGO_ALIMENTOS,0)),IF(ISERROR(MATCH(CONCATENATE($J71,"_",AT$6),COT_PRE_CODIGO_ALIMENTOS,0)),IF(ISERROR(MATCH(CONCATENATE($J71,"_",AT$7),COT_PRE_CODIGO_ALIMENTOS,0)),IF(ISERROR(VLOOKUP($J71,COT_PRE_ALIMENTOS,AT$8,FALSE)),"DATO NO DISPONIBLE",VLOOKUP($J71,COT_PRE_ALIMENTOS,AT$8,FALSE)),VLOOKUP(CONCATENATE($J71,"_",AT$7),COT_PRE_ALIMENTOS,AT$8,FALSE)),VLOOKUP(CONCATENATE($J71,"_",AT$6),COT_PRE_ALIMENTOS,AT$8,FALSE)),VLOOKUP(CONCATENATE($J71,"_",AT$5),COT_PRE_ALIMENTOS,AT$8,FALSE)),VLOOKUP(CONCATENATE($J71,"_",AT$4),COT_PRE_ALIMENTOS,AT$8,FALSE)),VLOOKUP(CONCATENATE($J71,"_",AT$3),COT_PRE_ALIMENTOS,AT$8,FALSE)),VLOOKUP(CONCATENATE($J71,"_",AT$2),COT_PRE_ALIMENTOS,AT$8,FALSE)),VLOOKUP(CONCATENATE($J71,"_",AT$1),COT_PRE_ALIMENTOS,AT$8,FALSE))),"DATO NO DISPONIBLE",IF(ISERROR(MATCH(CONCATENATE($J71,"_",AT$1),COT_PRE_CODIGO_ALIMENTOS,0)),IF(ISERROR(MATCH(CONCATENATE($J71,"_",AT$2),COT_PRE_CODIGO_ALIMENTOS,0)),IF(ISERROR(MATCH(CONCATENATE($J71,"_",AT$3),COT_PRE_CODIGO_ALIMENTOS,0)),IF(ISERROR(MATCH(CONCATENATE($J71,"_",AT$4),COT_PRE_CODIGO_ALIMENTOS,0)),IF(ISERROR(MATCH(CONCATENATE($J71,"_",AT$5),COT_PRE_CODIGO_ALIMENTOS,0)),IF(ISERROR(MATCH(CONCATENATE($J71,"_",AT$6),COT_PRE_CODIGO_ALIMENTOS,0)),IF(ISERROR(MATCH(CONCATENATE($J71,"_",AT$7),COT_PRE_CODIGO_ALIMENTOS,0)),IF(ISERROR(VLOOKUP($J71,COT_PRE_ALIMENTOS,AT$8,FALSE)),"DATO NO DISPONIBLE",VLOOKUP($J71,COT_PRE_ALIMENTOS,AT$8,FALSE)),VLOOKUP(CONCATENATE($J71,"_",AT$7),COT_PRE_ALIMENTOS,AT$8,FALSE)),VLOOKUP(CONCATENATE($J71,"_",AT$6),COT_PRE_ALIMENTOS,AT$8,FALSE)),VLOOKUP(CONCATENATE($J71,"_",AT$5),COT_PRE_ALIMENTOS,AT$8,FALSE)),VLOOKUP(CONCATENATE($J71,"_",AT$4),COT_PRE_ALIMENTOS,AT$8,FALSE)),VLOOKUP(CONCATENATE($J71,"_",AT$3),COT_PRE_ALIMENTOS,AT$8,FALSE)),VLOOKUP(CONCATENATE($J71,"_",AT$2),COT_PRE_ALIMENTOS,AT$8,FALSE)),VLOOKUP(CONCATENATE($J71,"_",AT$1),COT_PRE_ALIMENTOS,AT$8,FALSE)))</f>
        <v>1.5892500000000001</v>
      </c>
      <c r="AU71" s="300">
        <f t="shared" si="102"/>
        <v>1.5892500000000001</v>
      </c>
      <c r="AV71" s="300">
        <f t="shared" si="102"/>
        <v>1.5892500000000001</v>
      </c>
      <c r="AW71" s="300">
        <f t="shared" si="102"/>
        <v>1.5892500000000001</v>
      </c>
      <c r="AX71" s="300">
        <f t="shared" si="102"/>
        <v>1.5892500000000001</v>
      </c>
      <c r="AY71" s="301">
        <f t="shared" si="100"/>
        <v>1.5892500000000001</v>
      </c>
      <c r="AZ71" s="301">
        <f t="shared" si="100"/>
        <v>1.5892500000000001</v>
      </c>
      <c r="BA71" s="301">
        <f t="shared" si="100"/>
        <v>1.5892500000000001</v>
      </c>
      <c r="BB71" s="301">
        <f t="shared" si="100"/>
        <v>1.5892500000000001</v>
      </c>
      <c r="BC71" s="301">
        <f t="shared" si="100"/>
        <v>1.5892500000000001</v>
      </c>
      <c r="BD71" s="187">
        <f>ROUND(IF(OR(M71=0,AT71="DATO NO DISPONIBLE"),"",AT71*M71*($BD$7+1)),0)</f>
        <v>170</v>
      </c>
      <c r="BE71" s="187">
        <f t="shared" si="64"/>
        <v>170</v>
      </c>
      <c r="BF71" s="187">
        <f t="shared" si="65"/>
        <v>170</v>
      </c>
      <c r="BG71" s="187">
        <f t="shared" si="80"/>
        <v>170</v>
      </c>
      <c r="BH71" s="187">
        <f t="shared" si="81"/>
        <v>170</v>
      </c>
      <c r="BI71" s="187">
        <f>ROUND(IF(OR(M71=0,AY71="DATO NO DISPONIBLE"),0,AY71*M71*($BD$7+1)),0)</f>
        <v>170</v>
      </c>
      <c r="BJ71" s="187">
        <f t="shared" si="48"/>
        <v>170</v>
      </c>
      <c r="BK71" s="187">
        <f t="shared" si="49"/>
        <v>170</v>
      </c>
      <c r="BL71" s="187">
        <f t="shared" si="82"/>
        <v>170</v>
      </c>
      <c r="BM71" s="187">
        <f t="shared" si="83"/>
        <v>170</v>
      </c>
      <c r="BN71" s="188">
        <f>BD71*AM71</f>
        <v>27765760</v>
      </c>
      <c r="BO71" s="188">
        <f t="shared" si="50"/>
        <v>37045890</v>
      </c>
      <c r="BP71" s="188">
        <f t="shared" si="51"/>
        <v>39623770</v>
      </c>
      <c r="BQ71" s="188">
        <f t="shared" si="52"/>
        <v>1288940</v>
      </c>
      <c r="BR71" s="188">
        <f t="shared" si="53"/>
        <v>1280100</v>
      </c>
      <c r="BS71" s="188">
        <f t="shared" si="40"/>
        <v>107004460</v>
      </c>
      <c r="BT71" s="188">
        <f t="shared" si="41"/>
        <v>27765760</v>
      </c>
      <c r="BU71" s="188">
        <f t="shared" si="42"/>
        <v>37045890</v>
      </c>
      <c r="BV71" s="188">
        <f t="shared" si="43"/>
        <v>39623770</v>
      </c>
      <c r="BW71" s="188">
        <f t="shared" si="44"/>
        <v>1288940</v>
      </c>
      <c r="BX71" s="188">
        <f t="shared" si="45"/>
        <v>1280100</v>
      </c>
      <c r="BY71" s="188">
        <f t="shared" si="46"/>
        <v>107004460</v>
      </c>
      <c r="BZ71" s="305">
        <f>IF(COT_PRECALCULOS!$D$24="Precios Iva Incluído",BI71,BD71)</f>
        <v>170</v>
      </c>
      <c r="CA71" s="305">
        <f>IF(COT_PRECALCULOS!$D$24="Precios Iva Incluído",BJ71,BE71)</f>
        <v>170</v>
      </c>
      <c r="CB71" s="305">
        <f>IF(COT_PRECALCULOS!$D$24="Precios Iva Incluído",BK71,BF71)</f>
        <v>170</v>
      </c>
      <c r="CC71" s="305">
        <f>IF(COT_PRECALCULOS!$D$24="Precios Iva Incluído",BL71,BG71)</f>
        <v>170</v>
      </c>
      <c r="CD71" s="305">
        <f>IF(COT_PRECALCULOS!$D$24="Precios Iva Incluído",BM71,BH71)</f>
        <v>170</v>
      </c>
      <c r="CE71" s="305">
        <f>IF(COT_PRECALCULOS!$D$24="Precios Iva Incluído",BT71,BN71)</f>
        <v>27765760</v>
      </c>
      <c r="CF71" s="305">
        <f>IF(COT_PRECALCULOS!$D$24="Precios Iva Incluído",BU71,BO71)</f>
        <v>37045890</v>
      </c>
      <c r="CG71" s="305">
        <f>IF(COT_PRECALCULOS!$D$24="Precios Iva Incluído",BV71,BP71)</f>
        <v>39623770</v>
      </c>
      <c r="CH71" s="305">
        <f>IF(COT_PRECALCULOS!$D$24="Precios Iva Incluído",BW71,BQ71)</f>
        <v>1288940</v>
      </c>
      <c r="CI71" s="305">
        <f>IF(COT_PRECALCULOS!$D$24="Precios Iva Incluído",BX71,BR71)</f>
        <v>1280100</v>
      </c>
    </row>
    <row r="72" spans="1:87">
      <c r="A72" s="182" t="s">
        <v>101</v>
      </c>
      <c r="B72" s="182" t="s">
        <v>98</v>
      </c>
      <c r="C72" s="189" t="str">
        <f t="shared" si="0"/>
        <v>F_PE6</v>
      </c>
      <c r="D72" s="189" t="str">
        <f t="shared" si="1"/>
        <v>46_P_</v>
      </c>
      <c r="E72" s="211" t="s">
        <v>1</v>
      </c>
      <c r="F72" s="211" t="s">
        <v>1</v>
      </c>
      <c r="G72" s="189" t="s">
        <v>19</v>
      </c>
      <c r="H72" s="211"/>
      <c r="I72" s="211" t="s">
        <v>63</v>
      </c>
      <c r="J72" s="211">
        <v>46</v>
      </c>
      <c r="K72" s="211" t="s">
        <v>64</v>
      </c>
      <c r="L72" s="189" t="s">
        <v>9</v>
      </c>
      <c r="M72" s="211">
        <v>100</v>
      </c>
      <c r="N72" s="211">
        <v>100</v>
      </c>
      <c r="O72" s="211">
        <v>100</v>
      </c>
      <c r="P72" s="211">
        <v>100</v>
      </c>
      <c r="Q72" s="211">
        <v>100</v>
      </c>
      <c r="R72" s="211"/>
      <c r="S72" s="183">
        <f t="shared" si="93"/>
        <v>2</v>
      </c>
      <c r="T72" s="385">
        <f>$S72</f>
        <v>2</v>
      </c>
      <c r="U72" s="385">
        <f t="shared" si="94"/>
        <v>2</v>
      </c>
      <c r="V72" s="385">
        <f t="shared" si="94"/>
        <v>2</v>
      </c>
      <c r="W72" s="385">
        <f t="shared" si="94"/>
        <v>2</v>
      </c>
      <c r="X72" s="385">
        <f t="shared" si="94"/>
        <v>2</v>
      </c>
      <c r="Y72" s="184">
        <f t="shared" si="5"/>
        <v>163328</v>
      </c>
      <c r="Z72" s="184">
        <f t="shared" si="95"/>
        <v>217917</v>
      </c>
      <c r="AA72" s="184">
        <f t="shared" si="96"/>
        <v>233081</v>
      </c>
      <c r="AB72" s="184">
        <f t="shared" si="97"/>
        <v>7582</v>
      </c>
      <c r="AC72" s="184">
        <f t="shared" si="98"/>
        <v>7530</v>
      </c>
      <c r="AD72" s="184">
        <f t="shared" si="10"/>
        <v>629438</v>
      </c>
      <c r="AE72" s="183">
        <f t="shared" si="86"/>
        <v>0</v>
      </c>
      <c r="AF72" s="385">
        <f t="shared" si="99"/>
        <v>0</v>
      </c>
      <c r="AG72" s="385">
        <f t="shared" si="99"/>
        <v>0</v>
      </c>
      <c r="AH72" s="385">
        <f t="shared" si="99"/>
        <v>0</v>
      </c>
      <c r="AI72" s="185">
        <f t="shared" si="13"/>
        <v>0</v>
      </c>
      <c r="AJ72" s="185">
        <f t="shared" si="78"/>
        <v>0</v>
      </c>
      <c r="AK72" s="185">
        <f t="shared" si="79"/>
        <v>0</v>
      </c>
      <c r="AL72" s="185">
        <f t="shared" si="16"/>
        <v>0</v>
      </c>
      <c r="AM72" s="173">
        <f t="shared" si="101"/>
        <v>326656</v>
      </c>
      <c r="AN72" s="173">
        <f t="shared" si="61"/>
        <v>435834</v>
      </c>
      <c r="AO72" s="173">
        <f t="shared" si="62"/>
        <v>466162</v>
      </c>
      <c r="AP72" s="173">
        <f t="shared" si="20"/>
        <v>15164</v>
      </c>
      <c r="AQ72" s="173">
        <f t="shared" si="21"/>
        <v>15060</v>
      </c>
      <c r="AR72" s="173">
        <f t="shared" si="22"/>
        <v>1258876</v>
      </c>
      <c r="AS72" s="186" t="s">
        <v>1345</v>
      </c>
      <c r="AT72" s="300">
        <f t="shared" si="102"/>
        <v>3.7214999999999998</v>
      </c>
      <c r="AU72" s="300">
        <f t="shared" si="102"/>
        <v>3.7214999999999998</v>
      </c>
      <c r="AV72" s="300">
        <f t="shared" si="102"/>
        <v>3.7214999999999998</v>
      </c>
      <c r="AW72" s="300">
        <f t="shared" si="102"/>
        <v>3.7214999999999998</v>
      </c>
      <c r="AX72" s="300">
        <f t="shared" si="102"/>
        <v>3.7214999999999998</v>
      </c>
      <c r="AY72" s="301">
        <f t="shared" si="100"/>
        <v>3.7214999999999998</v>
      </c>
      <c r="AZ72" s="301">
        <f t="shared" si="100"/>
        <v>3.7214999999999998</v>
      </c>
      <c r="BA72" s="301">
        <f t="shared" si="100"/>
        <v>3.7214999999999998</v>
      </c>
      <c r="BB72" s="301">
        <f t="shared" si="100"/>
        <v>3.7214999999999998</v>
      </c>
      <c r="BC72" s="301">
        <f t="shared" si="100"/>
        <v>3.7214999999999998</v>
      </c>
      <c r="BD72" s="187">
        <f>ROUND(IF(OR(M72=0,AT72="DATO NO DISPONIBLE"),"",AT72*M72*($BD$7+1)),0)</f>
        <v>398</v>
      </c>
      <c r="BE72" s="187">
        <f t="shared" si="64"/>
        <v>398</v>
      </c>
      <c r="BF72" s="187">
        <f t="shared" si="65"/>
        <v>398</v>
      </c>
      <c r="BG72" s="187">
        <f t="shared" si="80"/>
        <v>398</v>
      </c>
      <c r="BH72" s="187">
        <f t="shared" si="81"/>
        <v>398</v>
      </c>
      <c r="BI72" s="187">
        <f>ROUND(IF(OR(M72=0,AY72="DATO NO DISPONIBLE"),0,AY72*M72*($BD$7+1)),0)</f>
        <v>398</v>
      </c>
      <c r="BJ72" s="187">
        <f t="shared" si="48"/>
        <v>398</v>
      </c>
      <c r="BK72" s="187">
        <f t="shared" si="49"/>
        <v>398</v>
      </c>
      <c r="BL72" s="187">
        <f t="shared" si="82"/>
        <v>398</v>
      </c>
      <c r="BM72" s="187">
        <f t="shared" si="83"/>
        <v>398</v>
      </c>
      <c r="BN72" s="188">
        <f>BD72*AM72</f>
        <v>130009088</v>
      </c>
      <c r="BO72" s="188">
        <f t="shared" si="50"/>
        <v>173461932</v>
      </c>
      <c r="BP72" s="188">
        <f t="shared" si="51"/>
        <v>185532476</v>
      </c>
      <c r="BQ72" s="188">
        <f t="shared" si="52"/>
        <v>6035272</v>
      </c>
      <c r="BR72" s="188">
        <f t="shared" si="53"/>
        <v>5993880</v>
      </c>
      <c r="BS72" s="188">
        <f t="shared" si="40"/>
        <v>501032648</v>
      </c>
      <c r="BT72" s="188">
        <f t="shared" si="41"/>
        <v>130009088</v>
      </c>
      <c r="BU72" s="188">
        <f t="shared" si="42"/>
        <v>173461932</v>
      </c>
      <c r="BV72" s="188">
        <f t="shared" si="43"/>
        <v>185532476</v>
      </c>
      <c r="BW72" s="188">
        <f t="shared" si="44"/>
        <v>6035272</v>
      </c>
      <c r="BX72" s="188">
        <f t="shared" si="45"/>
        <v>5993880</v>
      </c>
      <c r="BY72" s="188">
        <f t="shared" si="46"/>
        <v>501032648</v>
      </c>
      <c r="BZ72" s="305">
        <f>IF(COT_PRECALCULOS!$D$24="Precios Iva Incluído",BI72,BD72)</f>
        <v>398</v>
      </c>
      <c r="CA72" s="305">
        <f>IF(COT_PRECALCULOS!$D$24="Precios Iva Incluído",BJ72,BE72)</f>
        <v>398</v>
      </c>
      <c r="CB72" s="305">
        <f>IF(COT_PRECALCULOS!$D$24="Precios Iva Incluído",BK72,BF72)</f>
        <v>398</v>
      </c>
      <c r="CC72" s="305">
        <f>IF(COT_PRECALCULOS!$D$24="Precios Iva Incluído",BL72,BG72)</f>
        <v>398</v>
      </c>
      <c r="CD72" s="305">
        <f>IF(COT_PRECALCULOS!$D$24="Precios Iva Incluído",BM72,BH72)</f>
        <v>398</v>
      </c>
      <c r="CE72" s="305">
        <f>IF(COT_PRECALCULOS!$D$24="Precios Iva Incluído",BT72,BN72)</f>
        <v>130009088</v>
      </c>
      <c r="CF72" s="305">
        <f>IF(COT_PRECALCULOS!$D$24="Precios Iva Incluído",BU72,BO72)</f>
        <v>173461932</v>
      </c>
      <c r="CG72" s="305">
        <f>IF(COT_PRECALCULOS!$D$24="Precios Iva Incluído",BV72,BP72)</f>
        <v>185532476</v>
      </c>
      <c r="CH72" s="305">
        <f>IF(COT_PRECALCULOS!$D$24="Precios Iva Incluído",BW72,BQ72)</f>
        <v>6035272</v>
      </c>
      <c r="CI72" s="305">
        <f>IF(COT_PRECALCULOS!$D$24="Precios Iva Incluído",BX72,BR72)</f>
        <v>5993880</v>
      </c>
    </row>
    <row r="73" spans="1:87">
      <c r="A73" s="182" t="s">
        <v>101</v>
      </c>
      <c r="B73" s="182" t="s">
        <v>98</v>
      </c>
      <c r="C73" s="189" t="str">
        <f t="shared" si="0"/>
        <v>F_PE6</v>
      </c>
      <c r="D73" s="189" t="str">
        <f t="shared" si="1"/>
        <v>58_P_</v>
      </c>
      <c r="E73" s="211" t="s">
        <v>1</v>
      </c>
      <c r="F73" s="211" t="s">
        <v>1</v>
      </c>
      <c r="G73" s="189" t="s">
        <v>19</v>
      </c>
      <c r="H73" s="211"/>
      <c r="I73" s="211" t="s">
        <v>65</v>
      </c>
      <c r="J73" s="211">
        <v>58</v>
      </c>
      <c r="K73" s="211" t="s">
        <v>67</v>
      </c>
      <c r="L73" s="189" t="s">
        <v>9</v>
      </c>
      <c r="M73" s="211">
        <v>100</v>
      </c>
      <c r="N73" s="211">
        <v>100</v>
      </c>
      <c r="O73" s="211">
        <v>100</v>
      </c>
      <c r="P73" s="211">
        <v>100</v>
      </c>
      <c r="Q73" s="211">
        <v>100</v>
      </c>
      <c r="R73" s="211"/>
      <c r="S73" s="183">
        <f t="shared" si="93"/>
        <v>1</v>
      </c>
      <c r="T73" s="385">
        <f>$S73</f>
        <v>1</v>
      </c>
      <c r="U73" s="385">
        <f t="shared" si="94"/>
        <v>1</v>
      </c>
      <c r="V73" s="385">
        <f t="shared" si="94"/>
        <v>1</v>
      </c>
      <c r="W73" s="385">
        <f t="shared" si="94"/>
        <v>1</v>
      </c>
      <c r="X73" s="385">
        <f t="shared" si="94"/>
        <v>1</v>
      </c>
      <c r="Y73" s="184">
        <f t="shared" si="5"/>
        <v>163328</v>
      </c>
      <c r="Z73" s="184">
        <f t="shared" si="95"/>
        <v>217917</v>
      </c>
      <c r="AA73" s="184">
        <f t="shared" si="96"/>
        <v>233081</v>
      </c>
      <c r="AB73" s="184">
        <f t="shared" si="97"/>
        <v>7582</v>
      </c>
      <c r="AC73" s="184">
        <f t="shared" si="98"/>
        <v>7530</v>
      </c>
      <c r="AD73" s="184">
        <f t="shared" si="10"/>
        <v>629438</v>
      </c>
      <c r="AE73" s="183">
        <f t="shared" si="86"/>
        <v>0</v>
      </c>
      <c r="AF73" s="385">
        <f t="shared" si="99"/>
        <v>0</v>
      </c>
      <c r="AG73" s="385">
        <f t="shared" si="99"/>
        <v>0</v>
      </c>
      <c r="AH73" s="385">
        <f t="shared" si="99"/>
        <v>0</v>
      </c>
      <c r="AI73" s="185">
        <f t="shared" si="13"/>
        <v>0</v>
      </c>
      <c r="AJ73" s="185">
        <f t="shared" si="78"/>
        <v>0</v>
      </c>
      <c r="AK73" s="185">
        <f t="shared" si="79"/>
        <v>0</v>
      </c>
      <c r="AL73" s="185">
        <f t="shared" si="16"/>
        <v>0</v>
      </c>
      <c r="AM73" s="173">
        <f t="shared" si="101"/>
        <v>163328</v>
      </c>
      <c r="AN73" s="173">
        <f t="shared" si="61"/>
        <v>217917</v>
      </c>
      <c r="AO73" s="173">
        <f t="shared" si="62"/>
        <v>233081</v>
      </c>
      <c r="AP73" s="173">
        <f t="shared" si="20"/>
        <v>7582</v>
      </c>
      <c r="AQ73" s="173">
        <f t="shared" si="21"/>
        <v>7530</v>
      </c>
      <c r="AR73" s="173">
        <f t="shared" si="22"/>
        <v>629438</v>
      </c>
      <c r="AS73" s="186" t="s">
        <v>1345</v>
      </c>
      <c r="AT73" s="300">
        <f t="shared" si="102"/>
        <v>1.4384999999999999</v>
      </c>
      <c r="AU73" s="300">
        <f t="shared" si="102"/>
        <v>1.4384999999999999</v>
      </c>
      <c r="AV73" s="300">
        <f t="shared" si="102"/>
        <v>1.4384999999999999</v>
      </c>
      <c r="AW73" s="300">
        <f t="shared" si="102"/>
        <v>1.4384999999999999</v>
      </c>
      <c r="AX73" s="300">
        <f t="shared" si="102"/>
        <v>1.4384999999999999</v>
      </c>
      <c r="AY73" s="301">
        <f t="shared" si="100"/>
        <v>1.4384999999999999</v>
      </c>
      <c r="AZ73" s="301">
        <f t="shared" si="100"/>
        <v>1.4384999999999999</v>
      </c>
      <c r="BA73" s="301">
        <f t="shared" si="100"/>
        <v>1.4384999999999999</v>
      </c>
      <c r="BB73" s="301">
        <f t="shared" si="100"/>
        <v>1.4384999999999999</v>
      </c>
      <c r="BC73" s="301">
        <f t="shared" si="100"/>
        <v>1.4384999999999999</v>
      </c>
      <c r="BD73" s="187">
        <f>ROUND(IF(OR(M73=0,AT73="DATO NO DISPONIBLE"),"",AT73*M73*($BD$7+1)),0)</f>
        <v>154</v>
      </c>
      <c r="BE73" s="187">
        <f t="shared" si="64"/>
        <v>154</v>
      </c>
      <c r="BF73" s="187">
        <f t="shared" si="65"/>
        <v>154</v>
      </c>
      <c r="BG73" s="187">
        <f t="shared" si="80"/>
        <v>154</v>
      </c>
      <c r="BH73" s="187">
        <f t="shared" si="81"/>
        <v>154</v>
      </c>
      <c r="BI73" s="187">
        <f>ROUND(IF(OR(M73=0,AY73="DATO NO DISPONIBLE"),0,AY73*M73*($BD$7+1)),0)</f>
        <v>154</v>
      </c>
      <c r="BJ73" s="187">
        <f t="shared" si="48"/>
        <v>154</v>
      </c>
      <c r="BK73" s="187">
        <f t="shared" si="49"/>
        <v>154</v>
      </c>
      <c r="BL73" s="187">
        <f t="shared" si="82"/>
        <v>154</v>
      </c>
      <c r="BM73" s="187">
        <f t="shared" si="83"/>
        <v>154</v>
      </c>
      <c r="BN73" s="188">
        <f>BD73*AM73</f>
        <v>25152512</v>
      </c>
      <c r="BO73" s="188">
        <f t="shared" si="50"/>
        <v>33559218</v>
      </c>
      <c r="BP73" s="188">
        <f t="shared" si="51"/>
        <v>35894474</v>
      </c>
      <c r="BQ73" s="188">
        <f t="shared" si="52"/>
        <v>1167628</v>
      </c>
      <c r="BR73" s="188">
        <f t="shared" si="53"/>
        <v>1159620</v>
      </c>
      <c r="BS73" s="188">
        <f t="shared" si="40"/>
        <v>96933452</v>
      </c>
      <c r="BT73" s="188">
        <f t="shared" si="41"/>
        <v>25152512</v>
      </c>
      <c r="BU73" s="188">
        <f t="shared" si="42"/>
        <v>33559218</v>
      </c>
      <c r="BV73" s="188">
        <f t="shared" si="43"/>
        <v>35894474</v>
      </c>
      <c r="BW73" s="188">
        <f t="shared" si="44"/>
        <v>1167628</v>
      </c>
      <c r="BX73" s="188">
        <f t="shared" si="45"/>
        <v>1159620</v>
      </c>
      <c r="BY73" s="188">
        <f t="shared" si="46"/>
        <v>96933452</v>
      </c>
      <c r="BZ73" s="305">
        <f>IF(COT_PRECALCULOS!$D$24="Precios Iva Incluído",BI73,BD73)</f>
        <v>154</v>
      </c>
      <c r="CA73" s="305">
        <f>IF(COT_PRECALCULOS!$D$24="Precios Iva Incluído",BJ73,BE73)</f>
        <v>154</v>
      </c>
      <c r="CB73" s="305">
        <f>IF(COT_PRECALCULOS!$D$24="Precios Iva Incluído",BK73,BF73)</f>
        <v>154</v>
      </c>
      <c r="CC73" s="305">
        <f>IF(COT_PRECALCULOS!$D$24="Precios Iva Incluído",BL73,BG73)</f>
        <v>154</v>
      </c>
      <c r="CD73" s="305">
        <f>IF(COT_PRECALCULOS!$D$24="Precios Iva Incluído",BM73,BH73)</f>
        <v>154</v>
      </c>
      <c r="CE73" s="305">
        <f>IF(COT_PRECALCULOS!$D$24="Precios Iva Incluído",BT73,BN73)</f>
        <v>25152512</v>
      </c>
      <c r="CF73" s="305">
        <f>IF(COT_PRECALCULOS!$D$24="Precios Iva Incluído",BU73,BO73)</f>
        <v>33559218</v>
      </c>
      <c r="CG73" s="305">
        <f>IF(COT_PRECALCULOS!$D$24="Precios Iva Incluído",BV73,BP73)</f>
        <v>35894474</v>
      </c>
      <c r="CH73" s="305">
        <f>IF(COT_PRECALCULOS!$D$24="Precios Iva Incluído",BW73,BQ73)</f>
        <v>1167628</v>
      </c>
      <c r="CI73" s="305">
        <f>IF(COT_PRECALCULOS!$D$24="Precios Iva Incluído",BX73,BR73)</f>
        <v>1159620</v>
      </c>
    </row>
    <row r="74" spans="1:87">
      <c r="A74" s="182" t="s">
        <v>101</v>
      </c>
      <c r="B74" s="182" t="s">
        <v>98</v>
      </c>
      <c r="C74" s="189" t="str">
        <f t="shared" si="0"/>
        <v>F_PE6</v>
      </c>
      <c r="D74" s="189" t="str">
        <f t="shared" si="1"/>
        <v>59_P_</v>
      </c>
      <c r="E74" s="211" t="s">
        <v>1</v>
      </c>
      <c r="F74" s="211" t="s">
        <v>1</v>
      </c>
      <c r="G74" s="189" t="s">
        <v>19</v>
      </c>
      <c r="H74" s="211"/>
      <c r="I74" s="211" t="s">
        <v>66</v>
      </c>
      <c r="J74" s="211">
        <v>59</v>
      </c>
      <c r="K74" s="211" t="s">
        <v>99</v>
      </c>
      <c r="L74" s="189" t="s">
        <v>9</v>
      </c>
      <c r="M74" s="386">
        <v>0</v>
      </c>
      <c r="N74" s="211">
        <v>100</v>
      </c>
      <c r="O74" s="211">
        <v>100</v>
      </c>
      <c r="P74" s="211">
        <v>100</v>
      </c>
      <c r="Q74" s="211">
        <v>100</v>
      </c>
      <c r="R74" s="211" t="s">
        <v>73</v>
      </c>
      <c r="S74" s="183">
        <f t="shared" si="93"/>
        <v>1</v>
      </c>
      <c r="T74" s="386">
        <v>0</v>
      </c>
      <c r="U74" s="385">
        <f t="shared" si="94"/>
        <v>1</v>
      </c>
      <c r="V74" s="385">
        <f t="shared" si="94"/>
        <v>1</v>
      </c>
      <c r="W74" s="385">
        <f t="shared" si="94"/>
        <v>1</v>
      </c>
      <c r="X74" s="385">
        <f t="shared" si="94"/>
        <v>1</v>
      </c>
      <c r="Y74" s="184">
        <f t="shared" si="5"/>
        <v>0</v>
      </c>
      <c r="Z74" s="184">
        <f t="shared" si="95"/>
        <v>217917</v>
      </c>
      <c r="AA74" s="184">
        <f t="shared" si="96"/>
        <v>233081</v>
      </c>
      <c r="AB74" s="184">
        <f t="shared" si="97"/>
        <v>7582</v>
      </c>
      <c r="AC74" s="184">
        <f t="shared" si="98"/>
        <v>7530</v>
      </c>
      <c r="AD74" s="184">
        <f t="shared" si="10"/>
        <v>466110</v>
      </c>
      <c r="AE74" s="183">
        <f t="shared" si="86"/>
        <v>0</v>
      </c>
      <c r="AF74" s="385">
        <f t="shared" si="99"/>
        <v>0</v>
      </c>
      <c r="AG74" s="385">
        <f t="shared" si="99"/>
        <v>0</v>
      </c>
      <c r="AH74" s="385">
        <f t="shared" si="99"/>
        <v>0</v>
      </c>
      <c r="AI74" s="185">
        <f t="shared" si="13"/>
        <v>0</v>
      </c>
      <c r="AJ74" s="185">
        <f t="shared" si="78"/>
        <v>0</v>
      </c>
      <c r="AK74" s="185">
        <f t="shared" si="79"/>
        <v>0</v>
      </c>
      <c r="AL74" s="185">
        <f t="shared" si="16"/>
        <v>0</v>
      </c>
      <c r="AM74" s="173">
        <f t="shared" si="101"/>
        <v>0</v>
      </c>
      <c r="AN74" s="173">
        <f t="shared" si="61"/>
        <v>217917</v>
      </c>
      <c r="AO74" s="173">
        <f t="shared" si="62"/>
        <v>233081</v>
      </c>
      <c r="AP74" s="173">
        <f t="shared" si="20"/>
        <v>7582</v>
      </c>
      <c r="AQ74" s="173">
        <f t="shared" si="21"/>
        <v>7530</v>
      </c>
      <c r="AR74" s="173">
        <f t="shared" si="22"/>
        <v>466110</v>
      </c>
      <c r="AS74" s="186" t="s">
        <v>1345</v>
      </c>
      <c r="AT74" s="300">
        <f t="shared" si="102"/>
        <v>2.6785000000000001</v>
      </c>
      <c r="AU74" s="300">
        <f t="shared" si="102"/>
        <v>2.6785000000000001</v>
      </c>
      <c r="AV74" s="300">
        <f t="shared" si="102"/>
        <v>2.6785000000000001</v>
      </c>
      <c r="AW74" s="300">
        <f t="shared" si="102"/>
        <v>2.6785000000000001</v>
      </c>
      <c r="AX74" s="300">
        <f t="shared" si="102"/>
        <v>2.6785000000000001</v>
      </c>
      <c r="AY74" s="301">
        <f t="shared" si="100"/>
        <v>2.6785000000000001</v>
      </c>
      <c r="AZ74" s="301">
        <f t="shared" si="100"/>
        <v>2.6785000000000001</v>
      </c>
      <c r="BA74" s="301">
        <f t="shared" si="100"/>
        <v>2.6785000000000001</v>
      </c>
      <c r="BB74" s="301">
        <f t="shared" si="100"/>
        <v>2.6785000000000001</v>
      </c>
      <c r="BC74" s="301">
        <f t="shared" si="100"/>
        <v>2.6785000000000001</v>
      </c>
      <c r="BD74" s="187"/>
      <c r="BE74" s="187">
        <f t="shared" si="64"/>
        <v>286</v>
      </c>
      <c r="BF74" s="187">
        <f t="shared" si="65"/>
        <v>286</v>
      </c>
      <c r="BG74" s="187">
        <f t="shared" si="80"/>
        <v>286</v>
      </c>
      <c r="BH74" s="187">
        <f t="shared" si="81"/>
        <v>286</v>
      </c>
      <c r="BI74" s="187"/>
      <c r="BJ74" s="187">
        <f t="shared" si="48"/>
        <v>286</v>
      </c>
      <c r="BK74" s="187">
        <f t="shared" si="49"/>
        <v>286</v>
      </c>
      <c r="BL74" s="187">
        <f t="shared" si="82"/>
        <v>286</v>
      </c>
      <c r="BM74" s="187">
        <f t="shared" si="83"/>
        <v>286</v>
      </c>
      <c r="BN74" s="188"/>
      <c r="BO74" s="188">
        <f t="shared" si="50"/>
        <v>62324262</v>
      </c>
      <c r="BP74" s="188">
        <f t="shared" si="51"/>
        <v>66661166</v>
      </c>
      <c r="BQ74" s="188">
        <f t="shared" si="52"/>
        <v>2168452</v>
      </c>
      <c r="BR74" s="188">
        <f t="shared" si="53"/>
        <v>2153580</v>
      </c>
      <c r="BS74" s="188">
        <f t="shared" si="40"/>
        <v>133307460</v>
      </c>
      <c r="BT74" s="188">
        <f t="shared" si="41"/>
        <v>0</v>
      </c>
      <c r="BU74" s="188">
        <f t="shared" si="42"/>
        <v>62324262</v>
      </c>
      <c r="BV74" s="188">
        <f t="shared" si="43"/>
        <v>66661166</v>
      </c>
      <c r="BW74" s="188">
        <f t="shared" si="44"/>
        <v>2168452</v>
      </c>
      <c r="BX74" s="188">
        <f t="shared" si="45"/>
        <v>2153580</v>
      </c>
      <c r="BY74" s="188">
        <f t="shared" si="46"/>
        <v>133307460</v>
      </c>
      <c r="BZ74" s="305">
        <f>IF(COT_PRECALCULOS!$D$24="Precios Iva Incluído",BI74,BD74)</f>
        <v>0</v>
      </c>
      <c r="CA74" s="305">
        <f>IF(COT_PRECALCULOS!$D$24="Precios Iva Incluído",BJ74,BE74)</f>
        <v>286</v>
      </c>
      <c r="CB74" s="305">
        <f>IF(COT_PRECALCULOS!$D$24="Precios Iva Incluído",BK74,BF74)</f>
        <v>286</v>
      </c>
      <c r="CC74" s="305">
        <f>IF(COT_PRECALCULOS!$D$24="Precios Iva Incluído",BL74,BG74)</f>
        <v>286</v>
      </c>
      <c r="CD74" s="305">
        <f>IF(COT_PRECALCULOS!$D$24="Precios Iva Incluído",BM74,BH74)</f>
        <v>286</v>
      </c>
      <c r="CE74" s="305">
        <f>IF(COT_PRECALCULOS!$D$24="Precios Iva Incluído",BT74,BN74)</f>
        <v>0</v>
      </c>
      <c r="CF74" s="305">
        <f>IF(COT_PRECALCULOS!$D$24="Precios Iva Incluído",BU74,BO74)</f>
        <v>62324262</v>
      </c>
      <c r="CG74" s="305">
        <f>IF(COT_PRECALCULOS!$D$24="Precios Iva Incluído",BV74,BP74)</f>
        <v>66661166</v>
      </c>
      <c r="CH74" s="305">
        <f>IF(COT_PRECALCULOS!$D$24="Precios Iva Incluído",BW74,BQ74)</f>
        <v>2168452</v>
      </c>
      <c r="CI74" s="305">
        <f>IF(COT_PRECALCULOS!$D$24="Precios Iva Incluído",BX74,BR74)</f>
        <v>2153580</v>
      </c>
    </row>
    <row r="75" spans="1:87">
      <c r="A75" s="182" t="s">
        <v>101</v>
      </c>
      <c r="B75" s="182" t="s">
        <v>98</v>
      </c>
      <c r="C75" s="189" t="str">
        <f t="shared" si="0"/>
        <v>F_PE6</v>
      </c>
      <c r="D75" s="189" t="str">
        <f t="shared" si="1"/>
        <v>69_P_</v>
      </c>
      <c r="E75" s="211" t="s">
        <v>1</v>
      </c>
      <c r="F75" s="211" t="s">
        <v>1</v>
      </c>
      <c r="G75" s="189" t="s">
        <v>19</v>
      </c>
      <c r="H75" s="211"/>
      <c r="I75" s="211" t="s">
        <v>68</v>
      </c>
      <c r="J75" s="211">
        <v>69</v>
      </c>
      <c r="K75" s="211" t="s">
        <v>70</v>
      </c>
      <c r="L75" s="189" t="s">
        <v>9</v>
      </c>
      <c r="M75" s="211">
        <v>100</v>
      </c>
      <c r="N75" s="211">
        <v>100</v>
      </c>
      <c r="O75" s="211">
        <v>100</v>
      </c>
      <c r="P75" s="211">
        <v>100</v>
      </c>
      <c r="Q75" s="211">
        <v>100</v>
      </c>
      <c r="R75" s="211"/>
      <c r="S75" s="183">
        <f t="shared" si="93"/>
        <v>2</v>
      </c>
      <c r="T75" s="385">
        <f>$S75</f>
        <v>2</v>
      </c>
      <c r="U75" s="385">
        <f t="shared" si="94"/>
        <v>2</v>
      </c>
      <c r="V75" s="385">
        <f t="shared" si="94"/>
        <v>2</v>
      </c>
      <c r="W75" s="385">
        <f t="shared" si="94"/>
        <v>2</v>
      </c>
      <c r="X75" s="385">
        <f t="shared" si="94"/>
        <v>2</v>
      </c>
      <c r="Y75" s="184">
        <f t="shared" si="5"/>
        <v>163328</v>
      </c>
      <c r="Z75" s="184">
        <f t="shared" si="95"/>
        <v>217917</v>
      </c>
      <c r="AA75" s="184">
        <f t="shared" si="96"/>
        <v>233081</v>
      </c>
      <c r="AB75" s="184">
        <f t="shared" si="97"/>
        <v>7582</v>
      </c>
      <c r="AC75" s="184">
        <f t="shared" si="98"/>
        <v>7530</v>
      </c>
      <c r="AD75" s="184">
        <f t="shared" si="10"/>
        <v>629438</v>
      </c>
      <c r="AE75" s="183">
        <f t="shared" si="86"/>
        <v>0</v>
      </c>
      <c r="AF75" s="385">
        <f t="shared" si="99"/>
        <v>0</v>
      </c>
      <c r="AG75" s="385">
        <f t="shared" si="99"/>
        <v>0</v>
      </c>
      <c r="AH75" s="385">
        <f t="shared" si="99"/>
        <v>0</v>
      </c>
      <c r="AI75" s="185">
        <f t="shared" si="13"/>
        <v>0</v>
      </c>
      <c r="AJ75" s="185">
        <f t="shared" si="78"/>
        <v>0</v>
      </c>
      <c r="AK75" s="185">
        <f t="shared" si="79"/>
        <v>0</v>
      </c>
      <c r="AL75" s="185">
        <f t="shared" si="16"/>
        <v>0</v>
      </c>
      <c r="AM75" s="173">
        <f t="shared" si="101"/>
        <v>326656</v>
      </c>
      <c r="AN75" s="173">
        <f t="shared" si="61"/>
        <v>435834</v>
      </c>
      <c r="AO75" s="173">
        <f t="shared" si="62"/>
        <v>466162</v>
      </c>
      <c r="AP75" s="173">
        <f t="shared" si="20"/>
        <v>15164</v>
      </c>
      <c r="AQ75" s="173">
        <f t="shared" si="21"/>
        <v>15060</v>
      </c>
      <c r="AR75" s="173">
        <f t="shared" si="22"/>
        <v>1258876</v>
      </c>
      <c r="AS75" s="186" t="s">
        <v>1345</v>
      </c>
      <c r="AT75" s="300">
        <f t="shared" si="102"/>
        <v>2.8519999999999999</v>
      </c>
      <c r="AU75" s="300">
        <f t="shared" si="102"/>
        <v>2.8519999999999999</v>
      </c>
      <c r="AV75" s="300">
        <f t="shared" si="102"/>
        <v>2.8519999999999999</v>
      </c>
      <c r="AW75" s="300">
        <f t="shared" si="102"/>
        <v>2.8519999999999999</v>
      </c>
      <c r="AX75" s="300">
        <f t="shared" si="102"/>
        <v>2.8519999999999999</v>
      </c>
      <c r="AY75" s="301">
        <f t="shared" si="100"/>
        <v>2.8519999999999999</v>
      </c>
      <c r="AZ75" s="301">
        <f t="shared" si="100"/>
        <v>2.8519999999999999</v>
      </c>
      <c r="BA75" s="301">
        <f t="shared" si="100"/>
        <v>2.8519999999999999</v>
      </c>
      <c r="BB75" s="301">
        <f t="shared" si="100"/>
        <v>2.8519999999999999</v>
      </c>
      <c r="BC75" s="301">
        <f t="shared" si="100"/>
        <v>2.8519999999999999</v>
      </c>
      <c r="BD75" s="187">
        <f>ROUND(IF(OR(M75=0,AT75="DATO NO DISPONIBLE"),"",AT75*M75*($BD$7+1)),0)</f>
        <v>305</v>
      </c>
      <c r="BE75" s="187">
        <f t="shared" si="64"/>
        <v>305</v>
      </c>
      <c r="BF75" s="187">
        <f t="shared" si="65"/>
        <v>305</v>
      </c>
      <c r="BG75" s="187">
        <f t="shared" si="80"/>
        <v>305</v>
      </c>
      <c r="BH75" s="187">
        <f t="shared" si="81"/>
        <v>305</v>
      </c>
      <c r="BI75" s="187">
        <f>ROUND(IF(OR(M75=0,AY75="DATO NO DISPONIBLE"),0,AY75*M75*($BD$7+1)),0)</f>
        <v>305</v>
      </c>
      <c r="BJ75" s="187">
        <f t="shared" si="48"/>
        <v>305</v>
      </c>
      <c r="BK75" s="187">
        <f t="shared" si="49"/>
        <v>305</v>
      </c>
      <c r="BL75" s="187">
        <f t="shared" si="82"/>
        <v>305</v>
      </c>
      <c r="BM75" s="187">
        <f t="shared" si="83"/>
        <v>305</v>
      </c>
      <c r="BN75" s="188">
        <f>BD75*AM75</f>
        <v>99630080</v>
      </c>
      <c r="BO75" s="188">
        <f t="shared" si="50"/>
        <v>132929370</v>
      </c>
      <c r="BP75" s="188">
        <f t="shared" si="51"/>
        <v>142179410</v>
      </c>
      <c r="BQ75" s="188">
        <f t="shared" si="52"/>
        <v>4625020</v>
      </c>
      <c r="BR75" s="188">
        <f t="shared" si="53"/>
        <v>4593300</v>
      </c>
      <c r="BS75" s="188">
        <f t="shared" si="40"/>
        <v>383957180</v>
      </c>
      <c r="BT75" s="188">
        <f t="shared" si="41"/>
        <v>99630080</v>
      </c>
      <c r="BU75" s="188">
        <f t="shared" si="42"/>
        <v>132929370</v>
      </c>
      <c r="BV75" s="188">
        <f t="shared" si="43"/>
        <v>142179410</v>
      </c>
      <c r="BW75" s="188">
        <f t="shared" si="44"/>
        <v>4625020</v>
      </c>
      <c r="BX75" s="188">
        <f t="shared" si="45"/>
        <v>4593300</v>
      </c>
      <c r="BY75" s="188">
        <f t="shared" si="46"/>
        <v>383957180</v>
      </c>
      <c r="BZ75" s="305">
        <f>IF(COT_PRECALCULOS!$D$24="Precios Iva Incluído",BI75,BD75)</f>
        <v>305</v>
      </c>
      <c r="CA75" s="305">
        <f>IF(COT_PRECALCULOS!$D$24="Precios Iva Incluído",BJ75,BE75)</f>
        <v>305</v>
      </c>
      <c r="CB75" s="305">
        <f>IF(COT_PRECALCULOS!$D$24="Precios Iva Incluído",BK75,BF75)</f>
        <v>305</v>
      </c>
      <c r="CC75" s="305">
        <f>IF(COT_PRECALCULOS!$D$24="Precios Iva Incluído",BL75,BG75)</f>
        <v>305</v>
      </c>
      <c r="CD75" s="305">
        <f>IF(COT_PRECALCULOS!$D$24="Precios Iva Incluído",BM75,BH75)</f>
        <v>305</v>
      </c>
      <c r="CE75" s="305">
        <f>IF(COT_PRECALCULOS!$D$24="Precios Iva Incluído",BT75,BN75)</f>
        <v>99630080</v>
      </c>
      <c r="CF75" s="305">
        <f>IF(COT_PRECALCULOS!$D$24="Precios Iva Incluído",BU75,BO75)</f>
        <v>132929370</v>
      </c>
      <c r="CG75" s="305">
        <f>IF(COT_PRECALCULOS!$D$24="Precios Iva Incluído",BV75,BP75)</f>
        <v>142179410</v>
      </c>
      <c r="CH75" s="305">
        <f>IF(COT_PRECALCULOS!$D$24="Precios Iva Incluído",BW75,BQ75)</f>
        <v>4625020</v>
      </c>
      <c r="CI75" s="305">
        <f>IF(COT_PRECALCULOS!$D$24="Precios Iva Incluído",BX75,BR75)</f>
        <v>4593300</v>
      </c>
    </row>
    <row r="76" spans="1:87">
      <c r="A76" s="182" t="s">
        <v>101</v>
      </c>
      <c r="B76" s="182" t="s">
        <v>98</v>
      </c>
      <c r="C76" s="189" t="str">
        <f t="shared" ref="C76:C139" si="103">CONCATENATE(MID(E76,1,1),"_",G76)</f>
        <v>F_PE6</v>
      </c>
      <c r="D76" s="189" t="str">
        <f t="shared" ref="D76:D139" si="104">CONCATENATE(J76,"_",A76)</f>
        <v>70_P_</v>
      </c>
      <c r="E76" s="211" t="s">
        <v>1</v>
      </c>
      <c r="F76" s="211" t="s">
        <v>1</v>
      </c>
      <c r="G76" s="189" t="s">
        <v>19</v>
      </c>
      <c r="H76" s="211"/>
      <c r="I76" s="211" t="s">
        <v>69</v>
      </c>
      <c r="J76" s="211">
        <v>70</v>
      </c>
      <c r="K76" s="211" t="s">
        <v>71</v>
      </c>
      <c r="L76" s="189" t="s">
        <v>9</v>
      </c>
      <c r="M76" s="386">
        <v>0</v>
      </c>
      <c r="N76" s="211">
        <v>100</v>
      </c>
      <c r="O76" s="211">
        <v>100</v>
      </c>
      <c r="P76" s="211">
        <v>100</v>
      </c>
      <c r="Q76" s="211">
        <v>100</v>
      </c>
      <c r="R76" s="211" t="s">
        <v>73</v>
      </c>
      <c r="S76" s="183">
        <f t="shared" si="93"/>
        <v>2</v>
      </c>
      <c r="T76" s="386">
        <v>0</v>
      </c>
      <c r="U76" s="385">
        <f t="shared" si="94"/>
        <v>2</v>
      </c>
      <c r="V76" s="385">
        <f t="shared" si="94"/>
        <v>2</v>
      </c>
      <c r="W76" s="385">
        <f t="shared" si="94"/>
        <v>2</v>
      </c>
      <c r="X76" s="385">
        <f t="shared" si="94"/>
        <v>2</v>
      </c>
      <c r="Y76" s="184">
        <f t="shared" si="5"/>
        <v>0</v>
      </c>
      <c r="Z76" s="184">
        <f t="shared" si="95"/>
        <v>217917</v>
      </c>
      <c r="AA76" s="184">
        <f t="shared" si="96"/>
        <v>233081</v>
      </c>
      <c r="AB76" s="184">
        <f t="shared" si="97"/>
        <v>7582</v>
      </c>
      <c r="AC76" s="184">
        <f t="shared" si="98"/>
        <v>7530</v>
      </c>
      <c r="AD76" s="184">
        <f t="shared" si="10"/>
        <v>466110</v>
      </c>
      <c r="AE76" s="183">
        <f t="shared" si="86"/>
        <v>0</v>
      </c>
      <c r="AF76" s="385">
        <f t="shared" si="99"/>
        <v>0</v>
      </c>
      <c r="AG76" s="385">
        <f t="shared" si="99"/>
        <v>0</v>
      </c>
      <c r="AH76" s="385">
        <f t="shared" si="99"/>
        <v>0</v>
      </c>
      <c r="AI76" s="185">
        <f t="shared" si="13"/>
        <v>0</v>
      </c>
      <c r="AJ76" s="185">
        <f t="shared" si="78"/>
        <v>0</v>
      </c>
      <c r="AK76" s="185">
        <f t="shared" si="79"/>
        <v>0</v>
      </c>
      <c r="AL76" s="185">
        <f t="shared" si="16"/>
        <v>0</v>
      </c>
      <c r="AM76" s="173">
        <v>0</v>
      </c>
      <c r="AN76" s="173">
        <f t="shared" si="61"/>
        <v>435834</v>
      </c>
      <c r="AO76" s="173">
        <f t="shared" si="62"/>
        <v>466162</v>
      </c>
      <c r="AP76" s="173">
        <f t="shared" ref="AP76:AP139" si="105">($S76*AB76)</f>
        <v>15164</v>
      </c>
      <c r="AQ76" s="173">
        <f t="shared" ref="AQ76:AQ139" si="106">($S76*AC76)</f>
        <v>15060</v>
      </c>
      <c r="AR76" s="173">
        <f t="shared" ref="AR76:AR139" si="107">AM76+AN76+AO76+AP76+AQ76</f>
        <v>932220</v>
      </c>
      <c r="AS76" s="186" t="s">
        <v>1345</v>
      </c>
      <c r="AT76" s="300">
        <f t="shared" si="102"/>
        <v>4.0575000000000001</v>
      </c>
      <c r="AU76" s="300">
        <f t="shared" si="102"/>
        <v>4.0575000000000001</v>
      </c>
      <c r="AV76" s="300">
        <f t="shared" si="102"/>
        <v>4.0575000000000001</v>
      </c>
      <c r="AW76" s="300">
        <f t="shared" si="102"/>
        <v>4.0575000000000001</v>
      </c>
      <c r="AX76" s="300">
        <f t="shared" si="102"/>
        <v>4.0575000000000001</v>
      </c>
      <c r="AY76" s="301">
        <f t="shared" si="100"/>
        <v>4.0575000000000001</v>
      </c>
      <c r="AZ76" s="301">
        <f t="shared" si="100"/>
        <v>4.0575000000000001</v>
      </c>
      <c r="BA76" s="301">
        <f t="shared" si="100"/>
        <v>4.0575000000000001</v>
      </c>
      <c r="BB76" s="301">
        <f t="shared" si="100"/>
        <v>4.0575000000000001</v>
      </c>
      <c r="BC76" s="301">
        <f t="shared" si="100"/>
        <v>4.0575000000000001</v>
      </c>
      <c r="BD76" s="187"/>
      <c r="BE76" s="187">
        <f t="shared" si="64"/>
        <v>434</v>
      </c>
      <c r="BF76" s="187">
        <f t="shared" si="65"/>
        <v>434</v>
      </c>
      <c r="BG76" s="187">
        <f t="shared" si="80"/>
        <v>434</v>
      </c>
      <c r="BH76" s="187">
        <f t="shared" si="81"/>
        <v>434</v>
      </c>
      <c r="BI76" s="187"/>
      <c r="BJ76" s="187">
        <f t="shared" si="48"/>
        <v>434</v>
      </c>
      <c r="BK76" s="187">
        <f t="shared" si="49"/>
        <v>434</v>
      </c>
      <c r="BL76" s="187">
        <f t="shared" si="82"/>
        <v>434</v>
      </c>
      <c r="BM76" s="187">
        <f t="shared" si="83"/>
        <v>434</v>
      </c>
      <c r="BN76" s="188"/>
      <c r="BO76" s="188">
        <f t="shared" si="50"/>
        <v>189151956</v>
      </c>
      <c r="BP76" s="188">
        <f t="shared" si="51"/>
        <v>202314308</v>
      </c>
      <c r="BQ76" s="188">
        <f t="shared" si="52"/>
        <v>6581176</v>
      </c>
      <c r="BR76" s="188">
        <f t="shared" si="53"/>
        <v>6536040</v>
      </c>
      <c r="BS76" s="188">
        <f t="shared" ref="BS76:BS139" si="108">SUM(BN76:BR76)</f>
        <v>404583480</v>
      </c>
      <c r="BT76" s="188">
        <f t="shared" ref="BT76:BT139" si="109">BI76*AM76</f>
        <v>0</v>
      </c>
      <c r="BU76" s="188">
        <f t="shared" ref="BU76:BU139" si="110">BJ76*AN76</f>
        <v>189151956</v>
      </c>
      <c r="BV76" s="188">
        <f t="shared" ref="BV76:BV139" si="111">BK76*AO76</f>
        <v>202314308</v>
      </c>
      <c r="BW76" s="188">
        <f t="shared" ref="BW76:BW139" si="112">BL76*AP76</f>
        <v>6581176</v>
      </c>
      <c r="BX76" s="188">
        <f t="shared" ref="BX76:BX139" si="113">BM76*AQ76</f>
        <v>6536040</v>
      </c>
      <c r="BY76" s="188">
        <f t="shared" ref="BY76:BY139" si="114">SUM(BT76:BX76)</f>
        <v>404583480</v>
      </c>
      <c r="BZ76" s="305">
        <f>IF(COT_PRECALCULOS!$D$24="Precios Iva Incluído",BI76,BD76)</f>
        <v>0</v>
      </c>
      <c r="CA76" s="305">
        <f>IF(COT_PRECALCULOS!$D$24="Precios Iva Incluído",BJ76,BE76)</f>
        <v>434</v>
      </c>
      <c r="CB76" s="305">
        <f>IF(COT_PRECALCULOS!$D$24="Precios Iva Incluído",BK76,BF76)</f>
        <v>434</v>
      </c>
      <c r="CC76" s="305">
        <f>IF(COT_PRECALCULOS!$D$24="Precios Iva Incluído",BL76,BG76)</f>
        <v>434</v>
      </c>
      <c r="CD76" s="305">
        <f>IF(COT_PRECALCULOS!$D$24="Precios Iva Incluído",BM76,BH76)</f>
        <v>434</v>
      </c>
      <c r="CE76" s="305">
        <f>IF(COT_PRECALCULOS!$D$24="Precios Iva Incluído",BT76,BN76)</f>
        <v>0</v>
      </c>
      <c r="CF76" s="305">
        <f>IF(COT_PRECALCULOS!$D$24="Precios Iva Incluído",BU76,BO76)</f>
        <v>189151956</v>
      </c>
      <c r="CG76" s="305">
        <f>IF(COT_PRECALCULOS!$D$24="Precios Iva Incluído",BV76,BP76)</f>
        <v>202314308</v>
      </c>
      <c r="CH76" s="305">
        <f>IF(COT_PRECALCULOS!$D$24="Precios Iva Incluído",BW76,BQ76)</f>
        <v>6581176</v>
      </c>
      <c r="CI76" s="305">
        <f>IF(COT_PRECALCULOS!$D$24="Precios Iva Incluído",BX76,BR76)</f>
        <v>6536040</v>
      </c>
    </row>
    <row r="77" spans="1:87">
      <c r="A77" s="182" t="s">
        <v>101</v>
      </c>
      <c r="B77" s="182" t="s">
        <v>98</v>
      </c>
      <c r="C77" s="189" t="str">
        <f t="shared" si="103"/>
        <v>F_PE6</v>
      </c>
      <c r="D77" s="189" t="str">
        <f t="shared" si="104"/>
        <v>36_P_</v>
      </c>
      <c r="E77" s="211" t="s">
        <v>1</v>
      </c>
      <c r="F77" s="211" t="s">
        <v>1</v>
      </c>
      <c r="G77" s="189" t="s">
        <v>19</v>
      </c>
      <c r="H77" s="211"/>
      <c r="I77" s="211" t="s">
        <v>1340</v>
      </c>
      <c r="J77" s="211">
        <v>36</v>
      </c>
      <c r="K77" s="211" t="s">
        <v>1340</v>
      </c>
      <c r="L77" s="189" t="s">
        <v>9</v>
      </c>
      <c r="M77" s="211">
        <v>20</v>
      </c>
      <c r="N77" s="211">
        <v>40</v>
      </c>
      <c r="O77" s="211">
        <v>40</v>
      </c>
      <c r="P77" s="211">
        <v>40</v>
      </c>
      <c r="Q77" s="211">
        <v>40</v>
      </c>
      <c r="R77" s="211"/>
      <c r="S77" s="183">
        <f t="shared" si="93"/>
        <v>0</v>
      </c>
      <c r="T77" s="385">
        <f>$S77</f>
        <v>0</v>
      </c>
      <c r="U77" s="385">
        <f t="shared" si="94"/>
        <v>0</v>
      </c>
      <c r="V77" s="385">
        <f t="shared" si="94"/>
        <v>0</v>
      </c>
      <c r="W77" s="385">
        <f t="shared" si="94"/>
        <v>0</v>
      </c>
      <c r="X77" s="385">
        <f t="shared" si="94"/>
        <v>0</v>
      </c>
      <c r="Y77" s="184">
        <f t="shared" ref="Y77:Y140" si="115">IF(M77&lt;&gt;0,VLOOKUP(A77,FRE_CANTIDADES_DIARIAS_SUMINISTROS,4,FALSE),0)</f>
        <v>163328</v>
      </c>
      <c r="Z77" s="184">
        <f t="shared" si="95"/>
        <v>217917</v>
      </c>
      <c r="AA77" s="184">
        <f t="shared" si="96"/>
        <v>233081</v>
      </c>
      <c r="AB77" s="184">
        <f t="shared" si="97"/>
        <v>7582</v>
      </c>
      <c r="AC77" s="184">
        <f t="shared" si="98"/>
        <v>7530</v>
      </c>
      <c r="AD77" s="184">
        <f t="shared" ref="AD77:AD140" si="116">SUM(Y77:AC77)</f>
        <v>629438</v>
      </c>
      <c r="AE77" s="183">
        <f t="shared" si="86"/>
        <v>0</v>
      </c>
      <c r="AF77" s="385">
        <f t="shared" si="99"/>
        <v>0</v>
      </c>
      <c r="AG77" s="385">
        <f t="shared" si="99"/>
        <v>0</v>
      </c>
      <c r="AH77" s="385">
        <f t="shared" si="99"/>
        <v>0</v>
      </c>
      <c r="AI77" s="185">
        <f t="shared" ref="AI77:AI140" si="117">IF(OR(B77="NA",M77=0),0,VLOOKUP(B77,FRE_CANTIDADES_DIARIAS_SUMINISTROS,4,FALSE))</f>
        <v>0</v>
      </c>
      <c r="AJ77" s="185">
        <f t="shared" ref="AJ77:AJ108" si="118">IF(OR(B77="NA",N77=0),0,VLOOKUP(B77,FRE_CANTIDADES_DIARIAS_SUMINISTROS,5,FALSE))</f>
        <v>0</v>
      </c>
      <c r="AK77" s="185">
        <f t="shared" ref="AK77:AK108" si="119">IF(OR(B77="NA",O77=0),0,VLOOKUP(B77,FRE_CANTIDADES_DIARIAS_SUMINISTROS,6,FALSE))</f>
        <v>0</v>
      </c>
      <c r="AL77" s="185">
        <f t="shared" ref="AL77:AL140" si="120">AI77+AJ77+AK77</f>
        <v>0</v>
      </c>
      <c r="AM77" s="173">
        <f>($S77*Y77)+($AE77*AI77)</f>
        <v>0</v>
      </c>
      <c r="AN77" s="173">
        <f t="shared" si="61"/>
        <v>0</v>
      </c>
      <c r="AO77" s="173">
        <f t="shared" si="62"/>
        <v>0</v>
      </c>
      <c r="AP77" s="173">
        <f t="shared" si="105"/>
        <v>0</v>
      </c>
      <c r="AQ77" s="173">
        <f t="shared" si="106"/>
        <v>0</v>
      </c>
      <c r="AR77" s="173">
        <f t="shared" si="107"/>
        <v>0</v>
      </c>
      <c r="AS77" s="186" t="s">
        <v>1345</v>
      </c>
      <c r="AT77" s="300">
        <f t="shared" si="102"/>
        <v>5.9</v>
      </c>
      <c r="AU77" s="300">
        <f t="shared" si="102"/>
        <v>5.9</v>
      </c>
      <c r="AV77" s="300">
        <f t="shared" si="102"/>
        <v>5.9</v>
      </c>
      <c r="AW77" s="300">
        <f t="shared" si="102"/>
        <v>5.9</v>
      </c>
      <c r="AX77" s="300">
        <f t="shared" si="102"/>
        <v>5.9</v>
      </c>
      <c r="AY77" s="301">
        <f t="shared" si="100"/>
        <v>5.9</v>
      </c>
      <c r="AZ77" s="301">
        <f t="shared" si="100"/>
        <v>5.9</v>
      </c>
      <c r="BA77" s="301">
        <f t="shared" si="100"/>
        <v>5.9</v>
      </c>
      <c r="BB77" s="301">
        <f t="shared" si="100"/>
        <v>5.9</v>
      </c>
      <c r="BC77" s="301">
        <f t="shared" si="100"/>
        <v>5.9</v>
      </c>
      <c r="BD77" s="187">
        <f>ROUND(IF(OR(M77=0,AT77="DATO NO DISPONIBLE"),"",AT77*M77*($BD$7+1)),0)</f>
        <v>126</v>
      </c>
      <c r="BE77" s="187">
        <f t="shared" si="64"/>
        <v>252</v>
      </c>
      <c r="BF77" s="187">
        <f t="shared" si="65"/>
        <v>252</v>
      </c>
      <c r="BG77" s="187">
        <f t="shared" ref="BG77:BG108" si="121">ROUND(IF(OR(P77=0,AW77="DATO NO DISPONIBLE"),0,AW77*P77*($BD$7+1)),0)</f>
        <v>252</v>
      </c>
      <c r="BH77" s="187">
        <f t="shared" ref="BH77:BH108" si="122">ROUND(IF(OR(Q77=0,AX77="DATO NO DISPONIBLE"),0,AX77*Q77*($BD$7+1)),0)</f>
        <v>252</v>
      </c>
      <c r="BI77" s="187">
        <f>ROUND(IF(OR(M77=0,AY77="DATO NO DISPONIBLE"),0,AY77*M77*($BD$7+1)),0)</f>
        <v>126</v>
      </c>
      <c r="BJ77" s="187">
        <f t="shared" si="48"/>
        <v>252</v>
      </c>
      <c r="BK77" s="187">
        <f t="shared" si="49"/>
        <v>252</v>
      </c>
      <c r="BL77" s="187">
        <f t="shared" ref="BL77:BL108" si="123">ROUND(IF(OR(P77=0,BB77="DATO NO DISPONIBLE"),0,BB77*P77*($BD$7+1)),0)</f>
        <v>252</v>
      </c>
      <c r="BM77" s="187">
        <f t="shared" ref="BM77:BM108" si="124">ROUND(IF(OR(Q77=0,BC77="DATO NO DISPONIBLE"),0,BC77*Q77*($BD$7+1)),0)</f>
        <v>252</v>
      </c>
      <c r="BN77" s="188">
        <f>BD77*AM77</f>
        <v>0</v>
      </c>
      <c r="BO77" s="188">
        <f t="shared" si="50"/>
        <v>0</v>
      </c>
      <c r="BP77" s="188">
        <f t="shared" si="51"/>
        <v>0</v>
      </c>
      <c r="BQ77" s="188">
        <f t="shared" si="52"/>
        <v>0</v>
      </c>
      <c r="BR77" s="188">
        <f t="shared" si="53"/>
        <v>0</v>
      </c>
      <c r="BS77" s="188">
        <f t="shared" si="108"/>
        <v>0</v>
      </c>
      <c r="BT77" s="188">
        <f t="shared" si="109"/>
        <v>0</v>
      </c>
      <c r="BU77" s="188">
        <f t="shared" si="110"/>
        <v>0</v>
      </c>
      <c r="BV77" s="188">
        <f t="shared" si="111"/>
        <v>0</v>
      </c>
      <c r="BW77" s="188">
        <f t="shared" si="112"/>
        <v>0</v>
      </c>
      <c r="BX77" s="188">
        <f t="shared" si="113"/>
        <v>0</v>
      </c>
      <c r="BY77" s="188">
        <f t="shared" si="114"/>
        <v>0</v>
      </c>
      <c r="BZ77" s="305">
        <f>IF(COT_PRECALCULOS!$D$24="Precios Iva Incluído",BI77,BD77)</f>
        <v>126</v>
      </c>
      <c r="CA77" s="305">
        <f>IF(COT_PRECALCULOS!$D$24="Precios Iva Incluído",BJ77,BE77)</f>
        <v>252</v>
      </c>
      <c r="CB77" s="305">
        <f>IF(COT_PRECALCULOS!$D$24="Precios Iva Incluído",BK77,BF77)</f>
        <v>252</v>
      </c>
      <c r="CC77" s="305">
        <f>IF(COT_PRECALCULOS!$D$24="Precios Iva Incluído",BL77,BG77)</f>
        <v>252</v>
      </c>
      <c r="CD77" s="305">
        <f>IF(COT_PRECALCULOS!$D$24="Precios Iva Incluído",BM77,BH77)</f>
        <v>252</v>
      </c>
      <c r="CE77" s="305">
        <f>IF(COT_PRECALCULOS!$D$24="Precios Iva Incluído",BT77,BN77)</f>
        <v>0</v>
      </c>
      <c r="CF77" s="305">
        <f>IF(COT_PRECALCULOS!$D$24="Precios Iva Incluído",BU77,BO77)</f>
        <v>0</v>
      </c>
      <c r="CG77" s="305">
        <f>IF(COT_PRECALCULOS!$D$24="Precios Iva Incluído",BV77,BP77)</f>
        <v>0</v>
      </c>
      <c r="CH77" s="305">
        <f>IF(COT_PRECALCULOS!$D$24="Precios Iva Incluído",BW77,BQ77)</f>
        <v>0</v>
      </c>
      <c r="CI77" s="305">
        <f>IF(COT_PRECALCULOS!$D$24="Precios Iva Incluído",BX77,BR77)</f>
        <v>0</v>
      </c>
    </row>
    <row r="78" spans="1:87">
      <c r="A78" s="182" t="s">
        <v>101</v>
      </c>
      <c r="B78" s="182" t="s">
        <v>98</v>
      </c>
      <c r="C78" s="189" t="str">
        <f t="shared" si="103"/>
        <v>F_PE7</v>
      </c>
      <c r="D78" s="189" t="str">
        <f t="shared" si="104"/>
        <v>8_P_</v>
      </c>
      <c r="E78" s="211" t="s">
        <v>1</v>
      </c>
      <c r="F78" s="211" t="s">
        <v>1</v>
      </c>
      <c r="G78" s="189" t="s">
        <v>20</v>
      </c>
      <c r="H78" s="211" t="s">
        <v>2</v>
      </c>
      <c r="I78" s="211" t="s">
        <v>54</v>
      </c>
      <c r="J78" s="211">
        <v>8</v>
      </c>
      <c r="K78" s="211" t="s">
        <v>55</v>
      </c>
      <c r="L78" s="189" t="s">
        <v>9</v>
      </c>
      <c r="M78" s="211">
        <v>100</v>
      </c>
      <c r="N78" s="211">
        <v>100</v>
      </c>
      <c r="O78" s="211">
        <v>100</v>
      </c>
      <c r="P78" s="211">
        <v>100</v>
      </c>
      <c r="Q78" s="211">
        <v>100</v>
      </c>
      <c r="R78" s="211"/>
      <c r="S78" s="183">
        <f t="shared" si="93"/>
        <v>0</v>
      </c>
      <c r="T78" s="385">
        <f>$S78</f>
        <v>0</v>
      </c>
      <c r="U78" s="385">
        <f t="shared" si="94"/>
        <v>0</v>
      </c>
      <c r="V78" s="385">
        <f t="shared" si="94"/>
        <v>0</v>
      </c>
      <c r="W78" s="385">
        <f t="shared" si="94"/>
        <v>0</v>
      </c>
      <c r="X78" s="385">
        <f t="shared" si="94"/>
        <v>0</v>
      </c>
      <c r="Y78" s="184">
        <f t="shared" si="115"/>
        <v>163328</v>
      </c>
      <c r="Z78" s="184">
        <f t="shared" si="95"/>
        <v>217917</v>
      </c>
      <c r="AA78" s="184">
        <f t="shared" si="96"/>
        <v>233081</v>
      </c>
      <c r="AB78" s="184">
        <f t="shared" si="97"/>
        <v>7582</v>
      </c>
      <c r="AC78" s="184">
        <f t="shared" si="98"/>
        <v>7530</v>
      </c>
      <c r="AD78" s="184">
        <f t="shared" si="116"/>
        <v>629438</v>
      </c>
      <c r="AE78" s="183">
        <f t="shared" si="86"/>
        <v>0</v>
      </c>
      <c r="AF78" s="385">
        <f t="shared" si="99"/>
        <v>0</v>
      </c>
      <c r="AG78" s="385">
        <f t="shared" si="99"/>
        <v>0</v>
      </c>
      <c r="AH78" s="385">
        <f t="shared" si="99"/>
        <v>0</v>
      </c>
      <c r="AI78" s="185">
        <f t="shared" si="117"/>
        <v>0</v>
      </c>
      <c r="AJ78" s="185">
        <f t="shared" si="118"/>
        <v>0</v>
      </c>
      <c r="AK78" s="185">
        <f t="shared" si="119"/>
        <v>0</v>
      </c>
      <c r="AL78" s="185">
        <f t="shared" si="120"/>
        <v>0</v>
      </c>
      <c r="AM78" s="173">
        <f>($S78*Y78)+($AE78*AI78)</f>
        <v>0</v>
      </c>
      <c r="AN78" s="173">
        <f t="shared" si="61"/>
        <v>0</v>
      </c>
      <c r="AO78" s="173">
        <f t="shared" si="62"/>
        <v>0</v>
      </c>
      <c r="AP78" s="173">
        <f t="shared" si="105"/>
        <v>0</v>
      </c>
      <c r="AQ78" s="173">
        <f t="shared" si="106"/>
        <v>0</v>
      </c>
      <c r="AR78" s="173">
        <f t="shared" si="107"/>
        <v>0</v>
      </c>
      <c r="AS78" s="186" t="s">
        <v>1346</v>
      </c>
      <c r="AT78" s="300">
        <f t="shared" si="102"/>
        <v>1.25</v>
      </c>
      <c r="AU78" s="300">
        <f t="shared" si="102"/>
        <v>1.25</v>
      </c>
      <c r="AV78" s="300">
        <f t="shared" si="102"/>
        <v>1.25</v>
      </c>
      <c r="AW78" s="300">
        <f t="shared" si="102"/>
        <v>1.25</v>
      </c>
      <c r="AX78" s="300">
        <f t="shared" si="102"/>
        <v>1.25</v>
      </c>
      <c r="AY78" s="301">
        <f t="shared" ref="AY78:BC87" si="125">IF(ISERROR(MATCH(CONCATENATE($J78,"_",AY$1),COT_PRE_CODIGO_ALIMENTOS,0)),IF(ISERROR(MATCH(CONCATENATE($J78,"_",AY$2),COT_PRE_CODIGO_ALIMENTOS,0)),IF(ISERROR(MATCH(CONCATENATE($J78,"_",AY$3),COT_PRE_CODIGO_ALIMENTOS,0)),IF(ISERROR(MATCH(CONCATENATE($J78,"_",AY$4),COT_PRE_CODIGO_ALIMENTOS,0)),IF(ISERROR(MATCH(CONCATENATE($J78,"_",AY$5),COT_PRE_CODIGO_ALIMENTOS,0)),IF(ISERROR(MATCH(CONCATENATE($J78,"_",AY$6),COT_PRE_CODIGO_ALIMENTOS,0)),IF(ISERROR(MATCH(CONCATENATE($J78,"_",AY$7),COT_PRE_CODIGO_ALIMENTOS,0)),IF(ISERROR(VLOOKUP($J78,COT_PRE_ALIMENTOS,AY$8,FALSE)),"DATO NO DISPONIBLE",VLOOKUP($J78,COT_PRE_ALIMENTOS,AY$8,FALSE)),VLOOKUP(CONCATENATE($J78,"_",AY$7),COT_PRE_ALIMENTOS,AY$8,FALSE)),VLOOKUP(CONCATENATE($J78,"_",AY$6),COT_PRE_ALIMENTOS,AY$8,FALSE)),VLOOKUP(CONCATENATE($J78,"_",AY$5),COT_PRE_ALIMENTOS,AY$8,FALSE)),VLOOKUP(CONCATENATE($J78,"_",AY$4),COT_PRE_ALIMENTOS,AY$8,FALSE)),VLOOKUP(CONCATENATE($J78,"_",AY$3),COT_PRE_ALIMENTOS,AY$8,FALSE)),VLOOKUP(CONCATENATE($J78,"_",AY$2),COT_PRE_ALIMENTOS,AY$8,FALSE)),VLOOKUP(CONCATENATE($J78,"_",AY$1),COT_PRE_ALIMENTOS,AY$8,FALSE))</f>
        <v>1.25</v>
      </c>
      <c r="AZ78" s="301">
        <f t="shared" si="125"/>
        <v>1.25</v>
      </c>
      <c r="BA78" s="301">
        <f t="shared" si="125"/>
        <v>1.25</v>
      </c>
      <c r="BB78" s="301">
        <f t="shared" si="125"/>
        <v>1.25</v>
      </c>
      <c r="BC78" s="301">
        <f t="shared" si="125"/>
        <v>1.25</v>
      </c>
      <c r="BD78" s="187">
        <f>ROUND(IF(OR(M78=0,AT78="DATO NO DISPONIBLE"),"",AT78*M78*($BD$7+1)),0)</f>
        <v>134</v>
      </c>
      <c r="BE78" s="187">
        <f t="shared" si="64"/>
        <v>134</v>
      </c>
      <c r="BF78" s="187">
        <f t="shared" si="65"/>
        <v>134</v>
      </c>
      <c r="BG78" s="187">
        <f t="shared" si="121"/>
        <v>134</v>
      </c>
      <c r="BH78" s="187">
        <f t="shared" si="122"/>
        <v>134</v>
      </c>
      <c r="BI78" s="187">
        <f>ROUND(IF(OR(M78=0,AY78="DATO NO DISPONIBLE"),0,AY78*M78*($BD$7+1)),0)</f>
        <v>134</v>
      </c>
      <c r="BJ78" s="187">
        <f t="shared" si="48"/>
        <v>134</v>
      </c>
      <c r="BK78" s="187">
        <f t="shared" si="49"/>
        <v>134</v>
      </c>
      <c r="BL78" s="187">
        <f t="shared" si="123"/>
        <v>134</v>
      </c>
      <c r="BM78" s="187">
        <f t="shared" si="124"/>
        <v>134</v>
      </c>
      <c r="BN78" s="188">
        <f>BD78*AM78</f>
        <v>0</v>
      </c>
      <c r="BO78" s="188">
        <f t="shared" si="50"/>
        <v>0</v>
      </c>
      <c r="BP78" s="188">
        <f t="shared" si="51"/>
        <v>0</v>
      </c>
      <c r="BQ78" s="188">
        <f t="shared" si="52"/>
        <v>0</v>
      </c>
      <c r="BR78" s="188">
        <f t="shared" si="53"/>
        <v>0</v>
      </c>
      <c r="BS78" s="188">
        <f t="shared" si="108"/>
        <v>0</v>
      </c>
      <c r="BT78" s="188">
        <f t="shared" si="109"/>
        <v>0</v>
      </c>
      <c r="BU78" s="188">
        <f t="shared" si="110"/>
        <v>0</v>
      </c>
      <c r="BV78" s="188">
        <f t="shared" si="111"/>
        <v>0</v>
      </c>
      <c r="BW78" s="188">
        <f t="shared" si="112"/>
        <v>0</v>
      </c>
      <c r="BX78" s="188">
        <f t="shared" si="113"/>
        <v>0</v>
      </c>
      <c r="BY78" s="188">
        <f t="shared" si="114"/>
        <v>0</v>
      </c>
      <c r="BZ78" s="305">
        <f>IF(COT_PRECALCULOS!$D$24="Precios Iva Incluído",BI78,BD78)</f>
        <v>134</v>
      </c>
      <c r="CA78" s="305">
        <f>IF(COT_PRECALCULOS!$D$24="Precios Iva Incluído",BJ78,BE78)</f>
        <v>134</v>
      </c>
      <c r="CB78" s="305">
        <f>IF(COT_PRECALCULOS!$D$24="Precios Iva Incluído",BK78,BF78)</f>
        <v>134</v>
      </c>
      <c r="CC78" s="305">
        <f>IF(COT_PRECALCULOS!$D$24="Precios Iva Incluído",BL78,BG78)</f>
        <v>134</v>
      </c>
      <c r="CD78" s="305">
        <f>IF(COT_PRECALCULOS!$D$24="Precios Iva Incluído",BM78,BH78)</f>
        <v>134</v>
      </c>
      <c r="CE78" s="305">
        <f>IF(COT_PRECALCULOS!$D$24="Precios Iva Incluído",BT78,BN78)</f>
        <v>0</v>
      </c>
      <c r="CF78" s="305">
        <f>IF(COT_PRECALCULOS!$D$24="Precios Iva Incluído",BU78,BO78)</f>
        <v>0</v>
      </c>
      <c r="CG78" s="305">
        <f>IF(COT_PRECALCULOS!$D$24="Precios Iva Incluído",BV78,BP78)</f>
        <v>0</v>
      </c>
      <c r="CH78" s="305">
        <f>IF(COT_PRECALCULOS!$D$24="Precios Iva Incluído",BW78,BQ78)</f>
        <v>0</v>
      </c>
      <c r="CI78" s="305">
        <f>IF(COT_PRECALCULOS!$D$24="Precios Iva Incluído",BX78,BR78)</f>
        <v>0</v>
      </c>
    </row>
    <row r="79" spans="1:87">
      <c r="A79" s="182" t="s">
        <v>101</v>
      </c>
      <c r="B79" s="182" t="s">
        <v>98</v>
      </c>
      <c r="C79" s="189" t="str">
        <f t="shared" si="103"/>
        <v>F_PE7</v>
      </c>
      <c r="D79" s="189" t="str">
        <f t="shared" si="104"/>
        <v>7_P_</v>
      </c>
      <c r="E79" s="211" t="s">
        <v>1</v>
      </c>
      <c r="F79" s="211" t="s">
        <v>1</v>
      </c>
      <c r="G79" s="189" t="s">
        <v>20</v>
      </c>
      <c r="H79" s="211"/>
      <c r="I79" s="211" t="s">
        <v>56</v>
      </c>
      <c r="J79" s="211">
        <v>7</v>
      </c>
      <c r="K79" s="211" t="s">
        <v>57</v>
      </c>
      <c r="L79" s="189" t="s">
        <v>9</v>
      </c>
      <c r="M79" s="211">
        <v>100</v>
      </c>
      <c r="N79" s="211">
        <v>100</v>
      </c>
      <c r="O79" s="211">
        <v>100</v>
      </c>
      <c r="P79" s="211">
        <v>100</v>
      </c>
      <c r="Q79" s="211">
        <v>100</v>
      </c>
      <c r="R79" s="211"/>
      <c r="S79" s="183">
        <f t="shared" si="93"/>
        <v>3</v>
      </c>
      <c r="T79" s="385">
        <f>$S79</f>
        <v>3</v>
      </c>
      <c r="U79" s="385">
        <f t="shared" si="94"/>
        <v>3</v>
      </c>
      <c r="V79" s="385">
        <f t="shared" si="94"/>
        <v>3</v>
      </c>
      <c r="W79" s="385">
        <f t="shared" si="94"/>
        <v>3</v>
      </c>
      <c r="X79" s="385">
        <f t="shared" si="94"/>
        <v>3</v>
      </c>
      <c r="Y79" s="184">
        <f t="shared" si="115"/>
        <v>163328</v>
      </c>
      <c r="Z79" s="184">
        <f t="shared" si="95"/>
        <v>217917</v>
      </c>
      <c r="AA79" s="184">
        <f t="shared" si="96"/>
        <v>233081</v>
      </c>
      <c r="AB79" s="184">
        <f t="shared" si="97"/>
        <v>7582</v>
      </c>
      <c r="AC79" s="184">
        <f t="shared" si="98"/>
        <v>7530</v>
      </c>
      <c r="AD79" s="184">
        <f t="shared" si="116"/>
        <v>629438</v>
      </c>
      <c r="AE79" s="183">
        <f t="shared" si="86"/>
        <v>0</v>
      </c>
      <c r="AF79" s="385">
        <f t="shared" si="99"/>
        <v>0</v>
      </c>
      <c r="AG79" s="385">
        <f t="shared" si="99"/>
        <v>0</v>
      </c>
      <c r="AH79" s="385">
        <f t="shared" si="99"/>
        <v>0</v>
      </c>
      <c r="AI79" s="185">
        <f t="shared" si="117"/>
        <v>0</v>
      </c>
      <c r="AJ79" s="185">
        <f t="shared" si="118"/>
        <v>0</v>
      </c>
      <c r="AK79" s="185">
        <f t="shared" si="119"/>
        <v>0</v>
      </c>
      <c r="AL79" s="185">
        <f t="shared" si="120"/>
        <v>0</v>
      </c>
      <c r="AM79" s="173">
        <f>($S79*Y79)+($AE79*AI79)</f>
        <v>489984</v>
      </c>
      <c r="AN79" s="173">
        <f t="shared" si="61"/>
        <v>653751</v>
      </c>
      <c r="AO79" s="173">
        <f t="shared" si="62"/>
        <v>699243</v>
      </c>
      <c r="AP79" s="173">
        <f t="shared" si="105"/>
        <v>22746</v>
      </c>
      <c r="AQ79" s="173">
        <f t="shared" si="106"/>
        <v>22590</v>
      </c>
      <c r="AR79" s="173">
        <f t="shared" si="107"/>
        <v>1888314</v>
      </c>
      <c r="AS79" s="186" t="s">
        <v>1346</v>
      </c>
      <c r="AT79" s="300">
        <f t="shared" si="102"/>
        <v>1</v>
      </c>
      <c r="AU79" s="300">
        <f t="shared" si="102"/>
        <v>1</v>
      </c>
      <c r="AV79" s="300">
        <f t="shared" si="102"/>
        <v>1</v>
      </c>
      <c r="AW79" s="300">
        <f t="shared" si="102"/>
        <v>1</v>
      </c>
      <c r="AX79" s="300">
        <f t="shared" si="102"/>
        <v>1</v>
      </c>
      <c r="AY79" s="301">
        <f t="shared" si="125"/>
        <v>1</v>
      </c>
      <c r="AZ79" s="301">
        <f t="shared" si="125"/>
        <v>1</v>
      </c>
      <c r="BA79" s="301">
        <f t="shared" si="125"/>
        <v>1</v>
      </c>
      <c r="BB79" s="301">
        <f t="shared" si="125"/>
        <v>1</v>
      </c>
      <c r="BC79" s="301">
        <f t="shared" si="125"/>
        <v>1</v>
      </c>
      <c r="BD79" s="187">
        <f>ROUND(IF(OR(M79=0,AT79="DATO NO DISPONIBLE"),"",AT79*M79*($BD$7+1)),0)</f>
        <v>107</v>
      </c>
      <c r="BE79" s="187">
        <f t="shared" si="64"/>
        <v>107</v>
      </c>
      <c r="BF79" s="187">
        <f t="shared" si="65"/>
        <v>107</v>
      </c>
      <c r="BG79" s="187">
        <f t="shared" si="121"/>
        <v>107</v>
      </c>
      <c r="BH79" s="187">
        <f t="shared" si="122"/>
        <v>107</v>
      </c>
      <c r="BI79" s="187">
        <f>ROUND(IF(OR(M79=0,AY79="DATO NO DISPONIBLE"),0,AY79*M79*($BD$7+1)),0)</f>
        <v>107</v>
      </c>
      <c r="BJ79" s="187">
        <f t="shared" ref="BJ79:BJ142" si="126">ROUND(IF(OR(N79=0,AZ79="DATO NO DISPONIBLE"),0,AZ79*N79*($BD$7+1)),0)</f>
        <v>107</v>
      </c>
      <c r="BK79" s="187">
        <f t="shared" ref="BK79:BK142" si="127">ROUND(IF(OR(O79=0,BA79="DATO NO DISPONIBLE"),0,BA79*O79*($BD$7+1)),0)</f>
        <v>107</v>
      </c>
      <c r="BL79" s="187">
        <f t="shared" si="123"/>
        <v>107</v>
      </c>
      <c r="BM79" s="187">
        <f t="shared" si="124"/>
        <v>107</v>
      </c>
      <c r="BN79" s="188">
        <f>BD79*AM79</f>
        <v>52428288</v>
      </c>
      <c r="BO79" s="188">
        <f t="shared" ref="BO79:BO142" si="128">BE79*AN79</f>
        <v>69951357</v>
      </c>
      <c r="BP79" s="188">
        <f t="shared" ref="BP79:BP142" si="129">BF79*AO79</f>
        <v>74819001</v>
      </c>
      <c r="BQ79" s="188">
        <f t="shared" ref="BQ79:BQ142" si="130">BG79*AP79</f>
        <v>2433822</v>
      </c>
      <c r="BR79" s="188">
        <f t="shared" ref="BR79:BR142" si="131">BH79*AQ79</f>
        <v>2417130</v>
      </c>
      <c r="BS79" s="188">
        <f t="shared" si="108"/>
        <v>202049598</v>
      </c>
      <c r="BT79" s="188">
        <f t="shared" si="109"/>
        <v>52428288</v>
      </c>
      <c r="BU79" s="188">
        <f t="shared" si="110"/>
        <v>69951357</v>
      </c>
      <c r="BV79" s="188">
        <f t="shared" si="111"/>
        <v>74819001</v>
      </c>
      <c r="BW79" s="188">
        <f t="shared" si="112"/>
        <v>2433822</v>
      </c>
      <c r="BX79" s="188">
        <f t="shared" si="113"/>
        <v>2417130</v>
      </c>
      <c r="BY79" s="188">
        <f t="shared" si="114"/>
        <v>202049598</v>
      </c>
      <c r="BZ79" s="305">
        <f>IF(COT_PRECALCULOS!$D$24="Precios Iva Incluído",BI79,BD79)</f>
        <v>107</v>
      </c>
      <c r="CA79" s="305">
        <f>IF(COT_PRECALCULOS!$D$24="Precios Iva Incluído",BJ79,BE79)</f>
        <v>107</v>
      </c>
      <c r="CB79" s="305">
        <f>IF(COT_PRECALCULOS!$D$24="Precios Iva Incluído",BK79,BF79)</f>
        <v>107</v>
      </c>
      <c r="CC79" s="305">
        <f>IF(COT_PRECALCULOS!$D$24="Precios Iva Incluído",BL79,BG79)</f>
        <v>107</v>
      </c>
      <c r="CD79" s="305">
        <f>IF(COT_PRECALCULOS!$D$24="Precios Iva Incluído",BM79,BH79)</f>
        <v>107</v>
      </c>
      <c r="CE79" s="305">
        <f>IF(COT_PRECALCULOS!$D$24="Precios Iva Incluído",BT79,BN79)</f>
        <v>52428288</v>
      </c>
      <c r="CF79" s="305">
        <f>IF(COT_PRECALCULOS!$D$24="Precios Iva Incluído",BU79,BO79)</f>
        <v>69951357</v>
      </c>
      <c r="CG79" s="305">
        <f>IF(COT_PRECALCULOS!$D$24="Precios Iva Incluído",BV79,BP79)</f>
        <v>74819001</v>
      </c>
      <c r="CH79" s="305">
        <f>IF(COT_PRECALCULOS!$D$24="Precios Iva Incluído",BW79,BQ79)</f>
        <v>2433822</v>
      </c>
      <c r="CI79" s="305">
        <f>IF(COT_PRECALCULOS!$D$24="Precios Iva Incluído",BX79,BR79)</f>
        <v>2417130</v>
      </c>
    </row>
    <row r="80" spans="1:87">
      <c r="A80" s="182" t="s">
        <v>101</v>
      </c>
      <c r="B80" s="182" t="s">
        <v>98</v>
      </c>
      <c r="C80" s="189" t="str">
        <f t="shared" si="103"/>
        <v>F_PE7</v>
      </c>
      <c r="D80" s="189" t="str">
        <f t="shared" si="104"/>
        <v>17_P_</v>
      </c>
      <c r="E80" s="211" t="s">
        <v>1</v>
      </c>
      <c r="F80" s="211" t="s">
        <v>1</v>
      </c>
      <c r="G80" s="189" t="s">
        <v>20</v>
      </c>
      <c r="H80" s="211"/>
      <c r="I80" s="211" t="s">
        <v>52</v>
      </c>
      <c r="J80" s="211">
        <v>17</v>
      </c>
      <c r="K80" s="211" t="s">
        <v>53</v>
      </c>
      <c r="L80" s="189" t="s">
        <v>9</v>
      </c>
      <c r="M80" s="386">
        <v>0</v>
      </c>
      <c r="N80" s="211">
        <v>100</v>
      </c>
      <c r="O80" s="211">
        <v>100</v>
      </c>
      <c r="P80" s="211">
        <v>100</v>
      </c>
      <c r="Q80" s="211">
        <v>100</v>
      </c>
      <c r="R80" s="211" t="s">
        <v>73</v>
      </c>
      <c r="S80" s="183">
        <f t="shared" si="93"/>
        <v>2</v>
      </c>
      <c r="T80" s="386">
        <v>0</v>
      </c>
      <c r="U80" s="385">
        <f t="shared" si="94"/>
        <v>2</v>
      </c>
      <c r="V80" s="385">
        <f t="shared" si="94"/>
        <v>2</v>
      </c>
      <c r="W80" s="385">
        <f t="shared" si="94"/>
        <v>2</v>
      </c>
      <c r="X80" s="385">
        <f t="shared" si="94"/>
        <v>2</v>
      </c>
      <c r="Y80" s="184">
        <f t="shared" si="115"/>
        <v>0</v>
      </c>
      <c r="Z80" s="184">
        <f t="shared" si="95"/>
        <v>217917</v>
      </c>
      <c r="AA80" s="184">
        <f t="shared" si="96"/>
        <v>233081</v>
      </c>
      <c r="AB80" s="184">
        <f t="shared" si="97"/>
        <v>7582</v>
      </c>
      <c r="AC80" s="184">
        <f t="shared" si="98"/>
        <v>7530</v>
      </c>
      <c r="AD80" s="184">
        <f t="shared" si="116"/>
        <v>466110</v>
      </c>
      <c r="AE80" s="183">
        <f t="shared" si="86"/>
        <v>0</v>
      </c>
      <c r="AF80" s="385">
        <f t="shared" si="99"/>
        <v>0</v>
      </c>
      <c r="AG80" s="385">
        <f t="shared" si="99"/>
        <v>0</v>
      </c>
      <c r="AH80" s="385">
        <f t="shared" si="99"/>
        <v>0</v>
      </c>
      <c r="AI80" s="185">
        <f t="shared" si="117"/>
        <v>0</v>
      </c>
      <c r="AJ80" s="185">
        <f t="shared" si="118"/>
        <v>0</v>
      </c>
      <c r="AK80" s="185">
        <f t="shared" si="119"/>
        <v>0</v>
      </c>
      <c r="AL80" s="185">
        <f t="shared" si="120"/>
        <v>0</v>
      </c>
      <c r="AM80" s="173">
        <v>0</v>
      </c>
      <c r="AN80" s="173">
        <f t="shared" si="61"/>
        <v>435834</v>
      </c>
      <c r="AO80" s="173">
        <f t="shared" si="62"/>
        <v>466162</v>
      </c>
      <c r="AP80" s="173">
        <f t="shared" si="105"/>
        <v>15164</v>
      </c>
      <c r="AQ80" s="173">
        <f t="shared" si="106"/>
        <v>15060</v>
      </c>
      <c r="AR80" s="173">
        <f t="shared" si="107"/>
        <v>932220</v>
      </c>
      <c r="AS80" s="186" t="s">
        <v>1346</v>
      </c>
      <c r="AT80" s="300">
        <f t="shared" si="102"/>
        <v>2.11</v>
      </c>
      <c r="AU80" s="300">
        <f t="shared" si="102"/>
        <v>2.11</v>
      </c>
      <c r="AV80" s="300">
        <f t="shared" si="102"/>
        <v>2.11</v>
      </c>
      <c r="AW80" s="300">
        <f t="shared" si="102"/>
        <v>2.11</v>
      </c>
      <c r="AX80" s="300">
        <f t="shared" si="102"/>
        <v>2.11</v>
      </c>
      <c r="AY80" s="301">
        <f t="shared" si="125"/>
        <v>2.11</v>
      </c>
      <c r="AZ80" s="301">
        <f t="shared" si="125"/>
        <v>2.11</v>
      </c>
      <c r="BA80" s="301">
        <f t="shared" si="125"/>
        <v>2.11</v>
      </c>
      <c r="BB80" s="301">
        <f t="shared" si="125"/>
        <v>2.11</v>
      </c>
      <c r="BC80" s="301">
        <f t="shared" si="125"/>
        <v>2.11</v>
      </c>
      <c r="BD80" s="187"/>
      <c r="BE80" s="187">
        <f t="shared" si="64"/>
        <v>226</v>
      </c>
      <c r="BF80" s="187">
        <f t="shared" si="65"/>
        <v>226</v>
      </c>
      <c r="BG80" s="187">
        <f t="shared" si="121"/>
        <v>226</v>
      </c>
      <c r="BH80" s="187">
        <f t="shared" si="122"/>
        <v>226</v>
      </c>
      <c r="BI80" s="187"/>
      <c r="BJ80" s="187">
        <f t="shared" si="126"/>
        <v>226</v>
      </c>
      <c r="BK80" s="187">
        <f t="shared" si="127"/>
        <v>226</v>
      </c>
      <c r="BL80" s="187">
        <f t="shared" si="123"/>
        <v>226</v>
      </c>
      <c r="BM80" s="187">
        <f t="shared" si="124"/>
        <v>226</v>
      </c>
      <c r="BN80" s="188"/>
      <c r="BO80" s="188">
        <f t="shared" si="128"/>
        <v>98498484</v>
      </c>
      <c r="BP80" s="188">
        <f t="shared" si="129"/>
        <v>105352612</v>
      </c>
      <c r="BQ80" s="188">
        <f t="shared" si="130"/>
        <v>3427064</v>
      </c>
      <c r="BR80" s="188">
        <f t="shared" si="131"/>
        <v>3403560</v>
      </c>
      <c r="BS80" s="188">
        <f t="shared" si="108"/>
        <v>210681720</v>
      </c>
      <c r="BT80" s="188">
        <f t="shared" si="109"/>
        <v>0</v>
      </c>
      <c r="BU80" s="188">
        <f t="shared" si="110"/>
        <v>98498484</v>
      </c>
      <c r="BV80" s="188">
        <f t="shared" si="111"/>
        <v>105352612</v>
      </c>
      <c r="BW80" s="188">
        <f t="shared" si="112"/>
        <v>3427064</v>
      </c>
      <c r="BX80" s="188">
        <f t="shared" si="113"/>
        <v>3403560</v>
      </c>
      <c r="BY80" s="188">
        <f t="shared" si="114"/>
        <v>210681720</v>
      </c>
      <c r="BZ80" s="305">
        <f>IF(COT_PRECALCULOS!$D$24="Precios Iva Incluído",BI80,BD80)</f>
        <v>0</v>
      </c>
      <c r="CA80" s="305">
        <f>IF(COT_PRECALCULOS!$D$24="Precios Iva Incluído",BJ80,BE80)</f>
        <v>226</v>
      </c>
      <c r="CB80" s="305">
        <f>IF(COT_PRECALCULOS!$D$24="Precios Iva Incluído",BK80,BF80)</f>
        <v>226</v>
      </c>
      <c r="CC80" s="305">
        <f>IF(COT_PRECALCULOS!$D$24="Precios Iva Incluído",BL80,BG80)</f>
        <v>226</v>
      </c>
      <c r="CD80" s="305">
        <f>IF(COT_PRECALCULOS!$D$24="Precios Iva Incluído",BM80,BH80)</f>
        <v>226</v>
      </c>
      <c r="CE80" s="305">
        <f>IF(COT_PRECALCULOS!$D$24="Precios Iva Incluído",BT80,BN80)</f>
        <v>0</v>
      </c>
      <c r="CF80" s="305">
        <f>IF(COT_PRECALCULOS!$D$24="Precios Iva Incluído",BU80,BO80)</f>
        <v>98498484</v>
      </c>
      <c r="CG80" s="305">
        <f>IF(COT_PRECALCULOS!$D$24="Precios Iva Incluído",BV80,BP80)</f>
        <v>105352612</v>
      </c>
      <c r="CH80" s="305">
        <f>IF(COT_PRECALCULOS!$D$24="Precios Iva Incluído",BW80,BQ80)</f>
        <v>3427064</v>
      </c>
      <c r="CI80" s="305">
        <f>IF(COT_PRECALCULOS!$D$24="Precios Iva Incluído",BX80,BR80)</f>
        <v>3403560</v>
      </c>
    </row>
    <row r="81" spans="1:87">
      <c r="A81" s="182" t="s">
        <v>101</v>
      </c>
      <c r="B81" s="182" t="s">
        <v>98</v>
      </c>
      <c r="C81" s="189" t="str">
        <f t="shared" si="103"/>
        <v>F_PE7</v>
      </c>
      <c r="D81" s="189" t="str">
        <f t="shared" si="104"/>
        <v>22_P_</v>
      </c>
      <c r="E81" s="211" t="s">
        <v>1</v>
      </c>
      <c r="F81" s="211" t="s">
        <v>1</v>
      </c>
      <c r="G81" s="189" t="s">
        <v>20</v>
      </c>
      <c r="H81" s="211"/>
      <c r="I81" s="211" t="s">
        <v>50</v>
      </c>
      <c r="J81" s="211">
        <v>22</v>
      </c>
      <c r="K81" s="211" t="s">
        <v>51</v>
      </c>
      <c r="L81" s="189" t="s">
        <v>9</v>
      </c>
      <c r="M81" s="386">
        <v>0</v>
      </c>
      <c r="N81" s="211">
        <v>100</v>
      </c>
      <c r="O81" s="211">
        <v>100</v>
      </c>
      <c r="P81" s="211">
        <v>100</v>
      </c>
      <c r="Q81" s="211">
        <v>100</v>
      </c>
      <c r="R81" s="211" t="s">
        <v>73</v>
      </c>
      <c r="S81" s="183">
        <f t="shared" si="93"/>
        <v>0</v>
      </c>
      <c r="T81" s="386">
        <v>0</v>
      </c>
      <c r="U81" s="385">
        <f t="shared" si="94"/>
        <v>0</v>
      </c>
      <c r="V81" s="385">
        <f t="shared" si="94"/>
        <v>0</v>
      </c>
      <c r="W81" s="385">
        <f t="shared" si="94"/>
        <v>0</v>
      </c>
      <c r="X81" s="385">
        <f t="shared" si="94"/>
        <v>0</v>
      </c>
      <c r="Y81" s="184">
        <f t="shared" si="115"/>
        <v>0</v>
      </c>
      <c r="Z81" s="184">
        <f t="shared" si="95"/>
        <v>217917</v>
      </c>
      <c r="AA81" s="184">
        <f t="shared" si="96"/>
        <v>233081</v>
      </c>
      <c r="AB81" s="184">
        <f t="shared" si="97"/>
        <v>7582</v>
      </c>
      <c r="AC81" s="184">
        <f t="shared" si="98"/>
        <v>7530</v>
      </c>
      <c r="AD81" s="184">
        <f t="shared" si="116"/>
        <v>466110</v>
      </c>
      <c r="AE81" s="183">
        <f t="shared" si="86"/>
        <v>0</v>
      </c>
      <c r="AF81" s="385">
        <f t="shared" si="99"/>
        <v>0</v>
      </c>
      <c r="AG81" s="385">
        <f t="shared" si="99"/>
        <v>0</v>
      </c>
      <c r="AH81" s="385">
        <f t="shared" si="99"/>
        <v>0</v>
      </c>
      <c r="AI81" s="185">
        <f t="shared" si="117"/>
        <v>0</v>
      </c>
      <c r="AJ81" s="185">
        <f t="shared" si="118"/>
        <v>0</v>
      </c>
      <c r="AK81" s="185">
        <f t="shared" si="119"/>
        <v>0</v>
      </c>
      <c r="AL81" s="185">
        <f t="shared" si="120"/>
        <v>0</v>
      </c>
      <c r="AM81" s="173">
        <v>0</v>
      </c>
      <c r="AN81" s="173">
        <f t="shared" si="61"/>
        <v>0</v>
      </c>
      <c r="AO81" s="173">
        <f t="shared" si="62"/>
        <v>0</v>
      </c>
      <c r="AP81" s="173">
        <f t="shared" si="105"/>
        <v>0</v>
      </c>
      <c r="AQ81" s="173">
        <f t="shared" si="106"/>
        <v>0</v>
      </c>
      <c r="AR81" s="173">
        <f t="shared" si="107"/>
        <v>0</v>
      </c>
      <c r="AS81" s="186" t="s">
        <v>1346</v>
      </c>
      <c r="AT81" s="300">
        <f t="shared" ref="AT81:AX90" si="132">IF(ISERROR(IF(ISERROR(MATCH(CONCATENATE($J81,"_",AT$1),COT_PRE_CODIGO_ALIMENTOS,0)),IF(ISERROR(MATCH(CONCATENATE($J81,"_",AT$2),COT_PRE_CODIGO_ALIMENTOS,0)),IF(ISERROR(MATCH(CONCATENATE($J81,"_",AT$3),COT_PRE_CODIGO_ALIMENTOS,0)),IF(ISERROR(MATCH(CONCATENATE($J81,"_",AT$4),COT_PRE_CODIGO_ALIMENTOS,0)),IF(ISERROR(MATCH(CONCATENATE($J81,"_",AT$5),COT_PRE_CODIGO_ALIMENTOS,0)),IF(ISERROR(MATCH(CONCATENATE($J81,"_",AT$6),COT_PRE_CODIGO_ALIMENTOS,0)),IF(ISERROR(MATCH(CONCATENATE($J81,"_",AT$7),COT_PRE_CODIGO_ALIMENTOS,0)),IF(ISERROR(VLOOKUP($J81,COT_PRE_ALIMENTOS,AT$8,FALSE)),"DATO NO DISPONIBLE",VLOOKUP($J81,COT_PRE_ALIMENTOS,AT$8,FALSE)),VLOOKUP(CONCATENATE($J81,"_",AT$7),COT_PRE_ALIMENTOS,AT$8,FALSE)),VLOOKUP(CONCATENATE($J81,"_",AT$6),COT_PRE_ALIMENTOS,AT$8,FALSE)),VLOOKUP(CONCATENATE($J81,"_",AT$5),COT_PRE_ALIMENTOS,AT$8,FALSE)),VLOOKUP(CONCATENATE($J81,"_",AT$4),COT_PRE_ALIMENTOS,AT$8,FALSE)),VLOOKUP(CONCATENATE($J81,"_",AT$3),COT_PRE_ALIMENTOS,AT$8,FALSE)),VLOOKUP(CONCATENATE($J81,"_",AT$2),COT_PRE_ALIMENTOS,AT$8,FALSE)),VLOOKUP(CONCATENATE($J81,"_",AT$1),COT_PRE_ALIMENTOS,AT$8,FALSE))),"DATO NO DISPONIBLE",IF(ISERROR(MATCH(CONCATENATE($J81,"_",AT$1),COT_PRE_CODIGO_ALIMENTOS,0)),IF(ISERROR(MATCH(CONCATENATE($J81,"_",AT$2),COT_PRE_CODIGO_ALIMENTOS,0)),IF(ISERROR(MATCH(CONCATENATE($J81,"_",AT$3),COT_PRE_CODIGO_ALIMENTOS,0)),IF(ISERROR(MATCH(CONCATENATE($J81,"_",AT$4),COT_PRE_CODIGO_ALIMENTOS,0)),IF(ISERROR(MATCH(CONCATENATE($J81,"_",AT$5),COT_PRE_CODIGO_ALIMENTOS,0)),IF(ISERROR(MATCH(CONCATENATE($J81,"_",AT$6),COT_PRE_CODIGO_ALIMENTOS,0)),IF(ISERROR(MATCH(CONCATENATE($J81,"_",AT$7),COT_PRE_CODIGO_ALIMENTOS,0)),IF(ISERROR(VLOOKUP($J81,COT_PRE_ALIMENTOS,AT$8,FALSE)),"DATO NO DISPONIBLE",VLOOKUP($J81,COT_PRE_ALIMENTOS,AT$8,FALSE)),VLOOKUP(CONCATENATE($J81,"_",AT$7),COT_PRE_ALIMENTOS,AT$8,FALSE)),VLOOKUP(CONCATENATE($J81,"_",AT$6),COT_PRE_ALIMENTOS,AT$8,FALSE)),VLOOKUP(CONCATENATE($J81,"_",AT$5),COT_PRE_ALIMENTOS,AT$8,FALSE)),VLOOKUP(CONCATENATE($J81,"_",AT$4),COT_PRE_ALIMENTOS,AT$8,FALSE)),VLOOKUP(CONCATENATE($J81,"_",AT$3),COT_PRE_ALIMENTOS,AT$8,FALSE)),VLOOKUP(CONCATENATE($J81,"_",AT$2),COT_PRE_ALIMENTOS,AT$8,FALSE)),VLOOKUP(CONCATENATE($J81,"_",AT$1),COT_PRE_ALIMENTOS,AT$8,FALSE)))</f>
        <v>4.9124999999999996</v>
      </c>
      <c r="AU81" s="300">
        <f t="shared" si="132"/>
        <v>4.9124999999999996</v>
      </c>
      <c r="AV81" s="300">
        <f t="shared" si="132"/>
        <v>4.9124999999999996</v>
      </c>
      <c r="AW81" s="300">
        <f t="shared" si="132"/>
        <v>4.9124999999999996</v>
      </c>
      <c r="AX81" s="300">
        <f t="shared" si="132"/>
        <v>4.9124999999999996</v>
      </c>
      <c r="AY81" s="301">
        <f t="shared" si="125"/>
        <v>4.9124999999999996</v>
      </c>
      <c r="AZ81" s="301">
        <f t="shared" si="125"/>
        <v>4.9124999999999996</v>
      </c>
      <c r="BA81" s="301">
        <f t="shared" si="125"/>
        <v>4.9124999999999996</v>
      </c>
      <c r="BB81" s="301">
        <f t="shared" si="125"/>
        <v>4.9124999999999996</v>
      </c>
      <c r="BC81" s="301">
        <f t="shared" si="125"/>
        <v>4.9124999999999996</v>
      </c>
      <c r="BD81" s="187"/>
      <c r="BE81" s="187">
        <f t="shared" si="64"/>
        <v>525</v>
      </c>
      <c r="BF81" s="187">
        <f t="shared" si="65"/>
        <v>525</v>
      </c>
      <c r="BG81" s="187">
        <f t="shared" si="121"/>
        <v>525</v>
      </c>
      <c r="BH81" s="187">
        <f t="shared" si="122"/>
        <v>525</v>
      </c>
      <c r="BI81" s="187"/>
      <c r="BJ81" s="187">
        <f t="shared" si="126"/>
        <v>525</v>
      </c>
      <c r="BK81" s="187">
        <f t="shared" si="127"/>
        <v>525</v>
      </c>
      <c r="BL81" s="187">
        <f t="shared" si="123"/>
        <v>525</v>
      </c>
      <c r="BM81" s="187">
        <f t="shared" si="124"/>
        <v>525</v>
      </c>
      <c r="BN81" s="188"/>
      <c r="BO81" s="188">
        <f t="shared" si="128"/>
        <v>0</v>
      </c>
      <c r="BP81" s="188">
        <f t="shared" si="129"/>
        <v>0</v>
      </c>
      <c r="BQ81" s="188">
        <f t="shared" si="130"/>
        <v>0</v>
      </c>
      <c r="BR81" s="188">
        <f t="shared" si="131"/>
        <v>0</v>
      </c>
      <c r="BS81" s="188">
        <f t="shared" si="108"/>
        <v>0</v>
      </c>
      <c r="BT81" s="188">
        <f t="shared" si="109"/>
        <v>0</v>
      </c>
      <c r="BU81" s="188">
        <f t="shared" si="110"/>
        <v>0</v>
      </c>
      <c r="BV81" s="188">
        <f t="shared" si="111"/>
        <v>0</v>
      </c>
      <c r="BW81" s="188">
        <f t="shared" si="112"/>
        <v>0</v>
      </c>
      <c r="BX81" s="188">
        <f t="shared" si="113"/>
        <v>0</v>
      </c>
      <c r="BY81" s="188">
        <f t="shared" si="114"/>
        <v>0</v>
      </c>
      <c r="BZ81" s="305">
        <f>IF(COT_PRECALCULOS!$D$24="Precios Iva Incluído",BI81,BD81)</f>
        <v>0</v>
      </c>
      <c r="CA81" s="305">
        <f>IF(COT_PRECALCULOS!$D$24="Precios Iva Incluído",BJ81,BE81)</f>
        <v>525</v>
      </c>
      <c r="CB81" s="305">
        <f>IF(COT_PRECALCULOS!$D$24="Precios Iva Incluído",BK81,BF81)</f>
        <v>525</v>
      </c>
      <c r="CC81" s="305">
        <f>IF(COT_PRECALCULOS!$D$24="Precios Iva Incluído",BL81,BG81)</f>
        <v>525</v>
      </c>
      <c r="CD81" s="305">
        <f>IF(COT_PRECALCULOS!$D$24="Precios Iva Incluído",BM81,BH81)</f>
        <v>525</v>
      </c>
      <c r="CE81" s="305">
        <f>IF(COT_PRECALCULOS!$D$24="Precios Iva Incluído",BT81,BN81)</f>
        <v>0</v>
      </c>
      <c r="CF81" s="305">
        <f>IF(COT_PRECALCULOS!$D$24="Precios Iva Incluído",BU81,BO81)</f>
        <v>0</v>
      </c>
      <c r="CG81" s="305">
        <f>IF(COT_PRECALCULOS!$D$24="Precios Iva Incluído",BV81,BP81)</f>
        <v>0</v>
      </c>
      <c r="CH81" s="305">
        <f>IF(COT_PRECALCULOS!$D$24="Precios Iva Incluído",BW81,BQ81)</f>
        <v>0</v>
      </c>
      <c r="CI81" s="305">
        <f>IF(COT_PRECALCULOS!$D$24="Precios Iva Incluído",BX81,BR81)</f>
        <v>0</v>
      </c>
    </row>
    <row r="82" spans="1:87">
      <c r="A82" s="182" t="s">
        <v>101</v>
      </c>
      <c r="B82" s="182" t="s">
        <v>98</v>
      </c>
      <c r="C82" s="189" t="str">
        <f t="shared" si="103"/>
        <v>F_PE7</v>
      </c>
      <c r="D82" s="189" t="str">
        <f t="shared" si="104"/>
        <v>33_P_</v>
      </c>
      <c r="E82" s="211" t="s">
        <v>1</v>
      </c>
      <c r="F82" s="211" t="s">
        <v>1</v>
      </c>
      <c r="G82" s="189" t="s">
        <v>20</v>
      </c>
      <c r="H82" s="211"/>
      <c r="I82" s="211" t="s">
        <v>58</v>
      </c>
      <c r="J82" s="211">
        <v>33</v>
      </c>
      <c r="K82" s="211" t="s">
        <v>59</v>
      </c>
      <c r="L82" s="189" t="s">
        <v>48</v>
      </c>
      <c r="M82" s="310">
        <v>90</v>
      </c>
      <c r="N82" s="310">
        <v>90</v>
      </c>
      <c r="O82" s="310">
        <v>90</v>
      </c>
      <c r="P82" s="310">
        <v>90</v>
      </c>
      <c r="Q82" s="310">
        <v>90</v>
      </c>
      <c r="R82" s="211"/>
      <c r="S82" s="388">
        <v>6</v>
      </c>
      <c r="T82" s="388">
        <f>$S82</f>
        <v>6</v>
      </c>
      <c r="U82" s="388">
        <v>0</v>
      </c>
      <c r="V82" s="388">
        <v>0</v>
      </c>
      <c r="W82" s="388">
        <v>0</v>
      </c>
      <c r="X82" s="388">
        <v>0</v>
      </c>
      <c r="Y82" s="184">
        <f t="shared" si="115"/>
        <v>163328</v>
      </c>
      <c r="Z82" s="184">
        <v>0</v>
      </c>
      <c r="AA82" s="184">
        <v>0</v>
      </c>
      <c r="AB82" s="184">
        <v>0</v>
      </c>
      <c r="AC82" s="184">
        <v>0</v>
      </c>
      <c r="AD82" s="184">
        <f t="shared" si="116"/>
        <v>163328</v>
      </c>
      <c r="AE82" s="183">
        <f t="shared" si="86"/>
        <v>0</v>
      </c>
      <c r="AF82" s="385">
        <f t="shared" si="99"/>
        <v>0</v>
      </c>
      <c r="AG82" s="385">
        <f t="shared" si="99"/>
        <v>0</v>
      </c>
      <c r="AH82" s="385">
        <f t="shared" si="99"/>
        <v>0</v>
      </c>
      <c r="AI82" s="185">
        <f t="shared" si="117"/>
        <v>0</v>
      </c>
      <c r="AJ82" s="185">
        <f t="shared" si="118"/>
        <v>0</v>
      </c>
      <c r="AK82" s="185">
        <f t="shared" si="119"/>
        <v>0</v>
      </c>
      <c r="AL82" s="185">
        <f t="shared" si="120"/>
        <v>0</v>
      </c>
      <c r="AM82" s="173">
        <f t="shared" ref="AM82:AM88" si="133">($S82*Y82)+($AE82*AI82)</f>
        <v>979968</v>
      </c>
      <c r="AN82" s="173">
        <f t="shared" si="61"/>
        <v>0</v>
      </c>
      <c r="AO82" s="173">
        <f t="shared" si="62"/>
        <v>0</v>
      </c>
      <c r="AP82" s="173">
        <f t="shared" si="105"/>
        <v>0</v>
      </c>
      <c r="AQ82" s="173">
        <f t="shared" si="106"/>
        <v>0</v>
      </c>
      <c r="AR82" s="173">
        <f t="shared" si="107"/>
        <v>979968</v>
      </c>
      <c r="AS82" s="186" t="s">
        <v>1346</v>
      </c>
      <c r="AT82" s="300">
        <f t="shared" si="132"/>
        <v>2.8014999999999999</v>
      </c>
      <c r="AU82" s="300">
        <f t="shared" si="132"/>
        <v>2.8014999999999999</v>
      </c>
      <c r="AV82" s="300">
        <f t="shared" si="132"/>
        <v>2.8014999999999999</v>
      </c>
      <c r="AW82" s="300">
        <f t="shared" si="132"/>
        <v>2.8014999999999999</v>
      </c>
      <c r="AX82" s="300">
        <f t="shared" si="132"/>
        <v>2.8014999999999999</v>
      </c>
      <c r="AY82" s="301">
        <f t="shared" si="125"/>
        <v>2.8014999999999999</v>
      </c>
      <c r="AZ82" s="301">
        <f t="shared" si="125"/>
        <v>2.8014999999999999</v>
      </c>
      <c r="BA82" s="301">
        <f t="shared" si="125"/>
        <v>2.8014999999999999</v>
      </c>
      <c r="BB82" s="301">
        <f t="shared" si="125"/>
        <v>2.8014999999999999</v>
      </c>
      <c r="BC82" s="301">
        <f t="shared" si="125"/>
        <v>2.8014999999999999</v>
      </c>
      <c r="BD82" s="187">
        <f>ROUND(IF(OR(M82=0,AT82="DATO NO DISPONIBLE"),"",AT82*M82*($BD$7+1)),0)</f>
        <v>270</v>
      </c>
      <c r="BE82" s="187">
        <f t="shared" si="64"/>
        <v>270</v>
      </c>
      <c r="BF82" s="187">
        <f t="shared" si="65"/>
        <v>270</v>
      </c>
      <c r="BG82" s="187">
        <f t="shared" si="121"/>
        <v>270</v>
      </c>
      <c r="BH82" s="187">
        <f t="shared" si="122"/>
        <v>270</v>
      </c>
      <c r="BI82" s="187">
        <f>ROUND(IF(OR(M82=0,AY82="DATO NO DISPONIBLE"),0,AY82*M82*($BD$7+1)),0)</f>
        <v>270</v>
      </c>
      <c r="BJ82" s="187">
        <f t="shared" si="126"/>
        <v>270</v>
      </c>
      <c r="BK82" s="187">
        <f t="shared" si="127"/>
        <v>270</v>
      </c>
      <c r="BL82" s="187">
        <f t="shared" si="123"/>
        <v>270</v>
      </c>
      <c r="BM82" s="187">
        <f t="shared" si="124"/>
        <v>270</v>
      </c>
      <c r="BN82" s="188">
        <f>BD82*AM82</f>
        <v>264591360</v>
      </c>
      <c r="BO82" s="188">
        <f t="shared" si="128"/>
        <v>0</v>
      </c>
      <c r="BP82" s="188">
        <f t="shared" si="129"/>
        <v>0</v>
      </c>
      <c r="BQ82" s="188">
        <f t="shared" si="130"/>
        <v>0</v>
      </c>
      <c r="BR82" s="188">
        <f t="shared" si="131"/>
        <v>0</v>
      </c>
      <c r="BS82" s="188">
        <f t="shared" si="108"/>
        <v>264591360</v>
      </c>
      <c r="BT82" s="188">
        <f t="shared" si="109"/>
        <v>264591360</v>
      </c>
      <c r="BU82" s="188">
        <f t="shared" si="110"/>
        <v>0</v>
      </c>
      <c r="BV82" s="188">
        <f t="shared" si="111"/>
        <v>0</v>
      </c>
      <c r="BW82" s="188">
        <f t="shared" si="112"/>
        <v>0</v>
      </c>
      <c r="BX82" s="188">
        <f t="shared" si="113"/>
        <v>0</v>
      </c>
      <c r="BY82" s="188">
        <f t="shared" si="114"/>
        <v>264591360</v>
      </c>
      <c r="BZ82" s="305">
        <f>IF(COT_PRECALCULOS!$D$24="Precios Iva Incluído",BI82,BD82)</f>
        <v>270</v>
      </c>
      <c r="CA82" s="305">
        <f>IF(COT_PRECALCULOS!$D$24="Precios Iva Incluído",BJ82,BE82)</f>
        <v>270</v>
      </c>
      <c r="CB82" s="305">
        <f>IF(COT_PRECALCULOS!$D$24="Precios Iva Incluído",BK82,BF82)</f>
        <v>270</v>
      </c>
      <c r="CC82" s="305">
        <f>IF(COT_PRECALCULOS!$D$24="Precios Iva Incluído",BL82,BG82)</f>
        <v>270</v>
      </c>
      <c r="CD82" s="305">
        <f>IF(COT_PRECALCULOS!$D$24="Precios Iva Incluído",BM82,BH82)</f>
        <v>270</v>
      </c>
      <c r="CE82" s="305">
        <f>IF(COT_PRECALCULOS!$D$24="Precios Iva Incluído",BT82,BN82)</f>
        <v>264591360</v>
      </c>
      <c r="CF82" s="305">
        <f>IF(COT_PRECALCULOS!$D$24="Precios Iva Incluído",BU82,BO82)</f>
        <v>0</v>
      </c>
      <c r="CG82" s="305">
        <f>IF(COT_PRECALCULOS!$D$24="Precios Iva Incluído",BV82,BP82)</f>
        <v>0</v>
      </c>
      <c r="CH82" s="305">
        <f>IF(COT_PRECALCULOS!$D$24="Precios Iva Incluído",BW82,BQ82)</f>
        <v>0</v>
      </c>
      <c r="CI82" s="305">
        <f>IF(COT_PRECALCULOS!$D$24="Precios Iva Incluído",BX82,BR82)</f>
        <v>0</v>
      </c>
    </row>
    <row r="83" spans="1:87">
      <c r="A83" s="182" t="s">
        <v>101</v>
      </c>
      <c r="B83" s="182" t="s">
        <v>98</v>
      </c>
      <c r="C83" s="189" t="str">
        <f t="shared" si="103"/>
        <v>F_PE7</v>
      </c>
      <c r="D83" s="189" t="str">
        <f t="shared" si="104"/>
        <v>42_P_</v>
      </c>
      <c r="E83" s="211" t="s">
        <v>1</v>
      </c>
      <c r="F83" s="211" t="s">
        <v>1</v>
      </c>
      <c r="G83" s="189" t="s">
        <v>20</v>
      </c>
      <c r="H83" s="211"/>
      <c r="I83" s="211" t="s">
        <v>49</v>
      </c>
      <c r="J83" s="211">
        <v>42</v>
      </c>
      <c r="K83" s="211" t="s">
        <v>61</v>
      </c>
      <c r="L83" s="189" t="s">
        <v>9</v>
      </c>
      <c r="M83" s="211">
        <v>100</v>
      </c>
      <c r="N83" s="211">
        <v>100</v>
      </c>
      <c r="O83" s="211">
        <v>100</v>
      </c>
      <c r="P83" s="211">
        <v>100</v>
      </c>
      <c r="Q83" s="211">
        <v>100</v>
      </c>
      <c r="R83" s="211"/>
      <c r="S83" s="183">
        <f t="shared" ref="S83:S91" si="134">COUNTIF(CAL_PRIMERA_ENTREGA_FRUTA,CONCATENATE(G83,"_",J83))</f>
        <v>1</v>
      </c>
      <c r="T83" s="385">
        <f>$S83</f>
        <v>1</v>
      </c>
      <c r="U83" s="385">
        <f t="shared" ref="U83:X91" si="135">$S83</f>
        <v>1</v>
      </c>
      <c r="V83" s="385">
        <f t="shared" si="135"/>
        <v>1</v>
      </c>
      <c r="W83" s="385">
        <f t="shared" si="135"/>
        <v>1</v>
      </c>
      <c r="X83" s="385">
        <f t="shared" si="135"/>
        <v>1</v>
      </c>
      <c r="Y83" s="184">
        <f t="shared" si="115"/>
        <v>163328</v>
      </c>
      <c r="Z83" s="184">
        <f t="shared" ref="Z83:Z91" si="136">IF(N83&lt;&gt;0,VLOOKUP(A83,FRE_CANTIDADES_DIARIAS_SUMINISTROS,5,FALSE),0)</f>
        <v>217917</v>
      </c>
      <c r="AA83" s="184">
        <f t="shared" ref="AA83:AA91" si="137">IF(O83&lt;&gt;0,VLOOKUP(A83,FRE_CANTIDADES_DIARIAS_SUMINISTROS,6,FALSE),0)</f>
        <v>233081</v>
      </c>
      <c r="AB83" s="184">
        <f t="shared" ref="AB83:AB91" si="138">IF(P83&lt;&gt;0,VLOOKUP(A83,FRE_CANTIDADES_DIARIAS_SUMINISTROS,7,FALSE),0)</f>
        <v>7582</v>
      </c>
      <c r="AC83" s="184">
        <f t="shared" ref="AC83:AC91" si="139">IF(Q83&lt;&gt;0,VLOOKUP(A83,FRE_CANTIDADES_DIARIAS_SUMINISTROS,8,FALSE),0)</f>
        <v>7530</v>
      </c>
      <c r="AD83" s="184">
        <f t="shared" si="116"/>
        <v>629438</v>
      </c>
      <c r="AE83" s="183">
        <f t="shared" ref="AE83:AE114" si="140">IF(ISERROR(VLOOKUP(G83,FRE_FRECUENCIA_MENUS_FDS,2,FALSE)),0,VLOOKUP(G83,FRE_FRECUENCIA_MENUS_FDS,2,FALSE))</f>
        <v>0</v>
      </c>
      <c r="AF83" s="385">
        <f t="shared" si="99"/>
        <v>0</v>
      </c>
      <c r="AG83" s="385">
        <f t="shared" si="99"/>
        <v>0</v>
      </c>
      <c r="AH83" s="385">
        <f t="shared" si="99"/>
        <v>0</v>
      </c>
      <c r="AI83" s="185">
        <f t="shared" si="117"/>
        <v>0</v>
      </c>
      <c r="AJ83" s="185">
        <f t="shared" si="118"/>
        <v>0</v>
      </c>
      <c r="AK83" s="185">
        <f t="shared" si="119"/>
        <v>0</v>
      </c>
      <c r="AL83" s="185">
        <f t="shared" si="120"/>
        <v>0</v>
      </c>
      <c r="AM83" s="173">
        <f t="shared" si="133"/>
        <v>163328</v>
      </c>
      <c r="AN83" s="173">
        <f t="shared" si="61"/>
        <v>217917</v>
      </c>
      <c r="AO83" s="173">
        <f t="shared" si="62"/>
        <v>233081</v>
      </c>
      <c r="AP83" s="173">
        <f t="shared" si="105"/>
        <v>7582</v>
      </c>
      <c r="AQ83" s="173">
        <f t="shared" si="106"/>
        <v>7530</v>
      </c>
      <c r="AR83" s="173">
        <f t="shared" si="107"/>
        <v>629438</v>
      </c>
      <c r="AS83" s="186" t="s">
        <v>1346</v>
      </c>
      <c r="AT83" s="300">
        <f t="shared" si="132"/>
        <v>1.8169999999999999</v>
      </c>
      <c r="AU83" s="300">
        <f t="shared" si="132"/>
        <v>1.8169999999999999</v>
      </c>
      <c r="AV83" s="300">
        <f t="shared" si="132"/>
        <v>1.8169999999999999</v>
      </c>
      <c r="AW83" s="300">
        <f t="shared" si="132"/>
        <v>1.8169999999999999</v>
      </c>
      <c r="AX83" s="300">
        <f t="shared" si="132"/>
        <v>1.8169999999999999</v>
      </c>
      <c r="AY83" s="301">
        <f t="shared" si="125"/>
        <v>1.8169999999999999</v>
      </c>
      <c r="AZ83" s="301">
        <f t="shared" si="125"/>
        <v>1.8169999999999999</v>
      </c>
      <c r="BA83" s="301">
        <f t="shared" si="125"/>
        <v>1.8169999999999999</v>
      </c>
      <c r="BB83" s="301">
        <f t="shared" si="125"/>
        <v>1.8169999999999999</v>
      </c>
      <c r="BC83" s="301">
        <f t="shared" si="125"/>
        <v>1.8169999999999999</v>
      </c>
      <c r="BD83" s="187">
        <f>ROUND(IF(OR(M83=0,AT83="DATO NO DISPONIBLE"),"",AT83*M83*($BD$7+1)),0)</f>
        <v>194</v>
      </c>
      <c r="BE83" s="187">
        <f t="shared" si="64"/>
        <v>194</v>
      </c>
      <c r="BF83" s="187">
        <f t="shared" si="65"/>
        <v>194</v>
      </c>
      <c r="BG83" s="187">
        <f t="shared" si="121"/>
        <v>194</v>
      </c>
      <c r="BH83" s="187">
        <f t="shared" si="122"/>
        <v>194</v>
      </c>
      <c r="BI83" s="187">
        <f>ROUND(IF(OR(M83=0,AY83="DATO NO DISPONIBLE"),0,AY83*M83*($BD$7+1)),0)</f>
        <v>194</v>
      </c>
      <c r="BJ83" s="187">
        <f t="shared" si="126"/>
        <v>194</v>
      </c>
      <c r="BK83" s="187">
        <f t="shared" si="127"/>
        <v>194</v>
      </c>
      <c r="BL83" s="187">
        <f t="shared" si="123"/>
        <v>194</v>
      </c>
      <c r="BM83" s="187">
        <f t="shared" si="124"/>
        <v>194</v>
      </c>
      <c r="BN83" s="188">
        <f>BD83*AM83</f>
        <v>31685632</v>
      </c>
      <c r="BO83" s="188">
        <f t="shared" si="128"/>
        <v>42275898</v>
      </c>
      <c r="BP83" s="188">
        <f t="shared" si="129"/>
        <v>45217714</v>
      </c>
      <c r="BQ83" s="188">
        <f t="shared" si="130"/>
        <v>1470908</v>
      </c>
      <c r="BR83" s="188">
        <f t="shared" si="131"/>
        <v>1460820</v>
      </c>
      <c r="BS83" s="188">
        <f t="shared" si="108"/>
        <v>122110972</v>
      </c>
      <c r="BT83" s="188">
        <f t="shared" si="109"/>
        <v>31685632</v>
      </c>
      <c r="BU83" s="188">
        <f t="shared" si="110"/>
        <v>42275898</v>
      </c>
      <c r="BV83" s="188">
        <f t="shared" si="111"/>
        <v>45217714</v>
      </c>
      <c r="BW83" s="188">
        <f t="shared" si="112"/>
        <v>1470908</v>
      </c>
      <c r="BX83" s="188">
        <f t="shared" si="113"/>
        <v>1460820</v>
      </c>
      <c r="BY83" s="188">
        <f t="shared" si="114"/>
        <v>122110972</v>
      </c>
      <c r="BZ83" s="305">
        <f>IF(COT_PRECALCULOS!$D$24="Precios Iva Incluído",BI83,BD83)</f>
        <v>194</v>
      </c>
      <c r="CA83" s="305">
        <f>IF(COT_PRECALCULOS!$D$24="Precios Iva Incluído",BJ83,BE83)</f>
        <v>194</v>
      </c>
      <c r="CB83" s="305">
        <f>IF(COT_PRECALCULOS!$D$24="Precios Iva Incluído",BK83,BF83)</f>
        <v>194</v>
      </c>
      <c r="CC83" s="305">
        <f>IF(COT_PRECALCULOS!$D$24="Precios Iva Incluído",BL83,BG83)</f>
        <v>194</v>
      </c>
      <c r="CD83" s="305">
        <f>IF(COT_PRECALCULOS!$D$24="Precios Iva Incluído",BM83,BH83)</f>
        <v>194</v>
      </c>
      <c r="CE83" s="305">
        <f>IF(COT_PRECALCULOS!$D$24="Precios Iva Incluído",BT83,BN83)</f>
        <v>31685632</v>
      </c>
      <c r="CF83" s="305">
        <f>IF(COT_PRECALCULOS!$D$24="Precios Iva Incluído",BU83,BO83)</f>
        <v>42275898</v>
      </c>
      <c r="CG83" s="305">
        <f>IF(COT_PRECALCULOS!$D$24="Precios Iva Incluído",BV83,BP83)</f>
        <v>45217714</v>
      </c>
      <c r="CH83" s="305">
        <f>IF(COT_PRECALCULOS!$D$24="Precios Iva Incluído",BW83,BQ83)</f>
        <v>1470908</v>
      </c>
      <c r="CI83" s="305">
        <f>IF(COT_PRECALCULOS!$D$24="Precios Iva Incluído",BX83,BR83)</f>
        <v>1460820</v>
      </c>
    </row>
    <row r="84" spans="1:87">
      <c r="A84" s="182" t="s">
        <v>101</v>
      </c>
      <c r="B84" s="182" t="s">
        <v>98</v>
      </c>
      <c r="C84" s="189" t="str">
        <f t="shared" si="103"/>
        <v>F_PE7</v>
      </c>
      <c r="D84" s="189" t="str">
        <f t="shared" si="104"/>
        <v>43_P_</v>
      </c>
      <c r="E84" s="190" t="s">
        <v>1</v>
      </c>
      <c r="F84" s="190" t="s">
        <v>1</v>
      </c>
      <c r="G84" s="189" t="s">
        <v>20</v>
      </c>
      <c r="H84" s="190"/>
      <c r="I84" s="190" t="s">
        <v>60</v>
      </c>
      <c r="J84" s="190">
        <v>43</v>
      </c>
      <c r="K84" s="190" t="s">
        <v>62</v>
      </c>
      <c r="L84" s="189" t="s">
        <v>9</v>
      </c>
      <c r="M84" s="211">
        <v>100</v>
      </c>
      <c r="N84" s="211">
        <v>100</v>
      </c>
      <c r="O84" s="211">
        <v>100</v>
      </c>
      <c r="P84" s="211">
        <v>100</v>
      </c>
      <c r="Q84" s="211">
        <v>100</v>
      </c>
      <c r="R84" s="190"/>
      <c r="S84" s="183">
        <f t="shared" si="134"/>
        <v>1</v>
      </c>
      <c r="T84" s="385">
        <f>$S84</f>
        <v>1</v>
      </c>
      <c r="U84" s="385">
        <f t="shared" si="135"/>
        <v>1</v>
      </c>
      <c r="V84" s="385">
        <f t="shared" si="135"/>
        <v>1</v>
      </c>
      <c r="W84" s="385">
        <f t="shared" si="135"/>
        <v>1</v>
      </c>
      <c r="X84" s="385">
        <f t="shared" si="135"/>
        <v>1</v>
      </c>
      <c r="Y84" s="184">
        <f t="shared" si="115"/>
        <v>163328</v>
      </c>
      <c r="Z84" s="184">
        <f t="shared" si="136"/>
        <v>217917</v>
      </c>
      <c r="AA84" s="184">
        <f t="shared" si="137"/>
        <v>233081</v>
      </c>
      <c r="AB84" s="184">
        <f t="shared" si="138"/>
        <v>7582</v>
      </c>
      <c r="AC84" s="184">
        <f t="shared" si="139"/>
        <v>7530</v>
      </c>
      <c r="AD84" s="184">
        <f t="shared" si="116"/>
        <v>629438</v>
      </c>
      <c r="AE84" s="183">
        <f t="shared" si="140"/>
        <v>0</v>
      </c>
      <c r="AF84" s="385">
        <f t="shared" si="99"/>
        <v>0</v>
      </c>
      <c r="AG84" s="385">
        <f t="shared" si="99"/>
        <v>0</v>
      </c>
      <c r="AH84" s="385">
        <f t="shared" si="99"/>
        <v>0</v>
      </c>
      <c r="AI84" s="185">
        <f t="shared" si="117"/>
        <v>0</v>
      </c>
      <c r="AJ84" s="185">
        <f t="shared" si="118"/>
        <v>0</v>
      </c>
      <c r="AK84" s="185">
        <f t="shared" si="119"/>
        <v>0</v>
      </c>
      <c r="AL84" s="185">
        <f t="shared" si="120"/>
        <v>0</v>
      </c>
      <c r="AM84" s="173">
        <f t="shared" si="133"/>
        <v>163328</v>
      </c>
      <c r="AN84" s="173">
        <f t="shared" si="61"/>
        <v>217917</v>
      </c>
      <c r="AO84" s="173">
        <f t="shared" si="62"/>
        <v>233081</v>
      </c>
      <c r="AP84" s="173">
        <f t="shared" si="105"/>
        <v>7582</v>
      </c>
      <c r="AQ84" s="173">
        <f t="shared" si="106"/>
        <v>7530</v>
      </c>
      <c r="AR84" s="173">
        <f t="shared" si="107"/>
        <v>629438</v>
      </c>
      <c r="AS84" s="186" t="s">
        <v>1346</v>
      </c>
      <c r="AT84" s="300">
        <f t="shared" si="132"/>
        <v>1.5892500000000001</v>
      </c>
      <c r="AU84" s="300">
        <f t="shared" si="132"/>
        <v>1.5892500000000001</v>
      </c>
      <c r="AV84" s="300">
        <f t="shared" si="132"/>
        <v>1.5892500000000001</v>
      </c>
      <c r="AW84" s="300">
        <f t="shared" si="132"/>
        <v>1.5892500000000001</v>
      </c>
      <c r="AX84" s="300">
        <f t="shared" si="132"/>
        <v>1.5892500000000001</v>
      </c>
      <c r="AY84" s="301">
        <f t="shared" si="125"/>
        <v>1.5892500000000001</v>
      </c>
      <c r="AZ84" s="301">
        <f t="shared" si="125"/>
        <v>1.5892500000000001</v>
      </c>
      <c r="BA84" s="301">
        <f t="shared" si="125"/>
        <v>1.5892500000000001</v>
      </c>
      <c r="BB84" s="301">
        <f t="shared" si="125"/>
        <v>1.5892500000000001</v>
      </c>
      <c r="BC84" s="301">
        <f t="shared" si="125"/>
        <v>1.5892500000000001</v>
      </c>
      <c r="BD84" s="187">
        <f>ROUND(IF(OR(M84=0,AT84="DATO NO DISPONIBLE"),"",AT84*M84*($BD$7+1)),0)</f>
        <v>170</v>
      </c>
      <c r="BE84" s="187">
        <f t="shared" si="64"/>
        <v>170</v>
      </c>
      <c r="BF84" s="187">
        <f t="shared" si="65"/>
        <v>170</v>
      </c>
      <c r="BG84" s="187">
        <f t="shared" si="121"/>
        <v>170</v>
      </c>
      <c r="BH84" s="187">
        <f t="shared" si="122"/>
        <v>170</v>
      </c>
      <c r="BI84" s="187">
        <f>ROUND(IF(OR(M84=0,AY84="DATO NO DISPONIBLE"),0,AY84*M84*($BD$7+1)),0)</f>
        <v>170</v>
      </c>
      <c r="BJ84" s="187">
        <f t="shared" si="126"/>
        <v>170</v>
      </c>
      <c r="BK84" s="187">
        <f t="shared" si="127"/>
        <v>170</v>
      </c>
      <c r="BL84" s="187">
        <f t="shared" si="123"/>
        <v>170</v>
      </c>
      <c r="BM84" s="187">
        <f t="shared" si="124"/>
        <v>170</v>
      </c>
      <c r="BN84" s="188">
        <f>BD84*AM84</f>
        <v>27765760</v>
      </c>
      <c r="BO84" s="188">
        <f t="shared" si="128"/>
        <v>37045890</v>
      </c>
      <c r="BP84" s="188">
        <f t="shared" si="129"/>
        <v>39623770</v>
      </c>
      <c r="BQ84" s="188">
        <f t="shared" si="130"/>
        <v>1288940</v>
      </c>
      <c r="BR84" s="188">
        <f t="shared" si="131"/>
        <v>1280100</v>
      </c>
      <c r="BS84" s="188">
        <f t="shared" si="108"/>
        <v>107004460</v>
      </c>
      <c r="BT84" s="188">
        <f t="shared" si="109"/>
        <v>27765760</v>
      </c>
      <c r="BU84" s="188">
        <f t="shared" si="110"/>
        <v>37045890</v>
      </c>
      <c r="BV84" s="188">
        <f t="shared" si="111"/>
        <v>39623770</v>
      </c>
      <c r="BW84" s="188">
        <f t="shared" si="112"/>
        <v>1288940</v>
      </c>
      <c r="BX84" s="188">
        <f t="shared" si="113"/>
        <v>1280100</v>
      </c>
      <c r="BY84" s="188">
        <f t="shared" si="114"/>
        <v>107004460</v>
      </c>
      <c r="BZ84" s="305">
        <f>IF(COT_PRECALCULOS!$D$24="Precios Iva Incluído",BI84,BD84)</f>
        <v>170</v>
      </c>
      <c r="CA84" s="305">
        <f>IF(COT_PRECALCULOS!$D$24="Precios Iva Incluído",BJ84,BE84)</f>
        <v>170</v>
      </c>
      <c r="CB84" s="305">
        <f>IF(COT_PRECALCULOS!$D$24="Precios Iva Incluído",BK84,BF84)</f>
        <v>170</v>
      </c>
      <c r="CC84" s="305">
        <f>IF(COT_PRECALCULOS!$D$24="Precios Iva Incluído",BL84,BG84)</f>
        <v>170</v>
      </c>
      <c r="CD84" s="305">
        <f>IF(COT_PRECALCULOS!$D$24="Precios Iva Incluído",BM84,BH84)</f>
        <v>170</v>
      </c>
      <c r="CE84" s="305">
        <f>IF(COT_PRECALCULOS!$D$24="Precios Iva Incluído",BT84,BN84)</f>
        <v>27765760</v>
      </c>
      <c r="CF84" s="305">
        <f>IF(COT_PRECALCULOS!$D$24="Precios Iva Incluído",BU84,BO84)</f>
        <v>37045890</v>
      </c>
      <c r="CG84" s="305">
        <f>IF(COT_PRECALCULOS!$D$24="Precios Iva Incluído",BV84,BP84)</f>
        <v>39623770</v>
      </c>
      <c r="CH84" s="305">
        <f>IF(COT_PRECALCULOS!$D$24="Precios Iva Incluído",BW84,BQ84)</f>
        <v>1288940</v>
      </c>
      <c r="CI84" s="305">
        <f>IF(COT_PRECALCULOS!$D$24="Precios Iva Incluído",BX84,BR84)</f>
        <v>1280100</v>
      </c>
    </row>
    <row r="85" spans="1:87">
      <c r="A85" s="182" t="s">
        <v>101</v>
      </c>
      <c r="B85" s="182" t="s">
        <v>98</v>
      </c>
      <c r="C85" s="189" t="str">
        <f t="shared" si="103"/>
        <v>F_PE7</v>
      </c>
      <c r="D85" s="189" t="str">
        <f t="shared" si="104"/>
        <v>46_P_</v>
      </c>
      <c r="E85" s="190" t="s">
        <v>1</v>
      </c>
      <c r="F85" s="190" t="s">
        <v>1</v>
      </c>
      <c r="G85" s="189" t="s">
        <v>20</v>
      </c>
      <c r="H85" s="190"/>
      <c r="I85" s="190" t="s">
        <v>63</v>
      </c>
      <c r="J85" s="190">
        <v>46</v>
      </c>
      <c r="K85" s="190" t="s">
        <v>64</v>
      </c>
      <c r="L85" s="189" t="s">
        <v>9</v>
      </c>
      <c r="M85" s="211">
        <v>100</v>
      </c>
      <c r="N85" s="211">
        <v>100</v>
      </c>
      <c r="O85" s="211">
        <v>100</v>
      </c>
      <c r="P85" s="211">
        <v>100</v>
      </c>
      <c r="Q85" s="211">
        <v>100</v>
      </c>
      <c r="R85" s="190"/>
      <c r="S85" s="385">
        <f t="shared" si="134"/>
        <v>2</v>
      </c>
      <c r="T85" s="385">
        <f>$S85</f>
        <v>2</v>
      </c>
      <c r="U85" s="385">
        <f t="shared" si="135"/>
        <v>2</v>
      </c>
      <c r="V85" s="385">
        <f t="shared" si="135"/>
        <v>2</v>
      </c>
      <c r="W85" s="385">
        <f t="shared" si="135"/>
        <v>2</v>
      </c>
      <c r="X85" s="385">
        <f t="shared" si="135"/>
        <v>2</v>
      </c>
      <c r="Y85" s="184">
        <f t="shared" si="115"/>
        <v>163328</v>
      </c>
      <c r="Z85" s="184">
        <f t="shared" si="136"/>
        <v>217917</v>
      </c>
      <c r="AA85" s="184">
        <f t="shared" si="137"/>
        <v>233081</v>
      </c>
      <c r="AB85" s="184">
        <f t="shared" si="138"/>
        <v>7582</v>
      </c>
      <c r="AC85" s="184">
        <f t="shared" si="139"/>
        <v>7530</v>
      </c>
      <c r="AD85" s="184">
        <f t="shared" si="116"/>
        <v>629438</v>
      </c>
      <c r="AE85" s="183">
        <f t="shared" si="140"/>
        <v>0</v>
      </c>
      <c r="AF85" s="385">
        <f t="shared" si="99"/>
        <v>0</v>
      </c>
      <c r="AG85" s="385">
        <f t="shared" si="99"/>
        <v>0</v>
      </c>
      <c r="AH85" s="385">
        <f t="shared" si="99"/>
        <v>0</v>
      </c>
      <c r="AI85" s="185">
        <f t="shared" si="117"/>
        <v>0</v>
      </c>
      <c r="AJ85" s="185">
        <f t="shared" si="118"/>
        <v>0</v>
      </c>
      <c r="AK85" s="185">
        <f t="shared" si="119"/>
        <v>0</v>
      </c>
      <c r="AL85" s="185">
        <f t="shared" si="120"/>
        <v>0</v>
      </c>
      <c r="AM85" s="173">
        <f t="shared" si="133"/>
        <v>326656</v>
      </c>
      <c r="AN85" s="173">
        <f t="shared" si="61"/>
        <v>435834</v>
      </c>
      <c r="AO85" s="173">
        <f t="shared" si="62"/>
        <v>466162</v>
      </c>
      <c r="AP85" s="173">
        <f t="shared" si="105"/>
        <v>15164</v>
      </c>
      <c r="AQ85" s="173">
        <f t="shared" si="106"/>
        <v>15060</v>
      </c>
      <c r="AR85" s="173">
        <f t="shared" si="107"/>
        <v>1258876</v>
      </c>
      <c r="AS85" s="186" t="s">
        <v>1346</v>
      </c>
      <c r="AT85" s="300">
        <f t="shared" si="132"/>
        <v>3.7214999999999998</v>
      </c>
      <c r="AU85" s="300">
        <f t="shared" si="132"/>
        <v>3.7214999999999998</v>
      </c>
      <c r="AV85" s="300">
        <f t="shared" si="132"/>
        <v>3.7214999999999998</v>
      </c>
      <c r="AW85" s="300">
        <f t="shared" si="132"/>
        <v>3.7214999999999998</v>
      </c>
      <c r="AX85" s="300">
        <f t="shared" si="132"/>
        <v>3.7214999999999998</v>
      </c>
      <c r="AY85" s="301">
        <f t="shared" si="125"/>
        <v>3.7214999999999998</v>
      </c>
      <c r="AZ85" s="301">
        <f t="shared" si="125"/>
        <v>3.7214999999999998</v>
      </c>
      <c r="BA85" s="301">
        <f t="shared" si="125"/>
        <v>3.7214999999999998</v>
      </c>
      <c r="BB85" s="301">
        <f t="shared" si="125"/>
        <v>3.7214999999999998</v>
      </c>
      <c r="BC85" s="301">
        <f t="shared" si="125"/>
        <v>3.7214999999999998</v>
      </c>
      <c r="BD85" s="187">
        <f>ROUND(IF(OR(M85=0,AT85="DATO NO DISPONIBLE"),"",AT85*M85*($BD$7+1)),0)</f>
        <v>398</v>
      </c>
      <c r="BE85" s="187">
        <f t="shared" si="64"/>
        <v>398</v>
      </c>
      <c r="BF85" s="187">
        <f t="shared" si="65"/>
        <v>398</v>
      </c>
      <c r="BG85" s="187">
        <f t="shared" si="121"/>
        <v>398</v>
      </c>
      <c r="BH85" s="187">
        <f t="shared" si="122"/>
        <v>398</v>
      </c>
      <c r="BI85" s="187">
        <f>ROUND(IF(OR(M85=0,AY85="DATO NO DISPONIBLE"),0,AY85*M85*($BD$7+1)),0)</f>
        <v>398</v>
      </c>
      <c r="BJ85" s="187">
        <f t="shared" si="126"/>
        <v>398</v>
      </c>
      <c r="BK85" s="187">
        <f t="shared" si="127"/>
        <v>398</v>
      </c>
      <c r="BL85" s="187">
        <f t="shared" si="123"/>
        <v>398</v>
      </c>
      <c r="BM85" s="187">
        <f t="shared" si="124"/>
        <v>398</v>
      </c>
      <c r="BN85" s="188">
        <f>BD85*AM85</f>
        <v>130009088</v>
      </c>
      <c r="BO85" s="188">
        <f t="shared" si="128"/>
        <v>173461932</v>
      </c>
      <c r="BP85" s="188">
        <f t="shared" si="129"/>
        <v>185532476</v>
      </c>
      <c r="BQ85" s="188">
        <f t="shared" si="130"/>
        <v>6035272</v>
      </c>
      <c r="BR85" s="188">
        <f t="shared" si="131"/>
        <v>5993880</v>
      </c>
      <c r="BS85" s="188">
        <f t="shared" si="108"/>
        <v>501032648</v>
      </c>
      <c r="BT85" s="188">
        <f t="shared" si="109"/>
        <v>130009088</v>
      </c>
      <c r="BU85" s="188">
        <f t="shared" si="110"/>
        <v>173461932</v>
      </c>
      <c r="BV85" s="188">
        <f t="shared" si="111"/>
        <v>185532476</v>
      </c>
      <c r="BW85" s="188">
        <f t="shared" si="112"/>
        <v>6035272</v>
      </c>
      <c r="BX85" s="188">
        <f t="shared" si="113"/>
        <v>5993880</v>
      </c>
      <c r="BY85" s="188">
        <f t="shared" si="114"/>
        <v>501032648</v>
      </c>
      <c r="BZ85" s="305">
        <f>IF(COT_PRECALCULOS!$D$24="Precios Iva Incluído",BI85,BD85)</f>
        <v>398</v>
      </c>
      <c r="CA85" s="305">
        <f>IF(COT_PRECALCULOS!$D$24="Precios Iva Incluído",BJ85,BE85)</f>
        <v>398</v>
      </c>
      <c r="CB85" s="305">
        <f>IF(COT_PRECALCULOS!$D$24="Precios Iva Incluído",BK85,BF85)</f>
        <v>398</v>
      </c>
      <c r="CC85" s="305">
        <f>IF(COT_PRECALCULOS!$D$24="Precios Iva Incluído",BL85,BG85)</f>
        <v>398</v>
      </c>
      <c r="CD85" s="305">
        <f>IF(COT_PRECALCULOS!$D$24="Precios Iva Incluído",BM85,BH85)</f>
        <v>398</v>
      </c>
      <c r="CE85" s="305">
        <f>IF(COT_PRECALCULOS!$D$24="Precios Iva Incluído",BT85,BN85)</f>
        <v>130009088</v>
      </c>
      <c r="CF85" s="305">
        <f>IF(COT_PRECALCULOS!$D$24="Precios Iva Incluído",BU85,BO85)</f>
        <v>173461932</v>
      </c>
      <c r="CG85" s="305">
        <f>IF(COT_PRECALCULOS!$D$24="Precios Iva Incluído",BV85,BP85)</f>
        <v>185532476</v>
      </c>
      <c r="CH85" s="305">
        <f>IF(COT_PRECALCULOS!$D$24="Precios Iva Incluído",BW85,BQ85)</f>
        <v>6035272</v>
      </c>
      <c r="CI85" s="305">
        <f>IF(COT_PRECALCULOS!$D$24="Precios Iva Incluído",BX85,BR85)</f>
        <v>5993880</v>
      </c>
    </row>
    <row r="86" spans="1:87">
      <c r="A86" s="182" t="s">
        <v>101</v>
      </c>
      <c r="B86" s="182" t="s">
        <v>98</v>
      </c>
      <c r="C86" s="189" t="str">
        <f t="shared" si="103"/>
        <v>F_PE7</v>
      </c>
      <c r="D86" s="189" t="str">
        <f t="shared" si="104"/>
        <v>58_P_</v>
      </c>
      <c r="E86" s="190" t="s">
        <v>1</v>
      </c>
      <c r="F86" s="190" t="s">
        <v>1</v>
      </c>
      <c r="G86" s="189" t="s">
        <v>20</v>
      </c>
      <c r="H86" s="190"/>
      <c r="I86" s="190" t="s">
        <v>65</v>
      </c>
      <c r="J86" s="190">
        <v>58</v>
      </c>
      <c r="K86" s="190" t="s">
        <v>67</v>
      </c>
      <c r="L86" s="189" t="s">
        <v>9</v>
      </c>
      <c r="M86" s="211">
        <v>100</v>
      </c>
      <c r="N86" s="211">
        <v>100</v>
      </c>
      <c r="O86" s="211">
        <v>100</v>
      </c>
      <c r="P86" s="211">
        <v>100</v>
      </c>
      <c r="Q86" s="211">
        <v>100</v>
      </c>
      <c r="R86" s="190"/>
      <c r="S86" s="183">
        <f t="shared" si="134"/>
        <v>1</v>
      </c>
      <c r="T86" s="385">
        <f>$S86</f>
        <v>1</v>
      </c>
      <c r="U86" s="385">
        <f t="shared" si="135"/>
        <v>1</v>
      </c>
      <c r="V86" s="385">
        <f t="shared" si="135"/>
        <v>1</v>
      </c>
      <c r="W86" s="385">
        <f t="shared" si="135"/>
        <v>1</v>
      </c>
      <c r="X86" s="385">
        <f t="shared" si="135"/>
        <v>1</v>
      </c>
      <c r="Y86" s="184">
        <f t="shared" si="115"/>
        <v>163328</v>
      </c>
      <c r="Z86" s="184">
        <f t="shared" si="136"/>
        <v>217917</v>
      </c>
      <c r="AA86" s="184">
        <f t="shared" si="137"/>
        <v>233081</v>
      </c>
      <c r="AB86" s="184">
        <f t="shared" si="138"/>
        <v>7582</v>
      </c>
      <c r="AC86" s="184">
        <f t="shared" si="139"/>
        <v>7530</v>
      </c>
      <c r="AD86" s="184">
        <f t="shared" si="116"/>
        <v>629438</v>
      </c>
      <c r="AE86" s="183">
        <f t="shared" si="140"/>
        <v>0</v>
      </c>
      <c r="AF86" s="385">
        <f t="shared" si="99"/>
        <v>0</v>
      </c>
      <c r="AG86" s="385">
        <f t="shared" si="99"/>
        <v>0</v>
      </c>
      <c r="AH86" s="385">
        <f t="shared" si="99"/>
        <v>0</v>
      </c>
      <c r="AI86" s="185">
        <f t="shared" si="117"/>
        <v>0</v>
      </c>
      <c r="AJ86" s="185">
        <f t="shared" si="118"/>
        <v>0</v>
      </c>
      <c r="AK86" s="185">
        <f t="shared" si="119"/>
        <v>0</v>
      </c>
      <c r="AL86" s="185">
        <f t="shared" si="120"/>
        <v>0</v>
      </c>
      <c r="AM86" s="173">
        <f t="shared" si="133"/>
        <v>163328</v>
      </c>
      <c r="AN86" s="173">
        <f t="shared" si="61"/>
        <v>217917</v>
      </c>
      <c r="AO86" s="173">
        <f t="shared" si="62"/>
        <v>233081</v>
      </c>
      <c r="AP86" s="173">
        <f t="shared" si="105"/>
        <v>7582</v>
      </c>
      <c r="AQ86" s="173">
        <f t="shared" si="106"/>
        <v>7530</v>
      </c>
      <c r="AR86" s="173">
        <f t="shared" si="107"/>
        <v>629438</v>
      </c>
      <c r="AS86" s="186" t="s">
        <v>1346</v>
      </c>
      <c r="AT86" s="300">
        <f t="shared" si="132"/>
        <v>1.4384999999999999</v>
      </c>
      <c r="AU86" s="300">
        <f t="shared" si="132"/>
        <v>1.4384999999999999</v>
      </c>
      <c r="AV86" s="300">
        <f t="shared" si="132"/>
        <v>1.4384999999999999</v>
      </c>
      <c r="AW86" s="300">
        <f t="shared" si="132"/>
        <v>1.4384999999999999</v>
      </c>
      <c r="AX86" s="300">
        <f t="shared" si="132"/>
        <v>1.4384999999999999</v>
      </c>
      <c r="AY86" s="301">
        <f t="shared" si="125"/>
        <v>1.4384999999999999</v>
      </c>
      <c r="AZ86" s="301">
        <f t="shared" si="125"/>
        <v>1.4384999999999999</v>
      </c>
      <c r="BA86" s="301">
        <f t="shared" si="125"/>
        <v>1.4384999999999999</v>
      </c>
      <c r="BB86" s="301">
        <f t="shared" si="125"/>
        <v>1.4384999999999999</v>
      </c>
      <c r="BC86" s="301">
        <f t="shared" si="125"/>
        <v>1.4384999999999999</v>
      </c>
      <c r="BD86" s="187">
        <f>ROUND(IF(OR(M86=0,AT86="DATO NO DISPONIBLE"),"",AT86*M86*($BD$7+1)),0)</f>
        <v>154</v>
      </c>
      <c r="BE86" s="187">
        <f t="shared" si="64"/>
        <v>154</v>
      </c>
      <c r="BF86" s="187">
        <f t="shared" si="65"/>
        <v>154</v>
      </c>
      <c r="BG86" s="187">
        <f t="shared" si="121"/>
        <v>154</v>
      </c>
      <c r="BH86" s="187">
        <f t="shared" si="122"/>
        <v>154</v>
      </c>
      <c r="BI86" s="187">
        <f>ROUND(IF(OR(M86=0,AY86="DATO NO DISPONIBLE"),0,AY86*M86*($BD$7+1)),0)</f>
        <v>154</v>
      </c>
      <c r="BJ86" s="187">
        <f t="shared" si="126"/>
        <v>154</v>
      </c>
      <c r="BK86" s="187">
        <f t="shared" si="127"/>
        <v>154</v>
      </c>
      <c r="BL86" s="187">
        <f t="shared" si="123"/>
        <v>154</v>
      </c>
      <c r="BM86" s="187">
        <f t="shared" si="124"/>
        <v>154</v>
      </c>
      <c r="BN86" s="188">
        <f>BD86*AM86</f>
        <v>25152512</v>
      </c>
      <c r="BO86" s="188">
        <f t="shared" si="128"/>
        <v>33559218</v>
      </c>
      <c r="BP86" s="188">
        <f t="shared" si="129"/>
        <v>35894474</v>
      </c>
      <c r="BQ86" s="188">
        <f t="shared" si="130"/>
        <v>1167628</v>
      </c>
      <c r="BR86" s="188">
        <f t="shared" si="131"/>
        <v>1159620</v>
      </c>
      <c r="BS86" s="188">
        <f t="shared" si="108"/>
        <v>96933452</v>
      </c>
      <c r="BT86" s="188">
        <f t="shared" si="109"/>
        <v>25152512</v>
      </c>
      <c r="BU86" s="188">
        <f t="shared" si="110"/>
        <v>33559218</v>
      </c>
      <c r="BV86" s="188">
        <f t="shared" si="111"/>
        <v>35894474</v>
      </c>
      <c r="BW86" s="188">
        <f t="shared" si="112"/>
        <v>1167628</v>
      </c>
      <c r="BX86" s="188">
        <f t="shared" si="113"/>
        <v>1159620</v>
      </c>
      <c r="BY86" s="188">
        <f t="shared" si="114"/>
        <v>96933452</v>
      </c>
      <c r="BZ86" s="305">
        <f>IF(COT_PRECALCULOS!$D$24="Precios Iva Incluído",BI86,BD86)</f>
        <v>154</v>
      </c>
      <c r="CA86" s="305">
        <f>IF(COT_PRECALCULOS!$D$24="Precios Iva Incluído",BJ86,BE86)</f>
        <v>154</v>
      </c>
      <c r="CB86" s="305">
        <f>IF(COT_PRECALCULOS!$D$24="Precios Iva Incluído",BK86,BF86)</f>
        <v>154</v>
      </c>
      <c r="CC86" s="305">
        <f>IF(COT_PRECALCULOS!$D$24="Precios Iva Incluído",BL86,BG86)</f>
        <v>154</v>
      </c>
      <c r="CD86" s="305">
        <f>IF(COT_PRECALCULOS!$D$24="Precios Iva Incluído",BM86,BH86)</f>
        <v>154</v>
      </c>
      <c r="CE86" s="305">
        <f>IF(COT_PRECALCULOS!$D$24="Precios Iva Incluído",BT86,BN86)</f>
        <v>25152512</v>
      </c>
      <c r="CF86" s="305">
        <f>IF(COT_PRECALCULOS!$D$24="Precios Iva Incluído",BU86,BO86)</f>
        <v>33559218</v>
      </c>
      <c r="CG86" s="305">
        <f>IF(COT_PRECALCULOS!$D$24="Precios Iva Incluído",BV86,BP86)</f>
        <v>35894474</v>
      </c>
      <c r="CH86" s="305">
        <f>IF(COT_PRECALCULOS!$D$24="Precios Iva Incluído",BW86,BQ86)</f>
        <v>1167628</v>
      </c>
      <c r="CI86" s="305">
        <f>IF(COT_PRECALCULOS!$D$24="Precios Iva Incluído",BX86,BR86)</f>
        <v>1159620</v>
      </c>
    </row>
    <row r="87" spans="1:87">
      <c r="A87" s="182" t="s">
        <v>101</v>
      </c>
      <c r="B87" s="182" t="s">
        <v>98</v>
      </c>
      <c r="C87" s="189" t="str">
        <f t="shared" si="103"/>
        <v>F_PE7</v>
      </c>
      <c r="D87" s="189" t="str">
        <f t="shared" si="104"/>
        <v>59_P_</v>
      </c>
      <c r="E87" s="190" t="s">
        <v>1</v>
      </c>
      <c r="F87" s="190" t="s">
        <v>1</v>
      </c>
      <c r="G87" s="189" t="s">
        <v>20</v>
      </c>
      <c r="H87" s="190"/>
      <c r="I87" s="190" t="s">
        <v>66</v>
      </c>
      <c r="J87" s="190">
        <v>59</v>
      </c>
      <c r="K87" s="190" t="s">
        <v>99</v>
      </c>
      <c r="L87" s="189" t="s">
        <v>9</v>
      </c>
      <c r="M87" s="191">
        <v>0</v>
      </c>
      <c r="N87" s="211">
        <v>100</v>
      </c>
      <c r="O87" s="211">
        <v>100</v>
      </c>
      <c r="P87" s="211">
        <v>100</v>
      </c>
      <c r="Q87" s="211">
        <v>100</v>
      </c>
      <c r="R87" s="190" t="s">
        <v>73</v>
      </c>
      <c r="S87" s="183">
        <f t="shared" si="134"/>
        <v>1</v>
      </c>
      <c r="T87" s="386">
        <v>0</v>
      </c>
      <c r="U87" s="385">
        <f t="shared" si="135"/>
        <v>1</v>
      </c>
      <c r="V87" s="385">
        <f t="shared" si="135"/>
        <v>1</v>
      </c>
      <c r="W87" s="385">
        <f t="shared" si="135"/>
        <v>1</v>
      </c>
      <c r="X87" s="385">
        <f t="shared" si="135"/>
        <v>1</v>
      </c>
      <c r="Y87" s="184">
        <f t="shared" si="115"/>
        <v>0</v>
      </c>
      <c r="Z87" s="184">
        <f t="shared" si="136"/>
        <v>217917</v>
      </c>
      <c r="AA87" s="184">
        <f t="shared" si="137"/>
        <v>233081</v>
      </c>
      <c r="AB87" s="184">
        <f t="shared" si="138"/>
        <v>7582</v>
      </c>
      <c r="AC87" s="184">
        <f t="shared" si="139"/>
        <v>7530</v>
      </c>
      <c r="AD87" s="184">
        <f t="shared" si="116"/>
        <v>466110</v>
      </c>
      <c r="AE87" s="183">
        <f t="shared" si="140"/>
        <v>0</v>
      </c>
      <c r="AF87" s="385">
        <f t="shared" si="99"/>
        <v>0</v>
      </c>
      <c r="AG87" s="385">
        <f t="shared" si="99"/>
        <v>0</v>
      </c>
      <c r="AH87" s="385">
        <f t="shared" si="99"/>
        <v>0</v>
      </c>
      <c r="AI87" s="185">
        <f t="shared" si="117"/>
        <v>0</v>
      </c>
      <c r="AJ87" s="185">
        <f t="shared" si="118"/>
        <v>0</v>
      </c>
      <c r="AK87" s="185">
        <f t="shared" si="119"/>
        <v>0</v>
      </c>
      <c r="AL87" s="185">
        <f t="shared" si="120"/>
        <v>0</v>
      </c>
      <c r="AM87" s="173">
        <f t="shared" si="133"/>
        <v>0</v>
      </c>
      <c r="AN87" s="173">
        <f t="shared" si="61"/>
        <v>217917</v>
      </c>
      <c r="AO87" s="173">
        <f t="shared" si="62"/>
        <v>233081</v>
      </c>
      <c r="AP87" s="173">
        <f t="shared" si="105"/>
        <v>7582</v>
      </c>
      <c r="AQ87" s="173">
        <f t="shared" si="106"/>
        <v>7530</v>
      </c>
      <c r="AR87" s="173">
        <f t="shared" si="107"/>
        <v>466110</v>
      </c>
      <c r="AS87" s="186" t="s">
        <v>1346</v>
      </c>
      <c r="AT87" s="300">
        <f t="shared" si="132"/>
        <v>2.6785000000000001</v>
      </c>
      <c r="AU87" s="300">
        <f t="shared" si="132"/>
        <v>2.6785000000000001</v>
      </c>
      <c r="AV87" s="300">
        <f t="shared" si="132"/>
        <v>2.6785000000000001</v>
      </c>
      <c r="AW87" s="300">
        <f t="shared" si="132"/>
        <v>2.6785000000000001</v>
      </c>
      <c r="AX87" s="300">
        <f t="shared" si="132"/>
        <v>2.6785000000000001</v>
      </c>
      <c r="AY87" s="301">
        <f t="shared" si="125"/>
        <v>2.6785000000000001</v>
      </c>
      <c r="AZ87" s="301">
        <f t="shared" si="125"/>
        <v>2.6785000000000001</v>
      </c>
      <c r="BA87" s="301">
        <f t="shared" si="125"/>
        <v>2.6785000000000001</v>
      </c>
      <c r="BB87" s="301">
        <f t="shared" si="125"/>
        <v>2.6785000000000001</v>
      </c>
      <c r="BC87" s="301">
        <f t="shared" si="125"/>
        <v>2.6785000000000001</v>
      </c>
      <c r="BD87" s="187"/>
      <c r="BE87" s="187">
        <f t="shared" si="64"/>
        <v>286</v>
      </c>
      <c r="BF87" s="187">
        <f t="shared" si="65"/>
        <v>286</v>
      </c>
      <c r="BG87" s="187">
        <f t="shared" si="121"/>
        <v>286</v>
      </c>
      <c r="BH87" s="187">
        <f t="shared" si="122"/>
        <v>286</v>
      </c>
      <c r="BI87" s="187"/>
      <c r="BJ87" s="187">
        <f t="shared" si="126"/>
        <v>286</v>
      </c>
      <c r="BK87" s="187">
        <f t="shared" si="127"/>
        <v>286</v>
      </c>
      <c r="BL87" s="187">
        <f t="shared" si="123"/>
        <v>286</v>
      </c>
      <c r="BM87" s="187">
        <f t="shared" si="124"/>
        <v>286</v>
      </c>
      <c r="BN87" s="188"/>
      <c r="BO87" s="188">
        <f t="shared" si="128"/>
        <v>62324262</v>
      </c>
      <c r="BP87" s="188">
        <f t="shared" si="129"/>
        <v>66661166</v>
      </c>
      <c r="BQ87" s="188">
        <f t="shared" si="130"/>
        <v>2168452</v>
      </c>
      <c r="BR87" s="188">
        <f t="shared" si="131"/>
        <v>2153580</v>
      </c>
      <c r="BS87" s="188">
        <f t="shared" si="108"/>
        <v>133307460</v>
      </c>
      <c r="BT87" s="188">
        <f t="shared" si="109"/>
        <v>0</v>
      </c>
      <c r="BU87" s="188">
        <f t="shared" si="110"/>
        <v>62324262</v>
      </c>
      <c r="BV87" s="188">
        <f t="shared" si="111"/>
        <v>66661166</v>
      </c>
      <c r="BW87" s="188">
        <f t="shared" si="112"/>
        <v>2168452</v>
      </c>
      <c r="BX87" s="188">
        <f t="shared" si="113"/>
        <v>2153580</v>
      </c>
      <c r="BY87" s="188">
        <f t="shared" si="114"/>
        <v>133307460</v>
      </c>
      <c r="BZ87" s="305">
        <f>IF(COT_PRECALCULOS!$D$24="Precios Iva Incluído",BI87,BD87)</f>
        <v>0</v>
      </c>
      <c r="CA87" s="305">
        <f>IF(COT_PRECALCULOS!$D$24="Precios Iva Incluído",BJ87,BE87)</f>
        <v>286</v>
      </c>
      <c r="CB87" s="305">
        <f>IF(COT_PRECALCULOS!$D$24="Precios Iva Incluído",BK87,BF87)</f>
        <v>286</v>
      </c>
      <c r="CC87" s="305">
        <f>IF(COT_PRECALCULOS!$D$24="Precios Iva Incluído",BL87,BG87)</f>
        <v>286</v>
      </c>
      <c r="CD87" s="305">
        <f>IF(COT_PRECALCULOS!$D$24="Precios Iva Incluído",BM87,BH87)</f>
        <v>286</v>
      </c>
      <c r="CE87" s="305">
        <f>IF(COT_PRECALCULOS!$D$24="Precios Iva Incluído",BT87,BN87)</f>
        <v>0</v>
      </c>
      <c r="CF87" s="305">
        <f>IF(COT_PRECALCULOS!$D$24="Precios Iva Incluído",BU87,BO87)</f>
        <v>62324262</v>
      </c>
      <c r="CG87" s="305">
        <f>IF(COT_PRECALCULOS!$D$24="Precios Iva Incluído",BV87,BP87)</f>
        <v>66661166</v>
      </c>
      <c r="CH87" s="305">
        <f>IF(COT_PRECALCULOS!$D$24="Precios Iva Incluído",BW87,BQ87)</f>
        <v>2168452</v>
      </c>
      <c r="CI87" s="305">
        <f>IF(COT_PRECALCULOS!$D$24="Precios Iva Incluído",BX87,BR87)</f>
        <v>2153580</v>
      </c>
    </row>
    <row r="88" spans="1:87">
      <c r="A88" s="182" t="s">
        <v>101</v>
      </c>
      <c r="B88" s="182" t="s">
        <v>98</v>
      </c>
      <c r="C88" s="189" t="str">
        <f t="shared" si="103"/>
        <v>F_PE7</v>
      </c>
      <c r="D88" s="189" t="str">
        <f t="shared" si="104"/>
        <v>69_P_</v>
      </c>
      <c r="E88" s="190" t="s">
        <v>1</v>
      </c>
      <c r="F88" s="190" t="s">
        <v>1</v>
      </c>
      <c r="G88" s="189" t="s">
        <v>20</v>
      </c>
      <c r="H88" s="190"/>
      <c r="I88" s="190" t="s">
        <v>68</v>
      </c>
      <c r="J88" s="190">
        <v>69</v>
      </c>
      <c r="K88" s="190" t="s">
        <v>70</v>
      </c>
      <c r="L88" s="189" t="s">
        <v>9</v>
      </c>
      <c r="M88" s="211">
        <v>100</v>
      </c>
      <c r="N88" s="211">
        <v>100</v>
      </c>
      <c r="O88" s="211">
        <v>100</v>
      </c>
      <c r="P88" s="211">
        <v>100</v>
      </c>
      <c r="Q88" s="211">
        <v>100</v>
      </c>
      <c r="R88" s="190"/>
      <c r="S88" s="385">
        <f t="shared" si="134"/>
        <v>1</v>
      </c>
      <c r="T88" s="385">
        <f>$S88</f>
        <v>1</v>
      </c>
      <c r="U88" s="385">
        <f t="shared" si="135"/>
        <v>1</v>
      </c>
      <c r="V88" s="385">
        <f t="shared" si="135"/>
        <v>1</v>
      </c>
      <c r="W88" s="385">
        <f t="shared" si="135"/>
        <v>1</v>
      </c>
      <c r="X88" s="385">
        <f t="shared" si="135"/>
        <v>1</v>
      </c>
      <c r="Y88" s="184">
        <f t="shared" si="115"/>
        <v>163328</v>
      </c>
      <c r="Z88" s="184">
        <f t="shared" si="136"/>
        <v>217917</v>
      </c>
      <c r="AA88" s="184">
        <f t="shared" si="137"/>
        <v>233081</v>
      </c>
      <c r="AB88" s="184">
        <f t="shared" si="138"/>
        <v>7582</v>
      </c>
      <c r="AC88" s="184">
        <f t="shared" si="139"/>
        <v>7530</v>
      </c>
      <c r="AD88" s="184">
        <f t="shared" si="116"/>
        <v>629438</v>
      </c>
      <c r="AE88" s="183">
        <f t="shared" si="140"/>
        <v>0</v>
      </c>
      <c r="AF88" s="385">
        <f t="shared" ref="AF88:AH107" si="141">$AE88</f>
        <v>0</v>
      </c>
      <c r="AG88" s="385">
        <f t="shared" si="141"/>
        <v>0</v>
      </c>
      <c r="AH88" s="385">
        <f t="shared" si="141"/>
        <v>0</v>
      </c>
      <c r="AI88" s="185">
        <f t="shared" si="117"/>
        <v>0</v>
      </c>
      <c r="AJ88" s="185">
        <f t="shared" si="118"/>
        <v>0</v>
      </c>
      <c r="AK88" s="185">
        <f t="shared" si="119"/>
        <v>0</v>
      </c>
      <c r="AL88" s="185">
        <f t="shared" si="120"/>
        <v>0</v>
      </c>
      <c r="AM88" s="173">
        <f t="shared" si="133"/>
        <v>163328</v>
      </c>
      <c r="AN88" s="173">
        <f t="shared" si="61"/>
        <v>217917</v>
      </c>
      <c r="AO88" s="173">
        <f t="shared" si="62"/>
        <v>233081</v>
      </c>
      <c r="AP88" s="173">
        <f t="shared" si="105"/>
        <v>7582</v>
      </c>
      <c r="AQ88" s="173">
        <f t="shared" si="106"/>
        <v>7530</v>
      </c>
      <c r="AR88" s="173">
        <f t="shared" si="107"/>
        <v>629438</v>
      </c>
      <c r="AS88" s="186" t="s">
        <v>1346</v>
      </c>
      <c r="AT88" s="300">
        <f t="shared" si="132"/>
        <v>2.8519999999999999</v>
      </c>
      <c r="AU88" s="300">
        <f t="shared" si="132"/>
        <v>2.8519999999999999</v>
      </c>
      <c r="AV88" s="300">
        <f t="shared" si="132"/>
        <v>2.8519999999999999</v>
      </c>
      <c r="AW88" s="300">
        <f t="shared" si="132"/>
        <v>2.8519999999999999</v>
      </c>
      <c r="AX88" s="300">
        <f t="shared" si="132"/>
        <v>2.8519999999999999</v>
      </c>
      <c r="AY88" s="301">
        <f t="shared" ref="AY88:BC97" si="142">IF(ISERROR(MATCH(CONCATENATE($J88,"_",AY$1),COT_PRE_CODIGO_ALIMENTOS,0)),IF(ISERROR(MATCH(CONCATENATE($J88,"_",AY$2),COT_PRE_CODIGO_ALIMENTOS,0)),IF(ISERROR(MATCH(CONCATENATE($J88,"_",AY$3),COT_PRE_CODIGO_ALIMENTOS,0)),IF(ISERROR(MATCH(CONCATENATE($J88,"_",AY$4),COT_PRE_CODIGO_ALIMENTOS,0)),IF(ISERROR(MATCH(CONCATENATE($J88,"_",AY$5),COT_PRE_CODIGO_ALIMENTOS,0)),IF(ISERROR(MATCH(CONCATENATE($J88,"_",AY$6),COT_PRE_CODIGO_ALIMENTOS,0)),IF(ISERROR(MATCH(CONCATENATE($J88,"_",AY$7),COT_PRE_CODIGO_ALIMENTOS,0)),IF(ISERROR(VLOOKUP($J88,COT_PRE_ALIMENTOS,AY$8,FALSE)),"DATO NO DISPONIBLE",VLOOKUP($J88,COT_PRE_ALIMENTOS,AY$8,FALSE)),VLOOKUP(CONCATENATE($J88,"_",AY$7),COT_PRE_ALIMENTOS,AY$8,FALSE)),VLOOKUP(CONCATENATE($J88,"_",AY$6),COT_PRE_ALIMENTOS,AY$8,FALSE)),VLOOKUP(CONCATENATE($J88,"_",AY$5),COT_PRE_ALIMENTOS,AY$8,FALSE)),VLOOKUP(CONCATENATE($J88,"_",AY$4),COT_PRE_ALIMENTOS,AY$8,FALSE)),VLOOKUP(CONCATENATE($J88,"_",AY$3),COT_PRE_ALIMENTOS,AY$8,FALSE)),VLOOKUP(CONCATENATE($J88,"_",AY$2),COT_PRE_ALIMENTOS,AY$8,FALSE)),VLOOKUP(CONCATENATE($J88,"_",AY$1),COT_PRE_ALIMENTOS,AY$8,FALSE))</f>
        <v>2.8519999999999999</v>
      </c>
      <c r="AZ88" s="301">
        <f t="shared" si="142"/>
        <v>2.8519999999999999</v>
      </c>
      <c r="BA88" s="301">
        <f t="shared" si="142"/>
        <v>2.8519999999999999</v>
      </c>
      <c r="BB88" s="301">
        <f t="shared" si="142"/>
        <v>2.8519999999999999</v>
      </c>
      <c r="BC88" s="301">
        <f t="shared" si="142"/>
        <v>2.8519999999999999</v>
      </c>
      <c r="BD88" s="187">
        <f>ROUND(IF(OR(M88=0,AT88="DATO NO DISPONIBLE"),"",AT88*M88*($BD$7+1)),0)</f>
        <v>305</v>
      </c>
      <c r="BE88" s="187">
        <f t="shared" si="64"/>
        <v>305</v>
      </c>
      <c r="BF88" s="187">
        <f t="shared" si="65"/>
        <v>305</v>
      </c>
      <c r="BG88" s="187">
        <f t="shared" si="121"/>
        <v>305</v>
      </c>
      <c r="BH88" s="187">
        <f t="shared" si="122"/>
        <v>305</v>
      </c>
      <c r="BI88" s="187">
        <f>ROUND(IF(OR(M88=0,AY88="DATO NO DISPONIBLE"),0,AY88*M88*($BD$7+1)),0)</f>
        <v>305</v>
      </c>
      <c r="BJ88" s="187">
        <f t="shared" si="126"/>
        <v>305</v>
      </c>
      <c r="BK88" s="187">
        <f t="shared" si="127"/>
        <v>305</v>
      </c>
      <c r="BL88" s="187">
        <f t="shared" si="123"/>
        <v>305</v>
      </c>
      <c r="BM88" s="187">
        <f t="shared" si="124"/>
        <v>305</v>
      </c>
      <c r="BN88" s="188">
        <f>BD88*AM88</f>
        <v>49815040</v>
      </c>
      <c r="BO88" s="188">
        <f t="shared" si="128"/>
        <v>66464685</v>
      </c>
      <c r="BP88" s="188">
        <f t="shared" si="129"/>
        <v>71089705</v>
      </c>
      <c r="BQ88" s="188">
        <f t="shared" si="130"/>
        <v>2312510</v>
      </c>
      <c r="BR88" s="188">
        <f t="shared" si="131"/>
        <v>2296650</v>
      </c>
      <c r="BS88" s="188">
        <f t="shared" si="108"/>
        <v>191978590</v>
      </c>
      <c r="BT88" s="188">
        <f t="shared" si="109"/>
        <v>49815040</v>
      </c>
      <c r="BU88" s="188">
        <f t="shared" si="110"/>
        <v>66464685</v>
      </c>
      <c r="BV88" s="188">
        <f t="shared" si="111"/>
        <v>71089705</v>
      </c>
      <c r="BW88" s="188">
        <f t="shared" si="112"/>
        <v>2312510</v>
      </c>
      <c r="BX88" s="188">
        <f t="shared" si="113"/>
        <v>2296650</v>
      </c>
      <c r="BY88" s="188">
        <f t="shared" si="114"/>
        <v>191978590</v>
      </c>
      <c r="BZ88" s="305">
        <f>IF(COT_PRECALCULOS!$D$24="Precios Iva Incluído",BI88,BD88)</f>
        <v>305</v>
      </c>
      <c r="CA88" s="305">
        <f>IF(COT_PRECALCULOS!$D$24="Precios Iva Incluído",BJ88,BE88)</f>
        <v>305</v>
      </c>
      <c r="CB88" s="305">
        <f>IF(COT_PRECALCULOS!$D$24="Precios Iva Incluído",BK88,BF88)</f>
        <v>305</v>
      </c>
      <c r="CC88" s="305">
        <f>IF(COT_PRECALCULOS!$D$24="Precios Iva Incluído",BL88,BG88)</f>
        <v>305</v>
      </c>
      <c r="CD88" s="305">
        <f>IF(COT_PRECALCULOS!$D$24="Precios Iva Incluído",BM88,BH88)</f>
        <v>305</v>
      </c>
      <c r="CE88" s="305">
        <f>IF(COT_PRECALCULOS!$D$24="Precios Iva Incluído",BT88,BN88)</f>
        <v>49815040</v>
      </c>
      <c r="CF88" s="305">
        <f>IF(COT_PRECALCULOS!$D$24="Precios Iva Incluído",BU88,BO88)</f>
        <v>66464685</v>
      </c>
      <c r="CG88" s="305">
        <f>IF(COT_PRECALCULOS!$D$24="Precios Iva Incluído",BV88,BP88)</f>
        <v>71089705</v>
      </c>
      <c r="CH88" s="305">
        <f>IF(COT_PRECALCULOS!$D$24="Precios Iva Incluído",BW88,BQ88)</f>
        <v>2312510</v>
      </c>
      <c r="CI88" s="305">
        <f>IF(COT_PRECALCULOS!$D$24="Precios Iva Incluído",BX88,BR88)</f>
        <v>2296650</v>
      </c>
    </row>
    <row r="89" spans="1:87">
      <c r="A89" s="182" t="s">
        <v>101</v>
      </c>
      <c r="B89" s="182" t="s">
        <v>98</v>
      </c>
      <c r="C89" s="189" t="str">
        <f t="shared" si="103"/>
        <v>F_PE7</v>
      </c>
      <c r="D89" s="189" t="str">
        <f t="shared" si="104"/>
        <v>70_P_</v>
      </c>
      <c r="E89" s="190" t="s">
        <v>1</v>
      </c>
      <c r="F89" s="190" t="s">
        <v>1</v>
      </c>
      <c r="G89" s="189" t="s">
        <v>20</v>
      </c>
      <c r="H89" s="190"/>
      <c r="I89" s="190" t="s">
        <v>69</v>
      </c>
      <c r="J89" s="190">
        <v>70</v>
      </c>
      <c r="K89" s="190" t="s">
        <v>71</v>
      </c>
      <c r="L89" s="189" t="s">
        <v>9</v>
      </c>
      <c r="M89" s="386">
        <v>0</v>
      </c>
      <c r="N89" s="211">
        <v>100</v>
      </c>
      <c r="O89" s="211">
        <v>100</v>
      </c>
      <c r="P89" s="211">
        <v>100</v>
      </c>
      <c r="Q89" s="211">
        <v>100</v>
      </c>
      <c r="R89" s="190" t="s">
        <v>73</v>
      </c>
      <c r="S89" s="183">
        <f t="shared" si="134"/>
        <v>3</v>
      </c>
      <c r="T89" s="386">
        <v>0</v>
      </c>
      <c r="U89" s="385">
        <f t="shared" si="135"/>
        <v>3</v>
      </c>
      <c r="V89" s="385">
        <f t="shared" si="135"/>
        <v>3</v>
      </c>
      <c r="W89" s="385">
        <f t="shared" si="135"/>
        <v>3</v>
      </c>
      <c r="X89" s="385">
        <f t="shared" si="135"/>
        <v>3</v>
      </c>
      <c r="Y89" s="184">
        <f t="shared" si="115"/>
        <v>0</v>
      </c>
      <c r="Z89" s="184">
        <f t="shared" si="136"/>
        <v>217917</v>
      </c>
      <c r="AA89" s="184">
        <f t="shared" si="137"/>
        <v>233081</v>
      </c>
      <c r="AB89" s="184">
        <f t="shared" si="138"/>
        <v>7582</v>
      </c>
      <c r="AC89" s="184">
        <f t="shared" si="139"/>
        <v>7530</v>
      </c>
      <c r="AD89" s="184">
        <f t="shared" si="116"/>
        <v>466110</v>
      </c>
      <c r="AE89" s="183">
        <f t="shared" si="140"/>
        <v>0</v>
      </c>
      <c r="AF89" s="385">
        <f t="shared" si="141"/>
        <v>0</v>
      </c>
      <c r="AG89" s="385">
        <f t="shared" si="141"/>
        <v>0</v>
      </c>
      <c r="AH89" s="385">
        <f t="shared" si="141"/>
        <v>0</v>
      </c>
      <c r="AI89" s="185">
        <f t="shared" si="117"/>
        <v>0</v>
      </c>
      <c r="AJ89" s="185">
        <f t="shared" si="118"/>
        <v>0</v>
      </c>
      <c r="AK89" s="185">
        <f t="shared" si="119"/>
        <v>0</v>
      </c>
      <c r="AL89" s="185">
        <f t="shared" si="120"/>
        <v>0</v>
      </c>
      <c r="AM89" s="173">
        <v>0</v>
      </c>
      <c r="AN89" s="173">
        <f t="shared" si="61"/>
        <v>653751</v>
      </c>
      <c r="AO89" s="173">
        <f t="shared" si="62"/>
        <v>699243</v>
      </c>
      <c r="AP89" s="173">
        <f t="shared" si="105"/>
        <v>22746</v>
      </c>
      <c r="AQ89" s="173">
        <f t="shared" si="106"/>
        <v>22590</v>
      </c>
      <c r="AR89" s="173">
        <f t="shared" si="107"/>
        <v>1398330</v>
      </c>
      <c r="AS89" s="186" t="s">
        <v>1346</v>
      </c>
      <c r="AT89" s="300">
        <f t="shared" si="132"/>
        <v>4.0575000000000001</v>
      </c>
      <c r="AU89" s="300">
        <f t="shared" si="132"/>
        <v>4.0575000000000001</v>
      </c>
      <c r="AV89" s="300">
        <f t="shared" si="132"/>
        <v>4.0575000000000001</v>
      </c>
      <c r="AW89" s="300">
        <f t="shared" si="132"/>
        <v>4.0575000000000001</v>
      </c>
      <c r="AX89" s="300">
        <f t="shared" si="132"/>
        <v>4.0575000000000001</v>
      </c>
      <c r="AY89" s="301">
        <f t="shared" si="142"/>
        <v>4.0575000000000001</v>
      </c>
      <c r="AZ89" s="301">
        <f t="shared" si="142"/>
        <v>4.0575000000000001</v>
      </c>
      <c r="BA89" s="301">
        <f t="shared" si="142"/>
        <v>4.0575000000000001</v>
      </c>
      <c r="BB89" s="301">
        <f t="shared" si="142"/>
        <v>4.0575000000000001</v>
      </c>
      <c r="BC89" s="301">
        <f t="shared" si="142"/>
        <v>4.0575000000000001</v>
      </c>
      <c r="BD89" s="187"/>
      <c r="BE89" s="187">
        <f t="shared" si="64"/>
        <v>434</v>
      </c>
      <c r="BF89" s="187">
        <f t="shared" si="65"/>
        <v>434</v>
      </c>
      <c r="BG89" s="187">
        <f t="shared" si="121"/>
        <v>434</v>
      </c>
      <c r="BH89" s="187">
        <f t="shared" si="122"/>
        <v>434</v>
      </c>
      <c r="BI89" s="187"/>
      <c r="BJ89" s="187">
        <f t="shared" si="126"/>
        <v>434</v>
      </c>
      <c r="BK89" s="187">
        <f t="shared" si="127"/>
        <v>434</v>
      </c>
      <c r="BL89" s="187">
        <f t="shared" si="123"/>
        <v>434</v>
      </c>
      <c r="BM89" s="187">
        <f t="shared" si="124"/>
        <v>434</v>
      </c>
      <c r="BN89" s="188"/>
      <c r="BO89" s="188">
        <f t="shared" si="128"/>
        <v>283727934</v>
      </c>
      <c r="BP89" s="188">
        <f t="shared" si="129"/>
        <v>303471462</v>
      </c>
      <c r="BQ89" s="188">
        <f t="shared" si="130"/>
        <v>9871764</v>
      </c>
      <c r="BR89" s="188">
        <f t="shared" si="131"/>
        <v>9804060</v>
      </c>
      <c r="BS89" s="188">
        <f t="shared" si="108"/>
        <v>606875220</v>
      </c>
      <c r="BT89" s="188">
        <f t="shared" si="109"/>
        <v>0</v>
      </c>
      <c r="BU89" s="188">
        <f t="shared" si="110"/>
        <v>283727934</v>
      </c>
      <c r="BV89" s="188">
        <f t="shared" si="111"/>
        <v>303471462</v>
      </c>
      <c r="BW89" s="188">
        <f t="shared" si="112"/>
        <v>9871764</v>
      </c>
      <c r="BX89" s="188">
        <f t="shared" si="113"/>
        <v>9804060</v>
      </c>
      <c r="BY89" s="188">
        <f t="shared" si="114"/>
        <v>606875220</v>
      </c>
      <c r="BZ89" s="305">
        <f>IF(COT_PRECALCULOS!$D$24="Precios Iva Incluído",BI89,BD89)</f>
        <v>0</v>
      </c>
      <c r="CA89" s="305">
        <f>IF(COT_PRECALCULOS!$D$24="Precios Iva Incluído",BJ89,BE89)</f>
        <v>434</v>
      </c>
      <c r="CB89" s="305">
        <f>IF(COT_PRECALCULOS!$D$24="Precios Iva Incluído",BK89,BF89)</f>
        <v>434</v>
      </c>
      <c r="CC89" s="305">
        <f>IF(COT_PRECALCULOS!$D$24="Precios Iva Incluído",BL89,BG89)</f>
        <v>434</v>
      </c>
      <c r="CD89" s="305">
        <f>IF(COT_PRECALCULOS!$D$24="Precios Iva Incluído",BM89,BH89)</f>
        <v>434</v>
      </c>
      <c r="CE89" s="305">
        <f>IF(COT_PRECALCULOS!$D$24="Precios Iva Incluído",BT89,BN89)</f>
        <v>0</v>
      </c>
      <c r="CF89" s="305">
        <f>IF(COT_PRECALCULOS!$D$24="Precios Iva Incluído",BU89,BO89)</f>
        <v>283727934</v>
      </c>
      <c r="CG89" s="305">
        <f>IF(COT_PRECALCULOS!$D$24="Precios Iva Incluído",BV89,BP89)</f>
        <v>303471462</v>
      </c>
      <c r="CH89" s="305">
        <f>IF(COT_PRECALCULOS!$D$24="Precios Iva Incluído",BW89,BQ89)</f>
        <v>9871764</v>
      </c>
      <c r="CI89" s="305">
        <f>IF(COT_PRECALCULOS!$D$24="Precios Iva Incluído",BX89,BR89)</f>
        <v>9804060</v>
      </c>
    </row>
    <row r="90" spans="1:87">
      <c r="A90" s="182" t="s">
        <v>101</v>
      </c>
      <c r="B90" s="182" t="s">
        <v>98</v>
      </c>
      <c r="C90" s="189" t="str">
        <f t="shared" si="103"/>
        <v>F_PE7</v>
      </c>
      <c r="D90" s="189" t="str">
        <f t="shared" si="104"/>
        <v>36_P_</v>
      </c>
      <c r="E90" s="190" t="s">
        <v>1</v>
      </c>
      <c r="F90" s="190" t="s">
        <v>1</v>
      </c>
      <c r="G90" s="189" t="s">
        <v>20</v>
      </c>
      <c r="H90" s="190"/>
      <c r="I90" s="190" t="s">
        <v>1340</v>
      </c>
      <c r="J90" s="190">
        <v>36</v>
      </c>
      <c r="K90" s="190" t="s">
        <v>1340</v>
      </c>
      <c r="L90" s="189" t="s">
        <v>9</v>
      </c>
      <c r="M90" s="211">
        <v>20</v>
      </c>
      <c r="N90" s="211">
        <v>40</v>
      </c>
      <c r="O90" s="211">
        <v>40</v>
      </c>
      <c r="P90" s="211">
        <v>40</v>
      </c>
      <c r="Q90" s="211">
        <v>40</v>
      </c>
      <c r="R90" s="190"/>
      <c r="S90" s="183">
        <f t="shared" si="134"/>
        <v>0</v>
      </c>
      <c r="T90" s="385">
        <f>$S90</f>
        <v>0</v>
      </c>
      <c r="U90" s="385">
        <f t="shared" si="135"/>
        <v>0</v>
      </c>
      <c r="V90" s="385">
        <f t="shared" si="135"/>
        <v>0</v>
      </c>
      <c r="W90" s="385">
        <f t="shared" si="135"/>
        <v>0</v>
      </c>
      <c r="X90" s="385">
        <f t="shared" si="135"/>
        <v>0</v>
      </c>
      <c r="Y90" s="184">
        <f t="shared" si="115"/>
        <v>163328</v>
      </c>
      <c r="Z90" s="184">
        <f t="shared" si="136"/>
        <v>217917</v>
      </c>
      <c r="AA90" s="184">
        <f t="shared" si="137"/>
        <v>233081</v>
      </c>
      <c r="AB90" s="184">
        <f t="shared" si="138"/>
        <v>7582</v>
      </c>
      <c r="AC90" s="184">
        <f t="shared" si="139"/>
        <v>7530</v>
      </c>
      <c r="AD90" s="184">
        <f t="shared" si="116"/>
        <v>629438</v>
      </c>
      <c r="AE90" s="183">
        <f t="shared" si="140"/>
        <v>0</v>
      </c>
      <c r="AF90" s="385">
        <f t="shared" si="141"/>
        <v>0</v>
      </c>
      <c r="AG90" s="385">
        <f t="shared" si="141"/>
        <v>0</v>
      </c>
      <c r="AH90" s="385">
        <f t="shared" si="141"/>
        <v>0</v>
      </c>
      <c r="AI90" s="185">
        <f t="shared" si="117"/>
        <v>0</v>
      </c>
      <c r="AJ90" s="185">
        <f t="shared" si="118"/>
        <v>0</v>
      </c>
      <c r="AK90" s="185">
        <f t="shared" si="119"/>
        <v>0</v>
      </c>
      <c r="AL90" s="185">
        <f t="shared" si="120"/>
        <v>0</v>
      </c>
      <c r="AM90" s="173">
        <f>($S90*Y90)+($AE90*AI90)</f>
        <v>0</v>
      </c>
      <c r="AN90" s="173">
        <f t="shared" si="61"/>
        <v>0</v>
      </c>
      <c r="AO90" s="173">
        <f t="shared" si="62"/>
        <v>0</v>
      </c>
      <c r="AP90" s="173">
        <f t="shared" si="105"/>
        <v>0</v>
      </c>
      <c r="AQ90" s="173">
        <f t="shared" si="106"/>
        <v>0</v>
      </c>
      <c r="AR90" s="173">
        <f t="shared" si="107"/>
        <v>0</v>
      </c>
      <c r="AS90" s="186" t="s">
        <v>1346</v>
      </c>
      <c r="AT90" s="300">
        <f t="shared" si="132"/>
        <v>5.9</v>
      </c>
      <c r="AU90" s="300">
        <f t="shared" si="132"/>
        <v>5.9</v>
      </c>
      <c r="AV90" s="300">
        <f t="shared" si="132"/>
        <v>5.9</v>
      </c>
      <c r="AW90" s="300">
        <f t="shared" si="132"/>
        <v>5.9</v>
      </c>
      <c r="AX90" s="300">
        <f t="shared" si="132"/>
        <v>5.9</v>
      </c>
      <c r="AY90" s="301">
        <f t="shared" si="142"/>
        <v>5.9</v>
      </c>
      <c r="AZ90" s="301">
        <f t="shared" si="142"/>
        <v>5.9</v>
      </c>
      <c r="BA90" s="301">
        <f t="shared" si="142"/>
        <v>5.9</v>
      </c>
      <c r="BB90" s="301">
        <f t="shared" si="142"/>
        <v>5.9</v>
      </c>
      <c r="BC90" s="301">
        <f t="shared" si="142"/>
        <v>5.9</v>
      </c>
      <c r="BD90" s="187">
        <f>ROUND(IF(OR(M90=0,AT90="DATO NO DISPONIBLE"),"",AT90*M90*($BD$7+1)),0)</f>
        <v>126</v>
      </c>
      <c r="BE90" s="187">
        <f t="shared" si="64"/>
        <v>252</v>
      </c>
      <c r="BF90" s="187">
        <f t="shared" si="65"/>
        <v>252</v>
      </c>
      <c r="BG90" s="187">
        <f t="shared" si="121"/>
        <v>252</v>
      </c>
      <c r="BH90" s="187">
        <f t="shared" si="122"/>
        <v>252</v>
      </c>
      <c r="BI90" s="187">
        <f>ROUND(IF(OR(M90=0,AY90="DATO NO DISPONIBLE"),0,AY90*M90*($BD$7+1)),0)</f>
        <v>126</v>
      </c>
      <c r="BJ90" s="187">
        <f t="shared" si="126"/>
        <v>252</v>
      </c>
      <c r="BK90" s="187">
        <f t="shared" si="127"/>
        <v>252</v>
      </c>
      <c r="BL90" s="187">
        <f t="shared" si="123"/>
        <v>252</v>
      </c>
      <c r="BM90" s="187">
        <f t="shared" si="124"/>
        <v>252</v>
      </c>
      <c r="BN90" s="188">
        <f>BD90*AM90</f>
        <v>0</v>
      </c>
      <c r="BO90" s="188">
        <f t="shared" si="128"/>
        <v>0</v>
      </c>
      <c r="BP90" s="188">
        <f t="shared" si="129"/>
        <v>0</v>
      </c>
      <c r="BQ90" s="188">
        <f t="shared" si="130"/>
        <v>0</v>
      </c>
      <c r="BR90" s="188">
        <f t="shared" si="131"/>
        <v>0</v>
      </c>
      <c r="BS90" s="188">
        <f t="shared" si="108"/>
        <v>0</v>
      </c>
      <c r="BT90" s="188">
        <f t="shared" si="109"/>
        <v>0</v>
      </c>
      <c r="BU90" s="188">
        <f t="shared" si="110"/>
        <v>0</v>
      </c>
      <c r="BV90" s="188">
        <f t="shared" si="111"/>
        <v>0</v>
      </c>
      <c r="BW90" s="188">
        <f t="shared" si="112"/>
        <v>0</v>
      </c>
      <c r="BX90" s="188">
        <f t="shared" si="113"/>
        <v>0</v>
      </c>
      <c r="BY90" s="188">
        <f t="shared" si="114"/>
        <v>0</v>
      </c>
      <c r="BZ90" s="305">
        <f>IF(COT_PRECALCULOS!$D$24="Precios Iva Incluído",BI90,BD90)</f>
        <v>126</v>
      </c>
      <c r="CA90" s="305">
        <f>IF(COT_PRECALCULOS!$D$24="Precios Iva Incluído",BJ90,BE90)</f>
        <v>252</v>
      </c>
      <c r="CB90" s="305">
        <f>IF(COT_PRECALCULOS!$D$24="Precios Iva Incluído",BK90,BF90)</f>
        <v>252</v>
      </c>
      <c r="CC90" s="305">
        <f>IF(COT_PRECALCULOS!$D$24="Precios Iva Incluído",BL90,BG90)</f>
        <v>252</v>
      </c>
      <c r="CD90" s="305">
        <f>IF(COT_PRECALCULOS!$D$24="Precios Iva Incluído",BM90,BH90)</f>
        <v>252</v>
      </c>
      <c r="CE90" s="305">
        <f>IF(COT_PRECALCULOS!$D$24="Precios Iva Incluído",BT90,BN90)</f>
        <v>0</v>
      </c>
      <c r="CF90" s="305">
        <f>IF(COT_PRECALCULOS!$D$24="Precios Iva Incluído",BU90,BO90)</f>
        <v>0</v>
      </c>
      <c r="CG90" s="305">
        <f>IF(COT_PRECALCULOS!$D$24="Precios Iva Incluído",BV90,BP90)</f>
        <v>0</v>
      </c>
      <c r="CH90" s="305">
        <f>IF(COT_PRECALCULOS!$D$24="Precios Iva Incluído",BW90,BQ90)</f>
        <v>0</v>
      </c>
      <c r="CI90" s="305">
        <f>IF(COT_PRECALCULOS!$D$24="Precios Iva Incluído",BX90,BR90)</f>
        <v>0</v>
      </c>
    </row>
    <row r="91" spans="1:87">
      <c r="A91" s="182" t="s">
        <v>101</v>
      </c>
      <c r="B91" s="182" t="s">
        <v>98</v>
      </c>
      <c r="C91" s="189" t="str">
        <f t="shared" si="103"/>
        <v>F_PE9</v>
      </c>
      <c r="D91" s="189" t="str">
        <f t="shared" si="104"/>
        <v>8_P_</v>
      </c>
      <c r="E91" s="190" t="s">
        <v>1</v>
      </c>
      <c r="F91" s="190" t="s">
        <v>1</v>
      </c>
      <c r="G91" s="189" t="s">
        <v>22</v>
      </c>
      <c r="H91" s="190" t="s">
        <v>2</v>
      </c>
      <c r="I91" s="190" t="s">
        <v>54</v>
      </c>
      <c r="J91" s="190">
        <v>8</v>
      </c>
      <c r="K91" s="190" t="s">
        <v>55</v>
      </c>
      <c r="L91" s="189" t="s">
        <v>9</v>
      </c>
      <c r="M91" s="211">
        <v>100</v>
      </c>
      <c r="N91" s="211">
        <v>100</v>
      </c>
      <c r="O91" s="211">
        <v>100</v>
      </c>
      <c r="P91" s="211">
        <v>100</v>
      </c>
      <c r="Q91" s="211">
        <v>100</v>
      </c>
      <c r="R91" s="190"/>
      <c r="S91" s="183">
        <f t="shared" si="134"/>
        <v>1</v>
      </c>
      <c r="T91" s="385">
        <f>$S91</f>
        <v>1</v>
      </c>
      <c r="U91" s="385">
        <f t="shared" si="135"/>
        <v>1</v>
      </c>
      <c r="V91" s="385">
        <f t="shared" si="135"/>
        <v>1</v>
      </c>
      <c r="W91" s="385">
        <f t="shared" si="135"/>
        <v>1</v>
      </c>
      <c r="X91" s="385">
        <f t="shared" si="135"/>
        <v>1</v>
      </c>
      <c r="Y91" s="184">
        <f t="shared" si="115"/>
        <v>163328</v>
      </c>
      <c r="Z91" s="184">
        <f t="shared" si="136"/>
        <v>217917</v>
      </c>
      <c r="AA91" s="184">
        <f t="shared" si="137"/>
        <v>233081</v>
      </c>
      <c r="AB91" s="184">
        <f t="shared" si="138"/>
        <v>7582</v>
      </c>
      <c r="AC91" s="184">
        <f t="shared" si="139"/>
        <v>7530</v>
      </c>
      <c r="AD91" s="184">
        <f t="shared" si="116"/>
        <v>629438</v>
      </c>
      <c r="AE91" s="183">
        <f t="shared" si="140"/>
        <v>0</v>
      </c>
      <c r="AF91" s="385">
        <f t="shared" si="141"/>
        <v>0</v>
      </c>
      <c r="AG91" s="385">
        <f t="shared" si="141"/>
        <v>0</v>
      </c>
      <c r="AH91" s="385">
        <f t="shared" si="141"/>
        <v>0</v>
      </c>
      <c r="AI91" s="185">
        <f t="shared" si="117"/>
        <v>0</v>
      </c>
      <c r="AJ91" s="185">
        <f t="shared" si="118"/>
        <v>0</v>
      </c>
      <c r="AK91" s="185">
        <f t="shared" si="119"/>
        <v>0</v>
      </c>
      <c r="AL91" s="185">
        <f t="shared" si="120"/>
        <v>0</v>
      </c>
      <c r="AM91" s="173">
        <f>($S91*Y91)+($AE91*AI91)</f>
        <v>163328</v>
      </c>
      <c r="AN91" s="173">
        <f t="shared" si="61"/>
        <v>217917</v>
      </c>
      <c r="AO91" s="173">
        <f t="shared" si="62"/>
        <v>233081</v>
      </c>
      <c r="AP91" s="173">
        <f t="shared" si="105"/>
        <v>7582</v>
      </c>
      <c r="AQ91" s="173">
        <f t="shared" si="106"/>
        <v>7530</v>
      </c>
      <c r="AR91" s="173">
        <f t="shared" si="107"/>
        <v>629438</v>
      </c>
      <c r="AS91" s="186" t="s">
        <v>1347</v>
      </c>
      <c r="AT91" s="300">
        <f t="shared" ref="AT91:AX100" si="143">IF(ISERROR(IF(ISERROR(MATCH(CONCATENATE($J91,"_",AT$1),COT_PRE_CODIGO_ALIMENTOS,0)),IF(ISERROR(MATCH(CONCATENATE($J91,"_",AT$2),COT_PRE_CODIGO_ALIMENTOS,0)),IF(ISERROR(MATCH(CONCATENATE($J91,"_",AT$3),COT_PRE_CODIGO_ALIMENTOS,0)),IF(ISERROR(MATCH(CONCATENATE($J91,"_",AT$4),COT_PRE_CODIGO_ALIMENTOS,0)),IF(ISERROR(MATCH(CONCATENATE($J91,"_",AT$5),COT_PRE_CODIGO_ALIMENTOS,0)),IF(ISERROR(MATCH(CONCATENATE($J91,"_",AT$6),COT_PRE_CODIGO_ALIMENTOS,0)),IF(ISERROR(MATCH(CONCATENATE($J91,"_",AT$7),COT_PRE_CODIGO_ALIMENTOS,0)),IF(ISERROR(VLOOKUP($J91,COT_PRE_ALIMENTOS,AT$8,FALSE)),"DATO NO DISPONIBLE",VLOOKUP($J91,COT_PRE_ALIMENTOS,AT$8,FALSE)),VLOOKUP(CONCATENATE($J91,"_",AT$7),COT_PRE_ALIMENTOS,AT$8,FALSE)),VLOOKUP(CONCATENATE($J91,"_",AT$6),COT_PRE_ALIMENTOS,AT$8,FALSE)),VLOOKUP(CONCATENATE($J91,"_",AT$5),COT_PRE_ALIMENTOS,AT$8,FALSE)),VLOOKUP(CONCATENATE($J91,"_",AT$4),COT_PRE_ALIMENTOS,AT$8,FALSE)),VLOOKUP(CONCATENATE($J91,"_",AT$3),COT_PRE_ALIMENTOS,AT$8,FALSE)),VLOOKUP(CONCATENATE($J91,"_",AT$2),COT_PRE_ALIMENTOS,AT$8,FALSE)),VLOOKUP(CONCATENATE($J91,"_",AT$1),COT_PRE_ALIMENTOS,AT$8,FALSE))),"DATO NO DISPONIBLE",IF(ISERROR(MATCH(CONCATENATE($J91,"_",AT$1),COT_PRE_CODIGO_ALIMENTOS,0)),IF(ISERROR(MATCH(CONCATENATE($J91,"_",AT$2),COT_PRE_CODIGO_ALIMENTOS,0)),IF(ISERROR(MATCH(CONCATENATE($J91,"_",AT$3),COT_PRE_CODIGO_ALIMENTOS,0)),IF(ISERROR(MATCH(CONCATENATE($J91,"_",AT$4),COT_PRE_CODIGO_ALIMENTOS,0)),IF(ISERROR(MATCH(CONCATENATE($J91,"_",AT$5),COT_PRE_CODIGO_ALIMENTOS,0)),IF(ISERROR(MATCH(CONCATENATE($J91,"_",AT$6),COT_PRE_CODIGO_ALIMENTOS,0)),IF(ISERROR(MATCH(CONCATENATE($J91,"_",AT$7),COT_PRE_CODIGO_ALIMENTOS,0)),IF(ISERROR(VLOOKUP($J91,COT_PRE_ALIMENTOS,AT$8,FALSE)),"DATO NO DISPONIBLE",VLOOKUP($J91,COT_PRE_ALIMENTOS,AT$8,FALSE)),VLOOKUP(CONCATENATE($J91,"_",AT$7),COT_PRE_ALIMENTOS,AT$8,FALSE)),VLOOKUP(CONCATENATE($J91,"_",AT$6),COT_PRE_ALIMENTOS,AT$8,FALSE)),VLOOKUP(CONCATENATE($J91,"_",AT$5),COT_PRE_ALIMENTOS,AT$8,FALSE)),VLOOKUP(CONCATENATE($J91,"_",AT$4),COT_PRE_ALIMENTOS,AT$8,FALSE)),VLOOKUP(CONCATENATE($J91,"_",AT$3),COT_PRE_ALIMENTOS,AT$8,FALSE)),VLOOKUP(CONCATENATE($J91,"_",AT$2),COT_PRE_ALIMENTOS,AT$8,FALSE)),VLOOKUP(CONCATENATE($J91,"_",AT$1),COT_PRE_ALIMENTOS,AT$8,FALSE)))</f>
        <v>1.25</v>
      </c>
      <c r="AU91" s="300">
        <f t="shared" si="143"/>
        <v>1.25</v>
      </c>
      <c r="AV91" s="300">
        <f t="shared" si="143"/>
        <v>1.25</v>
      </c>
      <c r="AW91" s="300">
        <f t="shared" si="143"/>
        <v>1.25</v>
      </c>
      <c r="AX91" s="300">
        <f t="shared" si="143"/>
        <v>1.25</v>
      </c>
      <c r="AY91" s="301">
        <f t="shared" si="142"/>
        <v>1.25</v>
      </c>
      <c r="AZ91" s="301">
        <f t="shared" si="142"/>
        <v>1.25</v>
      </c>
      <c r="BA91" s="301">
        <f t="shared" si="142"/>
        <v>1.25</v>
      </c>
      <c r="BB91" s="301">
        <f t="shared" si="142"/>
        <v>1.25</v>
      </c>
      <c r="BC91" s="301">
        <f t="shared" si="142"/>
        <v>1.25</v>
      </c>
      <c r="BD91" s="187">
        <f>ROUND(IF(OR(M91=0,AT91="DATO NO DISPONIBLE"),"",AT91*M91*($BD$7+1)),0)</f>
        <v>134</v>
      </c>
      <c r="BE91" s="187">
        <f t="shared" si="64"/>
        <v>134</v>
      </c>
      <c r="BF91" s="187">
        <f t="shared" si="65"/>
        <v>134</v>
      </c>
      <c r="BG91" s="187">
        <f t="shared" si="121"/>
        <v>134</v>
      </c>
      <c r="BH91" s="187">
        <f t="shared" si="122"/>
        <v>134</v>
      </c>
      <c r="BI91" s="187">
        <f>ROUND(IF(OR(M91=0,AY91="DATO NO DISPONIBLE"),0,AY91*M91*($BD$7+1)),0)</f>
        <v>134</v>
      </c>
      <c r="BJ91" s="187">
        <f t="shared" si="126"/>
        <v>134</v>
      </c>
      <c r="BK91" s="187">
        <f t="shared" si="127"/>
        <v>134</v>
      </c>
      <c r="BL91" s="187">
        <f t="shared" si="123"/>
        <v>134</v>
      </c>
      <c r="BM91" s="187">
        <f t="shared" si="124"/>
        <v>134</v>
      </c>
      <c r="BN91" s="188">
        <f>BD91*AM91</f>
        <v>21885952</v>
      </c>
      <c r="BO91" s="188">
        <f t="shared" si="128"/>
        <v>29200878</v>
      </c>
      <c r="BP91" s="188">
        <f t="shared" si="129"/>
        <v>31232854</v>
      </c>
      <c r="BQ91" s="188">
        <f t="shared" si="130"/>
        <v>1015988</v>
      </c>
      <c r="BR91" s="188">
        <f t="shared" si="131"/>
        <v>1009020</v>
      </c>
      <c r="BS91" s="188">
        <f t="shared" si="108"/>
        <v>84344692</v>
      </c>
      <c r="BT91" s="188">
        <f t="shared" si="109"/>
        <v>21885952</v>
      </c>
      <c r="BU91" s="188">
        <f t="shared" si="110"/>
        <v>29200878</v>
      </c>
      <c r="BV91" s="188">
        <f t="shared" si="111"/>
        <v>31232854</v>
      </c>
      <c r="BW91" s="188">
        <f t="shared" si="112"/>
        <v>1015988</v>
      </c>
      <c r="BX91" s="188">
        <f t="shared" si="113"/>
        <v>1009020</v>
      </c>
      <c r="BY91" s="188">
        <f t="shared" si="114"/>
        <v>84344692</v>
      </c>
      <c r="BZ91" s="305">
        <f>IF(COT_PRECALCULOS!$D$24="Precios Iva Incluído",BI91,BD91)</f>
        <v>134</v>
      </c>
      <c r="CA91" s="305">
        <f>IF(COT_PRECALCULOS!$D$24="Precios Iva Incluído",BJ91,BE91)</f>
        <v>134</v>
      </c>
      <c r="CB91" s="305">
        <f>IF(COT_PRECALCULOS!$D$24="Precios Iva Incluído",BK91,BF91)</f>
        <v>134</v>
      </c>
      <c r="CC91" s="305">
        <f>IF(COT_PRECALCULOS!$D$24="Precios Iva Incluído",BL91,BG91)</f>
        <v>134</v>
      </c>
      <c r="CD91" s="305">
        <f>IF(COT_PRECALCULOS!$D$24="Precios Iva Incluído",BM91,BH91)</f>
        <v>134</v>
      </c>
      <c r="CE91" s="305">
        <f>IF(COT_PRECALCULOS!$D$24="Precios Iva Incluído",BT91,BN91)</f>
        <v>21885952</v>
      </c>
      <c r="CF91" s="305">
        <f>IF(COT_PRECALCULOS!$D$24="Precios Iva Incluído",BU91,BO91)</f>
        <v>29200878</v>
      </c>
      <c r="CG91" s="305">
        <f>IF(COT_PRECALCULOS!$D$24="Precios Iva Incluído",BV91,BP91)</f>
        <v>31232854</v>
      </c>
      <c r="CH91" s="305">
        <f>IF(COT_PRECALCULOS!$D$24="Precios Iva Incluído",BW91,BQ91)</f>
        <v>1015988</v>
      </c>
      <c r="CI91" s="305">
        <f>IF(COT_PRECALCULOS!$D$24="Precios Iva Incluído",BX91,BR91)</f>
        <v>1009020</v>
      </c>
    </row>
    <row r="92" spans="1:87">
      <c r="A92" s="182" t="s">
        <v>101</v>
      </c>
      <c r="B92" s="182" t="s">
        <v>98</v>
      </c>
      <c r="C92" s="189" t="str">
        <f t="shared" si="103"/>
        <v>F_PE9</v>
      </c>
      <c r="D92" s="189" t="str">
        <f t="shared" si="104"/>
        <v>7_P_</v>
      </c>
      <c r="E92" s="190" t="s">
        <v>1</v>
      </c>
      <c r="F92" s="190" t="s">
        <v>1</v>
      </c>
      <c r="G92" s="189" t="s">
        <v>22</v>
      </c>
      <c r="H92" s="190"/>
      <c r="I92" s="190" t="s">
        <v>56</v>
      </c>
      <c r="J92" s="190">
        <v>7</v>
      </c>
      <c r="K92" s="190" t="s">
        <v>57</v>
      </c>
      <c r="L92" s="189" t="s">
        <v>9</v>
      </c>
      <c r="M92" s="211">
        <v>100</v>
      </c>
      <c r="N92" s="211">
        <v>100</v>
      </c>
      <c r="O92" s="211">
        <v>100</v>
      </c>
      <c r="P92" s="211">
        <v>100</v>
      </c>
      <c r="Q92" s="211">
        <v>100</v>
      </c>
      <c r="R92" s="190"/>
      <c r="S92" s="388">
        <v>2</v>
      </c>
      <c r="T92" s="388">
        <f>$S92</f>
        <v>2</v>
      </c>
      <c r="U92" s="388">
        <v>0</v>
      </c>
      <c r="V92" s="388">
        <v>0</v>
      </c>
      <c r="W92" s="388">
        <v>0</v>
      </c>
      <c r="X92" s="388">
        <v>0</v>
      </c>
      <c r="Y92" s="184">
        <f t="shared" si="115"/>
        <v>163328</v>
      </c>
      <c r="Z92" s="184">
        <v>0</v>
      </c>
      <c r="AA92" s="184">
        <v>0</v>
      </c>
      <c r="AB92" s="184">
        <v>0</v>
      </c>
      <c r="AC92" s="184">
        <v>0</v>
      </c>
      <c r="AD92" s="184">
        <f t="shared" si="116"/>
        <v>163328</v>
      </c>
      <c r="AE92" s="183">
        <f t="shared" si="140"/>
        <v>0</v>
      </c>
      <c r="AF92" s="385">
        <f t="shared" si="141"/>
        <v>0</v>
      </c>
      <c r="AG92" s="385">
        <f t="shared" si="141"/>
        <v>0</v>
      </c>
      <c r="AH92" s="385">
        <f t="shared" si="141"/>
        <v>0</v>
      </c>
      <c r="AI92" s="185">
        <f t="shared" si="117"/>
        <v>0</v>
      </c>
      <c r="AJ92" s="185">
        <f t="shared" si="118"/>
        <v>0</v>
      </c>
      <c r="AK92" s="185">
        <f t="shared" si="119"/>
        <v>0</v>
      </c>
      <c r="AL92" s="185">
        <f t="shared" si="120"/>
        <v>0</v>
      </c>
      <c r="AM92" s="173">
        <f>($S92*Y92)+($AE92*AI92)</f>
        <v>326656</v>
      </c>
      <c r="AN92" s="173">
        <f t="shared" ref="AN92:AN155" si="144">($S92*Z92)+($AE92*AJ92)</f>
        <v>0</v>
      </c>
      <c r="AO92" s="173">
        <f t="shared" ref="AO92:AO155" si="145">($S92*AA92)+($AE92*AK92)</f>
        <v>0</v>
      </c>
      <c r="AP92" s="173">
        <f t="shared" si="105"/>
        <v>0</v>
      </c>
      <c r="AQ92" s="173">
        <f t="shared" si="106"/>
        <v>0</v>
      </c>
      <c r="AR92" s="173">
        <f t="shared" si="107"/>
        <v>326656</v>
      </c>
      <c r="AS92" s="186" t="s">
        <v>1347</v>
      </c>
      <c r="AT92" s="300">
        <f t="shared" si="143"/>
        <v>1</v>
      </c>
      <c r="AU92" s="300">
        <f t="shared" si="143"/>
        <v>1</v>
      </c>
      <c r="AV92" s="300">
        <f t="shared" si="143"/>
        <v>1</v>
      </c>
      <c r="AW92" s="300">
        <f t="shared" si="143"/>
        <v>1</v>
      </c>
      <c r="AX92" s="300">
        <f t="shared" si="143"/>
        <v>1</v>
      </c>
      <c r="AY92" s="301">
        <f t="shared" si="142"/>
        <v>1</v>
      </c>
      <c r="AZ92" s="301">
        <f t="shared" si="142"/>
        <v>1</v>
      </c>
      <c r="BA92" s="301">
        <f t="shared" si="142"/>
        <v>1</v>
      </c>
      <c r="BB92" s="301">
        <f t="shared" si="142"/>
        <v>1</v>
      </c>
      <c r="BC92" s="301">
        <f t="shared" si="142"/>
        <v>1</v>
      </c>
      <c r="BD92" s="187">
        <f>ROUND(IF(OR(M92=0,AT92="DATO NO DISPONIBLE"),"",AT92*M92*($BD$7+1)),0)</f>
        <v>107</v>
      </c>
      <c r="BE92" s="187">
        <f t="shared" si="64"/>
        <v>107</v>
      </c>
      <c r="BF92" s="187">
        <f t="shared" si="65"/>
        <v>107</v>
      </c>
      <c r="BG92" s="187">
        <f t="shared" si="121"/>
        <v>107</v>
      </c>
      <c r="BH92" s="187">
        <f t="shared" si="122"/>
        <v>107</v>
      </c>
      <c r="BI92" s="187">
        <f>ROUND(IF(OR(M92=0,AY92="DATO NO DISPONIBLE"),0,AY92*M92*($BD$7+1)),0)</f>
        <v>107</v>
      </c>
      <c r="BJ92" s="187">
        <f t="shared" si="126"/>
        <v>107</v>
      </c>
      <c r="BK92" s="187">
        <f t="shared" si="127"/>
        <v>107</v>
      </c>
      <c r="BL92" s="187">
        <f t="shared" si="123"/>
        <v>107</v>
      </c>
      <c r="BM92" s="187">
        <f t="shared" si="124"/>
        <v>107</v>
      </c>
      <c r="BN92" s="188">
        <f>BD92*AM92</f>
        <v>34952192</v>
      </c>
      <c r="BO92" s="188">
        <f t="shared" si="128"/>
        <v>0</v>
      </c>
      <c r="BP92" s="188">
        <f t="shared" si="129"/>
        <v>0</v>
      </c>
      <c r="BQ92" s="188">
        <f t="shared" si="130"/>
        <v>0</v>
      </c>
      <c r="BR92" s="188">
        <f t="shared" si="131"/>
        <v>0</v>
      </c>
      <c r="BS92" s="188">
        <f t="shared" si="108"/>
        <v>34952192</v>
      </c>
      <c r="BT92" s="188">
        <f t="shared" si="109"/>
        <v>34952192</v>
      </c>
      <c r="BU92" s="188">
        <f t="shared" si="110"/>
        <v>0</v>
      </c>
      <c r="BV92" s="188">
        <f t="shared" si="111"/>
        <v>0</v>
      </c>
      <c r="BW92" s="188">
        <f t="shared" si="112"/>
        <v>0</v>
      </c>
      <c r="BX92" s="188">
        <f t="shared" si="113"/>
        <v>0</v>
      </c>
      <c r="BY92" s="188">
        <f t="shared" si="114"/>
        <v>34952192</v>
      </c>
      <c r="BZ92" s="305">
        <f>IF(COT_PRECALCULOS!$D$24="Precios Iva Incluído",BI92,BD92)</f>
        <v>107</v>
      </c>
      <c r="CA92" s="305">
        <f>IF(COT_PRECALCULOS!$D$24="Precios Iva Incluído",BJ92,BE92)</f>
        <v>107</v>
      </c>
      <c r="CB92" s="305">
        <f>IF(COT_PRECALCULOS!$D$24="Precios Iva Incluído",BK92,BF92)</f>
        <v>107</v>
      </c>
      <c r="CC92" s="305">
        <f>IF(COT_PRECALCULOS!$D$24="Precios Iva Incluído",BL92,BG92)</f>
        <v>107</v>
      </c>
      <c r="CD92" s="305">
        <f>IF(COT_PRECALCULOS!$D$24="Precios Iva Incluído",BM92,BH92)</f>
        <v>107</v>
      </c>
      <c r="CE92" s="305">
        <f>IF(COT_PRECALCULOS!$D$24="Precios Iva Incluído",BT92,BN92)</f>
        <v>34952192</v>
      </c>
      <c r="CF92" s="305">
        <f>IF(COT_PRECALCULOS!$D$24="Precios Iva Incluído",BU92,BO92)</f>
        <v>0</v>
      </c>
      <c r="CG92" s="305">
        <f>IF(COT_PRECALCULOS!$D$24="Precios Iva Incluído",BV92,BP92)</f>
        <v>0</v>
      </c>
      <c r="CH92" s="305">
        <f>IF(COT_PRECALCULOS!$D$24="Precios Iva Incluído",BW92,BQ92)</f>
        <v>0</v>
      </c>
      <c r="CI92" s="305">
        <f>IF(COT_PRECALCULOS!$D$24="Precios Iva Incluído",BX92,BR92)</f>
        <v>0</v>
      </c>
    </row>
    <row r="93" spans="1:87">
      <c r="A93" s="182" t="s">
        <v>101</v>
      </c>
      <c r="B93" s="182" t="s">
        <v>98</v>
      </c>
      <c r="C93" s="189" t="str">
        <f t="shared" si="103"/>
        <v>F_PE9</v>
      </c>
      <c r="D93" s="189" t="str">
        <f t="shared" si="104"/>
        <v>17_P_</v>
      </c>
      <c r="E93" s="190" t="s">
        <v>1</v>
      </c>
      <c r="F93" s="190" t="s">
        <v>1</v>
      </c>
      <c r="G93" s="189" t="s">
        <v>22</v>
      </c>
      <c r="H93" s="190"/>
      <c r="I93" s="190" t="s">
        <v>52</v>
      </c>
      <c r="J93" s="190">
        <v>17</v>
      </c>
      <c r="K93" s="190" t="s">
        <v>53</v>
      </c>
      <c r="L93" s="189" t="s">
        <v>9</v>
      </c>
      <c r="M93" s="191">
        <v>0</v>
      </c>
      <c r="N93" s="211">
        <v>100</v>
      </c>
      <c r="O93" s="211">
        <v>100</v>
      </c>
      <c r="P93" s="211">
        <v>100</v>
      </c>
      <c r="Q93" s="211">
        <v>100</v>
      </c>
      <c r="R93" s="211" t="s">
        <v>73</v>
      </c>
      <c r="S93" s="183">
        <f>COUNTIF(CAL_PRIMERA_ENTREGA_FRUTA,CONCATENATE(G93,"_",J93))</f>
        <v>1</v>
      </c>
      <c r="T93" s="386">
        <v>0</v>
      </c>
      <c r="U93" s="385">
        <f t="shared" ref="U93:X96" si="146">$S93</f>
        <v>1</v>
      </c>
      <c r="V93" s="385">
        <f t="shared" si="146"/>
        <v>1</v>
      </c>
      <c r="W93" s="385">
        <f t="shared" si="146"/>
        <v>1</v>
      </c>
      <c r="X93" s="385">
        <f t="shared" si="146"/>
        <v>1</v>
      </c>
      <c r="Y93" s="184">
        <f t="shared" si="115"/>
        <v>0</v>
      </c>
      <c r="Z93" s="184">
        <f>IF(N93&lt;&gt;0,VLOOKUP(A93,FRE_CANTIDADES_DIARIAS_SUMINISTROS,5,FALSE),0)</f>
        <v>217917</v>
      </c>
      <c r="AA93" s="184">
        <f>IF(O93&lt;&gt;0,VLOOKUP(A93,FRE_CANTIDADES_DIARIAS_SUMINISTROS,6,FALSE),0)</f>
        <v>233081</v>
      </c>
      <c r="AB93" s="184">
        <f>IF(P93&lt;&gt;0,VLOOKUP(A93,FRE_CANTIDADES_DIARIAS_SUMINISTROS,7,FALSE),0)</f>
        <v>7582</v>
      </c>
      <c r="AC93" s="184">
        <f>IF(Q93&lt;&gt;0,VLOOKUP(A93,FRE_CANTIDADES_DIARIAS_SUMINISTROS,8,FALSE),0)</f>
        <v>7530</v>
      </c>
      <c r="AD93" s="184">
        <f t="shared" si="116"/>
        <v>466110</v>
      </c>
      <c r="AE93" s="183">
        <f t="shared" si="140"/>
        <v>0</v>
      </c>
      <c r="AF93" s="385">
        <f t="shared" si="141"/>
        <v>0</v>
      </c>
      <c r="AG93" s="385">
        <f t="shared" si="141"/>
        <v>0</v>
      </c>
      <c r="AH93" s="385">
        <f t="shared" si="141"/>
        <v>0</v>
      </c>
      <c r="AI93" s="185">
        <f t="shared" si="117"/>
        <v>0</v>
      </c>
      <c r="AJ93" s="185">
        <f t="shared" si="118"/>
        <v>0</v>
      </c>
      <c r="AK93" s="185">
        <f t="shared" si="119"/>
        <v>0</v>
      </c>
      <c r="AL93" s="185">
        <f t="shared" si="120"/>
        <v>0</v>
      </c>
      <c r="AM93" s="173">
        <v>0</v>
      </c>
      <c r="AN93" s="173">
        <f t="shared" si="144"/>
        <v>217917</v>
      </c>
      <c r="AO93" s="173">
        <f t="shared" si="145"/>
        <v>233081</v>
      </c>
      <c r="AP93" s="173">
        <f t="shared" si="105"/>
        <v>7582</v>
      </c>
      <c r="AQ93" s="173">
        <f t="shared" si="106"/>
        <v>7530</v>
      </c>
      <c r="AR93" s="173">
        <f t="shared" si="107"/>
        <v>466110</v>
      </c>
      <c r="AS93" s="186" t="s">
        <v>1347</v>
      </c>
      <c r="AT93" s="300">
        <f t="shared" si="143"/>
        <v>2.11</v>
      </c>
      <c r="AU93" s="300">
        <f t="shared" si="143"/>
        <v>2.11</v>
      </c>
      <c r="AV93" s="300">
        <f t="shared" si="143"/>
        <v>2.11</v>
      </c>
      <c r="AW93" s="300">
        <f t="shared" si="143"/>
        <v>2.11</v>
      </c>
      <c r="AX93" s="300">
        <f t="shared" si="143"/>
        <v>2.11</v>
      </c>
      <c r="AY93" s="301">
        <f t="shared" si="142"/>
        <v>2.11</v>
      </c>
      <c r="AZ93" s="301">
        <f t="shared" si="142"/>
        <v>2.11</v>
      </c>
      <c r="BA93" s="301">
        <f t="shared" si="142"/>
        <v>2.11</v>
      </c>
      <c r="BB93" s="301">
        <f t="shared" si="142"/>
        <v>2.11</v>
      </c>
      <c r="BC93" s="301">
        <f t="shared" si="142"/>
        <v>2.11</v>
      </c>
      <c r="BD93" s="187"/>
      <c r="BE93" s="187">
        <f t="shared" ref="BE93:BE156" si="147">ROUND(IF(OR(N93=0,AU93="DATO NO DISPONIBLE"),0,AU93*N93*($BD$7+1)),0)</f>
        <v>226</v>
      </c>
      <c r="BF93" s="187">
        <f t="shared" ref="BF93:BF156" si="148">ROUND(IF(OR(O93=0,AV93="DATO NO DISPONIBLE"),0,AV93*O93*($BD$7+1)),0)</f>
        <v>226</v>
      </c>
      <c r="BG93" s="187">
        <f t="shared" si="121"/>
        <v>226</v>
      </c>
      <c r="BH93" s="187">
        <f t="shared" si="122"/>
        <v>226</v>
      </c>
      <c r="BI93" s="187"/>
      <c r="BJ93" s="187">
        <f t="shared" si="126"/>
        <v>226</v>
      </c>
      <c r="BK93" s="187">
        <f t="shared" si="127"/>
        <v>226</v>
      </c>
      <c r="BL93" s="187">
        <f t="shared" si="123"/>
        <v>226</v>
      </c>
      <c r="BM93" s="187">
        <f t="shared" si="124"/>
        <v>226</v>
      </c>
      <c r="BN93" s="188"/>
      <c r="BO93" s="188">
        <f t="shared" si="128"/>
        <v>49249242</v>
      </c>
      <c r="BP93" s="188">
        <f t="shared" si="129"/>
        <v>52676306</v>
      </c>
      <c r="BQ93" s="188">
        <f t="shared" si="130"/>
        <v>1713532</v>
      </c>
      <c r="BR93" s="188">
        <f t="shared" si="131"/>
        <v>1701780</v>
      </c>
      <c r="BS93" s="188">
        <f t="shared" si="108"/>
        <v>105340860</v>
      </c>
      <c r="BT93" s="188">
        <f t="shared" si="109"/>
        <v>0</v>
      </c>
      <c r="BU93" s="188">
        <f t="shared" si="110"/>
        <v>49249242</v>
      </c>
      <c r="BV93" s="188">
        <f t="shared" si="111"/>
        <v>52676306</v>
      </c>
      <c r="BW93" s="188">
        <f t="shared" si="112"/>
        <v>1713532</v>
      </c>
      <c r="BX93" s="188">
        <f t="shared" si="113"/>
        <v>1701780</v>
      </c>
      <c r="BY93" s="188">
        <f t="shared" si="114"/>
        <v>105340860</v>
      </c>
      <c r="BZ93" s="305">
        <f>IF(COT_PRECALCULOS!$D$24="Precios Iva Incluído",BI93,BD93)</f>
        <v>0</v>
      </c>
      <c r="CA93" s="305">
        <f>IF(COT_PRECALCULOS!$D$24="Precios Iva Incluído",BJ93,BE93)</f>
        <v>226</v>
      </c>
      <c r="CB93" s="305">
        <f>IF(COT_PRECALCULOS!$D$24="Precios Iva Incluído",BK93,BF93)</f>
        <v>226</v>
      </c>
      <c r="CC93" s="305">
        <f>IF(COT_PRECALCULOS!$D$24="Precios Iva Incluído",BL93,BG93)</f>
        <v>226</v>
      </c>
      <c r="CD93" s="305">
        <f>IF(COT_PRECALCULOS!$D$24="Precios Iva Incluído",BM93,BH93)</f>
        <v>226</v>
      </c>
      <c r="CE93" s="305">
        <f>IF(COT_PRECALCULOS!$D$24="Precios Iva Incluído",BT93,BN93)</f>
        <v>0</v>
      </c>
      <c r="CF93" s="305">
        <f>IF(COT_PRECALCULOS!$D$24="Precios Iva Incluído",BU93,BO93)</f>
        <v>49249242</v>
      </c>
      <c r="CG93" s="305">
        <f>IF(COT_PRECALCULOS!$D$24="Precios Iva Incluído",BV93,BP93)</f>
        <v>52676306</v>
      </c>
      <c r="CH93" s="305">
        <f>IF(COT_PRECALCULOS!$D$24="Precios Iva Incluído",BW93,BQ93)</f>
        <v>1713532</v>
      </c>
      <c r="CI93" s="305">
        <f>IF(COT_PRECALCULOS!$D$24="Precios Iva Incluído",BX93,BR93)</f>
        <v>1701780</v>
      </c>
    </row>
    <row r="94" spans="1:87">
      <c r="A94" s="182" t="s">
        <v>101</v>
      </c>
      <c r="B94" s="182" t="s">
        <v>98</v>
      </c>
      <c r="C94" s="189" t="str">
        <f t="shared" si="103"/>
        <v>F_PE9</v>
      </c>
      <c r="D94" s="189" t="str">
        <f t="shared" si="104"/>
        <v>22_P_</v>
      </c>
      <c r="E94" s="190" t="s">
        <v>1</v>
      </c>
      <c r="F94" s="190" t="s">
        <v>1</v>
      </c>
      <c r="G94" s="189" t="s">
        <v>22</v>
      </c>
      <c r="H94" s="190"/>
      <c r="I94" s="190" t="s">
        <v>50</v>
      </c>
      <c r="J94" s="190">
        <v>22</v>
      </c>
      <c r="K94" s="190" t="s">
        <v>51</v>
      </c>
      <c r="L94" s="189" t="s">
        <v>9</v>
      </c>
      <c r="M94" s="386">
        <v>0</v>
      </c>
      <c r="N94" s="211">
        <v>100</v>
      </c>
      <c r="O94" s="211">
        <v>100</v>
      </c>
      <c r="P94" s="211">
        <v>100</v>
      </c>
      <c r="Q94" s="211">
        <v>100</v>
      </c>
      <c r="R94" s="190" t="s">
        <v>73</v>
      </c>
      <c r="S94" s="385">
        <f>COUNTIF(CAL_PRIMERA_ENTREGA_FRUTA,CONCATENATE(G94,"_",J94))</f>
        <v>1</v>
      </c>
      <c r="T94" s="386">
        <v>0</v>
      </c>
      <c r="U94" s="385">
        <f t="shared" si="146"/>
        <v>1</v>
      </c>
      <c r="V94" s="385">
        <f t="shared" si="146"/>
        <v>1</v>
      </c>
      <c r="W94" s="385">
        <f t="shared" si="146"/>
        <v>1</v>
      </c>
      <c r="X94" s="385">
        <f t="shared" si="146"/>
        <v>1</v>
      </c>
      <c r="Y94" s="184">
        <f t="shared" si="115"/>
        <v>0</v>
      </c>
      <c r="Z94" s="184">
        <f>IF(N94&lt;&gt;0,VLOOKUP(A94,FRE_CANTIDADES_DIARIAS_SUMINISTROS,5,FALSE),0)</f>
        <v>217917</v>
      </c>
      <c r="AA94" s="184">
        <f>IF(O94&lt;&gt;0,VLOOKUP(A94,FRE_CANTIDADES_DIARIAS_SUMINISTROS,6,FALSE),0)</f>
        <v>233081</v>
      </c>
      <c r="AB94" s="184">
        <f>IF(P94&lt;&gt;0,VLOOKUP(A94,FRE_CANTIDADES_DIARIAS_SUMINISTROS,7,FALSE),0)</f>
        <v>7582</v>
      </c>
      <c r="AC94" s="184">
        <f>IF(Q94&lt;&gt;0,VLOOKUP(A94,FRE_CANTIDADES_DIARIAS_SUMINISTROS,8,FALSE),0)</f>
        <v>7530</v>
      </c>
      <c r="AD94" s="184">
        <f t="shared" si="116"/>
        <v>466110</v>
      </c>
      <c r="AE94" s="183">
        <f t="shared" si="140"/>
        <v>0</v>
      </c>
      <c r="AF94" s="385">
        <f t="shared" si="141"/>
        <v>0</v>
      </c>
      <c r="AG94" s="385">
        <f t="shared" si="141"/>
        <v>0</v>
      </c>
      <c r="AH94" s="385">
        <f t="shared" si="141"/>
        <v>0</v>
      </c>
      <c r="AI94" s="185">
        <f t="shared" si="117"/>
        <v>0</v>
      </c>
      <c r="AJ94" s="185">
        <f t="shared" si="118"/>
        <v>0</v>
      </c>
      <c r="AK94" s="185">
        <f t="shared" si="119"/>
        <v>0</v>
      </c>
      <c r="AL94" s="185">
        <f t="shared" si="120"/>
        <v>0</v>
      </c>
      <c r="AM94" s="173">
        <v>0</v>
      </c>
      <c r="AN94" s="173">
        <f t="shared" si="144"/>
        <v>217917</v>
      </c>
      <c r="AO94" s="173">
        <f t="shared" si="145"/>
        <v>233081</v>
      </c>
      <c r="AP94" s="173">
        <f t="shared" si="105"/>
        <v>7582</v>
      </c>
      <c r="AQ94" s="173">
        <f t="shared" si="106"/>
        <v>7530</v>
      </c>
      <c r="AR94" s="173">
        <f t="shared" si="107"/>
        <v>466110</v>
      </c>
      <c r="AS94" s="186" t="s">
        <v>1347</v>
      </c>
      <c r="AT94" s="300">
        <f t="shared" si="143"/>
        <v>4.9124999999999996</v>
      </c>
      <c r="AU94" s="300">
        <f t="shared" si="143"/>
        <v>4.9124999999999996</v>
      </c>
      <c r="AV94" s="300">
        <f t="shared" si="143"/>
        <v>4.9124999999999996</v>
      </c>
      <c r="AW94" s="300">
        <f t="shared" si="143"/>
        <v>4.9124999999999996</v>
      </c>
      <c r="AX94" s="300">
        <f t="shared" si="143"/>
        <v>4.9124999999999996</v>
      </c>
      <c r="AY94" s="301">
        <f t="shared" si="142"/>
        <v>4.9124999999999996</v>
      </c>
      <c r="AZ94" s="301">
        <f t="shared" si="142"/>
        <v>4.9124999999999996</v>
      </c>
      <c r="BA94" s="301">
        <f t="shared" si="142"/>
        <v>4.9124999999999996</v>
      </c>
      <c r="BB94" s="301">
        <f t="shared" si="142"/>
        <v>4.9124999999999996</v>
      </c>
      <c r="BC94" s="301">
        <f t="shared" si="142"/>
        <v>4.9124999999999996</v>
      </c>
      <c r="BD94" s="187"/>
      <c r="BE94" s="187">
        <f t="shared" si="147"/>
        <v>525</v>
      </c>
      <c r="BF94" s="187">
        <f t="shared" si="148"/>
        <v>525</v>
      </c>
      <c r="BG94" s="187">
        <f t="shared" si="121"/>
        <v>525</v>
      </c>
      <c r="BH94" s="187">
        <f t="shared" si="122"/>
        <v>525</v>
      </c>
      <c r="BI94" s="187"/>
      <c r="BJ94" s="187">
        <f t="shared" si="126"/>
        <v>525</v>
      </c>
      <c r="BK94" s="187">
        <f t="shared" si="127"/>
        <v>525</v>
      </c>
      <c r="BL94" s="187">
        <f t="shared" si="123"/>
        <v>525</v>
      </c>
      <c r="BM94" s="187">
        <f t="shared" si="124"/>
        <v>525</v>
      </c>
      <c r="BN94" s="188"/>
      <c r="BO94" s="188">
        <f t="shared" si="128"/>
        <v>114406425</v>
      </c>
      <c r="BP94" s="188">
        <f t="shared" si="129"/>
        <v>122367525</v>
      </c>
      <c r="BQ94" s="188">
        <f t="shared" si="130"/>
        <v>3980550</v>
      </c>
      <c r="BR94" s="188">
        <f t="shared" si="131"/>
        <v>3953250</v>
      </c>
      <c r="BS94" s="188">
        <f t="shared" si="108"/>
        <v>244707750</v>
      </c>
      <c r="BT94" s="188">
        <f t="shared" si="109"/>
        <v>0</v>
      </c>
      <c r="BU94" s="188">
        <f t="shared" si="110"/>
        <v>114406425</v>
      </c>
      <c r="BV94" s="188">
        <f t="shared" si="111"/>
        <v>122367525</v>
      </c>
      <c r="BW94" s="188">
        <f t="shared" si="112"/>
        <v>3980550</v>
      </c>
      <c r="BX94" s="188">
        <f t="shared" si="113"/>
        <v>3953250</v>
      </c>
      <c r="BY94" s="188">
        <f t="shared" si="114"/>
        <v>244707750</v>
      </c>
      <c r="BZ94" s="305">
        <f>IF(COT_PRECALCULOS!$D$24="Precios Iva Incluído",BI94,BD94)</f>
        <v>0</v>
      </c>
      <c r="CA94" s="305">
        <f>IF(COT_PRECALCULOS!$D$24="Precios Iva Incluído",BJ94,BE94)</f>
        <v>525</v>
      </c>
      <c r="CB94" s="305">
        <f>IF(COT_PRECALCULOS!$D$24="Precios Iva Incluído",BK94,BF94)</f>
        <v>525</v>
      </c>
      <c r="CC94" s="305">
        <f>IF(COT_PRECALCULOS!$D$24="Precios Iva Incluído",BL94,BG94)</f>
        <v>525</v>
      </c>
      <c r="CD94" s="305">
        <f>IF(COT_PRECALCULOS!$D$24="Precios Iva Incluído",BM94,BH94)</f>
        <v>525</v>
      </c>
      <c r="CE94" s="305">
        <f>IF(COT_PRECALCULOS!$D$24="Precios Iva Incluído",BT94,BN94)</f>
        <v>0</v>
      </c>
      <c r="CF94" s="305">
        <f>IF(COT_PRECALCULOS!$D$24="Precios Iva Incluído",BU94,BO94)</f>
        <v>114406425</v>
      </c>
      <c r="CG94" s="305">
        <f>IF(COT_PRECALCULOS!$D$24="Precios Iva Incluído",BV94,BP94)</f>
        <v>122367525</v>
      </c>
      <c r="CH94" s="305">
        <f>IF(COT_PRECALCULOS!$D$24="Precios Iva Incluído",BW94,BQ94)</f>
        <v>3980550</v>
      </c>
      <c r="CI94" s="305">
        <f>IF(COT_PRECALCULOS!$D$24="Precios Iva Incluído",BX94,BR94)</f>
        <v>3953250</v>
      </c>
    </row>
    <row r="95" spans="1:87">
      <c r="A95" s="182" t="s">
        <v>101</v>
      </c>
      <c r="B95" s="182" t="s">
        <v>98</v>
      </c>
      <c r="C95" s="189" t="str">
        <f t="shared" si="103"/>
        <v>F_PE9</v>
      </c>
      <c r="D95" s="189" t="str">
        <f t="shared" si="104"/>
        <v>33_P_</v>
      </c>
      <c r="E95" s="190" t="s">
        <v>1</v>
      </c>
      <c r="F95" s="190" t="s">
        <v>1</v>
      </c>
      <c r="G95" s="189" t="s">
        <v>22</v>
      </c>
      <c r="H95" s="190"/>
      <c r="I95" s="190" t="s">
        <v>58</v>
      </c>
      <c r="J95" s="190">
        <v>33</v>
      </c>
      <c r="K95" s="190" t="s">
        <v>59</v>
      </c>
      <c r="L95" s="189" t="s">
        <v>48</v>
      </c>
      <c r="M95" s="310">
        <v>90</v>
      </c>
      <c r="N95" s="310">
        <v>90</v>
      </c>
      <c r="O95" s="310">
        <v>90</v>
      </c>
      <c r="P95" s="310">
        <v>90</v>
      </c>
      <c r="Q95" s="310">
        <v>90</v>
      </c>
      <c r="R95" s="190"/>
      <c r="S95" s="183">
        <f>COUNTIF(CAL_PRIMERA_ENTREGA_FRUTA,CONCATENATE(G95,"_",J95))</f>
        <v>2</v>
      </c>
      <c r="T95" s="385">
        <f>$S95</f>
        <v>2</v>
      </c>
      <c r="U95" s="385">
        <f t="shared" si="146"/>
        <v>2</v>
      </c>
      <c r="V95" s="385">
        <f t="shared" si="146"/>
        <v>2</v>
      </c>
      <c r="W95" s="385">
        <f t="shared" si="146"/>
        <v>2</v>
      </c>
      <c r="X95" s="385">
        <f t="shared" si="146"/>
        <v>2</v>
      </c>
      <c r="Y95" s="184">
        <f t="shared" si="115"/>
        <v>163328</v>
      </c>
      <c r="Z95" s="184">
        <f>IF(N95&lt;&gt;0,VLOOKUP(A95,FRE_CANTIDADES_DIARIAS_SUMINISTROS,5,FALSE),0)</f>
        <v>217917</v>
      </c>
      <c r="AA95" s="184">
        <f>IF(O95&lt;&gt;0,VLOOKUP(A95,FRE_CANTIDADES_DIARIAS_SUMINISTROS,6,FALSE),0)</f>
        <v>233081</v>
      </c>
      <c r="AB95" s="184">
        <f>IF(P95&lt;&gt;0,VLOOKUP(A95,FRE_CANTIDADES_DIARIAS_SUMINISTROS,7,FALSE),0)</f>
        <v>7582</v>
      </c>
      <c r="AC95" s="184">
        <f>IF(Q95&lt;&gt;0,VLOOKUP(A95,FRE_CANTIDADES_DIARIAS_SUMINISTROS,8,FALSE),0)</f>
        <v>7530</v>
      </c>
      <c r="AD95" s="184">
        <f t="shared" si="116"/>
        <v>629438</v>
      </c>
      <c r="AE95" s="183">
        <f t="shared" si="140"/>
        <v>0</v>
      </c>
      <c r="AF95" s="385">
        <f t="shared" si="141"/>
        <v>0</v>
      </c>
      <c r="AG95" s="385">
        <f t="shared" si="141"/>
        <v>0</v>
      </c>
      <c r="AH95" s="385">
        <f t="shared" si="141"/>
        <v>0</v>
      </c>
      <c r="AI95" s="185">
        <f t="shared" si="117"/>
        <v>0</v>
      </c>
      <c r="AJ95" s="185">
        <f t="shared" si="118"/>
        <v>0</v>
      </c>
      <c r="AK95" s="185">
        <f t="shared" si="119"/>
        <v>0</v>
      </c>
      <c r="AL95" s="185">
        <f t="shared" si="120"/>
        <v>0</v>
      </c>
      <c r="AM95" s="173">
        <f t="shared" ref="AM95:AM101" si="149">($S95*Y95)+($AE95*AI95)</f>
        <v>326656</v>
      </c>
      <c r="AN95" s="173">
        <f t="shared" si="144"/>
        <v>435834</v>
      </c>
      <c r="AO95" s="173">
        <f t="shared" si="145"/>
        <v>466162</v>
      </c>
      <c r="AP95" s="173">
        <f t="shared" si="105"/>
        <v>15164</v>
      </c>
      <c r="AQ95" s="173">
        <f t="shared" si="106"/>
        <v>15060</v>
      </c>
      <c r="AR95" s="173">
        <f t="shared" si="107"/>
        <v>1258876</v>
      </c>
      <c r="AS95" s="186" t="s">
        <v>1347</v>
      </c>
      <c r="AT95" s="300">
        <f t="shared" si="143"/>
        <v>2.8014999999999999</v>
      </c>
      <c r="AU95" s="300">
        <f t="shared" si="143"/>
        <v>2.8014999999999999</v>
      </c>
      <c r="AV95" s="300">
        <f t="shared" si="143"/>
        <v>2.8014999999999999</v>
      </c>
      <c r="AW95" s="300">
        <f t="shared" si="143"/>
        <v>2.8014999999999999</v>
      </c>
      <c r="AX95" s="300">
        <f t="shared" si="143"/>
        <v>2.8014999999999999</v>
      </c>
      <c r="AY95" s="301">
        <f t="shared" si="142"/>
        <v>2.8014999999999999</v>
      </c>
      <c r="AZ95" s="301">
        <f t="shared" si="142"/>
        <v>2.8014999999999999</v>
      </c>
      <c r="BA95" s="301">
        <f t="shared" si="142"/>
        <v>2.8014999999999999</v>
      </c>
      <c r="BB95" s="301">
        <f t="shared" si="142"/>
        <v>2.8014999999999999</v>
      </c>
      <c r="BC95" s="301">
        <f t="shared" si="142"/>
        <v>2.8014999999999999</v>
      </c>
      <c r="BD95" s="187">
        <f>ROUND(IF(OR(M95=0,AT95="DATO NO DISPONIBLE"),"",AT95*M95*($BD$7+1)),0)</f>
        <v>270</v>
      </c>
      <c r="BE95" s="187">
        <f t="shared" si="147"/>
        <v>270</v>
      </c>
      <c r="BF95" s="187">
        <f t="shared" si="148"/>
        <v>270</v>
      </c>
      <c r="BG95" s="187">
        <f t="shared" si="121"/>
        <v>270</v>
      </c>
      <c r="BH95" s="187">
        <f t="shared" si="122"/>
        <v>270</v>
      </c>
      <c r="BI95" s="187">
        <f>ROUND(IF(OR(M95=0,AY95="DATO NO DISPONIBLE"),0,AY95*M95*($BD$7+1)),0)</f>
        <v>270</v>
      </c>
      <c r="BJ95" s="187">
        <f t="shared" si="126"/>
        <v>270</v>
      </c>
      <c r="BK95" s="187">
        <f t="shared" si="127"/>
        <v>270</v>
      </c>
      <c r="BL95" s="187">
        <f t="shared" si="123"/>
        <v>270</v>
      </c>
      <c r="BM95" s="187">
        <f t="shared" si="124"/>
        <v>270</v>
      </c>
      <c r="BN95" s="188">
        <f>BD95*AM95</f>
        <v>88197120</v>
      </c>
      <c r="BO95" s="188">
        <f t="shared" si="128"/>
        <v>117675180</v>
      </c>
      <c r="BP95" s="188">
        <f t="shared" si="129"/>
        <v>125863740</v>
      </c>
      <c r="BQ95" s="188">
        <f t="shared" si="130"/>
        <v>4094280</v>
      </c>
      <c r="BR95" s="188">
        <f t="shared" si="131"/>
        <v>4066200</v>
      </c>
      <c r="BS95" s="188">
        <f t="shared" si="108"/>
        <v>339896520</v>
      </c>
      <c r="BT95" s="188">
        <f t="shared" si="109"/>
        <v>88197120</v>
      </c>
      <c r="BU95" s="188">
        <f t="shared" si="110"/>
        <v>117675180</v>
      </c>
      <c r="BV95" s="188">
        <f t="shared" si="111"/>
        <v>125863740</v>
      </c>
      <c r="BW95" s="188">
        <f t="shared" si="112"/>
        <v>4094280</v>
      </c>
      <c r="BX95" s="188">
        <f t="shared" si="113"/>
        <v>4066200</v>
      </c>
      <c r="BY95" s="188">
        <f t="shared" si="114"/>
        <v>339896520</v>
      </c>
      <c r="BZ95" s="305">
        <f>IF(COT_PRECALCULOS!$D$24="Precios Iva Incluído",BI95,BD95)</f>
        <v>270</v>
      </c>
      <c r="CA95" s="305">
        <f>IF(COT_PRECALCULOS!$D$24="Precios Iva Incluído",BJ95,BE95)</f>
        <v>270</v>
      </c>
      <c r="CB95" s="305">
        <f>IF(COT_PRECALCULOS!$D$24="Precios Iva Incluído",BK95,BF95)</f>
        <v>270</v>
      </c>
      <c r="CC95" s="305">
        <f>IF(COT_PRECALCULOS!$D$24="Precios Iva Incluído",BL95,BG95)</f>
        <v>270</v>
      </c>
      <c r="CD95" s="305">
        <f>IF(COT_PRECALCULOS!$D$24="Precios Iva Incluído",BM95,BH95)</f>
        <v>270</v>
      </c>
      <c r="CE95" s="305">
        <f>IF(COT_PRECALCULOS!$D$24="Precios Iva Incluído",BT95,BN95)</f>
        <v>88197120</v>
      </c>
      <c r="CF95" s="305">
        <f>IF(COT_PRECALCULOS!$D$24="Precios Iva Incluído",BU95,BO95)</f>
        <v>117675180</v>
      </c>
      <c r="CG95" s="305">
        <f>IF(COT_PRECALCULOS!$D$24="Precios Iva Incluído",BV95,BP95)</f>
        <v>125863740</v>
      </c>
      <c r="CH95" s="305">
        <f>IF(COT_PRECALCULOS!$D$24="Precios Iva Incluído",BW95,BQ95)</f>
        <v>4094280</v>
      </c>
      <c r="CI95" s="305">
        <f>IF(COT_PRECALCULOS!$D$24="Precios Iva Incluído",BX95,BR95)</f>
        <v>4066200</v>
      </c>
    </row>
    <row r="96" spans="1:87">
      <c r="A96" s="182" t="s">
        <v>101</v>
      </c>
      <c r="B96" s="182" t="s">
        <v>98</v>
      </c>
      <c r="C96" s="189" t="str">
        <f t="shared" si="103"/>
        <v>F_PE9</v>
      </c>
      <c r="D96" s="189" t="str">
        <f t="shared" si="104"/>
        <v>42_P_</v>
      </c>
      <c r="E96" s="190" t="s">
        <v>1</v>
      </c>
      <c r="F96" s="190" t="s">
        <v>1</v>
      </c>
      <c r="G96" s="189" t="s">
        <v>22</v>
      </c>
      <c r="H96" s="190"/>
      <c r="I96" s="190" t="s">
        <v>49</v>
      </c>
      <c r="J96" s="190">
        <v>42</v>
      </c>
      <c r="K96" s="190" t="s">
        <v>61</v>
      </c>
      <c r="L96" s="189" t="s">
        <v>9</v>
      </c>
      <c r="M96" s="190">
        <v>100</v>
      </c>
      <c r="N96" s="190">
        <v>100</v>
      </c>
      <c r="O96" s="190">
        <v>100</v>
      </c>
      <c r="P96" s="190">
        <v>100</v>
      </c>
      <c r="Q96" s="190">
        <v>100</v>
      </c>
      <c r="R96" s="190"/>
      <c r="S96" s="183">
        <f>COUNTIF(CAL_PRIMERA_ENTREGA_FRUTA,CONCATENATE(G96,"_",J96))</f>
        <v>1</v>
      </c>
      <c r="T96" s="385">
        <f>$S96</f>
        <v>1</v>
      </c>
      <c r="U96" s="385">
        <f t="shared" si="146"/>
        <v>1</v>
      </c>
      <c r="V96" s="385">
        <f t="shared" si="146"/>
        <v>1</v>
      </c>
      <c r="W96" s="385">
        <f t="shared" si="146"/>
        <v>1</v>
      </c>
      <c r="X96" s="385">
        <f t="shared" si="146"/>
        <v>1</v>
      </c>
      <c r="Y96" s="184">
        <f t="shared" si="115"/>
        <v>163328</v>
      </c>
      <c r="Z96" s="184">
        <f>IF(N96&lt;&gt;0,VLOOKUP(A96,FRE_CANTIDADES_DIARIAS_SUMINISTROS,5,FALSE),0)</f>
        <v>217917</v>
      </c>
      <c r="AA96" s="184">
        <f>IF(O96&lt;&gt;0,VLOOKUP(A96,FRE_CANTIDADES_DIARIAS_SUMINISTROS,6,FALSE),0)</f>
        <v>233081</v>
      </c>
      <c r="AB96" s="184">
        <f>IF(P96&lt;&gt;0,VLOOKUP(A96,FRE_CANTIDADES_DIARIAS_SUMINISTROS,7,FALSE),0)</f>
        <v>7582</v>
      </c>
      <c r="AC96" s="184">
        <f>IF(Q96&lt;&gt;0,VLOOKUP(A96,FRE_CANTIDADES_DIARIAS_SUMINISTROS,8,FALSE),0)</f>
        <v>7530</v>
      </c>
      <c r="AD96" s="184">
        <f t="shared" si="116"/>
        <v>629438</v>
      </c>
      <c r="AE96" s="183">
        <f t="shared" si="140"/>
        <v>0</v>
      </c>
      <c r="AF96" s="385">
        <f t="shared" si="141"/>
        <v>0</v>
      </c>
      <c r="AG96" s="385">
        <f t="shared" si="141"/>
        <v>0</v>
      </c>
      <c r="AH96" s="385">
        <f t="shared" si="141"/>
        <v>0</v>
      </c>
      <c r="AI96" s="185">
        <f t="shared" si="117"/>
        <v>0</v>
      </c>
      <c r="AJ96" s="185">
        <f t="shared" si="118"/>
        <v>0</v>
      </c>
      <c r="AK96" s="185">
        <f t="shared" si="119"/>
        <v>0</v>
      </c>
      <c r="AL96" s="185">
        <f t="shared" si="120"/>
        <v>0</v>
      </c>
      <c r="AM96" s="173">
        <f t="shared" si="149"/>
        <v>163328</v>
      </c>
      <c r="AN96" s="173">
        <f t="shared" si="144"/>
        <v>217917</v>
      </c>
      <c r="AO96" s="173">
        <f t="shared" si="145"/>
        <v>233081</v>
      </c>
      <c r="AP96" s="173">
        <f t="shared" si="105"/>
        <v>7582</v>
      </c>
      <c r="AQ96" s="173">
        <f t="shared" si="106"/>
        <v>7530</v>
      </c>
      <c r="AR96" s="173">
        <f t="shared" si="107"/>
        <v>629438</v>
      </c>
      <c r="AS96" s="186" t="s">
        <v>1347</v>
      </c>
      <c r="AT96" s="300">
        <f t="shared" si="143"/>
        <v>1.8169999999999999</v>
      </c>
      <c r="AU96" s="300">
        <f t="shared" si="143"/>
        <v>1.8169999999999999</v>
      </c>
      <c r="AV96" s="300">
        <f t="shared" si="143"/>
        <v>1.8169999999999999</v>
      </c>
      <c r="AW96" s="300">
        <f t="shared" si="143"/>
        <v>1.8169999999999999</v>
      </c>
      <c r="AX96" s="300">
        <f t="shared" si="143"/>
        <v>1.8169999999999999</v>
      </c>
      <c r="AY96" s="301">
        <f t="shared" si="142"/>
        <v>1.8169999999999999</v>
      </c>
      <c r="AZ96" s="301">
        <f t="shared" si="142"/>
        <v>1.8169999999999999</v>
      </c>
      <c r="BA96" s="301">
        <f t="shared" si="142"/>
        <v>1.8169999999999999</v>
      </c>
      <c r="BB96" s="301">
        <f t="shared" si="142"/>
        <v>1.8169999999999999</v>
      </c>
      <c r="BC96" s="301">
        <f t="shared" si="142"/>
        <v>1.8169999999999999</v>
      </c>
      <c r="BD96" s="187">
        <f>ROUND(IF(OR(M96=0,AT96="DATO NO DISPONIBLE"),"",AT96*M96*($BD$7+1)),0)</f>
        <v>194</v>
      </c>
      <c r="BE96" s="187">
        <f t="shared" si="147"/>
        <v>194</v>
      </c>
      <c r="BF96" s="187">
        <f t="shared" si="148"/>
        <v>194</v>
      </c>
      <c r="BG96" s="187">
        <f t="shared" si="121"/>
        <v>194</v>
      </c>
      <c r="BH96" s="187">
        <f t="shared" si="122"/>
        <v>194</v>
      </c>
      <c r="BI96" s="187">
        <f>ROUND(IF(OR(M96=0,AY96="DATO NO DISPONIBLE"),0,AY96*M96*($BD$7+1)),0)</f>
        <v>194</v>
      </c>
      <c r="BJ96" s="187">
        <f t="shared" si="126"/>
        <v>194</v>
      </c>
      <c r="BK96" s="187">
        <f t="shared" si="127"/>
        <v>194</v>
      </c>
      <c r="BL96" s="187">
        <f t="shared" si="123"/>
        <v>194</v>
      </c>
      <c r="BM96" s="187">
        <f t="shared" si="124"/>
        <v>194</v>
      </c>
      <c r="BN96" s="188">
        <f>BD96*AM96</f>
        <v>31685632</v>
      </c>
      <c r="BO96" s="188">
        <f t="shared" si="128"/>
        <v>42275898</v>
      </c>
      <c r="BP96" s="188">
        <f t="shared" si="129"/>
        <v>45217714</v>
      </c>
      <c r="BQ96" s="188">
        <f t="shared" si="130"/>
        <v>1470908</v>
      </c>
      <c r="BR96" s="188">
        <f t="shared" si="131"/>
        <v>1460820</v>
      </c>
      <c r="BS96" s="188">
        <f t="shared" si="108"/>
        <v>122110972</v>
      </c>
      <c r="BT96" s="188">
        <f t="shared" si="109"/>
        <v>31685632</v>
      </c>
      <c r="BU96" s="188">
        <f t="shared" si="110"/>
        <v>42275898</v>
      </c>
      <c r="BV96" s="188">
        <f t="shared" si="111"/>
        <v>45217714</v>
      </c>
      <c r="BW96" s="188">
        <f t="shared" si="112"/>
        <v>1470908</v>
      </c>
      <c r="BX96" s="188">
        <f t="shared" si="113"/>
        <v>1460820</v>
      </c>
      <c r="BY96" s="188">
        <f t="shared" si="114"/>
        <v>122110972</v>
      </c>
      <c r="BZ96" s="305">
        <f>IF(COT_PRECALCULOS!$D$24="Precios Iva Incluído",BI96,BD96)</f>
        <v>194</v>
      </c>
      <c r="CA96" s="305">
        <f>IF(COT_PRECALCULOS!$D$24="Precios Iva Incluído",BJ96,BE96)</f>
        <v>194</v>
      </c>
      <c r="CB96" s="305">
        <f>IF(COT_PRECALCULOS!$D$24="Precios Iva Incluído",BK96,BF96)</f>
        <v>194</v>
      </c>
      <c r="CC96" s="305">
        <f>IF(COT_PRECALCULOS!$D$24="Precios Iva Incluído",BL96,BG96)</f>
        <v>194</v>
      </c>
      <c r="CD96" s="305">
        <f>IF(COT_PRECALCULOS!$D$24="Precios Iva Incluído",BM96,BH96)</f>
        <v>194</v>
      </c>
      <c r="CE96" s="305">
        <f>IF(COT_PRECALCULOS!$D$24="Precios Iva Incluído",BT96,BN96)</f>
        <v>31685632</v>
      </c>
      <c r="CF96" s="305">
        <f>IF(COT_PRECALCULOS!$D$24="Precios Iva Incluído",BU96,BO96)</f>
        <v>42275898</v>
      </c>
      <c r="CG96" s="305">
        <f>IF(COT_PRECALCULOS!$D$24="Precios Iva Incluído",BV96,BP96)</f>
        <v>45217714</v>
      </c>
      <c r="CH96" s="305">
        <f>IF(COT_PRECALCULOS!$D$24="Precios Iva Incluído",BW96,BQ96)</f>
        <v>1470908</v>
      </c>
      <c r="CI96" s="305">
        <f>IF(COT_PRECALCULOS!$D$24="Precios Iva Incluído",BX96,BR96)</f>
        <v>1460820</v>
      </c>
    </row>
    <row r="97" spans="1:87">
      <c r="A97" s="182" t="s">
        <v>101</v>
      </c>
      <c r="B97" s="182" t="s">
        <v>98</v>
      </c>
      <c r="C97" s="189" t="str">
        <f t="shared" si="103"/>
        <v>F_PE9</v>
      </c>
      <c r="D97" s="189" t="str">
        <f t="shared" si="104"/>
        <v>43_P_</v>
      </c>
      <c r="E97" s="211" t="s">
        <v>1</v>
      </c>
      <c r="F97" s="211" t="s">
        <v>1</v>
      </c>
      <c r="G97" s="189" t="s">
        <v>22</v>
      </c>
      <c r="H97" s="211"/>
      <c r="I97" s="211" t="s">
        <v>60</v>
      </c>
      <c r="J97" s="211">
        <v>43</v>
      </c>
      <c r="K97" s="211" t="s">
        <v>62</v>
      </c>
      <c r="L97" s="189" t="s">
        <v>9</v>
      </c>
      <c r="M97" s="211">
        <v>100</v>
      </c>
      <c r="N97" s="211">
        <v>100</v>
      </c>
      <c r="O97" s="211">
        <v>100</v>
      </c>
      <c r="P97" s="211">
        <v>100</v>
      </c>
      <c r="Q97" s="211">
        <v>100</v>
      </c>
      <c r="R97" s="211"/>
      <c r="S97" s="388">
        <v>4</v>
      </c>
      <c r="T97" s="388">
        <f>$S97</f>
        <v>4</v>
      </c>
      <c r="U97" s="388">
        <v>0</v>
      </c>
      <c r="V97" s="388">
        <v>0</v>
      </c>
      <c r="W97" s="388">
        <v>0</v>
      </c>
      <c r="X97" s="388">
        <v>0</v>
      </c>
      <c r="Y97" s="184">
        <f t="shared" si="115"/>
        <v>163328</v>
      </c>
      <c r="Z97" s="184">
        <v>0</v>
      </c>
      <c r="AA97" s="184">
        <v>0</v>
      </c>
      <c r="AB97" s="184">
        <v>0</v>
      </c>
      <c r="AC97" s="184">
        <v>0</v>
      </c>
      <c r="AD97" s="184">
        <f t="shared" si="116"/>
        <v>163328</v>
      </c>
      <c r="AE97" s="183">
        <f t="shared" si="140"/>
        <v>0</v>
      </c>
      <c r="AF97" s="385">
        <f t="shared" si="141"/>
        <v>0</v>
      </c>
      <c r="AG97" s="385">
        <f t="shared" si="141"/>
        <v>0</v>
      </c>
      <c r="AH97" s="385">
        <f t="shared" si="141"/>
        <v>0</v>
      </c>
      <c r="AI97" s="185">
        <f t="shared" si="117"/>
        <v>0</v>
      </c>
      <c r="AJ97" s="185">
        <f t="shared" si="118"/>
        <v>0</v>
      </c>
      <c r="AK97" s="185">
        <f t="shared" si="119"/>
        <v>0</v>
      </c>
      <c r="AL97" s="185">
        <f t="shared" si="120"/>
        <v>0</v>
      </c>
      <c r="AM97" s="173">
        <f t="shared" si="149"/>
        <v>653312</v>
      </c>
      <c r="AN97" s="173">
        <f t="shared" si="144"/>
        <v>0</v>
      </c>
      <c r="AO97" s="173">
        <f t="shared" si="145"/>
        <v>0</v>
      </c>
      <c r="AP97" s="173">
        <f t="shared" si="105"/>
        <v>0</v>
      </c>
      <c r="AQ97" s="173">
        <f t="shared" si="106"/>
        <v>0</v>
      </c>
      <c r="AR97" s="173">
        <f t="shared" si="107"/>
        <v>653312</v>
      </c>
      <c r="AS97" s="186" t="s">
        <v>1347</v>
      </c>
      <c r="AT97" s="300">
        <f t="shared" si="143"/>
        <v>1.5892500000000001</v>
      </c>
      <c r="AU97" s="300">
        <f t="shared" si="143"/>
        <v>1.5892500000000001</v>
      </c>
      <c r="AV97" s="300">
        <f t="shared" si="143"/>
        <v>1.5892500000000001</v>
      </c>
      <c r="AW97" s="300">
        <f t="shared" si="143"/>
        <v>1.5892500000000001</v>
      </c>
      <c r="AX97" s="300">
        <f t="shared" si="143"/>
        <v>1.5892500000000001</v>
      </c>
      <c r="AY97" s="301">
        <f t="shared" si="142"/>
        <v>1.5892500000000001</v>
      </c>
      <c r="AZ97" s="301">
        <f t="shared" si="142"/>
        <v>1.5892500000000001</v>
      </c>
      <c r="BA97" s="301">
        <f t="shared" si="142"/>
        <v>1.5892500000000001</v>
      </c>
      <c r="BB97" s="301">
        <f t="shared" si="142"/>
        <v>1.5892500000000001</v>
      </c>
      <c r="BC97" s="301">
        <f t="shared" si="142"/>
        <v>1.5892500000000001</v>
      </c>
      <c r="BD97" s="187">
        <f>ROUND(IF(OR(M97=0,AT97="DATO NO DISPONIBLE"),"",AT97*M97*($BD$7+1)),0)</f>
        <v>170</v>
      </c>
      <c r="BE97" s="187">
        <f t="shared" si="147"/>
        <v>170</v>
      </c>
      <c r="BF97" s="187">
        <f t="shared" si="148"/>
        <v>170</v>
      </c>
      <c r="BG97" s="187">
        <f t="shared" si="121"/>
        <v>170</v>
      </c>
      <c r="BH97" s="187">
        <f t="shared" si="122"/>
        <v>170</v>
      </c>
      <c r="BI97" s="187">
        <f>ROUND(IF(OR(M97=0,AY97="DATO NO DISPONIBLE"),0,AY97*M97*($BD$7+1)),0)</f>
        <v>170</v>
      </c>
      <c r="BJ97" s="187">
        <f t="shared" si="126"/>
        <v>170</v>
      </c>
      <c r="BK97" s="187">
        <f t="shared" si="127"/>
        <v>170</v>
      </c>
      <c r="BL97" s="187">
        <f t="shared" si="123"/>
        <v>170</v>
      </c>
      <c r="BM97" s="187">
        <f t="shared" si="124"/>
        <v>170</v>
      </c>
      <c r="BN97" s="188">
        <f>BD97*AM97</f>
        <v>111063040</v>
      </c>
      <c r="BO97" s="188">
        <f t="shared" si="128"/>
        <v>0</v>
      </c>
      <c r="BP97" s="188">
        <f t="shared" si="129"/>
        <v>0</v>
      </c>
      <c r="BQ97" s="188">
        <f t="shared" si="130"/>
        <v>0</v>
      </c>
      <c r="BR97" s="188">
        <f t="shared" si="131"/>
        <v>0</v>
      </c>
      <c r="BS97" s="188">
        <f t="shared" si="108"/>
        <v>111063040</v>
      </c>
      <c r="BT97" s="188">
        <f t="shared" si="109"/>
        <v>111063040</v>
      </c>
      <c r="BU97" s="188">
        <f t="shared" si="110"/>
        <v>0</v>
      </c>
      <c r="BV97" s="188">
        <f t="shared" si="111"/>
        <v>0</v>
      </c>
      <c r="BW97" s="188">
        <f t="shared" si="112"/>
        <v>0</v>
      </c>
      <c r="BX97" s="188">
        <f t="shared" si="113"/>
        <v>0</v>
      </c>
      <c r="BY97" s="188">
        <f t="shared" si="114"/>
        <v>111063040</v>
      </c>
      <c r="BZ97" s="305">
        <f>IF(COT_PRECALCULOS!$D$24="Precios Iva Incluído",BI97,BD97)</f>
        <v>170</v>
      </c>
      <c r="CA97" s="305">
        <f>IF(COT_PRECALCULOS!$D$24="Precios Iva Incluído",BJ97,BE97)</f>
        <v>170</v>
      </c>
      <c r="CB97" s="305">
        <f>IF(COT_PRECALCULOS!$D$24="Precios Iva Incluído",BK97,BF97)</f>
        <v>170</v>
      </c>
      <c r="CC97" s="305">
        <f>IF(COT_PRECALCULOS!$D$24="Precios Iva Incluído",BL97,BG97)</f>
        <v>170</v>
      </c>
      <c r="CD97" s="305">
        <f>IF(COT_PRECALCULOS!$D$24="Precios Iva Incluído",BM97,BH97)</f>
        <v>170</v>
      </c>
      <c r="CE97" s="305">
        <f>IF(COT_PRECALCULOS!$D$24="Precios Iva Incluído",BT97,BN97)</f>
        <v>111063040</v>
      </c>
      <c r="CF97" s="305">
        <f>IF(COT_PRECALCULOS!$D$24="Precios Iva Incluído",BU97,BO97)</f>
        <v>0</v>
      </c>
      <c r="CG97" s="305">
        <f>IF(COT_PRECALCULOS!$D$24="Precios Iva Incluído",BV97,BP97)</f>
        <v>0</v>
      </c>
      <c r="CH97" s="305">
        <f>IF(COT_PRECALCULOS!$D$24="Precios Iva Incluído",BW97,BQ97)</f>
        <v>0</v>
      </c>
      <c r="CI97" s="305">
        <f>IF(COT_PRECALCULOS!$D$24="Precios Iva Incluído",BX97,BR97)</f>
        <v>0</v>
      </c>
    </row>
    <row r="98" spans="1:87">
      <c r="A98" s="182" t="s">
        <v>101</v>
      </c>
      <c r="B98" s="182" t="s">
        <v>98</v>
      </c>
      <c r="C98" s="189" t="str">
        <f t="shared" si="103"/>
        <v>F_PE9</v>
      </c>
      <c r="D98" s="189" t="str">
        <f t="shared" si="104"/>
        <v>46_P_</v>
      </c>
      <c r="E98" s="211" t="s">
        <v>1</v>
      </c>
      <c r="F98" s="211" t="s">
        <v>1</v>
      </c>
      <c r="G98" s="189" t="s">
        <v>22</v>
      </c>
      <c r="H98" s="211"/>
      <c r="I98" s="211" t="s">
        <v>63</v>
      </c>
      <c r="J98" s="211">
        <v>46</v>
      </c>
      <c r="K98" s="211" t="s">
        <v>64</v>
      </c>
      <c r="L98" s="189" t="s">
        <v>9</v>
      </c>
      <c r="M98" s="211">
        <v>100</v>
      </c>
      <c r="N98" s="211">
        <v>100</v>
      </c>
      <c r="O98" s="211">
        <v>100</v>
      </c>
      <c r="P98" s="211">
        <v>100</v>
      </c>
      <c r="Q98" s="211">
        <v>100</v>
      </c>
      <c r="R98" s="211"/>
      <c r="S98" s="183">
        <f t="shared" ref="S98:S104" si="150">COUNTIF(CAL_PRIMERA_ENTREGA_FRUTA,CONCATENATE(G98,"_",J98))</f>
        <v>1</v>
      </c>
      <c r="T98" s="385">
        <f>$S98</f>
        <v>1</v>
      </c>
      <c r="U98" s="385">
        <f t="shared" ref="U98:X104" si="151">$S98</f>
        <v>1</v>
      </c>
      <c r="V98" s="385">
        <f t="shared" si="151"/>
        <v>1</v>
      </c>
      <c r="W98" s="385">
        <f t="shared" si="151"/>
        <v>1</v>
      </c>
      <c r="X98" s="385">
        <f t="shared" si="151"/>
        <v>1</v>
      </c>
      <c r="Y98" s="184">
        <f t="shared" si="115"/>
        <v>163328</v>
      </c>
      <c r="Z98" s="184">
        <f t="shared" ref="Z98:Z104" si="152">IF(N98&lt;&gt;0,VLOOKUP(A98,FRE_CANTIDADES_DIARIAS_SUMINISTROS,5,FALSE),0)</f>
        <v>217917</v>
      </c>
      <c r="AA98" s="184">
        <f t="shared" ref="AA98:AA104" si="153">IF(O98&lt;&gt;0,VLOOKUP(A98,FRE_CANTIDADES_DIARIAS_SUMINISTROS,6,FALSE),0)</f>
        <v>233081</v>
      </c>
      <c r="AB98" s="184">
        <f t="shared" ref="AB98:AB104" si="154">IF(P98&lt;&gt;0,VLOOKUP(A98,FRE_CANTIDADES_DIARIAS_SUMINISTROS,7,FALSE),0)</f>
        <v>7582</v>
      </c>
      <c r="AC98" s="184">
        <f t="shared" ref="AC98:AC104" si="155">IF(Q98&lt;&gt;0,VLOOKUP(A98,FRE_CANTIDADES_DIARIAS_SUMINISTROS,8,FALSE),0)</f>
        <v>7530</v>
      </c>
      <c r="AD98" s="184">
        <f t="shared" si="116"/>
        <v>629438</v>
      </c>
      <c r="AE98" s="183">
        <f t="shared" si="140"/>
        <v>0</v>
      </c>
      <c r="AF98" s="385">
        <f t="shared" si="141"/>
        <v>0</v>
      </c>
      <c r="AG98" s="385">
        <f t="shared" si="141"/>
        <v>0</v>
      </c>
      <c r="AH98" s="385">
        <f t="shared" si="141"/>
        <v>0</v>
      </c>
      <c r="AI98" s="185">
        <f t="shared" si="117"/>
        <v>0</v>
      </c>
      <c r="AJ98" s="185">
        <f t="shared" si="118"/>
        <v>0</v>
      </c>
      <c r="AK98" s="185">
        <f t="shared" si="119"/>
        <v>0</v>
      </c>
      <c r="AL98" s="185">
        <f t="shared" si="120"/>
        <v>0</v>
      </c>
      <c r="AM98" s="173">
        <f t="shared" si="149"/>
        <v>163328</v>
      </c>
      <c r="AN98" s="173">
        <f t="shared" si="144"/>
        <v>217917</v>
      </c>
      <c r="AO98" s="173">
        <f t="shared" si="145"/>
        <v>233081</v>
      </c>
      <c r="AP98" s="173">
        <f t="shared" si="105"/>
        <v>7582</v>
      </c>
      <c r="AQ98" s="173">
        <f t="shared" si="106"/>
        <v>7530</v>
      </c>
      <c r="AR98" s="173">
        <f t="shared" si="107"/>
        <v>629438</v>
      </c>
      <c r="AS98" s="186" t="s">
        <v>1347</v>
      </c>
      <c r="AT98" s="300">
        <f t="shared" si="143"/>
        <v>3.7214999999999998</v>
      </c>
      <c r="AU98" s="300">
        <f t="shared" si="143"/>
        <v>3.7214999999999998</v>
      </c>
      <c r="AV98" s="300">
        <f t="shared" si="143"/>
        <v>3.7214999999999998</v>
      </c>
      <c r="AW98" s="300">
        <f t="shared" si="143"/>
        <v>3.7214999999999998</v>
      </c>
      <c r="AX98" s="300">
        <f t="shared" si="143"/>
        <v>3.7214999999999998</v>
      </c>
      <c r="AY98" s="301">
        <f t="shared" ref="AY98:BC107" si="156">IF(ISERROR(MATCH(CONCATENATE($J98,"_",AY$1),COT_PRE_CODIGO_ALIMENTOS,0)),IF(ISERROR(MATCH(CONCATENATE($J98,"_",AY$2),COT_PRE_CODIGO_ALIMENTOS,0)),IF(ISERROR(MATCH(CONCATENATE($J98,"_",AY$3),COT_PRE_CODIGO_ALIMENTOS,0)),IF(ISERROR(MATCH(CONCATENATE($J98,"_",AY$4),COT_PRE_CODIGO_ALIMENTOS,0)),IF(ISERROR(MATCH(CONCATENATE($J98,"_",AY$5),COT_PRE_CODIGO_ALIMENTOS,0)),IF(ISERROR(MATCH(CONCATENATE($J98,"_",AY$6),COT_PRE_CODIGO_ALIMENTOS,0)),IF(ISERROR(MATCH(CONCATENATE($J98,"_",AY$7),COT_PRE_CODIGO_ALIMENTOS,0)),IF(ISERROR(VLOOKUP($J98,COT_PRE_ALIMENTOS,AY$8,FALSE)),"DATO NO DISPONIBLE",VLOOKUP($J98,COT_PRE_ALIMENTOS,AY$8,FALSE)),VLOOKUP(CONCATENATE($J98,"_",AY$7),COT_PRE_ALIMENTOS,AY$8,FALSE)),VLOOKUP(CONCATENATE($J98,"_",AY$6),COT_PRE_ALIMENTOS,AY$8,FALSE)),VLOOKUP(CONCATENATE($J98,"_",AY$5),COT_PRE_ALIMENTOS,AY$8,FALSE)),VLOOKUP(CONCATENATE($J98,"_",AY$4),COT_PRE_ALIMENTOS,AY$8,FALSE)),VLOOKUP(CONCATENATE($J98,"_",AY$3),COT_PRE_ALIMENTOS,AY$8,FALSE)),VLOOKUP(CONCATENATE($J98,"_",AY$2),COT_PRE_ALIMENTOS,AY$8,FALSE)),VLOOKUP(CONCATENATE($J98,"_",AY$1),COT_PRE_ALIMENTOS,AY$8,FALSE))</f>
        <v>3.7214999999999998</v>
      </c>
      <c r="AZ98" s="301">
        <f t="shared" si="156"/>
        <v>3.7214999999999998</v>
      </c>
      <c r="BA98" s="301">
        <f t="shared" si="156"/>
        <v>3.7214999999999998</v>
      </c>
      <c r="BB98" s="301">
        <f t="shared" si="156"/>
        <v>3.7214999999999998</v>
      </c>
      <c r="BC98" s="301">
        <f t="shared" si="156"/>
        <v>3.7214999999999998</v>
      </c>
      <c r="BD98" s="187">
        <f>ROUND(IF(OR(M98=0,AT98="DATO NO DISPONIBLE"),"",AT98*M98*($BD$7+1)),0)</f>
        <v>398</v>
      </c>
      <c r="BE98" s="187">
        <f t="shared" si="147"/>
        <v>398</v>
      </c>
      <c r="BF98" s="187">
        <f t="shared" si="148"/>
        <v>398</v>
      </c>
      <c r="BG98" s="187">
        <f t="shared" si="121"/>
        <v>398</v>
      </c>
      <c r="BH98" s="187">
        <f t="shared" si="122"/>
        <v>398</v>
      </c>
      <c r="BI98" s="187">
        <f>ROUND(IF(OR(M98=0,AY98="DATO NO DISPONIBLE"),0,AY98*M98*($BD$7+1)),0)</f>
        <v>398</v>
      </c>
      <c r="BJ98" s="187">
        <f t="shared" si="126"/>
        <v>398</v>
      </c>
      <c r="BK98" s="187">
        <f t="shared" si="127"/>
        <v>398</v>
      </c>
      <c r="BL98" s="187">
        <f t="shared" si="123"/>
        <v>398</v>
      </c>
      <c r="BM98" s="187">
        <f t="shared" si="124"/>
        <v>398</v>
      </c>
      <c r="BN98" s="188">
        <f>BD98*AM98</f>
        <v>65004544</v>
      </c>
      <c r="BO98" s="188">
        <f t="shared" si="128"/>
        <v>86730966</v>
      </c>
      <c r="BP98" s="188">
        <f t="shared" si="129"/>
        <v>92766238</v>
      </c>
      <c r="BQ98" s="188">
        <f t="shared" si="130"/>
        <v>3017636</v>
      </c>
      <c r="BR98" s="188">
        <f t="shared" si="131"/>
        <v>2996940</v>
      </c>
      <c r="BS98" s="188">
        <f t="shared" si="108"/>
        <v>250516324</v>
      </c>
      <c r="BT98" s="188">
        <f t="shared" si="109"/>
        <v>65004544</v>
      </c>
      <c r="BU98" s="188">
        <f t="shared" si="110"/>
        <v>86730966</v>
      </c>
      <c r="BV98" s="188">
        <f t="shared" si="111"/>
        <v>92766238</v>
      </c>
      <c r="BW98" s="188">
        <f t="shared" si="112"/>
        <v>3017636</v>
      </c>
      <c r="BX98" s="188">
        <f t="shared" si="113"/>
        <v>2996940</v>
      </c>
      <c r="BY98" s="188">
        <f t="shared" si="114"/>
        <v>250516324</v>
      </c>
      <c r="BZ98" s="305">
        <f>IF(COT_PRECALCULOS!$D$24="Precios Iva Incluído",BI98,BD98)</f>
        <v>398</v>
      </c>
      <c r="CA98" s="305">
        <f>IF(COT_PRECALCULOS!$D$24="Precios Iva Incluído",BJ98,BE98)</f>
        <v>398</v>
      </c>
      <c r="CB98" s="305">
        <f>IF(COT_PRECALCULOS!$D$24="Precios Iva Incluído",BK98,BF98)</f>
        <v>398</v>
      </c>
      <c r="CC98" s="305">
        <f>IF(COT_PRECALCULOS!$D$24="Precios Iva Incluído",BL98,BG98)</f>
        <v>398</v>
      </c>
      <c r="CD98" s="305">
        <f>IF(COT_PRECALCULOS!$D$24="Precios Iva Incluído",BM98,BH98)</f>
        <v>398</v>
      </c>
      <c r="CE98" s="305">
        <f>IF(COT_PRECALCULOS!$D$24="Precios Iva Incluído",BT98,BN98)</f>
        <v>65004544</v>
      </c>
      <c r="CF98" s="305">
        <f>IF(COT_PRECALCULOS!$D$24="Precios Iva Incluído",BU98,BO98)</f>
        <v>86730966</v>
      </c>
      <c r="CG98" s="305">
        <f>IF(COT_PRECALCULOS!$D$24="Precios Iva Incluído",BV98,BP98)</f>
        <v>92766238</v>
      </c>
      <c r="CH98" s="305">
        <f>IF(COT_PRECALCULOS!$D$24="Precios Iva Incluído",BW98,BQ98)</f>
        <v>3017636</v>
      </c>
      <c r="CI98" s="305">
        <f>IF(COT_PRECALCULOS!$D$24="Precios Iva Incluído",BX98,BR98)</f>
        <v>2996940</v>
      </c>
    </row>
    <row r="99" spans="1:87">
      <c r="A99" s="182" t="s">
        <v>101</v>
      </c>
      <c r="B99" s="182" t="s">
        <v>98</v>
      </c>
      <c r="C99" s="189" t="str">
        <f t="shared" si="103"/>
        <v>F_PE9</v>
      </c>
      <c r="D99" s="189" t="str">
        <f t="shared" si="104"/>
        <v>58_P_</v>
      </c>
      <c r="E99" s="211" t="s">
        <v>1</v>
      </c>
      <c r="F99" s="211" t="s">
        <v>1</v>
      </c>
      <c r="G99" s="189" t="s">
        <v>22</v>
      </c>
      <c r="H99" s="211"/>
      <c r="I99" s="211" t="s">
        <v>65</v>
      </c>
      <c r="J99" s="211">
        <v>58</v>
      </c>
      <c r="K99" s="211" t="s">
        <v>67</v>
      </c>
      <c r="L99" s="189" t="s">
        <v>9</v>
      </c>
      <c r="M99" s="211">
        <v>100</v>
      </c>
      <c r="N99" s="211">
        <v>100</v>
      </c>
      <c r="O99" s="211">
        <v>100</v>
      </c>
      <c r="P99" s="211">
        <v>100</v>
      </c>
      <c r="Q99" s="211">
        <v>100</v>
      </c>
      <c r="R99" s="211"/>
      <c r="S99" s="183">
        <f t="shared" si="150"/>
        <v>3</v>
      </c>
      <c r="T99" s="385">
        <f>$S99</f>
        <v>3</v>
      </c>
      <c r="U99" s="385">
        <f t="shared" si="151"/>
        <v>3</v>
      </c>
      <c r="V99" s="385">
        <f t="shared" si="151"/>
        <v>3</v>
      </c>
      <c r="W99" s="385">
        <f t="shared" si="151"/>
        <v>3</v>
      </c>
      <c r="X99" s="385">
        <f t="shared" si="151"/>
        <v>3</v>
      </c>
      <c r="Y99" s="184">
        <f t="shared" si="115"/>
        <v>163328</v>
      </c>
      <c r="Z99" s="184">
        <f t="shared" si="152"/>
        <v>217917</v>
      </c>
      <c r="AA99" s="184">
        <f t="shared" si="153"/>
        <v>233081</v>
      </c>
      <c r="AB99" s="184">
        <f t="shared" si="154"/>
        <v>7582</v>
      </c>
      <c r="AC99" s="184">
        <f t="shared" si="155"/>
        <v>7530</v>
      </c>
      <c r="AD99" s="184">
        <f t="shared" si="116"/>
        <v>629438</v>
      </c>
      <c r="AE99" s="183">
        <f t="shared" si="140"/>
        <v>0</v>
      </c>
      <c r="AF99" s="385">
        <f t="shared" si="141"/>
        <v>0</v>
      </c>
      <c r="AG99" s="385">
        <f t="shared" si="141"/>
        <v>0</v>
      </c>
      <c r="AH99" s="385">
        <f t="shared" si="141"/>
        <v>0</v>
      </c>
      <c r="AI99" s="185">
        <f t="shared" si="117"/>
        <v>0</v>
      </c>
      <c r="AJ99" s="185">
        <f t="shared" si="118"/>
        <v>0</v>
      </c>
      <c r="AK99" s="185">
        <f t="shared" si="119"/>
        <v>0</v>
      </c>
      <c r="AL99" s="185">
        <f t="shared" si="120"/>
        <v>0</v>
      </c>
      <c r="AM99" s="173">
        <f t="shared" si="149"/>
        <v>489984</v>
      </c>
      <c r="AN99" s="173">
        <f t="shared" si="144"/>
        <v>653751</v>
      </c>
      <c r="AO99" s="173">
        <f t="shared" si="145"/>
        <v>699243</v>
      </c>
      <c r="AP99" s="173">
        <f t="shared" si="105"/>
        <v>22746</v>
      </c>
      <c r="AQ99" s="173">
        <f t="shared" si="106"/>
        <v>22590</v>
      </c>
      <c r="AR99" s="173">
        <f t="shared" si="107"/>
        <v>1888314</v>
      </c>
      <c r="AS99" s="186" t="s">
        <v>1347</v>
      </c>
      <c r="AT99" s="300">
        <f t="shared" si="143"/>
        <v>1.4384999999999999</v>
      </c>
      <c r="AU99" s="300">
        <f t="shared" si="143"/>
        <v>1.4384999999999999</v>
      </c>
      <c r="AV99" s="300">
        <f t="shared" si="143"/>
        <v>1.4384999999999999</v>
      </c>
      <c r="AW99" s="300">
        <f t="shared" si="143"/>
        <v>1.4384999999999999</v>
      </c>
      <c r="AX99" s="300">
        <f t="shared" si="143"/>
        <v>1.4384999999999999</v>
      </c>
      <c r="AY99" s="301">
        <f t="shared" si="156"/>
        <v>1.4384999999999999</v>
      </c>
      <c r="AZ99" s="301">
        <f t="shared" si="156"/>
        <v>1.4384999999999999</v>
      </c>
      <c r="BA99" s="301">
        <f t="shared" si="156"/>
        <v>1.4384999999999999</v>
      </c>
      <c r="BB99" s="301">
        <f t="shared" si="156"/>
        <v>1.4384999999999999</v>
      </c>
      <c r="BC99" s="301">
        <f t="shared" si="156"/>
        <v>1.4384999999999999</v>
      </c>
      <c r="BD99" s="187">
        <f>ROUND(IF(OR(M99=0,AT99="DATO NO DISPONIBLE"),"",AT99*M99*($BD$7+1)),0)</f>
        <v>154</v>
      </c>
      <c r="BE99" s="187">
        <f t="shared" si="147"/>
        <v>154</v>
      </c>
      <c r="BF99" s="187">
        <f t="shared" si="148"/>
        <v>154</v>
      </c>
      <c r="BG99" s="187">
        <f t="shared" si="121"/>
        <v>154</v>
      </c>
      <c r="BH99" s="187">
        <f t="shared" si="122"/>
        <v>154</v>
      </c>
      <c r="BI99" s="187">
        <f>ROUND(IF(OR(M99=0,AY99="DATO NO DISPONIBLE"),0,AY99*M99*($BD$7+1)),0)</f>
        <v>154</v>
      </c>
      <c r="BJ99" s="187">
        <f t="shared" si="126"/>
        <v>154</v>
      </c>
      <c r="BK99" s="187">
        <f t="shared" si="127"/>
        <v>154</v>
      </c>
      <c r="BL99" s="187">
        <f t="shared" si="123"/>
        <v>154</v>
      </c>
      <c r="BM99" s="187">
        <f t="shared" si="124"/>
        <v>154</v>
      </c>
      <c r="BN99" s="188">
        <f>BD99*AM99</f>
        <v>75457536</v>
      </c>
      <c r="BO99" s="188">
        <f t="shared" si="128"/>
        <v>100677654</v>
      </c>
      <c r="BP99" s="188">
        <f t="shared" si="129"/>
        <v>107683422</v>
      </c>
      <c r="BQ99" s="188">
        <f t="shared" si="130"/>
        <v>3502884</v>
      </c>
      <c r="BR99" s="188">
        <f t="shared" si="131"/>
        <v>3478860</v>
      </c>
      <c r="BS99" s="188">
        <f t="shared" si="108"/>
        <v>290800356</v>
      </c>
      <c r="BT99" s="188">
        <f t="shared" si="109"/>
        <v>75457536</v>
      </c>
      <c r="BU99" s="188">
        <f t="shared" si="110"/>
        <v>100677654</v>
      </c>
      <c r="BV99" s="188">
        <f t="shared" si="111"/>
        <v>107683422</v>
      </c>
      <c r="BW99" s="188">
        <f t="shared" si="112"/>
        <v>3502884</v>
      </c>
      <c r="BX99" s="188">
        <f t="shared" si="113"/>
        <v>3478860</v>
      </c>
      <c r="BY99" s="188">
        <f t="shared" si="114"/>
        <v>290800356</v>
      </c>
      <c r="BZ99" s="305">
        <f>IF(COT_PRECALCULOS!$D$24="Precios Iva Incluído",BI99,BD99)</f>
        <v>154</v>
      </c>
      <c r="CA99" s="305">
        <f>IF(COT_PRECALCULOS!$D$24="Precios Iva Incluído",BJ99,BE99)</f>
        <v>154</v>
      </c>
      <c r="CB99" s="305">
        <f>IF(COT_PRECALCULOS!$D$24="Precios Iva Incluído",BK99,BF99)</f>
        <v>154</v>
      </c>
      <c r="CC99" s="305">
        <f>IF(COT_PRECALCULOS!$D$24="Precios Iva Incluído",BL99,BG99)</f>
        <v>154</v>
      </c>
      <c r="CD99" s="305">
        <f>IF(COT_PRECALCULOS!$D$24="Precios Iva Incluído",BM99,BH99)</f>
        <v>154</v>
      </c>
      <c r="CE99" s="305">
        <f>IF(COT_PRECALCULOS!$D$24="Precios Iva Incluído",BT99,BN99)</f>
        <v>75457536</v>
      </c>
      <c r="CF99" s="305">
        <f>IF(COT_PRECALCULOS!$D$24="Precios Iva Incluído",BU99,BO99)</f>
        <v>100677654</v>
      </c>
      <c r="CG99" s="305">
        <f>IF(COT_PRECALCULOS!$D$24="Precios Iva Incluído",BV99,BP99)</f>
        <v>107683422</v>
      </c>
      <c r="CH99" s="305">
        <f>IF(COT_PRECALCULOS!$D$24="Precios Iva Incluído",BW99,BQ99)</f>
        <v>3502884</v>
      </c>
      <c r="CI99" s="305">
        <f>IF(COT_PRECALCULOS!$D$24="Precios Iva Incluído",BX99,BR99)</f>
        <v>3478860</v>
      </c>
    </row>
    <row r="100" spans="1:87" s="237" customFormat="1">
      <c r="A100" s="182" t="s">
        <v>101</v>
      </c>
      <c r="B100" s="182" t="s">
        <v>98</v>
      </c>
      <c r="C100" s="189" t="str">
        <f t="shared" si="103"/>
        <v>F_PE9</v>
      </c>
      <c r="D100" s="189" t="str">
        <f t="shared" si="104"/>
        <v>59_P_</v>
      </c>
      <c r="E100" s="211" t="s">
        <v>1</v>
      </c>
      <c r="F100" s="211" t="s">
        <v>1</v>
      </c>
      <c r="G100" s="189" t="s">
        <v>22</v>
      </c>
      <c r="H100" s="211"/>
      <c r="I100" s="211" t="s">
        <v>66</v>
      </c>
      <c r="J100" s="211">
        <v>59</v>
      </c>
      <c r="K100" s="211" t="s">
        <v>99</v>
      </c>
      <c r="L100" s="189" t="s">
        <v>9</v>
      </c>
      <c r="M100" s="386">
        <v>0</v>
      </c>
      <c r="N100" s="211">
        <v>100</v>
      </c>
      <c r="O100" s="211">
        <v>100</v>
      </c>
      <c r="P100" s="211">
        <v>100</v>
      </c>
      <c r="Q100" s="211">
        <v>100</v>
      </c>
      <c r="R100" s="211" t="s">
        <v>73</v>
      </c>
      <c r="S100" s="183">
        <f t="shared" si="150"/>
        <v>1</v>
      </c>
      <c r="T100" s="386">
        <v>0</v>
      </c>
      <c r="U100" s="385">
        <f t="shared" si="151"/>
        <v>1</v>
      </c>
      <c r="V100" s="385">
        <f t="shared" si="151"/>
        <v>1</v>
      </c>
      <c r="W100" s="385">
        <f t="shared" si="151"/>
        <v>1</v>
      </c>
      <c r="X100" s="385">
        <f t="shared" si="151"/>
        <v>1</v>
      </c>
      <c r="Y100" s="184">
        <f t="shared" si="115"/>
        <v>0</v>
      </c>
      <c r="Z100" s="184">
        <f t="shared" si="152"/>
        <v>217917</v>
      </c>
      <c r="AA100" s="184">
        <f t="shared" si="153"/>
        <v>233081</v>
      </c>
      <c r="AB100" s="184">
        <f t="shared" si="154"/>
        <v>7582</v>
      </c>
      <c r="AC100" s="184">
        <f t="shared" si="155"/>
        <v>7530</v>
      </c>
      <c r="AD100" s="184">
        <f t="shared" si="116"/>
        <v>466110</v>
      </c>
      <c r="AE100" s="183">
        <f t="shared" si="140"/>
        <v>0</v>
      </c>
      <c r="AF100" s="385">
        <f t="shared" si="141"/>
        <v>0</v>
      </c>
      <c r="AG100" s="385">
        <f t="shared" si="141"/>
        <v>0</v>
      </c>
      <c r="AH100" s="385">
        <f t="shared" si="141"/>
        <v>0</v>
      </c>
      <c r="AI100" s="185">
        <f t="shared" si="117"/>
        <v>0</v>
      </c>
      <c r="AJ100" s="185">
        <f t="shared" si="118"/>
        <v>0</v>
      </c>
      <c r="AK100" s="185">
        <f t="shared" si="119"/>
        <v>0</v>
      </c>
      <c r="AL100" s="185">
        <f t="shared" si="120"/>
        <v>0</v>
      </c>
      <c r="AM100" s="173">
        <f t="shared" si="149"/>
        <v>0</v>
      </c>
      <c r="AN100" s="173">
        <f t="shared" si="144"/>
        <v>217917</v>
      </c>
      <c r="AO100" s="173">
        <f t="shared" si="145"/>
        <v>233081</v>
      </c>
      <c r="AP100" s="173">
        <f t="shared" si="105"/>
        <v>7582</v>
      </c>
      <c r="AQ100" s="173">
        <f t="shared" si="106"/>
        <v>7530</v>
      </c>
      <c r="AR100" s="173">
        <f t="shared" si="107"/>
        <v>466110</v>
      </c>
      <c r="AS100" s="186" t="s">
        <v>1347</v>
      </c>
      <c r="AT100" s="300">
        <f t="shared" si="143"/>
        <v>2.6785000000000001</v>
      </c>
      <c r="AU100" s="300">
        <f t="shared" si="143"/>
        <v>2.6785000000000001</v>
      </c>
      <c r="AV100" s="300">
        <f t="shared" si="143"/>
        <v>2.6785000000000001</v>
      </c>
      <c r="AW100" s="300">
        <f t="shared" si="143"/>
        <v>2.6785000000000001</v>
      </c>
      <c r="AX100" s="300">
        <f t="shared" si="143"/>
        <v>2.6785000000000001</v>
      </c>
      <c r="AY100" s="301">
        <f t="shared" si="156"/>
        <v>2.6785000000000001</v>
      </c>
      <c r="AZ100" s="301">
        <f t="shared" si="156"/>
        <v>2.6785000000000001</v>
      </c>
      <c r="BA100" s="301">
        <f t="shared" si="156"/>
        <v>2.6785000000000001</v>
      </c>
      <c r="BB100" s="301">
        <f t="shared" si="156"/>
        <v>2.6785000000000001</v>
      </c>
      <c r="BC100" s="301">
        <f t="shared" si="156"/>
        <v>2.6785000000000001</v>
      </c>
      <c r="BD100" s="187"/>
      <c r="BE100" s="187">
        <f t="shared" si="147"/>
        <v>286</v>
      </c>
      <c r="BF100" s="187">
        <f t="shared" si="148"/>
        <v>286</v>
      </c>
      <c r="BG100" s="187">
        <f t="shared" si="121"/>
        <v>286</v>
      </c>
      <c r="BH100" s="187">
        <f t="shared" si="122"/>
        <v>286</v>
      </c>
      <c r="BI100" s="187"/>
      <c r="BJ100" s="187">
        <f t="shared" si="126"/>
        <v>286</v>
      </c>
      <c r="BK100" s="187">
        <f t="shared" si="127"/>
        <v>286</v>
      </c>
      <c r="BL100" s="187">
        <f t="shared" si="123"/>
        <v>286</v>
      </c>
      <c r="BM100" s="187">
        <f t="shared" si="124"/>
        <v>286</v>
      </c>
      <c r="BN100" s="188"/>
      <c r="BO100" s="188">
        <f t="shared" si="128"/>
        <v>62324262</v>
      </c>
      <c r="BP100" s="188">
        <f t="shared" si="129"/>
        <v>66661166</v>
      </c>
      <c r="BQ100" s="188">
        <f t="shared" si="130"/>
        <v>2168452</v>
      </c>
      <c r="BR100" s="188">
        <f t="shared" si="131"/>
        <v>2153580</v>
      </c>
      <c r="BS100" s="188">
        <f t="shared" si="108"/>
        <v>133307460</v>
      </c>
      <c r="BT100" s="188">
        <f t="shared" si="109"/>
        <v>0</v>
      </c>
      <c r="BU100" s="188">
        <f t="shared" si="110"/>
        <v>62324262</v>
      </c>
      <c r="BV100" s="188">
        <f t="shared" si="111"/>
        <v>66661166</v>
      </c>
      <c r="BW100" s="188">
        <f t="shared" si="112"/>
        <v>2168452</v>
      </c>
      <c r="BX100" s="188">
        <f t="shared" si="113"/>
        <v>2153580</v>
      </c>
      <c r="BY100" s="188">
        <f t="shared" si="114"/>
        <v>133307460</v>
      </c>
      <c r="BZ100" s="305">
        <f>IF(COT_PRECALCULOS!$D$24="Precios Iva Incluído",BI100,BD100)</f>
        <v>0</v>
      </c>
      <c r="CA100" s="305">
        <f>IF(COT_PRECALCULOS!$D$24="Precios Iva Incluído",BJ100,BE100)</f>
        <v>286</v>
      </c>
      <c r="CB100" s="305">
        <f>IF(COT_PRECALCULOS!$D$24="Precios Iva Incluído",BK100,BF100)</f>
        <v>286</v>
      </c>
      <c r="CC100" s="305">
        <f>IF(COT_PRECALCULOS!$D$24="Precios Iva Incluído",BL100,BG100)</f>
        <v>286</v>
      </c>
      <c r="CD100" s="305">
        <f>IF(COT_PRECALCULOS!$D$24="Precios Iva Incluído",BM100,BH100)</f>
        <v>286</v>
      </c>
      <c r="CE100" s="305">
        <f>IF(COT_PRECALCULOS!$D$24="Precios Iva Incluído",BT100,BN100)</f>
        <v>0</v>
      </c>
      <c r="CF100" s="305">
        <f>IF(COT_PRECALCULOS!$D$24="Precios Iva Incluído",BU100,BO100)</f>
        <v>62324262</v>
      </c>
      <c r="CG100" s="305">
        <f>IF(COT_PRECALCULOS!$D$24="Precios Iva Incluído",BV100,BP100)</f>
        <v>66661166</v>
      </c>
      <c r="CH100" s="305">
        <f>IF(COT_PRECALCULOS!$D$24="Precios Iva Incluído",BW100,BQ100)</f>
        <v>2168452</v>
      </c>
      <c r="CI100" s="305">
        <f>IF(COT_PRECALCULOS!$D$24="Precios Iva Incluído",BX100,BR100)</f>
        <v>2153580</v>
      </c>
    </row>
    <row r="101" spans="1:87" s="237" customFormat="1">
      <c r="A101" s="182" t="s">
        <v>101</v>
      </c>
      <c r="B101" s="182" t="s">
        <v>98</v>
      </c>
      <c r="C101" s="189" t="str">
        <f t="shared" si="103"/>
        <v>F_PE9</v>
      </c>
      <c r="D101" s="189" t="str">
        <f t="shared" si="104"/>
        <v>69_P_</v>
      </c>
      <c r="E101" s="211" t="s">
        <v>1</v>
      </c>
      <c r="F101" s="211" t="s">
        <v>1</v>
      </c>
      <c r="G101" s="189" t="s">
        <v>22</v>
      </c>
      <c r="H101" s="211"/>
      <c r="I101" s="211" t="s">
        <v>68</v>
      </c>
      <c r="J101" s="211">
        <v>69</v>
      </c>
      <c r="K101" s="211" t="s">
        <v>70</v>
      </c>
      <c r="L101" s="189" t="s">
        <v>9</v>
      </c>
      <c r="M101" s="211">
        <v>100</v>
      </c>
      <c r="N101" s="211">
        <v>100</v>
      </c>
      <c r="O101" s="211">
        <v>100</v>
      </c>
      <c r="P101" s="211">
        <v>100</v>
      </c>
      <c r="Q101" s="211">
        <v>100</v>
      </c>
      <c r="R101" s="211"/>
      <c r="S101" s="385">
        <f t="shared" si="150"/>
        <v>1</v>
      </c>
      <c r="T101" s="385">
        <f>$S101</f>
        <v>1</v>
      </c>
      <c r="U101" s="385">
        <f t="shared" si="151"/>
        <v>1</v>
      </c>
      <c r="V101" s="385">
        <f t="shared" si="151"/>
        <v>1</v>
      </c>
      <c r="W101" s="385">
        <f t="shared" si="151"/>
        <v>1</v>
      </c>
      <c r="X101" s="385">
        <f t="shared" si="151"/>
        <v>1</v>
      </c>
      <c r="Y101" s="184">
        <f t="shared" si="115"/>
        <v>163328</v>
      </c>
      <c r="Z101" s="184">
        <f t="shared" si="152"/>
        <v>217917</v>
      </c>
      <c r="AA101" s="184">
        <f t="shared" si="153"/>
        <v>233081</v>
      </c>
      <c r="AB101" s="184">
        <f t="shared" si="154"/>
        <v>7582</v>
      </c>
      <c r="AC101" s="184">
        <f t="shared" si="155"/>
        <v>7530</v>
      </c>
      <c r="AD101" s="184">
        <f t="shared" si="116"/>
        <v>629438</v>
      </c>
      <c r="AE101" s="183">
        <f t="shared" si="140"/>
        <v>0</v>
      </c>
      <c r="AF101" s="385">
        <f t="shared" si="141"/>
        <v>0</v>
      </c>
      <c r="AG101" s="385">
        <f t="shared" si="141"/>
        <v>0</v>
      </c>
      <c r="AH101" s="385">
        <f t="shared" si="141"/>
        <v>0</v>
      </c>
      <c r="AI101" s="185">
        <f t="shared" si="117"/>
        <v>0</v>
      </c>
      <c r="AJ101" s="185">
        <f t="shared" si="118"/>
        <v>0</v>
      </c>
      <c r="AK101" s="185">
        <f t="shared" si="119"/>
        <v>0</v>
      </c>
      <c r="AL101" s="185">
        <f t="shared" si="120"/>
        <v>0</v>
      </c>
      <c r="AM101" s="173">
        <f t="shared" si="149"/>
        <v>163328</v>
      </c>
      <c r="AN101" s="173">
        <f t="shared" si="144"/>
        <v>217917</v>
      </c>
      <c r="AO101" s="173">
        <f t="shared" si="145"/>
        <v>233081</v>
      </c>
      <c r="AP101" s="173">
        <f t="shared" si="105"/>
        <v>7582</v>
      </c>
      <c r="AQ101" s="173">
        <f t="shared" si="106"/>
        <v>7530</v>
      </c>
      <c r="AR101" s="173">
        <f t="shared" si="107"/>
        <v>629438</v>
      </c>
      <c r="AS101" s="186" t="s">
        <v>1347</v>
      </c>
      <c r="AT101" s="300">
        <f t="shared" ref="AT101:AX110" si="157">IF(ISERROR(IF(ISERROR(MATCH(CONCATENATE($J101,"_",AT$1),COT_PRE_CODIGO_ALIMENTOS,0)),IF(ISERROR(MATCH(CONCATENATE($J101,"_",AT$2),COT_PRE_CODIGO_ALIMENTOS,0)),IF(ISERROR(MATCH(CONCATENATE($J101,"_",AT$3),COT_PRE_CODIGO_ALIMENTOS,0)),IF(ISERROR(MATCH(CONCATENATE($J101,"_",AT$4),COT_PRE_CODIGO_ALIMENTOS,0)),IF(ISERROR(MATCH(CONCATENATE($J101,"_",AT$5),COT_PRE_CODIGO_ALIMENTOS,0)),IF(ISERROR(MATCH(CONCATENATE($J101,"_",AT$6),COT_PRE_CODIGO_ALIMENTOS,0)),IF(ISERROR(MATCH(CONCATENATE($J101,"_",AT$7),COT_PRE_CODIGO_ALIMENTOS,0)),IF(ISERROR(VLOOKUP($J101,COT_PRE_ALIMENTOS,AT$8,FALSE)),"DATO NO DISPONIBLE",VLOOKUP($J101,COT_PRE_ALIMENTOS,AT$8,FALSE)),VLOOKUP(CONCATENATE($J101,"_",AT$7),COT_PRE_ALIMENTOS,AT$8,FALSE)),VLOOKUP(CONCATENATE($J101,"_",AT$6),COT_PRE_ALIMENTOS,AT$8,FALSE)),VLOOKUP(CONCATENATE($J101,"_",AT$5),COT_PRE_ALIMENTOS,AT$8,FALSE)),VLOOKUP(CONCATENATE($J101,"_",AT$4),COT_PRE_ALIMENTOS,AT$8,FALSE)),VLOOKUP(CONCATENATE($J101,"_",AT$3),COT_PRE_ALIMENTOS,AT$8,FALSE)),VLOOKUP(CONCATENATE($J101,"_",AT$2),COT_PRE_ALIMENTOS,AT$8,FALSE)),VLOOKUP(CONCATENATE($J101,"_",AT$1),COT_PRE_ALIMENTOS,AT$8,FALSE))),"DATO NO DISPONIBLE",IF(ISERROR(MATCH(CONCATENATE($J101,"_",AT$1),COT_PRE_CODIGO_ALIMENTOS,0)),IF(ISERROR(MATCH(CONCATENATE($J101,"_",AT$2),COT_PRE_CODIGO_ALIMENTOS,0)),IF(ISERROR(MATCH(CONCATENATE($J101,"_",AT$3),COT_PRE_CODIGO_ALIMENTOS,0)),IF(ISERROR(MATCH(CONCATENATE($J101,"_",AT$4),COT_PRE_CODIGO_ALIMENTOS,0)),IF(ISERROR(MATCH(CONCATENATE($J101,"_",AT$5),COT_PRE_CODIGO_ALIMENTOS,0)),IF(ISERROR(MATCH(CONCATENATE($J101,"_",AT$6),COT_PRE_CODIGO_ALIMENTOS,0)),IF(ISERROR(MATCH(CONCATENATE($J101,"_",AT$7),COT_PRE_CODIGO_ALIMENTOS,0)),IF(ISERROR(VLOOKUP($J101,COT_PRE_ALIMENTOS,AT$8,FALSE)),"DATO NO DISPONIBLE",VLOOKUP($J101,COT_PRE_ALIMENTOS,AT$8,FALSE)),VLOOKUP(CONCATENATE($J101,"_",AT$7),COT_PRE_ALIMENTOS,AT$8,FALSE)),VLOOKUP(CONCATENATE($J101,"_",AT$6),COT_PRE_ALIMENTOS,AT$8,FALSE)),VLOOKUP(CONCATENATE($J101,"_",AT$5),COT_PRE_ALIMENTOS,AT$8,FALSE)),VLOOKUP(CONCATENATE($J101,"_",AT$4),COT_PRE_ALIMENTOS,AT$8,FALSE)),VLOOKUP(CONCATENATE($J101,"_",AT$3),COT_PRE_ALIMENTOS,AT$8,FALSE)),VLOOKUP(CONCATENATE($J101,"_",AT$2),COT_PRE_ALIMENTOS,AT$8,FALSE)),VLOOKUP(CONCATENATE($J101,"_",AT$1),COT_PRE_ALIMENTOS,AT$8,FALSE)))</f>
        <v>2.8519999999999999</v>
      </c>
      <c r="AU101" s="300">
        <f t="shared" si="157"/>
        <v>2.8519999999999999</v>
      </c>
      <c r="AV101" s="300">
        <f t="shared" si="157"/>
        <v>2.8519999999999999</v>
      </c>
      <c r="AW101" s="300">
        <f t="shared" si="157"/>
        <v>2.8519999999999999</v>
      </c>
      <c r="AX101" s="300">
        <f t="shared" si="157"/>
        <v>2.8519999999999999</v>
      </c>
      <c r="AY101" s="301">
        <f t="shared" si="156"/>
        <v>2.8519999999999999</v>
      </c>
      <c r="AZ101" s="301">
        <f t="shared" si="156"/>
        <v>2.8519999999999999</v>
      </c>
      <c r="BA101" s="301">
        <f t="shared" si="156"/>
        <v>2.8519999999999999</v>
      </c>
      <c r="BB101" s="301">
        <f t="shared" si="156"/>
        <v>2.8519999999999999</v>
      </c>
      <c r="BC101" s="301">
        <f t="shared" si="156"/>
        <v>2.8519999999999999</v>
      </c>
      <c r="BD101" s="187">
        <f>ROUND(IF(OR(M101=0,AT101="DATO NO DISPONIBLE"),"",AT101*M101*($BD$7+1)),0)</f>
        <v>305</v>
      </c>
      <c r="BE101" s="187">
        <f t="shared" si="147"/>
        <v>305</v>
      </c>
      <c r="BF101" s="187">
        <f t="shared" si="148"/>
        <v>305</v>
      </c>
      <c r="BG101" s="187">
        <f t="shared" si="121"/>
        <v>305</v>
      </c>
      <c r="BH101" s="187">
        <f t="shared" si="122"/>
        <v>305</v>
      </c>
      <c r="BI101" s="187">
        <f>ROUND(IF(OR(M101=0,AY101="DATO NO DISPONIBLE"),0,AY101*M101*($BD$7+1)),0)</f>
        <v>305</v>
      </c>
      <c r="BJ101" s="187">
        <f t="shared" si="126"/>
        <v>305</v>
      </c>
      <c r="BK101" s="187">
        <f t="shared" si="127"/>
        <v>305</v>
      </c>
      <c r="BL101" s="187">
        <f t="shared" si="123"/>
        <v>305</v>
      </c>
      <c r="BM101" s="187">
        <f t="shared" si="124"/>
        <v>305</v>
      </c>
      <c r="BN101" s="188">
        <f>BD101*AM101</f>
        <v>49815040</v>
      </c>
      <c r="BO101" s="188">
        <f t="shared" si="128"/>
        <v>66464685</v>
      </c>
      <c r="BP101" s="188">
        <f t="shared" si="129"/>
        <v>71089705</v>
      </c>
      <c r="BQ101" s="188">
        <f t="shared" si="130"/>
        <v>2312510</v>
      </c>
      <c r="BR101" s="188">
        <f t="shared" si="131"/>
        <v>2296650</v>
      </c>
      <c r="BS101" s="188">
        <f t="shared" si="108"/>
        <v>191978590</v>
      </c>
      <c r="BT101" s="188">
        <f t="shared" si="109"/>
        <v>49815040</v>
      </c>
      <c r="BU101" s="188">
        <f t="shared" si="110"/>
        <v>66464685</v>
      </c>
      <c r="BV101" s="188">
        <f t="shared" si="111"/>
        <v>71089705</v>
      </c>
      <c r="BW101" s="188">
        <f t="shared" si="112"/>
        <v>2312510</v>
      </c>
      <c r="BX101" s="188">
        <f t="shared" si="113"/>
        <v>2296650</v>
      </c>
      <c r="BY101" s="188">
        <f t="shared" si="114"/>
        <v>191978590</v>
      </c>
      <c r="BZ101" s="305">
        <f>IF(COT_PRECALCULOS!$D$24="Precios Iva Incluído",BI101,BD101)</f>
        <v>305</v>
      </c>
      <c r="CA101" s="305">
        <f>IF(COT_PRECALCULOS!$D$24="Precios Iva Incluído",BJ101,BE101)</f>
        <v>305</v>
      </c>
      <c r="CB101" s="305">
        <f>IF(COT_PRECALCULOS!$D$24="Precios Iva Incluído",BK101,BF101)</f>
        <v>305</v>
      </c>
      <c r="CC101" s="305">
        <f>IF(COT_PRECALCULOS!$D$24="Precios Iva Incluído",BL101,BG101)</f>
        <v>305</v>
      </c>
      <c r="CD101" s="305">
        <f>IF(COT_PRECALCULOS!$D$24="Precios Iva Incluído",BM101,BH101)</f>
        <v>305</v>
      </c>
      <c r="CE101" s="305">
        <f>IF(COT_PRECALCULOS!$D$24="Precios Iva Incluído",BT101,BN101)</f>
        <v>49815040</v>
      </c>
      <c r="CF101" s="305">
        <f>IF(COT_PRECALCULOS!$D$24="Precios Iva Incluído",BU101,BO101)</f>
        <v>66464685</v>
      </c>
      <c r="CG101" s="305">
        <f>IF(COT_PRECALCULOS!$D$24="Precios Iva Incluído",BV101,BP101)</f>
        <v>71089705</v>
      </c>
      <c r="CH101" s="305">
        <f>IF(COT_PRECALCULOS!$D$24="Precios Iva Incluído",BW101,BQ101)</f>
        <v>2312510</v>
      </c>
      <c r="CI101" s="305">
        <f>IF(COT_PRECALCULOS!$D$24="Precios Iva Incluído",BX101,BR101)</f>
        <v>2296650</v>
      </c>
    </row>
    <row r="102" spans="1:87" s="237" customFormat="1">
      <c r="A102" s="182" t="s">
        <v>101</v>
      </c>
      <c r="B102" s="182" t="s">
        <v>98</v>
      </c>
      <c r="C102" s="189" t="str">
        <f t="shared" si="103"/>
        <v>F_PE9</v>
      </c>
      <c r="D102" s="189" t="str">
        <f t="shared" si="104"/>
        <v>70_P_</v>
      </c>
      <c r="E102" s="211" t="s">
        <v>1</v>
      </c>
      <c r="F102" s="211" t="s">
        <v>1</v>
      </c>
      <c r="G102" s="189" t="s">
        <v>22</v>
      </c>
      <c r="H102" s="211"/>
      <c r="I102" s="211" t="s">
        <v>69</v>
      </c>
      <c r="J102" s="211">
        <v>70</v>
      </c>
      <c r="K102" s="211" t="s">
        <v>71</v>
      </c>
      <c r="L102" s="189" t="s">
        <v>9</v>
      </c>
      <c r="M102" s="191">
        <v>0</v>
      </c>
      <c r="N102" s="211">
        <v>100</v>
      </c>
      <c r="O102" s="211">
        <v>100</v>
      </c>
      <c r="P102" s="211">
        <v>100</v>
      </c>
      <c r="Q102" s="211">
        <v>100</v>
      </c>
      <c r="R102" s="211" t="s">
        <v>73</v>
      </c>
      <c r="S102" s="183">
        <f t="shared" si="150"/>
        <v>3</v>
      </c>
      <c r="T102" s="386">
        <v>0</v>
      </c>
      <c r="U102" s="385">
        <f t="shared" si="151"/>
        <v>3</v>
      </c>
      <c r="V102" s="385">
        <f t="shared" si="151"/>
        <v>3</v>
      </c>
      <c r="W102" s="385">
        <f t="shared" si="151"/>
        <v>3</v>
      </c>
      <c r="X102" s="385">
        <f t="shared" si="151"/>
        <v>3</v>
      </c>
      <c r="Y102" s="184">
        <f t="shared" si="115"/>
        <v>0</v>
      </c>
      <c r="Z102" s="184">
        <f t="shared" si="152"/>
        <v>217917</v>
      </c>
      <c r="AA102" s="184">
        <f t="shared" si="153"/>
        <v>233081</v>
      </c>
      <c r="AB102" s="184">
        <f t="shared" si="154"/>
        <v>7582</v>
      </c>
      <c r="AC102" s="184">
        <f t="shared" si="155"/>
        <v>7530</v>
      </c>
      <c r="AD102" s="184">
        <f t="shared" si="116"/>
        <v>466110</v>
      </c>
      <c r="AE102" s="183">
        <f t="shared" si="140"/>
        <v>0</v>
      </c>
      <c r="AF102" s="385">
        <f t="shared" si="141"/>
        <v>0</v>
      </c>
      <c r="AG102" s="385">
        <f t="shared" si="141"/>
        <v>0</v>
      </c>
      <c r="AH102" s="385">
        <f t="shared" si="141"/>
        <v>0</v>
      </c>
      <c r="AI102" s="185">
        <f t="shared" si="117"/>
        <v>0</v>
      </c>
      <c r="AJ102" s="185">
        <f t="shared" si="118"/>
        <v>0</v>
      </c>
      <c r="AK102" s="185">
        <f t="shared" si="119"/>
        <v>0</v>
      </c>
      <c r="AL102" s="185">
        <f t="shared" si="120"/>
        <v>0</v>
      </c>
      <c r="AM102" s="173">
        <v>0</v>
      </c>
      <c r="AN102" s="173">
        <f t="shared" si="144"/>
        <v>653751</v>
      </c>
      <c r="AO102" s="173">
        <f t="shared" si="145"/>
        <v>699243</v>
      </c>
      <c r="AP102" s="173">
        <f t="shared" si="105"/>
        <v>22746</v>
      </c>
      <c r="AQ102" s="173">
        <f t="shared" si="106"/>
        <v>22590</v>
      </c>
      <c r="AR102" s="173">
        <f t="shared" si="107"/>
        <v>1398330</v>
      </c>
      <c r="AS102" s="186" t="s">
        <v>1347</v>
      </c>
      <c r="AT102" s="300">
        <f t="shared" si="157"/>
        <v>4.0575000000000001</v>
      </c>
      <c r="AU102" s="300">
        <f t="shared" si="157"/>
        <v>4.0575000000000001</v>
      </c>
      <c r="AV102" s="300">
        <f t="shared" si="157"/>
        <v>4.0575000000000001</v>
      </c>
      <c r="AW102" s="300">
        <f t="shared" si="157"/>
        <v>4.0575000000000001</v>
      </c>
      <c r="AX102" s="300">
        <f t="shared" si="157"/>
        <v>4.0575000000000001</v>
      </c>
      <c r="AY102" s="301">
        <f t="shared" si="156"/>
        <v>4.0575000000000001</v>
      </c>
      <c r="AZ102" s="301">
        <f t="shared" si="156"/>
        <v>4.0575000000000001</v>
      </c>
      <c r="BA102" s="301">
        <f t="shared" si="156"/>
        <v>4.0575000000000001</v>
      </c>
      <c r="BB102" s="301">
        <f t="shared" si="156"/>
        <v>4.0575000000000001</v>
      </c>
      <c r="BC102" s="301">
        <f t="shared" si="156"/>
        <v>4.0575000000000001</v>
      </c>
      <c r="BD102" s="187"/>
      <c r="BE102" s="187">
        <f t="shared" si="147"/>
        <v>434</v>
      </c>
      <c r="BF102" s="187">
        <f t="shared" si="148"/>
        <v>434</v>
      </c>
      <c r="BG102" s="187">
        <f t="shared" si="121"/>
        <v>434</v>
      </c>
      <c r="BH102" s="187">
        <f t="shared" si="122"/>
        <v>434</v>
      </c>
      <c r="BI102" s="187"/>
      <c r="BJ102" s="187">
        <f t="shared" si="126"/>
        <v>434</v>
      </c>
      <c r="BK102" s="187">
        <f t="shared" si="127"/>
        <v>434</v>
      </c>
      <c r="BL102" s="187">
        <f t="shared" si="123"/>
        <v>434</v>
      </c>
      <c r="BM102" s="187">
        <f t="shared" si="124"/>
        <v>434</v>
      </c>
      <c r="BN102" s="188"/>
      <c r="BO102" s="188">
        <f t="shared" si="128"/>
        <v>283727934</v>
      </c>
      <c r="BP102" s="188">
        <f t="shared" si="129"/>
        <v>303471462</v>
      </c>
      <c r="BQ102" s="188">
        <f t="shared" si="130"/>
        <v>9871764</v>
      </c>
      <c r="BR102" s="188">
        <f t="shared" si="131"/>
        <v>9804060</v>
      </c>
      <c r="BS102" s="188">
        <f t="shared" si="108"/>
        <v>606875220</v>
      </c>
      <c r="BT102" s="188">
        <f t="shared" si="109"/>
        <v>0</v>
      </c>
      <c r="BU102" s="188">
        <f t="shared" si="110"/>
        <v>283727934</v>
      </c>
      <c r="BV102" s="188">
        <f t="shared" si="111"/>
        <v>303471462</v>
      </c>
      <c r="BW102" s="188">
        <f t="shared" si="112"/>
        <v>9871764</v>
      </c>
      <c r="BX102" s="188">
        <f t="shared" si="113"/>
        <v>9804060</v>
      </c>
      <c r="BY102" s="188">
        <f t="shared" si="114"/>
        <v>606875220</v>
      </c>
      <c r="BZ102" s="305">
        <f>IF(COT_PRECALCULOS!$D$24="Precios Iva Incluído",BI102,BD102)</f>
        <v>0</v>
      </c>
      <c r="CA102" s="305">
        <f>IF(COT_PRECALCULOS!$D$24="Precios Iva Incluído",BJ102,BE102)</f>
        <v>434</v>
      </c>
      <c r="CB102" s="305">
        <f>IF(COT_PRECALCULOS!$D$24="Precios Iva Incluído",BK102,BF102)</f>
        <v>434</v>
      </c>
      <c r="CC102" s="305">
        <f>IF(COT_PRECALCULOS!$D$24="Precios Iva Incluído",BL102,BG102)</f>
        <v>434</v>
      </c>
      <c r="CD102" s="305">
        <f>IF(COT_PRECALCULOS!$D$24="Precios Iva Incluído",BM102,BH102)</f>
        <v>434</v>
      </c>
      <c r="CE102" s="305">
        <f>IF(COT_PRECALCULOS!$D$24="Precios Iva Incluído",BT102,BN102)</f>
        <v>0</v>
      </c>
      <c r="CF102" s="305">
        <f>IF(COT_PRECALCULOS!$D$24="Precios Iva Incluído",BU102,BO102)</f>
        <v>283727934</v>
      </c>
      <c r="CG102" s="305">
        <f>IF(COT_PRECALCULOS!$D$24="Precios Iva Incluído",BV102,BP102)</f>
        <v>303471462</v>
      </c>
      <c r="CH102" s="305">
        <f>IF(COT_PRECALCULOS!$D$24="Precios Iva Incluído",BW102,BQ102)</f>
        <v>9871764</v>
      </c>
      <c r="CI102" s="305">
        <f>IF(COT_PRECALCULOS!$D$24="Precios Iva Incluído",BX102,BR102)</f>
        <v>9804060</v>
      </c>
    </row>
    <row r="103" spans="1:87" s="237" customFormat="1">
      <c r="A103" s="182" t="s">
        <v>101</v>
      </c>
      <c r="B103" s="182" t="s">
        <v>98</v>
      </c>
      <c r="C103" s="189" t="str">
        <f t="shared" si="103"/>
        <v>F_PE9</v>
      </c>
      <c r="D103" s="189" t="str">
        <f t="shared" si="104"/>
        <v>36_P_</v>
      </c>
      <c r="E103" s="211" t="s">
        <v>1</v>
      </c>
      <c r="F103" s="211" t="s">
        <v>1</v>
      </c>
      <c r="G103" s="189" t="s">
        <v>22</v>
      </c>
      <c r="H103" s="211"/>
      <c r="I103" s="211" t="s">
        <v>1340</v>
      </c>
      <c r="J103" s="211">
        <v>36</v>
      </c>
      <c r="K103" s="211" t="s">
        <v>1340</v>
      </c>
      <c r="L103" s="189" t="s">
        <v>9</v>
      </c>
      <c r="M103" s="211">
        <v>20</v>
      </c>
      <c r="N103" s="211">
        <v>40</v>
      </c>
      <c r="O103" s="211">
        <v>40</v>
      </c>
      <c r="P103" s="211">
        <v>40</v>
      </c>
      <c r="Q103" s="211">
        <v>40</v>
      </c>
      <c r="R103" s="211"/>
      <c r="S103" s="183">
        <f t="shared" si="150"/>
        <v>2</v>
      </c>
      <c r="T103" s="385">
        <f>$S103</f>
        <v>2</v>
      </c>
      <c r="U103" s="385">
        <f t="shared" si="151"/>
        <v>2</v>
      </c>
      <c r="V103" s="385">
        <f t="shared" si="151"/>
        <v>2</v>
      </c>
      <c r="W103" s="385">
        <f t="shared" si="151"/>
        <v>2</v>
      </c>
      <c r="X103" s="385">
        <f t="shared" si="151"/>
        <v>2</v>
      </c>
      <c r="Y103" s="184">
        <f t="shared" si="115"/>
        <v>163328</v>
      </c>
      <c r="Z103" s="184">
        <f t="shared" si="152"/>
        <v>217917</v>
      </c>
      <c r="AA103" s="184">
        <f t="shared" si="153"/>
        <v>233081</v>
      </c>
      <c r="AB103" s="184">
        <f t="shared" si="154"/>
        <v>7582</v>
      </c>
      <c r="AC103" s="184">
        <f t="shared" si="155"/>
        <v>7530</v>
      </c>
      <c r="AD103" s="184">
        <f t="shared" si="116"/>
        <v>629438</v>
      </c>
      <c r="AE103" s="183">
        <f t="shared" si="140"/>
        <v>0</v>
      </c>
      <c r="AF103" s="385">
        <f t="shared" si="141"/>
        <v>0</v>
      </c>
      <c r="AG103" s="385">
        <f t="shared" si="141"/>
        <v>0</v>
      </c>
      <c r="AH103" s="385">
        <f t="shared" si="141"/>
        <v>0</v>
      </c>
      <c r="AI103" s="185">
        <f t="shared" si="117"/>
        <v>0</v>
      </c>
      <c r="AJ103" s="185">
        <f t="shared" si="118"/>
        <v>0</v>
      </c>
      <c r="AK103" s="185">
        <f t="shared" si="119"/>
        <v>0</v>
      </c>
      <c r="AL103" s="185">
        <f t="shared" si="120"/>
        <v>0</v>
      </c>
      <c r="AM103" s="173">
        <f>($S103*Y103)+($AE103*AI103)</f>
        <v>326656</v>
      </c>
      <c r="AN103" s="173">
        <f t="shared" si="144"/>
        <v>435834</v>
      </c>
      <c r="AO103" s="173">
        <f t="shared" si="145"/>
        <v>466162</v>
      </c>
      <c r="AP103" s="173">
        <f t="shared" si="105"/>
        <v>15164</v>
      </c>
      <c r="AQ103" s="173">
        <f t="shared" si="106"/>
        <v>15060</v>
      </c>
      <c r="AR103" s="173">
        <f t="shared" si="107"/>
        <v>1258876</v>
      </c>
      <c r="AS103" s="186" t="s">
        <v>1347</v>
      </c>
      <c r="AT103" s="300">
        <f t="shared" si="157"/>
        <v>5.9</v>
      </c>
      <c r="AU103" s="300">
        <f t="shared" si="157"/>
        <v>5.9</v>
      </c>
      <c r="AV103" s="300">
        <f t="shared" si="157"/>
        <v>5.9</v>
      </c>
      <c r="AW103" s="300">
        <f t="shared" si="157"/>
        <v>5.9</v>
      </c>
      <c r="AX103" s="300">
        <f t="shared" si="157"/>
        <v>5.9</v>
      </c>
      <c r="AY103" s="301">
        <f t="shared" si="156"/>
        <v>5.9</v>
      </c>
      <c r="AZ103" s="301">
        <f t="shared" si="156"/>
        <v>5.9</v>
      </c>
      <c r="BA103" s="301">
        <f t="shared" si="156"/>
        <v>5.9</v>
      </c>
      <c r="BB103" s="301">
        <f t="shared" si="156"/>
        <v>5.9</v>
      </c>
      <c r="BC103" s="301">
        <f t="shared" si="156"/>
        <v>5.9</v>
      </c>
      <c r="BD103" s="187">
        <f>ROUND(IF(OR(M103=0,AT103="DATO NO DISPONIBLE"),"",AT103*M103*($BD$7+1)),0)</f>
        <v>126</v>
      </c>
      <c r="BE103" s="187">
        <f t="shared" si="147"/>
        <v>252</v>
      </c>
      <c r="BF103" s="187">
        <f t="shared" si="148"/>
        <v>252</v>
      </c>
      <c r="BG103" s="187">
        <f t="shared" si="121"/>
        <v>252</v>
      </c>
      <c r="BH103" s="187">
        <f t="shared" si="122"/>
        <v>252</v>
      </c>
      <c r="BI103" s="187">
        <f>ROUND(IF(OR(M103=0,AY103="DATO NO DISPONIBLE"),0,AY103*M103*($BD$7+1)),0)</f>
        <v>126</v>
      </c>
      <c r="BJ103" s="187">
        <f t="shared" si="126"/>
        <v>252</v>
      </c>
      <c r="BK103" s="187">
        <f t="shared" si="127"/>
        <v>252</v>
      </c>
      <c r="BL103" s="187">
        <f t="shared" si="123"/>
        <v>252</v>
      </c>
      <c r="BM103" s="187">
        <f t="shared" si="124"/>
        <v>252</v>
      </c>
      <c r="BN103" s="188">
        <f>BD103*AM103</f>
        <v>41158656</v>
      </c>
      <c r="BO103" s="188">
        <f t="shared" si="128"/>
        <v>109830168</v>
      </c>
      <c r="BP103" s="188">
        <f t="shared" si="129"/>
        <v>117472824</v>
      </c>
      <c r="BQ103" s="188">
        <f t="shared" si="130"/>
        <v>3821328</v>
      </c>
      <c r="BR103" s="188">
        <f t="shared" si="131"/>
        <v>3795120</v>
      </c>
      <c r="BS103" s="188">
        <f t="shared" si="108"/>
        <v>276078096</v>
      </c>
      <c r="BT103" s="188">
        <f t="shared" si="109"/>
        <v>41158656</v>
      </c>
      <c r="BU103" s="188">
        <f t="shared" si="110"/>
        <v>109830168</v>
      </c>
      <c r="BV103" s="188">
        <f t="shared" si="111"/>
        <v>117472824</v>
      </c>
      <c r="BW103" s="188">
        <f t="shared" si="112"/>
        <v>3821328</v>
      </c>
      <c r="BX103" s="188">
        <f t="shared" si="113"/>
        <v>3795120</v>
      </c>
      <c r="BY103" s="188">
        <f t="shared" si="114"/>
        <v>276078096</v>
      </c>
      <c r="BZ103" s="305">
        <f>IF(COT_PRECALCULOS!$D$24="Precios Iva Incluído",BI103,BD103)</f>
        <v>126</v>
      </c>
      <c r="CA103" s="305">
        <f>IF(COT_PRECALCULOS!$D$24="Precios Iva Incluído",BJ103,BE103)</f>
        <v>252</v>
      </c>
      <c r="CB103" s="305">
        <f>IF(COT_PRECALCULOS!$D$24="Precios Iva Incluído",BK103,BF103)</f>
        <v>252</v>
      </c>
      <c r="CC103" s="305">
        <f>IF(COT_PRECALCULOS!$D$24="Precios Iva Incluído",BL103,BG103)</f>
        <v>252</v>
      </c>
      <c r="CD103" s="305">
        <f>IF(COT_PRECALCULOS!$D$24="Precios Iva Incluído",BM103,BH103)</f>
        <v>252</v>
      </c>
      <c r="CE103" s="305">
        <f>IF(COT_PRECALCULOS!$D$24="Precios Iva Incluído",BT103,BN103)</f>
        <v>41158656</v>
      </c>
      <c r="CF103" s="305">
        <f>IF(COT_PRECALCULOS!$D$24="Precios Iva Incluído",BU103,BO103)</f>
        <v>109830168</v>
      </c>
      <c r="CG103" s="305">
        <f>IF(COT_PRECALCULOS!$D$24="Precios Iva Incluído",BV103,BP103)</f>
        <v>117472824</v>
      </c>
      <c r="CH103" s="305">
        <f>IF(COT_PRECALCULOS!$D$24="Precios Iva Incluído",BW103,BQ103)</f>
        <v>3821328</v>
      </c>
      <c r="CI103" s="305">
        <f>IF(COT_PRECALCULOS!$D$24="Precios Iva Incluído",BX103,BR103)</f>
        <v>3795120</v>
      </c>
    </row>
    <row r="104" spans="1:87" s="237" customFormat="1">
      <c r="A104" s="182" t="s">
        <v>101</v>
      </c>
      <c r="B104" s="182" t="s">
        <v>98</v>
      </c>
      <c r="C104" s="189" t="str">
        <f t="shared" si="103"/>
        <v>F_PE12</v>
      </c>
      <c r="D104" s="189" t="str">
        <f t="shared" si="104"/>
        <v>8_P_</v>
      </c>
      <c r="E104" s="211" t="s">
        <v>1</v>
      </c>
      <c r="F104" s="211" t="s">
        <v>1</v>
      </c>
      <c r="G104" s="189" t="s">
        <v>25</v>
      </c>
      <c r="H104" s="211" t="s">
        <v>2</v>
      </c>
      <c r="I104" s="211" t="s">
        <v>54</v>
      </c>
      <c r="J104" s="211">
        <v>8</v>
      </c>
      <c r="K104" s="211" t="s">
        <v>55</v>
      </c>
      <c r="L104" s="189" t="s">
        <v>9</v>
      </c>
      <c r="M104" s="211">
        <v>100</v>
      </c>
      <c r="N104" s="211">
        <v>100</v>
      </c>
      <c r="O104" s="211">
        <v>100</v>
      </c>
      <c r="P104" s="211">
        <v>100</v>
      </c>
      <c r="Q104" s="211">
        <v>100</v>
      </c>
      <c r="R104" s="211"/>
      <c r="S104" s="385">
        <f t="shared" si="150"/>
        <v>1</v>
      </c>
      <c r="T104" s="385">
        <f>$S104</f>
        <v>1</v>
      </c>
      <c r="U104" s="385">
        <f t="shared" si="151"/>
        <v>1</v>
      </c>
      <c r="V104" s="385">
        <f t="shared" si="151"/>
        <v>1</v>
      </c>
      <c r="W104" s="385">
        <f t="shared" si="151"/>
        <v>1</v>
      </c>
      <c r="X104" s="385">
        <f t="shared" si="151"/>
        <v>1</v>
      </c>
      <c r="Y104" s="184">
        <f t="shared" si="115"/>
        <v>163328</v>
      </c>
      <c r="Z104" s="184">
        <f t="shared" si="152"/>
        <v>217917</v>
      </c>
      <c r="AA104" s="184">
        <f t="shared" si="153"/>
        <v>233081</v>
      </c>
      <c r="AB104" s="184">
        <f t="shared" si="154"/>
        <v>7582</v>
      </c>
      <c r="AC104" s="184">
        <f t="shared" si="155"/>
        <v>7530</v>
      </c>
      <c r="AD104" s="184">
        <f t="shared" si="116"/>
        <v>629438</v>
      </c>
      <c r="AE104" s="183">
        <f t="shared" si="140"/>
        <v>0</v>
      </c>
      <c r="AF104" s="385">
        <f t="shared" si="141"/>
        <v>0</v>
      </c>
      <c r="AG104" s="385">
        <f t="shared" si="141"/>
        <v>0</v>
      </c>
      <c r="AH104" s="385">
        <f t="shared" si="141"/>
        <v>0</v>
      </c>
      <c r="AI104" s="185">
        <f t="shared" si="117"/>
        <v>0</v>
      </c>
      <c r="AJ104" s="185">
        <f t="shared" si="118"/>
        <v>0</v>
      </c>
      <c r="AK104" s="185">
        <f t="shared" si="119"/>
        <v>0</v>
      </c>
      <c r="AL104" s="185">
        <f t="shared" si="120"/>
        <v>0</v>
      </c>
      <c r="AM104" s="173">
        <f>($S104*Y104)+($AE104*AI104)</f>
        <v>163328</v>
      </c>
      <c r="AN104" s="173">
        <f t="shared" si="144"/>
        <v>217917</v>
      </c>
      <c r="AO104" s="173">
        <f t="shared" si="145"/>
        <v>233081</v>
      </c>
      <c r="AP104" s="173">
        <f t="shared" si="105"/>
        <v>7582</v>
      </c>
      <c r="AQ104" s="173">
        <f t="shared" si="106"/>
        <v>7530</v>
      </c>
      <c r="AR104" s="173">
        <f t="shared" si="107"/>
        <v>629438</v>
      </c>
      <c r="AS104" s="186" t="s">
        <v>1348</v>
      </c>
      <c r="AT104" s="300">
        <f t="shared" si="157"/>
        <v>1.25</v>
      </c>
      <c r="AU104" s="300">
        <f t="shared" si="157"/>
        <v>1.25</v>
      </c>
      <c r="AV104" s="300">
        <f t="shared" si="157"/>
        <v>1.25</v>
      </c>
      <c r="AW104" s="300">
        <f t="shared" si="157"/>
        <v>1.25</v>
      </c>
      <c r="AX104" s="300">
        <f t="shared" si="157"/>
        <v>1.25</v>
      </c>
      <c r="AY104" s="301">
        <f t="shared" si="156"/>
        <v>1.25</v>
      </c>
      <c r="AZ104" s="301">
        <f t="shared" si="156"/>
        <v>1.25</v>
      </c>
      <c r="BA104" s="301">
        <f t="shared" si="156"/>
        <v>1.25</v>
      </c>
      <c r="BB104" s="301">
        <f t="shared" si="156"/>
        <v>1.25</v>
      </c>
      <c r="BC104" s="301">
        <f t="shared" si="156"/>
        <v>1.25</v>
      </c>
      <c r="BD104" s="187">
        <f>ROUND(IF(OR(M104=0,AT104="DATO NO DISPONIBLE"),"",AT104*M104*($BD$7+1)),0)</f>
        <v>134</v>
      </c>
      <c r="BE104" s="187">
        <f t="shared" si="147"/>
        <v>134</v>
      </c>
      <c r="BF104" s="187">
        <f t="shared" si="148"/>
        <v>134</v>
      </c>
      <c r="BG104" s="187">
        <f t="shared" si="121"/>
        <v>134</v>
      </c>
      <c r="BH104" s="187">
        <f t="shared" si="122"/>
        <v>134</v>
      </c>
      <c r="BI104" s="187">
        <f>ROUND(IF(OR(M104=0,AY104="DATO NO DISPONIBLE"),0,AY104*M104*($BD$7+1)),0)</f>
        <v>134</v>
      </c>
      <c r="BJ104" s="187">
        <f t="shared" si="126"/>
        <v>134</v>
      </c>
      <c r="BK104" s="187">
        <f t="shared" si="127"/>
        <v>134</v>
      </c>
      <c r="BL104" s="187">
        <f t="shared" si="123"/>
        <v>134</v>
      </c>
      <c r="BM104" s="187">
        <f t="shared" si="124"/>
        <v>134</v>
      </c>
      <c r="BN104" s="188">
        <f>BD104*AM104</f>
        <v>21885952</v>
      </c>
      <c r="BO104" s="188">
        <f t="shared" si="128"/>
        <v>29200878</v>
      </c>
      <c r="BP104" s="188">
        <f t="shared" si="129"/>
        <v>31232854</v>
      </c>
      <c r="BQ104" s="188">
        <f t="shared" si="130"/>
        <v>1015988</v>
      </c>
      <c r="BR104" s="188">
        <f t="shared" si="131"/>
        <v>1009020</v>
      </c>
      <c r="BS104" s="188">
        <f t="shared" si="108"/>
        <v>84344692</v>
      </c>
      <c r="BT104" s="188">
        <f t="shared" si="109"/>
        <v>21885952</v>
      </c>
      <c r="BU104" s="188">
        <f t="shared" si="110"/>
        <v>29200878</v>
      </c>
      <c r="BV104" s="188">
        <f t="shared" si="111"/>
        <v>31232854</v>
      </c>
      <c r="BW104" s="188">
        <f t="shared" si="112"/>
        <v>1015988</v>
      </c>
      <c r="BX104" s="188">
        <f t="shared" si="113"/>
        <v>1009020</v>
      </c>
      <c r="BY104" s="188">
        <f t="shared" si="114"/>
        <v>84344692</v>
      </c>
      <c r="BZ104" s="305">
        <f>IF(COT_PRECALCULOS!$D$24="Precios Iva Incluído",BI104,BD104)</f>
        <v>134</v>
      </c>
      <c r="CA104" s="305">
        <f>IF(COT_PRECALCULOS!$D$24="Precios Iva Incluído",BJ104,BE104)</f>
        <v>134</v>
      </c>
      <c r="CB104" s="305">
        <f>IF(COT_PRECALCULOS!$D$24="Precios Iva Incluído",BK104,BF104)</f>
        <v>134</v>
      </c>
      <c r="CC104" s="305">
        <f>IF(COT_PRECALCULOS!$D$24="Precios Iva Incluído",BL104,BG104)</f>
        <v>134</v>
      </c>
      <c r="CD104" s="305">
        <f>IF(COT_PRECALCULOS!$D$24="Precios Iva Incluído",BM104,BH104)</f>
        <v>134</v>
      </c>
      <c r="CE104" s="305">
        <f>IF(COT_PRECALCULOS!$D$24="Precios Iva Incluído",BT104,BN104)</f>
        <v>21885952</v>
      </c>
      <c r="CF104" s="305">
        <f>IF(COT_PRECALCULOS!$D$24="Precios Iva Incluído",BU104,BO104)</f>
        <v>29200878</v>
      </c>
      <c r="CG104" s="305">
        <f>IF(COT_PRECALCULOS!$D$24="Precios Iva Incluído",BV104,BP104)</f>
        <v>31232854</v>
      </c>
      <c r="CH104" s="305">
        <f>IF(COT_PRECALCULOS!$D$24="Precios Iva Incluído",BW104,BQ104)</f>
        <v>1015988</v>
      </c>
      <c r="CI104" s="305">
        <f>IF(COT_PRECALCULOS!$D$24="Precios Iva Incluído",BX104,BR104)</f>
        <v>1009020</v>
      </c>
    </row>
    <row r="105" spans="1:87" s="237" customFormat="1">
      <c r="A105" s="182" t="s">
        <v>101</v>
      </c>
      <c r="B105" s="182" t="s">
        <v>98</v>
      </c>
      <c r="C105" s="189" t="str">
        <f t="shared" si="103"/>
        <v>F_PE12</v>
      </c>
      <c r="D105" s="189" t="str">
        <f t="shared" si="104"/>
        <v>7_P_</v>
      </c>
      <c r="E105" s="211" t="s">
        <v>1</v>
      </c>
      <c r="F105" s="211" t="s">
        <v>1</v>
      </c>
      <c r="G105" s="189" t="s">
        <v>25</v>
      </c>
      <c r="H105" s="211"/>
      <c r="I105" s="211" t="s">
        <v>56</v>
      </c>
      <c r="J105" s="211">
        <v>7</v>
      </c>
      <c r="K105" s="211" t="s">
        <v>57</v>
      </c>
      <c r="L105" s="189" t="s">
        <v>9</v>
      </c>
      <c r="M105" s="211">
        <v>100</v>
      </c>
      <c r="N105" s="211">
        <v>100</v>
      </c>
      <c r="O105" s="211">
        <v>100</v>
      </c>
      <c r="P105" s="211">
        <v>100</v>
      </c>
      <c r="Q105" s="211">
        <v>100</v>
      </c>
      <c r="R105" s="211"/>
      <c r="S105" s="201">
        <v>3</v>
      </c>
      <c r="T105" s="388">
        <f>$S105</f>
        <v>3</v>
      </c>
      <c r="U105" s="388">
        <v>0</v>
      </c>
      <c r="V105" s="388">
        <v>0</v>
      </c>
      <c r="W105" s="388">
        <v>0</v>
      </c>
      <c r="X105" s="388">
        <v>0</v>
      </c>
      <c r="Y105" s="184">
        <f t="shared" si="115"/>
        <v>163328</v>
      </c>
      <c r="Z105" s="184">
        <v>0</v>
      </c>
      <c r="AA105" s="184">
        <v>0</v>
      </c>
      <c r="AB105" s="184">
        <v>0</v>
      </c>
      <c r="AC105" s="184">
        <v>0</v>
      </c>
      <c r="AD105" s="184">
        <f t="shared" si="116"/>
        <v>163328</v>
      </c>
      <c r="AE105" s="183">
        <f t="shared" si="140"/>
        <v>0</v>
      </c>
      <c r="AF105" s="385">
        <f t="shared" si="141"/>
        <v>0</v>
      </c>
      <c r="AG105" s="385">
        <f t="shared" si="141"/>
        <v>0</v>
      </c>
      <c r="AH105" s="385">
        <f t="shared" si="141"/>
        <v>0</v>
      </c>
      <c r="AI105" s="185">
        <f t="shared" si="117"/>
        <v>0</v>
      </c>
      <c r="AJ105" s="185">
        <f t="shared" si="118"/>
        <v>0</v>
      </c>
      <c r="AK105" s="185">
        <f t="shared" si="119"/>
        <v>0</v>
      </c>
      <c r="AL105" s="185">
        <f t="shared" si="120"/>
        <v>0</v>
      </c>
      <c r="AM105" s="173">
        <f>($S105*Y105)+($AE105*AI105)</f>
        <v>489984</v>
      </c>
      <c r="AN105" s="173">
        <f t="shared" si="144"/>
        <v>0</v>
      </c>
      <c r="AO105" s="173">
        <f t="shared" si="145"/>
        <v>0</v>
      </c>
      <c r="AP105" s="173">
        <f t="shared" si="105"/>
        <v>0</v>
      </c>
      <c r="AQ105" s="173">
        <f t="shared" si="106"/>
        <v>0</v>
      </c>
      <c r="AR105" s="173">
        <f t="shared" si="107"/>
        <v>489984</v>
      </c>
      <c r="AS105" s="186" t="s">
        <v>1348</v>
      </c>
      <c r="AT105" s="300">
        <f t="shared" si="157"/>
        <v>1</v>
      </c>
      <c r="AU105" s="300">
        <f t="shared" si="157"/>
        <v>1</v>
      </c>
      <c r="AV105" s="300">
        <f t="shared" si="157"/>
        <v>1</v>
      </c>
      <c r="AW105" s="300">
        <f t="shared" si="157"/>
        <v>1</v>
      </c>
      <c r="AX105" s="300">
        <f t="shared" si="157"/>
        <v>1</v>
      </c>
      <c r="AY105" s="301">
        <f t="shared" si="156"/>
        <v>1</v>
      </c>
      <c r="AZ105" s="301">
        <f t="shared" si="156"/>
        <v>1</v>
      </c>
      <c r="BA105" s="301">
        <f t="shared" si="156"/>
        <v>1</v>
      </c>
      <c r="BB105" s="301">
        <f t="shared" si="156"/>
        <v>1</v>
      </c>
      <c r="BC105" s="301">
        <f t="shared" si="156"/>
        <v>1</v>
      </c>
      <c r="BD105" s="187">
        <f>ROUND(IF(OR(M105=0,AT105="DATO NO DISPONIBLE"),"",AT105*M105*($BD$7+1)),0)</f>
        <v>107</v>
      </c>
      <c r="BE105" s="187">
        <f t="shared" si="147"/>
        <v>107</v>
      </c>
      <c r="BF105" s="187">
        <f t="shared" si="148"/>
        <v>107</v>
      </c>
      <c r="BG105" s="187">
        <f t="shared" si="121"/>
        <v>107</v>
      </c>
      <c r="BH105" s="187">
        <f t="shared" si="122"/>
        <v>107</v>
      </c>
      <c r="BI105" s="187">
        <f>ROUND(IF(OR(M105=0,AY105="DATO NO DISPONIBLE"),0,AY105*M105*($BD$7+1)),0)</f>
        <v>107</v>
      </c>
      <c r="BJ105" s="187">
        <f t="shared" si="126"/>
        <v>107</v>
      </c>
      <c r="BK105" s="187">
        <f t="shared" si="127"/>
        <v>107</v>
      </c>
      <c r="BL105" s="187">
        <f t="shared" si="123"/>
        <v>107</v>
      </c>
      <c r="BM105" s="187">
        <f t="shared" si="124"/>
        <v>107</v>
      </c>
      <c r="BN105" s="188">
        <f>BD105*AM105</f>
        <v>52428288</v>
      </c>
      <c r="BO105" s="188">
        <f t="shared" si="128"/>
        <v>0</v>
      </c>
      <c r="BP105" s="188">
        <f t="shared" si="129"/>
        <v>0</v>
      </c>
      <c r="BQ105" s="188">
        <f t="shared" si="130"/>
        <v>0</v>
      </c>
      <c r="BR105" s="188">
        <f t="shared" si="131"/>
        <v>0</v>
      </c>
      <c r="BS105" s="188">
        <f t="shared" si="108"/>
        <v>52428288</v>
      </c>
      <c r="BT105" s="188">
        <f t="shared" si="109"/>
        <v>52428288</v>
      </c>
      <c r="BU105" s="188">
        <f t="shared" si="110"/>
        <v>0</v>
      </c>
      <c r="BV105" s="188">
        <f t="shared" si="111"/>
        <v>0</v>
      </c>
      <c r="BW105" s="188">
        <f t="shared" si="112"/>
        <v>0</v>
      </c>
      <c r="BX105" s="188">
        <f t="shared" si="113"/>
        <v>0</v>
      </c>
      <c r="BY105" s="188">
        <f t="shared" si="114"/>
        <v>52428288</v>
      </c>
      <c r="BZ105" s="305">
        <f>IF(COT_PRECALCULOS!$D$24="Precios Iva Incluído",BI105,BD105)</f>
        <v>107</v>
      </c>
      <c r="CA105" s="305">
        <f>IF(COT_PRECALCULOS!$D$24="Precios Iva Incluído",BJ105,BE105)</f>
        <v>107</v>
      </c>
      <c r="CB105" s="305">
        <f>IF(COT_PRECALCULOS!$D$24="Precios Iva Incluído",BK105,BF105)</f>
        <v>107</v>
      </c>
      <c r="CC105" s="305">
        <f>IF(COT_PRECALCULOS!$D$24="Precios Iva Incluído",BL105,BG105)</f>
        <v>107</v>
      </c>
      <c r="CD105" s="305">
        <f>IF(COT_PRECALCULOS!$D$24="Precios Iva Incluído",BM105,BH105)</f>
        <v>107</v>
      </c>
      <c r="CE105" s="305">
        <f>IF(COT_PRECALCULOS!$D$24="Precios Iva Incluído",BT105,BN105)</f>
        <v>52428288</v>
      </c>
      <c r="CF105" s="305">
        <f>IF(COT_PRECALCULOS!$D$24="Precios Iva Incluído",BU105,BO105)</f>
        <v>0</v>
      </c>
      <c r="CG105" s="305">
        <f>IF(COT_PRECALCULOS!$D$24="Precios Iva Incluído",BV105,BP105)</f>
        <v>0</v>
      </c>
      <c r="CH105" s="305">
        <f>IF(COT_PRECALCULOS!$D$24="Precios Iva Incluído",BW105,BQ105)</f>
        <v>0</v>
      </c>
      <c r="CI105" s="305">
        <f>IF(COT_PRECALCULOS!$D$24="Precios Iva Incluído",BX105,BR105)</f>
        <v>0</v>
      </c>
    </row>
    <row r="106" spans="1:87" s="237" customFormat="1">
      <c r="A106" s="182" t="s">
        <v>101</v>
      </c>
      <c r="B106" s="182" t="s">
        <v>98</v>
      </c>
      <c r="C106" s="189" t="str">
        <f t="shared" si="103"/>
        <v>F_PE12</v>
      </c>
      <c r="D106" s="189" t="str">
        <f t="shared" si="104"/>
        <v>17_P_</v>
      </c>
      <c r="E106" s="211" t="s">
        <v>1</v>
      </c>
      <c r="F106" s="211" t="s">
        <v>1</v>
      </c>
      <c r="G106" s="189" t="s">
        <v>25</v>
      </c>
      <c r="H106" s="211"/>
      <c r="I106" s="211" t="s">
        <v>52</v>
      </c>
      <c r="J106" s="211">
        <v>17</v>
      </c>
      <c r="K106" s="211" t="s">
        <v>53</v>
      </c>
      <c r="L106" s="189" t="s">
        <v>9</v>
      </c>
      <c r="M106" s="386">
        <v>0</v>
      </c>
      <c r="N106" s="211">
        <v>100</v>
      </c>
      <c r="O106" s="211">
        <v>100</v>
      </c>
      <c r="P106" s="211">
        <v>100</v>
      </c>
      <c r="Q106" s="211">
        <v>100</v>
      </c>
      <c r="R106" s="211" t="s">
        <v>73</v>
      </c>
      <c r="S106" s="183">
        <f>COUNTIF(CAL_PRIMERA_ENTREGA_FRUTA,CONCATENATE(G106,"_",J106))</f>
        <v>3</v>
      </c>
      <c r="T106" s="386">
        <v>0</v>
      </c>
      <c r="U106" s="385">
        <f t="shared" ref="U106:X107" si="158">$S106</f>
        <v>3</v>
      </c>
      <c r="V106" s="385">
        <f t="shared" si="158"/>
        <v>3</v>
      </c>
      <c r="W106" s="385">
        <f t="shared" si="158"/>
        <v>3</v>
      </c>
      <c r="X106" s="385">
        <f t="shared" si="158"/>
        <v>3</v>
      </c>
      <c r="Y106" s="184">
        <f t="shared" si="115"/>
        <v>0</v>
      </c>
      <c r="Z106" s="184">
        <f>IF(N106&lt;&gt;0,VLOOKUP(A106,FRE_CANTIDADES_DIARIAS_SUMINISTROS,5,FALSE),0)</f>
        <v>217917</v>
      </c>
      <c r="AA106" s="184">
        <f>IF(O106&lt;&gt;0,VLOOKUP(A106,FRE_CANTIDADES_DIARIAS_SUMINISTROS,6,FALSE),0)</f>
        <v>233081</v>
      </c>
      <c r="AB106" s="184">
        <f>IF(P106&lt;&gt;0,VLOOKUP(A106,FRE_CANTIDADES_DIARIAS_SUMINISTROS,7,FALSE),0)</f>
        <v>7582</v>
      </c>
      <c r="AC106" s="184">
        <f>IF(Q106&lt;&gt;0,VLOOKUP(A106,FRE_CANTIDADES_DIARIAS_SUMINISTROS,8,FALSE),0)</f>
        <v>7530</v>
      </c>
      <c r="AD106" s="184">
        <f t="shared" si="116"/>
        <v>466110</v>
      </c>
      <c r="AE106" s="183">
        <f t="shared" si="140"/>
        <v>0</v>
      </c>
      <c r="AF106" s="385">
        <f t="shared" si="141"/>
        <v>0</v>
      </c>
      <c r="AG106" s="385">
        <f t="shared" si="141"/>
        <v>0</v>
      </c>
      <c r="AH106" s="385">
        <f t="shared" si="141"/>
        <v>0</v>
      </c>
      <c r="AI106" s="185">
        <f t="shared" si="117"/>
        <v>0</v>
      </c>
      <c r="AJ106" s="185">
        <f t="shared" si="118"/>
        <v>0</v>
      </c>
      <c r="AK106" s="185">
        <f t="shared" si="119"/>
        <v>0</v>
      </c>
      <c r="AL106" s="185">
        <f t="shared" si="120"/>
        <v>0</v>
      </c>
      <c r="AM106" s="173">
        <v>0</v>
      </c>
      <c r="AN106" s="173">
        <f t="shared" si="144"/>
        <v>653751</v>
      </c>
      <c r="AO106" s="173">
        <f t="shared" si="145"/>
        <v>699243</v>
      </c>
      <c r="AP106" s="173">
        <f t="shared" si="105"/>
        <v>22746</v>
      </c>
      <c r="AQ106" s="173">
        <f t="shared" si="106"/>
        <v>22590</v>
      </c>
      <c r="AR106" s="173">
        <f t="shared" si="107"/>
        <v>1398330</v>
      </c>
      <c r="AS106" s="186" t="s">
        <v>1348</v>
      </c>
      <c r="AT106" s="300">
        <f t="shared" si="157"/>
        <v>2.11</v>
      </c>
      <c r="AU106" s="300">
        <f t="shared" si="157"/>
        <v>2.11</v>
      </c>
      <c r="AV106" s="300">
        <f t="shared" si="157"/>
        <v>2.11</v>
      </c>
      <c r="AW106" s="300">
        <f t="shared" si="157"/>
        <v>2.11</v>
      </c>
      <c r="AX106" s="300">
        <f t="shared" si="157"/>
        <v>2.11</v>
      </c>
      <c r="AY106" s="301">
        <f t="shared" si="156"/>
        <v>2.11</v>
      </c>
      <c r="AZ106" s="301">
        <f t="shared" si="156"/>
        <v>2.11</v>
      </c>
      <c r="BA106" s="301">
        <f t="shared" si="156"/>
        <v>2.11</v>
      </c>
      <c r="BB106" s="301">
        <f t="shared" si="156"/>
        <v>2.11</v>
      </c>
      <c r="BC106" s="301">
        <f t="shared" si="156"/>
        <v>2.11</v>
      </c>
      <c r="BD106" s="187"/>
      <c r="BE106" s="187">
        <f t="shared" si="147"/>
        <v>226</v>
      </c>
      <c r="BF106" s="187">
        <f t="shared" si="148"/>
        <v>226</v>
      </c>
      <c r="BG106" s="187">
        <f t="shared" si="121"/>
        <v>226</v>
      </c>
      <c r="BH106" s="187">
        <f t="shared" si="122"/>
        <v>226</v>
      </c>
      <c r="BI106" s="187"/>
      <c r="BJ106" s="187">
        <f t="shared" si="126"/>
        <v>226</v>
      </c>
      <c r="BK106" s="187">
        <f t="shared" si="127"/>
        <v>226</v>
      </c>
      <c r="BL106" s="187">
        <f t="shared" si="123"/>
        <v>226</v>
      </c>
      <c r="BM106" s="187">
        <f t="shared" si="124"/>
        <v>226</v>
      </c>
      <c r="BN106" s="188"/>
      <c r="BO106" s="188">
        <f t="shared" si="128"/>
        <v>147747726</v>
      </c>
      <c r="BP106" s="188">
        <f t="shared" si="129"/>
        <v>158028918</v>
      </c>
      <c r="BQ106" s="188">
        <f t="shared" si="130"/>
        <v>5140596</v>
      </c>
      <c r="BR106" s="188">
        <f t="shared" si="131"/>
        <v>5105340</v>
      </c>
      <c r="BS106" s="188">
        <f t="shared" si="108"/>
        <v>316022580</v>
      </c>
      <c r="BT106" s="188">
        <f t="shared" si="109"/>
        <v>0</v>
      </c>
      <c r="BU106" s="188">
        <f t="shared" si="110"/>
        <v>147747726</v>
      </c>
      <c r="BV106" s="188">
        <f t="shared" si="111"/>
        <v>158028918</v>
      </c>
      <c r="BW106" s="188">
        <f t="shared" si="112"/>
        <v>5140596</v>
      </c>
      <c r="BX106" s="188">
        <f t="shared" si="113"/>
        <v>5105340</v>
      </c>
      <c r="BY106" s="188">
        <f t="shared" si="114"/>
        <v>316022580</v>
      </c>
      <c r="BZ106" s="305">
        <f>IF(COT_PRECALCULOS!$D$24="Precios Iva Incluído",BI106,BD106)</f>
        <v>0</v>
      </c>
      <c r="CA106" s="305">
        <f>IF(COT_PRECALCULOS!$D$24="Precios Iva Incluído",BJ106,BE106)</f>
        <v>226</v>
      </c>
      <c r="CB106" s="305">
        <f>IF(COT_PRECALCULOS!$D$24="Precios Iva Incluído",BK106,BF106)</f>
        <v>226</v>
      </c>
      <c r="CC106" s="305">
        <f>IF(COT_PRECALCULOS!$D$24="Precios Iva Incluído",BL106,BG106)</f>
        <v>226</v>
      </c>
      <c r="CD106" s="305">
        <f>IF(COT_PRECALCULOS!$D$24="Precios Iva Incluído",BM106,BH106)</f>
        <v>226</v>
      </c>
      <c r="CE106" s="305">
        <f>IF(COT_PRECALCULOS!$D$24="Precios Iva Incluído",BT106,BN106)</f>
        <v>0</v>
      </c>
      <c r="CF106" s="305">
        <f>IF(COT_PRECALCULOS!$D$24="Precios Iva Incluído",BU106,BO106)</f>
        <v>147747726</v>
      </c>
      <c r="CG106" s="305">
        <f>IF(COT_PRECALCULOS!$D$24="Precios Iva Incluído",BV106,BP106)</f>
        <v>158028918</v>
      </c>
      <c r="CH106" s="305">
        <f>IF(COT_PRECALCULOS!$D$24="Precios Iva Incluído",BW106,BQ106)</f>
        <v>5140596</v>
      </c>
      <c r="CI106" s="305">
        <f>IF(COT_PRECALCULOS!$D$24="Precios Iva Incluído",BX106,BR106)</f>
        <v>5105340</v>
      </c>
    </row>
    <row r="107" spans="1:87" s="237" customFormat="1">
      <c r="A107" s="182" t="s">
        <v>101</v>
      </c>
      <c r="B107" s="182" t="s">
        <v>98</v>
      </c>
      <c r="C107" s="189" t="str">
        <f t="shared" si="103"/>
        <v>F_PE12</v>
      </c>
      <c r="D107" s="189" t="str">
        <f t="shared" si="104"/>
        <v>22_P_</v>
      </c>
      <c r="E107" s="211" t="s">
        <v>1</v>
      </c>
      <c r="F107" s="211" t="s">
        <v>1</v>
      </c>
      <c r="G107" s="189" t="s">
        <v>25</v>
      </c>
      <c r="H107" s="211"/>
      <c r="I107" s="211" t="s">
        <v>50</v>
      </c>
      <c r="J107" s="211">
        <v>22</v>
      </c>
      <c r="K107" s="211" t="s">
        <v>51</v>
      </c>
      <c r="L107" s="189" t="s">
        <v>9</v>
      </c>
      <c r="M107" s="386">
        <v>0</v>
      </c>
      <c r="N107" s="211">
        <v>100</v>
      </c>
      <c r="O107" s="211">
        <v>100</v>
      </c>
      <c r="P107" s="211">
        <v>100</v>
      </c>
      <c r="Q107" s="211">
        <v>100</v>
      </c>
      <c r="R107" s="211" t="s">
        <v>73</v>
      </c>
      <c r="S107" s="183">
        <f>COUNTIF(CAL_PRIMERA_ENTREGA_FRUTA,CONCATENATE(G107,"_",J107))</f>
        <v>3</v>
      </c>
      <c r="T107" s="386">
        <v>0</v>
      </c>
      <c r="U107" s="385">
        <f t="shared" si="158"/>
        <v>3</v>
      </c>
      <c r="V107" s="385">
        <f t="shared" si="158"/>
        <v>3</v>
      </c>
      <c r="W107" s="385">
        <f t="shared" si="158"/>
        <v>3</v>
      </c>
      <c r="X107" s="385">
        <f t="shared" si="158"/>
        <v>3</v>
      </c>
      <c r="Y107" s="184">
        <f t="shared" si="115"/>
        <v>0</v>
      </c>
      <c r="Z107" s="184">
        <f>IF(N107&lt;&gt;0,VLOOKUP(A107,FRE_CANTIDADES_DIARIAS_SUMINISTROS,5,FALSE),0)</f>
        <v>217917</v>
      </c>
      <c r="AA107" s="184">
        <f>IF(O107&lt;&gt;0,VLOOKUP(A107,FRE_CANTIDADES_DIARIAS_SUMINISTROS,6,FALSE),0)</f>
        <v>233081</v>
      </c>
      <c r="AB107" s="184">
        <f>IF(P107&lt;&gt;0,VLOOKUP(A107,FRE_CANTIDADES_DIARIAS_SUMINISTROS,7,FALSE),0)</f>
        <v>7582</v>
      </c>
      <c r="AC107" s="184">
        <f>IF(Q107&lt;&gt;0,VLOOKUP(A107,FRE_CANTIDADES_DIARIAS_SUMINISTROS,8,FALSE),0)</f>
        <v>7530</v>
      </c>
      <c r="AD107" s="184">
        <f t="shared" si="116"/>
        <v>466110</v>
      </c>
      <c r="AE107" s="183">
        <f t="shared" si="140"/>
        <v>0</v>
      </c>
      <c r="AF107" s="385">
        <f t="shared" si="141"/>
        <v>0</v>
      </c>
      <c r="AG107" s="385">
        <f t="shared" si="141"/>
        <v>0</v>
      </c>
      <c r="AH107" s="385">
        <f t="shared" si="141"/>
        <v>0</v>
      </c>
      <c r="AI107" s="185">
        <f t="shared" si="117"/>
        <v>0</v>
      </c>
      <c r="AJ107" s="185">
        <f t="shared" si="118"/>
        <v>0</v>
      </c>
      <c r="AK107" s="185">
        <f t="shared" si="119"/>
        <v>0</v>
      </c>
      <c r="AL107" s="185">
        <f t="shared" si="120"/>
        <v>0</v>
      </c>
      <c r="AM107" s="173">
        <v>0</v>
      </c>
      <c r="AN107" s="173">
        <f t="shared" si="144"/>
        <v>653751</v>
      </c>
      <c r="AO107" s="173">
        <f t="shared" si="145"/>
        <v>699243</v>
      </c>
      <c r="AP107" s="173">
        <f t="shared" si="105"/>
        <v>22746</v>
      </c>
      <c r="AQ107" s="173">
        <f t="shared" si="106"/>
        <v>22590</v>
      </c>
      <c r="AR107" s="173">
        <f t="shared" si="107"/>
        <v>1398330</v>
      </c>
      <c r="AS107" s="186" t="s">
        <v>1348</v>
      </c>
      <c r="AT107" s="300">
        <f t="shared" si="157"/>
        <v>4.9124999999999996</v>
      </c>
      <c r="AU107" s="300">
        <f t="shared" si="157"/>
        <v>4.9124999999999996</v>
      </c>
      <c r="AV107" s="300">
        <f t="shared" si="157"/>
        <v>4.9124999999999996</v>
      </c>
      <c r="AW107" s="300">
        <f t="shared" si="157"/>
        <v>4.9124999999999996</v>
      </c>
      <c r="AX107" s="300">
        <f t="shared" si="157"/>
        <v>4.9124999999999996</v>
      </c>
      <c r="AY107" s="301">
        <f t="shared" si="156"/>
        <v>4.9124999999999996</v>
      </c>
      <c r="AZ107" s="301">
        <f t="shared" si="156"/>
        <v>4.9124999999999996</v>
      </c>
      <c r="BA107" s="301">
        <f t="shared" si="156"/>
        <v>4.9124999999999996</v>
      </c>
      <c r="BB107" s="301">
        <f t="shared" si="156"/>
        <v>4.9124999999999996</v>
      </c>
      <c r="BC107" s="301">
        <f t="shared" si="156"/>
        <v>4.9124999999999996</v>
      </c>
      <c r="BD107" s="187"/>
      <c r="BE107" s="187">
        <f t="shared" si="147"/>
        <v>525</v>
      </c>
      <c r="BF107" s="187">
        <f t="shared" si="148"/>
        <v>525</v>
      </c>
      <c r="BG107" s="187">
        <f t="shared" si="121"/>
        <v>525</v>
      </c>
      <c r="BH107" s="187">
        <f t="shared" si="122"/>
        <v>525</v>
      </c>
      <c r="BI107" s="187"/>
      <c r="BJ107" s="187">
        <f t="shared" si="126"/>
        <v>525</v>
      </c>
      <c r="BK107" s="187">
        <f t="shared" si="127"/>
        <v>525</v>
      </c>
      <c r="BL107" s="187">
        <f t="shared" si="123"/>
        <v>525</v>
      </c>
      <c r="BM107" s="187">
        <f t="shared" si="124"/>
        <v>525</v>
      </c>
      <c r="BN107" s="188"/>
      <c r="BO107" s="188">
        <f t="shared" si="128"/>
        <v>343219275</v>
      </c>
      <c r="BP107" s="188">
        <f t="shared" si="129"/>
        <v>367102575</v>
      </c>
      <c r="BQ107" s="188">
        <f t="shared" si="130"/>
        <v>11941650</v>
      </c>
      <c r="BR107" s="188">
        <f t="shared" si="131"/>
        <v>11859750</v>
      </c>
      <c r="BS107" s="188">
        <f t="shared" si="108"/>
        <v>734123250</v>
      </c>
      <c r="BT107" s="188">
        <f t="shared" si="109"/>
        <v>0</v>
      </c>
      <c r="BU107" s="188">
        <f t="shared" si="110"/>
        <v>343219275</v>
      </c>
      <c r="BV107" s="188">
        <f t="shared" si="111"/>
        <v>367102575</v>
      </c>
      <c r="BW107" s="188">
        <f t="shared" si="112"/>
        <v>11941650</v>
      </c>
      <c r="BX107" s="188">
        <f t="shared" si="113"/>
        <v>11859750</v>
      </c>
      <c r="BY107" s="188">
        <f t="shared" si="114"/>
        <v>734123250</v>
      </c>
      <c r="BZ107" s="305">
        <f>IF(COT_PRECALCULOS!$D$24="Precios Iva Incluído",BI107,BD107)</f>
        <v>0</v>
      </c>
      <c r="CA107" s="305">
        <f>IF(COT_PRECALCULOS!$D$24="Precios Iva Incluído",BJ107,BE107)</f>
        <v>525</v>
      </c>
      <c r="CB107" s="305">
        <f>IF(COT_PRECALCULOS!$D$24="Precios Iva Incluído",BK107,BF107)</f>
        <v>525</v>
      </c>
      <c r="CC107" s="305">
        <f>IF(COT_PRECALCULOS!$D$24="Precios Iva Incluído",BL107,BG107)</f>
        <v>525</v>
      </c>
      <c r="CD107" s="305">
        <f>IF(COT_PRECALCULOS!$D$24="Precios Iva Incluído",BM107,BH107)</f>
        <v>525</v>
      </c>
      <c r="CE107" s="305">
        <f>IF(COT_PRECALCULOS!$D$24="Precios Iva Incluído",BT107,BN107)</f>
        <v>0</v>
      </c>
      <c r="CF107" s="305">
        <f>IF(COT_PRECALCULOS!$D$24="Precios Iva Incluído",BU107,BO107)</f>
        <v>343219275</v>
      </c>
      <c r="CG107" s="305">
        <f>IF(COT_PRECALCULOS!$D$24="Precios Iva Incluído",BV107,BP107)</f>
        <v>367102575</v>
      </c>
      <c r="CH107" s="305">
        <f>IF(COT_PRECALCULOS!$D$24="Precios Iva Incluído",BW107,BQ107)</f>
        <v>11941650</v>
      </c>
      <c r="CI107" s="305">
        <f>IF(COT_PRECALCULOS!$D$24="Precios Iva Incluído",BX107,BR107)</f>
        <v>11859750</v>
      </c>
    </row>
    <row r="108" spans="1:87" s="237" customFormat="1">
      <c r="A108" s="182" t="s">
        <v>101</v>
      </c>
      <c r="B108" s="182" t="s">
        <v>98</v>
      </c>
      <c r="C108" s="189" t="str">
        <f t="shared" si="103"/>
        <v>F_PE12</v>
      </c>
      <c r="D108" s="189" t="str">
        <f t="shared" si="104"/>
        <v>33_P_</v>
      </c>
      <c r="E108" s="211" t="s">
        <v>1</v>
      </c>
      <c r="F108" s="211" t="s">
        <v>1</v>
      </c>
      <c r="G108" s="189" t="s">
        <v>25</v>
      </c>
      <c r="H108" s="211"/>
      <c r="I108" s="211" t="s">
        <v>58</v>
      </c>
      <c r="J108" s="211">
        <v>33</v>
      </c>
      <c r="K108" s="211" t="s">
        <v>59</v>
      </c>
      <c r="L108" s="189" t="s">
        <v>48</v>
      </c>
      <c r="M108" s="310">
        <v>90</v>
      </c>
      <c r="N108" s="310">
        <v>90</v>
      </c>
      <c r="O108" s="310">
        <v>90</v>
      </c>
      <c r="P108" s="310">
        <v>90</v>
      </c>
      <c r="Q108" s="310">
        <v>90</v>
      </c>
      <c r="R108" s="211"/>
      <c r="S108" s="388">
        <v>3</v>
      </c>
      <c r="T108" s="388">
        <f>$S108</f>
        <v>3</v>
      </c>
      <c r="U108" s="388">
        <v>0</v>
      </c>
      <c r="V108" s="388">
        <v>0</v>
      </c>
      <c r="W108" s="388">
        <v>0</v>
      </c>
      <c r="X108" s="388">
        <v>0</v>
      </c>
      <c r="Y108" s="184">
        <f t="shared" si="115"/>
        <v>163328</v>
      </c>
      <c r="Z108" s="184">
        <v>0</v>
      </c>
      <c r="AA108" s="184">
        <v>0</v>
      </c>
      <c r="AB108" s="184">
        <v>0</v>
      </c>
      <c r="AC108" s="184">
        <v>0</v>
      </c>
      <c r="AD108" s="184">
        <f t="shared" si="116"/>
        <v>163328</v>
      </c>
      <c r="AE108" s="183">
        <f t="shared" si="140"/>
        <v>0</v>
      </c>
      <c r="AF108" s="385">
        <f t="shared" ref="AF108:AH127" si="159">$AE108</f>
        <v>0</v>
      </c>
      <c r="AG108" s="385">
        <f t="shared" si="159"/>
        <v>0</v>
      </c>
      <c r="AH108" s="385">
        <f t="shared" si="159"/>
        <v>0</v>
      </c>
      <c r="AI108" s="185">
        <f t="shared" si="117"/>
        <v>0</v>
      </c>
      <c r="AJ108" s="185">
        <f t="shared" si="118"/>
        <v>0</v>
      </c>
      <c r="AK108" s="185">
        <f t="shared" si="119"/>
        <v>0</v>
      </c>
      <c r="AL108" s="185">
        <f t="shared" si="120"/>
        <v>0</v>
      </c>
      <c r="AM108" s="173">
        <f t="shared" ref="AM108:AM114" si="160">($S108*Y108)+($AE108*AI108)</f>
        <v>489984</v>
      </c>
      <c r="AN108" s="173">
        <f t="shared" si="144"/>
        <v>0</v>
      </c>
      <c r="AO108" s="173">
        <f t="shared" si="145"/>
        <v>0</v>
      </c>
      <c r="AP108" s="173">
        <f t="shared" si="105"/>
        <v>0</v>
      </c>
      <c r="AQ108" s="173">
        <f t="shared" si="106"/>
        <v>0</v>
      </c>
      <c r="AR108" s="173">
        <f t="shared" si="107"/>
        <v>489984</v>
      </c>
      <c r="AS108" s="186" t="s">
        <v>1348</v>
      </c>
      <c r="AT108" s="300">
        <f t="shared" si="157"/>
        <v>2.8014999999999999</v>
      </c>
      <c r="AU108" s="300">
        <f t="shared" si="157"/>
        <v>2.8014999999999999</v>
      </c>
      <c r="AV108" s="300">
        <f t="shared" si="157"/>
        <v>2.8014999999999999</v>
      </c>
      <c r="AW108" s="300">
        <f t="shared" si="157"/>
        <v>2.8014999999999999</v>
      </c>
      <c r="AX108" s="300">
        <f t="shared" si="157"/>
        <v>2.8014999999999999</v>
      </c>
      <c r="AY108" s="301">
        <f t="shared" ref="AY108:BC117" si="161">IF(ISERROR(MATCH(CONCATENATE($J108,"_",AY$1),COT_PRE_CODIGO_ALIMENTOS,0)),IF(ISERROR(MATCH(CONCATENATE($J108,"_",AY$2),COT_PRE_CODIGO_ALIMENTOS,0)),IF(ISERROR(MATCH(CONCATENATE($J108,"_",AY$3),COT_PRE_CODIGO_ALIMENTOS,0)),IF(ISERROR(MATCH(CONCATENATE($J108,"_",AY$4),COT_PRE_CODIGO_ALIMENTOS,0)),IF(ISERROR(MATCH(CONCATENATE($J108,"_",AY$5),COT_PRE_CODIGO_ALIMENTOS,0)),IF(ISERROR(MATCH(CONCATENATE($J108,"_",AY$6),COT_PRE_CODIGO_ALIMENTOS,0)),IF(ISERROR(MATCH(CONCATENATE($J108,"_",AY$7),COT_PRE_CODIGO_ALIMENTOS,0)),IF(ISERROR(VLOOKUP($J108,COT_PRE_ALIMENTOS,AY$8,FALSE)),"DATO NO DISPONIBLE",VLOOKUP($J108,COT_PRE_ALIMENTOS,AY$8,FALSE)),VLOOKUP(CONCATENATE($J108,"_",AY$7),COT_PRE_ALIMENTOS,AY$8,FALSE)),VLOOKUP(CONCATENATE($J108,"_",AY$6),COT_PRE_ALIMENTOS,AY$8,FALSE)),VLOOKUP(CONCATENATE($J108,"_",AY$5),COT_PRE_ALIMENTOS,AY$8,FALSE)),VLOOKUP(CONCATENATE($J108,"_",AY$4),COT_PRE_ALIMENTOS,AY$8,FALSE)),VLOOKUP(CONCATENATE($J108,"_",AY$3),COT_PRE_ALIMENTOS,AY$8,FALSE)),VLOOKUP(CONCATENATE($J108,"_",AY$2),COT_PRE_ALIMENTOS,AY$8,FALSE)),VLOOKUP(CONCATENATE($J108,"_",AY$1),COT_PRE_ALIMENTOS,AY$8,FALSE))</f>
        <v>2.8014999999999999</v>
      </c>
      <c r="AZ108" s="301">
        <f t="shared" si="161"/>
        <v>2.8014999999999999</v>
      </c>
      <c r="BA108" s="301">
        <f t="shared" si="161"/>
        <v>2.8014999999999999</v>
      </c>
      <c r="BB108" s="301">
        <f t="shared" si="161"/>
        <v>2.8014999999999999</v>
      </c>
      <c r="BC108" s="301">
        <f t="shared" si="161"/>
        <v>2.8014999999999999</v>
      </c>
      <c r="BD108" s="187">
        <f>ROUND(IF(OR(M108=0,AT108="DATO NO DISPONIBLE"),"",AT108*M108*($BD$7+1)),0)</f>
        <v>270</v>
      </c>
      <c r="BE108" s="187">
        <f t="shared" si="147"/>
        <v>270</v>
      </c>
      <c r="BF108" s="187">
        <f t="shared" si="148"/>
        <v>270</v>
      </c>
      <c r="BG108" s="187">
        <f t="shared" si="121"/>
        <v>270</v>
      </c>
      <c r="BH108" s="187">
        <f t="shared" si="122"/>
        <v>270</v>
      </c>
      <c r="BI108" s="187">
        <f>ROUND(IF(OR(M108=0,AY108="DATO NO DISPONIBLE"),0,AY108*M108*($BD$7+1)),0)</f>
        <v>270</v>
      </c>
      <c r="BJ108" s="187">
        <f t="shared" si="126"/>
        <v>270</v>
      </c>
      <c r="BK108" s="187">
        <f t="shared" si="127"/>
        <v>270</v>
      </c>
      <c r="BL108" s="187">
        <f t="shared" si="123"/>
        <v>270</v>
      </c>
      <c r="BM108" s="187">
        <f t="shared" si="124"/>
        <v>270</v>
      </c>
      <c r="BN108" s="188">
        <f>BD108*AM108</f>
        <v>132295680</v>
      </c>
      <c r="BO108" s="188">
        <f t="shared" si="128"/>
        <v>0</v>
      </c>
      <c r="BP108" s="188">
        <f t="shared" si="129"/>
        <v>0</v>
      </c>
      <c r="BQ108" s="188">
        <f t="shared" si="130"/>
        <v>0</v>
      </c>
      <c r="BR108" s="188">
        <f t="shared" si="131"/>
        <v>0</v>
      </c>
      <c r="BS108" s="188">
        <f t="shared" si="108"/>
        <v>132295680</v>
      </c>
      <c r="BT108" s="188">
        <f t="shared" si="109"/>
        <v>132295680</v>
      </c>
      <c r="BU108" s="188">
        <f t="shared" si="110"/>
        <v>0</v>
      </c>
      <c r="BV108" s="188">
        <f t="shared" si="111"/>
        <v>0</v>
      </c>
      <c r="BW108" s="188">
        <f t="shared" si="112"/>
        <v>0</v>
      </c>
      <c r="BX108" s="188">
        <f t="shared" si="113"/>
        <v>0</v>
      </c>
      <c r="BY108" s="188">
        <f t="shared" si="114"/>
        <v>132295680</v>
      </c>
      <c r="BZ108" s="305">
        <f>IF(COT_PRECALCULOS!$D$24="Precios Iva Incluído",BI108,BD108)</f>
        <v>270</v>
      </c>
      <c r="CA108" s="305">
        <f>IF(COT_PRECALCULOS!$D$24="Precios Iva Incluído",BJ108,BE108)</f>
        <v>270</v>
      </c>
      <c r="CB108" s="305">
        <f>IF(COT_PRECALCULOS!$D$24="Precios Iva Incluído",BK108,BF108)</f>
        <v>270</v>
      </c>
      <c r="CC108" s="305">
        <f>IF(COT_PRECALCULOS!$D$24="Precios Iva Incluído",BL108,BG108)</f>
        <v>270</v>
      </c>
      <c r="CD108" s="305">
        <f>IF(COT_PRECALCULOS!$D$24="Precios Iva Incluído",BM108,BH108)</f>
        <v>270</v>
      </c>
      <c r="CE108" s="305">
        <f>IF(COT_PRECALCULOS!$D$24="Precios Iva Incluído",BT108,BN108)</f>
        <v>132295680</v>
      </c>
      <c r="CF108" s="305">
        <f>IF(COT_PRECALCULOS!$D$24="Precios Iva Incluído",BU108,BO108)</f>
        <v>0</v>
      </c>
      <c r="CG108" s="305">
        <f>IF(COT_PRECALCULOS!$D$24="Precios Iva Incluído",BV108,BP108)</f>
        <v>0</v>
      </c>
      <c r="CH108" s="305">
        <f>IF(COT_PRECALCULOS!$D$24="Precios Iva Incluído",BW108,BQ108)</f>
        <v>0</v>
      </c>
      <c r="CI108" s="305">
        <f>IF(COT_PRECALCULOS!$D$24="Precios Iva Incluído",BX108,BR108)</f>
        <v>0</v>
      </c>
    </row>
    <row r="109" spans="1:87" s="237" customFormat="1">
      <c r="A109" s="182" t="s">
        <v>101</v>
      </c>
      <c r="B109" s="182" t="s">
        <v>98</v>
      </c>
      <c r="C109" s="189" t="str">
        <f t="shared" si="103"/>
        <v>F_PE12</v>
      </c>
      <c r="D109" s="189" t="str">
        <f t="shared" si="104"/>
        <v>42_P_</v>
      </c>
      <c r="E109" s="211" t="s">
        <v>1</v>
      </c>
      <c r="F109" s="211" t="s">
        <v>1</v>
      </c>
      <c r="G109" s="189" t="s">
        <v>25</v>
      </c>
      <c r="H109" s="211"/>
      <c r="I109" s="211" t="s">
        <v>49</v>
      </c>
      <c r="J109" s="211">
        <v>42</v>
      </c>
      <c r="K109" s="211" t="s">
        <v>61</v>
      </c>
      <c r="L109" s="189" t="s">
        <v>9</v>
      </c>
      <c r="M109" s="211">
        <v>100</v>
      </c>
      <c r="N109" s="211">
        <v>100</v>
      </c>
      <c r="O109" s="211">
        <v>100</v>
      </c>
      <c r="P109" s="211">
        <v>100</v>
      </c>
      <c r="Q109" s="211">
        <v>100</v>
      </c>
      <c r="R109" s="211"/>
      <c r="S109" s="183">
        <f>COUNTIF(CAL_PRIMERA_ENTREGA_FRUTA,CONCATENATE(G109,"_",J109))</f>
        <v>1</v>
      </c>
      <c r="T109" s="385">
        <f>$S109</f>
        <v>1</v>
      </c>
      <c r="U109" s="385">
        <f t="shared" ref="U109:X113" si="162">$S109</f>
        <v>1</v>
      </c>
      <c r="V109" s="385">
        <f t="shared" si="162"/>
        <v>1</v>
      </c>
      <c r="W109" s="385">
        <f t="shared" si="162"/>
        <v>1</v>
      </c>
      <c r="X109" s="385">
        <f t="shared" si="162"/>
        <v>1</v>
      </c>
      <c r="Y109" s="184">
        <f t="shared" si="115"/>
        <v>163328</v>
      </c>
      <c r="Z109" s="184">
        <f>IF(N109&lt;&gt;0,VLOOKUP(A109,FRE_CANTIDADES_DIARIAS_SUMINISTROS,5,FALSE),0)</f>
        <v>217917</v>
      </c>
      <c r="AA109" s="184">
        <f>IF(O109&lt;&gt;0,VLOOKUP(A109,FRE_CANTIDADES_DIARIAS_SUMINISTROS,6,FALSE),0)</f>
        <v>233081</v>
      </c>
      <c r="AB109" s="184">
        <f>IF(P109&lt;&gt;0,VLOOKUP(A109,FRE_CANTIDADES_DIARIAS_SUMINISTROS,7,FALSE),0)</f>
        <v>7582</v>
      </c>
      <c r="AC109" s="184">
        <f>IF(Q109&lt;&gt;0,VLOOKUP(A109,FRE_CANTIDADES_DIARIAS_SUMINISTROS,8,FALSE),0)</f>
        <v>7530</v>
      </c>
      <c r="AD109" s="184">
        <f t="shared" si="116"/>
        <v>629438</v>
      </c>
      <c r="AE109" s="183">
        <f t="shared" si="140"/>
        <v>0</v>
      </c>
      <c r="AF109" s="385">
        <f t="shared" si="159"/>
        <v>0</v>
      </c>
      <c r="AG109" s="385">
        <f t="shared" si="159"/>
        <v>0</v>
      </c>
      <c r="AH109" s="385">
        <f t="shared" si="159"/>
        <v>0</v>
      </c>
      <c r="AI109" s="185">
        <f t="shared" si="117"/>
        <v>0</v>
      </c>
      <c r="AJ109" s="185">
        <f t="shared" ref="AJ109:AJ140" si="163">IF(OR(B109="NA",N109=0),0,VLOOKUP(B109,FRE_CANTIDADES_DIARIAS_SUMINISTROS,5,FALSE))</f>
        <v>0</v>
      </c>
      <c r="AK109" s="185">
        <f t="shared" ref="AK109:AK140" si="164">IF(OR(B109="NA",O109=0),0,VLOOKUP(B109,FRE_CANTIDADES_DIARIAS_SUMINISTROS,6,FALSE))</f>
        <v>0</v>
      </c>
      <c r="AL109" s="185">
        <f t="shared" si="120"/>
        <v>0</v>
      </c>
      <c r="AM109" s="173">
        <f t="shared" si="160"/>
        <v>163328</v>
      </c>
      <c r="AN109" s="173">
        <f t="shared" si="144"/>
        <v>217917</v>
      </c>
      <c r="AO109" s="173">
        <f t="shared" si="145"/>
        <v>233081</v>
      </c>
      <c r="AP109" s="173">
        <f t="shared" si="105"/>
        <v>7582</v>
      </c>
      <c r="AQ109" s="173">
        <f t="shared" si="106"/>
        <v>7530</v>
      </c>
      <c r="AR109" s="173">
        <f t="shared" si="107"/>
        <v>629438</v>
      </c>
      <c r="AS109" s="186" t="s">
        <v>1348</v>
      </c>
      <c r="AT109" s="300">
        <f t="shared" si="157"/>
        <v>1.8169999999999999</v>
      </c>
      <c r="AU109" s="300">
        <f t="shared" si="157"/>
        <v>1.8169999999999999</v>
      </c>
      <c r="AV109" s="300">
        <f t="shared" si="157"/>
        <v>1.8169999999999999</v>
      </c>
      <c r="AW109" s="300">
        <f t="shared" si="157"/>
        <v>1.8169999999999999</v>
      </c>
      <c r="AX109" s="300">
        <f t="shared" si="157"/>
        <v>1.8169999999999999</v>
      </c>
      <c r="AY109" s="301">
        <f t="shared" si="161"/>
        <v>1.8169999999999999</v>
      </c>
      <c r="AZ109" s="301">
        <f t="shared" si="161"/>
        <v>1.8169999999999999</v>
      </c>
      <c r="BA109" s="301">
        <f t="shared" si="161"/>
        <v>1.8169999999999999</v>
      </c>
      <c r="BB109" s="301">
        <f t="shared" si="161"/>
        <v>1.8169999999999999</v>
      </c>
      <c r="BC109" s="301">
        <f t="shared" si="161"/>
        <v>1.8169999999999999</v>
      </c>
      <c r="BD109" s="187">
        <f>ROUND(IF(OR(M109=0,AT109="DATO NO DISPONIBLE"),"",AT109*M109*($BD$7+1)),0)</f>
        <v>194</v>
      </c>
      <c r="BE109" s="187">
        <f t="shared" si="147"/>
        <v>194</v>
      </c>
      <c r="BF109" s="187">
        <f t="shared" si="148"/>
        <v>194</v>
      </c>
      <c r="BG109" s="187">
        <f t="shared" ref="BG109:BG140" si="165">ROUND(IF(OR(P109=0,AW109="DATO NO DISPONIBLE"),0,AW109*P109*($BD$7+1)),0)</f>
        <v>194</v>
      </c>
      <c r="BH109" s="187">
        <f t="shared" ref="BH109:BH140" si="166">ROUND(IF(OR(Q109=0,AX109="DATO NO DISPONIBLE"),0,AX109*Q109*($BD$7+1)),0)</f>
        <v>194</v>
      </c>
      <c r="BI109" s="187">
        <f>ROUND(IF(OR(M109=0,AY109="DATO NO DISPONIBLE"),0,AY109*M109*($BD$7+1)),0)</f>
        <v>194</v>
      </c>
      <c r="BJ109" s="187">
        <f t="shared" si="126"/>
        <v>194</v>
      </c>
      <c r="BK109" s="187">
        <f t="shared" si="127"/>
        <v>194</v>
      </c>
      <c r="BL109" s="187">
        <f t="shared" ref="BL109:BL140" si="167">ROUND(IF(OR(P109=0,BB109="DATO NO DISPONIBLE"),0,BB109*P109*($BD$7+1)),0)</f>
        <v>194</v>
      </c>
      <c r="BM109" s="187">
        <f t="shared" ref="BM109:BM140" si="168">ROUND(IF(OR(Q109=0,BC109="DATO NO DISPONIBLE"),0,BC109*Q109*($BD$7+1)),0)</f>
        <v>194</v>
      </c>
      <c r="BN109" s="188">
        <f>BD109*AM109</f>
        <v>31685632</v>
      </c>
      <c r="BO109" s="188">
        <f t="shared" si="128"/>
        <v>42275898</v>
      </c>
      <c r="BP109" s="188">
        <f t="shared" si="129"/>
        <v>45217714</v>
      </c>
      <c r="BQ109" s="188">
        <f t="shared" si="130"/>
        <v>1470908</v>
      </c>
      <c r="BR109" s="188">
        <f t="shared" si="131"/>
        <v>1460820</v>
      </c>
      <c r="BS109" s="188">
        <f t="shared" si="108"/>
        <v>122110972</v>
      </c>
      <c r="BT109" s="188">
        <f t="shared" si="109"/>
        <v>31685632</v>
      </c>
      <c r="BU109" s="188">
        <f t="shared" si="110"/>
        <v>42275898</v>
      </c>
      <c r="BV109" s="188">
        <f t="shared" si="111"/>
        <v>45217714</v>
      </c>
      <c r="BW109" s="188">
        <f t="shared" si="112"/>
        <v>1470908</v>
      </c>
      <c r="BX109" s="188">
        <f t="shared" si="113"/>
        <v>1460820</v>
      </c>
      <c r="BY109" s="188">
        <f t="shared" si="114"/>
        <v>122110972</v>
      </c>
      <c r="BZ109" s="305">
        <f>IF(COT_PRECALCULOS!$D$24="Precios Iva Incluído",BI109,BD109)</f>
        <v>194</v>
      </c>
      <c r="CA109" s="305">
        <f>IF(COT_PRECALCULOS!$D$24="Precios Iva Incluído",BJ109,BE109)</f>
        <v>194</v>
      </c>
      <c r="CB109" s="305">
        <f>IF(COT_PRECALCULOS!$D$24="Precios Iva Incluído",BK109,BF109)</f>
        <v>194</v>
      </c>
      <c r="CC109" s="305">
        <f>IF(COT_PRECALCULOS!$D$24="Precios Iva Incluído",BL109,BG109)</f>
        <v>194</v>
      </c>
      <c r="CD109" s="305">
        <f>IF(COT_PRECALCULOS!$D$24="Precios Iva Incluído",BM109,BH109)</f>
        <v>194</v>
      </c>
      <c r="CE109" s="305">
        <f>IF(COT_PRECALCULOS!$D$24="Precios Iva Incluído",BT109,BN109)</f>
        <v>31685632</v>
      </c>
      <c r="CF109" s="305">
        <f>IF(COT_PRECALCULOS!$D$24="Precios Iva Incluído",BU109,BO109)</f>
        <v>42275898</v>
      </c>
      <c r="CG109" s="305">
        <f>IF(COT_PRECALCULOS!$D$24="Precios Iva Incluído",BV109,BP109)</f>
        <v>45217714</v>
      </c>
      <c r="CH109" s="305">
        <f>IF(COT_PRECALCULOS!$D$24="Precios Iva Incluído",BW109,BQ109)</f>
        <v>1470908</v>
      </c>
      <c r="CI109" s="305">
        <f>IF(COT_PRECALCULOS!$D$24="Precios Iva Incluído",BX109,BR109)</f>
        <v>1460820</v>
      </c>
    </row>
    <row r="110" spans="1:87" s="237" customFormat="1">
      <c r="A110" s="182" t="s">
        <v>101</v>
      </c>
      <c r="B110" s="182" t="s">
        <v>98</v>
      </c>
      <c r="C110" s="189" t="str">
        <f t="shared" si="103"/>
        <v>F_PE12</v>
      </c>
      <c r="D110" s="189" t="str">
        <f t="shared" si="104"/>
        <v>43_P_</v>
      </c>
      <c r="E110" s="211" t="s">
        <v>1</v>
      </c>
      <c r="F110" s="211" t="s">
        <v>1</v>
      </c>
      <c r="G110" s="189" t="s">
        <v>25</v>
      </c>
      <c r="H110" s="211"/>
      <c r="I110" s="211" t="s">
        <v>60</v>
      </c>
      <c r="J110" s="211">
        <v>43</v>
      </c>
      <c r="K110" s="211" t="s">
        <v>62</v>
      </c>
      <c r="L110" s="189" t="s">
        <v>9</v>
      </c>
      <c r="M110" s="211">
        <v>100</v>
      </c>
      <c r="N110" s="211">
        <v>100</v>
      </c>
      <c r="O110" s="211">
        <v>100</v>
      </c>
      <c r="P110" s="211">
        <v>100</v>
      </c>
      <c r="Q110" s="211">
        <v>100</v>
      </c>
      <c r="R110" s="211"/>
      <c r="S110" s="385">
        <f>COUNTIF(CAL_PRIMERA_ENTREGA_FRUTA,CONCATENATE(G110,"_",J110))</f>
        <v>2</v>
      </c>
      <c r="T110" s="385">
        <f>$S110</f>
        <v>2</v>
      </c>
      <c r="U110" s="385">
        <f t="shared" si="162"/>
        <v>2</v>
      </c>
      <c r="V110" s="385">
        <f t="shared" si="162"/>
        <v>2</v>
      </c>
      <c r="W110" s="385">
        <f t="shared" si="162"/>
        <v>2</v>
      </c>
      <c r="X110" s="385">
        <f t="shared" si="162"/>
        <v>2</v>
      </c>
      <c r="Y110" s="184">
        <f t="shared" si="115"/>
        <v>163328</v>
      </c>
      <c r="Z110" s="184">
        <f>IF(N110&lt;&gt;0,VLOOKUP(A110,FRE_CANTIDADES_DIARIAS_SUMINISTROS,5,FALSE),0)</f>
        <v>217917</v>
      </c>
      <c r="AA110" s="184">
        <f>IF(O110&lt;&gt;0,VLOOKUP(A110,FRE_CANTIDADES_DIARIAS_SUMINISTROS,6,FALSE),0)</f>
        <v>233081</v>
      </c>
      <c r="AB110" s="184">
        <f>IF(P110&lt;&gt;0,VLOOKUP(A110,FRE_CANTIDADES_DIARIAS_SUMINISTROS,7,FALSE),0)</f>
        <v>7582</v>
      </c>
      <c r="AC110" s="184">
        <f>IF(Q110&lt;&gt;0,VLOOKUP(A110,FRE_CANTIDADES_DIARIAS_SUMINISTROS,8,FALSE),0)</f>
        <v>7530</v>
      </c>
      <c r="AD110" s="184">
        <f t="shared" si="116"/>
        <v>629438</v>
      </c>
      <c r="AE110" s="183">
        <f t="shared" si="140"/>
        <v>0</v>
      </c>
      <c r="AF110" s="385">
        <f t="shared" si="159"/>
        <v>0</v>
      </c>
      <c r="AG110" s="385">
        <f t="shared" si="159"/>
        <v>0</v>
      </c>
      <c r="AH110" s="385">
        <f t="shared" si="159"/>
        <v>0</v>
      </c>
      <c r="AI110" s="185">
        <f t="shared" si="117"/>
        <v>0</v>
      </c>
      <c r="AJ110" s="185">
        <f t="shared" si="163"/>
        <v>0</v>
      </c>
      <c r="AK110" s="185">
        <f t="shared" si="164"/>
        <v>0</v>
      </c>
      <c r="AL110" s="185">
        <f t="shared" si="120"/>
        <v>0</v>
      </c>
      <c r="AM110" s="173">
        <f t="shared" si="160"/>
        <v>326656</v>
      </c>
      <c r="AN110" s="173">
        <f t="shared" si="144"/>
        <v>435834</v>
      </c>
      <c r="AO110" s="173">
        <f t="shared" si="145"/>
        <v>466162</v>
      </c>
      <c r="AP110" s="173">
        <f t="shared" si="105"/>
        <v>15164</v>
      </c>
      <c r="AQ110" s="173">
        <f t="shared" si="106"/>
        <v>15060</v>
      </c>
      <c r="AR110" s="173">
        <f t="shared" si="107"/>
        <v>1258876</v>
      </c>
      <c r="AS110" s="186" t="s">
        <v>1348</v>
      </c>
      <c r="AT110" s="300">
        <f t="shared" si="157"/>
        <v>1.5892500000000001</v>
      </c>
      <c r="AU110" s="300">
        <f t="shared" si="157"/>
        <v>1.5892500000000001</v>
      </c>
      <c r="AV110" s="300">
        <f t="shared" si="157"/>
        <v>1.5892500000000001</v>
      </c>
      <c r="AW110" s="300">
        <f t="shared" si="157"/>
        <v>1.5892500000000001</v>
      </c>
      <c r="AX110" s="300">
        <f t="shared" si="157"/>
        <v>1.5892500000000001</v>
      </c>
      <c r="AY110" s="301">
        <f t="shared" si="161"/>
        <v>1.5892500000000001</v>
      </c>
      <c r="AZ110" s="301">
        <f t="shared" si="161"/>
        <v>1.5892500000000001</v>
      </c>
      <c r="BA110" s="301">
        <f t="shared" si="161"/>
        <v>1.5892500000000001</v>
      </c>
      <c r="BB110" s="301">
        <f t="shared" si="161"/>
        <v>1.5892500000000001</v>
      </c>
      <c r="BC110" s="301">
        <f t="shared" si="161"/>
        <v>1.5892500000000001</v>
      </c>
      <c r="BD110" s="187">
        <f>ROUND(IF(OR(M110=0,AT110="DATO NO DISPONIBLE"),"",AT110*M110*($BD$7+1)),0)</f>
        <v>170</v>
      </c>
      <c r="BE110" s="187">
        <f t="shared" si="147"/>
        <v>170</v>
      </c>
      <c r="BF110" s="187">
        <f t="shared" si="148"/>
        <v>170</v>
      </c>
      <c r="BG110" s="187">
        <f t="shared" si="165"/>
        <v>170</v>
      </c>
      <c r="BH110" s="187">
        <f t="shared" si="166"/>
        <v>170</v>
      </c>
      <c r="BI110" s="187">
        <f>ROUND(IF(OR(M110=0,AY110="DATO NO DISPONIBLE"),0,AY110*M110*($BD$7+1)),0)</f>
        <v>170</v>
      </c>
      <c r="BJ110" s="187">
        <f t="shared" si="126"/>
        <v>170</v>
      </c>
      <c r="BK110" s="187">
        <f t="shared" si="127"/>
        <v>170</v>
      </c>
      <c r="BL110" s="187">
        <f t="shared" si="167"/>
        <v>170</v>
      </c>
      <c r="BM110" s="187">
        <f t="shared" si="168"/>
        <v>170</v>
      </c>
      <c r="BN110" s="188">
        <f>BD110*AM110</f>
        <v>55531520</v>
      </c>
      <c r="BO110" s="188">
        <f t="shared" si="128"/>
        <v>74091780</v>
      </c>
      <c r="BP110" s="188">
        <f t="shared" si="129"/>
        <v>79247540</v>
      </c>
      <c r="BQ110" s="188">
        <f t="shared" si="130"/>
        <v>2577880</v>
      </c>
      <c r="BR110" s="188">
        <f t="shared" si="131"/>
        <v>2560200</v>
      </c>
      <c r="BS110" s="188">
        <f t="shared" si="108"/>
        <v>214008920</v>
      </c>
      <c r="BT110" s="188">
        <f t="shared" si="109"/>
        <v>55531520</v>
      </c>
      <c r="BU110" s="188">
        <f t="shared" si="110"/>
        <v>74091780</v>
      </c>
      <c r="BV110" s="188">
        <f t="shared" si="111"/>
        <v>79247540</v>
      </c>
      <c r="BW110" s="188">
        <f t="shared" si="112"/>
        <v>2577880</v>
      </c>
      <c r="BX110" s="188">
        <f t="shared" si="113"/>
        <v>2560200</v>
      </c>
      <c r="BY110" s="188">
        <f t="shared" si="114"/>
        <v>214008920</v>
      </c>
      <c r="BZ110" s="305">
        <f>IF(COT_PRECALCULOS!$D$24="Precios Iva Incluído",BI110,BD110)</f>
        <v>170</v>
      </c>
      <c r="CA110" s="305">
        <f>IF(COT_PRECALCULOS!$D$24="Precios Iva Incluído",BJ110,BE110)</f>
        <v>170</v>
      </c>
      <c r="CB110" s="305">
        <f>IF(COT_PRECALCULOS!$D$24="Precios Iva Incluído",BK110,BF110)</f>
        <v>170</v>
      </c>
      <c r="CC110" s="305">
        <f>IF(COT_PRECALCULOS!$D$24="Precios Iva Incluído",BL110,BG110)</f>
        <v>170</v>
      </c>
      <c r="CD110" s="305">
        <f>IF(COT_PRECALCULOS!$D$24="Precios Iva Incluído",BM110,BH110)</f>
        <v>170</v>
      </c>
      <c r="CE110" s="305">
        <f>IF(COT_PRECALCULOS!$D$24="Precios Iva Incluído",BT110,BN110)</f>
        <v>55531520</v>
      </c>
      <c r="CF110" s="305">
        <f>IF(COT_PRECALCULOS!$D$24="Precios Iva Incluído",BU110,BO110)</f>
        <v>74091780</v>
      </c>
      <c r="CG110" s="305">
        <f>IF(COT_PRECALCULOS!$D$24="Precios Iva Incluído",BV110,BP110)</f>
        <v>79247540</v>
      </c>
      <c r="CH110" s="305">
        <f>IF(COT_PRECALCULOS!$D$24="Precios Iva Incluído",BW110,BQ110)</f>
        <v>2577880</v>
      </c>
      <c r="CI110" s="305">
        <f>IF(COT_PRECALCULOS!$D$24="Precios Iva Incluído",BX110,BR110)</f>
        <v>2560200</v>
      </c>
    </row>
    <row r="111" spans="1:87" s="237" customFormat="1">
      <c r="A111" s="182" t="s">
        <v>101</v>
      </c>
      <c r="B111" s="182" t="s">
        <v>98</v>
      </c>
      <c r="C111" s="189" t="str">
        <f t="shared" si="103"/>
        <v>F_PE12</v>
      </c>
      <c r="D111" s="189" t="str">
        <f t="shared" si="104"/>
        <v>46_P_</v>
      </c>
      <c r="E111" s="211" t="s">
        <v>1</v>
      </c>
      <c r="F111" s="211" t="s">
        <v>1</v>
      </c>
      <c r="G111" s="189" t="s">
        <v>25</v>
      </c>
      <c r="H111" s="211"/>
      <c r="I111" s="211" t="s">
        <v>63</v>
      </c>
      <c r="J111" s="211">
        <v>46</v>
      </c>
      <c r="K111" s="211" t="s">
        <v>64</v>
      </c>
      <c r="L111" s="189" t="s">
        <v>9</v>
      </c>
      <c r="M111" s="211">
        <v>100</v>
      </c>
      <c r="N111" s="211">
        <v>100</v>
      </c>
      <c r="O111" s="211">
        <v>100</v>
      </c>
      <c r="P111" s="211">
        <v>100</v>
      </c>
      <c r="Q111" s="211">
        <v>100</v>
      </c>
      <c r="R111" s="211"/>
      <c r="S111" s="183">
        <f>COUNTIF(CAL_PRIMERA_ENTREGA_FRUTA,CONCATENATE(G111,"_",J111))</f>
        <v>2</v>
      </c>
      <c r="T111" s="385">
        <f>$S111</f>
        <v>2</v>
      </c>
      <c r="U111" s="385">
        <f t="shared" si="162"/>
        <v>2</v>
      </c>
      <c r="V111" s="385">
        <f t="shared" si="162"/>
        <v>2</v>
      </c>
      <c r="W111" s="385">
        <f t="shared" si="162"/>
        <v>2</v>
      </c>
      <c r="X111" s="385">
        <f t="shared" si="162"/>
        <v>2</v>
      </c>
      <c r="Y111" s="184">
        <f t="shared" si="115"/>
        <v>163328</v>
      </c>
      <c r="Z111" s="184">
        <f>IF(N111&lt;&gt;0,VLOOKUP(A111,FRE_CANTIDADES_DIARIAS_SUMINISTROS,5,FALSE),0)</f>
        <v>217917</v>
      </c>
      <c r="AA111" s="184">
        <f>IF(O111&lt;&gt;0,VLOOKUP(A111,FRE_CANTIDADES_DIARIAS_SUMINISTROS,6,FALSE),0)</f>
        <v>233081</v>
      </c>
      <c r="AB111" s="184">
        <f>IF(P111&lt;&gt;0,VLOOKUP(A111,FRE_CANTIDADES_DIARIAS_SUMINISTROS,7,FALSE),0)</f>
        <v>7582</v>
      </c>
      <c r="AC111" s="184">
        <f>IF(Q111&lt;&gt;0,VLOOKUP(A111,FRE_CANTIDADES_DIARIAS_SUMINISTROS,8,FALSE),0)</f>
        <v>7530</v>
      </c>
      <c r="AD111" s="184">
        <f t="shared" si="116"/>
        <v>629438</v>
      </c>
      <c r="AE111" s="183">
        <f t="shared" si="140"/>
        <v>0</v>
      </c>
      <c r="AF111" s="385">
        <f t="shared" si="159"/>
        <v>0</v>
      </c>
      <c r="AG111" s="385">
        <f t="shared" si="159"/>
        <v>0</v>
      </c>
      <c r="AH111" s="385">
        <f t="shared" si="159"/>
        <v>0</v>
      </c>
      <c r="AI111" s="185">
        <f t="shared" si="117"/>
        <v>0</v>
      </c>
      <c r="AJ111" s="185">
        <f t="shared" si="163"/>
        <v>0</v>
      </c>
      <c r="AK111" s="185">
        <f t="shared" si="164"/>
        <v>0</v>
      </c>
      <c r="AL111" s="185">
        <f t="shared" si="120"/>
        <v>0</v>
      </c>
      <c r="AM111" s="173">
        <f t="shared" si="160"/>
        <v>326656</v>
      </c>
      <c r="AN111" s="173">
        <f t="shared" si="144"/>
        <v>435834</v>
      </c>
      <c r="AO111" s="173">
        <f t="shared" si="145"/>
        <v>466162</v>
      </c>
      <c r="AP111" s="173">
        <f t="shared" si="105"/>
        <v>15164</v>
      </c>
      <c r="AQ111" s="173">
        <f t="shared" si="106"/>
        <v>15060</v>
      </c>
      <c r="AR111" s="173">
        <f t="shared" si="107"/>
        <v>1258876</v>
      </c>
      <c r="AS111" s="186" t="s">
        <v>1348</v>
      </c>
      <c r="AT111" s="300">
        <f t="shared" ref="AT111:AX120" si="169">IF(ISERROR(IF(ISERROR(MATCH(CONCATENATE($J111,"_",AT$1),COT_PRE_CODIGO_ALIMENTOS,0)),IF(ISERROR(MATCH(CONCATENATE($J111,"_",AT$2),COT_PRE_CODIGO_ALIMENTOS,0)),IF(ISERROR(MATCH(CONCATENATE($J111,"_",AT$3),COT_PRE_CODIGO_ALIMENTOS,0)),IF(ISERROR(MATCH(CONCATENATE($J111,"_",AT$4),COT_PRE_CODIGO_ALIMENTOS,0)),IF(ISERROR(MATCH(CONCATENATE($J111,"_",AT$5),COT_PRE_CODIGO_ALIMENTOS,0)),IF(ISERROR(MATCH(CONCATENATE($J111,"_",AT$6),COT_PRE_CODIGO_ALIMENTOS,0)),IF(ISERROR(MATCH(CONCATENATE($J111,"_",AT$7),COT_PRE_CODIGO_ALIMENTOS,0)),IF(ISERROR(VLOOKUP($J111,COT_PRE_ALIMENTOS,AT$8,FALSE)),"DATO NO DISPONIBLE",VLOOKUP($J111,COT_PRE_ALIMENTOS,AT$8,FALSE)),VLOOKUP(CONCATENATE($J111,"_",AT$7),COT_PRE_ALIMENTOS,AT$8,FALSE)),VLOOKUP(CONCATENATE($J111,"_",AT$6),COT_PRE_ALIMENTOS,AT$8,FALSE)),VLOOKUP(CONCATENATE($J111,"_",AT$5),COT_PRE_ALIMENTOS,AT$8,FALSE)),VLOOKUP(CONCATENATE($J111,"_",AT$4),COT_PRE_ALIMENTOS,AT$8,FALSE)),VLOOKUP(CONCATENATE($J111,"_",AT$3),COT_PRE_ALIMENTOS,AT$8,FALSE)),VLOOKUP(CONCATENATE($J111,"_",AT$2),COT_PRE_ALIMENTOS,AT$8,FALSE)),VLOOKUP(CONCATENATE($J111,"_",AT$1),COT_PRE_ALIMENTOS,AT$8,FALSE))),"DATO NO DISPONIBLE",IF(ISERROR(MATCH(CONCATENATE($J111,"_",AT$1),COT_PRE_CODIGO_ALIMENTOS,0)),IF(ISERROR(MATCH(CONCATENATE($J111,"_",AT$2),COT_PRE_CODIGO_ALIMENTOS,0)),IF(ISERROR(MATCH(CONCATENATE($J111,"_",AT$3),COT_PRE_CODIGO_ALIMENTOS,0)),IF(ISERROR(MATCH(CONCATENATE($J111,"_",AT$4),COT_PRE_CODIGO_ALIMENTOS,0)),IF(ISERROR(MATCH(CONCATENATE($J111,"_",AT$5),COT_PRE_CODIGO_ALIMENTOS,0)),IF(ISERROR(MATCH(CONCATENATE($J111,"_",AT$6),COT_PRE_CODIGO_ALIMENTOS,0)),IF(ISERROR(MATCH(CONCATENATE($J111,"_",AT$7),COT_PRE_CODIGO_ALIMENTOS,0)),IF(ISERROR(VLOOKUP($J111,COT_PRE_ALIMENTOS,AT$8,FALSE)),"DATO NO DISPONIBLE",VLOOKUP($J111,COT_PRE_ALIMENTOS,AT$8,FALSE)),VLOOKUP(CONCATENATE($J111,"_",AT$7),COT_PRE_ALIMENTOS,AT$8,FALSE)),VLOOKUP(CONCATENATE($J111,"_",AT$6),COT_PRE_ALIMENTOS,AT$8,FALSE)),VLOOKUP(CONCATENATE($J111,"_",AT$5),COT_PRE_ALIMENTOS,AT$8,FALSE)),VLOOKUP(CONCATENATE($J111,"_",AT$4),COT_PRE_ALIMENTOS,AT$8,FALSE)),VLOOKUP(CONCATENATE($J111,"_",AT$3),COT_PRE_ALIMENTOS,AT$8,FALSE)),VLOOKUP(CONCATENATE($J111,"_",AT$2),COT_PRE_ALIMENTOS,AT$8,FALSE)),VLOOKUP(CONCATENATE($J111,"_",AT$1),COT_PRE_ALIMENTOS,AT$8,FALSE)))</f>
        <v>3.7214999999999998</v>
      </c>
      <c r="AU111" s="300">
        <f t="shared" si="169"/>
        <v>3.7214999999999998</v>
      </c>
      <c r="AV111" s="300">
        <f t="shared" si="169"/>
        <v>3.7214999999999998</v>
      </c>
      <c r="AW111" s="300">
        <f t="shared" si="169"/>
        <v>3.7214999999999998</v>
      </c>
      <c r="AX111" s="300">
        <f t="shared" si="169"/>
        <v>3.7214999999999998</v>
      </c>
      <c r="AY111" s="301">
        <f t="shared" si="161"/>
        <v>3.7214999999999998</v>
      </c>
      <c r="AZ111" s="301">
        <f t="shared" si="161"/>
        <v>3.7214999999999998</v>
      </c>
      <c r="BA111" s="301">
        <f t="shared" si="161"/>
        <v>3.7214999999999998</v>
      </c>
      <c r="BB111" s="301">
        <f t="shared" si="161"/>
        <v>3.7214999999999998</v>
      </c>
      <c r="BC111" s="301">
        <f t="shared" si="161"/>
        <v>3.7214999999999998</v>
      </c>
      <c r="BD111" s="187">
        <f>ROUND(IF(OR(M111=0,AT111="DATO NO DISPONIBLE"),"",AT111*M111*($BD$7+1)),0)</f>
        <v>398</v>
      </c>
      <c r="BE111" s="187">
        <f t="shared" si="147"/>
        <v>398</v>
      </c>
      <c r="BF111" s="187">
        <f t="shared" si="148"/>
        <v>398</v>
      </c>
      <c r="BG111" s="187">
        <f t="shared" si="165"/>
        <v>398</v>
      </c>
      <c r="BH111" s="187">
        <f t="shared" si="166"/>
        <v>398</v>
      </c>
      <c r="BI111" s="187">
        <f>ROUND(IF(OR(M111=0,AY111="DATO NO DISPONIBLE"),0,AY111*M111*($BD$7+1)),0)</f>
        <v>398</v>
      </c>
      <c r="BJ111" s="187">
        <f t="shared" si="126"/>
        <v>398</v>
      </c>
      <c r="BK111" s="187">
        <f t="shared" si="127"/>
        <v>398</v>
      </c>
      <c r="BL111" s="187">
        <f t="shared" si="167"/>
        <v>398</v>
      </c>
      <c r="BM111" s="187">
        <f t="shared" si="168"/>
        <v>398</v>
      </c>
      <c r="BN111" s="188">
        <f>BD111*AM111</f>
        <v>130009088</v>
      </c>
      <c r="BO111" s="188">
        <f t="shared" si="128"/>
        <v>173461932</v>
      </c>
      <c r="BP111" s="188">
        <f t="shared" si="129"/>
        <v>185532476</v>
      </c>
      <c r="BQ111" s="188">
        <f t="shared" si="130"/>
        <v>6035272</v>
      </c>
      <c r="BR111" s="188">
        <f t="shared" si="131"/>
        <v>5993880</v>
      </c>
      <c r="BS111" s="188">
        <f t="shared" si="108"/>
        <v>501032648</v>
      </c>
      <c r="BT111" s="188">
        <f t="shared" si="109"/>
        <v>130009088</v>
      </c>
      <c r="BU111" s="188">
        <f t="shared" si="110"/>
        <v>173461932</v>
      </c>
      <c r="BV111" s="188">
        <f t="shared" si="111"/>
        <v>185532476</v>
      </c>
      <c r="BW111" s="188">
        <f t="shared" si="112"/>
        <v>6035272</v>
      </c>
      <c r="BX111" s="188">
        <f t="shared" si="113"/>
        <v>5993880</v>
      </c>
      <c r="BY111" s="188">
        <f t="shared" si="114"/>
        <v>501032648</v>
      </c>
      <c r="BZ111" s="305">
        <f>IF(COT_PRECALCULOS!$D$24="Precios Iva Incluído",BI111,BD111)</f>
        <v>398</v>
      </c>
      <c r="CA111" s="305">
        <f>IF(COT_PRECALCULOS!$D$24="Precios Iva Incluído",BJ111,BE111)</f>
        <v>398</v>
      </c>
      <c r="CB111" s="305">
        <f>IF(COT_PRECALCULOS!$D$24="Precios Iva Incluído",BK111,BF111)</f>
        <v>398</v>
      </c>
      <c r="CC111" s="305">
        <f>IF(COT_PRECALCULOS!$D$24="Precios Iva Incluído",BL111,BG111)</f>
        <v>398</v>
      </c>
      <c r="CD111" s="305">
        <f>IF(COT_PRECALCULOS!$D$24="Precios Iva Incluído",BM111,BH111)</f>
        <v>398</v>
      </c>
      <c r="CE111" s="305">
        <f>IF(COT_PRECALCULOS!$D$24="Precios Iva Incluído",BT111,BN111)</f>
        <v>130009088</v>
      </c>
      <c r="CF111" s="305">
        <f>IF(COT_PRECALCULOS!$D$24="Precios Iva Incluído",BU111,BO111)</f>
        <v>173461932</v>
      </c>
      <c r="CG111" s="305">
        <f>IF(COT_PRECALCULOS!$D$24="Precios Iva Incluído",BV111,BP111)</f>
        <v>185532476</v>
      </c>
      <c r="CH111" s="305">
        <f>IF(COT_PRECALCULOS!$D$24="Precios Iva Incluído",BW111,BQ111)</f>
        <v>6035272</v>
      </c>
      <c r="CI111" s="305">
        <f>IF(COT_PRECALCULOS!$D$24="Precios Iva Incluído",BX111,BR111)</f>
        <v>5993880</v>
      </c>
    </row>
    <row r="112" spans="1:87" s="237" customFormat="1">
      <c r="A112" s="182" t="s">
        <v>101</v>
      </c>
      <c r="B112" s="182" t="s">
        <v>98</v>
      </c>
      <c r="C112" s="189" t="str">
        <f t="shared" si="103"/>
        <v>F_PE12</v>
      </c>
      <c r="D112" s="189" t="str">
        <f t="shared" si="104"/>
        <v>58_P_</v>
      </c>
      <c r="E112" s="211" t="s">
        <v>1</v>
      </c>
      <c r="F112" s="211" t="s">
        <v>1</v>
      </c>
      <c r="G112" s="189" t="s">
        <v>25</v>
      </c>
      <c r="H112" s="211"/>
      <c r="I112" s="211" t="s">
        <v>65</v>
      </c>
      <c r="J112" s="211">
        <v>58</v>
      </c>
      <c r="K112" s="211" t="s">
        <v>67</v>
      </c>
      <c r="L112" s="189" t="s">
        <v>9</v>
      </c>
      <c r="M112" s="211">
        <v>100</v>
      </c>
      <c r="N112" s="211">
        <v>100</v>
      </c>
      <c r="O112" s="211">
        <v>100</v>
      </c>
      <c r="P112" s="211">
        <v>100</v>
      </c>
      <c r="Q112" s="211">
        <v>100</v>
      </c>
      <c r="R112" s="211"/>
      <c r="S112" s="183">
        <f>COUNTIF(CAL_PRIMERA_ENTREGA_FRUTA,CONCATENATE(G112,"_",J112))</f>
        <v>2</v>
      </c>
      <c r="T112" s="385">
        <f>$S112</f>
        <v>2</v>
      </c>
      <c r="U112" s="385">
        <f t="shared" si="162"/>
        <v>2</v>
      </c>
      <c r="V112" s="385">
        <f t="shared" si="162"/>
        <v>2</v>
      </c>
      <c r="W112" s="385">
        <f t="shared" si="162"/>
        <v>2</v>
      </c>
      <c r="X112" s="385">
        <f t="shared" si="162"/>
        <v>2</v>
      </c>
      <c r="Y112" s="184">
        <f t="shared" si="115"/>
        <v>163328</v>
      </c>
      <c r="Z112" s="184">
        <f>IF(N112&lt;&gt;0,VLOOKUP(A112,FRE_CANTIDADES_DIARIAS_SUMINISTROS,5,FALSE),0)</f>
        <v>217917</v>
      </c>
      <c r="AA112" s="184">
        <f>IF(O112&lt;&gt;0,VLOOKUP(A112,FRE_CANTIDADES_DIARIAS_SUMINISTROS,6,FALSE),0)</f>
        <v>233081</v>
      </c>
      <c r="AB112" s="184">
        <f>IF(P112&lt;&gt;0,VLOOKUP(A112,FRE_CANTIDADES_DIARIAS_SUMINISTROS,7,FALSE),0)</f>
        <v>7582</v>
      </c>
      <c r="AC112" s="184">
        <f>IF(Q112&lt;&gt;0,VLOOKUP(A112,FRE_CANTIDADES_DIARIAS_SUMINISTROS,8,FALSE),0)</f>
        <v>7530</v>
      </c>
      <c r="AD112" s="184">
        <f t="shared" si="116"/>
        <v>629438</v>
      </c>
      <c r="AE112" s="183">
        <f t="shared" si="140"/>
        <v>0</v>
      </c>
      <c r="AF112" s="385">
        <f t="shared" si="159"/>
        <v>0</v>
      </c>
      <c r="AG112" s="385">
        <f t="shared" si="159"/>
        <v>0</v>
      </c>
      <c r="AH112" s="385">
        <f t="shared" si="159"/>
        <v>0</v>
      </c>
      <c r="AI112" s="185">
        <f t="shared" si="117"/>
        <v>0</v>
      </c>
      <c r="AJ112" s="185">
        <f t="shared" si="163"/>
        <v>0</v>
      </c>
      <c r="AK112" s="185">
        <f t="shared" si="164"/>
        <v>0</v>
      </c>
      <c r="AL112" s="185">
        <f t="shared" si="120"/>
        <v>0</v>
      </c>
      <c r="AM112" s="173">
        <f t="shared" si="160"/>
        <v>326656</v>
      </c>
      <c r="AN112" s="173">
        <f t="shared" si="144"/>
        <v>435834</v>
      </c>
      <c r="AO112" s="173">
        <f t="shared" si="145"/>
        <v>466162</v>
      </c>
      <c r="AP112" s="173">
        <f t="shared" si="105"/>
        <v>15164</v>
      </c>
      <c r="AQ112" s="173">
        <f t="shared" si="106"/>
        <v>15060</v>
      </c>
      <c r="AR112" s="173">
        <f t="shared" si="107"/>
        <v>1258876</v>
      </c>
      <c r="AS112" s="186" t="s">
        <v>1348</v>
      </c>
      <c r="AT112" s="300">
        <f t="shared" si="169"/>
        <v>1.4384999999999999</v>
      </c>
      <c r="AU112" s="300">
        <f t="shared" si="169"/>
        <v>1.4384999999999999</v>
      </c>
      <c r="AV112" s="300">
        <f t="shared" si="169"/>
        <v>1.4384999999999999</v>
      </c>
      <c r="AW112" s="300">
        <f t="shared" si="169"/>
        <v>1.4384999999999999</v>
      </c>
      <c r="AX112" s="300">
        <f t="shared" si="169"/>
        <v>1.4384999999999999</v>
      </c>
      <c r="AY112" s="301">
        <f t="shared" si="161"/>
        <v>1.4384999999999999</v>
      </c>
      <c r="AZ112" s="301">
        <f t="shared" si="161"/>
        <v>1.4384999999999999</v>
      </c>
      <c r="BA112" s="301">
        <f t="shared" si="161"/>
        <v>1.4384999999999999</v>
      </c>
      <c r="BB112" s="301">
        <f t="shared" si="161"/>
        <v>1.4384999999999999</v>
      </c>
      <c r="BC112" s="301">
        <f t="shared" si="161"/>
        <v>1.4384999999999999</v>
      </c>
      <c r="BD112" s="187">
        <f>ROUND(IF(OR(M112=0,AT112="DATO NO DISPONIBLE"),"",AT112*M112*($BD$7+1)),0)</f>
        <v>154</v>
      </c>
      <c r="BE112" s="187">
        <f t="shared" si="147"/>
        <v>154</v>
      </c>
      <c r="BF112" s="187">
        <f t="shared" si="148"/>
        <v>154</v>
      </c>
      <c r="BG112" s="187">
        <f t="shared" si="165"/>
        <v>154</v>
      </c>
      <c r="BH112" s="187">
        <f t="shared" si="166"/>
        <v>154</v>
      </c>
      <c r="BI112" s="187">
        <f>ROUND(IF(OR(M112=0,AY112="DATO NO DISPONIBLE"),0,AY112*M112*($BD$7+1)),0)</f>
        <v>154</v>
      </c>
      <c r="BJ112" s="187">
        <f t="shared" si="126"/>
        <v>154</v>
      </c>
      <c r="BK112" s="187">
        <f t="shared" si="127"/>
        <v>154</v>
      </c>
      <c r="BL112" s="187">
        <f t="shared" si="167"/>
        <v>154</v>
      </c>
      <c r="BM112" s="187">
        <f t="shared" si="168"/>
        <v>154</v>
      </c>
      <c r="BN112" s="188">
        <f>BD112*AM112</f>
        <v>50305024</v>
      </c>
      <c r="BO112" s="188">
        <f t="shared" si="128"/>
        <v>67118436</v>
      </c>
      <c r="BP112" s="188">
        <f t="shared" si="129"/>
        <v>71788948</v>
      </c>
      <c r="BQ112" s="188">
        <f t="shared" si="130"/>
        <v>2335256</v>
      </c>
      <c r="BR112" s="188">
        <f t="shared" si="131"/>
        <v>2319240</v>
      </c>
      <c r="BS112" s="188">
        <f t="shared" si="108"/>
        <v>193866904</v>
      </c>
      <c r="BT112" s="188">
        <f t="shared" si="109"/>
        <v>50305024</v>
      </c>
      <c r="BU112" s="188">
        <f t="shared" si="110"/>
        <v>67118436</v>
      </c>
      <c r="BV112" s="188">
        <f t="shared" si="111"/>
        <v>71788948</v>
      </c>
      <c r="BW112" s="188">
        <f t="shared" si="112"/>
        <v>2335256</v>
      </c>
      <c r="BX112" s="188">
        <f t="shared" si="113"/>
        <v>2319240</v>
      </c>
      <c r="BY112" s="188">
        <f t="shared" si="114"/>
        <v>193866904</v>
      </c>
      <c r="BZ112" s="305">
        <f>IF(COT_PRECALCULOS!$D$24="Precios Iva Incluído",BI112,BD112)</f>
        <v>154</v>
      </c>
      <c r="CA112" s="305">
        <f>IF(COT_PRECALCULOS!$D$24="Precios Iva Incluído",BJ112,BE112)</f>
        <v>154</v>
      </c>
      <c r="CB112" s="305">
        <f>IF(COT_PRECALCULOS!$D$24="Precios Iva Incluído",BK112,BF112)</f>
        <v>154</v>
      </c>
      <c r="CC112" s="305">
        <f>IF(COT_PRECALCULOS!$D$24="Precios Iva Incluído",BL112,BG112)</f>
        <v>154</v>
      </c>
      <c r="CD112" s="305">
        <f>IF(COT_PRECALCULOS!$D$24="Precios Iva Incluído",BM112,BH112)</f>
        <v>154</v>
      </c>
      <c r="CE112" s="305">
        <f>IF(COT_PRECALCULOS!$D$24="Precios Iva Incluído",BT112,BN112)</f>
        <v>50305024</v>
      </c>
      <c r="CF112" s="305">
        <f>IF(COT_PRECALCULOS!$D$24="Precios Iva Incluído",BU112,BO112)</f>
        <v>67118436</v>
      </c>
      <c r="CG112" s="305">
        <f>IF(COT_PRECALCULOS!$D$24="Precios Iva Incluído",BV112,BP112)</f>
        <v>71788948</v>
      </c>
      <c r="CH112" s="305">
        <f>IF(COT_PRECALCULOS!$D$24="Precios Iva Incluído",BW112,BQ112)</f>
        <v>2335256</v>
      </c>
      <c r="CI112" s="305">
        <f>IF(COT_PRECALCULOS!$D$24="Precios Iva Incluído",BX112,BR112)</f>
        <v>2319240</v>
      </c>
    </row>
    <row r="113" spans="1:87">
      <c r="A113" s="182" t="s">
        <v>101</v>
      </c>
      <c r="B113" s="182" t="s">
        <v>98</v>
      </c>
      <c r="C113" s="189" t="str">
        <f t="shared" si="103"/>
        <v>F_PE12</v>
      </c>
      <c r="D113" s="189" t="str">
        <f t="shared" si="104"/>
        <v>59_P_</v>
      </c>
      <c r="E113" s="211" t="s">
        <v>1</v>
      </c>
      <c r="F113" s="211" t="s">
        <v>1</v>
      </c>
      <c r="G113" s="189" t="s">
        <v>25</v>
      </c>
      <c r="H113" s="211"/>
      <c r="I113" s="211" t="s">
        <v>66</v>
      </c>
      <c r="J113" s="211">
        <v>59</v>
      </c>
      <c r="K113" s="211" t="s">
        <v>99</v>
      </c>
      <c r="L113" s="189" t="s">
        <v>9</v>
      </c>
      <c r="M113" s="386">
        <v>0</v>
      </c>
      <c r="N113" s="211">
        <v>100</v>
      </c>
      <c r="O113" s="211">
        <v>100</v>
      </c>
      <c r="P113" s="211">
        <v>100</v>
      </c>
      <c r="Q113" s="211">
        <v>100</v>
      </c>
      <c r="R113" s="211" t="s">
        <v>73</v>
      </c>
      <c r="S113" s="183">
        <f>COUNTIF(CAL_PRIMERA_ENTREGA_FRUTA,CONCATENATE(G113,"_",J113))</f>
        <v>1</v>
      </c>
      <c r="T113" s="386">
        <v>0</v>
      </c>
      <c r="U113" s="385">
        <f t="shared" si="162"/>
        <v>1</v>
      </c>
      <c r="V113" s="385">
        <f t="shared" si="162"/>
        <v>1</v>
      </c>
      <c r="W113" s="385">
        <f t="shared" si="162"/>
        <v>1</v>
      </c>
      <c r="X113" s="385">
        <f t="shared" si="162"/>
        <v>1</v>
      </c>
      <c r="Y113" s="184">
        <f t="shared" si="115"/>
        <v>0</v>
      </c>
      <c r="Z113" s="184">
        <f>IF(N113&lt;&gt;0,VLOOKUP(A113,FRE_CANTIDADES_DIARIAS_SUMINISTROS,5,FALSE),0)</f>
        <v>217917</v>
      </c>
      <c r="AA113" s="184">
        <f>IF(O113&lt;&gt;0,VLOOKUP(A113,FRE_CANTIDADES_DIARIAS_SUMINISTROS,6,FALSE),0)</f>
        <v>233081</v>
      </c>
      <c r="AB113" s="184">
        <f>IF(P113&lt;&gt;0,VLOOKUP(A113,FRE_CANTIDADES_DIARIAS_SUMINISTROS,7,FALSE),0)</f>
        <v>7582</v>
      </c>
      <c r="AC113" s="184">
        <f>IF(Q113&lt;&gt;0,VLOOKUP(A113,FRE_CANTIDADES_DIARIAS_SUMINISTROS,8,FALSE),0)</f>
        <v>7530</v>
      </c>
      <c r="AD113" s="184">
        <f t="shared" si="116"/>
        <v>466110</v>
      </c>
      <c r="AE113" s="183">
        <f t="shared" si="140"/>
        <v>0</v>
      </c>
      <c r="AF113" s="385">
        <f t="shared" si="159"/>
        <v>0</v>
      </c>
      <c r="AG113" s="385">
        <f t="shared" si="159"/>
        <v>0</v>
      </c>
      <c r="AH113" s="385">
        <f t="shared" si="159"/>
        <v>0</v>
      </c>
      <c r="AI113" s="185">
        <f t="shared" si="117"/>
        <v>0</v>
      </c>
      <c r="AJ113" s="185">
        <f t="shared" si="163"/>
        <v>0</v>
      </c>
      <c r="AK113" s="185">
        <f t="shared" si="164"/>
        <v>0</v>
      </c>
      <c r="AL113" s="185">
        <f t="shared" si="120"/>
        <v>0</v>
      </c>
      <c r="AM113" s="173">
        <f t="shared" si="160"/>
        <v>0</v>
      </c>
      <c r="AN113" s="173">
        <f t="shared" si="144"/>
        <v>217917</v>
      </c>
      <c r="AO113" s="173">
        <f t="shared" si="145"/>
        <v>233081</v>
      </c>
      <c r="AP113" s="173">
        <f t="shared" si="105"/>
        <v>7582</v>
      </c>
      <c r="AQ113" s="173">
        <f t="shared" si="106"/>
        <v>7530</v>
      </c>
      <c r="AR113" s="173">
        <f t="shared" si="107"/>
        <v>466110</v>
      </c>
      <c r="AS113" s="186" t="s">
        <v>1348</v>
      </c>
      <c r="AT113" s="300">
        <f t="shared" si="169"/>
        <v>2.6785000000000001</v>
      </c>
      <c r="AU113" s="300">
        <f t="shared" si="169"/>
        <v>2.6785000000000001</v>
      </c>
      <c r="AV113" s="300">
        <f t="shared" si="169"/>
        <v>2.6785000000000001</v>
      </c>
      <c r="AW113" s="300">
        <f t="shared" si="169"/>
        <v>2.6785000000000001</v>
      </c>
      <c r="AX113" s="300">
        <f t="shared" si="169"/>
        <v>2.6785000000000001</v>
      </c>
      <c r="AY113" s="301">
        <f t="shared" si="161"/>
        <v>2.6785000000000001</v>
      </c>
      <c r="AZ113" s="301">
        <f t="shared" si="161"/>
        <v>2.6785000000000001</v>
      </c>
      <c r="BA113" s="301">
        <f t="shared" si="161"/>
        <v>2.6785000000000001</v>
      </c>
      <c r="BB113" s="301">
        <f t="shared" si="161"/>
        <v>2.6785000000000001</v>
      </c>
      <c r="BC113" s="301">
        <f t="shared" si="161"/>
        <v>2.6785000000000001</v>
      </c>
      <c r="BD113" s="187"/>
      <c r="BE113" s="187">
        <f t="shared" si="147"/>
        <v>286</v>
      </c>
      <c r="BF113" s="187">
        <f t="shared" si="148"/>
        <v>286</v>
      </c>
      <c r="BG113" s="187">
        <f t="shared" si="165"/>
        <v>286</v>
      </c>
      <c r="BH113" s="187">
        <f t="shared" si="166"/>
        <v>286</v>
      </c>
      <c r="BI113" s="187"/>
      <c r="BJ113" s="187">
        <f t="shared" si="126"/>
        <v>286</v>
      </c>
      <c r="BK113" s="187">
        <f t="shared" si="127"/>
        <v>286</v>
      </c>
      <c r="BL113" s="187">
        <f t="shared" si="167"/>
        <v>286</v>
      </c>
      <c r="BM113" s="187">
        <f t="shared" si="168"/>
        <v>286</v>
      </c>
      <c r="BN113" s="188"/>
      <c r="BO113" s="188">
        <f t="shared" si="128"/>
        <v>62324262</v>
      </c>
      <c r="BP113" s="188">
        <f t="shared" si="129"/>
        <v>66661166</v>
      </c>
      <c r="BQ113" s="188">
        <f t="shared" si="130"/>
        <v>2168452</v>
      </c>
      <c r="BR113" s="188">
        <f t="shared" si="131"/>
        <v>2153580</v>
      </c>
      <c r="BS113" s="188">
        <f t="shared" si="108"/>
        <v>133307460</v>
      </c>
      <c r="BT113" s="188">
        <f t="shared" si="109"/>
        <v>0</v>
      </c>
      <c r="BU113" s="188">
        <f t="shared" si="110"/>
        <v>62324262</v>
      </c>
      <c r="BV113" s="188">
        <f t="shared" si="111"/>
        <v>66661166</v>
      </c>
      <c r="BW113" s="188">
        <f t="shared" si="112"/>
        <v>2168452</v>
      </c>
      <c r="BX113" s="188">
        <f t="shared" si="113"/>
        <v>2153580</v>
      </c>
      <c r="BY113" s="188">
        <f t="shared" si="114"/>
        <v>133307460</v>
      </c>
      <c r="BZ113" s="305">
        <f>IF(COT_PRECALCULOS!$D$24="Precios Iva Incluído",BI113,BD113)</f>
        <v>0</v>
      </c>
      <c r="CA113" s="305">
        <f>IF(COT_PRECALCULOS!$D$24="Precios Iva Incluído",BJ113,BE113)</f>
        <v>286</v>
      </c>
      <c r="CB113" s="305">
        <f>IF(COT_PRECALCULOS!$D$24="Precios Iva Incluído",BK113,BF113)</f>
        <v>286</v>
      </c>
      <c r="CC113" s="305">
        <f>IF(COT_PRECALCULOS!$D$24="Precios Iva Incluído",BL113,BG113)</f>
        <v>286</v>
      </c>
      <c r="CD113" s="305">
        <f>IF(COT_PRECALCULOS!$D$24="Precios Iva Incluído",BM113,BH113)</f>
        <v>286</v>
      </c>
      <c r="CE113" s="305">
        <f>IF(COT_PRECALCULOS!$D$24="Precios Iva Incluído",BT113,BN113)</f>
        <v>0</v>
      </c>
      <c r="CF113" s="305">
        <f>IF(COT_PRECALCULOS!$D$24="Precios Iva Incluído",BU113,BO113)</f>
        <v>62324262</v>
      </c>
      <c r="CG113" s="305">
        <f>IF(COT_PRECALCULOS!$D$24="Precios Iva Incluído",BV113,BP113)</f>
        <v>66661166</v>
      </c>
      <c r="CH113" s="305">
        <f>IF(COT_PRECALCULOS!$D$24="Precios Iva Incluído",BW113,BQ113)</f>
        <v>2168452</v>
      </c>
      <c r="CI113" s="305">
        <f>IF(COT_PRECALCULOS!$D$24="Precios Iva Incluído",BX113,BR113)</f>
        <v>2153580</v>
      </c>
    </row>
    <row r="114" spans="1:87">
      <c r="A114" s="182" t="s">
        <v>101</v>
      </c>
      <c r="B114" s="182" t="s">
        <v>98</v>
      </c>
      <c r="C114" s="189" t="str">
        <f t="shared" si="103"/>
        <v>F_PE12</v>
      </c>
      <c r="D114" s="189" t="str">
        <f t="shared" si="104"/>
        <v>69_P_</v>
      </c>
      <c r="E114" s="211" t="s">
        <v>1</v>
      </c>
      <c r="F114" s="211" t="s">
        <v>1</v>
      </c>
      <c r="G114" s="189" t="s">
        <v>25</v>
      </c>
      <c r="H114" s="211"/>
      <c r="I114" s="211" t="s">
        <v>68</v>
      </c>
      <c r="J114" s="211">
        <v>69</v>
      </c>
      <c r="K114" s="211" t="s">
        <v>70</v>
      </c>
      <c r="L114" s="189" t="s">
        <v>9</v>
      </c>
      <c r="M114" s="211">
        <v>100</v>
      </c>
      <c r="N114" s="211">
        <v>100</v>
      </c>
      <c r="O114" s="211">
        <v>100</v>
      </c>
      <c r="P114" s="211">
        <v>100</v>
      </c>
      <c r="Q114" s="211">
        <v>100</v>
      </c>
      <c r="R114" s="211"/>
      <c r="S114" s="388">
        <v>1</v>
      </c>
      <c r="T114" s="388">
        <f>$S114</f>
        <v>1</v>
      </c>
      <c r="U114" s="388">
        <v>0</v>
      </c>
      <c r="V114" s="388">
        <v>0</v>
      </c>
      <c r="W114" s="388">
        <v>0</v>
      </c>
      <c r="X114" s="388">
        <v>0</v>
      </c>
      <c r="Y114" s="184">
        <f t="shared" si="115"/>
        <v>163328</v>
      </c>
      <c r="Z114" s="184">
        <v>0</v>
      </c>
      <c r="AA114" s="184">
        <v>0</v>
      </c>
      <c r="AB114" s="184">
        <v>0</v>
      </c>
      <c r="AC114" s="184">
        <v>0</v>
      </c>
      <c r="AD114" s="184">
        <f t="shared" si="116"/>
        <v>163328</v>
      </c>
      <c r="AE114" s="183">
        <f t="shared" si="140"/>
        <v>0</v>
      </c>
      <c r="AF114" s="385">
        <f t="shared" si="159"/>
        <v>0</v>
      </c>
      <c r="AG114" s="385">
        <f t="shared" si="159"/>
        <v>0</v>
      </c>
      <c r="AH114" s="385">
        <f t="shared" si="159"/>
        <v>0</v>
      </c>
      <c r="AI114" s="185">
        <f t="shared" si="117"/>
        <v>0</v>
      </c>
      <c r="AJ114" s="185">
        <f t="shared" si="163"/>
        <v>0</v>
      </c>
      <c r="AK114" s="185">
        <f t="shared" si="164"/>
        <v>0</v>
      </c>
      <c r="AL114" s="185">
        <f t="shared" si="120"/>
        <v>0</v>
      </c>
      <c r="AM114" s="173">
        <f t="shared" si="160"/>
        <v>163328</v>
      </c>
      <c r="AN114" s="173">
        <f t="shared" si="144"/>
        <v>0</v>
      </c>
      <c r="AO114" s="173">
        <f t="shared" si="145"/>
        <v>0</v>
      </c>
      <c r="AP114" s="173">
        <f t="shared" si="105"/>
        <v>0</v>
      </c>
      <c r="AQ114" s="173">
        <f t="shared" si="106"/>
        <v>0</v>
      </c>
      <c r="AR114" s="173">
        <f t="shared" si="107"/>
        <v>163328</v>
      </c>
      <c r="AS114" s="186" t="s">
        <v>1348</v>
      </c>
      <c r="AT114" s="300">
        <f t="shared" si="169"/>
        <v>2.8519999999999999</v>
      </c>
      <c r="AU114" s="300">
        <f t="shared" si="169"/>
        <v>2.8519999999999999</v>
      </c>
      <c r="AV114" s="300">
        <f t="shared" si="169"/>
        <v>2.8519999999999999</v>
      </c>
      <c r="AW114" s="300">
        <f t="shared" si="169"/>
        <v>2.8519999999999999</v>
      </c>
      <c r="AX114" s="300">
        <f t="shared" si="169"/>
        <v>2.8519999999999999</v>
      </c>
      <c r="AY114" s="301">
        <f t="shared" si="161"/>
        <v>2.8519999999999999</v>
      </c>
      <c r="AZ114" s="301">
        <f t="shared" si="161"/>
        <v>2.8519999999999999</v>
      </c>
      <c r="BA114" s="301">
        <f t="shared" si="161"/>
        <v>2.8519999999999999</v>
      </c>
      <c r="BB114" s="301">
        <f t="shared" si="161"/>
        <v>2.8519999999999999</v>
      </c>
      <c r="BC114" s="301">
        <f t="shared" si="161"/>
        <v>2.8519999999999999</v>
      </c>
      <c r="BD114" s="187">
        <f>ROUND(IF(OR(M114=0,AT114="DATO NO DISPONIBLE"),"",AT114*M114*($BD$7+1)),0)</f>
        <v>305</v>
      </c>
      <c r="BE114" s="187">
        <f t="shared" si="147"/>
        <v>305</v>
      </c>
      <c r="BF114" s="187">
        <f t="shared" si="148"/>
        <v>305</v>
      </c>
      <c r="BG114" s="187">
        <f t="shared" si="165"/>
        <v>305</v>
      </c>
      <c r="BH114" s="187">
        <f t="shared" si="166"/>
        <v>305</v>
      </c>
      <c r="BI114" s="187">
        <f>ROUND(IF(OR(M114=0,AY114="DATO NO DISPONIBLE"),0,AY114*M114*($BD$7+1)),0)</f>
        <v>305</v>
      </c>
      <c r="BJ114" s="187">
        <f t="shared" si="126"/>
        <v>305</v>
      </c>
      <c r="BK114" s="187">
        <f t="shared" si="127"/>
        <v>305</v>
      </c>
      <c r="BL114" s="187">
        <f t="shared" si="167"/>
        <v>305</v>
      </c>
      <c r="BM114" s="187">
        <f t="shared" si="168"/>
        <v>305</v>
      </c>
      <c r="BN114" s="188">
        <f>BD114*AM114</f>
        <v>49815040</v>
      </c>
      <c r="BO114" s="188">
        <f t="shared" si="128"/>
        <v>0</v>
      </c>
      <c r="BP114" s="188">
        <f t="shared" si="129"/>
        <v>0</v>
      </c>
      <c r="BQ114" s="188">
        <f t="shared" si="130"/>
        <v>0</v>
      </c>
      <c r="BR114" s="188">
        <f t="shared" si="131"/>
        <v>0</v>
      </c>
      <c r="BS114" s="188">
        <f t="shared" si="108"/>
        <v>49815040</v>
      </c>
      <c r="BT114" s="188">
        <f t="shared" si="109"/>
        <v>49815040</v>
      </c>
      <c r="BU114" s="188">
        <f t="shared" si="110"/>
        <v>0</v>
      </c>
      <c r="BV114" s="188">
        <f t="shared" si="111"/>
        <v>0</v>
      </c>
      <c r="BW114" s="188">
        <f t="shared" si="112"/>
        <v>0</v>
      </c>
      <c r="BX114" s="188">
        <f t="shared" si="113"/>
        <v>0</v>
      </c>
      <c r="BY114" s="188">
        <f t="shared" si="114"/>
        <v>49815040</v>
      </c>
      <c r="BZ114" s="305">
        <f>IF(COT_PRECALCULOS!$D$24="Precios Iva Incluído",BI114,BD114)</f>
        <v>305</v>
      </c>
      <c r="CA114" s="305">
        <f>IF(COT_PRECALCULOS!$D$24="Precios Iva Incluído",BJ114,BE114)</f>
        <v>305</v>
      </c>
      <c r="CB114" s="305">
        <f>IF(COT_PRECALCULOS!$D$24="Precios Iva Incluído",BK114,BF114)</f>
        <v>305</v>
      </c>
      <c r="CC114" s="305">
        <f>IF(COT_PRECALCULOS!$D$24="Precios Iva Incluído",BL114,BG114)</f>
        <v>305</v>
      </c>
      <c r="CD114" s="305">
        <f>IF(COT_PRECALCULOS!$D$24="Precios Iva Incluído",BM114,BH114)</f>
        <v>305</v>
      </c>
      <c r="CE114" s="305">
        <f>IF(COT_PRECALCULOS!$D$24="Precios Iva Incluído",BT114,BN114)</f>
        <v>49815040</v>
      </c>
      <c r="CF114" s="305">
        <f>IF(COT_PRECALCULOS!$D$24="Precios Iva Incluído",BU114,BO114)</f>
        <v>0</v>
      </c>
      <c r="CG114" s="305">
        <f>IF(COT_PRECALCULOS!$D$24="Precios Iva Incluído",BV114,BP114)</f>
        <v>0</v>
      </c>
      <c r="CH114" s="305">
        <f>IF(COT_PRECALCULOS!$D$24="Precios Iva Incluído",BW114,BQ114)</f>
        <v>0</v>
      </c>
      <c r="CI114" s="305">
        <f>IF(COT_PRECALCULOS!$D$24="Precios Iva Incluído",BX114,BR114)</f>
        <v>0</v>
      </c>
    </row>
    <row r="115" spans="1:87">
      <c r="A115" s="182" t="s">
        <v>101</v>
      </c>
      <c r="B115" s="182" t="s">
        <v>98</v>
      </c>
      <c r="C115" s="189" t="str">
        <f t="shared" si="103"/>
        <v>F_PE12</v>
      </c>
      <c r="D115" s="189" t="str">
        <f t="shared" si="104"/>
        <v>70_P_</v>
      </c>
      <c r="E115" s="211" t="s">
        <v>1</v>
      </c>
      <c r="F115" s="211" t="s">
        <v>1</v>
      </c>
      <c r="G115" s="189" t="s">
        <v>25</v>
      </c>
      <c r="H115" s="211"/>
      <c r="I115" s="211" t="s">
        <v>69</v>
      </c>
      <c r="J115" s="211">
        <v>70</v>
      </c>
      <c r="K115" s="211" t="s">
        <v>71</v>
      </c>
      <c r="L115" s="189" t="s">
        <v>9</v>
      </c>
      <c r="M115" s="386">
        <v>0</v>
      </c>
      <c r="N115" s="211">
        <v>100</v>
      </c>
      <c r="O115" s="211">
        <v>100</v>
      </c>
      <c r="P115" s="211">
        <v>100</v>
      </c>
      <c r="Q115" s="211">
        <v>100</v>
      </c>
      <c r="R115" s="211" t="s">
        <v>73</v>
      </c>
      <c r="S115" s="183">
        <f t="shared" ref="S115:S121" si="170">COUNTIF(CAL_PRIMERA_ENTREGA_FRUTA,CONCATENATE(G115,"_",J115))</f>
        <v>0</v>
      </c>
      <c r="T115" s="386">
        <v>0</v>
      </c>
      <c r="U115" s="385">
        <f t="shared" ref="U115:X121" si="171">$S115</f>
        <v>0</v>
      </c>
      <c r="V115" s="385">
        <f t="shared" si="171"/>
        <v>0</v>
      </c>
      <c r="W115" s="385">
        <f t="shared" si="171"/>
        <v>0</v>
      </c>
      <c r="X115" s="385">
        <f t="shared" si="171"/>
        <v>0</v>
      </c>
      <c r="Y115" s="184">
        <f t="shared" si="115"/>
        <v>0</v>
      </c>
      <c r="Z115" s="184">
        <f t="shared" ref="Z115:Z121" si="172">IF(N115&lt;&gt;0,VLOOKUP(A115,FRE_CANTIDADES_DIARIAS_SUMINISTROS,5,FALSE),0)</f>
        <v>217917</v>
      </c>
      <c r="AA115" s="184">
        <f t="shared" ref="AA115:AA121" si="173">IF(O115&lt;&gt;0,VLOOKUP(A115,FRE_CANTIDADES_DIARIAS_SUMINISTROS,6,FALSE),0)</f>
        <v>233081</v>
      </c>
      <c r="AB115" s="184">
        <f t="shared" ref="AB115:AB121" si="174">IF(P115&lt;&gt;0,VLOOKUP(A115,FRE_CANTIDADES_DIARIAS_SUMINISTROS,7,FALSE),0)</f>
        <v>7582</v>
      </c>
      <c r="AC115" s="184">
        <f t="shared" ref="AC115:AC121" si="175">IF(Q115&lt;&gt;0,VLOOKUP(A115,FRE_CANTIDADES_DIARIAS_SUMINISTROS,8,FALSE),0)</f>
        <v>7530</v>
      </c>
      <c r="AD115" s="184">
        <f t="shared" si="116"/>
        <v>466110</v>
      </c>
      <c r="AE115" s="183">
        <f t="shared" ref="AE115:AE146" si="176">IF(ISERROR(VLOOKUP(G115,FRE_FRECUENCIA_MENUS_FDS,2,FALSE)),0,VLOOKUP(G115,FRE_FRECUENCIA_MENUS_FDS,2,FALSE))</f>
        <v>0</v>
      </c>
      <c r="AF115" s="385">
        <f t="shared" si="159"/>
        <v>0</v>
      </c>
      <c r="AG115" s="385">
        <f t="shared" si="159"/>
        <v>0</v>
      </c>
      <c r="AH115" s="385">
        <f t="shared" si="159"/>
        <v>0</v>
      </c>
      <c r="AI115" s="185">
        <f t="shared" si="117"/>
        <v>0</v>
      </c>
      <c r="AJ115" s="185">
        <f t="shared" si="163"/>
        <v>0</v>
      </c>
      <c r="AK115" s="185">
        <f t="shared" si="164"/>
        <v>0</v>
      </c>
      <c r="AL115" s="185">
        <f t="shared" si="120"/>
        <v>0</v>
      </c>
      <c r="AM115" s="173">
        <v>0</v>
      </c>
      <c r="AN115" s="173">
        <f t="shared" si="144"/>
        <v>0</v>
      </c>
      <c r="AO115" s="173">
        <f t="shared" si="145"/>
        <v>0</v>
      </c>
      <c r="AP115" s="173">
        <f t="shared" si="105"/>
        <v>0</v>
      </c>
      <c r="AQ115" s="173">
        <f t="shared" si="106"/>
        <v>0</v>
      </c>
      <c r="AR115" s="173">
        <f t="shared" si="107"/>
        <v>0</v>
      </c>
      <c r="AS115" s="186" t="s">
        <v>1348</v>
      </c>
      <c r="AT115" s="300">
        <f t="shared" si="169"/>
        <v>4.0575000000000001</v>
      </c>
      <c r="AU115" s="300">
        <f t="shared" si="169"/>
        <v>4.0575000000000001</v>
      </c>
      <c r="AV115" s="300">
        <f t="shared" si="169"/>
        <v>4.0575000000000001</v>
      </c>
      <c r="AW115" s="300">
        <f t="shared" si="169"/>
        <v>4.0575000000000001</v>
      </c>
      <c r="AX115" s="300">
        <f t="shared" si="169"/>
        <v>4.0575000000000001</v>
      </c>
      <c r="AY115" s="301">
        <f t="shared" si="161"/>
        <v>4.0575000000000001</v>
      </c>
      <c r="AZ115" s="301">
        <f t="shared" si="161"/>
        <v>4.0575000000000001</v>
      </c>
      <c r="BA115" s="301">
        <f t="shared" si="161"/>
        <v>4.0575000000000001</v>
      </c>
      <c r="BB115" s="301">
        <f t="shared" si="161"/>
        <v>4.0575000000000001</v>
      </c>
      <c r="BC115" s="301">
        <f t="shared" si="161"/>
        <v>4.0575000000000001</v>
      </c>
      <c r="BD115" s="187"/>
      <c r="BE115" s="187">
        <f t="shared" si="147"/>
        <v>434</v>
      </c>
      <c r="BF115" s="187">
        <f t="shared" si="148"/>
        <v>434</v>
      </c>
      <c r="BG115" s="187">
        <f t="shared" si="165"/>
        <v>434</v>
      </c>
      <c r="BH115" s="187">
        <f t="shared" si="166"/>
        <v>434</v>
      </c>
      <c r="BI115" s="187"/>
      <c r="BJ115" s="187">
        <f t="shared" si="126"/>
        <v>434</v>
      </c>
      <c r="BK115" s="187">
        <f t="shared" si="127"/>
        <v>434</v>
      </c>
      <c r="BL115" s="187">
        <f t="shared" si="167"/>
        <v>434</v>
      </c>
      <c r="BM115" s="187">
        <f t="shared" si="168"/>
        <v>434</v>
      </c>
      <c r="BN115" s="188"/>
      <c r="BO115" s="188">
        <f t="shared" si="128"/>
        <v>0</v>
      </c>
      <c r="BP115" s="188">
        <f t="shared" si="129"/>
        <v>0</v>
      </c>
      <c r="BQ115" s="188">
        <f t="shared" si="130"/>
        <v>0</v>
      </c>
      <c r="BR115" s="188">
        <f t="shared" si="131"/>
        <v>0</v>
      </c>
      <c r="BS115" s="188">
        <f t="shared" si="108"/>
        <v>0</v>
      </c>
      <c r="BT115" s="188">
        <f t="shared" si="109"/>
        <v>0</v>
      </c>
      <c r="BU115" s="188">
        <f t="shared" si="110"/>
        <v>0</v>
      </c>
      <c r="BV115" s="188">
        <f t="shared" si="111"/>
        <v>0</v>
      </c>
      <c r="BW115" s="188">
        <f t="shared" si="112"/>
        <v>0</v>
      </c>
      <c r="BX115" s="188">
        <f t="shared" si="113"/>
        <v>0</v>
      </c>
      <c r="BY115" s="188">
        <f t="shared" si="114"/>
        <v>0</v>
      </c>
      <c r="BZ115" s="305">
        <f>IF(COT_PRECALCULOS!$D$24="Precios Iva Incluído",BI115,BD115)</f>
        <v>0</v>
      </c>
      <c r="CA115" s="305">
        <f>IF(COT_PRECALCULOS!$D$24="Precios Iva Incluído",BJ115,BE115)</f>
        <v>434</v>
      </c>
      <c r="CB115" s="305">
        <f>IF(COT_PRECALCULOS!$D$24="Precios Iva Incluído",BK115,BF115)</f>
        <v>434</v>
      </c>
      <c r="CC115" s="305">
        <f>IF(COT_PRECALCULOS!$D$24="Precios Iva Incluído",BL115,BG115)</f>
        <v>434</v>
      </c>
      <c r="CD115" s="305">
        <f>IF(COT_PRECALCULOS!$D$24="Precios Iva Incluído",BM115,BH115)</f>
        <v>434</v>
      </c>
      <c r="CE115" s="305">
        <f>IF(COT_PRECALCULOS!$D$24="Precios Iva Incluído",BT115,BN115)</f>
        <v>0</v>
      </c>
      <c r="CF115" s="305">
        <f>IF(COT_PRECALCULOS!$D$24="Precios Iva Incluído",BU115,BO115)</f>
        <v>0</v>
      </c>
      <c r="CG115" s="305">
        <f>IF(COT_PRECALCULOS!$D$24="Precios Iva Incluído",BV115,BP115)</f>
        <v>0</v>
      </c>
      <c r="CH115" s="305">
        <f>IF(COT_PRECALCULOS!$D$24="Precios Iva Incluído",BW115,BQ115)</f>
        <v>0</v>
      </c>
      <c r="CI115" s="305">
        <f>IF(COT_PRECALCULOS!$D$24="Precios Iva Incluído",BX115,BR115)</f>
        <v>0</v>
      </c>
    </row>
    <row r="116" spans="1:87">
      <c r="A116" s="182" t="s">
        <v>101</v>
      </c>
      <c r="B116" s="182" t="s">
        <v>98</v>
      </c>
      <c r="C116" s="189" t="str">
        <f t="shared" si="103"/>
        <v>F_PE12</v>
      </c>
      <c r="D116" s="189" t="str">
        <f t="shared" si="104"/>
        <v>36_P_</v>
      </c>
      <c r="E116" s="190" t="s">
        <v>1</v>
      </c>
      <c r="F116" s="190" t="s">
        <v>1</v>
      </c>
      <c r="G116" s="189" t="s">
        <v>25</v>
      </c>
      <c r="H116" s="190"/>
      <c r="I116" s="190" t="s">
        <v>1340</v>
      </c>
      <c r="J116" s="190">
        <v>36</v>
      </c>
      <c r="K116" s="190" t="s">
        <v>1340</v>
      </c>
      <c r="L116" s="189" t="s">
        <v>9</v>
      </c>
      <c r="M116" s="211">
        <v>20</v>
      </c>
      <c r="N116" s="211">
        <v>40</v>
      </c>
      <c r="O116" s="211">
        <v>40</v>
      </c>
      <c r="P116" s="211">
        <v>40</v>
      </c>
      <c r="Q116" s="211">
        <v>40</v>
      </c>
      <c r="R116" s="190"/>
      <c r="S116" s="183">
        <f t="shared" si="170"/>
        <v>2</v>
      </c>
      <c r="T116" s="385">
        <f>$S116</f>
        <v>2</v>
      </c>
      <c r="U116" s="385">
        <f t="shared" si="171"/>
        <v>2</v>
      </c>
      <c r="V116" s="385">
        <f t="shared" si="171"/>
        <v>2</v>
      </c>
      <c r="W116" s="385">
        <f t="shared" si="171"/>
        <v>2</v>
      </c>
      <c r="X116" s="385">
        <f t="shared" si="171"/>
        <v>2</v>
      </c>
      <c r="Y116" s="184">
        <f t="shared" si="115"/>
        <v>163328</v>
      </c>
      <c r="Z116" s="184">
        <f t="shared" si="172"/>
        <v>217917</v>
      </c>
      <c r="AA116" s="184">
        <f t="shared" si="173"/>
        <v>233081</v>
      </c>
      <c r="AB116" s="184">
        <f t="shared" si="174"/>
        <v>7582</v>
      </c>
      <c r="AC116" s="184">
        <f t="shared" si="175"/>
        <v>7530</v>
      </c>
      <c r="AD116" s="184">
        <f t="shared" si="116"/>
        <v>629438</v>
      </c>
      <c r="AE116" s="183">
        <f t="shared" si="176"/>
        <v>0</v>
      </c>
      <c r="AF116" s="385">
        <f t="shared" si="159"/>
        <v>0</v>
      </c>
      <c r="AG116" s="385">
        <f t="shared" si="159"/>
        <v>0</v>
      </c>
      <c r="AH116" s="385">
        <f t="shared" si="159"/>
        <v>0</v>
      </c>
      <c r="AI116" s="185">
        <f t="shared" si="117"/>
        <v>0</v>
      </c>
      <c r="AJ116" s="185">
        <f t="shared" si="163"/>
        <v>0</v>
      </c>
      <c r="AK116" s="185">
        <f t="shared" si="164"/>
        <v>0</v>
      </c>
      <c r="AL116" s="185">
        <f t="shared" si="120"/>
        <v>0</v>
      </c>
      <c r="AM116" s="173">
        <f>($S116*Y116)+($AE116*AI116)</f>
        <v>326656</v>
      </c>
      <c r="AN116" s="173">
        <f t="shared" si="144"/>
        <v>435834</v>
      </c>
      <c r="AO116" s="173">
        <f t="shared" si="145"/>
        <v>466162</v>
      </c>
      <c r="AP116" s="173">
        <f t="shared" si="105"/>
        <v>15164</v>
      </c>
      <c r="AQ116" s="173">
        <f t="shared" si="106"/>
        <v>15060</v>
      </c>
      <c r="AR116" s="173">
        <f t="shared" si="107"/>
        <v>1258876</v>
      </c>
      <c r="AS116" s="186" t="s">
        <v>1348</v>
      </c>
      <c r="AT116" s="300">
        <f t="shared" si="169"/>
        <v>5.9</v>
      </c>
      <c r="AU116" s="300">
        <f t="shared" si="169"/>
        <v>5.9</v>
      </c>
      <c r="AV116" s="300">
        <f t="shared" si="169"/>
        <v>5.9</v>
      </c>
      <c r="AW116" s="300">
        <f t="shared" si="169"/>
        <v>5.9</v>
      </c>
      <c r="AX116" s="300">
        <f t="shared" si="169"/>
        <v>5.9</v>
      </c>
      <c r="AY116" s="301">
        <f t="shared" si="161"/>
        <v>5.9</v>
      </c>
      <c r="AZ116" s="301">
        <f t="shared" si="161"/>
        <v>5.9</v>
      </c>
      <c r="BA116" s="301">
        <f t="shared" si="161"/>
        <v>5.9</v>
      </c>
      <c r="BB116" s="301">
        <f t="shared" si="161"/>
        <v>5.9</v>
      </c>
      <c r="BC116" s="301">
        <f t="shared" si="161"/>
        <v>5.9</v>
      </c>
      <c r="BD116" s="187">
        <f>ROUND(IF(OR(M116=0,AT116="DATO NO DISPONIBLE"),"",AT116*M116*($BD$7+1)),0)</f>
        <v>126</v>
      </c>
      <c r="BE116" s="187">
        <f t="shared" si="147"/>
        <v>252</v>
      </c>
      <c r="BF116" s="187">
        <f t="shared" si="148"/>
        <v>252</v>
      </c>
      <c r="BG116" s="187">
        <f t="shared" si="165"/>
        <v>252</v>
      </c>
      <c r="BH116" s="187">
        <f t="shared" si="166"/>
        <v>252</v>
      </c>
      <c r="BI116" s="187">
        <f>ROUND(IF(OR(M116=0,AY116="DATO NO DISPONIBLE"),0,AY116*M116*($BD$7+1)),0)</f>
        <v>126</v>
      </c>
      <c r="BJ116" s="187">
        <f t="shared" si="126"/>
        <v>252</v>
      </c>
      <c r="BK116" s="187">
        <f t="shared" si="127"/>
        <v>252</v>
      </c>
      <c r="BL116" s="187">
        <f t="shared" si="167"/>
        <v>252</v>
      </c>
      <c r="BM116" s="187">
        <f t="shared" si="168"/>
        <v>252</v>
      </c>
      <c r="BN116" s="188">
        <f>BD116*AM116</f>
        <v>41158656</v>
      </c>
      <c r="BO116" s="188">
        <f t="shared" si="128"/>
        <v>109830168</v>
      </c>
      <c r="BP116" s="188">
        <f t="shared" si="129"/>
        <v>117472824</v>
      </c>
      <c r="BQ116" s="188">
        <f t="shared" si="130"/>
        <v>3821328</v>
      </c>
      <c r="BR116" s="188">
        <f t="shared" si="131"/>
        <v>3795120</v>
      </c>
      <c r="BS116" s="188">
        <f t="shared" si="108"/>
        <v>276078096</v>
      </c>
      <c r="BT116" s="188">
        <f t="shared" si="109"/>
        <v>41158656</v>
      </c>
      <c r="BU116" s="188">
        <f t="shared" si="110"/>
        <v>109830168</v>
      </c>
      <c r="BV116" s="188">
        <f t="shared" si="111"/>
        <v>117472824</v>
      </c>
      <c r="BW116" s="188">
        <f t="shared" si="112"/>
        <v>3821328</v>
      </c>
      <c r="BX116" s="188">
        <f t="shared" si="113"/>
        <v>3795120</v>
      </c>
      <c r="BY116" s="188">
        <f t="shared" si="114"/>
        <v>276078096</v>
      </c>
      <c r="BZ116" s="305">
        <f>IF(COT_PRECALCULOS!$D$24="Precios Iva Incluído",BI116,BD116)</f>
        <v>126</v>
      </c>
      <c r="CA116" s="305">
        <f>IF(COT_PRECALCULOS!$D$24="Precios Iva Incluído",BJ116,BE116)</f>
        <v>252</v>
      </c>
      <c r="CB116" s="305">
        <f>IF(COT_PRECALCULOS!$D$24="Precios Iva Incluído",BK116,BF116)</f>
        <v>252</v>
      </c>
      <c r="CC116" s="305">
        <f>IF(COT_PRECALCULOS!$D$24="Precios Iva Incluído",BL116,BG116)</f>
        <v>252</v>
      </c>
      <c r="CD116" s="305">
        <f>IF(COT_PRECALCULOS!$D$24="Precios Iva Incluído",BM116,BH116)</f>
        <v>252</v>
      </c>
      <c r="CE116" s="305">
        <f>IF(COT_PRECALCULOS!$D$24="Precios Iva Incluído",BT116,BN116)</f>
        <v>41158656</v>
      </c>
      <c r="CF116" s="305">
        <f>IF(COT_PRECALCULOS!$D$24="Precios Iva Incluído",BU116,BO116)</f>
        <v>109830168</v>
      </c>
      <c r="CG116" s="305">
        <f>IF(COT_PRECALCULOS!$D$24="Precios Iva Incluído",BV116,BP116)</f>
        <v>117472824</v>
      </c>
      <c r="CH116" s="305">
        <f>IF(COT_PRECALCULOS!$D$24="Precios Iva Incluído",BW116,BQ116)</f>
        <v>3821328</v>
      </c>
      <c r="CI116" s="305">
        <f>IF(COT_PRECALCULOS!$D$24="Precios Iva Incluído",BX116,BR116)</f>
        <v>3795120</v>
      </c>
    </row>
    <row r="117" spans="1:87">
      <c r="A117" s="182" t="s">
        <v>101</v>
      </c>
      <c r="B117" s="182" t="s">
        <v>98</v>
      </c>
      <c r="C117" s="189" t="str">
        <f t="shared" si="103"/>
        <v>F_PE13</v>
      </c>
      <c r="D117" s="189" t="str">
        <f t="shared" si="104"/>
        <v>8_P_</v>
      </c>
      <c r="E117" s="190" t="s">
        <v>1</v>
      </c>
      <c r="F117" s="190" t="s">
        <v>1</v>
      </c>
      <c r="G117" s="189" t="s">
        <v>26</v>
      </c>
      <c r="H117" s="190" t="s">
        <v>2</v>
      </c>
      <c r="I117" s="190" t="s">
        <v>54</v>
      </c>
      <c r="J117" s="190">
        <v>8</v>
      </c>
      <c r="K117" s="190" t="s">
        <v>55</v>
      </c>
      <c r="L117" s="189" t="s">
        <v>9</v>
      </c>
      <c r="M117" s="211">
        <v>100</v>
      </c>
      <c r="N117" s="211">
        <v>100</v>
      </c>
      <c r="O117" s="211">
        <v>100</v>
      </c>
      <c r="P117" s="211">
        <v>100</v>
      </c>
      <c r="Q117" s="211">
        <v>100</v>
      </c>
      <c r="R117" s="190"/>
      <c r="S117" s="183">
        <f t="shared" si="170"/>
        <v>0</v>
      </c>
      <c r="T117" s="385">
        <f>$S117</f>
        <v>0</v>
      </c>
      <c r="U117" s="385">
        <f t="shared" si="171"/>
        <v>0</v>
      </c>
      <c r="V117" s="385">
        <f t="shared" si="171"/>
        <v>0</v>
      </c>
      <c r="W117" s="385">
        <f t="shared" si="171"/>
        <v>0</v>
      </c>
      <c r="X117" s="385">
        <f t="shared" si="171"/>
        <v>0</v>
      </c>
      <c r="Y117" s="184">
        <f t="shared" si="115"/>
        <v>163328</v>
      </c>
      <c r="Z117" s="184">
        <f t="shared" si="172"/>
        <v>217917</v>
      </c>
      <c r="AA117" s="184">
        <f t="shared" si="173"/>
        <v>233081</v>
      </c>
      <c r="AB117" s="184">
        <f t="shared" si="174"/>
        <v>7582</v>
      </c>
      <c r="AC117" s="184">
        <f t="shared" si="175"/>
        <v>7530</v>
      </c>
      <c r="AD117" s="184">
        <f t="shared" si="116"/>
        <v>629438</v>
      </c>
      <c r="AE117" s="183">
        <f t="shared" si="176"/>
        <v>0</v>
      </c>
      <c r="AF117" s="385">
        <f t="shared" si="159"/>
        <v>0</v>
      </c>
      <c r="AG117" s="385">
        <f t="shared" si="159"/>
        <v>0</v>
      </c>
      <c r="AH117" s="385">
        <f t="shared" si="159"/>
        <v>0</v>
      </c>
      <c r="AI117" s="185">
        <f t="shared" si="117"/>
        <v>0</v>
      </c>
      <c r="AJ117" s="185">
        <f t="shared" si="163"/>
        <v>0</v>
      </c>
      <c r="AK117" s="185">
        <f t="shared" si="164"/>
        <v>0</v>
      </c>
      <c r="AL117" s="185">
        <f t="shared" si="120"/>
        <v>0</v>
      </c>
      <c r="AM117" s="173">
        <f>($S117*Y117)+($AE117*AI117)</f>
        <v>0</v>
      </c>
      <c r="AN117" s="173">
        <f t="shared" si="144"/>
        <v>0</v>
      </c>
      <c r="AO117" s="173">
        <f t="shared" si="145"/>
        <v>0</v>
      </c>
      <c r="AP117" s="173">
        <f t="shared" si="105"/>
        <v>0</v>
      </c>
      <c r="AQ117" s="173">
        <f t="shared" si="106"/>
        <v>0</v>
      </c>
      <c r="AR117" s="173">
        <f t="shared" si="107"/>
        <v>0</v>
      </c>
      <c r="AS117" s="186" t="s">
        <v>1706</v>
      </c>
      <c r="AT117" s="300">
        <f t="shared" si="169"/>
        <v>1.25</v>
      </c>
      <c r="AU117" s="300">
        <f t="shared" si="169"/>
        <v>1.25</v>
      </c>
      <c r="AV117" s="300">
        <f t="shared" si="169"/>
        <v>1.25</v>
      </c>
      <c r="AW117" s="300">
        <f t="shared" si="169"/>
        <v>1.25</v>
      </c>
      <c r="AX117" s="300">
        <f t="shared" si="169"/>
        <v>1.25</v>
      </c>
      <c r="AY117" s="301">
        <f t="shared" si="161"/>
        <v>1.25</v>
      </c>
      <c r="AZ117" s="301">
        <f t="shared" si="161"/>
        <v>1.25</v>
      </c>
      <c r="BA117" s="301">
        <f t="shared" si="161"/>
        <v>1.25</v>
      </c>
      <c r="BB117" s="301">
        <f t="shared" si="161"/>
        <v>1.25</v>
      </c>
      <c r="BC117" s="301">
        <f t="shared" si="161"/>
        <v>1.25</v>
      </c>
      <c r="BD117" s="187">
        <f>ROUND(IF(OR(M117=0,AT117="DATO NO DISPONIBLE"),"",AT117*M117*($BD$7+1)),0)</f>
        <v>134</v>
      </c>
      <c r="BE117" s="187">
        <f t="shared" si="147"/>
        <v>134</v>
      </c>
      <c r="BF117" s="187">
        <f t="shared" si="148"/>
        <v>134</v>
      </c>
      <c r="BG117" s="187">
        <f t="shared" si="165"/>
        <v>134</v>
      </c>
      <c r="BH117" s="187">
        <f t="shared" si="166"/>
        <v>134</v>
      </c>
      <c r="BI117" s="187">
        <f>ROUND(IF(OR(M117=0,AY117="DATO NO DISPONIBLE"),0,AY117*M117*($BD$7+1)),0)</f>
        <v>134</v>
      </c>
      <c r="BJ117" s="187">
        <f t="shared" si="126"/>
        <v>134</v>
      </c>
      <c r="BK117" s="187">
        <f t="shared" si="127"/>
        <v>134</v>
      </c>
      <c r="BL117" s="187">
        <f t="shared" si="167"/>
        <v>134</v>
      </c>
      <c r="BM117" s="187">
        <f t="shared" si="168"/>
        <v>134</v>
      </c>
      <c r="BN117" s="188">
        <f>BD117*AM117</f>
        <v>0</v>
      </c>
      <c r="BO117" s="188">
        <f t="shared" si="128"/>
        <v>0</v>
      </c>
      <c r="BP117" s="188">
        <f t="shared" si="129"/>
        <v>0</v>
      </c>
      <c r="BQ117" s="188">
        <f t="shared" si="130"/>
        <v>0</v>
      </c>
      <c r="BR117" s="188">
        <f t="shared" si="131"/>
        <v>0</v>
      </c>
      <c r="BS117" s="188">
        <f t="shared" si="108"/>
        <v>0</v>
      </c>
      <c r="BT117" s="188">
        <f t="shared" si="109"/>
        <v>0</v>
      </c>
      <c r="BU117" s="188">
        <f t="shared" si="110"/>
        <v>0</v>
      </c>
      <c r="BV117" s="188">
        <f t="shared" si="111"/>
        <v>0</v>
      </c>
      <c r="BW117" s="188">
        <f t="shared" si="112"/>
        <v>0</v>
      </c>
      <c r="BX117" s="188">
        <f t="shared" si="113"/>
        <v>0</v>
      </c>
      <c r="BY117" s="188">
        <f t="shared" si="114"/>
        <v>0</v>
      </c>
      <c r="BZ117" s="305">
        <f>IF(COT_PRECALCULOS!$D$24="Precios Iva Incluído",BI117,BD117)</f>
        <v>134</v>
      </c>
      <c r="CA117" s="305">
        <f>IF(COT_PRECALCULOS!$D$24="Precios Iva Incluído",BJ117,BE117)</f>
        <v>134</v>
      </c>
      <c r="CB117" s="305">
        <f>IF(COT_PRECALCULOS!$D$24="Precios Iva Incluído",BK117,BF117)</f>
        <v>134</v>
      </c>
      <c r="CC117" s="305">
        <f>IF(COT_PRECALCULOS!$D$24="Precios Iva Incluído",BL117,BG117)</f>
        <v>134</v>
      </c>
      <c r="CD117" s="305">
        <f>IF(COT_PRECALCULOS!$D$24="Precios Iva Incluído",BM117,BH117)</f>
        <v>134</v>
      </c>
      <c r="CE117" s="305">
        <f>IF(COT_PRECALCULOS!$D$24="Precios Iva Incluído",BT117,BN117)</f>
        <v>0</v>
      </c>
      <c r="CF117" s="305">
        <f>IF(COT_PRECALCULOS!$D$24="Precios Iva Incluído",BU117,BO117)</f>
        <v>0</v>
      </c>
      <c r="CG117" s="305">
        <f>IF(COT_PRECALCULOS!$D$24="Precios Iva Incluído",BV117,BP117)</f>
        <v>0</v>
      </c>
      <c r="CH117" s="305">
        <f>IF(COT_PRECALCULOS!$D$24="Precios Iva Incluído",BW117,BQ117)</f>
        <v>0</v>
      </c>
      <c r="CI117" s="305">
        <f>IF(COT_PRECALCULOS!$D$24="Precios Iva Incluído",BX117,BR117)</f>
        <v>0</v>
      </c>
    </row>
    <row r="118" spans="1:87">
      <c r="A118" s="182" t="s">
        <v>101</v>
      </c>
      <c r="B118" s="182" t="s">
        <v>98</v>
      </c>
      <c r="C118" s="189" t="str">
        <f t="shared" si="103"/>
        <v>F_PE13</v>
      </c>
      <c r="D118" s="189" t="str">
        <f t="shared" si="104"/>
        <v>7_P_</v>
      </c>
      <c r="E118" s="190" t="s">
        <v>1</v>
      </c>
      <c r="F118" s="190" t="s">
        <v>1</v>
      </c>
      <c r="G118" s="189" t="s">
        <v>26</v>
      </c>
      <c r="H118" s="190"/>
      <c r="I118" s="190" t="s">
        <v>56</v>
      </c>
      <c r="J118" s="190">
        <v>7</v>
      </c>
      <c r="K118" s="190" t="s">
        <v>57</v>
      </c>
      <c r="L118" s="189" t="s">
        <v>9</v>
      </c>
      <c r="M118" s="211">
        <v>100</v>
      </c>
      <c r="N118" s="211">
        <v>100</v>
      </c>
      <c r="O118" s="211">
        <v>100</v>
      </c>
      <c r="P118" s="211">
        <v>100</v>
      </c>
      <c r="Q118" s="211">
        <v>100</v>
      </c>
      <c r="R118" s="190"/>
      <c r="S118" s="183">
        <f t="shared" si="170"/>
        <v>1</v>
      </c>
      <c r="T118" s="385">
        <f>$S118</f>
        <v>1</v>
      </c>
      <c r="U118" s="385">
        <f t="shared" si="171"/>
        <v>1</v>
      </c>
      <c r="V118" s="385">
        <f t="shared" si="171"/>
        <v>1</v>
      </c>
      <c r="W118" s="385">
        <f t="shared" si="171"/>
        <v>1</v>
      </c>
      <c r="X118" s="385">
        <f t="shared" si="171"/>
        <v>1</v>
      </c>
      <c r="Y118" s="184">
        <f t="shared" si="115"/>
        <v>163328</v>
      </c>
      <c r="Z118" s="184">
        <f t="shared" si="172"/>
        <v>217917</v>
      </c>
      <c r="AA118" s="184">
        <f t="shared" si="173"/>
        <v>233081</v>
      </c>
      <c r="AB118" s="184">
        <f t="shared" si="174"/>
        <v>7582</v>
      </c>
      <c r="AC118" s="184">
        <f t="shared" si="175"/>
        <v>7530</v>
      </c>
      <c r="AD118" s="184">
        <f t="shared" si="116"/>
        <v>629438</v>
      </c>
      <c r="AE118" s="183">
        <f t="shared" si="176"/>
        <v>0</v>
      </c>
      <c r="AF118" s="385">
        <f t="shared" si="159"/>
        <v>0</v>
      </c>
      <c r="AG118" s="385">
        <f t="shared" si="159"/>
        <v>0</v>
      </c>
      <c r="AH118" s="385">
        <f t="shared" si="159"/>
        <v>0</v>
      </c>
      <c r="AI118" s="185">
        <f t="shared" si="117"/>
        <v>0</v>
      </c>
      <c r="AJ118" s="185">
        <f t="shared" si="163"/>
        <v>0</v>
      </c>
      <c r="AK118" s="185">
        <f t="shared" si="164"/>
        <v>0</v>
      </c>
      <c r="AL118" s="185">
        <f t="shared" si="120"/>
        <v>0</v>
      </c>
      <c r="AM118" s="173">
        <f>($S118*Y118)+($AE118*AI118)</f>
        <v>163328</v>
      </c>
      <c r="AN118" s="173">
        <f t="shared" si="144"/>
        <v>217917</v>
      </c>
      <c r="AO118" s="173">
        <f t="shared" si="145"/>
        <v>233081</v>
      </c>
      <c r="AP118" s="173">
        <f t="shared" si="105"/>
        <v>7582</v>
      </c>
      <c r="AQ118" s="173">
        <f t="shared" si="106"/>
        <v>7530</v>
      </c>
      <c r="AR118" s="173">
        <f t="shared" si="107"/>
        <v>629438</v>
      </c>
      <c r="AS118" s="186" t="s">
        <v>1706</v>
      </c>
      <c r="AT118" s="300">
        <f t="shared" si="169"/>
        <v>1</v>
      </c>
      <c r="AU118" s="300">
        <f t="shared" si="169"/>
        <v>1</v>
      </c>
      <c r="AV118" s="300">
        <f t="shared" si="169"/>
        <v>1</v>
      </c>
      <c r="AW118" s="300">
        <f t="shared" si="169"/>
        <v>1</v>
      </c>
      <c r="AX118" s="300">
        <f t="shared" si="169"/>
        <v>1</v>
      </c>
      <c r="AY118" s="301">
        <f t="shared" ref="AY118:BC127" si="177">IF(ISERROR(MATCH(CONCATENATE($J118,"_",AY$1),COT_PRE_CODIGO_ALIMENTOS,0)),IF(ISERROR(MATCH(CONCATENATE($J118,"_",AY$2),COT_PRE_CODIGO_ALIMENTOS,0)),IF(ISERROR(MATCH(CONCATENATE($J118,"_",AY$3),COT_PRE_CODIGO_ALIMENTOS,0)),IF(ISERROR(MATCH(CONCATENATE($J118,"_",AY$4),COT_PRE_CODIGO_ALIMENTOS,0)),IF(ISERROR(MATCH(CONCATENATE($J118,"_",AY$5),COT_PRE_CODIGO_ALIMENTOS,0)),IF(ISERROR(MATCH(CONCATENATE($J118,"_",AY$6),COT_PRE_CODIGO_ALIMENTOS,0)),IF(ISERROR(MATCH(CONCATENATE($J118,"_",AY$7),COT_PRE_CODIGO_ALIMENTOS,0)),IF(ISERROR(VLOOKUP($J118,COT_PRE_ALIMENTOS,AY$8,FALSE)),"DATO NO DISPONIBLE",VLOOKUP($J118,COT_PRE_ALIMENTOS,AY$8,FALSE)),VLOOKUP(CONCATENATE($J118,"_",AY$7),COT_PRE_ALIMENTOS,AY$8,FALSE)),VLOOKUP(CONCATENATE($J118,"_",AY$6),COT_PRE_ALIMENTOS,AY$8,FALSE)),VLOOKUP(CONCATENATE($J118,"_",AY$5),COT_PRE_ALIMENTOS,AY$8,FALSE)),VLOOKUP(CONCATENATE($J118,"_",AY$4),COT_PRE_ALIMENTOS,AY$8,FALSE)),VLOOKUP(CONCATENATE($J118,"_",AY$3),COT_PRE_ALIMENTOS,AY$8,FALSE)),VLOOKUP(CONCATENATE($J118,"_",AY$2),COT_PRE_ALIMENTOS,AY$8,FALSE)),VLOOKUP(CONCATENATE($J118,"_",AY$1),COT_PRE_ALIMENTOS,AY$8,FALSE))</f>
        <v>1</v>
      </c>
      <c r="AZ118" s="301">
        <f t="shared" si="177"/>
        <v>1</v>
      </c>
      <c r="BA118" s="301">
        <f t="shared" si="177"/>
        <v>1</v>
      </c>
      <c r="BB118" s="301">
        <f t="shared" si="177"/>
        <v>1</v>
      </c>
      <c r="BC118" s="301">
        <f t="shared" si="177"/>
        <v>1</v>
      </c>
      <c r="BD118" s="187">
        <f>ROUND(IF(OR(M118=0,AT118="DATO NO DISPONIBLE"),"",AT118*M118*($BD$7+1)),0)</f>
        <v>107</v>
      </c>
      <c r="BE118" s="187">
        <f t="shared" si="147"/>
        <v>107</v>
      </c>
      <c r="BF118" s="187">
        <f t="shared" si="148"/>
        <v>107</v>
      </c>
      <c r="BG118" s="187">
        <f t="shared" si="165"/>
        <v>107</v>
      </c>
      <c r="BH118" s="187">
        <f t="shared" si="166"/>
        <v>107</v>
      </c>
      <c r="BI118" s="187">
        <f>ROUND(IF(OR(M118=0,AY118="DATO NO DISPONIBLE"),0,AY118*M118*($BD$7+1)),0)</f>
        <v>107</v>
      </c>
      <c r="BJ118" s="187">
        <f t="shared" si="126"/>
        <v>107</v>
      </c>
      <c r="BK118" s="187">
        <f t="shared" si="127"/>
        <v>107</v>
      </c>
      <c r="BL118" s="187">
        <f t="shared" si="167"/>
        <v>107</v>
      </c>
      <c r="BM118" s="187">
        <f t="shared" si="168"/>
        <v>107</v>
      </c>
      <c r="BN118" s="188">
        <f>BD118*AM118</f>
        <v>17476096</v>
      </c>
      <c r="BO118" s="188">
        <f t="shared" si="128"/>
        <v>23317119</v>
      </c>
      <c r="BP118" s="188">
        <f t="shared" si="129"/>
        <v>24939667</v>
      </c>
      <c r="BQ118" s="188">
        <f t="shared" si="130"/>
        <v>811274</v>
      </c>
      <c r="BR118" s="188">
        <f t="shared" si="131"/>
        <v>805710</v>
      </c>
      <c r="BS118" s="188">
        <f t="shared" si="108"/>
        <v>67349866</v>
      </c>
      <c r="BT118" s="188">
        <f t="shared" si="109"/>
        <v>17476096</v>
      </c>
      <c r="BU118" s="188">
        <f t="shared" si="110"/>
        <v>23317119</v>
      </c>
      <c r="BV118" s="188">
        <f t="shared" si="111"/>
        <v>24939667</v>
      </c>
      <c r="BW118" s="188">
        <f t="shared" si="112"/>
        <v>811274</v>
      </c>
      <c r="BX118" s="188">
        <f t="shared" si="113"/>
        <v>805710</v>
      </c>
      <c r="BY118" s="188">
        <f t="shared" si="114"/>
        <v>67349866</v>
      </c>
      <c r="BZ118" s="305">
        <f>IF(COT_PRECALCULOS!$D$24="Precios Iva Incluído",BI118,BD118)</f>
        <v>107</v>
      </c>
      <c r="CA118" s="305">
        <f>IF(COT_PRECALCULOS!$D$24="Precios Iva Incluído",BJ118,BE118)</f>
        <v>107</v>
      </c>
      <c r="CB118" s="305">
        <f>IF(COT_PRECALCULOS!$D$24="Precios Iva Incluído",BK118,BF118)</f>
        <v>107</v>
      </c>
      <c r="CC118" s="305">
        <f>IF(COT_PRECALCULOS!$D$24="Precios Iva Incluído",BL118,BG118)</f>
        <v>107</v>
      </c>
      <c r="CD118" s="305">
        <f>IF(COT_PRECALCULOS!$D$24="Precios Iva Incluído",BM118,BH118)</f>
        <v>107</v>
      </c>
      <c r="CE118" s="305">
        <f>IF(COT_PRECALCULOS!$D$24="Precios Iva Incluído",BT118,BN118)</f>
        <v>17476096</v>
      </c>
      <c r="CF118" s="305">
        <f>IF(COT_PRECALCULOS!$D$24="Precios Iva Incluído",BU118,BO118)</f>
        <v>23317119</v>
      </c>
      <c r="CG118" s="305">
        <f>IF(COT_PRECALCULOS!$D$24="Precios Iva Incluído",BV118,BP118)</f>
        <v>24939667</v>
      </c>
      <c r="CH118" s="305">
        <f>IF(COT_PRECALCULOS!$D$24="Precios Iva Incluído",BW118,BQ118)</f>
        <v>811274</v>
      </c>
      <c r="CI118" s="305">
        <f>IF(COT_PRECALCULOS!$D$24="Precios Iva Incluído",BX118,BR118)</f>
        <v>805710</v>
      </c>
    </row>
    <row r="119" spans="1:87">
      <c r="A119" s="182" t="s">
        <v>101</v>
      </c>
      <c r="B119" s="182" t="s">
        <v>98</v>
      </c>
      <c r="C119" s="189" t="str">
        <f t="shared" si="103"/>
        <v>F_PE13</v>
      </c>
      <c r="D119" s="189" t="str">
        <f t="shared" si="104"/>
        <v>17_P_</v>
      </c>
      <c r="E119" s="190" t="s">
        <v>1</v>
      </c>
      <c r="F119" s="190" t="s">
        <v>1</v>
      </c>
      <c r="G119" s="189" t="s">
        <v>26</v>
      </c>
      <c r="H119" s="190"/>
      <c r="I119" s="190" t="s">
        <v>52</v>
      </c>
      <c r="J119" s="190">
        <v>17</v>
      </c>
      <c r="K119" s="190" t="s">
        <v>53</v>
      </c>
      <c r="L119" s="189" t="s">
        <v>9</v>
      </c>
      <c r="M119" s="191">
        <v>0</v>
      </c>
      <c r="N119" s="211">
        <v>100</v>
      </c>
      <c r="O119" s="211">
        <v>100</v>
      </c>
      <c r="P119" s="211">
        <v>100</v>
      </c>
      <c r="Q119" s="211">
        <v>100</v>
      </c>
      <c r="R119" s="190" t="s">
        <v>73</v>
      </c>
      <c r="S119" s="183">
        <f t="shared" si="170"/>
        <v>3</v>
      </c>
      <c r="T119" s="386">
        <v>0</v>
      </c>
      <c r="U119" s="385">
        <f t="shared" si="171"/>
        <v>3</v>
      </c>
      <c r="V119" s="385">
        <f t="shared" si="171"/>
        <v>3</v>
      </c>
      <c r="W119" s="385">
        <f t="shared" si="171"/>
        <v>3</v>
      </c>
      <c r="X119" s="385">
        <f t="shared" si="171"/>
        <v>3</v>
      </c>
      <c r="Y119" s="184">
        <f t="shared" si="115"/>
        <v>0</v>
      </c>
      <c r="Z119" s="184">
        <f t="shared" si="172"/>
        <v>217917</v>
      </c>
      <c r="AA119" s="184">
        <f t="shared" si="173"/>
        <v>233081</v>
      </c>
      <c r="AB119" s="184">
        <f t="shared" si="174"/>
        <v>7582</v>
      </c>
      <c r="AC119" s="184">
        <f t="shared" si="175"/>
        <v>7530</v>
      </c>
      <c r="AD119" s="184">
        <f t="shared" si="116"/>
        <v>466110</v>
      </c>
      <c r="AE119" s="183">
        <f t="shared" si="176"/>
        <v>0</v>
      </c>
      <c r="AF119" s="385">
        <f t="shared" si="159"/>
        <v>0</v>
      </c>
      <c r="AG119" s="385">
        <f t="shared" si="159"/>
        <v>0</v>
      </c>
      <c r="AH119" s="385">
        <f t="shared" si="159"/>
        <v>0</v>
      </c>
      <c r="AI119" s="185">
        <f t="shared" si="117"/>
        <v>0</v>
      </c>
      <c r="AJ119" s="185">
        <f t="shared" si="163"/>
        <v>0</v>
      </c>
      <c r="AK119" s="185">
        <f t="shared" si="164"/>
        <v>0</v>
      </c>
      <c r="AL119" s="185">
        <f t="shared" si="120"/>
        <v>0</v>
      </c>
      <c r="AM119" s="173">
        <v>0</v>
      </c>
      <c r="AN119" s="173">
        <f t="shared" si="144"/>
        <v>653751</v>
      </c>
      <c r="AO119" s="173">
        <f t="shared" si="145"/>
        <v>699243</v>
      </c>
      <c r="AP119" s="173">
        <f t="shared" si="105"/>
        <v>22746</v>
      </c>
      <c r="AQ119" s="173">
        <f t="shared" si="106"/>
        <v>22590</v>
      </c>
      <c r="AR119" s="173">
        <f t="shared" si="107"/>
        <v>1398330</v>
      </c>
      <c r="AS119" s="186" t="s">
        <v>1706</v>
      </c>
      <c r="AT119" s="300">
        <f t="shared" si="169"/>
        <v>2.11</v>
      </c>
      <c r="AU119" s="300">
        <f t="shared" si="169"/>
        <v>2.11</v>
      </c>
      <c r="AV119" s="300">
        <f t="shared" si="169"/>
        <v>2.11</v>
      </c>
      <c r="AW119" s="300">
        <f t="shared" si="169"/>
        <v>2.11</v>
      </c>
      <c r="AX119" s="300">
        <f t="shared" si="169"/>
        <v>2.11</v>
      </c>
      <c r="AY119" s="301">
        <f t="shared" si="177"/>
        <v>2.11</v>
      </c>
      <c r="AZ119" s="301">
        <f t="shared" si="177"/>
        <v>2.11</v>
      </c>
      <c r="BA119" s="301">
        <f t="shared" si="177"/>
        <v>2.11</v>
      </c>
      <c r="BB119" s="301">
        <f t="shared" si="177"/>
        <v>2.11</v>
      </c>
      <c r="BC119" s="301">
        <f t="shared" si="177"/>
        <v>2.11</v>
      </c>
      <c r="BD119" s="187"/>
      <c r="BE119" s="187">
        <f t="shared" si="147"/>
        <v>226</v>
      </c>
      <c r="BF119" s="187">
        <f t="shared" si="148"/>
        <v>226</v>
      </c>
      <c r="BG119" s="187">
        <f t="shared" si="165"/>
        <v>226</v>
      </c>
      <c r="BH119" s="187">
        <f t="shared" si="166"/>
        <v>226</v>
      </c>
      <c r="BI119" s="187"/>
      <c r="BJ119" s="187">
        <f t="shared" si="126"/>
        <v>226</v>
      </c>
      <c r="BK119" s="187">
        <f t="shared" si="127"/>
        <v>226</v>
      </c>
      <c r="BL119" s="187">
        <f t="shared" si="167"/>
        <v>226</v>
      </c>
      <c r="BM119" s="187">
        <f t="shared" si="168"/>
        <v>226</v>
      </c>
      <c r="BN119" s="188"/>
      <c r="BO119" s="188">
        <f t="shared" si="128"/>
        <v>147747726</v>
      </c>
      <c r="BP119" s="188">
        <f t="shared" si="129"/>
        <v>158028918</v>
      </c>
      <c r="BQ119" s="188">
        <f t="shared" si="130"/>
        <v>5140596</v>
      </c>
      <c r="BR119" s="188">
        <f t="shared" si="131"/>
        <v>5105340</v>
      </c>
      <c r="BS119" s="188">
        <f t="shared" si="108"/>
        <v>316022580</v>
      </c>
      <c r="BT119" s="188">
        <f t="shared" si="109"/>
        <v>0</v>
      </c>
      <c r="BU119" s="188">
        <f t="shared" si="110"/>
        <v>147747726</v>
      </c>
      <c r="BV119" s="188">
        <f t="shared" si="111"/>
        <v>158028918</v>
      </c>
      <c r="BW119" s="188">
        <f t="shared" si="112"/>
        <v>5140596</v>
      </c>
      <c r="BX119" s="188">
        <f t="shared" si="113"/>
        <v>5105340</v>
      </c>
      <c r="BY119" s="188">
        <f t="shared" si="114"/>
        <v>316022580</v>
      </c>
      <c r="BZ119" s="305">
        <f>IF(COT_PRECALCULOS!$D$24="Precios Iva Incluído",BI119,BD119)</f>
        <v>0</v>
      </c>
      <c r="CA119" s="305">
        <f>IF(COT_PRECALCULOS!$D$24="Precios Iva Incluído",BJ119,BE119)</f>
        <v>226</v>
      </c>
      <c r="CB119" s="305">
        <f>IF(COT_PRECALCULOS!$D$24="Precios Iva Incluído",BK119,BF119)</f>
        <v>226</v>
      </c>
      <c r="CC119" s="305">
        <f>IF(COT_PRECALCULOS!$D$24="Precios Iva Incluído",BL119,BG119)</f>
        <v>226</v>
      </c>
      <c r="CD119" s="305">
        <f>IF(COT_PRECALCULOS!$D$24="Precios Iva Incluído",BM119,BH119)</f>
        <v>226</v>
      </c>
      <c r="CE119" s="305">
        <f>IF(COT_PRECALCULOS!$D$24="Precios Iva Incluído",BT119,BN119)</f>
        <v>0</v>
      </c>
      <c r="CF119" s="305">
        <f>IF(COT_PRECALCULOS!$D$24="Precios Iva Incluído",BU119,BO119)</f>
        <v>147747726</v>
      </c>
      <c r="CG119" s="305">
        <f>IF(COT_PRECALCULOS!$D$24="Precios Iva Incluído",BV119,BP119)</f>
        <v>158028918</v>
      </c>
      <c r="CH119" s="305">
        <f>IF(COT_PRECALCULOS!$D$24="Precios Iva Incluído",BW119,BQ119)</f>
        <v>5140596</v>
      </c>
      <c r="CI119" s="305">
        <f>IF(COT_PRECALCULOS!$D$24="Precios Iva Incluído",BX119,BR119)</f>
        <v>5105340</v>
      </c>
    </row>
    <row r="120" spans="1:87">
      <c r="A120" s="182" t="s">
        <v>101</v>
      </c>
      <c r="B120" s="182" t="s">
        <v>98</v>
      </c>
      <c r="C120" s="189" t="str">
        <f t="shared" si="103"/>
        <v>F_PE13</v>
      </c>
      <c r="D120" s="189" t="str">
        <f t="shared" si="104"/>
        <v>22_P_</v>
      </c>
      <c r="E120" s="190" t="s">
        <v>1</v>
      </c>
      <c r="F120" s="190" t="s">
        <v>1</v>
      </c>
      <c r="G120" s="189" t="s">
        <v>26</v>
      </c>
      <c r="H120" s="190"/>
      <c r="I120" s="190" t="s">
        <v>50</v>
      </c>
      <c r="J120" s="190">
        <v>22</v>
      </c>
      <c r="K120" s="190" t="s">
        <v>51</v>
      </c>
      <c r="L120" s="189" t="s">
        <v>9</v>
      </c>
      <c r="M120" s="386">
        <v>0</v>
      </c>
      <c r="N120" s="211">
        <v>100</v>
      </c>
      <c r="O120" s="211">
        <v>100</v>
      </c>
      <c r="P120" s="211">
        <v>100</v>
      </c>
      <c r="Q120" s="211">
        <v>100</v>
      </c>
      <c r="R120" s="190" t="s">
        <v>73</v>
      </c>
      <c r="S120" s="183">
        <f t="shared" si="170"/>
        <v>1</v>
      </c>
      <c r="T120" s="386">
        <v>0</v>
      </c>
      <c r="U120" s="385">
        <f t="shared" si="171"/>
        <v>1</v>
      </c>
      <c r="V120" s="385">
        <f t="shared" si="171"/>
        <v>1</v>
      </c>
      <c r="W120" s="385">
        <f t="shared" si="171"/>
        <v>1</v>
      </c>
      <c r="X120" s="385">
        <f t="shared" si="171"/>
        <v>1</v>
      </c>
      <c r="Y120" s="184">
        <f t="shared" si="115"/>
        <v>0</v>
      </c>
      <c r="Z120" s="184">
        <f t="shared" si="172"/>
        <v>217917</v>
      </c>
      <c r="AA120" s="184">
        <f t="shared" si="173"/>
        <v>233081</v>
      </c>
      <c r="AB120" s="184">
        <f t="shared" si="174"/>
        <v>7582</v>
      </c>
      <c r="AC120" s="184">
        <f t="shared" si="175"/>
        <v>7530</v>
      </c>
      <c r="AD120" s="184">
        <f t="shared" si="116"/>
        <v>466110</v>
      </c>
      <c r="AE120" s="183">
        <f t="shared" si="176"/>
        <v>0</v>
      </c>
      <c r="AF120" s="385">
        <f t="shared" si="159"/>
        <v>0</v>
      </c>
      <c r="AG120" s="385">
        <f t="shared" si="159"/>
        <v>0</v>
      </c>
      <c r="AH120" s="385">
        <f t="shared" si="159"/>
        <v>0</v>
      </c>
      <c r="AI120" s="185">
        <f t="shared" si="117"/>
        <v>0</v>
      </c>
      <c r="AJ120" s="185">
        <f t="shared" si="163"/>
        <v>0</v>
      </c>
      <c r="AK120" s="185">
        <f t="shared" si="164"/>
        <v>0</v>
      </c>
      <c r="AL120" s="185">
        <f t="shared" si="120"/>
        <v>0</v>
      </c>
      <c r="AM120" s="173">
        <v>0</v>
      </c>
      <c r="AN120" s="173">
        <f t="shared" si="144"/>
        <v>217917</v>
      </c>
      <c r="AO120" s="173">
        <f t="shared" si="145"/>
        <v>233081</v>
      </c>
      <c r="AP120" s="173">
        <f t="shared" si="105"/>
        <v>7582</v>
      </c>
      <c r="AQ120" s="173">
        <f t="shared" si="106"/>
        <v>7530</v>
      </c>
      <c r="AR120" s="173">
        <f t="shared" si="107"/>
        <v>466110</v>
      </c>
      <c r="AS120" s="186" t="s">
        <v>1706</v>
      </c>
      <c r="AT120" s="300">
        <f t="shared" si="169"/>
        <v>4.9124999999999996</v>
      </c>
      <c r="AU120" s="300">
        <f t="shared" si="169"/>
        <v>4.9124999999999996</v>
      </c>
      <c r="AV120" s="300">
        <f t="shared" si="169"/>
        <v>4.9124999999999996</v>
      </c>
      <c r="AW120" s="300">
        <f t="shared" si="169"/>
        <v>4.9124999999999996</v>
      </c>
      <c r="AX120" s="300">
        <f t="shared" si="169"/>
        <v>4.9124999999999996</v>
      </c>
      <c r="AY120" s="301">
        <f t="shared" si="177"/>
        <v>4.9124999999999996</v>
      </c>
      <c r="AZ120" s="301">
        <f t="shared" si="177"/>
        <v>4.9124999999999996</v>
      </c>
      <c r="BA120" s="301">
        <f t="shared" si="177"/>
        <v>4.9124999999999996</v>
      </c>
      <c r="BB120" s="301">
        <f t="shared" si="177"/>
        <v>4.9124999999999996</v>
      </c>
      <c r="BC120" s="301">
        <f t="shared" si="177"/>
        <v>4.9124999999999996</v>
      </c>
      <c r="BD120" s="187"/>
      <c r="BE120" s="187">
        <f t="shared" si="147"/>
        <v>525</v>
      </c>
      <c r="BF120" s="187">
        <f t="shared" si="148"/>
        <v>525</v>
      </c>
      <c r="BG120" s="187">
        <f t="shared" si="165"/>
        <v>525</v>
      </c>
      <c r="BH120" s="187">
        <f t="shared" si="166"/>
        <v>525</v>
      </c>
      <c r="BI120" s="187"/>
      <c r="BJ120" s="187">
        <f t="shared" si="126"/>
        <v>525</v>
      </c>
      <c r="BK120" s="187">
        <f t="shared" si="127"/>
        <v>525</v>
      </c>
      <c r="BL120" s="187">
        <f t="shared" si="167"/>
        <v>525</v>
      </c>
      <c r="BM120" s="187">
        <f t="shared" si="168"/>
        <v>525</v>
      </c>
      <c r="BN120" s="188"/>
      <c r="BO120" s="188">
        <f t="shared" si="128"/>
        <v>114406425</v>
      </c>
      <c r="BP120" s="188">
        <f t="shared" si="129"/>
        <v>122367525</v>
      </c>
      <c r="BQ120" s="188">
        <f t="shared" si="130"/>
        <v>3980550</v>
      </c>
      <c r="BR120" s="188">
        <f t="shared" si="131"/>
        <v>3953250</v>
      </c>
      <c r="BS120" s="188">
        <f t="shared" si="108"/>
        <v>244707750</v>
      </c>
      <c r="BT120" s="188">
        <f t="shared" si="109"/>
        <v>0</v>
      </c>
      <c r="BU120" s="188">
        <f t="shared" si="110"/>
        <v>114406425</v>
      </c>
      <c r="BV120" s="188">
        <f t="shared" si="111"/>
        <v>122367525</v>
      </c>
      <c r="BW120" s="188">
        <f t="shared" si="112"/>
        <v>3980550</v>
      </c>
      <c r="BX120" s="188">
        <f t="shared" si="113"/>
        <v>3953250</v>
      </c>
      <c r="BY120" s="188">
        <f t="shared" si="114"/>
        <v>244707750</v>
      </c>
      <c r="BZ120" s="305">
        <f>IF(COT_PRECALCULOS!$D$24="Precios Iva Incluído",BI120,BD120)</f>
        <v>0</v>
      </c>
      <c r="CA120" s="305">
        <f>IF(COT_PRECALCULOS!$D$24="Precios Iva Incluído",BJ120,BE120)</f>
        <v>525</v>
      </c>
      <c r="CB120" s="305">
        <f>IF(COT_PRECALCULOS!$D$24="Precios Iva Incluído",BK120,BF120)</f>
        <v>525</v>
      </c>
      <c r="CC120" s="305">
        <f>IF(COT_PRECALCULOS!$D$24="Precios Iva Incluído",BL120,BG120)</f>
        <v>525</v>
      </c>
      <c r="CD120" s="305">
        <f>IF(COT_PRECALCULOS!$D$24="Precios Iva Incluído",BM120,BH120)</f>
        <v>525</v>
      </c>
      <c r="CE120" s="305">
        <f>IF(COT_PRECALCULOS!$D$24="Precios Iva Incluído",BT120,BN120)</f>
        <v>0</v>
      </c>
      <c r="CF120" s="305">
        <f>IF(COT_PRECALCULOS!$D$24="Precios Iva Incluído",BU120,BO120)</f>
        <v>114406425</v>
      </c>
      <c r="CG120" s="305">
        <f>IF(COT_PRECALCULOS!$D$24="Precios Iva Incluído",BV120,BP120)</f>
        <v>122367525</v>
      </c>
      <c r="CH120" s="305">
        <f>IF(COT_PRECALCULOS!$D$24="Precios Iva Incluído",BW120,BQ120)</f>
        <v>3980550</v>
      </c>
      <c r="CI120" s="305">
        <f>IF(COT_PRECALCULOS!$D$24="Precios Iva Incluído",BX120,BR120)</f>
        <v>3953250</v>
      </c>
    </row>
    <row r="121" spans="1:87">
      <c r="A121" s="182" t="s">
        <v>101</v>
      </c>
      <c r="B121" s="182" t="s">
        <v>98</v>
      </c>
      <c r="C121" s="189" t="str">
        <f t="shared" si="103"/>
        <v>F_PE13</v>
      </c>
      <c r="D121" s="189" t="str">
        <f t="shared" si="104"/>
        <v>33_P_</v>
      </c>
      <c r="E121" s="190" t="s">
        <v>1</v>
      </c>
      <c r="F121" s="190" t="s">
        <v>1</v>
      </c>
      <c r="G121" s="189" t="s">
        <v>26</v>
      </c>
      <c r="H121" s="190"/>
      <c r="I121" s="190" t="s">
        <v>58</v>
      </c>
      <c r="J121" s="190">
        <v>33</v>
      </c>
      <c r="K121" s="190" t="s">
        <v>59</v>
      </c>
      <c r="L121" s="189" t="s">
        <v>48</v>
      </c>
      <c r="M121" s="310">
        <v>90</v>
      </c>
      <c r="N121" s="310">
        <v>90</v>
      </c>
      <c r="O121" s="310">
        <v>90</v>
      </c>
      <c r="P121" s="310">
        <v>90</v>
      </c>
      <c r="Q121" s="310">
        <v>90</v>
      </c>
      <c r="R121" s="190"/>
      <c r="S121" s="183">
        <f t="shared" si="170"/>
        <v>1</v>
      </c>
      <c r="T121" s="385">
        <f>$S121</f>
        <v>1</v>
      </c>
      <c r="U121" s="385">
        <f t="shared" si="171"/>
        <v>1</v>
      </c>
      <c r="V121" s="385">
        <f t="shared" si="171"/>
        <v>1</v>
      </c>
      <c r="W121" s="385">
        <f t="shared" si="171"/>
        <v>1</v>
      </c>
      <c r="X121" s="385">
        <f t="shared" si="171"/>
        <v>1</v>
      </c>
      <c r="Y121" s="184">
        <f t="shared" si="115"/>
        <v>163328</v>
      </c>
      <c r="Z121" s="184">
        <f t="shared" si="172"/>
        <v>217917</v>
      </c>
      <c r="AA121" s="184">
        <f t="shared" si="173"/>
        <v>233081</v>
      </c>
      <c r="AB121" s="184">
        <f t="shared" si="174"/>
        <v>7582</v>
      </c>
      <c r="AC121" s="184">
        <f t="shared" si="175"/>
        <v>7530</v>
      </c>
      <c r="AD121" s="184">
        <f t="shared" si="116"/>
        <v>629438</v>
      </c>
      <c r="AE121" s="183">
        <f t="shared" si="176"/>
        <v>0</v>
      </c>
      <c r="AF121" s="385">
        <f t="shared" si="159"/>
        <v>0</v>
      </c>
      <c r="AG121" s="385">
        <f t="shared" si="159"/>
        <v>0</v>
      </c>
      <c r="AH121" s="385">
        <f t="shared" si="159"/>
        <v>0</v>
      </c>
      <c r="AI121" s="185">
        <f t="shared" si="117"/>
        <v>0</v>
      </c>
      <c r="AJ121" s="185">
        <f t="shared" si="163"/>
        <v>0</v>
      </c>
      <c r="AK121" s="185">
        <f t="shared" si="164"/>
        <v>0</v>
      </c>
      <c r="AL121" s="185">
        <f t="shared" si="120"/>
        <v>0</v>
      </c>
      <c r="AM121" s="173">
        <f t="shared" ref="AM121:AM127" si="178">($S121*Y121)+($AE121*AI121)</f>
        <v>163328</v>
      </c>
      <c r="AN121" s="173">
        <f t="shared" si="144"/>
        <v>217917</v>
      </c>
      <c r="AO121" s="173">
        <f t="shared" si="145"/>
        <v>233081</v>
      </c>
      <c r="AP121" s="173">
        <f t="shared" si="105"/>
        <v>7582</v>
      </c>
      <c r="AQ121" s="173">
        <f t="shared" si="106"/>
        <v>7530</v>
      </c>
      <c r="AR121" s="173">
        <f t="shared" si="107"/>
        <v>629438</v>
      </c>
      <c r="AS121" s="186" t="s">
        <v>1706</v>
      </c>
      <c r="AT121" s="300">
        <f t="shared" ref="AT121:AX130" si="179">IF(ISERROR(IF(ISERROR(MATCH(CONCATENATE($J121,"_",AT$1),COT_PRE_CODIGO_ALIMENTOS,0)),IF(ISERROR(MATCH(CONCATENATE($J121,"_",AT$2),COT_PRE_CODIGO_ALIMENTOS,0)),IF(ISERROR(MATCH(CONCATENATE($J121,"_",AT$3),COT_PRE_CODIGO_ALIMENTOS,0)),IF(ISERROR(MATCH(CONCATENATE($J121,"_",AT$4),COT_PRE_CODIGO_ALIMENTOS,0)),IF(ISERROR(MATCH(CONCATENATE($J121,"_",AT$5),COT_PRE_CODIGO_ALIMENTOS,0)),IF(ISERROR(MATCH(CONCATENATE($J121,"_",AT$6),COT_PRE_CODIGO_ALIMENTOS,0)),IF(ISERROR(MATCH(CONCATENATE($J121,"_",AT$7),COT_PRE_CODIGO_ALIMENTOS,0)),IF(ISERROR(VLOOKUP($J121,COT_PRE_ALIMENTOS,AT$8,FALSE)),"DATO NO DISPONIBLE",VLOOKUP($J121,COT_PRE_ALIMENTOS,AT$8,FALSE)),VLOOKUP(CONCATENATE($J121,"_",AT$7),COT_PRE_ALIMENTOS,AT$8,FALSE)),VLOOKUP(CONCATENATE($J121,"_",AT$6),COT_PRE_ALIMENTOS,AT$8,FALSE)),VLOOKUP(CONCATENATE($J121,"_",AT$5),COT_PRE_ALIMENTOS,AT$8,FALSE)),VLOOKUP(CONCATENATE($J121,"_",AT$4),COT_PRE_ALIMENTOS,AT$8,FALSE)),VLOOKUP(CONCATENATE($J121,"_",AT$3),COT_PRE_ALIMENTOS,AT$8,FALSE)),VLOOKUP(CONCATENATE($J121,"_",AT$2),COT_PRE_ALIMENTOS,AT$8,FALSE)),VLOOKUP(CONCATENATE($J121,"_",AT$1),COT_PRE_ALIMENTOS,AT$8,FALSE))),"DATO NO DISPONIBLE",IF(ISERROR(MATCH(CONCATENATE($J121,"_",AT$1),COT_PRE_CODIGO_ALIMENTOS,0)),IF(ISERROR(MATCH(CONCATENATE($J121,"_",AT$2),COT_PRE_CODIGO_ALIMENTOS,0)),IF(ISERROR(MATCH(CONCATENATE($J121,"_",AT$3),COT_PRE_CODIGO_ALIMENTOS,0)),IF(ISERROR(MATCH(CONCATENATE($J121,"_",AT$4),COT_PRE_CODIGO_ALIMENTOS,0)),IF(ISERROR(MATCH(CONCATENATE($J121,"_",AT$5),COT_PRE_CODIGO_ALIMENTOS,0)),IF(ISERROR(MATCH(CONCATENATE($J121,"_",AT$6),COT_PRE_CODIGO_ALIMENTOS,0)),IF(ISERROR(MATCH(CONCATENATE($J121,"_",AT$7),COT_PRE_CODIGO_ALIMENTOS,0)),IF(ISERROR(VLOOKUP($J121,COT_PRE_ALIMENTOS,AT$8,FALSE)),"DATO NO DISPONIBLE",VLOOKUP($J121,COT_PRE_ALIMENTOS,AT$8,FALSE)),VLOOKUP(CONCATENATE($J121,"_",AT$7),COT_PRE_ALIMENTOS,AT$8,FALSE)),VLOOKUP(CONCATENATE($J121,"_",AT$6),COT_PRE_ALIMENTOS,AT$8,FALSE)),VLOOKUP(CONCATENATE($J121,"_",AT$5),COT_PRE_ALIMENTOS,AT$8,FALSE)),VLOOKUP(CONCATENATE($J121,"_",AT$4),COT_PRE_ALIMENTOS,AT$8,FALSE)),VLOOKUP(CONCATENATE($J121,"_",AT$3),COT_PRE_ALIMENTOS,AT$8,FALSE)),VLOOKUP(CONCATENATE($J121,"_",AT$2),COT_PRE_ALIMENTOS,AT$8,FALSE)),VLOOKUP(CONCATENATE($J121,"_",AT$1),COT_PRE_ALIMENTOS,AT$8,FALSE)))</f>
        <v>2.8014999999999999</v>
      </c>
      <c r="AU121" s="300">
        <f t="shared" si="179"/>
        <v>2.8014999999999999</v>
      </c>
      <c r="AV121" s="300">
        <f t="shared" si="179"/>
        <v>2.8014999999999999</v>
      </c>
      <c r="AW121" s="300">
        <f t="shared" si="179"/>
        <v>2.8014999999999999</v>
      </c>
      <c r="AX121" s="300">
        <f t="shared" si="179"/>
        <v>2.8014999999999999</v>
      </c>
      <c r="AY121" s="301">
        <f t="shared" si="177"/>
        <v>2.8014999999999999</v>
      </c>
      <c r="AZ121" s="301">
        <f t="shared" si="177"/>
        <v>2.8014999999999999</v>
      </c>
      <c r="BA121" s="301">
        <f t="shared" si="177"/>
        <v>2.8014999999999999</v>
      </c>
      <c r="BB121" s="301">
        <f t="shared" si="177"/>
        <v>2.8014999999999999</v>
      </c>
      <c r="BC121" s="301">
        <f t="shared" si="177"/>
        <v>2.8014999999999999</v>
      </c>
      <c r="BD121" s="187">
        <f>ROUND(IF(OR(M121=0,AT121="DATO NO DISPONIBLE"),"",AT121*M121*($BD$7+1)),0)</f>
        <v>270</v>
      </c>
      <c r="BE121" s="187">
        <f t="shared" si="147"/>
        <v>270</v>
      </c>
      <c r="BF121" s="187">
        <f t="shared" si="148"/>
        <v>270</v>
      </c>
      <c r="BG121" s="187">
        <f t="shared" si="165"/>
        <v>270</v>
      </c>
      <c r="BH121" s="187">
        <f t="shared" si="166"/>
        <v>270</v>
      </c>
      <c r="BI121" s="187">
        <f>ROUND(IF(OR(M121=0,AY121="DATO NO DISPONIBLE"),0,AY121*M121*($BD$7+1)),0)</f>
        <v>270</v>
      </c>
      <c r="BJ121" s="187">
        <f t="shared" si="126"/>
        <v>270</v>
      </c>
      <c r="BK121" s="187">
        <f t="shared" si="127"/>
        <v>270</v>
      </c>
      <c r="BL121" s="187">
        <f t="shared" si="167"/>
        <v>270</v>
      </c>
      <c r="BM121" s="187">
        <f t="shared" si="168"/>
        <v>270</v>
      </c>
      <c r="BN121" s="188">
        <f>BD121*AM121</f>
        <v>44098560</v>
      </c>
      <c r="BO121" s="188">
        <f t="shared" si="128"/>
        <v>58837590</v>
      </c>
      <c r="BP121" s="188">
        <f t="shared" si="129"/>
        <v>62931870</v>
      </c>
      <c r="BQ121" s="188">
        <f t="shared" si="130"/>
        <v>2047140</v>
      </c>
      <c r="BR121" s="188">
        <f t="shared" si="131"/>
        <v>2033100</v>
      </c>
      <c r="BS121" s="188">
        <f t="shared" si="108"/>
        <v>169948260</v>
      </c>
      <c r="BT121" s="188">
        <f t="shared" si="109"/>
        <v>44098560</v>
      </c>
      <c r="BU121" s="188">
        <f t="shared" si="110"/>
        <v>58837590</v>
      </c>
      <c r="BV121" s="188">
        <f t="shared" si="111"/>
        <v>62931870</v>
      </c>
      <c r="BW121" s="188">
        <f t="shared" si="112"/>
        <v>2047140</v>
      </c>
      <c r="BX121" s="188">
        <f t="shared" si="113"/>
        <v>2033100</v>
      </c>
      <c r="BY121" s="188">
        <f t="shared" si="114"/>
        <v>169948260</v>
      </c>
      <c r="BZ121" s="305">
        <f>IF(COT_PRECALCULOS!$D$24="Precios Iva Incluído",BI121,BD121)</f>
        <v>270</v>
      </c>
      <c r="CA121" s="305">
        <f>IF(COT_PRECALCULOS!$D$24="Precios Iva Incluído",BJ121,BE121)</f>
        <v>270</v>
      </c>
      <c r="CB121" s="305">
        <f>IF(COT_PRECALCULOS!$D$24="Precios Iva Incluído",BK121,BF121)</f>
        <v>270</v>
      </c>
      <c r="CC121" s="305">
        <f>IF(COT_PRECALCULOS!$D$24="Precios Iva Incluído",BL121,BG121)</f>
        <v>270</v>
      </c>
      <c r="CD121" s="305">
        <f>IF(COT_PRECALCULOS!$D$24="Precios Iva Incluído",BM121,BH121)</f>
        <v>270</v>
      </c>
      <c r="CE121" s="305">
        <f>IF(COT_PRECALCULOS!$D$24="Precios Iva Incluído",BT121,BN121)</f>
        <v>44098560</v>
      </c>
      <c r="CF121" s="305">
        <f>IF(COT_PRECALCULOS!$D$24="Precios Iva Incluído",BU121,BO121)</f>
        <v>58837590</v>
      </c>
      <c r="CG121" s="305">
        <f>IF(COT_PRECALCULOS!$D$24="Precios Iva Incluído",BV121,BP121)</f>
        <v>62931870</v>
      </c>
      <c r="CH121" s="305">
        <f>IF(COT_PRECALCULOS!$D$24="Precios Iva Incluído",BW121,BQ121)</f>
        <v>2047140</v>
      </c>
      <c r="CI121" s="305">
        <f>IF(COT_PRECALCULOS!$D$24="Precios Iva Incluído",BX121,BR121)</f>
        <v>2033100</v>
      </c>
    </row>
    <row r="122" spans="1:87">
      <c r="A122" s="182" t="s">
        <v>101</v>
      </c>
      <c r="B122" s="182" t="s">
        <v>98</v>
      </c>
      <c r="C122" s="189" t="str">
        <f t="shared" si="103"/>
        <v>F_PE13</v>
      </c>
      <c r="D122" s="189" t="str">
        <f t="shared" si="104"/>
        <v>42_P_</v>
      </c>
      <c r="E122" s="190" t="s">
        <v>1</v>
      </c>
      <c r="F122" s="190" t="s">
        <v>1</v>
      </c>
      <c r="G122" s="189" t="s">
        <v>26</v>
      </c>
      <c r="H122" s="190"/>
      <c r="I122" s="190" t="s">
        <v>49</v>
      </c>
      <c r="J122" s="190">
        <v>42</v>
      </c>
      <c r="K122" s="190" t="s">
        <v>61</v>
      </c>
      <c r="L122" s="189" t="s">
        <v>9</v>
      </c>
      <c r="M122" s="211">
        <v>100</v>
      </c>
      <c r="N122" s="211">
        <v>100</v>
      </c>
      <c r="O122" s="211">
        <v>100</v>
      </c>
      <c r="P122" s="211">
        <v>100</v>
      </c>
      <c r="Q122" s="211">
        <v>100</v>
      </c>
      <c r="R122" s="190"/>
      <c r="S122" s="388">
        <v>4</v>
      </c>
      <c r="T122" s="388">
        <f>$S122</f>
        <v>4</v>
      </c>
      <c r="U122" s="388">
        <v>0</v>
      </c>
      <c r="V122" s="388">
        <v>0</v>
      </c>
      <c r="W122" s="388">
        <v>0</v>
      </c>
      <c r="X122" s="388">
        <v>0</v>
      </c>
      <c r="Y122" s="184">
        <f t="shared" si="115"/>
        <v>163328</v>
      </c>
      <c r="Z122" s="184">
        <v>0</v>
      </c>
      <c r="AA122" s="184">
        <v>0</v>
      </c>
      <c r="AB122" s="184">
        <v>0</v>
      </c>
      <c r="AC122" s="184">
        <v>0</v>
      </c>
      <c r="AD122" s="184">
        <f t="shared" si="116"/>
        <v>163328</v>
      </c>
      <c r="AE122" s="183">
        <f t="shared" si="176"/>
        <v>0</v>
      </c>
      <c r="AF122" s="385">
        <f t="shared" si="159"/>
        <v>0</v>
      </c>
      <c r="AG122" s="385">
        <f t="shared" si="159"/>
        <v>0</v>
      </c>
      <c r="AH122" s="385">
        <f t="shared" si="159"/>
        <v>0</v>
      </c>
      <c r="AI122" s="185">
        <f t="shared" si="117"/>
        <v>0</v>
      </c>
      <c r="AJ122" s="185">
        <f t="shared" si="163"/>
        <v>0</v>
      </c>
      <c r="AK122" s="185">
        <f t="shared" si="164"/>
        <v>0</v>
      </c>
      <c r="AL122" s="185">
        <f t="shared" si="120"/>
        <v>0</v>
      </c>
      <c r="AM122" s="173">
        <f t="shared" si="178"/>
        <v>653312</v>
      </c>
      <c r="AN122" s="173">
        <f t="shared" si="144"/>
        <v>0</v>
      </c>
      <c r="AO122" s="173">
        <f t="shared" si="145"/>
        <v>0</v>
      </c>
      <c r="AP122" s="173">
        <f t="shared" si="105"/>
        <v>0</v>
      </c>
      <c r="AQ122" s="173">
        <f t="shared" si="106"/>
        <v>0</v>
      </c>
      <c r="AR122" s="173">
        <f t="shared" si="107"/>
        <v>653312</v>
      </c>
      <c r="AS122" s="186" t="s">
        <v>1706</v>
      </c>
      <c r="AT122" s="300">
        <f t="shared" si="179"/>
        <v>1.8169999999999999</v>
      </c>
      <c r="AU122" s="300">
        <f t="shared" si="179"/>
        <v>1.8169999999999999</v>
      </c>
      <c r="AV122" s="300">
        <f t="shared" si="179"/>
        <v>1.8169999999999999</v>
      </c>
      <c r="AW122" s="300">
        <f t="shared" si="179"/>
        <v>1.8169999999999999</v>
      </c>
      <c r="AX122" s="300">
        <f t="shared" si="179"/>
        <v>1.8169999999999999</v>
      </c>
      <c r="AY122" s="301">
        <f t="shared" si="177"/>
        <v>1.8169999999999999</v>
      </c>
      <c r="AZ122" s="301">
        <f t="shared" si="177"/>
        <v>1.8169999999999999</v>
      </c>
      <c r="BA122" s="301">
        <f t="shared" si="177"/>
        <v>1.8169999999999999</v>
      </c>
      <c r="BB122" s="301">
        <f t="shared" si="177"/>
        <v>1.8169999999999999</v>
      </c>
      <c r="BC122" s="301">
        <f t="shared" si="177"/>
        <v>1.8169999999999999</v>
      </c>
      <c r="BD122" s="187">
        <f>ROUND(IF(OR(M122=0,AT122="DATO NO DISPONIBLE"),"",AT122*M122*($BD$7+1)),0)</f>
        <v>194</v>
      </c>
      <c r="BE122" s="187">
        <f t="shared" si="147"/>
        <v>194</v>
      </c>
      <c r="BF122" s="187">
        <f t="shared" si="148"/>
        <v>194</v>
      </c>
      <c r="BG122" s="187">
        <f t="shared" si="165"/>
        <v>194</v>
      </c>
      <c r="BH122" s="187">
        <f t="shared" si="166"/>
        <v>194</v>
      </c>
      <c r="BI122" s="187">
        <f>ROUND(IF(OR(M122=0,AY122="DATO NO DISPONIBLE"),0,AY122*M122*($BD$7+1)),0)</f>
        <v>194</v>
      </c>
      <c r="BJ122" s="187">
        <f t="shared" si="126"/>
        <v>194</v>
      </c>
      <c r="BK122" s="187">
        <f t="shared" si="127"/>
        <v>194</v>
      </c>
      <c r="BL122" s="187">
        <f t="shared" si="167"/>
        <v>194</v>
      </c>
      <c r="BM122" s="187">
        <f t="shared" si="168"/>
        <v>194</v>
      </c>
      <c r="BN122" s="188">
        <f>BD122*AM122</f>
        <v>126742528</v>
      </c>
      <c r="BO122" s="188">
        <f t="shared" si="128"/>
        <v>0</v>
      </c>
      <c r="BP122" s="188">
        <f t="shared" si="129"/>
        <v>0</v>
      </c>
      <c r="BQ122" s="188">
        <f t="shared" si="130"/>
        <v>0</v>
      </c>
      <c r="BR122" s="188">
        <f t="shared" si="131"/>
        <v>0</v>
      </c>
      <c r="BS122" s="188">
        <f t="shared" si="108"/>
        <v>126742528</v>
      </c>
      <c r="BT122" s="188">
        <f t="shared" si="109"/>
        <v>126742528</v>
      </c>
      <c r="BU122" s="188">
        <f t="shared" si="110"/>
        <v>0</v>
      </c>
      <c r="BV122" s="188">
        <f t="shared" si="111"/>
        <v>0</v>
      </c>
      <c r="BW122" s="188">
        <f t="shared" si="112"/>
        <v>0</v>
      </c>
      <c r="BX122" s="188">
        <f t="shared" si="113"/>
        <v>0</v>
      </c>
      <c r="BY122" s="188">
        <f t="shared" si="114"/>
        <v>126742528</v>
      </c>
      <c r="BZ122" s="305">
        <f>IF(COT_PRECALCULOS!$D$24="Precios Iva Incluído",BI122,BD122)</f>
        <v>194</v>
      </c>
      <c r="CA122" s="305">
        <f>IF(COT_PRECALCULOS!$D$24="Precios Iva Incluído",BJ122,BE122)</f>
        <v>194</v>
      </c>
      <c r="CB122" s="305">
        <f>IF(COT_PRECALCULOS!$D$24="Precios Iva Incluído",BK122,BF122)</f>
        <v>194</v>
      </c>
      <c r="CC122" s="305">
        <f>IF(COT_PRECALCULOS!$D$24="Precios Iva Incluído",BL122,BG122)</f>
        <v>194</v>
      </c>
      <c r="CD122" s="305">
        <f>IF(COT_PRECALCULOS!$D$24="Precios Iva Incluído",BM122,BH122)</f>
        <v>194</v>
      </c>
      <c r="CE122" s="305">
        <f>IF(COT_PRECALCULOS!$D$24="Precios Iva Incluído",BT122,BN122)</f>
        <v>126742528</v>
      </c>
      <c r="CF122" s="305">
        <f>IF(COT_PRECALCULOS!$D$24="Precios Iva Incluído",BU122,BO122)</f>
        <v>0</v>
      </c>
      <c r="CG122" s="305">
        <f>IF(COT_PRECALCULOS!$D$24="Precios Iva Incluído",BV122,BP122)</f>
        <v>0</v>
      </c>
      <c r="CH122" s="305">
        <f>IF(COT_PRECALCULOS!$D$24="Precios Iva Incluído",BW122,BQ122)</f>
        <v>0</v>
      </c>
      <c r="CI122" s="305">
        <f>IF(COT_PRECALCULOS!$D$24="Precios Iva Incluído",BX122,BR122)</f>
        <v>0</v>
      </c>
    </row>
    <row r="123" spans="1:87">
      <c r="A123" s="182" t="s">
        <v>101</v>
      </c>
      <c r="B123" s="182" t="s">
        <v>98</v>
      </c>
      <c r="C123" s="189" t="str">
        <f t="shared" si="103"/>
        <v>F_PE13</v>
      </c>
      <c r="D123" s="189" t="str">
        <f t="shared" si="104"/>
        <v>43_P_</v>
      </c>
      <c r="E123" s="190" t="s">
        <v>1</v>
      </c>
      <c r="F123" s="190" t="s">
        <v>1</v>
      </c>
      <c r="G123" s="189" t="s">
        <v>26</v>
      </c>
      <c r="H123" s="190"/>
      <c r="I123" s="190" t="s">
        <v>60</v>
      </c>
      <c r="J123" s="190">
        <v>43</v>
      </c>
      <c r="K123" s="190" t="s">
        <v>62</v>
      </c>
      <c r="L123" s="189" t="s">
        <v>9</v>
      </c>
      <c r="M123" s="211">
        <v>100</v>
      </c>
      <c r="N123" s="211">
        <v>100</v>
      </c>
      <c r="O123" s="211">
        <v>100</v>
      </c>
      <c r="P123" s="211">
        <v>100</v>
      </c>
      <c r="Q123" s="211">
        <v>100</v>
      </c>
      <c r="R123" s="190"/>
      <c r="S123" s="385">
        <f>COUNTIF(CAL_PRIMERA_ENTREGA_FRUTA,CONCATENATE(G123,"_",J123))</f>
        <v>1</v>
      </c>
      <c r="T123" s="385">
        <f>$S123</f>
        <v>1</v>
      </c>
      <c r="U123" s="385">
        <f t="shared" ref="U123:X126" si="180">$S123</f>
        <v>1</v>
      </c>
      <c r="V123" s="385">
        <f t="shared" si="180"/>
        <v>1</v>
      </c>
      <c r="W123" s="385">
        <f t="shared" si="180"/>
        <v>1</v>
      </c>
      <c r="X123" s="385">
        <f t="shared" si="180"/>
        <v>1</v>
      </c>
      <c r="Y123" s="184">
        <f t="shared" si="115"/>
        <v>163328</v>
      </c>
      <c r="Z123" s="184">
        <f>IF(N123&lt;&gt;0,VLOOKUP(A123,FRE_CANTIDADES_DIARIAS_SUMINISTROS,5,FALSE),0)</f>
        <v>217917</v>
      </c>
      <c r="AA123" s="184">
        <f>IF(O123&lt;&gt;0,VLOOKUP(A123,FRE_CANTIDADES_DIARIAS_SUMINISTROS,6,FALSE),0)</f>
        <v>233081</v>
      </c>
      <c r="AB123" s="184">
        <f>IF(P123&lt;&gt;0,VLOOKUP(A123,FRE_CANTIDADES_DIARIAS_SUMINISTROS,7,FALSE),0)</f>
        <v>7582</v>
      </c>
      <c r="AC123" s="184">
        <f>IF(Q123&lt;&gt;0,VLOOKUP(A123,FRE_CANTIDADES_DIARIAS_SUMINISTROS,8,FALSE),0)</f>
        <v>7530</v>
      </c>
      <c r="AD123" s="184">
        <f t="shared" si="116"/>
        <v>629438</v>
      </c>
      <c r="AE123" s="183">
        <f t="shared" si="176"/>
        <v>0</v>
      </c>
      <c r="AF123" s="385">
        <f t="shared" si="159"/>
        <v>0</v>
      </c>
      <c r="AG123" s="385">
        <f t="shared" si="159"/>
        <v>0</v>
      </c>
      <c r="AH123" s="385">
        <f t="shared" si="159"/>
        <v>0</v>
      </c>
      <c r="AI123" s="185">
        <f t="shared" si="117"/>
        <v>0</v>
      </c>
      <c r="AJ123" s="185">
        <f t="shared" si="163"/>
        <v>0</v>
      </c>
      <c r="AK123" s="185">
        <f t="shared" si="164"/>
        <v>0</v>
      </c>
      <c r="AL123" s="185">
        <f t="shared" si="120"/>
        <v>0</v>
      </c>
      <c r="AM123" s="173">
        <f t="shared" si="178"/>
        <v>163328</v>
      </c>
      <c r="AN123" s="173">
        <f t="shared" si="144"/>
        <v>217917</v>
      </c>
      <c r="AO123" s="173">
        <f t="shared" si="145"/>
        <v>233081</v>
      </c>
      <c r="AP123" s="173">
        <f t="shared" si="105"/>
        <v>7582</v>
      </c>
      <c r="AQ123" s="173">
        <f t="shared" si="106"/>
        <v>7530</v>
      </c>
      <c r="AR123" s="173">
        <f t="shared" si="107"/>
        <v>629438</v>
      </c>
      <c r="AS123" s="186" t="s">
        <v>1706</v>
      </c>
      <c r="AT123" s="300">
        <f t="shared" si="179"/>
        <v>1.5892500000000001</v>
      </c>
      <c r="AU123" s="300">
        <f t="shared" si="179"/>
        <v>1.5892500000000001</v>
      </c>
      <c r="AV123" s="300">
        <f t="shared" si="179"/>
        <v>1.5892500000000001</v>
      </c>
      <c r="AW123" s="300">
        <f t="shared" si="179"/>
        <v>1.5892500000000001</v>
      </c>
      <c r="AX123" s="300">
        <f t="shared" si="179"/>
        <v>1.5892500000000001</v>
      </c>
      <c r="AY123" s="301">
        <f t="shared" si="177"/>
        <v>1.5892500000000001</v>
      </c>
      <c r="AZ123" s="301">
        <f t="shared" si="177"/>
        <v>1.5892500000000001</v>
      </c>
      <c r="BA123" s="301">
        <f t="shared" si="177"/>
        <v>1.5892500000000001</v>
      </c>
      <c r="BB123" s="301">
        <f t="shared" si="177"/>
        <v>1.5892500000000001</v>
      </c>
      <c r="BC123" s="301">
        <f t="shared" si="177"/>
        <v>1.5892500000000001</v>
      </c>
      <c r="BD123" s="187">
        <f>ROUND(IF(OR(M123=0,AT123="DATO NO DISPONIBLE"),"",AT123*M123*($BD$7+1)),0)</f>
        <v>170</v>
      </c>
      <c r="BE123" s="187">
        <f t="shared" si="147"/>
        <v>170</v>
      </c>
      <c r="BF123" s="187">
        <f t="shared" si="148"/>
        <v>170</v>
      </c>
      <c r="BG123" s="187">
        <f t="shared" si="165"/>
        <v>170</v>
      </c>
      <c r="BH123" s="187">
        <f t="shared" si="166"/>
        <v>170</v>
      </c>
      <c r="BI123" s="187">
        <f>ROUND(IF(OR(M123=0,AY123="DATO NO DISPONIBLE"),0,AY123*M123*($BD$7+1)),0)</f>
        <v>170</v>
      </c>
      <c r="BJ123" s="187">
        <f t="shared" si="126"/>
        <v>170</v>
      </c>
      <c r="BK123" s="187">
        <f t="shared" si="127"/>
        <v>170</v>
      </c>
      <c r="BL123" s="187">
        <f t="shared" si="167"/>
        <v>170</v>
      </c>
      <c r="BM123" s="187">
        <f t="shared" si="168"/>
        <v>170</v>
      </c>
      <c r="BN123" s="188">
        <f>BD123*AM123</f>
        <v>27765760</v>
      </c>
      <c r="BO123" s="188">
        <f t="shared" si="128"/>
        <v>37045890</v>
      </c>
      <c r="BP123" s="188">
        <f t="shared" si="129"/>
        <v>39623770</v>
      </c>
      <c r="BQ123" s="188">
        <f t="shared" si="130"/>
        <v>1288940</v>
      </c>
      <c r="BR123" s="188">
        <f t="shared" si="131"/>
        <v>1280100</v>
      </c>
      <c r="BS123" s="188">
        <f t="shared" si="108"/>
        <v>107004460</v>
      </c>
      <c r="BT123" s="188">
        <f t="shared" si="109"/>
        <v>27765760</v>
      </c>
      <c r="BU123" s="188">
        <f t="shared" si="110"/>
        <v>37045890</v>
      </c>
      <c r="BV123" s="188">
        <f t="shared" si="111"/>
        <v>39623770</v>
      </c>
      <c r="BW123" s="188">
        <f t="shared" si="112"/>
        <v>1288940</v>
      </c>
      <c r="BX123" s="188">
        <f t="shared" si="113"/>
        <v>1280100</v>
      </c>
      <c r="BY123" s="188">
        <f t="shared" si="114"/>
        <v>107004460</v>
      </c>
      <c r="BZ123" s="305">
        <f>IF(COT_PRECALCULOS!$D$24="Precios Iva Incluído",BI123,BD123)</f>
        <v>170</v>
      </c>
      <c r="CA123" s="305">
        <f>IF(COT_PRECALCULOS!$D$24="Precios Iva Incluído",BJ123,BE123)</f>
        <v>170</v>
      </c>
      <c r="CB123" s="305">
        <f>IF(COT_PRECALCULOS!$D$24="Precios Iva Incluído",BK123,BF123)</f>
        <v>170</v>
      </c>
      <c r="CC123" s="305">
        <f>IF(COT_PRECALCULOS!$D$24="Precios Iva Incluído",BL123,BG123)</f>
        <v>170</v>
      </c>
      <c r="CD123" s="305">
        <f>IF(COT_PRECALCULOS!$D$24="Precios Iva Incluído",BM123,BH123)</f>
        <v>170</v>
      </c>
      <c r="CE123" s="305">
        <f>IF(COT_PRECALCULOS!$D$24="Precios Iva Incluído",BT123,BN123)</f>
        <v>27765760</v>
      </c>
      <c r="CF123" s="305">
        <f>IF(COT_PRECALCULOS!$D$24="Precios Iva Incluído",BU123,BO123)</f>
        <v>37045890</v>
      </c>
      <c r="CG123" s="305">
        <f>IF(COT_PRECALCULOS!$D$24="Precios Iva Incluído",BV123,BP123)</f>
        <v>39623770</v>
      </c>
      <c r="CH123" s="305">
        <f>IF(COT_PRECALCULOS!$D$24="Precios Iva Incluído",BW123,BQ123)</f>
        <v>1288940</v>
      </c>
      <c r="CI123" s="305">
        <f>IF(COT_PRECALCULOS!$D$24="Precios Iva Incluído",BX123,BR123)</f>
        <v>1280100</v>
      </c>
    </row>
    <row r="124" spans="1:87">
      <c r="A124" s="182" t="s">
        <v>101</v>
      </c>
      <c r="B124" s="182" t="s">
        <v>98</v>
      </c>
      <c r="C124" s="189" t="str">
        <f t="shared" si="103"/>
        <v>F_PE13</v>
      </c>
      <c r="D124" s="189" t="str">
        <f t="shared" si="104"/>
        <v>46_P_</v>
      </c>
      <c r="E124" s="190" t="s">
        <v>1</v>
      </c>
      <c r="F124" s="190" t="s">
        <v>1</v>
      </c>
      <c r="G124" s="189" t="s">
        <v>26</v>
      </c>
      <c r="H124" s="190"/>
      <c r="I124" s="190" t="s">
        <v>63</v>
      </c>
      <c r="J124" s="190">
        <v>46</v>
      </c>
      <c r="K124" s="190" t="s">
        <v>64</v>
      </c>
      <c r="L124" s="189" t="s">
        <v>9</v>
      </c>
      <c r="M124" s="211">
        <v>100</v>
      </c>
      <c r="N124" s="211">
        <v>100</v>
      </c>
      <c r="O124" s="211">
        <v>100</v>
      </c>
      <c r="P124" s="211">
        <v>100</v>
      </c>
      <c r="Q124" s="211">
        <v>100</v>
      </c>
      <c r="R124" s="190"/>
      <c r="S124" s="183">
        <f>COUNTIF(CAL_PRIMERA_ENTREGA_FRUTA,CONCATENATE(G124,"_",J124))</f>
        <v>4</v>
      </c>
      <c r="T124" s="385">
        <f>$S124</f>
        <v>4</v>
      </c>
      <c r="U124" s="385">
        <f t="shared" si="180"/>
        <v>4</v>
      </c>
      <c r="V124" s="385">
        <f t="shared" si="180"/>
        <v>4</v>
      </c>
      <c r="W124" s="385">
        <f t="shared" si="180"/>
        <v>4</v>
      </c>
      <c r="X124" s="385">
        <f t="shared" si="180"/>
        <v>4</v>
      </c>
      <c r="Y124" s="184">
        <f t="shared" si="115"/>
        <v>163328</v>
      </c>
      <c r="Z124" s="184">
        <f>IF(N124&lt;&gt;0,VLOOKUP(A124,FRE_CANTIDADES_DIARIAS_SUMINISTROS,5,FALSE),0)</f>
        <v>217917</v>
      </c>
      <c r="AA124" s="184">
        <f>IF(O124&lt;&gt;0,VLOOKUP(A124,FRE_CANTIDADES_DIARIAS_SUMINISTROS,6,FALSE),0)</f>
        <v>233081</v>
      </c>
      <c r="AB124" s="184">
        <f>IF(P124&lt;&gt;0,VLOOKUP(A124,FRE_CANTIDADES_DIARIAS_SUMINISTROS,7,FALSE),0)</f>
        <v>7582</v>
      </c>
      <c r="AC124" s="184">
        <f>IF(Q124&lt;&gt;0,VLOOKUP(A124,FRE_CANTIDADES_DIARIAS_SUMINISTROS,8,FALSE),0)</f>
        <v>7530</v>
      </c>
      <c r="AD124" s="184">
        <f t="shared" si="116"/>
        <v>629438</v>
      </c>
      <c r="AE124" s="183">
        <f t="shared" si="176"/>
        <v>0</v>
      </c>
      <c r="AF124" s="385">
        <f t="shared" si="159"/>
        <v>0</v>
      </c>
      <c r="AG124" s="385">
        <f t="shared" si="159"/>
        <v>0</v>
      </c>
      <c r="AH124" s="385">
        <f t="shared" si="159"/>
        <v>0</v>
      </c>
      <c r="AI124" s="185">
        <f t="shared" si="117"/>
        <v>0</v>
      </c>
      <c r="AJ124" s="185">
        <f t="shared" si="163"/>
        <v>0</v>
      </c>
      <c r="AK124" s="185">
        <f t="shared" si="164"/>
        <v>0</v>
      </c>
      <c r="AL124" s="185">
        <f t="shared" si="120"/>
        <v>0</v>
      </c>
      <c r="AM124" s="173">
        <f t="shared" si="178"/>
        <v>653312</v>
      </c>
      <c r="AN124" s="173">
        <f t="shared" si="144"/>
        <v>871668</v>
      </c>
      <c r="AO124" s="173">
        <f t="shared" si="145"/>
        <v>932324</v>
      </c>
      <c r="AP124" s="173">
        <f t="shared" si="105"/>
        <v>30328</v>
      </c>
      <c r="AQ124" s="173">
        <f t="shared" si="106"/>
        <v>30120</v>
      </c>
      <c r="AR124" s="173">
        <f t="shared" si="107"/>
        <v>2517752</v>
      </c>
      <c r="AS124" s="186" t="s">
        <v>1706</v>
      </c>
      <c r="AT124" s="300">
        <f t="shared" si="179"/>
        <v>3.7214999999999998</v>
      </c>
      <c r="AU124" s="300">
        <f t="shared" si="179"/>
        <v>3.7214999999999998</v>
      </c>
      <c r="AV124" s="300">
        <f t="shared" si="179"/>
        <v>3.7214999999999998</v>
      </c>
      <c r="AW124" s="300">
        <f t="shared" si="179"/>
        <v>3.7214999999999998</v>
      </c>
      <c r="AX124" s="300">
        <f t="shared" si="179"/>
        <v>3.7214999999999998</v>
      </c>
      <c r="AY124" s="301">
        <f t="shared" si="177"/>
        <v>3.7214999999999998</v>
      </c>
      <c r="AZ124" s="301">
        <f t="shared" si="177"/>
        <v>3.7214999999999998</v>
      </c>
      <c r="BA124" s="301">
        <f t="shared" si="177"/>
        <v>3.7214999999999998</v>
      </c>
      <c r="BB124" s="301">
        <f t="shared" si="177"/>
        <v>3.7214999999999998</v>
      </c>
      <c r="BC124" s="301">
        <f t="shared" si="177"/>
        <v>3.7214999999999998</v>
      </c>
      <c r="BD124" s="187">
        <f>ROUND(IF(OR(M124=0,AT124="DATO NO DISPONIBLE"),"",AT124*M124*($BD$7+1)),0)</f>
        <v>398</v>
      </c>
      <c r="BE124" s="187">
        <f t="shared" si="147"/>
        <v>398</v>
      </c>
      <c r="BF124" s="187">
        <f t="shared" si="148"/>
        <v>398</v>
      </c>
      <c r="BG124" s="187">
        <f t="shared" si="165"/>
        <v>398</v>
      </c>
      <c r="BH124" s="187">
        <f t="shared" si="166"/>
        <v>398</v>
      </c>
      <c r="BI124" s="187">
        <f>ROUND(IF(OR(M124=0,AY124="DATO NO DISPONIBLE"),0,AY124*M124*($BD$7+1)),0)</f>
        <v>398</v>
      </c>
      <c r="BJ124" s="187">
        <f t="shared" si="126"/>
        <v>398</v>
      </c>
      <c r="BK124" s="187">
        <f t="shared" si="127"/>
        <v>398</v>
      </c>
      <c r="BL124" s="187">
        <f t="shared" si="167"/>
        <v>398</v>
      </c>
      <c r="BM124" s="187">
        <f t="shared" si="168"/>
        <v>398</v>
      </c>
      <c r="BN124" s="188">
        <f>BD124*AM124</f>
        <v>260018176</v>
      </c>
      <c r="BO124" s="188">
        <f t="shared" si="128"/>
        <v>346923864</v>
      </c>
      <c r="BP124" s="188">
        <f t="shared" si="129"/>
        <v>371064952</v>
      </c>
      <c r="BQ124" s="188">
        <f t="shared" si="130"/>
        <v>12070544</v>
      </c>
      <c r="BR124" s="188">
        <f t="shared" si="131"/>
        <v>11987760</v>
      </c>
      <c r="BS124" s="188">
        <f t="shared" si="108"/>
        <v>1002065296</v>
      </c>
      <c r="BT124" s="188">
        <f t="shared" si="109"/>
        <v>260018176</v>
      </c>
      <c r="BU124" s="188">
        <f t="shared" si="110"/>
        <v>346923864</v>
      </c>
      <c r="BV124" s="188">
        <f t="shared" si="111"/>
        <v>371064952</v>
      </c>
      <c r="BW124" s="188">
        <f t="shared" si="112"/>
        <v>12070544</v>
      </c>
      <c r="BX124" s="188">
        <f t="shared" si="113"/>
        <v>11987760</v>
      </c>
      <c r="BY124" s="188">
        <f t="shared" si="114"/>
        <v>1002065296</v>
      </c>
      <c r="BZ124" s="305">
        <f>IF(COT_PRECALCULOS!$D$24="Precios Iva Incluído",BI124,BD124)</f>
        <v>398</v>
      </c>
      <c r="CA124" s="305">
        <f>IF(COT_PRECALCULOS!$D$24="Precios Iva Incluído",BJ124,BE124)</f>
        <v>398</v>
      </c>
      <c r="CB124" s="305">
        <f>IF(COT_PRECALCULOS!$D$24="Precios Iva Incluído",BK124,BF124)</f>
        <v>398</v>
      </c>
      <c r="CC124" s="305">
        <f>IF(COT_PRECALCULOS!$D$24="Precios Iva Incluído",BL124,BG124)</f>
        <v>398</v>
      </c>
      <c r="CD124" s="305">
        <f>IF(COT_PRECALCULOS!$D$24="Precios Iva Incluído",BM124,BH124)</f>
        <v>398</v>
      </c>
      <c r="CE124" s="305">
        <f>IF(COT_PRECALCULOS!$D$24="Precios Iva Incluído",BT124,BN124)</f>
        <v>260018176</v>
      </c>
      <c r="CF124" s="305">
        <f>IF(COT_PRECALCULOS!$D$24="Precios Iva Incluído",BU124,BO124)</f>
        <v>346923864</v>
      </c>
      <c r="CG124" s="305">
        <f>IF(COT_PRECALCULOS!$D$24="Precios Iva Incluído",BV124,BP124)</f>
        <v>371064952</v>
      </c>
      <c r="CH124" s="305">
        <f>IF(COT_PRECALCULOS!$D$24="Precios Iva Incluído",BW124,BQ124)</f>
        <v>12070544</v>
      </c>
      <c r="CI124" s="305">
        <f>IF(COT_PRECALCULOS!$D$24="Precios Iva Incluído",BX124,BR124)</f>
        <v>11987760</v>
      </c>
    </row>
    <row r="125" spans="1:87">
      <c r="A125" s="182" t="s">
        <v>101</v>
      </c>
      <c r="B125" s="182" t="s">
        <v>98</v>
      </c>
      <c r="C125" s="189" t="str">
        <f t="shared" si="103"/>
        <v>F_PE13</v>
      </c>
      <c r="D125" s="189" t="str">
        <f t="shared" si="104"/>
        <v>58_P_</v>
      </c>
      <c r="E125" s="190" t="s">
        <v>1</v>
      </c>
      <c r="F125" s="190" t="s">
        <v>1</v>
      </c>
      <c r="G125" s="189" t="s">
        <v>26</v>
      </c>
      <c r="H125" s="190"/>
      <c r="I125" s="190" t="s">
        <v>65</v>
      </c>
      <c r="J125" s="190">
        <v>58</v>
      </c>
      <c r="K125" s="190" t="s">
        <v>67</v>
      </c>
      <c r="L125" s="189" t="s">
        <v>9</v>
      </c>
      <c r="M125" s="211">
        <v>100</v>
      </c>
      <c r="N125" s="211">
        <v>100</v>
      </c>
      <c r="O125" s="211">
        <v>100</v>
      </c>
      <c r="P125" s="211">
        <v>100</v>
      </c>
      <c r="Q125" s="211">
        <v>100</v>
      </c>
      <c r="R125" s="211"/>
      <c r="S125" s="183">
        <f>COUNTIF(CAL_PRIMERA_ENTREGA_FRUTA,CONCATENATE(G125,"_",J125))</f>
        <v>2</v>
      </c>
      <c r="T125" s="385">
        <f>$S125</f>
        <v>2</v>
      </c>
      <c r="U125" s="385">
        <f t="shared" si="180"/>
        <v>2</v>
      </c>
      <c r="V125" s="385">
        <f t="shared" si="180"/>
        <v>2</v>
      </c>
      <c r="W125" s="385">
        <f t="shared" si="180"/>
        <v>2</v>
      </c>
      <c r="X125" s="385">
        <f t="shared" si="180"/>
        <v>2</v>
      </c>
      <c r="Y125" s="184">
        <f t="shared" si="115"/>
        <v>163328</v>
      </c>
      <c r="Z125" s="184">
        <f>IF(N125&lt;&gt;0,VLOOKUP(A125,FRE_CANTIDADES_DIARIAS_SUMINISTROS,5,FALSE),0)</f>
        <v>217917</v>
      </c>
      <c r="AA125" s="184">
        <f>IF(O125&lt;&gt;0,VLOOKUP(A125,FRE_CANTIDADES_DIARIAS_SUMINISTROS,6,FALSE),0)</f>
        <v>233081</v>
      </c>
      <c r="AB125" s="184">
        <f>IF(P125&lt;&gt;0,VLOOKUP(A125,FRE_CANTIDADES_DIARIAS_SUMINISTROS,7,FALSE),0)</f>
        <v>7582</v>
      </c>
      <c r="AC125" s="184">
        <f>IF(Q125&lt;&gt;0,VLOOKUP(A125,FRE_CANTIDADES_DIARIAS_SUMINISTROS,8,FALSE),0)</f>
        <v>7530</v>
      </c>
      <c r="AD125" s="184">
        <f t="shared" si="116"/>
        <v>629438</v>
      </c>
      <c r="AE125" s="183">
        <f t="shared" si="176"/>
        <v>0</v>
      </c>
      <c r="AF125" s="385">
        <f t="shared" si="159"/>
        <v>0</v>
      </c>
      <c r="AG125" s="385">
        <f t="shared" si="159"/>
        <v>0</v>
      </c>
      <c r="AH125" s="385">
        <f t="shared" si="159"/>
        <v>0</v>
      </c>
      <c r="AI125" s="185">
        <f t="shared" si="117"/>
        <v>0</v>
      </c>
      <c r="AJ125" s="185">
        <f t="shared" si="163"/>
        <v>0</v>
      </c>
      <c r="AK125" s="185">
        <f t="shared" si="164"/>
        <v>0</v>
      </c>
      <c r="AL125" s="185">
        <f t="shared" si="120"/>
        <v>0</v>
      </c>
      <c r="AM125" s="173">
        <f t="shared" si="178"/>
        <v>326656</v>
      </c>
      <c r="AN125" s="173">
        <f t="shared" si="144"/>
        <v>435834</v>
      </c>
      <c r="AO125" s="173">
        <f t="shared" si="145"/>
        <v>466162</v>
      </c>
      <c r="AP125" s="173">
        <f t="shared" si="105"/>
        <v>15164</v>
      </c>
      <c r="AQ125" s="173">
        <f t="shared" si="106"/>
        <v>15060</v>
      </c>
      <c r="AR125" s="173">
        <f t="shared" si="107"/>
        <v>1258876</v>
      </c>
      <c r="AS125" s="186" t="s">
        <v>1706</v>
      </c>
      <c r="AT125" s="300">
        <f t="shared" si="179"/>
        <v>1.4384999999999999</v>
      </c>
      <c r="AU125" s="300">
        <f t="shared" si="179"/>
        <v>1.4384999999999999</v>
      </c>
      <c r="AV125" s="300">
        <f t="shared" si="179"/>
        <v>1.4384999999999999</v>
      </c>
      <c r="AW125" s="300">
        <f t="shared" si="179"/>
        <v>1.4384999999999999</v>
      </c>
      <c r="AX125" s="300">
        <f t="shared" si="179"/>
        <v>1.4384999999999999</v>
      </c>
      <c r="AY125" s="301">
        <f t="shared" si="177"/>
        <v>1.4384999999999999</v>
      </c>
      <c r="AZ125" s="301">
        <f t="shared" si="177"/>
        <v>1.4384999999999999</v>
      </c>
      <c r="BA125" s="301">
        <f t="shared" si="177"/>
        <v>1.4384999999999999</v>
      </c>
      <c r="BB125" s="301">
        <f t="shared" si="177"/>
        <v>1.4384999999999999</v>
      </c>
      <c r="BC125" s="301">
        <f t="shared" si="177"/>
        <v>1.4384999999999999</v>
      </c>
      <c r="BD125" s="187">
        <f>ROUND(IF(OR(M125=0,AT125="DATO NO DISPONIBLE"),"",AT125*M125*($BD$7+1)),0)</f>
        <v>154</v>
      </c>
      <c r="BE125" s="187">
        <f t="shared" si="147"/>
        <v>154</v>
      </c>
      <c r="BF125" s="187">
        <f t="shared" si="148"/>
        <v>154</v>
      </c>
      <c r="BG125" s="187">
        <f t="shared" si="165"/>
        <v>154</v>
      </c>
      <c r="BH125" s="187">
        <f t="shared" si="166"/>
        <v>154</v>
      </c>
      <c r="BI125" s="187">
        <f>ROUND(IF(OR(M125=0,AY125="DATO NO DISPONIBLE"),0,AY125*M125*($BD$7+1)),0)</f>
        <v>154</v>
      </c>
      <c r="BJ125" s="187">
        <f t="shared" si="126"/>
        <v>154</v>
      </c>
      <c r="BK125" s="187">
        <f t="shared" si="127"/>
        <v>154</v>
      </c>
      <c r="BL125" s="187">
        <f t="shared" si="167"/>
        <v>154</v>
      </c>
      <c r="BM125" s="187">
        <f t="shared" si="168"/>
        <v>154</v>
      </c>
      <c r="BN125" s="188">
        <f>BD125*AM125</f>
        <v>50305024</v>
      </c>
      <c r="BO125" s="188">
        <f t="shared" si="128"/>
        <v>67118436</v>
      </c>
      <c r="BP125" s="188">
        <f t="shared" si="129"/>
        <v>71788948</v>
      </c>
      <c r="BQ125" s="188">
        <f t="shared" si="130"/>
        <v>2335256</v>
      </c>
      <c r="BR125" s="188">
        <f t="shared" si="131"/>
        <v>2319240</v>
      </c>
      <c r="BS125" s="188">
        <f t="shared" si="108"/>
        <v>193866904</v>
      </c>
      <c r="BT125" s="188">
        <f t="shared" si="109"/>
        <v>50305024</v>
      </c>
      <c r="BU125" s="188">
        <f t="shared" si="110"/>
        <v>67118436</v>
      </c>
      <c r="BV125" s="188">
        <f t="shared" si="111"/>
        <v>71788948</v>
      </c>
      <c r="BW125" s="188">
        <f t="shared" si="112"/>
        <v>2335256</v>
      </c>
      <c r="BX125" s="188">
        <f t="shared" si="113"/>
        <v>2319240</v>
      </c>
      <c r="BY125" s="188">
        <f t="shared" si="114"/>
        <v>193866904</v>
      </c>
      <c r="BZ125" s="305">
        <f>IF(COT_PRECALCULOS!$D$24="Precios Iva Incluído",BI125,BD125)</f>
        <v>154</v>
      </c>
      <c r="CA125" s="305">
        <f>IF(COT_PRECALCULOS!$D$24="Precios Iva Incluído",BJ125,BE125)</f>
        <v>154</v>
      </c>
      <c r="CB125" s="305">
        <f>IF(COT_PRECALCULOS!$D$24="Precios Iva Incluído",BK125,BF125)</f>
        <v>154</v>
      </c>
      <c r="CC125" s="305">
        <f>IF(COT_PRECALCULOS!$D$24="Precios Iva Incluído",BL125,BG125)</f>
        <v>154</v>
      </c>
      <c r="CD125" s="305">
        <f>IF(COT_PRECALCULOS!$D$24="Precios Iva Incluído",BM125,BH125)</f>
        <v>154</v>
      </c>
      <c r="CE125" s="305">
        <f>IF(COT_PRECALCULOS!$D$24="Precios Iva Incluído",BT125,BN125)</f>
        <v>50305024</v>
      </c>
      <c r="CF125" s="305">
        <f>IF(COT_PRECALCULOS!$D$24="Precios Iva Incluído",BU125,BO125)</f>
        <v>67118436</v>
      </c>
      <c r="CG125" s="305">
        <f>IF(COT_PRECALCULOS!$D$24="Precios Iva Incluído",BV125,BP125)</f>
        <v>71788948</v>
      </c>
      <c r="CH125" s="305">
        <f>IF(COT_PRECALCULOS!$D$24="Precios Iva Incluído",BW125,BQ125)</f>
        <v>2335256</v>
      </c>
      <c r="CI125" s="305">
        <f>IF(COT_PRECALCULOS!$D$24="Precios Iva Incluído",BX125,BR125)</f>
        <v>2319240</v>
      </c>
    </row>
    <row r="126" spans="1:87">
      <c r="A126" s="182" t="s">
        <v>101</v>
      </c>
      <c r="B126" s="182" t="s">
        <v>98</v>
      </c>
      <c r="C126" s="189" t="str">
        <f t="shared" si="103"/>
        <v>F_PE13</v>
      </c>
      <c r="D126" s="189" t="str">
        <f t="shared" si="104"/>
        <v>59_P_</v>
      </c>
      <c r="E126" s="190" t="s">
        <v>1</v>
      </c>
      <c r="F126" s="190" t="s">
        <v>1</v>
      </c>
      <c r="G126" s="189" t="s">
        <v>26</v>
      </c>
      <c r="H126" s="190"/>
      <c r="I126" s="190" t="s">
        <v>66</v>
      </c>
      <c r="J126" s="190">
        <v>59</v>
      </c>
      <c r="K126" s="190" t="s">
        <v>99</v>
      </c>
      <c r="L126" s="189" t="s">
        <v>9</v>
      </c>
      <c r="M126" s="386">
        <v>0</v>
      </c>
      <c r="N126" s="211">
        <v>100</v>
      </c>
      <c r="O126" s="211">
        <v>100</v>
      </c>
      <c r="P126" s="211">
        <v>100</v>
      </c>
      <c r="Q126" s="211">
        <v>100</v>
      </c>
      <c r="R126" s="190" t="s">
        <v>73</v>
      </c>
      <c r="S126" s="385">
        <f>COUNTIF(CAL_PRIMERA_ENTREGA_FRUTA,CONCATENATE(G126,"_",J126))</f>
        <v>1</v>
      </c>
      <c r="T126" s="386">
        <v>0</v>
      </c>
      <c r="U126" s="385">
        <f t="shared" si="180"/>
        <v>1</v>
      </c>
      <c r="V126" s="385">
        <f t="shared" si="180"/>
        <v>1</v>
      </c>
      <c r="W126" s="385">
        <f t="shared" si="180"/>
        <v>1</v>
      </c>
      <c r="X126" s="385">
        <f t="shared" si="180"/>
        <v>1</v>
      </c>
      <c r="Y126" s="184">
        <f t="shared" si="115"/>
        <v>0</v>
      </c>
      <c r="Z126" s="184">
        <f>IF(N126&lt;&gt;0,VLOOKUP(A126,FRE_CANTIDADES_DIARIAS_SUMINISTROS,5,FALSE),0)</f>
        <v>217917</v>
      </c>
      <c r="AA126" s="184">
        <f>IF(O126&lt;&gt;0,VLOOKUP(A126,FRE_CANTIDADES_DIARIAS_SUMINISTROS,6,FALSE),0)</f>
        <v>233081</v>
      </c>
      <c r="AB126" s="184">
        <f>IF(P126&lt;&gt;0,VLOOKUP(A126,FRE_CANTIDADES_DIARIAS_SUMINISTROS,7,FALSE),0)</f>
        <v>7582</v>
      </c>
      <c r="AC126" s="184">
        <f>IF(Q126&lt;&gt;0,VLOOKUP(A126,FRE_CANTIDADES_DIARIAS_SUMINISTROS,8,FALSE),0)</f>
        <v>7530</v>
      </c>
      <c r="AD126" s="184">
        <f t="shared" si="116"/>
        <v>466110</v>
      </c>
      <c r="AE126" s="183">
        <f t="shared" si="176"/>
        <v>0</v>
      </c>
      <c r="AF126" s="385">
        <f t="shared" si="159"/>
        <v>0</v>
      </c>
      <c r="AG126" s="385">
        <f t="shared" si="159"/>
        <v>0</v>
      </c>
      <c r="AH126" s="385">
        <f t="shared" si="159"/>
        <v>0</v>
      </c>
      <c r="AI126" s="185">
        <f t="shared" si="117"/>
        <v>0</v>
      </c>
      <c r="AJ126" s="185">
        <f t="shared" si="163"/>
        <v>0</v>
      </c>
      <c r="AK126" s="185">
        <f t="shared" si="164"/>
        <v>0</v>
      </c>
      <c r="AL126" s="185">
        <f t="shared" si="120"/>
        <v>0</v>
      </c>
      <c r="AM126" s="173">
        <f t="shared" si="178"/>
        <v>0</v>
      </c>
      <c r="AN126" s="173">
        <f t="shared" si="144"/>
        <v>217917</v>
      </c>
      <c r="AO126" s="173">
        <f t="shared" si="145"/>
        <v>233081</v>
      </c>
      <c r="AP126" s="173">
        <f t="shared" si="105"/>
        <v>7582</v>
      </c>
      <c r="AQ126" s="173">
        <f t="shared" si="106"/>
        <v>7530</v>
      </c>
      <c r="AR126" s="173">
        <f t="shared" si="107"/>
        <v>466110</v>
      </c>
      <c r="AS126" s="186" t="s">
        <v>1706</v>
      </c>
      <c r="AT126" s="300">
        <f t="shared" si="179"/>
        <v>2.6785000000000001</v>
      </c>
      <c r="AU126" s="300">
        <f t="shared" si="179"/>
        <v>2.6785000000000001</v>
      </c>
      <c r="AV126" s="300">
        <f t="shared" si="179"/>
        <v>2.6785000000000001</v>
      </c>
      <c r="AW126" s="300">
        <f t="shared" si="179"/>
        <v>2.6785000000000001</v>
      </c>
      <c r="AX126" s="300">
        <f t="shared" si="179"/>
        <v>2.6785000000000001</v>
      </c>
      <c r="AY126" s="301">
        <f t="shared" si="177"/>
        <v>2.6785000000000001</v>
      </c>
      <c r="AZ126" s="301">
        <f t="shared" si="177"/>
        <v>2.6785000000000001</v>
      </c>
      <c r="BA126" s="301">
        <f t="shared" si="177"/>
        <v>2.6785000000000001</v>
      </c>
      <c r="BB126" s="301">
        <f t="shared" si="177"/>
        <v>2.6785000000000001</v>
      </c>
      <c r="BC126" s="301">
        <f t="shared" si="177"/>
        <v>2.6785000000000001</v>
      </c>
      <c r="BD126" s="187"/>
      <c r="BE126" s="187">
        <f t="shared" si="147"/>
        <v>286</v>
      </c>
      <c r="BF126" s="187">
        <f t="shared" si="148"/>
        <v>286</v>
      </c>
      <c r="BG126" s="187">
        <f t="shared" si="165"/>
        <v>286</v>
      </c>
      <c r="BH126" s="187">
        <f t="shared" si="166"/>
        <v>286</v>
      </c>
      <c r="BI126" s="187"/>
      <c r="BJ126" s="187">
        <f t="shared" si="126"/>
        <v>286</v>
      </c>
      <c r="BK126" s="187">
        <f t="shared" si="127"/>
        <v>286</v>
      </c>
      <c r="BL126" s="187">
        <f t="shared" si="167"/>
        <v>286</v>
      </c>
      <c r="BM126" s="187">
        <f t="shared" si="168"/>
        <v>286</v>
      </c>
      <c r="BN126" s="188"/>
      <c r="BO126" s="188">
        <f t="shared" si="128"/>
        <v>62324262</v>
      </c>
      <c r="BP126" s="188">
        <f t="shared" si="129"/>
        <v>66661166</v>
      </c>
      <c r="BQ126" s="188">
        <f t="shared" si="130"/>
        <v>2168452</v>
      </c>
      <c r="BR126" s="188">
        <f t="shared" si="131"/>
        <v>2153580</v>
      </c>
      <c r="BS126" s="188">
        <f t="shared" si="108"/>
        <v>133307460</v>
      </c>
      <c r="BT126" s="188">
        <f t="shared" si="109"/>
        <v>0</v>
      </c>
      <c r="BU126" s="188">
        <f t="shared" si="110"/>
        <v>62324262</v>
      </c>
      <c r="BV126" s="188">
        <f t="shared" si="111"/>
        <v>66661166</v>
      </c>
      <c r="BW126" s="188">
        <f t="shared" si="112"/>
        <v>2168452</v>
      </c>
      <c r="BX126" s="188">
        <f t="shared" si="113"/>
        <v>2153580</v>
      </c>
      <c r="BY126" s="188">
        <f t="shared" si="114"/>
        <v>133307460</v>
      </c>
      <c r="BZ126" s="305">
        <f>IF(COT_PRECALCULOS!$D$24="Precios Iva Incluído",BI126,BD126)</f>
        <v>0</v>
      </c>
      <c r="CA126" s="305">
        <f>IF(COT_PRECALCULOS!$D$24="Precios Iva Incluído",BJ126,BE126)</f>
        <v>286</v>
      </c>
      <c r="CB126" s="305">
        <f>IF(COT_PRECALCULOS!$D$24="Precios Iva Incluído",BK126,BF126)</f>
        <v>286</v>
      </c>
      <c r="CC126" s="305">
        <f>IF(COT_PRECALCULOS!$D$24="Precios Iva Incluído",BL126,BG126)</f>
        <v>286</v>
      </c>
      <c r="CD126" s="305">
        <f>IF(COT_PRECALCULOS!$D$24="Precios Iva Incluído",BM126,BH126)</f>
        <v>286</v>
      </c>
      <c r="CE126" s="305">
        <f>IF(COT_PRECALCULOS!$D$24="Precios Iva Incluído",BT126,BN126)</f>
        <v>0</v>
      </c>
      <c r="CF126" s="305">
        <f>IF(COT_PRECALCULOS!$D$24="Precios Iva Incluído",BU126,BO126)</f>
        <v>62324262</v>
      </c>
      <c r="CG126" s="305">
        <f>IF(COT_PRECALCULOS!$D$24="Precios Iva Incluído",BV126,BP126)</f>
        <v>66661166</v>
      </c>
      <c r="CH126" s="305">
        <f>IF(COT_PRECALCULOS!$D$24="Precios Iva Incluído",BW126,BQ126)</f>
        <v>2168452</v>
      </c>
      <c r="CI126" s="305">
        <f>IF(COT_PRECALCULOS!$D$24="Precios Iva Incluído",BX126,BR126)</f>
        <v>2153580</v>
      </c>
    </row>
    <row r="127" spans="1:87">
      <c r="A127" s="182" t="s">
        <v>101</v>
      </c>
      <c r="B127" s="182" t="s">
        <v>98</v>
      </c>
      <c r="C127" s="189" t="str">
        <f t="shared" si="103"/>
        <v>F_PE13</v>
      </c>
      <c r="D127" s="189" t="str">
        <f t="shared" si="104"/>
        <v>69_P_</v>
      </c>
      <c r="E127" s="190" t="s">
        <v>1</v>
      </c>
      <c r="F127" s="190" t="s">
        <v>1</v>
      </c>
      <c r="G127" s="189" t="s">
        <v>26</v>
      </c>
      <c r="H127" s="190"/>
      <c r="I127" s="190" t="s">
        <v>68</v>
      </c>
      <c r="J127" s="190">
        <v>69</v>
      </c>
      <c r="K127" s="190" t="s">
        <v>70</v>
      </c>
      <c r="L127" s="189" t="s">
        <v>9</v>
      </c>
      <c r="M127" s="211">
        <v>100</v>
      </c>
      <c r="N127" s="211">
        <v>100</v>
      </c>
      <c r="O127" s="211">
        <v>100</v>
      </c>
      <c r="P127" s="211">
        <v>100</v>
      </c>
      <c r="Q127" s="211">
        <v>100</v>
      </c>
      <c r="R127" s="190"/>
      <c r="S127" s="388">
        <v>3</v>
      </c>
      <c r="T127" s="388">
        <f>$S127</f>
        <v>3</v>
      </c>
      <c r="U127" s="388">
        <v>0</v>
      </c>
      <c r="V127" s="388">
        <v>0</v>
      </c>
      <c r="W127" s="388">
        <v>0</v>
      </c>
      <c r="X127" s="388">
        <v>0</v>
      </c>
      <c r="Y127" s="184">
        <f t="shared" si="115"/>
        <v>163328</v>
      </c>
      <c r="Z127" s="184">
        <v>0</v>
      </c>
      <c r="AA127" s="184">
        <v>0</v>
      </c>
      <c r="AB127" s="184">
        <v>0</v>
      </c>
      <c r="AC127" s="184">
        <v>0</v>
      </c>
      <c r="AD127" s="184">
        <f t="shared" si="116"/>
        <v>163328</v>
      </c>
      <c r="AE127" s="183">
        <f t="shared" si="176"/>
        <v>0</v>
      </c>
      <c r="AF127" s="385">
        <f t="shared" si="159"/>
        <v>0</v>
      </c>
      <c r="AG127" s="385">
        <f t="shared" si="159"/>
        <v>0</v>
      </c>
      <c r="AH127" s="385">
        <f t="shared" si="159"/>
        <v>0</v>
      </c>
      <c r="AI127" s="185">
        <f t="shared" si="117"/>
        <v>0</v>
      </c>
      <c r="AJ127" s="185">
        <f t="shared" si="163"/>
        <v>0</v>
      </c>
      <c r="AK127" s="185">
        <f t="shared" si="164"/>
        <v>0</v>
      </c>
      <c r="AL127" s="185">
        <f t="shared" si="120"/>
        <v>0</v>
      </c>
      <c r="AM127" s="173">
        <f t="shared" si="178"/>
        <v>489984</v>
      </c>
      <c r="AN127" s="173">
        <f t="shared" si="144"/>
        <v>0</v>
      </c>
      <c r="AO127" s="173">
        <f t="shared" si="145"/>
        <v>0</v>
      </c>
      <c r="AP127" s="173">
        <f t="shared" si="105"/>
        <v>0</v>
      </c>
      <c r="AQ127" s="173">
        <f t="shared" si="106"/>
        <v>0</v>
      </c>
      <c r="AR127" s="173">
        <f t="shared" si="107"/>
        <v>489984</v>
      </c>
      <c r="AS127" s="186" t="s">
        <v>1706</v>
      </c>
      <c r="AT127" s="300">
        <f t="shared" si="179"/>
        <v>2.8519999999999999</v>
      </c>
      <c r="AU127" s="300">
        <f t="shared" si="179"/>
        <v>2.8519999999999999</v>
      </c>
      <c r="AV127" s="300">
        <f t="shared" si="179"/>
        <v>2.8519999999999999</v>
      </c>
      <c r="AW127" s="300">
        <f t="shared" si="179"/>
        <v>2.8519999999999999</v>
      </c>
      <c r="AX127" s="300">
        <f t="shared" si="179"/>
        <v>2.8519999999999999</v>
      </c>
      <c r="AY127" s="301">
        <f t="shared" si="177"/>
        <v>2.8519999999999999</v>
      </c>
      <c r="AZ127" s="301">
        <f t="shared" si="177"/>
        <v>2.8519999999999999</v>
      </c>
      <c r="BA127" s="301">
        <f t="shared" si="177"/>
        <v>2.8519999999999999</v>
      </c>
      <c r="BB127" s="301">
        <f t="shared" si="177"/>
        <v>2.8519999999999999</v>
      </c>
      <c r="BC127" s="301">
        <f t="shared" si="177"/>
        <v>2.8519999999999999</v>
      </c>
      <c r="BD127" s="187">
        <f>ROUND(IF(OR(M127=0,AT127="DATO NO DISPONIBLE"),"",AT127*M127*($BD$7+1)),0)</f>
        <v>305</v>
      </c>
      <c r="BE127" s="187">
        <f t="shared" si="147"/>
        <v>305</v>
      </c>
      <c r="BF127" s="187">
        <f t="shared" si="148"/>
        <v>305</v>
      </c>
      <c r="BG127" s="187">
        <f t="shared" si="165"/>
        <v>305</v>
      </c>
      <c r="BH127" s="187">
        <f t="shared" si="166"/>
        <v>305</v>
      </c>
      <c r="BI127" s="187">
        <f>ROUND(IF(OR(M127=0,AY127="DATO NO DISPONIBLE"),0,AY127*M127*($BD$7+1)),0)</f>
        <v>305</v>
      </c>
      <c r="BJ127" s="187">
        <f t="shared" si="126"/>
        <v>305</v>
      </c>
      <c r="BK127" s="187">
        <f t="shared" si="127"/>
        <v>305</v>
      </c>
      <c r="BL127" s="187">
        <f t="shared" si="167"/>
        <v>305</v>
      </c>
      <c r="BM127" s="187">
        <f t="shared" si="168"/>
        <v>305</v>
      </c>
      <c r="BN127" s="188">
        <f>BD127*AM127</f>
        <v>149445120</v>
      </c>
      <c r="BO127" s="188">
        <f t="shared" si="128"/>
        <v>0</v>
      </c>
      <c r="BP127" s="188">
        <f t="shared" si="129"/>
        <v>0</v>
      </c>
      <c r="BQ127" s="188">
        <f t="shared" si="130"/>
        <v>0</v>
      </c>
      <c r="BR127" s="188">
        <f t="shared" si="131"/>
        <v>0</v>
      </c>
      <c r="BS127" s="188">
        <f t="shared" si="108"/>
        <v>149445120</v>
      </c>
      <c r="BT127" s="188">
        <f t="shared" si="109"/>
        <v>149445120</v>
      </c>
      <c r="BU127" s="188">
        <f t="shared" si="110"/>
        <v>0</v>
      </c>
      <c r="BV127" s="188">
        <f t="shared" si="111"/>
        <v>0</v>
      </c>
      <c r="BW127" s="188">
        <f t="shared" si="112"/>
        <v>0</v>
      </c>
      <c r="BX127" s="188">
        <f t="shared" si="113"/>
        <v>0</v>
      </c>
      <c r="BY127" s="188">
        <f t="shared" si="114"/>
        <v>149445120</v>
      </c>
      <c r="BZ127" s="305">
        <f>IF(COT_PRECALCULOS!$D$24="Precios Iva Incluído",BI127,BD127)</f>
        <v>305</v>
      </c>
      <c r="CA127" s="305">
        <f>IF(COT_PRECALCULOS!$D$24="Precios Iva Incluído",BJ127,BE127)</f>
        <v>305</v>
      </c>
      <c r="CB127" s="305">
        <f>IF(COT_PRECALCULOS!$D$24="Precios Iva Incluído",BK127,BF127)</f>
        <v>305</v>
      </c>
      <c r="CC127" s="305">
        <f>IF(COT_PRECALCULOS!$D$24="Precios Iva Incluído",BL127,BG127)</f>
        <v>305</v>
      </c>
      <c r="CD127" s="305">
        <f>IF(COT_PRECALCULOS!$D$24="Precios Iva Incluído",BM127,BH127)</f>
        <v>305</v>
      </c>
      <c r="CE127" s="305">
        <f>IF(COT_PRECALCULOS!$D$24="Precios Iva Incluído",BT127,BN127)</f>
        <v>149445120</v>
      </c>
      <c r="CF127" s="305">
        <f>IF(COT_PRECALCULOS!$D$24="Precios Iva Incluído",BU127,BO127)</f>
        <v>0</v>
      </c>
      <c r="CG127" s="305">
        <f>IF(COT_PRECALCULOS!$D$24="Precios Iva Incluído",BV127,BP127)</f>
        <v>0</v>
      </c>
      <c r="CH127" s="305">
        <f>IF(COT_PRECALCULOS!$D$24="Precios Iva Incluído",BW127,BQ127)</f>
        <v>0</v>
      </c>
      <c r="CI127" s="305">
        <f>IF(COT_PRECALCULOS!$D$24="Precios Iva Incluído",BX127,BR127)</f>
        <v>0</v>
      </c>
    </row>
    <row r="128" spans="1:87">
      <c r="A128" s="182" t="s">
        <v>101</v>
      </c>
      <c r="B128" s="182" t="s">
        <v>98</v>
      </c>
      <c r="C128" s="189" t="str">
        <f t="shared" si="103"/>
        <v>F_PE13</v>
      </c>
      <c r="D128" s="189" t="str">
        <f t="shared" si="104"/>
        <v>70_P_</v>
      </c>
      <c r="E128" s="190" t="s">
        <v>1</v>
      </c>
      <c r="F128" s="190" t="s">
        <v>1</v>
      </c>
      <c r="G128" s="189" t="s">
        <v>26</v>
      </c>
      <c r="H128" s="190"/>
      <c r="I128" s="190" t="s">
        <v>69</v>
      </c>
      <c r="J128" s="190">
        <v>70</v>
      </c>
      <c r="K128" s="190" t="s">
        <v>71</v>
      </c>
      <c r="L128" s="189" t="s">
        <v>9</v>
      </c>
      <c r="M128" s="386">
        <v>0</v>
      </c>
      <c r="N128" s="190">
        <v>100</v>
      </c>
      <c r="O128" s="190">
        <v>100</v>
      </c>
      <c r="P128" s="190">
        <v>100</v>
      </c>
      <c r="Q128" s="190">
        <v>100</v>
      </c>
      <c r="R128" s="190" t="s">
        <v>73</v>
      </c>
      <c r="S128" s="183">
        <f t="shared" ref="S128:S136" si="181">COUNTIF(CAL_PRIMERA_ENTREGA_FRUTA,CONCATENATE(G128,"_",J128))</f>
        <v>2</v>
      </c>
      <c r="T128" s="386">
        <v>0</v>
      </c>
      <c r="U128" s="385">
        <f t="shared" ref="U128:X136" si="182">$S128</f>
        <v>2</v>
      </c>
      <c r="V128" s="385">
        <f t="shared" si="182"/>
        <v>2</v>
      </c>
      <c r="W128" s="385">
        <f t="shared" si="182"/>
        <v>2</v>
      </c>
      <c r="X128" s="385">
        <f t="shared" si="182"/>
        <v>2</v>
      </c>
      <c r="Y128" s="184">
        <f t="shared" si="115"/>
        <v>0</v>
      </c>
      <c r="Z128" s="184">
        <f t="shared" ref="Z128:Z136" si="183">IF(N128&lt;&gt;0,VLOOKUP(A128,FRE_CANTIDADES_DIARIAS_SUMINISTROS,5,FALSE),0)</f>
        <v>217917</v>
      </c>
      <c r="AA128" s="184">
        <f t="shared" ref="AA128:AA136" si="184">IF(O128&lt;&gt;0,VLOOKUP(A128,FRE_CANTIDADES_DIARIAS_SUMINISTROS,6,FALSE),0)</f>
        <v>233081</v>
      </c>
      <c r="AB128" s="184">
        <f t="shared" ref="AB128:AB136" si="185">IF(P128&lt;&gt;0,VLOOKUP(A128,FRE_CANTIDADES_DIARIAS_SUMINISTROS,7,FALSE),0)</f>
        <v>7582</v>
      </c>
      <c r="AC128" s="184">
        <f t="shared" ref="AC128:AC136" si="186">IF(Q128&lt;&gt;0,VLOOKUP(A128,FRE_CANTIDADES_DIARIAS_SUMINISTROS,8,FALSE),0)</f>
        <v>7530</v>
      </c>
      <c r="AD128" s="184">
        <f t="shared" si="116"/>
        <v>466110</v>
      </c>
      <c r="AE128" s="183">
        <f t="shared" si="176"/>
        <v>0</v>
      </c>
      <c r="AF128" s="385">
        <f t="shared" ref="AF128:AH147" si="187">$AE128</f>
        <v>0</v>
      </c>
      <c r="AG128" s="385">
        <f t="shared" si="187"/>
        <v>0</v>
      </c>
      <c r="AH128" s="385">
        <f t="shared" si="187"/>
        <v>0</v>
      </c>
      <c r="AI128" s="185">
        <f t="shared" si="117"/>
        <v>0</v>
      </c>
      <c r="AJ128" s="185">
        <f t="shared" si="163"/>
        <v>0</v>
      </c>
      <c r="AK128" s="185">
        <f t="shared" si="164"/>
        <v>0</v>
      </c>
      <c r="AL128" s="185">
        <f t="shared" si="120"/>
        <v>0</v>
      </c>
      <c r="AM128" s="173">
        <v>0</v>
      </c>
      <c r="AN128" s="173">
        <f t="shared" si="144"/>
        <v>435834</v>
      </c>
      <c r="AO128" s="173">
        <f t="shared" si="145"/>
        <v>466162</v>
      </c>
      <c r="AP128" s="173">
        <f t="shared" si="105"/>
        <v>15164</v>
      </c>
      <c r="AQ128" s="173">
        <f t="shared" si="106"/>
        <v>15060</v>
      </c>
      <c r="AR128" s="173">
        <f t="shared" si="107"/>
        <v>932220</v>
      </c>
      <c r="AS128" s="186" t="s">
        <v>1706</v>
      </c>
      <c r="AT128" s="300">
        <f t="shared" si="179"/>
        <v>4.0575000000000001</v>
      </c>
      <c r="AU128" s="300">
        <f t="shared" si="179"/>
        <v>4.0575000000000001</v>
      </c>
      <c r="AV128" s="300">
        <f t="shared" si="179"/>
        <v>4.0575000000000001</v>
      </c>
      <c r="AW128" s="300">
        <f t="shared" si="179"/>
        <v>4.0575000000000001</v>
      </c>
      <c r="AX128" s="300">
        <f t="shared" si="179"/>
        <v>4.0575000000000001</v>
      </c>
      <c r="AY128" s="301">
        <f t="shared" ref="AY128:BC137" si="188">IF(ISERROR(MATCH(CONCATENATE($J128,"_",AY$1),COT_PRE_CODIGO_ALIMENTOS,0)),IF(ISERROR(MATCH(CONCATENATE($J128,"_",AY$2),COT_PRE_CODIGO_ALIMENTOS,0)),IF(ISERROR(MATCH(CONCATENATE($J128,"_",AY$3),COT_PRE_CODIGO_ALIMENTOS,0)),IF(ISERROR(MATCH(CONCATENATE($J128,"_",AY$4),COT_PRE_CODIGO_ALIMENTOS,0)),IF(ISERROR(MATCH(CONCATENATE($J128,"_",AY$5),COT_PRE_CODIGO_ALIMENTOS,0)),IF(ISERROR(MATCH(CONCATENATE($J128,"_",AY$6),COT_PRE_CODIGO_ALIMENTOS,0)),IF(ISERROR(MATCH(CONCATENATE($J128,"_",AY$7),COT_PRE_CODIGO_ALIMENTOS,0)),IF(ISERROR(VLOOKUP($J128,COT_PRE_ALIMENTOS,AY$8,FALSE)),"DATO NO DISPONIBLE",VLOOKUP($J128,COT_PRE_ALIMENTOS,AY$8,FALSE)),VLOOKUP(CONCATENATE($J128,"_",AY$7),COT_PRE_ALIMENTOS,AY$8,FALSE)),VLOOKUP(CONCATENATE($J128,"_",AY$6),COT_PRE_ALIMENTOS,AY$8,FALSE)),VLOOKUP(CONCATENATE($J128,"_",AY$5),COT_PRE_ALIMENTOS,AY$8,FALSE)),VLOOKUP(CONCATENATE($J128,"_",AY$4),COT_PRE_ALIMENTOS,AY$8,FALSE)),VLOOKUP(CONCATENATE($J128,"_",AY$3),COT_PRE_ALIMENTOS,AY$8,FALSE)),VLOOKUP(CONCATENATE($J128,"_",AY$2),COT_PRE_ALIMENTOS,AY$8,FALSE)),VLOOKUP(CONCATENATE($J128,"_",AY$1),COT_PRE_ALIMENTOS,AY$8,FALSE))</f>
        <v>4.0575000000000001</v>
      </c>
      <c r="AZ128" s="301">
        <f t="shared" si="188"/>
        <v>4.0575000000000001</v>
      </c>
      <c r="BA128" s="301">
        <f t="shared" si="188"/>
        <v>4.0575000000000001</v>
      </c>
      <c r="BB128" s="301">
        <f t="shared" si="188"/>
        <v>4.0575000000000001</v>
      </c>
      <c r="BC128" s="301">
        <f t="shared" si="188"/>
        <v>4.0575000000000001</v>
      </c>
      <c r="BD128" s="187"/>
      <c r="BE128" s="187">
        <f t="shared" si="147"/>
        <v>434</v>
      </c>
      <c r="BF128" s="187">
        <f t="shared" si="148"/>
        <v>434</v>
      </c>
      <c r="BG128" s="187">
        <f t="shared" si="165"/>
        <v>434</v>
      </c>
      <c r="BH128" s="187">
        <f t="shared" si="166"/>
        <v>434</v>
      </c>
      <c r="BI128" s="187"/>
      <c r="BJ128" s="187">
        <f t="shared" si="126"/>
        <v>434</v>
      </c>
      <c r="BK128" s="187">
        <f t="shared" si="127"/>
        <v>434</v>
      </c>
      <c r="BL128" s="187">
        <f t="shared" si="167"/>
        <v>434</v>
      </c>
      <c r="BM128" s="187">
        <f t="shared" si="168"/>
        <v>434</v>
      </c>
      <c r="BN128" s="188"/>
      <c r="BO128" s="188">
        <f t="shared" si="128"/>
        <v>189151956</v>
      </c>
      <c r="BP128" s="188">
        <f t="shared" si="129"/>
        <v>202314308</v>
      </c>
      <c r="BQ128" s="188">
        <f t="shared" si="130"/>
        <v>6581176</v>
      </c>
      <c r="BR128" s="188">
        <f t="shared" si="131"/>
        <v>6536040</v>
      </c>
      <c r="BS128" s="188">
        <f t="shared" si="108"/>
        <v>404583480</v>
      </c>
      <c r="BT128" s="188">
        <f t="shared" si="109"/>
        <v>0</v>
      </c>
      <c r="BU128" s="188">
        <f t="shared" si="110"/>
        <v>189151956</v>
      </c>
      <c r="BV128" s="188">
        <f t="shared" si="111"/>
        <v>202314308</v>
      </c>
      <c r="BW128" s="188">
        <f t="shared" si="112"/>
        <v>6581176</v>
      </c>
      <c r="BX128" s="188">
        <f t="shared" si="113"/>
        <v>6536040</v>
      </c>
      <c r="BY128" s="188">
        <f t="shared" si="114"/>
        <v>404583480</v>
      </c>
      <c r="BZ128" s="305">
        <f>IF(COT_PRECALCULOS!$D$24="Precios Iva Incluído",BI128,BD128)</f>
        <v>0</v>
      </c>
      <c r="CA128" s="305">
        <f>IF(COT_PRECALCULOS!$D$24="Precios Iva Incluído",BJ128,BE128)</f>
        <v>434</v>
      </c>
      <c r="CB128" s="305">
        <f>IF(COT_PRECALCULOS!$D$24="Precios Iva Incluído",BK128,BF128)</f>
        <v>434</v>
      </c>
      <c r="CC128" s="305">
        <f>IF(COT_PRECALCULOS!$D$24="Precios Iva Incluído",BL128,BG128)</f>
        <v>434</v>
      </c>
      <c r="CD128" s="305">
        <f>IF(COT_PRECALCULOS!$D$24="Precios Iva Incluído",BM128,BH128)</f>
        <v>434</v>
      </c>
      <c r="CE128" s="305">
        <f>IF(COT_PRECALCULOS!$D$24="Precios Iva Incluído",BT128,BN128)</f>
        <v>0</v>
      </c>
      <c r="CF128" s="305">
        <f>IF(COT_PRECALCULOS!$D$24="Precios Iva Incluído",BU128,BO128)</f>
        <v>189151956</v>
      </c>
      <c r="CG128" s="305">
        <f>IF(COT_PRECALCULOS!$D$24="Precios Iva Incluído",BV128,BP128)</f>
        <v>202314308</v>
      </c>
      <c r="CH128" s="305">
        <f>IF(COT_PRECALCULOS!$D$24="Precios Iva Incluído",BW128,BQ128)</f>
        <v>6581176</v>
      </c>
      <c r="CI128" s="305">
        <f>IF(COT_PRECALCULOS!$D$24="Precios Iva Incluído",BX128,BR128)</f>
        <v>6536040</v>
      </c>
    </row>
    <row r="129" spans="1:87">
      <c r="A129" s="182" t="s">
        <v>101</v>
      </c>
      <c r="B129" s="182" t="s">
        <v>98</v>
      </c>
      <c r="C129" s="189" t="str">
        <f t="shared" si="103"/>
        <v>F_PE13</v>
      </c>
      <c r="D129" s="189" t="str">
        <f t="shared" si="104"/>
        <v>36_P_</v>
      </c>
      <c r="E129" s="211" t="s">
        <v>1</v>
      </c>
      <c r="F129" s="211" t="s">
        <v>1</v>
      </c>
      <c r="G129" s="189" t="s">
        <v>26</v>
      </c>
      <c r="H129" s="211"/>
      <c r="I129" s="211" t="s">
        <v>1340</v>
      </c>
      <c r="J129" s="211">
        <v>36</v>
      </c>
      <c r="K129" s="211" t="s">
        <v>1340</v>
      </c>
      <c r="L129" s="189" t="s">
        <v>9</v>
      </c>
      <c r="M129" s="211">
        <v>20</v>
      </c>
      <c r="N129" s="211">
        <v>40</v>
      </c>
      <c r="O129" s="211">
        <v>40</v>
      </c>
      <c r="P129" s="211">
        <v>40</v>
      </c>
      <c r="Q129" s="211">
        <v>40</v>
      </c>
      <c r="R129" s="211"/>
      <c r="S129" s="183">
        <f t="shared" si="181"/>
        <v>1</v>
      </c>
      <c r="T129" s="385">
        <f>$S129</f>
        <v>1</v>
      </c>
      <c r="U129" s="385">
        <f t="shared" si="182"/>
        <v>1</v>
      </c>
      <c r="V129" s="385">
        <f t="shared" si="182"/>
        <v>1</v>
      </c>
      <c r="W129" s="385">
        <f t="shared" si="182"/>
        <v>1</v>
      </c>
      <c r="X129" s="385">
        <f t="shared" si="182"/>
        <v>1</v>
      </c>
      <c r="Y129" s="184">
        <f t="shared" si="115"/>
        <v>163328</v>
      </c>
      <c r="Z129" s="184">
        <f t="shared" si="183"/>
        <v>217917</v>
      </c>
      <c r="AA129" s="184">
        <f t="shared" si="184"/>
        <v>233081</v>
      </c>
      <c r="AB129" s="184">
        <f t="shared" si="185"/>
        <v>7582</v>
      </c>
      <c r="AC129" s="184">
        <f t="shared" si="186"/>
        <v>7530</v>
      </c>
      <c r="AD129" s="184">
        <f t="shared" si="116"/>
        <v>629438</v>
      </c>
      <c r="AE129" s="183">
        <f t="shared" si="176"/>
        <v>0</v>
      </c>
      <c r="AF129" s="385">
        <f t="shared" si="187"/>
        <v>0</v>
      </c>
      <c r="AG129" s="385">
        <f t="shared" si="187"/>
        <v>0</v>
      </c>
      <c r="AH129" s="385">
        <f t="shared" si="187"/>
        <v>0</v>
      </c>
      <c r="AI129" s="185">
        <f t="shared" si="117"/>
        <v>0</v>
      </c>
      <c r="AJ129" s="185">
        <f t="shared" si="163"/>
        <v>0</v>
      </c>
      <c r="AK129" s="185">
        <f t="shared" si="164"/>
        <v>0</v>
      </c>
      <c r="AL129" s="185">
        <f t="shared" si="120"/>
        <v>0</v>
      </c>
      <c r="AM129" s="173">
        <f>($S129*Y129)+($AE129*AI129)</f>
        <v>163328</v>
      </c>
      <c r="AN129" s="173">
        <f t="shared" si="144"/>
        <v>217917</v>
      </c>
      <c r="AO129" s="173">
        <f t="shared" si="145"/>
        <v>233081</v>
      </c>
      <c r="AP129" s="173">
        <f t="shared" si="105"/>
        <v>7582</v>
      </c>
      <c r="AQ129" s="173">
        <f t="shared" si="106"/>
        <v>7530</v>
      </c>
      <c r="AR129" s="173">
        <f t="shared" si="107"/>
        <v>629438</v>
      </c>
      <c r="AS129" s="186" t="s">
        <v>1706</v>
      </c>
      <c r="AT129" s="300">
        <f t="shared" si="179"/>
        <v>5.9</v>
      </c>
      <c r="AU129" s="300">
        <f t="shared" si="179"/>
        <v>5.9</v>
      </c>
      <c r="AV129" s="300">
        <f t="shared" si="179"/>
        <v>5.9</v>
      </c>
      <c r="AW129" s="300">
        <f t="shared" si="179"/>
        <v>5.9</v>
      </c>
      <c r="AX129" s="300">
        <f t="shared" si="179"/>
        <v>5.9</v>
      </c>
      <c r="AY129" s="301">
        <f t="shared" si="188"/>
        <v>5.9</v>
      </c>
      <c r="AZ129" s="301">
        <f t="shared" si="188"/>
        <v>5.9</v>
      </c>
      <c r="BA129" s="301">
        <f t="shared" si="188"/>
        <v>5.9</v>
      </c>
      <c r="BB129" s="301">
        <f t="shared" si="188"/>
        <v>5.9</v>
      </c>
      <c r="BC129" s="301">
        <f t="shared" si="188"/>
        <v>5.9</v>
      </c>
      <c r="BD129" s="187">
        <f>ROUND(IF(OR(M129=0,AT129="DATO NO DISPONIBLE"),"",AT129*M129*($BD$7+1)),0)</f>
        <v>126</v>
      </c>
      <c r="BE129" s="187">
        <f t="shared" si="147"/>
        <v>252</v>
      </c>
      <c r="BF129" s="187">
        <f t="shared" si="148"/>
        <v>252</v>
      </c>
      <c r="BG129" s="187">
        <f t="shared" si="165"/>
        <v>252</v>
      </c>
      <c r="BH129" s="187">
        <f t="shared" si="166"/>
        <v>252</v>
      </c>
      <c r="BI129" s="187">
        <f>ROUND(IF(OR(M129=0,AY129="DATO NO DISPONIBLE"),0,AY129*M129*($BD$7+1)),0)</f>
        <v>126</v>
      </c>
      <c r="BJ129" s="187">
        <f t="shared" si="126"/>
        <v>252</v>
      </c>
      <c r="BK129" s="187">
        <f t="shared" si="127"/>
        <v>252</v>
      </c>
      <c r="BL129" s="187">
        <f t="shared" si="167"/>
        <v>252</v>
      </c>
      <c r="BM129" s="187">
        <f t="shared" si="168"/>
        <v>252</v>
      </c>
      <c r="BN129" s="188">
        <f>BD129*AM129</f>
        <v>20579328</v>
      </c>
      <c r="BO129" s="188">
        <f t="shared" si="128"/>
        <v>54915084</v>
      </c>
      <c r="BP129" s="188">
        <f t="shared" si="129"/>
        <v>58736412</v>
      </c>
      <c r="BQ129" s="188">
        <f t="shared" si="130"/>
        <v>1910664</v>
      </c>
      <c r="BR129" s="188">
        <f t="shared" si="131"/>
        <v>1897560</v>
      </c>
      <c r="BS129" s="188">
        <f t="shared" si="108"/>
        <v>138039048</v>
      </c>
      <c r="BT129" s="188">
        <f t="shared" si="109"/>
        <v>20579328</v>
      </c>
      <c r="BU129" s="188">
        <f t="shared" si="110"/>
        <v>54915084</v>
      </c>
      <c r="BV129" s="188">
        <f t="shared" si="111"/>
        <v>58736412</v>
      </c>
      <c r="BW129" s="188">
        <f t="shared" si="112"/>
        <v>1910664</v>
      </c>
      <c r="BX129" s="188">
        <f t="shared" si="113"/>
        <v>1897560</v>
      </c>
      <c r="BY129" s="188">
        <f t="shared" si="114"/>
        <v>138039048</v>
      </c>
      <c r="BZ129" s="305">
        <f>IF(COT_PRECALCULOS!$D$24="Precios Iva Incluído",BI129,BD129)</f>
        <v>126</v>
      </c>
      <c r="CA129" s="305">
        <f>IF(COT_PRECALCULOS!$D$24="Precios Iva Incluído",BJ129,BE129)</f>
        <v>252</v>
      </c>
      <c r="CB129" s="305">
        <f>IF(COT_PRECALCULOS!$D$24="Precios Iva Incluído",BK129,BF129)</f>
        <v>252</v>
      </c>
      <c r="CC129" s="305">
        <f>IF(COT_PRECALCULOS!$D$24="Precios Iva Incluído",BL129,BG129)</f>
        <v>252</v>
      </c>
      <c r="CD129" s="305">
        <f>IF(COT_PRECALCULOS!$D$24="Precios Iva Incluído",BM129,BH129)</f>
        <v>252</v>
      </c>
      <c r="CE129" s="305">
        <f>IF(COT_PRECALCULOS!$D$24="Precios Iva Incluído",BT129,BN129)</f>
        <v>20579328</v>
      </c>
      <c r="CF129" s="305">
        <f>IF(COT_PRECALCULOS!$D$24="Precios Iva Incluído",BU129,BO129)</f>
        <v>54915084</v>
      </c>
      <c r="CG129" s="305">
        <f>IF(COT_PRECALCULOS!$D$24="Precios Iva Incluído",BV129,BP129)</f>
        <v>58736412</v>
      </c>
      <c r="CH129" s="305">
        <f>IF(COT_PRECALCULOS!$D$24="Precios Iva Incluído",BW129,BQ129)</f>
        <v>1910664</v>
      </c>
      <c r="CI129" s="305">
        <f>IF(COT_PRECALCULOS!$D$24="Precios Iva Incluído",BX129,BR129)</f>
        <v>1897560</v>
      </c>
    </row>
    <row r="130" spans="1:87">
      <c r="A130" s="182" t="s">
        <v>101</v>
      </c>
      <c r="B130" s="182" t="s">
        <v>98</v>
      </c>
      <c r="C130" s="189" t="str">
        <f t="shared" si="103"/>
        <v>F_PE14</v>
      </c>
      <c r="D130" s="189" t="str">
        <f t="shared" si="104"/>
        <v>8_P_</v>
      </c>
      <c r="E130" s="211" t="s">
        <v>1</v>
      </c>
      <c r="F130" s="211" t="s">
        <v>1</v>
      </c>
      <c r="G130" s="189" t="s">
        <v>27</v>
      </c>
      <c r="H130" s="211" t="s">
        <v>2</v>
      </c>
      <c r="I130" s="211" t="s">
        <v>54</v>
      </c>
      <c r="J130" s="211">
        <v>8</v>
      </c>
      <c r="K130" s="211" t="s">
        <v>55</v>
      </c>
      <c r="L130" s="189" t="s">
        <v>9</v>
      </c>
      <c r="M130" s="211">
        <v>100</v>
      </c>
      <c r="N130" s="211">
        <v>100</v>
      </c>
      <c r="O130" s="211">
        <v>100</v>
      </c>
      <c r="P130" s="211">
        <v>100</v>
      </c>
      <c r="Q130" s="211">
        <v>100</v>
      </c>
      <c r="R130" s="211"/>
      <c r="S130" s="183">
        <f t="shared" si="181"/>
        <v>0</v>
      </c>
      <c r="T130" s="385">
        <f>$S130</f>
        <v>0</v>
      </c>
      <c r="U130" s="385">
        <f t="shared" si="182"/>
        <v>0</v>
      </c>
      <c r="V130" s="385">
        <f t="shared" si="182"/>
        <v>0</v>
      </c>
      <c r="W130" s="385">
        <f t="shared" si="182"/>
        <v>0</v>
      </c>
      <c r="X130" s="385">
        <f t="shared" si="182"/>
        <v>0</v>
      </c>
      <c r="Y130" s="184">
        <f t="shared" si="115"/>
        <v>163328</v>
      </c>
      <c r="Z130" s="184">
        <f t="shared" si="183"/>
        <v>217917</v>
      </c>
      <c r="AA130" s="184">
        <f t="shared" si="184"/>
        <v>233081</v>
      </c>
      <c r="AB130" s="184">
        <f t="shared" si="185"/>
        <v>7582</v>
      </c>
      <c r="AC130" s="184">
        <f t="shared" si="186"/>
        <v>7530</v>
      </c>
      <c r="AD130" s="184">
        <f t="shared" si="116"/>
        <v>629438</v>
      </c>
      <c r="AE130" s="183">
        <f t="shared" si="176"/>
        <v>0</v>
      </c>
      <c r="AF130" s="385">
        <f t="shared" si="187"/>
        <v>0</v>
      </c>
      <c r="AG130" s="385">
        <f t="shared" si="187"/>
        <v>0</v>
      </c>
      <c r="AH130" s="385">
        <f t="shared" si="187"/>
        <v>0</v>
      </c>
      <c r="AI130" s="185">
        <f t="shared" si="117"/>
        <v>0</v>
      </c>
      <c r="AJ130" s="185">
        <f t="shared" si="163"/>
        <v>0</v>
      </c>
      <c r="AK130" s="185">
        <f t="shared" si="164"/>
        <v>0</v>
      </c>
      <c r="AL130" s="185">
        <f t="shared" si="120"/>
        <v>0</v>
      </c>
      <c r="AM130" s="173">
        <f>($S130*Y130)+($AE130*AI130)</f>
        <v>0</v>
      </c>
      <c r="AN130" s="173">
        <f t="shared" si="144"/>
        <v>0</v>
      </c>
      <c r="AO130" s="173">
        <f t="shared" si="145"/>
        <v>0</v>
      </c>
      <c r="AP130" s="173">
        <f t="shared" si="105"/>
        <v>0</v>
      </c>
      <c r="AQ130" s="173">
        <f t="shared" si="106"/>
        <v>0</v>
      </c>
      <c r="AR130" s="173">
        <f t="shared" si="107"/>
        <v>0</v>
      </c>
      <c r="AS130" s="186" t="s">
        <v>1349</v>
      </c>
      <c r="AT130" s="300">
        <f t="shared" si="179"/>
        <v>1.25</v>
      </c>
      <c r="AU130" s="300">
        <f t="shared" si="179"/>
        <v>1.25</v>
      </c>
      <c r="AV130" s="300">
        <f t="shared" si="179"/>
        <v>1.25</v>
      </c>
      <c r="AW130" s="300">
        <f t="shared" si="179"/>
        <v>1.25</v>
      </c>
      <c r="AX130" s="300">
        <f t="shared" si="179"/>
        <v>1.25</v>
      </c>
      <c r="AY130" s="301">
        <f t="shared" si="188"/>
        <v>1.25</v>
      </c>
      <c r="AZ130" s="301">
        <f t="shared" si="188"/>
        <v>1.25</v>
      </c>
      <c r="BA130" s="301">
        <f t="shared" si="188"/>
        <v>1.25</v>
      </c>
      <c r="BB130" s="301">
        <f t="shared" si="188"/>
        <v>1.25</v>
      </c>
      <c r="BC130" s="301">
        <f t="shared" si="188"/>
        <v>1.25</v>
      </c>
      <c r="BD130" s="187">
        <f>ROUND(IF(OR(M130=0,AT130="DATO NO DISPONIBLE"),"",AT130*M130*($BD$7+1)),0)</f>
        <v>134</v>
      </c>
      <c r="BE130" s="187">
        <f t="shared" si="147"/>
        <v>134</v>
      </c>
      <c r="BF130" s="187">
        <f t="shared" si="148"/>
        <v>134</v>
      </c>
      <c r="BG130" s="187">
        <f t="shared" si="165"/>
        <v>134</v>
      </c>
      <c r="BH130" s="187">
        <f t="shared" si="166"/>
        <v>134</v>
      </c>
      <c r="BI130" s="187">
        <f>ROUND(IF(OR(M130=0,AY130="DATO NO DISPONIBLE"),0,AY130*M130*($BD$7+1)),0)</f>
        <v>134</v>
      </c>
      <c r="BJ130" s="187">
        <f t="shared" si="126"/>
        <v>134</v>
      </c>
      <c r="BK130" s="187">
        <f t="shared" si="127"/>
        <v>134</v>
      </c>
      <c r="BL130" s="187">
        <f t="shared" si="167"/>
        <v>134</v>
      </c>
      <c r="BM130" s="187">
        <f t="shared" si="168"/>
        <v>134</v>
      </c>
      <c r="BN130" s="188">
        <f>BD130*AM130</f>
        <v>0</v>
      </c>
      <c r="BO130" s="188">
        <f t="shared" si="128"/>
        <v>0</v>
      </c>
      <c r="BP130" s="188">
        <f t="shared" si="129"/>
        <v>0</v>
      </c>
      <c r="BQ130" s="188">
        <f t="shared" si="130"/>
        <v>0</v>
      </c>
      <c r="BR130" s="188">
        <f t="shared" si="131"/>
        <v>0</v>
      </c>
      <c r="BS130" s="188">
        <f t="shared" si="108"/>
        <v>0</v>
      </c>
      <c r="BT130" s="188">
        <f t="shared" si="109"/>
        <v>0</v>
      </c>
      <c r="BU130" s="188">
        <f t="shared" si="110"/>
        <v>0</v>
      </c>
      <c r="BV130" s="188">
        <f t="shared" si="111"/>
        <v>0</v>
      </c>
      <c r="BW130" s="188">
        <f t="shared" si="112"/>
        <v>0</v>
      </c>
      <c r="BX130" s="188">
        <f t="shared" si="113"/>
        <v>0</v>
      </c>
      <c r="BY130" s="188">
        <f t="shared" si="114"/>
        <v>0</v>
      </c>
      <c r="BZ130" s="305">
        <f>IF(COT_PRECALCULOS!$D$24="Precios Iva Incluído",BI130,BD130)</f>
        <v>134</v>
      </c>
      <c r="CA130" s="305">
        <f>IF(COT_PRECALCULOS!$D$24="Precios Iva Incluído",BJ130,BE130)</f>
        <v>134</v>
      </c>
      <c r="CB130" s="305">
        <f>IF(COT_PRECALCULOS!$D$24="Precios Iva Incluído",BK130,BF130)</f>
        <v>134</v>
      </c>
      <c r="CC130" s="305">
        <f>IF(COT_PRECALCULOS!$D$24="Precios Iva Incluído",BL130,BG130)</f>
        <v>134</v>
      </c>
      <c r="CD130" s="305">
        <f>IF(COT_PRECALCULOS!$D$24="Precios Iva Incluído",BM130,BH130)</f>
        <v>134</v>
      </c>
      <c r="CE130" s="305">
        <f>IF(COT_PRECALCULOS!$D$24="Precios Iva Incluído",BT130,BN130)</f>
        <v>0</v>
      </c>
      <c r="CF130" s="305">
        <f>IF(COT_PRECALCULOS!$D$24="Precios Iva Incluído",BU130,BO130)</f>
        <v>0</v>
      </c>
      <c r="CG130" s="305">
        <f>IF(COT_PRECALCULOS!$D$24="Precios Iva Incluído",BV130,BP130)</f>
        <v>0</v>
      </c>
      <c r="CH130" s="305">
        <f>IF(COT_PRECALCULOS!$D$24="Precios Iva Incluído",BW130,BQ130)</f>
        <v>0</v>
      </c>
      <c r="CI130" s="305">
        <f>IF(COT_PRECALCULOS!$D$24="Precios Iva Incluído",BX130,BR130)</f>
        <v>0</v>
      </c>
    </row>
    <row r="131" spans="1:87">
      <c r="A131" s="182" t="s">
        <v>101</v>
      </c>
      <c r="B131" s="182" t="s">
        <v>98</v>
      </c>
      <c r="C131" s="189" t="str">
        <f t="shared" si="103"/>
        <v>F_PE14</v>
      </c>
      <c r="D131" s="189" t="str">
        <f t="shared" si="104"/>
        <v>7_P_</v>
      </c>
      <c r="E131" s="211" t="s">
        <v>1</v>
      </c>
      <c r="F131" s="211" t="s">
        <v>1</v>
      </c>
      <c r="G131" s="189" t="s">
        <v>27</v>
      </c>
      <c r="H131" s="211"/>
      <c r="I131" s="211" t="s">
        <v>56</v>
      </c>
      <c r="J131" s="211">
        <v>7</v>
      </c>
      <c r="K131" s="211" t="s">
        <v>57</v>
      </c>
      <c r="L131" s="189" t="s">
        <v>9</v>
      </c>
      <c r="M131" s="211">
        <v>100</v>
      </c>
      <c r="N131" s="211">
        <v>100</v>
      </c>
      <c r="O131" s="211">
        <v>100</v>
      </c>
      <c r="P131" s="211">
        <v>100</v>
      </c>
      <c r="Q131" s="211">
        <v>100</v>
      </c>
      <c r="R131" s="211"/>
      <c r="S131" s="183">
        <f t="shared" si="181"/>
        <v>0</v>
      </c>
      <c r="T131" s="385">
        <f>$S131</f>
        <v>0</v>
      </c>
      <c r="U131" s="385">
        <f t="shared" si="182"/>
        <v>0</v>
      </c>
      <c r="V131" s="385">
        <f t="shared" si="182"/>
        <v>0</v>
      </c>
      <c r="W131" s="385">
        <f t="shared" si="182"/>
        <v>0</v>
      </c>
      <c r="X131" s="385">
        <f t="shared" si="182"/>
        <v>0</v>
      </c>
      <c r="Y131" s="184">
        <f t="shared" si="115"/>
        <v>163328</v>
      </c>
      <c r="Z131" s="184">
        <f t="shared" si="183"/>
        <v>217917</v>
      </c>
      <c r="AA131" s="184">
        <f t="shared" si="184"/>
        <v>233081</v>
      </c>
      <c r="AB131" s="184">
        <f t="shared" si="185"/>
        <v>7582</v>
      </c>
      <c r="AC131" s="184">
        <f t="shared" si="186"/>
        <v>7530</v>
      </c>
      <c r="AD131" s="184">
        <f t="shared" si="116"/>
        <v>629438</v>
      </c>
      <c r="AE131" s="183">
        <f t="shared" si="176"/>
        <v>0</v>
      </c>
      <c r="AF131" s="385">
        <f t="shared" si="187"/>
        <v>0</v>
      </c>
      <c r="AG131" s="385">
        <f t="shared" si="187"/>
        <v>0</v>
      </c>
      <c r="AH131" s="385">
        <f t="shared" si="187"/>
        <v>0</v>
      </c>
      <c r="AI131" s="185">
        <f t="shared" si="117"/>
        <v>0</v>
      </c>
      <c r="AJ131" s="185">
        <f t="shared" si="163"/>
        <v>0</v>
      </c>
      <c r="AK131" s="185">
        <f t="shared" si="164"/>
        <v>0</v>
      </c>
      <c r="AL131" s="185">
        <f t="shared" si="120"/>
        <v>0</v>
      </c>
      <c r="AM131" s="173">
        <f>($S131*Y131)+($AE131*AI131)</f>
        <v>0</v>
      </c>
      <c r="AN131" s="173">
        <f t="shared" si="144"/>
        <v>0</v>
      </c>
      <c r="AO131" s="173">
        <f t="shared" si="145"/>
        <v>0</v>
      </c>
      <c r="AP131" s="173">
        <f t="shared" si="105"/>
        <v>0</v>
      </c>
      <c r="AQ131" s="173">
        <f t="shared" si="106"/>
        <v>0</v>
      </c>
      <c r="AR131" s="173">
        <f t="shared" si="107"/>
        <v>0</v>
      </c>
      <c r="AS131" s="186" t="s">
        <v>1349</v>
      </c>
      <c r="AT131" s="300">
        <f t="shared" ref="AT131:AX140" si="189">IF(ISERROR(IF(ISERROR(MATCH(CONCATENATE($J131,"_",AT$1),COT_PRE_CODIGO_ALIMENTOS,0)),IF(ISERROR(MATCH(CONCATENATE($J131,"_",AT$2),COT_PRE_CODIGO_ALIMENTOS,0)),IF(ISERROR(MATCH(CONCATENATE($J131,"_",AT$3),COT_PRE_CODIGO_ALIMENTOS,0)),IF(ISERROR(MATCH(CONCATENATE($J131,"_",AT$4),COT_PRE_CODIGO_ALIMENTOS,0)),IF(ISERROR(MATCH(CONCATENATE($J131,"_",AT$5),COT_PRE_CODIGO_ALIMENTOS,0)),IF(ISERROR(MATCH(CONCATENATE($J131,"_",AT$6),COT_PRE_CODIGO_ALIMENTOS,0)),IF(ISERROR(MATCH(CONCATENATE($J131,"_",AT$7),COT_PRE_CODIGO_ALIMENTOS,0)),IF(ISERROR(VLOOKUP($J131,COT_PRE_ALIMENTOS,AT$8,FALSE)),"DATO NO DISPONIBLE",VLOOKUP($J131,COT_PRE_ALIMENTOS,AT$8,FALSE)),VLOOKUP(CONCATENATE($J131,"_",AT$7),COT_PRE_ALIMENTOS,AT$8,FALSE)),VLOOKUP(CONCATENATE($J131,"_",AT$6),COT_PRE_ALIMENTOS,AT$8,FALSE)),VLOOKUP(CONCATENATE($J131,"_",AT$5),COT_PRE_ALIMENTOS,AT$8,FALSE)),VLOOKUP(CONCATENATE($J131,"_",AT$4),COT_PRE_ALIMENTOS,AT$8,FALSE)),VLOOKUP(CONCATENATE($J131,"_",AT$3),COT_PRE_ALIMENTOS,AT$8,FALSE)),VLOOKUP(CONCATENATE($J131,"_",AT$2),COT_PRE_ALIMENTOS,AT$8,FALSE)),VLOOKUP(CONCATENATE($J131,"_",AT$1),COT_PRE_ALIMENTOS,AT$8,FALSE))),"DATO NO DISPONIBLE",IF(ISERROR(MATCH(CONCATENATE($J131,"_",AT$1),COT_PRE_CODIGO_ALIMENTOS,0)),IF(ISERROR(MATCH(CONCATENATE($J131,"_",AT$2),COT_PRE_CODIGO_ALIMENTOS,0)),IF(ISERROR(MATCH(CONCATENATE($J131,"_",AT$3),COT_PRE_CODIGO_ALIMENTOS,0)),IF(ISERROR(MATCH(CONCATENATE($J131,"_",AT$4),COT_PRE_CODIGO_ALIMENTOS,0)),IF(ISERROR(MATCH(CONCATENATE($J131,"_",AT$5),COT_PRE_CODIGO_ALIMENTOS,0)),IF(ISERROR(MATCH(CONCATENATE($J131,"_",AT$6),COT_PRE_CODIGO_ALIMENTOS,0)),IF(ISERROR(MATCH(CONCATENATE($J131,"_",AT$7),COT_PRE_CODIGO_ALIMENTOS,0)),IF(ISERROR(VLOOKUP($J131,COT_PRE_ALIMENTOS,AT$8,FALSE)),"DATO NO DISPONIBLE",VLOOKUP($J131,COT_PRE_ALIMENTOS,AT$8,FALSE)),VLOOKUP(CONCATENATE($J131,"_",AT$7),COT_PRE_ALIMENTOS,AT$8,FALSE)),VLOOKUP(CONCATENATE($J131,"_",AT$6),COT_PRE_ALIMENTOS,AT$8,FALSE)),VLOOKUP(CONCATENATE($J131,"_",AT$5),COT_PRE_ALIMENTOS,AT$8,FALSE)),VLOOKUP(CONCATENATE($J131,"_",AT$4),COT_PRE_ALIMENTOS,AT$8,FALSE)),VLOOKUP(CONCATENATE($J131,"_",AT$3),COT_PRE_ALIMENTOS,AT$8,FALSE)),VLOOKUP(CONCATENATE($J131,"_",AT$2),COT_PRE_ALIMENTOS,AT$8,FALSE)),VLOOKUP(CONCATENATE($J131,"_",AT$1),COT_PRE_ALIMENTOS,AT$8,FALSE)))</f>
        <v>1</v>
      </c>
      <c r="AU131" s="300">
        <f t="shared" si="189"/>
        <v>1</v>
      </c>
      <c r="AV131" s="300">
        <f t="shared" si="189"/>
        <v>1</v>
      </c>
      <c r="AW131" s="300">
        <f t="shared" si="189"/>
        <v>1</v>
      </c>
      <c r="AX131" s="300">
        <f t="shared" si="189"/>
        <v>1</v>
      </c>
      <c r="AY131" s="301">
        <f t="shared" si="188"/>
        <v>1</v>
      </c>
      <c r="AZ131" s="301">
        <f t="shared" si="188"/>
        <v>1</v>
      </c>
      <c r="BA131" s="301">
        <f t="shared" si="188"/>
        <v>1</v>
      </c>
      <c r="BB131" s="301">
        <f t="shared" si="188"/>
        <v>1</v>
      </c>
      <c r="BC131" s="301">
        <f t="shared" si="188"/>
        <v>1</v>
      </c>
      <c r="BD131" s="187">
        <f>ROUND(IF(OR(M131=0,AT131="DATO NO DISPONIBLE"),"",AT131*M131*($BD$7+1)),0)</f>
        <v>107</v>
      </c>
      <c r="BE131" s="187">
        <f t="shared" si="147"/>
        <v>107</v>
      </c>
      <c r="BF131" s="187">
        <f t="shared" si="148"/>
        <v>107</v>
      </c>
      <c r="BG131" s="187">
        <f t="shared" si="165"/>
        <v>107</v>
      </c>
      <c r="BH131" s="187">
        <f t="shared" si="166"/>
        <v>107</v>
      </c>
      <c r="BI131" s="187">
        <f>ROUND(IF(OR(M131=0,AY131="DATO NO DISPONIBLE"),0,AY131*M131*($BD$7+1)),0)</f>
        <v>107</v>
      </c>
      <c r="BJ131" s="187">
        <f t="shared" si="126"/>
        <v>107</v>
      </c>
      <c r="BK131" s="187">
        <f t="shared" si="127"/>
        <v>107</v>
      </c>
      <c r="BL131" s="187">
        <f t="shared" si="167"/>
        <v>107</v>
      </c>
      <c r="BM131" s="187">
        <f t="shared" si="168"/>
        <v>107</v>
      </c>
      <c r="BN131" s="188">
        <f>BD131*AM131</f>
        <v>0</v>
      </c>
      <c r="BO131" s="188">
        <f t="shared" si="128"/>
        <v>0</v>
      </c>
      <c r="BP131" s="188">
        <f t="shared" si="129"/>
        <v>0</v>
      </c>
      <c r="BQ131" s="188">
        <f t="shared" si="130"/>
        <v>0</v>
      </c>
      <c r="BR131" s="188">
        <f t="shared" si="131"/>
        <v>0</v>
      </c>
      <c r="BS131" s="188">
        <f t="shared" si="108"/>
        <v>0</v>
      </c>
      <c r="BT131" s="188">
        <f t="shared" si="109"/>
        <v>0</v>
      </c>
      <c r="BU131" s="188">
        <f t="shared" si="110"/>
        <v>0</v>
      </c>
      <c r="BV131" s="188">
        <f t="shared" si="111"/>
        <v>0</v>
      </c>
      <c r="BW131" s="188">
        <f t="shared" si="112"/>
        <v>0</v>
      </c>
      <c r="BX131" s="188">
        <f t="shared" si="113"/>
        <v>0</v>
      </c>
      <c r="BY131" s="188">
        <f t="shared" si="114"/>
        <v>0</v>
      </c>
      <c r="BZ131" s="305">
        <f>IF(COT_PRECALCULOS!$D$24="Precios Iva Incluído",BI131,BD131)</f>
        <v>107</v>
      </c>
      <c r="CA131" s="305">
        <f>IF(COT_PRECALCULOS!$D$24="Precios Iva Incluído",BJ131,BE131)</f>
        <v>107</v>
      </c>
      <c r="CB131" s="305">
        <f>IF(COT_PRECALCULOS!$D$24="Precios Iva Incluído",BK131,BF131)</f>
        <v>107</v>
      </c>
      <c r="CC131" s="305">
        <f>IF(COT_PRECALCULOS!$D$24="Precios Iva Incluído",BL131,BG131)</f>
        <v>107</v>
      </c>
      <c r="CD131" s="305">
        <f>IF(COT_PRECALCULOS!$D$24="Precios Iva Incluído",BM131,BH131)</f>
        <v>107</v>
      </c>
      <c r="CE131" s="305">
        <f>IF(COT_PRECALCULOS!$D$24="Precios Iva Incluído",BT131,BN131)</f>
        <v>0</v>
      </c>
      <c r="CF131" s="305">
        <f>IF(COT_PRECALCULOS!$D$24="Precios Iva Incluído",BU131,BO131)</f>
        <v>0</v>
      </c>
      <c r="CG131" s="305">
        <f>IF(COT_PRECALCULOS!$D$24="Precios Iva Incluído",BV131,BP131)</f>
        <v>0</v>
      </c>
      <c r="CH131" s="305">
        <f>IF(COT_PRECALCULOS!$D$24="Precios Iva Incluído",BW131,BQ131)</f>
        <v>0</v>
      </c>
      <c r="CI131" s="305">
        <f>IF(COT_PRECALCULOS!$D$24="Precios Iva Incluído",BX131,BR131)</f>
        <v>0</v>
      </c>
    </row>
    <row r="132" spans="1:87">
      <c r="A132" s="182" t="s">
        <v>101</v>
      </c>
      <c r="B132" s="182" t="s">
        <v>98</v>
      </c>
      <c r="C132" s="189" t="str">
        <f t="shared" si="103"/>
        <v>F_PE14</v>
      </c>
      <c r="D132" s="189" t="str">
        <f t="shared" si="104"/>
        <v>17_P_</v>
      </c>
      <c r="E132" s="190" t="s">
        <v>1</v>
      </c>
      <c r="F132" s="190" t="s">
        <v>1</v>
      </c>
      <c r="G132" s="189" t="s">
        <v>27</v>
      </c>
      <c r="H132" s="190"/>
      <c r="I132" s="190" t="s">
        <v>52</v>
      </c>
      <c r="J132" s="190">
        <v>17</v>
      </c>
      <c r="K132" s="190" t="s">
        <v>53</v>
      </c>
      <c r="L132" s="189" t="s">
        <v>9</v>
      </c>
      <c r="M132" s="386">
        <v>0</v>
      </c>
      <c r="N132" s="211">
        <v>100</v>
      </c>
      <c r="O132" s="211">
        <v>100</v>
      </c>
      <c r="P132" s="211">
        <v>100</v>
      </c>
      <c r="Q132" s="211">
        <v>100</v>
      </c>
      <c r="R132" s="190" t="s">
        <v>73</v>
      </c>
      <c r="S132" s="183">
        <f t="shared" si="181"/>
        <v>3</v>
      </c>
      <c r="T132" s="386">
        <v>0</v>
      </c>
      <c r="U132" s="385">
        <f t="shared" si="182"/>
        <v>3</v>
      </c>
      <c r="V132" s="385">
        <f t="shared" si="182"/>
        <v>3</v>
      </c>
      <c r="W132" s="385">
        <f t="shared" si="182"/>
        <v>3</v>
      </c>
      <c r="X132" s="385">
        <f t="shared" si="182"/>
        <v>3</v>
      </c>
      <c r="Y132" s="184">
        <f t="shared" si="115"/>
        <v>0</v>
      </c>
      <c r="Z132" s="184">
        <f t="shared" si="183"/>
        <v>217917</v>
      </c>
      <c r="AA132" s="184">
        <f t="shared" si="184"/>
        <v>233081</v>
      </c>
      <c r="AB132" s="184">
        <f t="shared" si="185"/>
        <v>7582</v>
      </c>
      <c r="AC132" s="184">
        <f t="shared" si="186"/>
        <v>7530</v>
      </c>
      <c r="AD132" s="184">
        <f t="shared" si="116"/>
        <v>466110</v>
      </c>
      <c r="AE132" s="183">
        <f t="shared" si="176"/>
        <v>0</v>
      </c>
      <c r="AF132" s="385">
        <f t="shared" si="187"/>
        <v>0</v>
      </c>
      <c r="AG132" s="385">
        <f t="shared" si="187"/>
        <v>0</v>
      </c>
      <c r="AH132" s="385">
        <f t="shared" si="187"/>
        <v>0</v>
      </c>
      <c r="AI132" s="185">
        <f t="shared" si="117"/>
        <v>0</v>
      </c>
      <c r="AJ132" s="185">
        <f t="shared" si="163"/>
        <v>0</v>
      </c>
      <c r="AK132" s="185">
        <f t="shared" si="164"/>
        <v>0</v>
      </c>
      <c r="AL132" s="185">
        <f t="shared" si="120"/>
        <v>0</v>
      </c>
      <c r="AM132" s="173">
        <v>0</v>
      </c>
      <c r="AN132" s="173">
        <f t="shared" si="144"/>
        <v>653751</v>
      </c>
      <c r="AO132" s="173">
        <f t="shared" si="145"/>
        <v>699243</v>
      </c>
      <c r="AP132" s="173">
        <f t="shared" si="105"/>
        <v>22746</v>
      </c>
      <c r="AQ132" s="173">
        <f t="shared" si="106"/>
        <v>22590</v>
      </c>
      <c r="AR132" s="173">
        <f t="shared" si="107"/>
        <v>1398330</v>
      </c>
      <c r="AS132" s="186" t="s">
        <v>1349</v>
      </c>
      <c r="AT132" s="300">
        <f t="shared" si="189"/>
        <v>2.11</v>
      </c>
      <c r="AU132" s="300">
        <f t="shared" si="189"/>
        <v>2.11</v>
      </c>
      <c r="AV132" s="300">
        <f t="shared" si="189"/>
        <v>2.11</v>
      </c>
      <c r="AW132" s="300">
        <f t="shared" si="189"/>
        <v>2.11</v>
      </c>
      <c r="AX132" s="300">
        <f t="shared" si="189"/>
        <v>2.11</v>
      </c>
      <c r="AY132" s="301">
        <f t="shared" si="188"/>
        <v>2.11</v>
      </c>
      <c r="AZ132" s="301">
        <f t="shared" si="188"/>
        <v>2.11</v>
      </c>
      <c r="BA132" s="301">
        <f t="shared" si="188"/>
        <v>2.11</v>
      </c>
      <c r="BB132" s="301">
        <f t="shared" si="188"/>
        <v>2.11</v>
      </c>
      <c r="BC132" s="301">
        <f t="shared" si="188"/>
        <v>2.11</v>
      </c>
      <c r="BD132" s="187"/>
      <c r="BE132" s="187">
        <f t="shared" si="147"/>
        <v>226</v>
      </c>
      <c r="BF132" s="187">
        <f t="shared" si="148"/>
        <v>226</v>
      </c>
      <c r="BG132" s="187">
        <f t="shared" si="165"/>
        <v>226</v>
      </c>
      <c r="BH132" s="187">
        <f t="shared" si="166"/>
        <v>226</v>
      </c>
      <c r="BI132" s="187"/>
      <c r="BJ132" s="187">
        <f t="shared" si="126"/>
        <v>226</v>
      </c>
      <c r="BK132" s="187">
        <f t="shared" si="127"/>
        <v>226</v>
      </c>
      <c r="BL132" s="187">
        <f t="shared" si="167"/>
        <v>226</v>
      </c>
      <c r="BM132" s="187">
        <f t="shared" si="168"/>
        <v>226</v>
      </c>
      <c r="BN132" s="188"/>
      <c r="BO132" s="188">
        <f t="shared" si="128"/>
        <v>147747726</v>
      </c>
      <c r="BP132" s="188">
        <f t="shared" si="129"/>
        <v>158028918</v>
      </c>
      <c r="BQ132" s="188">
        <f t="shared" si="130"/>
        <v>5140596</v>
      </c>
      <c r="BR132" s="188">
        <f t="shared" si="131"/>
        <v>5105340</v>
      </c>
      <c r="BS132" s="188">
        <f t="shared" si="108"/>
        <v>316022580</v>
      </c>
      <c r="BT132" s="188">
        <f t="shared" si="109"/>
        <v>0</v>
      </c>
      <c r="BU132" s="188">
        <f t="shared" si="110"/>
        <v>147747726</v>
      </c>
      <c r="BV132" s="188">
        <f t="shared" si="111"/>
        <v>158028918</v>
      </c>
      <c r="BW132" s="188">
        <f t="shared" si="112"/>
        <v>5140596</v>
      </c>
      <c r="BX132" s="188">
        <f t="shared" si="113"/>
        <v>5105340</v>
      </c>
      <c r="BY132" s="188">
        <f t="shared" si="114"/>
        <v>316022580</v>
      </c>
      <c r="BZ132" s="305">
        <f>IF(COT_PRECALCULOS!$D$24="Precios Iva Incluído",BI132,BD132)</f>
        <v>0</v>
      </c>
      <c r="CA132" s="305">
        <f>IF(COT_PRECALCULOS!$D$24="Precios Iva Incluído",BJ132,BE132)</f>
        <v>226</v>
      </c>
      <c r="CB132" s="305">
        <f>IF(COT_PRECALCULOS!$D$24="Precios Iva Incluído",BK132,BF132)</f>
        <v>226</v>
      </c>
      <c r="CC132" s="305">
        <f>IF(COT_PRECALCULOS!$D$24="Precios Iva Incluído",BL132,BG132)</f>
        <v>226</v>
      </c>
      <c r="CD132" s="305">
        <f>IF(COT_PRECALCULOS!$D$24="Precios Iva Incluído",BM132,BH132)</f>
        <v>226</v>
      </c>
      <c r="CE132" s="305">
        <f>IF(COT_PRECALCULOS!$D$24="Precios Iva Incluído",BT132,BN132)</f>
        <v>0</v>
      </c>
      <c r="CF132" s="305">
        <f>IF(COT_PRECALCULOS!$D$24="Precios Iva Incluído",BU132,BO132)</f>
        <v>147747726</v>
      </c>
      <c r="CG132" s="305">
        <f>IF(COT_PRECALCULOS!$D$24="Precios Iva Incluído",BV132,BP132)</f>
        <v>158028918</v>
      </c>
      <c r="CH132" s="305">
        <f>IF(COT_PRECALCULOS!$D$24="Precios Iva Incluído",BW132,BQ132)</f>
        <v>5140596</v>
      </c>
      <c r="CI132" s="305">
        <f>IF(COT_PRECALCULOS!$D$24="Precios Iva Incluído",BX132,BR132)</f>
        <v>5105340</v>
      </c>
    </row>
    <row r="133" spans="1:87">
      <c r="A133" s="182" t="s">
        <v>101</v>
      </c>
      <c r="B133" s="182" t="s">
        <v>98</v>
      </c>
      <c r="C133" s="189" t="str">
        <f t="shared" si="103"/>
        <v>F_PE14</v>
      </c>
      <c r="D133" s="189" t="str">
        <f t="shared" si="104"/>
        <v>22_P_</v>
      </c>
      <c r="E133" s="190" t="s">
        <v>1</v>
      </c>
      <c r="F133" s="190" t="s">
        <v>1</v>
      </c>
      <c r="G133" s="189" t="s">
        <v>27</v>
      </c>
      <c r="H133" s="190"/>
      <c r="I133" s="190" t="s">
        <v>50</v>
      </c>
      <c r="J133" s="190">
        <v>22</v>
      </c>
      <c r="K133" s="190" t="s">
        <v>51</v>
      </c>
      <c r="L133" s="189" t="s">
        <v>9</v>
      </c>
      <c r="M133" s="386">
        <v>0</v>
      </c>
      <c r="N133" s="211">
        <v>100</v>
      </c>
      <c r="O133" s="211">
        <v>100</v>
      </c>
      <c r="P133" s="211">
        <v>100</v>
      </c>
      <c r="Q133" s="211">
        <v>100</v>
      </c>
      <c r="R133" s="190" t="s">
        <v>73</v>
      </c>
      <c r="S133" s="183">
        <f t="shared" si="181"/>
        <v>4</v>
      </c>
      <c r="T133" s="386">
        <v>0</v>
      </c>
      <c r="U133" s="385">
        <f t="shared" si="182"/>
        <v>4</v>
      </c>
      <c r="V133" s="385">
        <f t="shared" si="182"/>
        <v>4</v>
      </c>
      <c r="W133" s="385">
        <f t="shared" si="182"/>
        <v>4</v>
      </c>
      <c r="X133" s="385">
        <f t="shared" si="182"/>
        <v>4</v>
      </c>
      <c r="Y133" s="184">
        <f t="shared" si="115"/>
        <v>0</v>
      </c>
      <c r="Z133" s="184">
        <f t="shared" si="183"/>
        <v>217917</v>
      </c>
      <c r="AA133" s="184">
        <f t="shared" si="184"/>
        <v>233081</v>
      </c>
      <c r="AB133" s="184">
        <f t="shared" si="185"/>
        <v>7582</v>
      </c>
      <c r="AC133" s="184">
        <f t="shared" si="186"/>
        <v>7530</v>
      </c>
      <c r="AD133" s="184">
        <f t="shared" si="116"/>
        <v>466110</v>
      </c>
      <c r="AE133" s="183">
        <f t="shared" si="176"/>
        <v>0</v>
      </c>
      <c r="AF133" s="385">
        <f t="shared" si="187"/>
        <v>0</v>
      </c>
      <c r="AG133" s="385">
        <f t="shared" si="187"/>
        <v>0</v>
      </c>
      <c r="AH133" s="385">
        <f t="shared" si="187"/>
        <v>0</v>
      </c>
      <c r="AI133" s="185">
        <f t="shared" si="117"/>
        <v>0</v>
      </c>
      <c r="AJ133" s="185">
        <f t="shared" si="163"/>
        <v>0</v>
      </c>
      <c r="AK133" s="185">
        <f t="shared" si="164"/>
        <v>0</v>
      </c>
      <c r="AL133" s="185">
        <f t="shared" si="120"/>
        <v>0</v>
      </c>
      <c r="AM133" s="173">
        <v>0</v>
      </c>
      <c r="AN133" s="173">
        <f t="shared" si="144"/>
        <v>871668</v>
      </c>
      <c r="AO133" s="173">
        <f t="shared" si="145"/>
        <v>932324</v>
      </c>
      <c r="AP133" s="173">
        <f t="shared" si="105"/>
        <v>30328</v>
      </c>
      <c r="AQ133" s="173">
        <f t="shared" si="106"/>
        <v>30120</v>
      </c>
      <c r="AR133" s="173">
        <f t="shared" si="107"/>
        <v>1864440</v>
      </c>
      <c r="AS133" s="186" t="s">
        <v>1349</v>
      </c>
      <c r="AT133" s="300">
        <f t="shared" si="189"/>
        <v>4.9124999999999996</v>
      </c>
      <c r="AU133" s="300">
        <f t="shared" si="189"/>
        <v>4.9124999999999996</v>
      </c>
      <c r="AV133" s="300">
        <f t="shared" si="189"/>
        <v>4.9124999999999996</v>
      </c>
      <c r="AW133" s="300">
        <f t="shared" si="189"/>
        <v>4.9124999999999996</v>
      </c>
      <c r="AX133" s="300">
        <f t="shared" si="189"/>
        <v>4.9124999999999996</v>
      </c>
      <c r="AY133" s="301">
        <f t="shared" si="188"/>
        <v>4.9124999999999996</v>
      </c>
      <c r="AZ133" s="301">
        <f t="shared" si="188"/>
        <v>4.9124999999999996</v>
      </c>
      <c r="BA133" s="301">
        <f t="shared" si="188"/>
        <v>4.9124999999999996</v>
      </c>
      <c r="BB133" s="301">
        <f t="shared" si="188"/>
        <v>4.9124999999999996</v>
      </c>
      <c r="BC133" s="301">
        <f t="shared" si="188"/>
        <v>4.9124999999999996</v>
      </c>
      <c r="BD133" s="187"/>
      <c r="BE133" s="187">
        <f t="shared" si="147"/>
        <v>525</v>
      </c>
      <c r="BF133" s="187">
        <f t="shared" si="148"/>
        <v>525</v>
      </c>
      <c r="BG133" s="187">
        <f t="shared" si="165"/>
        <v>525</v>
      </c>
      <c r="BH133" s="187">
        <f t="shared" si="166"/>
        <v>525</v>
      </c>
      <c r="BI133" s="187"/>
      <c r="BJ133" s="187">
        <f t="shared" si="126"/>
        <v>525</v>
      </c>
      <c r="BK133" s="187">
        <f t="shared" si="127"/>
        <v>525</v>
      </c>
      <c r="BL133" s="187">
        <f t="shared" si="167"/>
        <v>525</v>
      </c>
      <c r="BM133" s="187">
        <f t="shared" si="168"/>
        <v>525</v>
      </c>
      <c r="BN133" s="188"/>
      <c r="BO133" s="188">
        <f t="shared" si="128"/>
        <v>457625700</v>
      </c>
      <c r="BP133" s="188">
        <f t="shared" si="129"/>
        <v>489470100</v>
      </c>
      <c r="BQ133" s="188">
        <f t="shared" si="130"/>
        <v>15922200</v>
      </c>
      <c r="BR133" s="188">
        <f t="shared" si="131"/>
        <v>15813000</v>
      </c>
      <c r="BS133" s="188">
        <f t="shared" si="108"/>
        <v>978831000</v>
      </c>
      <c r="BT133" s="188">
        <f t="shared" si="109"/>
        <v>0</v>
      </c>
      <c r="BU133" s="188">
        <f t="shared" si="110"/>
        <v>457625700</v>
      </c>
      <c r="BV133" s="188">
        <f t="shared" si="111"/>
        <v>489470100</v>
      </c>
      <c r="BW133" s="188">
        <f t="shared" si="112"/>
        <v>15922200</v>
      </c>
      <c r="BX133" s="188">
        <f t="shared" si="113"/>
        <v>15813000</v>
      </c>
      <c r="BY133" s="188">
        <f t="shared" si="114"/>
        <v>978831000</v>
      </c>
      <c r="BZ133" s="305">
        <f>IF(COT_PRECALCULOS!$D$24="Precios Iva Incluído",BI133,BD133)</f>
        <v>0</v>
      </c>
      <c r="CA133" s="305">
        <f>IF(COT_PRECALCULOS!$D$24="Precios Iva Incluído",BJ133,BE133)</f>
        <v>525</v>
      </c>
      <c r="CB133" s="305">
        <f>IF(COT_PRECALCULOS!$D$24="Precios Iva Incluído",BK133,BF133)</f>
        <v>525</v>
      </c>
      <c r="CC133" s="305">
        <f>IF(COT_PRECALCULOS!$D$24="Precios Iva Incluído",BL133,BG133)</f>
        <v>525</v>
      </c>
      <c r="CD133" s="305">
        <f>IF(COT_PRECALCULOS!$D$24="Precios Iva Incluído",BM133,BH133)</f>
        <v>525</v>
      </c>
      <c r="CE133" s="305">
        <f>IF(COT_PRECALCULOS!$D$24="Precios Iva Incluído",BT133,BN133)</f>
        <v>0</v>
      </c>
      <c r="CF133" s="305">
        <f>IF(COT_PRECALCULOS!$D$24="Precios Iva Incluído",BU133,BO133)</f>
        <v>457625700</v>
      </c>
      <c r="CG133" s="305">
        <f>IF(COT_PRECALCULOS!$D$24="Precios Iva Incluído",BV133,BP133)</f>
        <v>489470100</v>
      </c>
      <c r="CH133" s="305">
        <f>IF(COT_PRECALCULOS!$D$24="Precios Iva Incluído",BW133,BQ133)</f>
        <v>15922200</v>
      </c>
      <c r="CI133" s="305">
        <f>IF(COT_PRECALCULOS!$D$24="Precios Iva Incluído",BX133,BR133)</f>
        <v>15813000</v>
      </c>
    </row>
    <row r="134" spans="1:87">
      <c r="A134" s="182" t="s">
        <v>101</v>
      </c>
      <c r="B134" s="182" t="s">
        <v>98</v>
      </c>
      <c r="C134" s="189" t="str">
        <f t="shared" si="103"/>
        <v>F_PE14</v>
      </c>
      <c r="D134" s="189" t="str">
        <f t="shared" si="104"/>
        <v>33_P_</v>
      </c>
      <c r="E134" s="190" t="s">
        <v>1</v>
      </c>
      <c r="F134" s="190" t="s">
        <v>1</v>
      </c>
      <c r="G134" s="189" t="s">
        <v>27</v>
      </c>
      <c r="H134" s="190"/>
      <c r="I134" s="190" t="s">
        <v>58</v>
      </c>
      <c r="J134" s="190">
        <v>33</v>
      </c>
      <c r="K134" s="190" t="s">
        <v>59</v>
      </c>
      <c r="L134" s="189" t="s">
        <v>48</v>
      </c>
      <c r="M134" s="310">
        <v>90</v>
      </c>
      <c r="N134" s="310">
        <v>90</v>
      </c>
      <c r="O134" s="310">
        <v>90</v>
      </c>
      <c r="P134" s="310">
        <v>90</v>
      </c>
      <c r="Q134" s="310">
        <v>90</v>
      </c>
      <c r="R134" s="190"/>
      <c r="S134" s="183">
        <f t="shared" si="181"/>
        <v>0</v>
      </c>
      <c r="T134" s="385">
        <f>$S134</f>
        <v>0</v>
      </c>
      <c r="U134" s="385">
        <f t="shared" si="182"/>
        <v>0</v>
      </c>
      <c r="V134" s="385">
        <f t="shared" si="182"/>
        <v>0</v>
      </c>
      <c r="W134" s="385">
        <f t="shared" si="182"/>
        <v>0</v>
      </c>
      <c r="X134" s="385">
        <f t="shared" si="182"/>
        <v>0</v>
      </c>
      <c r="Y134" s="184">
        <f t="shared" si="115"/>
        <v>163328</v>
      </c>
      <c r="Z134" s="184">
        <f t="shared" si="183"/>
        <v>217917</v>
      </c>
      <c r="AA134" s="184">
        <f t="shared" si="184"/>
        <v>233081</v>
      </c>
      <c r="AB134" s="184">
        <f t="shared" si="185"/>
        <v>7582</v>
      </c>
      <c r="AC134" s="184">
        <f t="shared" si="186"/>
        <v>7530</v>
      </c>
      <c r="AD134" s="184">
        <f t="shared" si="116"/>
        <v>629438</v>
      </c>
      <c r="AE134" s="183">
        <f t="shared" si="176"/>
        <v>0</v>
      </c>
      <c r="AF134" s="385">
        <f t="shared" si="187"/>
        <v>0</v>
      </c>
      <c r="AG134" s="385">
        <f t="shared" si="187"/>
        <v>0</v>
      </c>
      <c r="AH134" s="385">
        <f t="shared" si="187"/>
        <v>0</v>
      </c>
      <c r="AI134" s="185">
        <f t="shared" si="117"/>
        <v>0</v>
      </c>
      <c r="AJ134" s="185">
        <f t="shared" si="163"/>
        <v>0</v>
      </c>
      <c r="AK134" s="185">
        <f t="shared" si="164"/>
        <v>0</v>
      </c>
      <c r="AL134" s="185">
        <f t="shared" si="120"/>
        <v>0</v>
      </c>
      <c r="AM134" s="173">
        <f t="shared" ref="AM134:AM140" si="190">($S134*Y134)+($AE134*AI134)</f>
        <v>0</v>
      </c>
      <c r="AN134" s="173">
        <f t="shared" si="144"/>
        <v>0</v>
      </c>
      <c r="AO134" s="173">
        <f t="shared" si="145"/>
        <v>0</v>
      </c>
      <c r="AP134" s="173">
        <f t="shared" si="105"/>
        <v>0</v>
      </c>
      <c r="AQ134" s="173">
        <f t="shared" si="106"/>
        <v>0</v>
      </c>
      <c r="AR134" s="173">
        <f t="shared" si="107"/>
        <v>0</v>
      </c>
      <c r="AS134" s="186" t="s">
        <v>1349</v>
      </c>
      <c r="AT134" s="300">
        <f t="shared" si="189"/>
        <v>2.8014999999999999</v>
      </c>
      <c r="AU134" s="300">
        <f t="shared" si="189"/>
        <v>2.8014999999999999</v>
      </c>
      <c r="AV134" s="300">
        <f t="shared" si="189"/>
        <v>2.8014999999999999</v>
      </c>
      <c r="AW134" s="300">
        <f t="shared" si="189"/>
        <v>2.8014999999999999</v>
      </c>
      <c r="AX134" s="300">
        <f t="shared" si="189"/>
        <v>2.8014999999999999</v>
      </c>
      <c r="AY134" s="301">
        <f t="shared" si="188"/>
        <v>2.8014999999999999</v>
      </c>
      <c r="AZ134" s="301">
        <f t="shared" si="188"/>
        <v>2.8014999999999999</v>
      </c>
      <c r="BA134" s="301">
        <f t="shared" si="188"/>
        <v>2.8014999999999999</v>
      </c>
      <c r="BB134" s="301">
        <f t="shared" si="188"/>
        <v>2.8014999999999999</v>
      </c>
      <c r="BC134" s="301">
        <f t="shared" si="188"/>
        <v>2.8014999999999999</v>
      </c>
      <c r="BD134" s="187">
        <f>ROUND(IF(OR(M134=0,AT134="DATO NO DISPONIBLE"),"",AT134*M134*($BD$7+1)),0)</f>
        <v>270</v>
      </c>
      <c r="BE134" s="187">
        <f t="shared" si="147"/>
        <v>270</v>
      </c>
      <c r="BF134" s="187">
        <f t="shared" si="148"/>
        <v>270</v>
      </c>
      <c r="BG134" s="187">
        <f t="shared" si="165"/>
        <v>270</v>
      </c>
      <c r="BH134" s="187">
        <f t="shared" si="166"/>
        <v>270</v>
      </c>
      <c r="BI134" s="187">
        <f>ROUND(IF(OR(M134=0,AY134="DATO NO DISPONIBLE"),0,AY134*M134*($BD$7+1)),0)</f>
        <v>270</v>
      </c>
      <c r="BJ134" s="187">
        <f t="shared" si="126"/>
        <v>270</v>
      </c>
      <c r="BK134" s="187">
        <f t="shared" si="127"/>
        <v>270</v>
      </c>
      <c r="BL134" s="187">
        <f t="shared" si="167"/>
        <v>270</v>
      </c>
      <c r="BM134" s="187">
        <f t="shared" si="168"/>
        <v>270</v>
      </c>
      <c r="BN134" s="188">
        <f>BD134*AM134</f>
        <v>0</v>
      </c>
      <c r="BO134" s="188">
        <f t="shared" si="128"/>
        <v>0</v>
      </c>
      <c r="BP134" s="188">
        <f t="shared" si="129"/>
        <v>0</v>
      </c>
      <c r="BQ134" s="188">
        <f t="shared" si="130"/>
        <v>0</v>
      </c>
      <c r="BR134" s="188">
        <f t="shared" si="131"/>
        <v>0</v>
      </c>
      <c r="BS134" s="188">
        <f t="shared" si="108"/>
        <v>0</v>
      </c>
      <c r="BT134" s="188">
        <f t="shared" si="109"/>
        <v>0</v>
      </c>
      <c r="BU134" s="188">
        <f t="shared" si="110"/>
        <v>0</v>
      </c>
      <c r="BV134" s="188">
        <f t="shared" si="111"/>
        <v>0</v>
      </c>
      <c r="BW134" s="188">
        <f t="shared" si="112"/>
        <v>0</v>
      </c>
      <c r="BX134" s="188">
        <f t="shared" si="113"/>
        <v>0</v>
      </c>
      <c r="BY134" s="188">
        <f t="shared" si="114"/>
        <v>0</v>
      </c>
      <c r="BZ134" s="305">
        <f>IF(COT_PRECALCULOS!$D$24="Precios Iva Incluído",BI134,BD134)</f>
        <v>270</v>
      </c>
      <c r="CA134" s="305">
        <f>IF(COT_PRECALCULOS!$D$24="Precios Iva Incluído",BJ134,BE134)</f>
        <v>270</v>
      </c>
      <c r="CB134" s="305">
        <f>IF(COT_PRECALCULOS!$D$24="Precios Iva Incluído",BK134,BF134)</f>
        <v>270</v>
      </c>
      <c r="CC134" s="305">
        <f>IF(COT_PRECALCULOS!$D$24="Precios Iva Incluído",BL134,BG134)</f>
        <v>270</v>
      </c>
      <c r="CD134" s="305">
        <f>IF(COT_PRECALCULOS!$D$24="Precios Iva Incluído",BM134,BH134)</f>
        <v>270</v>
      </c>
      <c r="CE134" s="305">
        <f>IF(COT_PRECALCULOS!$D$24="Precios Iva Incluído",BT134,BN134)</f>
        <v>0</v>
      </c>
      <c r="CF134" s="305">
        <f>IF(COT_PRECALCULOS!$D$24="Precios Iva Incluído",BU134,BO134)</f>
        <v>0</v>
      </c>
      <c r="CG134" s="305">
        <f>IF(COT_PRECALCULOS!$D$24="Precios Iva Incluído",BV134,BP134)</f>
        <v>0</v>
      </c>
      <c r="CH134" s="305">
        <f>IF(COT_PRECALCULOS!$D$24="Precios Iva Incluído",BW134,BQ134)</f>
        <v>0</v>
      </c>
      <c r="CI134" s="305">
        <f>IF(COT_PRECALCULOS!$D$24="Precios Iva Incluído",BX134,BR134)</f>
        <v>0</v>
      </c>
    </row>
    <row r="135" spans="1:87">
      <c r="A135" s="182" t="s">
        <v>101</v>
      </c>
      <c r="B135" s="182" t="s">
        <v>98</v>
      </c>
      <c r="C135" s="189" t="str">
        <f t="shared" si="103"/>
        <v>F_PE14</v>
      </c>
      <c r="D135" s="189" t="str">
        <f t="shared" si="104"/>
        <v>42_P_</v>
      </c>
      <c r="E135" s="190" t="s">
        <v>1</v>
      </c>
      <c r="F135" s="190" t="s">
        <v>1</v>
      </c>
      <c r="G135" s="189" t="s">
        <v>27</v>
      </c>
      <c r="H135" s="190"/>
      <c r="I135" s="190" t="s">
        <v>49</v>
      </c>
      <c r="J135" s="190">
        <v>42</v>
      </c>
      <c r="K135" s="190" t="s">
        <v>61</v>
      </c>
      <c r="L135" s="189" t="s">
        <v>9</v>
      </c>
      <c r="M135" s="211">
        <v>100</v>
      </c>
      <c r="N135" s="211">
        <v>100</v>
      </c>
      <c r="O135" s="211">
        <v>100</v>
      </c>
      <c r="P135" s="211">
        <v>100</v>
      </c>
      <c r="Q135" s="211">
        <v>100</v>
      </c>
      <c r="R135" s="190"/>
      <c r="S135" s="183">
        <f t="shared" si="181"/>
        <v>4</v>
      </c>
      <c r="T135" s="385">
        <f>$S135</f>
        <v>4</v>
      </c>
      <c r="U135" s="385">
        <f t="shared" si="182"/>
        <v>4</v>
      </c>
      <c r="V135" s="385">
        <f t="shared" si="182"/>
        <v>4</v>
      </c>
      <c r="W135" s="385">
        <f t="shared" si="182"/>
        <v>4</v>
      </c>
      <c r="X135" s="385">
        <f t="shared" si="182"/>
        <v>4</v>
      </c>
      <c r="Y135" s="184">
        <f t="shared" si="115"/>
        <v>163328</v>
      </c>
      <c r="Z135" s="184">
        <f t="shared" si="183"/>
        <v>217917</v>
      </c>
      <c r="AA135" s="184">
        <f t="shared" si="184"/>
        <v>233081</v>
      </c>
      <c r="AB135" s="184">
        <f t="shared" si="185"/>
        <v>7582</v>
      </c>
      <c r="AC135" s="184">
        <f t="shared" si="186"/>
        <v>7530</v>
      </c>
      <c r="AD135" s="184">
        <f t="shared" si="116"/>
        <v>629438</v>
      </c>
      <c r="AE135" s="183">
        <f t="shared" si="176"/>
        <v>0</v>
      </c>
      <c r="AF135" s="385">
        <f t="shared" si="187"/>
        <v>0</v>
      </c>
      <c r="AG135" s="385">
        <f t="shared" si="187"/>
        <v>0</v>
      </c>
      <c r="AH135" s="385">
        <f t="shared" si="187"/>
        <v>0</v>
      </c>
      <c r="AI135" s="185">
        <f t="shared" si="117"/>
        <v>0</v>
      </c>
      <c r="AJ135" s="185">
        <f t="shared" si="163"/>
        <v>0</v>
      </c>
      <c r="AK135" s="185">
        <f t="shared" si="164"/>
        <v>0</v>
      </c>
      <c r="AL135" s="185">
        <f t="shared" si="120"/>
        <v>0</v>
      </c>
      <c r="AM135" s="173">
        <f t="shared" si="190"/>
        <v>653312</v>
      </c>
      <c r="AN135" s="173">
        <f t="shared" si="144"/>
        <v>871668</v>
      </c>
      <c r="AO135" s="173">
        <f t="shared" si="145"/>
        <v>932324</v>
      </c>
      <c r="AP135" s="173">
        <f t="shared" si="105"/>
        <v>30328</v>
      </c>
      <c r="AQ135" s="173">
        <f t="shared" si="106"/>
        <v>30120</v>
      </c>
      <c r="AR135" s="173">
        <f t="shared" si="107"/>
        <v>2517752</v>
      </c>
      <c r="AS135" s="186" t="s">
        <v>1349</v>
      </c>
      <c r="AT135" s="300">
        <f t="shared" si="189"/>
        <v>1.8169999999999999</v>
      </c>
      <c r="AU135" s="300">
        <f t="shared" si="189"/>
        <v>1.8169999999999999</v>
      </c>
      <c r="AV135" s="300">
        <f t="shared" si="189"/>
        <v>1.8169999999999999</v>
      </c>
      <c r="AW135" s="300">
        <f t="shared" si="189"/>
        <v>1.8169999999999999</v>
      </c>
      <c r="AX135" s="300">
        <f t="shared" si="189"/>
        <v>1.8169999999999999</v>
      </c>
      <c r="AY135" s="301">
        <f t="shared" si="188"/>
        <v>1.8169999999999999</v>
      </c>
      <c r="AZ135" s="301">
        <f t="shared" si="188"/>
        <v>1.8169999999999999</v>
      </c>
      <c r="BA135" s="301">
        <f t="shared" si="188"/>
        <v>1.8169999999999999</v>
      </c>
      <c r="BB135" s="301">
        <f t="shared" si="188"/>
        <v>1.8169999999999999</v>
      </c>
      <c r="BC135" s="301">
        <f t="shared" si="188"/>
        <v>1.8169999999999999</v>
      </c>
      <c r="BD135" s="187">
        <f>ROUND(IF(OR(M135=0,AT135="DATO NO DISPONIBLE"),"",AT135*M135*($BD$7+1)),0)</f>
        <v>194</v>
      </c>
      <c r="BE135" s="187">
        <f t="shared" si="147"/>
        <v>194</v>
      </c>
      <c r="BF135" s="187">
        <f t="shared" si="148"/>
        <v>194</v>
      </c>
      <c r="BG135" s="187">
        <f t="shared" si="165"/>
        <v>194</v>
      </c>
      <c r="BH135" s="187">
        <f t="shared" si="166"/>
        <v>194</v>
      </c>
      <c r="BI135" s="187">
        <f>ROUND(IF(OR(M135=0,AY135="DATO NO DISPONIBLE"),0,AY135*M135*($BD$7+1)),0)</f>
        <v>194</v>
      </c>
      <c r="BJ135" s="187">
        <f t="shared" si="126"/>
        <v>194</v>
      </c>
      <c r="BK135" s="187">
        <f t="shared" si="127"/>
        <v>194</v>
      </c>
      <c r="BL135" s="187">
        <f t="shared" si="167"/>
        <v>194</v>
      </c>
      <c r="BM135" s="187">
        <f t="shared" si="168"/>
        <v>194</v>
      </c>
      <c r="BN135" s="188">
        <f>BD135*AM135</f>
        <v>126742528</v>
      </c>
      <c r="BO135" s="188">
        <f t="shared" si="128"/>
        <v>169103592</v>
      </c>
      <c r="BP135" s="188">
        <f t="shared" si="129"/>
        <v>180870856</v>
      </c>
      <c r="BQ135" s="188">
        <f t="shared" si="130"/>
        <v>5883632</v>
      </c>
      <c r="BR135" s="188">
        <f t="shared" si="131"/>
        <v>5843280</v>
      </c>
      <c r="BS135" s="188">
        <f t="shared" si="108"/>
        <v>488443888</v>
      </c>
      <c r="BT135" s="188">
        <f t="shared" si="109"/>
        <v>126742528</v>
      </c>
      <c r="BU135" s="188">
        <f t="shared" si="110"/>
        <v>169103592</v>
      </c>
      <c r="BV135" s="188">
        <f t="shared" si="111"/>
        <v>180870856</v>
      </c>
      <c r="BW135" s="188">
        <f t="shared" si="112"/>
        <v>5883632</v>
      </c>
      <c r="BX135" s="188">
        <f t="shared" si="113"/>
        <v>5843280</v>
      </c>
      <c r="BY135" s="188">
        <f t="shared" si="114"/>
        <v>488443888</v>
      </c>
      <c r="BZ135" s="305">
        <f>IF(COT_PRECALCULOS!$D$24="Precios Iva Incluído",BI135,BD135)</f>
        <v>194</v>
      </c>
      <c r="CA135" s="305">
        <f>IF(COT_PRECALCULOS!$D$24="Precios Iva Incluído",BJ135,BE135)</f>
        <v>194</v>
      </c>
      <c r="CB135" s="305">
        <f>IF(COT_PRECALCULOS!$D$24="Precios Iva Incluído",BK135,BF135)</f>
        <v>194</v>
      </c>
      <c r="CC135" s="305">
        <f>IF(COT_PRECALCULOS!$D$24="Precios Iva Incluído",BL135,BG135)</f>
        <v>194</v>
      </c>
      <c r="CD135" s="305">
        <f>IF(COT_PRECALCULOS!$D$24="Precios Iva Incluído",BM135,BH135)</f>
        <v>194</v>
      </c>
      <c r="CE135" s="305">
        <f>IF(COT_PRECALCULOS!$D$24="Precios Iva Incluído",BT135,BN135)</f>
        <v>126742528</v>
      </c>
      <c r="CF135" s="305">
        <f>IF(COT_PRECALCULOS!$D$24="Precios Iva Incluído",BU135,BO135)</f>
        <v>169103592</v>
      </c>
      <c r="CG135" s="305">
        <f>IF(COT_PRECALCULOS!$D$24="Precios Iva Incluído",BV135,BP135)</f>
        <v>180870856</v>
      </c>
      <c r="CH135" s="305">
        <f>IF(COT_PRECALCULOS!$D$24="Precios Iva Incluído",BW135,BQ135)</f>
        <v>5883632</v>
      </c>
      <c r="CI135" s="305">
        <f>IF(COT_PRECALCULOS!$D$24="Precios Iva Incluído",BX135,BR135)</f>
        <v>5843280</v>
      </c>
    </row>
    <row r="136" spans="1:87">
      <c r="A136" s="182" t="s">
        <v>101</v>
      </c>
      <c r="B136" s="182" t="s">
        <v>98</v>
      </c>
      <c r="C136" s="189" t="str">
        <f t="shared" si="103"/>
        <v>F_PE14</v>
      </c>
      <c r="D136" s="189" t="str">
        <f t="shared" si="104"/>
        <v>43_P_</v>
      </c>
      <c r="E136" s="190" t="s">
        <v>1</v>
      </c>
      <c r="F136" s="190" t="s">
        <v>1</v>
      </c>
      <c r="G136" s="189" t="s">
        <v>27</v>
      </c>
      <c r="H136" s="190"/>
      <c r="I136" s="190" t="s">
        <v>60</v>
      </c>
      <c r="J136" s="190">
        <v>43</v>
      </c>
      <c r="K136" s="190" t="s">
        <v>62</v>
      </c>
      <c r="L136" s="189" t="s">
        <v>9</v>
      </c>
      <c r="M136" s="211">
        <v>100</v>
      </c>
      <c r="N136" s="211">
        <v>100</v>
      </c>
      <c r="O136" s="211">
        <v>100</v>
      </c>
      <c r="P136" s="211">
        <v>100</v>
      </c>
      <c r="Q136" s="211">
        <v>100</v>
      </c>
      <c r="R136" s="190"/>
      <c r="S136" s="183">
        <f t="shared" si="181"/>
        <v>2</v>
      </c>
      <c r="T136" s="385">
        <f>$S136</f>
        <v>2</v>
      </c>
      <c r="U136" s="385">
        <f t="shared" si="182"/>
        <v>2</v>
      </c>
      <c r="V136" s="385">
        <f t="shared" si="182"/>
        <v>2</v>
      </c>
      <c r="W136" s="385">
        <f t="shared" si="182"/>
        <v>2</v>
      </c>
      <c r="X136" s="385">
        <f t="shared" si="182"/>
        <v>2</v>
      </c>
      <c r="Y136" s="184">
        <f t="shared" si="115"/>
        <v>163328</v>
      </c>
      <c r="Z136" s="184">
        <f t="shared" si="183"/>
        <v>217917</v>
      </c>
      <c r="AA136" s="184">
        <f t="shared" si="184"/>
        <v>233081</v>
      </c>
      <c r="AB136" s="184">
        <f t="shared" si="185"/>
        <v>7582</v>
      </c>
      <c r="AC136" s="184">
        <f t="shared" si="186"/>
        <v>7530</v>
      </c>
      <c r="AD136" s="184">
        <f t="shared" si="116"/>
        <v>629438</v>
      </c>
      <c r="AE136" s="183">
        <f t="shared" si="176"/>
        <v>0</v>
      </c>
      <c r="AF136" s="385">
        <f t="shared" si="187"/>
        <v>0</v>
      </c>
      <c r="AG136" s="385">
        <f t="shared" si="187"/>
        <v>0</v>
      </c>
      <c r="AH136" s="385">
        <f t="shared" si="187"/>
        <v>0</v>
      </c>
      <c r="AI136" s="185">
        <f t="shared" si="117"/>
        <v>0</v>
      </c>
      <c r="AJ136" s="185">
        <f t="shared" si="163"/>
        <v>0</v>
      </c>
      <c r="AK136" s="185">
        <f t="shared" si="164"/>
        <v>0</v>
      </c>
      <c r="AL136" s="185">
        <f t="shared" si="120"/>
        <v>0</v>
      </c>
      <c r="AM136" s="173">
        <f t="shared" si="190"/>
        <v>326656</v>
      </c>
      <c r="AN136" s="173">
        <f t="shared" si="144"/>
        <v>435834</v>
      </c>
      <c r="AO136" s="173">
        <f t="shared" si="145"/>
        <v>466162</v>
      </c>
      <c r="AP136" s="173">
        <f t="shared" si="105"/>
        <v>15164</v>
      </c>
      <c r="AQ136" s="173">
        <f t="shared" si="106"/>
        <v>15060</v>
      </c>
      <c r="AR136" s="173">
        <f t="shared" si="107"/>
        <v>1258876</v>
      </c>
      <c r="AS136" s="186" t="s">
        <v>1349</v>
      </c>
      <c r="AT136" s="300">
        <f t="shared" si="189"/>
        <v>1.5892500000000001</v>
      </c>
      <c r="AU136" s="300">
        <f t="shared" si="189"/>
        <v>1.5892500000000001</v>
      </c>
      <c r="AV136" s="300">
        <f t="shared" si="189"/>
        <v>1.5892500000000001</v>
      </c>
      <c r="AW136" s="300">
        <f t="shared" si="189"/>
        <v>1.5892500000000001</v>
      </c>
      <c r="AX136" s="300">
        <f t="shared" si="189"/>
        <v>1.5892500000000001</v>
      </c>
      <c r="AY136" s="301">
        <f t="shared" si="188"/>
        <v>1.5892500000000001</v>
      </c>
      <c r="AZ136" s="301">
        <f t="shared" si="188"/>
        <v>1.5892500000000001</v>
      </c>
      <c r="BA136" s="301">
        <f t="shared" si="188"/>
        <v>1.5892500000000001</v>
      </c>
      <c r="BB136" s="301">
        <f t="shared" si="188"/>
        <v>1.5892500000000001</v>
      </c>
      <c r="BC136" s="301">
        <f t="shared" si="188"/>
        <v>1.5892500000000001</v>
      </c>
      <c r="BD136" s="187">
        <f>ROUND(IF(OR(M136=0,AT136="DATO NO DISPONIBLE"),"",AT136*M136*($BD$7+1)),0)</f>
        <v>170</v>
      </c>
      <c r="BE136" s="187">
        <f t="shared" si="147"/>
        <v>170</v>
      </c>
      <c r="BF136" s="187">
        <f t="shared" si="148"/>
        <v>170</v>
      </c>
      <c r="BG136" s="187">
        <f t="shared" si="165"/>
        <v>170</v>
      </c>
      <c r="BH136" s="187">
        <f t="shared" si="166"/>
        <v>170</v>
      </c>
      <c r="BI136" s="187">
        <f>ROUND(IF(OR(M136=0,AY136="DATO NO DISPONIBLE"),0,AY136*M136*($BD$7+1)),0)</f>
        <v>170</v>
      </c>
      <c r="BJ136" s="187">
        <f t="shared" si="126"/>
        <v>170</v>
      </c>
      <c r="BK136" s="187">
        <f t="shared" si="127"/>
        <v>170</v>
      </c>
      <c r="BL136" s="187">
        <f t="shared" si="167"/>
        <v>170</v>
      </c>
      <c r="BM136" s="187">
        <f t="shared" si="168"/>
        <v>170</v>
      </c>
      <c r="BN136" s="188">
        <f>BD136*AM136</f>
        <v>55531520</v>
      </c>
      <c r="BO136" s="188">
        <f t="shared" si="128"/>
        <v>74091780</v>
      </c>
      <c r="BP136" s="188">
        <f t="shared" si="129"/>
        <v>79247540</v>
      </c>
      <c r="BQ136" s="188">
        <f t="shared" si="130"/>
        <v>2577880</v>
      </c>
      <c r="BR136" s="188">
        <f t="shared" si="131"/>
        <v>2560200</v>
      </c>
      <c r="BS136" s="188">
        <f t="shared" si="108"/>
        <v>214008920</v>
      </c>
      <c r="BT136" s="188">
        <f t="shared" si="109"/>
        <v>55531520</v>
      </c>
      <c r="BU136" s="188">
        <f t="shared" si="110"/>
        <v>74091780</v>
      </c>
      <c r="BV136" s="188">
        <f t="shared" si="111"/>
        <v>79247540</v>
      </c>
      <c r="BW136" s="188">
        <f t="shared" si="112"/>
        <v>2577880</v>
      </c>
      <c r="BX136" s="188">
        <f t="shared" si="113"/>
        <v>2560200</v>
      </c>
      <c r="BY136" s="188">
        <f t="shared" si="114"/>
        <v>214008920</v>
      </c>
      <c r="BZ136" s="305">
        <f>IF(COT_PRECALCULOS!$D$24="Precios Iva Incluído",BI136,BD136)</f>
        <v>170</v>
      </c>
      <c r="CA136" s="305">
        <f>IF(COT_PRECALCULOS!$D$24="Precios Iva Incluído",BJ136,BE136)</f>
        <v>170</v>
      </c>
      <c r="CB136" s="305">
        <f>IF(COT_PRECALCULOS!$D$24="Precios Iva Incluído",BK136,BF136)</f>
        <v>170</v>
      </c>
      <c r="CC136" s="305">
        <f>IF(COT_PRECALCULOS!$D$24="Precios Iva Incluído",BL136,BG136)</f>
        <v>170</v>
      </c>
      <c r="CD136" s="305">
        <f>IF(COT_PRECALCULOS!$D$24="Precios Iva Incluído",BM136,BH136)</f>
        <v>170</v>
      </c>
      <c r="CE136" s="305">
        <f>IF(COT_PRECALCULOS!$D$24="Precios Iva Incluído",BT136,BN136)</f>
        <v>55531520</v>
      </c>
      <c r="CF136" s="305">
        <f>IF(COT_PRECALCULOS!$D$24="Precios Iva Incluído",BU136,BO136)</f>
        <v>74091780</v>
      </c>
      <c r="CG136" s="305">
        <f>IF(COT_PRECALCULOS!$D$24="Precios Iva Incluído",BV136,BP136)</f>
        <v>79247540</v>
      </c>
      <c r="CH136" s="305">
        <f>IF(COT_PRECALCULOS!$D$24="Precios Iva Incluído",BW136,BQ136)</f>
        <v>2577880</v>
      </c>
      <c r="CI136" s="305">
        <f>IF(COT_PRECALCULOS!$D$24="Precios Iva Incluído",BX136,BR136)</f>
        <v>2560200</v>
      </c>
    </row>
    <row r="137" spans="1:87">
      <c r="A137" s="182" t="s">
        <v>101</v>
      </c>
      <c r="B137" s="182" t="s">
        <v>98</v>
      </c>
      <c r="C137" s="189" t="str">
        <f t="shared" si="103"/>
        <v>F_PE14</v>
      </c>
      <c r="D137" s="189" t="str">
        <f t="shared" si="104"/>
        <v>46_P_</v>
      </c>
      <c r="E137" s="190" t="s">
        <v>1</v>
      </c>
      <c r="F137" s="190" t="s">
        <v>1</v>
      </c>
      <c r="G137" s="189" t="s">
        <v>27</v>
      </c>
      <c r="H137" s="190"/>
      <c r="I137" s="190" t="s">
        <v>63</v>
      </c>
      <c r="J137" s="190">
        <v>46</v>
      </c>
      <c r="K137" s="190" t="s">
        <v>64</v>
      </c>
      <c r="L137" s="189" t="s">
        <v>9</v>
      </c>
      <c r="M137" s="211">
        <v>100</v>
      </c>
      <c r="N137" s="211">
        <v>100</v>
      </c>
      <c r="O137" s="211">
        <v>100</v>
      </c>
      <c r="P137" s="211">
        <v>100</v>
      </c>
      <c r="Q137" s="211">
        <v>100</v>
      </c>
      <c r="R137" s="190"/>
      <c r="S137" s="388">
        <v>3</v>
      </c>
      <c r="T137" s="388">
        <f>$S137</f>
        <v>3</v>
      </c>
      <c r="U137" s="388">
        <v>0</v>
      </c>
      <c r="V137" s="388">
        <v>0</v>
      </c>
      <c r="W137" s="388">
        <v>0</v>
      </c>
      <c r="X137" s="388">
        <v>0</v>
      </c>
      <c r="Y137" s="184">
        <f t="shared" si="115"/>
        <v>163328</v>
      </c>
      <c r="Z137" s="184">
        <v>0</v>
      </c>
      <c r="AA137" s="184">
        <v>0</v>
      </c>
      <c r="AB137" s="184">
        <v>0</v>
      </c>
      <c r="AC137" s="184">
        <v>0</v>
      </c>
      <c r="AD137" s="184">
        <f t="shared" si="116"/>
        <v>163328</v>
      </c>
      <c r="AE137" s="183">
        <f t="shared" si="176"/>
        <v>0</v>
      </c>
      <c r="AF137" s="385">
        <f t="shared" si="187"/>
        <v>0</v>
      </c>
      <c r="AG137" s="385">
        <f t="shared" si="187"/>
        <v>0</v>
      </c>
      <c r="AH137" s="385">
        <f t="shared" si="187"/>
        <v>0</v>
      </c>
      <c r="AI137" s="185">
        <f t="shared" si="117"/>
        <v>0</v>
      </c>
      <c r="AJ137" s="185">
        <f t="shared" si="163"/>
        <v>0</v>
      </c>
      <c r="AK137" s="185">
        <f t="shared" si="164"/>
        <v>0</v>
      </c>
      <c r="AL137" s="185">
        <f t="shared" si="120"/>
        <v>0</v>
      </c>
      <c r="AM137" s="173">
        <f t="shared" si="190"/>
        <v>489984</v>
      </c>
      <c r="AN137" s="173">
        <f t="shared" si="144"/>
        <v>0</v>
      </c>
      <c r="AO137" s="173">
        <f t="shared" si="145"/>
        <v>0</v>
      </c>
      <c r="AP137" s="173">
        <f t="shared" si="105"/>
        <v>0</v>
      </c>
      <c r="AQ137" s="173">
        <f t="shared" si="106"/>
        <v>0</v>
      </c>
      <c r="AR137" s="173">
        <f t="shared" si="107"/>
        <v>489984</v>
      </c>
      <c r="AS137" s="186" t="s">
        <v>1349</v>
      </c>
      <c r="AT137" s="300">
        <f t="shared" si="189"/>
        <v>3.7214999999999998</v>
      </c>
      <c r="AU137" s="300">
        <f t="shared" si="189"/>
        <v>3.7214999999999998</v>
      </c>
      <c r="AV137" s="300">
        <f t="shared" si="189"/>
        <v>3.7214999999999998</v>
      </c>
      <c r="AW137" s="300">
        <f t="shared" si="189"/>
        <v>3.7214999999999998</v>
      </c>
      <c r="AX137" s="300">
        <f t="shared" si="189"/>
        <v>3.7214999999999998</v>
      </c>
      <c r="AY137" s="301">
        <f t="shared" si="188"/>
        <v>3.7214999999999998</v>
      </c>
      <c r="AZ137" s="301">
        <f t="shared" si="188"/>
        <v>3.7214999999999998</v>
      </c>
      <c r="BA137" s="301">
        <f t="shared" si="188"/>
        <v>3.7214999999999998</v>
      </c>
      <c r="BB137" s="301">
        <f t="shared" si="188"/>
        <v>3.7214999999999998</v>
      </c>
      <c r="BC137" s="301">
        <f t="shared" si="188"/>
        <v>3.7214999999999998</v>
      </c>
      <c r="BD137" s="187">
        <f>ROUND(IF(OR(M137=0,AT137="DATO NO DISPONIBLE"),"",AT137*M137*($BD$7+1)),0)</f>
        <v>398</v>
      </c>
      <c r="BE137" s="187">
        <f t="shared" si="147"/>
        <v>398</v>
      </c>
      <c r="BF137" s="187">
        <f t="shared" si="148"/>
        <v>398</v>
      </c>
      <c r="BG137" s="187">
        <f t="shared" si="165"/>
        <v>398</v>
      </c>
      <c r="BH137" s="187">
        <f t="shared" si="166"/>
        <v>398</v>
      </c>
      <c r="BI137" s="187">
        <f>ROUND(IF(OR(M137=0,AY137="DATO NO DISPONIBLE"),0,AY137*M137*($BD$7+1)),0)</f>
        <v>398</v>
      </c>
      <c r="BJ137" s="187">
        <f t="shared" si="126"/>
        <v>398</v>
      </c>
      <c r="BK137" s="187">
        <f t="shared" si="127"/>
        <v>398</v>
      </c>
      <c r="BL137" s="187">
        <f t="shared" si="167"/>
        <v>398</v>
      </c>
      <c r="BM137" s="187">
        <f t="shared" si="168"/>
        <v>398</v>
      </c>
      <c r="BN137" s="188">
        <f>BD137*AM137</f>
        <v>195013632</v>
      </c>
      <c r="BO137" s="188">
        <f t="shared" si="128"/>
        <v>0</v>
      </c>
      <c r="BP137" s="188">
        <f t="shared" si="129"/>
        <v>0</v>
      </c>
      <c r="BQ137" s="188">
        <f t="shared" si="130"/>
        <v>0</v>
      </c>
      <c r="BR137" s="188">
        <f t="shared" si="131"/>
        <v>0</v>
      </c>
      <c r="BS137" s="188">
        <f t="shared" si="108"/>
        <v>195013632</v>
      </c>
      <c r="BT137" s="188">
        <f t="shared" si="109"/>
        <v>195013632</v>
      </c>
      <c r="BU137" s="188">
        <f t="shared" si="110"/>
        <v>0</v>
      </c>
      <c r="BV137" s="188">
        <f t="shared" si="111"/>
        <v>0</v>
      </c>
      <c r="BW137" s="188">
        <f t="shared" si="112"/>
        <v>0</v>
      </c>
      <c r="BX137" s="188">
        <f t="shared" si="113"/>
        <v>0</v>
      </c>
      <c r="BY137" s="188">
        <f t="shared" si="114"/>
        <v>195013632</v>
      </c>
      <c r="BZ137" s="305">
        <f>IF(COT_PRECALCULOS!$D$24="Precios Iva Incluído",BI137,BD137)</f>
        <v>398</v>
      </c>
      <c r="CA137" s="305">
        <f>IF(COT_PRECALCULOS!$D$24="Precios Iva Incluído",BJ137,BE137)</f>
        <v>398</v>
      </c>
      <c r="CB137" s="305">
        <f>IF(COT_PRECALCULOS!$D$24="Precios Iva Incluído",BK137,BF137)</f>
        <v>398</v>
      </c>
      <c r="CC137" s="305">
        <f>IF(COT_PRECALCULOS!$D$24="Precios Iva Incluído",BL137,BG137)</f>
        <v>398</v>
      </c>
      <c r="CD137" s="305">
        <f>IF(COT_PRECALCULOS!$D$24="Precios Iva Incluído",BM137,BH137)</f>
        <v>398</v>
      </c>
      <c r="CE137" s="305">
        <f>IF(COT_PRECALCULOS!$D$24="Precios Iva Incluído",BT137,BN137)</f>
        <v>195013632</v>
      </c>
      <c r="CF137" s="305">
        <f>IF(COT_PRECALCULOS!$D$24="Precios Iva Incluído",BU137,BO137)</f>
        <v>0</v>
      </c>
      <c r="CG137" s="305">
        <f>IF(COT_PRECALCULOS!$D$24="Precios Iva Incluído",BV137,BP137)</f>
        <v>0</v>
      </c>
      <c r="CH137" s="305">
        <f>IF(COT_PRECALCULOS!$D$24="Precios Iva Incluído",BW137,BQ137)</f>
        <v>0</v>
      </c>
      <c r="CI137" s="305">
        <f>IF(COT_PRECALCULOS!$D$24="Precios Iva Incluído",BX137,BR137)</f>
        <v>0</v>
      </c>
    </row>
    <row r="138" spans="1:87">
      <c r="A138" s="182" t="s">
        <v>101</v>
      </c>
      <c r="B138" s="182" t="s">
        <v>98</v>
      </c>
      <c r="C138" s="189" t="str">
        <f t="shared" si="103"/>
        <v>F_PE14</v>
      </c>
      <c r="D138" s="189" t="str">
        <f t="shared" si="104"/>
        <v>58_P_</v>
      </c>
      <c r="E138" s="190" t="s">
        <v>1</v>
      </c>
      <c r="F138" s="190" t="s">
        <v>1</v>
      </c>
      <c r="G138" s="189" t="s">
        <v>27</v>
      </c>
      <c r="H138" s="190"/>
      <c r="I138" s="190" t="s">
        <v>65</v>
      </c>
      <c r="J138" s="190">
        <v>58</v>
      </c>
      <c r="K138" s="190" t="s">
        <v>67</v>
      </c>
      <c r="L138" s="189" t="s">
        <v>9</v>
      </c>
      <c r="M138" s="211">
        <v>100</v>
      </c>
      <c r="N138" s="211">
        <v>100</v>
      </c>
      <c r="O138" s="211">
        <v>100</v>
      </c>
      <c r="P138" s="211">
        <v>100</v>
      </c>
      <c r="Q138" s="211">
        <v>100</v>
      </c>
      <c r="R138" s="190"/>
      <c r="S138" s="183">
        <f>COUNTIF(CAL_PRIMERA_ENTREGA_FRUTA,CONCATENATE(G138,"_",J138))</f>
        <v>2</v>
      </c>
      <c r="T138" s="385">
        <f>$S138</f>
        <v>2</v>
      </c>
      <c r="U138" s="385">
        <f t="shared" ref="U138:X139" si="191">$S138</f>
        <v>2</v>
      </c>
      <c r="V138" s="385">
        <f t="shared" si="191"/>
        <v>2</v>
      </c>
      <c r="W138" s="385">
        <f t="shared" si="191"/>
        <v>2</v>
      </c>
      <c r="X138" s="385">
        <f t="shared" si="191"/>
        <v>2</v>
      </c>
      <c r="Y138" s="184">
        <f t="shared" si="115"/>
        <v>163328</v>
      </c>
      <c r="Z138" s="184">
        <f>IF(N138&lt;&gt;0,VLOOKUP(A138,FRE_CANTIDADES_DIARIAS_SUMINISTROS,5,FALSE),0)</f>
        <v>217917</v>
      </c>
      <c r="AA138" s="184">
        <f>IF(O138&lt;&gt;0,VLOOKUP(A138,FRE_CANTIDADES_DIARIAS_SUMINISTROS,6,FALSE),0)</f>
        <v>233081</v>
      </c>
      <c r="AB138" s="184">
        <f>IF(P138&lt;&gt;0,VLOOKUP(A138,FRE_CANTIDADES_DIARIAS_SUMINISTROS,7,FALSE),0)</f>
        <v>7582</v>
      </c>
      <c r="AC138" s="184">
        <f>IF(Q138&lt;&gt;0,VLOOKUP(A138,FRE_CANTIDADES_DIARIAS_SUMINISTROS,8,FALSE),0)</f>
        <v>7530</v>
      </c>
      <c r="AD138" s="184">
        <f t="shared" si="116"/>
        <v>629438</v>
      </c>
      <c r="AE138" s="183">
        <f t="shared" si="176"/>
        <v>0</v>
      </c>
      <c r="AF138" s="385">
        <f t="shared" si="187"/>
        <v>0</v>
      </c>
      <c r="AG138" s="385">
        <f t="shared" si="187"/>
        <v>0</v>
      </c>
      <c r="AH138" s="385">
        <f t="shared" si="187"/>
        <v>0</v>
      </c>
      <c r="AI138" s="185">
        <f t="shared" si="117"/>
        <v>0</v>
      </c>
      <c r="AJ138" s="185">
        <f t="shared" si="163"/>
        <v>0</v>
      </c>
      <c r="AK138" s="185">
        <f t="shared" si="164"/>
        <v>0</v>
      </c>
      <c r="AL138" s="185">
        <f t="shared" si="120"/>
        <v>0</v>
      </c>
      <c r="AM138" s="173">
        <f t="shared" si="190"/>
        <v>326656</v>
      </c>
      <c r="AN138" s="173">
        <f t="shared" si="144"/>
        <v>435834</v>
      </c>
      <c r="AO138" s="173">
        <f t="shared" si="145"/>
        <v>466162</v>
      </c>
      <c r="AP138" s="173">
        <f t="shared" si="105"/>
        <v>15164</v>
      </c>
      <c r="AQ138" s="173">
        <f t="shared" si="106"/>
        <v>15060</v>
      </c>
      <c r="AR138" s="173">
        <f t="shared" si="107"/>
        <v>1258876</v>
      </c>
      <c r="AS138" s="186" t="s">
        <v>1349</v>
      </c>
      <c r="AT138" s="300">
        <f t="shared" si="189"/>
        <v>1.4384999999999999</v>
      </c>
      <c r="AU138" s="300">
        <f t="shared" si="189"/>
        <v>1.4384999999999999</v>
      </c>
      <c r="AV138" s="300">
        <f t="shared" si="189"/>
        <v>1.4384999999999999</v>
      </c>
      <c r="AW138" s="300">
        <f t="shared" si="189"/>
        <v>1.4384999999999999</v>
      </c>
      <c r="AX138" s="300">
        <f t="shared" si="189"/>
        <v>1.4384999999999999</v>
      </c>
      <c r="AY138" s="301">
        <f t="shared" ref="AY138:BC147" si="192">IF(ISERROR(MATCH(CONCATENATE($J138,"_",AY$1),COT_PRE_CODIGO_ALIMENTOS,0)),IF(ISERROR(MATCH(CONCATENATE($J138,"_",AY$2),COT_PRE_CODIGO_ALIMENTOS,0)),IF(ISERROR(MATCH(CONCATENATE($J138,"_",AY$3),COT_PRE_CODIGO_ALIMENTOS,0)),IF(ISERROR(MATCH(CONCATENATE($J138,"_",AY$4),COT_PRE_CODIGO_ALIMENTOS,0)),IF(ISERROR(MATCH(CONCATENATE($J138,"_",AY$5),COT_PRE_CODIGO_ALIMENTOS,0)),IF(ISERROR(MATCH(CONCATENATE($J138,"_",AY$6),COT_PRE_CODIGO_ALIMENTOS,0)),IF(ISERROR(MATCH(CONCATENATE($J138,"_",AY$7),COT_PRE_CODIGO_ALIMENTOS,0)),IF(ISERROR(VLOOKUP($J138,COT_PRE_ALIMENTOS,AY$8,FALSE)),"DATO NO DISPONIBLE",VLOOKUP($J138,COT_PRE_ALIMENTOS,AY$8,FALSE)),VLOOKUP(CONCATENATE($J138,"_",AY$7),COT_PRE_ALIMENTOS,AY$8,FALSE)),VLOOKUP(CONCATENATE($J138,"_",AY$6),COT_PRE_ALIMENTOS,AY$8,FALSE)),VLOOKUP(CONCATENATE($J138,"_",AY$5),COT_PRE_ALIMENTOS,AY$8,FALSE)),VLOOKUP(CONCATENATE($J138,"_",AY$4),COT_PRE_ALIMENTOS,AY$8,FALSE)),VLOOKUP(CONCATENATE($J138,"_",AY$3),COT_PRE_ALIMENTOS,AY$8,FALSE)),VLOOKUP(CONCATENATE($J138,"_",AY$2),COT_PRE_ALIMENTOS,AY$8,FALSE)),VLOOKUP(CONCATENATE($J138,"_",AY$1),COT_PRE_ALIMENTOS,AY$8,FALSE))</f>
        <v>1.4384999999999999</v>
      </c>
      <c r="AZ138" s="301">
        <f t="shared" si="192"/>
        <v>1.4384999999999999</v>
      </c>
      <c r="BA138" s="301">
        <f t="shared" si="192"/>
        <v>1.4384999999999999</v>
      </c>
      <c r="BB138" s="301">
        <f t="shared" si="192"/>
        <v>1.4384999999999999</v>
      </c>
      <c r="BC138" s="301">
        <f t="shared" si="192"/>
        <v>1.4384999999999999</v>
      </c>
      <c r="BD138" s="187">
        <f>ROUND(IF(OR(M138=0,AT138="DATO NO DISPONIBLE"),"",AT138*M138*($BD$7+1)),0)</f>
        <v>154</v>
      </c>
      <c r="BE138" s="187">
        <f t="shared" si="147"/>
        <v>154</v>
      </c>
      <c r="BF138" s="187">
        <f t="shared" si="148"/>
        <v>154</v>
      </c>
      <c r="BG138" s="187">
        <f t="shared" si="165"/>
        <v>154</v>
      </c>
      <c r="BH138" s="187">
        <f t="shared" si="166"/>
        <v>154</v>
      </c>
      <c r="BI138" s="187">
        <f>ROUND(IF(OR(M138=0,AY138="DATO NO DISPONIBLE"),0,AY138*M138*($BD$7+1)),0)</f>
        <v>154</v>
      </c>
      <c r="BJ138" s="187">
        <f t="shared" si="126"/>
        <v>154</v>
      </c>
      <c r="BK138" s="187">
        <f t="shared" si="127"/>
        <v>154</v>
      </c>
      <c r="BL138" s="187">
        <f t="shared" si="167"/>
        <v>154</v>
      </c>
      <c r="BM138" s="187">
        <f t="shared" si="168"/>
        <v>154</v>
      </c>
      <c r="BN138" s="188">
        <f>BD138*AM138</f>
        <v>50305024</v>
      </c>
      <c r="BO138" s="188">
        <f t="shared" si="128"/>
        <v>67118436</v>
      </c>
      <c r="BP138" s="188">
        <f t="shared" si="129"/>
        <v>71788948</v>
      </c>
      <c r="BQ138" s="188">
        <f t="shared" si="130"/>
        <v>2335256</v>
      </c>
      <c r="BR138" s="188">
        <f t="shared" si="131"/>
        <v>2319240</v>
      </c>
      <c r="BS138" s="188">
        <f t="shared" si="108"/>
        <v>193866904</v>
      </c>
      <c r="BT138" s="188">
        <f t="shared" si="109"/>
        <v>50305024</v>
      </c>
      <c r="BU138" s="188">
        <f t="shared" si="110"/>
        <v>67118436</v>
      </c>
      <c r="BV138" s="188">
        <f t="shared" si="111"/>
        <v>71788948</v>
      </c>
      <c r="BW138" s="188">
        <f t="shared" si="112"/>
        <v>2335256</v>
      </c>
      <c r="BX138" s="188">
        <f t="shared" si="113"/>
        <v>2319240</v>
      </c>
      <c r="BY138" s="188">
        <f t="shared" si="114"/>
        <v>193866904</v>
      </c>
      <c r="BZ138" s="305">
        <f>IF(COT_PRECALCULOS!$D$24="Precios Iva Incluído",BI138,BD138)</f>
        <v>154</v>
      </c>
      <c r="CA138" s="305">
        <f>IF(COT_PRECALCULOS!$D$24="Precios Iva Incluído",BJ138,BE138)</f>
        <v>154</v>
      </c>
      <c r="CB138" s="305">
        <f>IF(COT_PRECALCULOS!$D$24="Precios Iva Incluído",BK138,BF138)</f>
        <v>154</v>
      </c>
      <c r="CC138" s="305">
        <f>IF(COT_PRECALCULOS!$D$24="Precios Iva Incluído",BL138,BG138)</f>
        <v>154</v>
      </c>
      <c r="CD138" s="305">
        <f>IF(COT_PRECALCULOS!$D$24="Precios Iva Incluído",BM138,BH138)</f>
        <v>154</v>
      </c>
      <c r="CE138" s="305">
        <f>IF(COT_PRECALCULOS!$D$24="Precios Iva Incluído",BT138,BN138)</f>
        <v>50305024</v>
      </c>
      <c r="CF138" s="305">
        <f>IF(COT_PRECALCULOS!$D$24="Precios Iva Incluído",BU138,BO138)</f>
        <v>67118436</v>
      </c>
      <c r="CG138" s="305">
        <f>IF(COT_PRECALCULOS!$D$24="Precios Iva Incluído",BV138,BP138)</f>
        <v>71788948</v>
      </c>
      <c r="CH138" s="305">
        <f>IF(COT_PRECALCULOS!$D$24="Precios Iva Incluído",BW138,BQ138)</f>
        <v>2335256</v>
      </c>
      <c r="CI138" s="305">
        <f>IF(COT_PRECALCULOS!$D$24="Precios Iva Incluído",BX138,BR138)</f>
        <v>2319240</v>
      </c>
    </row>
    <row r="139" spans="1:87">
      <c r="A139" s="182" t="s">
        <v>101</v>
      </c>
      <c r="B139" s="182" t="s">
        <v>98</v>
      </c>
      <c r="C139" s="189" t="str">
        <f t="shared" si="103"/>
        <v>F_PE14</v>
      </c>
      <c r="D139" s="189" t="str">
        <f t="shared" si="104"/>
        <v>59_P_</v>
      </c>
      <c r="E139" s="190" t="s">
        <v>1</v>
      </c>
      <c r="F139" s="190" t="s">
        <v>1</v>
      </c>
      <c r="G139" s="189" t="s">
        <v>27</v>
      </c>
      <c r="H139" s="190"/>
      <c r="I139" s="190" t="s">
        <v>66</v>
      </c>
      <c r="J139" s="190">
        <v>59</v>
      </c>
      <c r="K139" s="190" t="s">
        <v>99</v>
      </c>
      <c r="L139" s="189" t="s">
        <v>9</v>
      </c>
      <c r="M139" s="386">
        <v>0</v>
      </c>
      <c r="N139" s="211">
        <v>100</v>
      </c>
      <c r="O139" s="211">
        <v>100</v>
      </c>
      <c r="P139" s="211">
        <v>100</v>
      </c>
      <c r="Q139" s="211">
        <v>100</v>
      </c>
      <c r="R139" s="190" t="s">
        <v>73</v>
      </c>
      <c r="S139" s="385">
        <f>COUNTIF(CAL_PRIMERA_ENTREGA_FRUTA,CONCATENATE(G139,"_",J139))</f>
        <v>0</v>
      </c>
      <c r="T139" s="386">
        <v>0</v>
      </c>
      <c r="U139" s="385">
        <f t="shared" si="191"/>
        <v>0</v>
      </c>
      <c r="V139" s="385">
        <f t="shared" si="191"/>
        <v>0</v>
      </c>
      <c r="W139" s="385">
        <f t="shared" si="191"/>
        <v>0</v>
      </c>
      <c r="X139" s="385">
        <f t="shared" si="191"/>
        <v>0</v>
      </c>
      <c r="Y139" s="184">
        <f t="shared" si="115"/>
        <v>0</v>
      </c>
      <c r="Z139" s="184">
        <f>IF(N139&lt;&gt;0,VLOOKUP(A139,FRE_CANTIDADES_DIARIAS_SUMINISTROS,5,FALSE),0)</f>
        <v>217917</v>
      </c>
      <c r="AA139" s="184">
        <f>IF(O139&lt;&gt;0,VLOOKUP(A139,FRE_CANTIDADES_DIARIAS_SUMINISTROS,6,FALSE),0)</f>
        <v>233081</v>
      </c>
      <c r="AB139" s="184">
        <f>IF(P139&lt;&gt;0,VLOOKUP(A139,FRE_CANTIDADES_DIARIAS_SUMINISTROS,7,FALSE),0)</f>
        <v>7582</v>
      </c>
      <c r="AC139" s="184">
        <f>IF(Q139&lt;&gt;0,VLOOKUP(A139,FRE_CANTIDADES_DIARIAS_SUMINISTROS,8,FALSE),0)</f>
        <v>7530</v>
      </c>
      <c r="AD139" s="184">
        <f t="shared" si="116"/>
        <v>466110</v>
      </c>
      <c r="AE139" s="183">
        <f t="shared" si="176"/>
        <v>0</v>
      </c>
      <c r="AF139" s="385">
        <f t="shared" si="187"/>
        <v>0</v>
      </c>
      <c r="AG139" s="385">
        <f t="shared" si="187"/>
        <v>0</v>
      </c>
      <c r="AH139" s="385">
        <f t="shared" si="187"/>
        <v>0</v>
      </c>
      <c r="AI139" s="185">
        <f t="shared" si="117"/>
        <v>0</v>
      </c>
      <c r="AJ139" s="185">
        <f t="shared" si="163"/>
        <v>0</v>
      </c>
      <c r="AK139" s="185">
        <f t="shared" si="164"/>
        <v>0</v>
      </c>
      <c r="AL139" s="185">
        <f t="shared" si="120"/>
        <v>0</v>
      </c>
      <c r="AM139" s="173">
        <f t="shared" si="190"/>
        <v>0</v>
      </c>
      <c r="AN139" s="173">
        <f t="shared" si="144"/>
        <v>0</v>
      </c>
      <c r="AO139" s="173">
        <f t="shared" si="145"/>
        <v>0</v>
      </c>
      <c r="AP139" s="173">
        <f t="shared" si="105"/>
        <v>0</v>
      </c>
      <c r="AQ139" s="173">
        <f t="shared" si="106"/>
        <v>0</v>
      </c>
      <c r="AR139" s="173">
        <f t="shared" si="107"/>
        <v>0</v>
      </c>
      <c r="AS139" s="186" t="s">
        <v>1349</v>
      </c>
      <c r="AT139" s="300">
        <f t="shared" si="189"/>
        <v>2.6785000000000001</v>
      </c>
      <c r="AU139" s="300">
        <f t="shared" si="189"/>
        <v>2.6785000000000001</v>
      </c>
      <c r="AV139" s="300">
        <f t="shared" si="189"/>
        <v>2.6785000000000001</v>
      </c>
      <c r="AW139" s="300">
        <f t="shared" si="189"/>
        <v>2.6785000000000001</v>
      </c>
      <c r="AX139" s="300">
        <f t="shared" si="189"/>
        <v>2.6785000000000001</v>
      </c>
      <c r="AY139" s="301">
        <f t="shared" si="192"/>
        <v>2.6785000000000001</v>
      </c>
      <c r="AZ139" s="301">
        <f t="shared" si="192"/>
        <v>2.6785000000000001</v>
      </c>
      <c r="BA139" s="301">
        <f t="shared" si="192"/>
        <v>2.6785000000000001</v>
      </c>
      <c r="BB139" s="301">
        <f t="shared" si="192"/>
        <v>2.6785000000000001</v>
      </c>
      <c r="BC139" s="301">
        <f t="shared" si="192"/>
        <v>2.6785000000000001</v>
      </c>
      <c r="BD139" s="187"/>
      <c r="BE139" s="187">
        <f t="shared" si="147"/>
        <v>286</v>
      </c>
      <c r="BF139" s="187">
        <f t="shared" si="148"/>
        <v>286</v>
      </c>
      <c r="BG139" s="187">
        <f t="shared" si="165"/>
        <v>286</v>
      </c>
      <c r="BH139" s="187">
        <f t="shared" si="166"/>
        <v>286</v>
      </c>
      <c r="BI139" s="187"/>
      <c r="BJ139" s="187">
        <f t="shared" si="126"/>
        <v>286</v>
      </c>
      <c r="BK139" s="187">
        <f t="shared" si="127"/>
        <v>286</v>
      </c>
      <c r="BL139" s="187">
        <f t="shared" si="167"/>
        <v>286</v>
      </c>
      <c r="BM139" s="187">
        <f t="shared" si="168"/>
        <v>286</v>
      </c>
      <c r="BN139" s="188"/>
      <c r="BO139" s="188">
        <f t="shared" si="128"/>
        <v>0</v>
      </c>
      <c r="BP139" s="188">
        <f t="shared" si="129"/>
        <v>0</v>
      </c>
      <c r="BQ139" s="188">
        <f t="shared" si="130"/>
        <v>0</v>
      </c>
      <c r="BR139" s="188">
        <f t="shared" si="131"/>
        <v>0</v>
      </c>
      <c r="BS139" s="188">
        <f t="shared" si="108"/>
        <v>0</v>
      </c>
      <c r="BT139" s="188">
        <f t="shared" si="109"/>
        <v>0</v>
      </c>
      <c r="BU139" s="188">
        <f t="shared" si="110"/>
        <v>0</v>
      </c>
      <c r="BV139" s="188">
        <f t="shared" si="111"/>
        <v>0</v>
      </c>
      <c r="BW139" s="188">
        <f t="shared" si="112"/>
        <v>0</v>
      </c>
      <c r="BX139" s="188">
        <f t="shared" si="113"/>
        <v>0</v>
      </c>
      <c r="BY139" s="188">
        <f t="shared" si="114"/>
        <v>0</v>
      </c>
      <c r="BZ139" s="305">
        <f>IF(COT_PRECALCULOS!$D$24="Precios Iva Incluído",BI139,BD139)</f>
        <v>0</v>
      </c>
      <c r="CA139" s="305">
        <f>IF(COT_PRECALCULOS!$D$24="Precios Iva Incluído",BJ139,BE139)</f>
        <v>286</v>
      </c>
      <c r="CB139" s="305">
        <f>IF(COT_PRECALCULOS!$D$24="Precios Iva Incluído",BK139,BF139)</f>
        <v>286</v>
      </c>
      <c r="CC139" s="305">
        <f>IF(COT_PRECALCULOS!$D$24="Precios Iva Incluído",BL139,BG139)</f>
        <v>286</v>
      </c>
      <c r="CD139" s="305">
        <f>IF(COT_PRECALCULOS!$D$24="Precios Iva Incluído",BM139,BH139)</f>
        <v>286</v>
      </c>
      <c r="CE139" s="305">
        <f>IF(COT_PRECALCULOS!$D$24="Precios Iva Incluído",BT139,BN139)</f>
        <v>0</v>
      </c>
      <c r="CF139" s="305">
        <f>IF(COT_PRECALCULOS!$D$24="Precios Iva Incluído",BU139,BO139)</f>
        <v>0</v>
      </c>
      <c r="CG139" s="305">
        <f>IF(COT_PRECALCULOS!$D$24="Precios Iva Incluído",BV139,BP139)</f>
        <v>0</v>
      </c>
      <c r="CH139" s="305">
        <f>IF(COT_PRECALCULOS!$D$24="Precios Iva Incluído",BW139,BQ139)</f>
        <v>0</v>
      </c>
      <c r="CI139" s="305">
        <f>IF(COT_PRECALCULOS!$D$24="Precios Iva Incluído",BX139,BR139)</f>
        <v>0</v>
      </c>
    </row>
    <row r="140" spans="1:87">
      <c r="A140" s="182" t="s">
        <v>101</v>
      </c>
      <c r="B140" s="182" t="s">
        <v>98</v>
      </c>
      <c r="C140" s="189" t="str">
        <f t="shared" ref="C140:C203" si="193">CONCATENATE(MID(E140,1,1),"_",G140)</f>
        <v>F_PE14</v>
      </c>
      <c r="D140" s="189" t="str">
        <f t="shared" ref="D140:D203" si="194">CONCATENATE(J140,"_",A140)</f>
        <v>69_P_</v>
      </c>
      <c r="E140" s="190" t="s">
        <v>1</v>
      </c>
      <c r="F140" s="190" t="s">
        <v>1</v>
      </c>
      <c r="G140" s="189" t="s">
        <v>27</v>
      </c>
      <c r="H140" s="190"/>
      <c r="I140" s="190" t="s">
        <v>68</v>
      </c>
      <c r="J140" s="190">
        <v>69</v>
      </c>
      <c r="K140" s="190" t="s">
        <v>70</v>
      </c>
      <c r="L140" s="189" t="s">
        <v>9</v>
      </c>
      <c r="M140" s="211">
        <v>100</v>
      </c>
      <c r="N140" s="211">
        <v>100</v>
      </c>
      <c r="O140" s="211">
        <v>100</v>
      </c>
      <c r="P140" s="211">
        <v>100</v>
      </c>
      <c r="Q140" s="211">
        <v>100</v>
      </c>
      <c r="R140" s="190"/>
      <c r="S140" s="201">
        <v>4</v>
      </c>
      <c r="T140" s="388">
        <f>$S140</f>
        <v>4</v>
      </c>
      <c r="U140" s="388">
        <v>0</v>
      </c>
      <c r="V140" s="388">
        <v>0</v>
      </c>
      <c r="W140" s="388">
        <v>0</v>
      </c>
      <c r="X140" s="388">
        <v>0</v>
      </c>
      <c r="Y140" s="184">
        <f t="shared" si="115"/>
        <v>163328</v>
      </c>
      <c r="Z140" s="184">
        <v>0</v>
      </c>
      <c r="AA140" s="184">
        <v>0</v>
      </c>
      <c r="AB140" s="184">
        <v>0</v>
      </c>
      <c r="AC140" s="184">
        <v>0</v>
      </c>
      <c r="AD140" s="184">
        <f t="shared" si="116"/>
        <v>163328</v>
      </c>
      <c r="AE140" s="183">
        <f t="shared" si="176"/>
        <v>0</v>
      </c>
      <c r="AF140" s="385">
        <f t="shared" si="187"/>
        <v>0</v>
      </c>
      <c r="AG140" s="385">
        <f t="shared" si="187"/>
        <v>0</v>
      </c>
      <c r="AH140" s="385">
        <f t="shared" si="187"/>
        <v>0</v>
      </c>
      <c r="AI140" s="185">
        <f t="shared" si="117"/>
        <v>0</v>
      </c>
      <c r="AJ140" s="185">
        <f t="shared" si="163"/>
        <v>0</v>
      </c>
      <c r="AK140" s="185">
        <f t="shared" si="164"/>
        <v>0</v>
      </c>
      <c r="AL140" s="185">
        <f t="shared" si="120"/>
        <v>0</v>
      </c>
      <c r="AM140" s="173">
        <f t="shared" si="190"/>
        <v>653312</v>
      </c>
      <c r="AN140" s="173">
        <f t="shared" si="144"/>
        <v>0</v>
      </c>
      <c r="AO140" s="173">
        <f t="shared" si="145"/>
        <v>0</v>
      </c>
      <c r="AP140" s="173">
        <f t="shared" ref="AP140:AP203" si="195">($S140*AB140)</f>
        <v>0</v>
      </c>
      <c r="AQ140" s="173">
        <f t="shared" ref="AQ140:AQ203" si="196">($S140*AC140)</f>
        <v>0</v>
      </c>
      <c r="AR140" s="173">
        <f t="shared" ref="AR140:AR203" si="197">AM140+AN140+AO140+AP140+AQ140</f>
        <v>653312</v>
      </c>
      <c r="AS140" s="186" t="s">
        <v>1349</v>
      </c>
      <c r="AT140" s="300">
        <f t="shared" si="189"/>
        <v>2.8519999999999999</v>
      </c>
      <c r="AU140" s="300">
        <f t="shared" si="189"/>
        <v>2.8519999999999999</v>
      </c>
      <c r="AV140" s="300">
        <f t="shared" si="189"/>
        <v>2.8519999999999999</v>
      </c>
      <c r="AW140" s="300">
        <f t="shared" si="189"/>
        <v>2.8519999999999999</v>
      </c>
      <c r="AX140" s="300">
        <f t="shared" si="189"/>
        <v>2.8519999999999999</v>
      </c>
      <c r="AY140" s="301">
        <f t="shared" si="192"/>
        <v>2.8519999999999999</v>
      </c>
      <c r="AZ140" s="301">
        <f t="shared" si="192"/>
        <v>2.8519999999999999</v>
      </c>
      <c r="BA140" s="301">
        <f t="shared" si="192"/>
        <v>2.8519999999999999</v>
      </c>
      <c r="BB140" s="301">
        <f t="shared" si="192"/>
        <v>2.8519999999999999</v>
      </c>
      <c r="BC140" s="301">
        <f t="shared" si="192"/>
        <v>2.8519999999999999</v>
      </c>
      <c r="BD140" s="187">
        <f>ROUND(IF(OR(M140=0,AT140="DATO NO DISPONIBLE"),"",AT140*M140*($BD$7+1)),0)</f>
        <v>305</v>
      </c>
      <c r="BE140" s="187">
        <f t="shared" si="147"/>
        <v>305</v>
      </c>
      <c r="BF140" s="187">
        <f t="shared" si="148"/>
        <v>305</v>
      </c>
      <c r="BG140" s="187">
        <f t="shared" si="165"/>
        <v>305</v>
      </c>
      <c r="BH140" s="187">
        <f t="shared" si="166"/>
        <v>305</v>
      </c>
      <c r="BI140" s="187">
        <f>ROUND(IF(OR(M140=0,AY140="DATO NO DISPONIBLE"),0,AY140*M140*($BD$7+1)),0)</f>
        <v>305</v>
      </c>
      <c r="BJ140" s="187">
        <f t="shared" si="126"/>
        <v>305</v>
      </c>
      <c r="BK140" s="187">
        <f t="shared" si="127"/>
        <v>305</v>
      </c>
      <c r="BL140" s="187">
        <f t="shared" si="167"/>
        <v>305</v>
      </c>
      <c r="BM140" s="187">
        <f t="shared" si="168"/>
        <v>305</v>
      </c>
      <c r="BN140" s="188">
        <f>BD140*AM140</f>
        <v>199260160</v>
      </c>
      <c r="BO140" s="188">
        <f t="shared" si="128"/>
        <v>0</v>
      </c>
      <c r="BP140" s="188">
        <f t="shared" si="129"/>
        <v>0</v>
      </c>
      <c r="BQ140" s="188">
        <f t="shared" si="130"/>
        <v>0</v>
      </c>
      <c r="BR140" s="188">
        <f t="shared" si="131"/>
        <v>0</v>
      </c>
      <c r="BS140" s="188">
        <f t="shared" ref="BS140:BS203" si="198">SUM(BN140:BR140)</f>
        <v>199260160</v>
      </c>
      <c r="BT140" s="188">
        <f t="shared" ref="BT140:BT203" si="199">BI140*AM140</f>
        <v>199260160</v>
      </c>
      <c r="BU140" s="188">
        <f t="shared" ref="BU140:BU203" si="200">BJ140*AN140</f>
        <v>0</v>
      </c>
      <c r="BV140" s="188">
        <f t="shared" ref="BV140:BV203" si="201">BK140*AO140</f>
        <v>0</v>
      </c>
      <c r="BW140" s="188">
        <f t="shared" ref="BW140:BW203" si="202">BL140*AP140</f>
        <v>0</v>
      </c>
      <c r="BX140" s="188">
        <f t="shared" ref="BX140:BX203" si="203">BM140*AQ140</f>
        <v>0</v>
      </c>
      <c r="BY140" s="188">
        <f t="shared" ref="BY140:BY203" si="204">SUM(BT140:BX140)</f>
        <v>199260160</v>
      </c>
      <c r="BZ140" s="305">
        <f>IF(COT_PRECALCULOS!$D$24="Precios Iva Incluído",BI140,BD140)</f>
        <v>305</v>
      </c>
      <c r="CA140" s="305">
        <f>IF(COT_PRECALCULOS!$D$24="Precios Iva Incluído",BJ140,BE140)</f>
        <v>305</v>
      </c>
      <c r="CB140" s="305">
        <f>IF(COT_PRECALCULOS!$D$24="Precios Iva Incluído",BK140,BF140)</f>
        <v>305</v>
      </c>
      <c r="CC140" s="305">
        <f>IF(COT_PRECALCULOS!$D$24="Precios Iva Incluído",BL140,BG140)</f>
        <v>305</v>
      </c>
      <c r="CD140" s="305">
        <f>IF(COT_PRECALCULOS!$D$24="Precios Iva Incluído",BM140,BH140)</f>
        <v>305</v>
      </c>
      <c r="CE140" s="305">
        <f>IF(COT_PRECALCULOS!$D$24="Precios Iva Incluído",BT140,BN140)</f>
        <v>199260160</v>
      </c>
      <c r="CF140" s="305">
        <f>IF(COT_PRECALCULOS!$D$24="Precios Iva Incluído",BU140,BO140)</f>
        <v>0</v>
      </c>
      <c r="CG140" s="305">
        <f>IF(COT_PRECALCULOS!$D$24="Precios Iva Incluído",BV140,BP140)</f>
        <v>0</v>
      </c>
      <c r="CH140" s="305">
        <f>IF(COT_PRECALCULOS!$D$24="Precios Iva Incluído",BW140,BQ140)</f>
        <v>0</v>
      </c>
      <c r="CI140" s="305">
        <f>IF(COT_PRECALCULOS!$D$24="Precios Iva Incluído",BX140,BR140)</f>
        <v>0</v>
      </c>
    </row>
    <row r="141" spans="1:87">
      <c r="A141" s="182" t="s">
        <v>101</v>
      </c>
      <c r="B141" s="182" t="s">
        <v>98</v>
      </c>
      <c r="C141" s="189" t="str">
        <f t="shared" si="193"/>
        <v>F_PE14</v>
      </c>
      <c r="D141" s="189" t="str">
        <f t="shared" si="194"/>
        <v>70_P_</v>
      </c>
      <c r="E141" s="190" t="s">
        <v>1</v>
      </c>
      <c r="F141" s="190" t="s">
        <v>1</v>
      </c>
      <c r="G141" s="189" t="s">
        <v>27</v>
      </c>
      <c r="H141" s="190"/>
      <c r="I141" s="190" t="s">
        <v>69</v>
      </c>
      <c r="J141" s="190">
        <v>70</v>
      </c>
      <c r="K141" s="190" t="s">
        <v>71</v>
      </c>
      <c r="L141" s="189" t="s">
        <v>9</v>
      </c>
      <c r="M141" s="191">
        <v>0</v>
      </c>
      <c r="N141" s="211">
        <v>100</v>
      </c>
      <c r="O141" s="211">
        <v>100</v>
      </c>
      <c r="P141" s="211">
        <v>100</v>
      </c>
      <c r="Q141" s="211">
        <v>100</v>
      </c>
      <c r="R141" s="211" t="s">
        <v>73</v>
      </c>
      <c r="S141" s="183">
        <f t="shared" ref="S141:S149" si="205">COUNTIF(CAL_PRIMERA_ENTREGA_FRUTA,CONCATENATE(G141,"_",J141))</f>
        <v>0</v>
      </c>
      <c r="T141" s="386">
        <v>0</v>
      </c>
      <c r="U141" s="385">
        <f t="shared" ref="U141:X149" si="206">$S141</f>
        <v>0</v>
      </c>
      <c r="V141" s="385">
        <f t="shared" si="206"/>
        <v>0</v>
      </c>
      <c r="W141" s="385">
        <f t="shared" si="206"/>
        <v>0</v>
      </c>
      <c r="X141" s="385">
        <f t="shared" si="206"/>
        <v>0</v>
      </c>
      <c r="Y141" s="184">
        <f t="shared" ref="Y141:Y204" si="207">IF(M141&lt;&gt;0,VLOOKUP(A141,FRE_CANTIDADES_DIARIAS_SUMINISTROS,4,FALSE),0)</f>
        <v>0</v>
      </c>
      <c r="Z141" s="184">
        <f t="shared" ref="Z141:Z149" si="208">IF(N141&lt;&gt;0,VLOOKUP(A141,FRE_CANTIDADES_DIARIAS_SUMINISTROS,5,FALSE),0)</f>
        <v>217917</v>
      </c>
      <c r="AA141" s="184">
        <f t="shared" ref="AA141:AA149" si="209">IF(O141&lt;&gt;0,VLOOKUP(A141,FRE_CANTIDADES_DIARIAS_SUMINISTROS,6,FALSE),0)</f>
        <v>233081</v>
      </c>
      <c r="AB141" s="184">
        <f t="shared" ref="AB141:AB149" si="210">IF(P141&lt;&gt;0,VLOOKUP(A141,FRE_CANTIDADES_DIARIAS_SUMINISTROS,7,FALSE),0)</f>
        <v>7582</v>
      </c>
      <c r="AC141" s="184">
        <f t="shared" ref="AC141:AC149" si="211">IF(Q141&lt;&gt;0,VLOOKUP(A141,FRE_CANTIDADES_DIARIAS_SUMINISTROS,8,FALSE),0)</f>
        <v>7530</v>
      </c>
      <c r="AD141" s="184">
        <f t="shared" ref="AD141:AD204" si="212">SUM(Y141:AC141)</f>
        <v>466110</v>
      </c>
      <c r="AE141" s="183">
        <f t="shared" si="176"/>
        <v>0</v>
      </c>
      <c r="AF141" s="385">
        <f t="shared" si="187"/>
        <v>0</v>
      </c>
      <c r="AG141" s="385">
        <f t="shared" si="187"/>
        <v>0</v>
      </c>
      <c r="AH141" s="385">
        <f t="shared" si="187"/>
        <v>0</v>
      </c>
      <c r="AI141" s="185">
        <f t="shared" ref="AI141:AI204" si="213">IF(OR(B141="NA",M141=0),0,VLOOKUP(B141,FRE_CANTIDADES_DIARIAS_SUMINISTROS,4,FALSE))</f>
        <v>0</v>
      </c>
      <c r="AJ141" s="185">
        <f t="shared" ref="AJ141:AJ171" si="214">IF(OR(B141="NA",N141=0),0,VLOOKUP(B141,FRE_CANTIDADES_DIARIAS_SUMINISTROS,5,FALSE))</f>
        <v>0</v>
      </c>
      <c r="AK141" s="185">
        <f t="shared" ref="AK141:AK171" si="215">IF(OR(B141="NA",O141=0),0,VLOOKUP(B141,FRE_CANTIDADES_DIARIAS_SUMINISTROS,6,FALSE))</f>
        <v>0</v>
      </c>
      <c r="AL141" s="185">
        <f t="shared" ref="AL141:AL204" si="216">AI141+AJ141+AK141</f>
        <v>0</v>
      </c>
      <c r="AM141" s="173">
        <v>0</v>
      </c>
      <c r="AN141" s="173">
        <f t="shared" si="144"/>
        <v>0</v>
      </c>
      <c r="AO141" s="173">
        <f t="shared" si="145"/>
        <v>0</v>
      </c>
      <c r="AP141" s="173">
        <f t="shared" si="195"/>
        <v>0</v>
      </c>
      <c r="AQ141" s="173">
        <f t="shared" si="196"/>
        <v>0</v>
      </c>
      <c r="AR141" s="173">
        <f t="shared" si="197"/>
        <v>0</v>
      </c>
      <c r="AS141" s="186" t="s">
        <v>1349</v>
      </c>
      <c r="AT141" s="300">
        <f t="shared" ref="AT141:AX150" si="217">IF(ISERROR(IF(ISERROR(MATCH(CONCATENATE($J141,"_",AT$1),COT_PRE_CODIGO_ALIMENTOS,0)),IF(ISERROR(MATCH(CONCATENATE($J141,"_",AT$2),COT_PRE_CODIGO_ALIMENTOS,0)),IF(ISERROR(MATCH(CONCATENATE($J141,"_",AT$3),COT_PRE_CODIGO_ALIMENTOS,0)),IF(ISERROR(MATCH(CONCATENATE($J141,"_",AT$4),COT_PRE_CODIGO_ALIMENTOS,0)),IF(ISERROR(MATCH(CONCATENATE($J141,"_",AT$5),COT_PRE_CODIGO_ALIMENTOS,0)),IF(ISERROR(MATCH(CONCATENATE($J141,"_",AT$6),COT_PRE_CODIGO_ALIMENTOS,0)),IF(ISERROR(MATCH(CONCATENATE($J141,"_",AT$7),COT_PRE_CODIGO_ALIMENTOS,0)),IF(ISERROR(VLOOKUP($J141,COT_PRE_ALIMENTOS,AT$8,FALSE)),"DATO NO DISPONIBLE",VLOOKUP($J141,COT_PRE_ALIMENTOS,AT$8,FALSE)),VLOOKUP(CONCATENATE($J141,"_",AT$7),COT_PRE_ALIMENTOS,AT$8,FALSE)),VLOOKUP(CONCATENATE($J141,"_",AT$6),COT_PRE_ALIMENTOS,AT$8,FALSE)),VLOOKUP(CONCATENATE($J141,"_",AT$5),COT_PRE_ALIMENTOS,AT$8,FALSE)),VLOOKUP(CONCATENATE($J141,"_",AT$4),COT_PRE_ALIMENTOS,AT$8,FALSE)),VLOOKUP(CONCATENATE($J141,"_",AT$3),COT_PRE_ALIMENTOS,AT$8,FALSE)),VLOOKUP(CONCATENATE($J141,"_",AT$2),COT_PRE_ALIMENTOS,AT$8,FALSE)),VLOOKUP(CONCATENATE($J141,"_",AT$1),COT_PRE_ALIMENTOS,AT$8,FALSE))),"DATO NO DISPONIBLE",IF(ISERROR(MATCH(CONCATENATE($J141,"_",AT$1),COT_PRE_CODIGO_ALIMENTOS,0)),IF(ISERROR(MATCH(CONCATENATE($J141,"_",AT$2),COT_PRE_CODIGO_ALIMENTOS,0)),IF(ISERROR(MATCH(CONCATENATE($J141,"_",AT$3),COT_PRE_CODIGO_ALIMENTOS,0)),IF(ISERROR(MATCH(CONCATENATE($J141,"_",AT$4),COT_PRE_CODIGO_ALIMENTOS,0)),IF(ISERROR(MATCH(CONCATENATE($J141,"_",AT$5),COT_PRE_CODIGO_ALIMENTOS,0)),IF(ISERROR(MATCH(CONCATENATE($J141,"_",AT$6),COT_PRE_CODIGO_ALIMENTOS,0)),IF(ISERROR(MATCH(CONCATENATE($J141,"_",AT$7),COT_PRE_CODIGO_ALIMENTOS,0)),IF(ISERROR(VLOOKUP($J141,COT_PRE_ALIMENTOS,AT$8,FALSE)),"DATO NO DISPONIBLE",VLOOKUP($J141,COT_PRE_ALIMENTOS,AT$8,FALSE)),VLOOKUP(CONCATENATE($J141,"_",AT$7),COT_PRE_ALIMENTOS,AT$8,FALSE)),VLOOKUP(CONCATENATE($J141,"_",AT$6),COT_PRE_ALIMENTOS,AT$8,FALSE)),VLOOKUP(CONCATENATE($J141,"_",AT$5),COT_PRE_ALIMENTOS,AT$8,FALSE)),VLOOKUP(CONCATENATE($J141,"_",AT$4),COT_PRE_ALIMENTOS,AT$8,FALSE)),VLOOKUP(CONCATENATE($J141,"_",AT$3),COT_PRE_ALIMENTOS,AT$8,FALSE)),VLOOKUP(CONCATENATE($J141,"_",AT$2),COT_PRE_ALIMENTOS,AT$8,FALSE)),VLOOKUP(CONCATENATE($J141,"_",AT$1),COT_PRE_ALIMENTOS,AT$8,FALSE)))</f>
        <v>4.0575000000000001</v>
      </c>
      <c r="AU141" s="300">
        <f t="shared" si="217"/>
        <v>4.0575000000000001</v>
      </c>
      <c r="AV141" s="300">
        <f t="shared" si="217"/>
        <v>4.0575000000000001</v>
      </c>
      <c r="AW141" s="300">
        <f t="shared" si="217"/>
        <v>4.0575000000000001</v>
      </c>
      <c r="AX141" s="300">
        <f t="shared" si="217"/>
        <v>4.0575000000000001</v>
      </c>
      <c r="AY141" s="301">
        <f t="shared" si="192"/>
        <v>4.0575000000000001</v>
      </c>
      <c r="AZ141" s="301">
        <f t="shared" si="192"/>
        <v>4.0575000000000001</v>
      </c>
      <c r="BA141" s="301">
        <f t="shared" si="192"/>
        <v>4.0575000000000001</v>
      </c>
      <c r="BB141" s="301">
        <f t="shared" si="192"/>
        <v>4.0575000000000001</v>
      </c>
      <c r="BC141" s="301">
        <f t="shared" si="192"/>
        <v>4.0575000000000001</v>
      </c>
      <c r="BD141" s="187"/>
      <c r="BE141" s="187">
        <f t="shared" si="147"/>
        <v>434</v>
      </c>
      <c r="BF141" s="187">
        <f t="shared" si="148"/>
        <v>434</v>
      </c>
      <c r="BG141" s="187">
        <f t="shared" ref="BG141:BG167" si="218">ROUND(IF(OR(P141=0,AW141="DATO NO DISPONIBLE"),0,AW141*P141*($BD$7+1)),0)</f>
        <v>434</v>
      </c>
      <c r="BH141" s="187">
        <f t="shared" ref="BH141:BH167" si="219">ROUND(IF(OR(Q141=0,AX141="DATO NO DISPONIBLE"),0,AX141*Q141*($BD$7+1)),0)</f>
        <v>434</v>
      </c>
      <c r="BI141" s="187"/>
      <c r="BJ141" s="187">
        <f t="shared" si="126"/>
        <v>434</v>
      </c>
      <c r="BK141" s="187">
        <f t="shared" si="127"/>
        <v>434</v>
      </c>
      <c r="BL141" s="187">
        <f t="shared" ref="BL141:BL167" si="220">ROUND(IF(OR(P141=0,BB141="DATO NO DISPONIBLE"),0,BB141*P141*($BD$7+1)),0)</f>
        <v>434</v>
      </c>
      <c r="BM141" s="187">
        <f t="shared" ref="BM141:BM167" si="221">ROUND(IF(OR(Q141=0,BC141="DATO NO DISPONIBLE"),0,BC141*Q141*($BD$7+1)),0)</f>
        <v>434</v>
      </c>
      <c r="BN141" s="188"/>
      <c r="BO141" s="188">
        <f t="shared" si="128"/>
        <v>0</v>
      </c>
      <c r="BP141" s="188">
        <f t="shared" si="129"/>
        <v>0</v>
      </c>
      <c r="BQ141" s="188">
        <f t="shared" si="130"/>
        <v>0</v>
      </c>
      <c r="BR141" s="188">
        <f t="shared" si="131"/>
        <v>0</v>
      </c>
      <c r="BS141" s="188">
        <f t="shared" si="198"/>
        <v>0</v>
      </c>
      <c r="BT141" s="188">
        <f t="shared" si="199"/>
        <v>0</v>
      </c>
      <c r="BU141" s="188">
        <f t="shared" si="200"/>
        <v>0</v>
      </c>
      <c r="BV141" s="188">
        <f t="shared" si="201"/>
        <v>0</v>
      </c>
      <c r="BW141" s="188">
        <f t="shared" si="202"/>
        <v>0</v>
      </c>
      <c r="BX141" s="188">
        <f t="shared" si="203"/>
        <v>0</v>
      </c>
      <c r="BY141" s="188">
        <f t="shared" si="204"/>
        <v>0</v>
      </c>
      <c r="BZ141" s="305">
        <f>IF(COT_PRECALCULOS!$D$24="Precios Iva Incluído",BI141,BD141)</f>
        <v>0</v>
      </c>
      <c r="CA141" s="305">
        <f>IF(COT_PRECALCULOS!$D$24="Precios Iva Incluído",BJ141,BE141)</f>
        <v>434</v>
      </c>
      <c r="CB141" s="305">
        <f>IF(COT_PRECALCULOS!$D$24="Precios Iva Incluído",BK141,BF141)</f>
        <v>434</v>
      </c>
      <c r="CC141" s="305">
        <f>IF(COT_PRECALCULOS!$D$24="Precios Iva Incluído",BL141,BG141)</f>
        <v>434</v>
      </c>
      <c r="CD141" s="305">
        <f>IF(COT_PRECALCULOS!$D$24="Precios Iva Incluído",BM141,BH141)</f>
        <v>434</v>
      </c>
      <c r="CE141" s="305">
        <f>IF(COT_PRECALCULOS!$D$24="Precios Iva Incluído",BT141,BN141)</f>
        <v>0</v>
      </c>
      <c r="CF141" s="305">
        <f>IF(COT_PRECALCULOS!$D$24="Precios Iva Incluído",BU141,BO141)</f>
        <v>0</v>
      </c>
      <c r="CG141" s="305">
        <f>IF(COT_PRECALCULOS!$D$24="Precios Iva Incluído",BV141,BP141)</f>
        <v>0</v>
      </c>
      <c r="CH141" s="305">
        <f>IF(COT_PRECALCULOS!$D$24="Precios Iva Incluído",BW141,BQ141)</f>
        <v>0</v>
      </c>
      <c r="CI141" s="305">
        <f>IF(COT_PRECALCULOS!$D$24="Precios Iva Incluído",BX141,BR141)</f>
        <v>0</v>
      </c>
    </row>
    <row r="142" spans="1:87">
      <c r="A142" s="182" t="s">
        <v>101</v>
      </c>
      <c r="B142" s="182" t="s">
        <v>98</v>
      </c>
      <c r="C142" s="189" t="str">
        <f t="shared" si="193"/>
        <v>F_PE14</v>
      </c>
      <c r="D142" s="189" t="str">
        <f t="shared" si="194"/>
        <v>36_P_</v>
      </c>
      <c r="E142" s="190" t="s">
        <v>1</v>
      </c>
      <c r="F142" s="190" t="s">
        <v>1</v>
      </c>
      <c r="G142" s="189" t="s">
        <v>27</v>
      </c>
      <c r="H142" s="190"/>
      <c r="I142" s="190" t="s">
        <v>1340</v>
      </c>
      <c r="J142" s="190">
        <v>36</v>
      </c>
      <c r="K142" s="190" t="s">
        <v>1340</v>
      </c>
      <c r="L142" s="189" t="s">
        <v>9</v>
      </c>
      <c r="M142" s="211">
        <v>20</v>
      </c>
      <c r="N142" s="211">
        <v>40</v>
      </c>
      <c r="O142" s="211">
        <v>40</v>
      </c>
      <c r="P142" s="211">
        <v>40</v>
      </c>
      <c r="Q142" s="211">
        <v>40</v>
      </c>
      <c r="R142" s="190"/>
      <c r="S142" s="183">
        <f t="shared" si="205"/>
        <v>0</v>
      </c>
      <c r="T142" s="385">
        <f>$S142</f>
        <v>0</v>
      </c>
      <c r="U142" s="385">
        <f t="shared" si="206"/>
        <v>0</v>
      </c>
      <c r="V142" s="385">
        <f t="shared" si="206"/>
        <v>0</v>
      </c>
      <c r="W142" s="385">
        <f t="shared" si="206"/>
        <v>0</v>
      </c>
      <c r="X142" s="385">
        <f t="shared" si="206"/>
        <v>0</v>
      </c>
      <c r="Y142" s="184">
        <f t="shared" si="207"/>
        <v>163328</v>
      </c>
      <c r="Z142" s="184">
        <f t="shared" si="208"/>
        <v>217917</v>
      </c>
      <c r="AA142" s="184">
        <f t="shared" si="209"/>
        <v>233081</v>
      </c>
      <c r="AB142" s="184">
        <f t="shared" si="210"/>
        <v>7582</v>
      </c>
      <c r="AC142" s="184">
        <f t="shared" si="211"/>
        <v>7530</v>
      </c>
      <c r="AD142" s="184">
        <f t="shared" si="212"/>
        <v>629438</v>
      </c>
      <c r="AE142" s="183">
        <f t="shared" si="176"/>
        <v>0</v>
      </c>
      <c r="AF142" s="385">
        <f t="shared" si="187"/>
        <v>0</v>
      </c>
      <c r="AG142" s="385">
        <f t="shared" si="187"/>
        <v>0</v>
      </c>
      <c r="AH142" s="385">
        <f t="shared" si="187"/>
        <v>0</v>
      </c>
      <c r="AI142" s="185">
        <f t="shared" si="213"/>
        <v>0</v>
      </c>
      <c r="AJ142" s="185">
        <f t="shared" si="214"/>
        <v>0</v>
      </c>
      <c r="AK142" s="185">
        <f t="shared" si="215"/>
        <v>0</v>
      </c>
      <c r="AL142" s="185">
        <f t="shared" si="216"/>
        <v>0</v>
      </c>
      <c r="AM142" s="173">
        <f>($S142*Y142)+($AE142*AI142)</f>
        <v>0</v>
      </c>
      <c r="AN142" s="173">
        <f t="shared" si="144"/>
        <v>0</v>
      </c>
      <c r="AO142" s="173">
        <f t="shared" si="145"/>
        <v>0</v>
      </c>
      <c r="AP142" s="173">
        <f t="shared" si="195"/>
        <v>0</v>
      </c>
      <c r="AQ142" s="173">
        <f t="shared" si="196"/>
        <v>0</v>
      </c>
      <c r="AR142" s="173">
        <f t="shared" si="197"/>
        <v>0</v>
      </c>
      <c r="AS142" s="186" t="s">
        <v>1349</v>
      </c>
      <c r="AT142" s="300">
        <f t="shared" si="217"/>
        <v>5.9</v>
      </c>
      <c r="AU142" s="300">
        <f t="shared" si="217"/>
        <v>5.9</v>
      </c>
      <c r="AV142" s="300">
        <f t="shared" si="217"/>
        <v>5.9</v>
      </c>
      <c r="AW142" s="300">
        <f t="shared" si="217"/>
        <v>5.9</v>
      </c>
      <c r="AX142" s="300">
        <f t="shared" si="217"/>
        <v>5.9</v>
      </c>
      <c r="AY142" s="301">
        <f t="shared" si="192"/>
        <v>5.9</v>
      </c>
      <c r="AZ142" s="301">
        <f t="shared" si="192"/>
        <v>5.9</v>
      </c>
      <c r="BA142" s="301">
        <f t="shared" si="192"/>
        <v>5.9</v>
      </c>
      <c r="BB142" s="301">
        <f t="shared" si="192"/>
        <v>5.9</v>
      </c>
      <c r="BC142" s="301">
        <f t="shared" si="192"/>
        <v>5.9</v>
      </c>
      <c r="BD142" s="187">
        <f>ROUND(IF(OR(M142=0,AT142="DATO NO DISPONIBLE"),"",AT142*M142*($BD$7+1)),0)</f>
        <v>126</v>
      </c>
      <c r="BE142" s="187">
        <f t="shared" si="147"/>
        <v>252</v>
      </c>
      <c r="BF142" s="187">
        <f t="shared" si="148"/>
        <v>252</v>
      </c>
      <c r="BG142" s="187">
        <f t="shared" si="218"/>
        <v>252</v>
      </c>
      <c r="BH142" s="187">
        <f t="shared" si="219"/>
        <v>252</v>
      </c>
      <c r="BI142" s="187">
        <f>ROUND(IF(OR(M142=0,AY142="DATO NO DISPONIBLE"),0,AY142*M142*($BD$7+1)),0)</f>
        <v>126</v>
      </c>
      <c r="BJ142" s="187">
        <f t="shared" si="126"/>
        <v>252</v>
      </c>
      <c r="BK142" s="187">
        <f t="shared" si="127"/>
        <v>252</v>
      </c>
      <c r="BL142" s="187">
        <f t="shared" si="220"/>
        <v>252</v>
      </c>
      <c r="BM142" s="187">
        <f t="shared" si="221"/>
        <v>252</v>
      </c>
      <c r="BN142" s="188">
        <f>BD142*AM142</f>
        <v>0</v>
      </c>
      <c r="BO142" s="188">
        <f t="shared" si="128"/>
        <v>0</v>
      </c>
      <c r="BP142" s="188">
        <f t="shared" si="129"/>
        <v>0</v>
      </c>
      <c r="BQ142" s="188">
        <f t="shared" si="130"/>
        <v>0</v>
      </c>
      <c r="BR142" s="188">
        <f t="shared" si="131"/>
        <v>0</v>
      </c>
      <c r="BS142" s="188">
        <f t="shared" si="198"/>
        <v>0</v>
      </c>
      <c r="BT142" s="188">
        <f t="shared" si="199"/>
        <v>0</v>
      </c>
      <c r="BU142" s="188">
        <f t="shared" si="200"/>
        <v>0</v>
      </c>
      <c r="BV142" s="188">
        <f t="shared" si="201"/>
        <v>0</v>
      </c>
      <c r="BW142" s="188">
        <f t="shared" si="202"/>
        <v>0</v>
      </c>
      <c r="BX142" s="188">
        <f t="shared" si="203"/>
        <v>0</v>
      </c>
      <c r="BY142" s="188">
        <f t="shared" si="204"/>
        <v>0</v>
      </c>
      <c r="BZ142" s="305">
        <f>IF(COT_PRECALCULOS!$D$24="Precios Iva Incluído",BI142,BD142)</f>
        <v>126</v>
      </c>
      <c r="CA142" s="305">
        <f>IF(COT_PRECALCULOS!$D$24="Precios Iva Incluído",BJ142,BE142)</f>
        <v>252</v>
      </c>
      <c r="CB142" s="305">
        <f>IF(COT_PRECALCULOS!$D$24="Precios Iva Incluído",BK142,BF142)</f>
        <v>252</v>
      </c>
      <c r="CC142" s="305">
        <f>IF(COT_PRECALCULOS!$D$24="Precios Iva Incluído",BL142,BG142)</f>
        <v>252</v>
      </c>
      <c r="CD142" s="305">
        <f>IF(COT_PRECALCULOS!$D$24="Precios Iva Incluído",BM142,BH142)</f>
        <v>252</v>
      </c>
      <c r="CE142" s="305">
        <f>IF(COT_PRECALCULOS!$D$24="Precios Iva Incluído",BT142,BN142)</f>
        <v>0</v>
      </c>
      <c r="CF142" s="305">
        <f>IF(COT_PRECALCULOS!$D$24="Precios Iva Incluído",BU142,BO142)</f>
        <v>0</v>
      </c>
      <c r="CG142" s="305">
        <f>IF(COT_PRECALCULOS!$D$24="Precios Iva Incluído",BV142,BP142)</f>
        <v>0</v>
      </c>
      <c r="CH142" s="305">
        <f>IF(COT_PRECALCULOS!$D$24="Precios Iva Incluído",BW142,BQ142)</f>
        <v>0</v>
      </c>
      <c r="CI142" s="305">
        <f>IF(COT_PRECALCULOS!$D$24="Precios Iva Incluído",BX142,BR142)</f>
        <v>0</v>
      </c>
    </row>
    <row r="143" spans="1:87">
      <c r="A143" s="182" t="s">
        <v>101</v>
      </c>
      <c r="B143" s="182" t="s">
        <v>98</v>
      </c>
      <c r="C143" s="189" t="str">
        <f t="shared" si="193"/>
        <v>F_PE15</v>
      </c>
      <c r="D143" s="189" t="str">
        <f t="shared" si="194"/>
        <v>8_P_</v>
      </c>
      <c r="E143" s="190" t="s">
        <v>1</v>
      </c>
      <c r="F143" s="190" t="s">
        <v>1</v>
      </c>
      <c r="G143" s="189" t="s">
        <v>28</v>
      </c>
      <c r="H143" s="190" t="s">
        <v>2</v>
      </c>
      <c r="I143" s="190" t="s">
        <v>54</v>
      </c>
      <c r="J143" s="190">
        <v>8</v>
      </c>
      <c r="K143" s="190" t="s">
        <v>55</v>
      </c>
      <c r="L143" s="189" t="s">
        <v>9</v>
      </c>
      <c r="M143" s="211">
        <v>100</v>
      </c>
      <c r="N143" s="211">
        <v>100</v>
      </c>
      <c r="O143" s="211">
        <v>100</v>
      </c>
      <c r="P143" s="211">
        <v>100</v>
      </c>
      <c r="Q143" s="211">
        <v>100</v>
      </c>
      <c r="R143" s="190"/>
      <c r="S143" s="183">
        <f t="shared" si="205"/>
        <v>0</v>
      </c>
      <c r="T143" s="385">
        <f>$S143</f>
        <v>0</v>
      </c>
      <c r="U143" s="385">
        <f t="shared" si="206"/>
        <v>0</v>
      </c>
      <c r="V143" s="385">
        <f t="shared" si="206"/>
        <v>0</v>
      </c>
      <c r="W143" s="385">
        <f t="shared" si="206"/>
        <v>0</v>
      </c>
      <c r="X143" s="385">
        <f t="shared" si="206"/>
        <v>0</v>
      </c>
      <c r="Y143" s="184">
        <f t="shared" si="207"/>
        <v>163328</v>
      </c>
      <c r="Z143" s="184">
        <f t="shared" si="208"/>
        <v>217917</v>
      </c>
      <c r="AA143" s="184">
        <f t="shared" si="209"/>
        <v>233081</v>
      </c>
      <c r="AB143" s="184">
        <f t="shared" si="210"/>
        <v>7582</v>
      </c>
      <c r="AC143" s="184">
        <f t="shared" si="211"/>
        <v>7530</v>
      </c>
      <c r="AD143" s="184">
        <f t="shared" si="212"/>
        <v>629438</v>
      </c>
      <c r="AE143" s="183">
        <f t="shared" si="176"/>
        <v>0</v>
      </c>
      <c r="AF143" s="385">
        <f t="shared" si="187"/>
        <v>0</v>
      </c>
      <c r="AG143" s="385">
        <f t="shared" si="187"/>
        <v>0</v>
      </c>
      <c r="AH143" s="385">
        <f t="shared" si="187"/>
        <v>0</v>
      </c>
      <c r="AI143" s="185">
        <f t="shared" si="213"/>
        <v>0</v>
      </c>
      <c r="AJ143" s="185">
        <f t="shared" si="214"/>
        <v>0</v>
      </c>
      <c r="AK143" s="185">
        <f t="shared" si="215"/>
        <v>0</v>
      </c>
      <c r="AL143" s="185">
        <f t="shared" si="216"/>
        <v>0</v>
      </c>
      <c r="AM143" s="173">
        <f>($S143*Y143)+($AE143*AI143)</f>
        <v>0</v>
      </c>
      <c r="AN143" s="173">
        <f t="shared" si="144"/>
        <v>0</v>
      </c>
      <c r="AO143" s="173">
        <f t="shared" si="145"/>
        <v>0</v>
      </c>
      <c r="AP143" s="173">
        <f t="shared" si="195"/>
        <v>0</v>
      </c>
      <c r="AQ143" s="173">
        <f t="shared" si="196"/>
        <v>0</v>
      </c>
      <c r="AR143" s="173">
        <f t="shared" si="197"/>
        <v>0</v>
      </c>
      <c r="AS143" s="186" t="s">
        <v>1350</v>
      </c>
      <c r="AT143" s="300">
        <f t="shared" si="217"/>
        <v>1.25</v>
      </c>
      <c r="AU143" s="300">
        <f t="shared" si="217"/>
        <v>1.25</v>
      </c>
      <c r="AV143" s="300">
        <f t="shared" si="217"/>
        <v>1.25</v>
      </c>
      <c r="AW143" s="300">
        <f t="shared" si="217"/>
        <v>1.25</v>
      </c>
      <c r="AX143" s="300">
        <f t="shared" si="217"/>
        <v>1.25</v>
      </c>
      <c r="AY143" s="301">
        <f t="shared" si="192"/>
        <v>1.25</v>
      </c>
      <c r="AZ143" s="301">
        <f t="shared" si="192"/>
        <v>1.25</v>
      </c>
      <c r="BA143" s="301">
        <f t="shared" si="192"/>
        <v>1.25</v>
      </c>
      <c r="BB143" s="301">
        <f t="shared" si="192"/>
        <v>1.25</v>
      </c>
      <c r="BC143" s="301">
        <f t="shared" si="192"/>
        <v>1.25</v>
      </c>
      <c r="BD143" s="187">
        <f>ROUND(IF(OR(M143=0,AT143="DATO NO DISPONIBLE"),"",AT143*M143*($BD$7+1)),0)</f>
        <v>134</v>
      </c>
      <c r="BE143" s="187">
        <f t="shared" si="147"/>
        <v>134</v>
      </c>
      <c r="BF143" s="187">
        <f t="shared" si="148"/>
        <v>134</v>
      </c>
      <c r="BG143" s="187">
        <f t="shared" si="218"/>
        <v>134</v>
      </c>
      <c r="BH143" s="187">
        <f t="shared" si="219"/>
        <v>134</v>
      </c>
      <c r="BI143" s="187">
        <f>ROUND(IF(OR(M143=0,AY143="DATO NO DISPONIBLE"),0,AY143*M143*($BD$7+1)),0)</f>
        <v>134</v>
      </c>
      <c r="BJ143" s="187">
        <f t="shared" ref="BJ143:BJ206" si="222">ROUND(IF(OR(N143=0,AZ143="DATO NO DISPONIBLE"),0,AZ143*N143*($BD$7+1)),0)</f>
        <v>134</v>
      </c>
      <c r="BK143" s="187">
        <f t="shared" ref="BK143:BK206" si="223">ROUND(IF(OR(O143=0,BA143="DATO NO DISPONIBLE"),0,BA143*O143*($BD$7+1)),0)</f>
        <v>134</v>
      </c>
      <c r="BL143" s="187">
        <f t="shared" si="220"/>
        <v>134</v>
      </c>
      <c r="BM143" s="187">
        <f t="shared" si="221"/>
        <v>134</v>
      </c>
      <c r="BN143" s="188">
        <f>BD143*AM143</f>
        <v>0</v>
      </c>
      <c r="BO143" s="188">
        <f t="shared" ref="BO143:BO206" si="224">BE143*AN143</f>
        <v>0</v>
      </c>
      <c r="BP143" s="188">
        <f t="shared" ref="BP143:BP206" si="225">BF143*AO143</f>
        <v>0</v>
      </c>
      <c r="BQ143" s="188">
        <f t="shared" ref="BQ143:BQ206" si="226">BG143*AP143</f>
        <v>0</v>
      </c>
      <c r="BR143" s="188">
        <f t="shared" ref="BR143:BR206" si="227">BH143*AQ143</f>
        <v>0</v>
      </c>
      <c r="BS143" s="188">
        <f t="shared" si="198"/>
        <v>0</v>
      </c>
      <c r="BT143" s="188">
        <f t="shared" si="199"/>
        <v>0</v>
      </c>
      <c r="BU143" s="188">
        <f t="shared" si="200"/>
        <v>0</v>
      </c>
      <c r="BV143" s="188">
        <f t="shared" si="201"/>
        <v>0</v>
      </c>
      <c r="BW143" s="188">
        <f t="shared" si="202"/>
        <v>0</v>
      </c>
      <c r="BX143" s="188">
        <f t="shared" si="203"/>
        <v>0</v>
      </c>
      <c r="BY143" s="188">
        <f t="shared" si="204"/>
        <v>0</v>
      </c>
      <c r="BZ143" s="305">
        <f>IF(COT_PRECALCULOS!$D$24="Precios Iva Incluído",BI143,BD143)</f>
        <v>134</v>
      </c>
      <c r="CA143" s="305">
        <f>IF(COT_PRECALCULOS!$D$24="Precios Iva Incluído",BJ143,BE143)</f>
        <v>134</v>
      </c>
      <c r="CB143" s="305">
        <f>IF(COT_PRECALCULOS!$D$24="Precios Iva Incluído",BK143,BF143)</f>
        <v>134</v>
      </c>
      <c r="CC143" s="305">
        <f>IF(COT_PRECALCULOS!$D$24="Precios Iva Incluído",BL143,BG143)</f>
        <v>134</v>
      </c>
      <c r="CD143" s="305">
        <f>IF(COT_PRECALCULOS!$D$24="Precios Iva Incluído",BM143,BH143)</f>
        <v>134</v>
      </c>
      <c r="CE143" s="305">
        <f>IF(COT_PRECALCULOS!$D$24="Precios Iva Incluído",BT143,BN143)</f>
        <v>0</v>
      </c>
      <c r="CF143" s="305">
        <f>IF(COT_PRECALCULOS!$D$24="Precios Iva Incluído",BU143,BO143)</f>
        <v>0</v>
      </c>
      <c r="CG143" s="305">
        <f>IF(COT_PRECALCULOS!$D$24="Precios Iva Incluído",BV143,BP143)</f>
        <v>0</v>
      </c>
      <c r="CH143" s="305">
        <f>IF(COT_PRECALCULOS!$D$24="Precios Iva Incluído",BW143,BQ143)</f>
        <v>0</v>
      </c>
      <c r="CI143" s="305">
        <f>IF(COT_PRECALCULOS!$D$24="Precios Iva Incluído",BX143,BR143)</f>
        <v>0</v>
      </c>
    </row>
    <row r="144" spans="1:87">
      <c r="A144" s="182" t="s">
        <v>101</v>
      </c>
      <c r="B144" s="182" t="s">
        <v>98</v>
      </c>
      <c r="C144" s="189" t="str">
        <f t="shared" si="193"/>
        <v>F_PE15</v>
      </c>
      <c r="D144" s="189" t="str">
        <f t="shared" si="194"/>
        <v>7_P_</v>
      </c>
      <c r="E144" s="190" t="s">
        <v>1</v>
      </c>
      <c r="F144" s="190" t="s">
        <v>1</v>
      </c>
      <c r="G144" s="189" t="s">
        <v>28</v>
      </c>
      <c r="H144" s="190"/>
      <c r="I144" s="190" t="s">
        <v>56</v>
      </c>
      <c r="J144" s="190">
        <v>7</v>
      </c>
      <c r="K144" s="190" t="s">
        <v>57</v>
      </c>
      <c r="L144" s="189" t="s">
        <v>9</v>
      </c>
      <c r="M144" s="190">
        <v>100</v>
      </c>
      <c r="N144" s="190">
        <v>100</v>
      </c>
      <c r="O144" s="190">
        <v>100</v>
      </c>
      <c r="P144" s="190">
        <v>100</v>
      </c>
      <c r="Q144" s="190">
        <v>100</v>
      </c>
      <c r="R144" s="190"/>
      <c r="S144" s="183">
        <f t="shared" si="205"/>
        <v>0</v>
      </c>
      <c r="T144" s="385">
        <f>$S144</f>
        <v>0</v>
      </c>
      <c r="U144" s="385">
        <f t="shared" si="206"/>
        <v>0</v>
      </c>
      <c r="V144" s="385">
        <f t="shared" si="206"/>
        <v>0</v>
      </c>
      <c r="W144" s="385">
        <f t="shared" si="206"/>
        <v>0</v>
      </c>
      <c r="X144" s="385">
        <f t="shared" si="206"/>
        <v>0</v>
      </c>
      <c r="Y144" s="184">
        <f t="shared" si="207"/>
        <v>163328</v>
      </c>
      <c r="Z144" s="184">
        <f t="shared" si="208"/>
        <v>217917</v>
      </c>
      <c r="AA144" s="184">
        <f t="shared" si="209"/>
        <v>233081</v>
      </c>
      <c r="AB144" s="184">
        <f t="shared" si="210"/>
        <v>7582</v>
      </c>
      <c r="AC144" s="184">
        <f t="shared" si="211"/>
        <v>7530</v>
      </c>
      <c r="AD144" s="184">
        <f t="shared" si="212"/>
        <v>629438</v>
      </c>
      <c r="AE144" s="183">
        <f t="shared" si="176"/>
        <v>0</v>
      </c>
      <c r="AF144" s="385">
        <f t="shared" si="187"/>
        <v>0</v>
      </c>
      <c r="AG144" s="385">
        <f t="shared" si="187"/>
        <v>0</v>
      </c>
      <c r="AH144" s="385">
        <f t="shared" si="187"/>
        <v>0</v>
      </c>
      <c r="AI144" s="185">
        <f t="shared" si="213"/>
        <v>0</v>
      </c>
      <c r="AJ144" s="185">
        <f t="shared" si="214"/>
        <v>0</v>
      </c>
      <c r="AK144" s="185">
        <f t="shared" si="215"/>
        <v>0</v>
      </c>
      <c r="AL144" s="185">
        <f t="shared" si="216"/>
        <v>0</v>
      </c>
      <c r="AM144" s="173">
        <f>($S144*Y144)+($AE144*AI144)</f>
        <v>0</v>
      </c>
      <c r="AN144" s="173">
        <f t="shared" si="144"/>
        <v>0</v>
      </c>
      <c r="AO144" s="173">
        <f t="shared" si="145"/>
        <v>0</v>
      </c>
      <c r="AP144" s="173">
        <f t="shared" si="195"/>
        <v>0</v>
      </c>
      <c r="AQ144" s="173">
        <f t="shared" si="196"/>
        <v>0</v>
      </c>
      <c r="AR144" s="173">
        <f t="shared" si="197"/>
        <v>0</v>
      </c>
      <c r="AS144" s="186" t="s">
        <v>1350</v>
      </c>
      <c r="AT144" s="300">
        <f t="shared" si="217"/>
        <v>1</v>
      </c>
      <c r="AU144" s="300">
        <f t="shared" si="217"/>
        <v>1</v>
      </c>
      <c r="AV144" s="300">
        <f t="shared" si="217"/>
        <v>1</v>
      </c>
      <c r="AW144" s="300">
        <f t="shared" si="217"/>
        <v>1</v>
      </c>
      <c r="AX144" s="300">
        <f t="shared" si="217"/>
        <v>1</v>
      </c>
      <c r="AY144" s="301">
        <f t="shared" si="192"/>
        <v>1</v>
      </c>
      <c r="AZ144" s="301">
        <f t="shared" si="192"/>
        <v>1</v>
      </c>
      <c r="BA144" s="301">
        <f t="shared" si="192"/>
        <v>1</v>
      </c>
      <c r="BB144" s="301">
        <f t="shared" si="192"/>
        <v>1</v>
      </c>
      <c r="BC144" s="301">
        <f t="shared" si="192"/>
        <v>1</v>
      </c>
      <c r="BD144" s="187">
        <f>ROUND(IF(OR(M144=0,AT144="DATO NO DISPONIBLE"),"",AT144*M144*($BD$7+1)),0)</f>
        <v>107</v>
      </c>
      <c r="BE144" s="187">
        <f t="shared" si="147"/>
        <v>107</v>
      </c>
      <c r="BF144" s="187">
        <f t="shared" si="148"/>
        <v>107</v>
      </c>
      <c r="BG144" s="187">
        <f t="shared" si="218"/>
        <v>107</v>
      </c>
      <c r="BH144" s="187">
        <f t="shared" si="219"/>
        <v>107</v>
      </c>
      <c r="BI144" s="187">
        <f>ROUND(IF(OR(M144=0,AY144="DATO NO DISPONIBLE"),0,AY144*M144*($BD$7+1)),0)</f>
        <v>107</v>
      </c>
      <c r="BJ144" s="187">
        <f t="shared" si="222"/>
        <v>107</v>
      </c>
      <c r="BK144" s="187">
        <f t="shared" si="223"/>
        <v>107</v>
      </c>
      <c r="BL144" s="187">
        <f t="shared" si="220"/>
        <v>107</v>
      </c>
      <c r="BM144" s="187">
        <f t="shared" si="221"/>
        <v>107</v>
      </c>
      <c r="BN144" s="188">
        <f>BD144*AM144</f>
        <v>0</v>
      </c>
      <c r="BO144" s="188">
        <f t="shared" si="224"/>
        <v>0</v>
      </c>
      <c r="BP144" s="188">
        <f t="shared" si="225"/>
        <v>0</v>
      </c>
      <c r="BQ144" s="188">
        <f t="shared" si="226"/>
        <v>0</v>
      </c>
      <c r="BR144" s="188">
        <f t="shared" si="227"/>
        <v>0</v>
      </c>
      <c r="BS144" s="188">
        <f t="shared" si="198"/>
        <v>0</v>
      </c>
      <c r="BT144" s="188">
        <f t="shared" si="199"/>
        <v>0</v>
      </c>
      <c r="BU144" s="188">
        <f t="shared" si="200"/>
        <v>0</v>
      </c>
      <c r="BV144" s="188">
        <f t="shared" si="201"/>
        <v>0</v>
      </c>
      <c r="BW144" s="188">
        <f t="shared" si="202"/>
        <v>0</v>
      </c>
      <c r="BX144" s="188">
        <f t="shared" si="203"/>
        <v>0</v>
      </c>
      <c r="BY144" s="188">
        <f t="shared" si="204"/>
        <v>0</v>
      </c>
      <c r="BZ144" s="305">
        <f>IF(COT_PRECALCULOS!$D$24="Precios Iva Incluído",BI144,BD144)</f>
        <v>107</v>
      </c>
      <c r="CA144" s="305">
        <f>IF(COT_PRECALCULOS!$D$24="Precios Iva Incluído",BJ144,BE144)</f>
        <v>107</v>
      </c>
      <c r="CB144" s="305">
        <f>IF(COT_PRECALCULOS!$D$24="Precios Iva Incluído",BK144,BF144)</f>
        <v>107</v>
      </c>
      <c r="CC144" s="305">
        <f>IF(COT_PRECALCULOS!$D$24="Precios Iva Incluído",BL144,BG144)</f>
        <v>107</v>
      </c>
      <c r="CD144" s="305">
        <f>IF(COT_PRECALCULOS!$D$24="Precios Iva Incluído",BM144,BH144)</f>
        <v>107</v>
      </c>
      <c r="CE144" s="305">
        <f>IF(COT_PRECALCULOS!$D$24="Precios Iva Incluído",BT144,BN144)</f>
        <v>0</v>
      </c>
      <c r="CF144" s="305">
        <f>IF(COT_PRECALCULOS!$D$24="Precios Iva Incluído",BU144,BO144)</f>
        <v>0</v>
      </c>
      <c r="CG144" s="305">
        <f>IF(COT_PRECALCULOS!$D$24="Precios Iva Incluído",BV144,BP144)</f>
        <v>0</v>
      </c>
      <c r="CH144" s="305">
        <f>IF(COT_PRECALCULOS!$D$24="Precios Iva Incluído",BW144,BQ144)</f>
        <v>0</v>
      </c>
      <c r="CI144" s="305">
        <f>IF(COT_PRECALCULOS!$D$24="Precios Iva Incluído",BX144,BR144)</f>
        <v>0</v>
      </c>
    </row>
    <row r="145" spans="1:87" s="237" customFormat="1">
      <c r="A145" s="182" t="s">
        <v>101</v>
      </c>
      <c r="B145" s="182" t="s">
        <v>98</v>
      </c>
      <c r="C145" s="189" t="str">
        <f t="shared" si="193"/>
        <v>F_PE15</v>
      </c>
      <c r="D145" s="189" t="str">
        <f t="shared" si="194"/>
        <v>17_P_</v>
      </c>
      <c r="E145" s="211" t="s">
        <v>1</v>
      </c>
      <c r="F145" s="211" t="s">
        <v>1</v>
      </c>
      <c r="G145" s="189" t="s">
        <v>28</v>
      </c>
      <c r="H145" s="211"/>
      <c r="I145" s="211" t="s">
        <v>52</v>
      </c>
      <c r="J145" s="211">
        <v>17</v>
      </c>
      <c r="K145" s="211" t="s">
        <v>53</v>
      </c>
      <c r="L145" s="189" t="s">
        <v>9</v>
      </c>
      <c r="M145" s="386">
        <v>0</v>
      </c>
      <c r="N145" s="211">
        <v>100</v>
      </c>
      <c r="O145" s="211">
        <v>100</v>
      </c>
      <c r="P145" s="211">
        <v>100</v>
      </c>
      <c r="Q145" s="211">
        <v>100</v>
      </c>
      <c r="R145" s="211" t="s">
        <v>73</v>
      </c>
      <c r="S145" s="183">
        <f t="shared" si="205"/>
        <v>1</v>
      </c>
      <c r="T145" s="386">
        <v>0</v>
      </c>
      <c r="U145" s="385">
        <f t="shared" si="206"/>
        <v>1</v>
      </c>
      <c r="V145" s="385">
        <f t="shared" si="206"/>
        <v>1</v>
      </c>
      <c r="W145" s="385">
        <f t="shared" si="206"/>
        <v>1</v>
      </c>
      <c r="X145" s="385">
        <f t="shared" si="206"/>
        <v>1</v>
      </c>
      <c r="Y145" s="184">
        <f t="shared" si="207"/>
        <v>0</v>
      </c>
      <c r="Z145" s="184">
        <f t="shared" si="208"/>
        <v>217917</v>
      </c>
      <c r="AA145" s="184">
        <f t="shared" si="209"/>
        <v>233081</v>
      </c>
      <c r="AB145" s="184">
        <f t="shared" si="210"/>
        <v>7582</v>
      </c>
      <c r="AC145" s="184">
        <f t="shared" si="211"/>
        <v>7530</v>
      </c>
      <c r="AD145" s="184">
        <f t="shared" si="212"/>
        <v>466110</v>
      </c>
      <c r="AE145" s="183">
        <f t="shared" si="176"/>
        <v>0</v>
      </c>
      <c r="AF145" s="385">
        <f t="shared" si="187"/>
        <v>0</v>
      </c>
      <c r="AG145" s="385">
        <f t="shared" si="187"/>
        <v>0</v>
      </c>
      <c r="AH145" s="385">
        <f t="shared" si="187"/>
        <v>0</v>
      </c>
      <c r="AI145" s="185">
        <f t="shared" si="213"/>
        <v>0</v>
      </c>
      <c r="AJ145" s="185">
        <f t="shared" si="214"/>
        <v>0</v>
      </c>
      <c r="AK145" s="185">
        <f t="shared" si="215"/>
        <v>0</v>
      </c>
      <c r="AL145" s="185">
        <f t="shared" si="216"/>
        <v>0</v>
      </c>
      <c r="AM145" s="173">
        <v>0</v>
      </c>
      <c r="AN145" s="173">
        <f t="shared" si="144"/>
        <v>217917</v>
      </c>
      <c r="AO145" s="173">
        <f t="shared" si="145"/>
        <v>233081</v>
      </c>
      <c r="AP145" s="173">
        <f t="shared" si="195"/>
        <v>7582</v>
      </c>
      <c r="AQ145" s="173">
        <f t="shared" si="196"/>
        <v>7530</v>
      </c>
      <c r="AR145" s="173">
        <f t="shared" si="197"/>
        <v>466110</v>
      </c>
      <c r="AS145" s="186" t="s">
        <v>1350</v>
      </c>
      <c r="AT145" s="300">
        <f t="shared" si="217"/>
        <v>2.11</v>
      </c>
      <c r="AU145" s="300">
        <f t="shared" si="217"/>
        <v>2.11</v>
      </c>
      <c r="AV145" s="300">
        <f t="shared" si="217"/>
        <v>2.11</v>
      </c>
      <c r="AW145" s="300">
        <f t="shared" si="217"/>
        <v>2.11</v>
      </c>
      <c r="AX145" s="300">
        <f t="shared" si="217"/>
        <v>2.11</v>
      </c>
      <c r="AY145" s="301">
        <f t="shared" si="192"/>
        <v>2.11</v>
      </c>
      <c r="AZ145" s="301">
        <f t="shared" si="192"/>
        <v>2.11</v>
      </c>
      <c r="BA145" s="301">
        <f t="shared" si="192"/>
        <v>2.11</v>
      </c>
      <c r="BB145" s="301">
        <f t="shared" si="192"/>
        <v>2.11</v>
      </c>
      <c r="BC145" s="301">
        <f t="shared" si="192"/>
        <v>2.11</v>
      </c>
      <c r="BD145" s="187"/>
      <c r="BE145" s="187">
        <f t="shared" si="147"/>
        <v>226</v>
      </c>
      <c r="BF145" s="187">
        <f t="shared" si="148"/>
        <v>226</v>
      </c>
      <c r="BG145" s="187">
        <f t="shared" si="218"/>
        <v>226</v>
      </c>
      <c r="BH145" s="187">
        <f t="shared" si="219"/>
        <v>226</v>
      </c>
      <c r="BI145" s="187"/>
      <c r="BJ145" s="187">
        <f t="shared" si="222"/>
        <v>226</v>
      </c>
      <c r="BK145" s="187">
        <f t="shared" si="223"/>
        <v>226</v>
      </c>
      <c r="BL145" s="187">
        <f t="shared" si="220"/>
        <v>226</v>
      </c>
      <c r="BM145" s="187">
        <f t="shared" si="221"/>
        <v>226</v>
      </c>
      <c r="BN145" s="188"/>
      <c r="BO145" s="188">
        <f t="shared" si="224"/>
        <v>49249242</v>
      </c>
      <c r="BP145" s="188">
        <f t="shared" si="225"/>
        <v>52676306</v>
      </c>
      <c r="BQ145" s="188">
        <f t="shared" si="226"/>
        <v>1713532</v>
      </c>
      <c r="BR145" s="188">
        <f t="shared" si="227"/>
        <v>1701780</v>
      </c>
      <c r="BS145" s="188">
        <f t="shared" si="198"/>
        <v>105340860</v>
      </c>
      <c r="BT145" s="188">
        <f t="shared" si="199"/>
        <v>0</v>
      </c>
      <c r="BU145" s="188">
        <f t="shared" si="200"/>
        <v>49249242</v>
      </c>
      <c r="BV145" s="188">
        <f t="shared" si="201"/>
        <v>52676306</v>
      </c>
      <c r="BW145" s="188">
        <f t="shared" si="202"/>
        <v>1713532</v>
      </c>
      <c r="BX145" s="188">
        <f t="shared" si="203"/>
        <v>1701780</v>
      </c>
      <c r="BY145" s="188">
        <f t="shared" si="204"/>
        <v>105340860</v>
      </c>
      <c r="BZ145" s="305">
        <f>IF(COT_PRECALCULOS!$D$24="Precios Iva Incluído",BI145,BD145)</f>
        <v>0</v>
      </c>
      <c r="CA145" s="305">
        <f>IF(COT_PRECALCULOS!$D$24="Precios Iva Incluído",BJ145,BE145)</f>
        <v>226</v>
      </c>
      <c r="CB145" s="305">
        <f>IF(COT_PRECALCULOS!$D$24="Precios Iva Incluído",BK145,BF145)</f>
        <v>226</v>
      </c>
      <c r="CC145" s="305">
        <f>IF(COT_PRECALCULOS!$D$24="Precios Iva Incluído",BL145,BG145)</f>
        <v>226</v>
      </c>
      <c r="CD145" s="305">
        <f>IF(COT_PRECALCULOS!$D$24="Precios Iva Incluído",BM145,BH145)</f>
        <v>226</v>
      </c>
      <c r="CE145" s="305">
        <f>IF(COT_PRECALCULOS!$D$24="Precios Iva Incluído",BT145,BN145)</f>
        <v>0</v>
      </c>
      <c r="CF145" s="305">
        <f>IF(COT_PRECALCULOS!$D$24="Precios Iva Incluído",BU145,BO145)</f>
        <v>49249242</v>
      </c>
      <c r="CG145" s="305">
        <f>IF(COT_PRECALCULOS!$D$24="Precios Iva Incluído",BV145,BP145)</f>
        <v>52676306</v>
      </c>
      <c r="CH145" s="305">
        <f>IF(COT_PRECALCULOS!$D$24="Precios Iva Incluído",BW145,BQ145)</f>
        <v>1713532</v>
      </c>
      <c r="CI145" s="305">
        <f>IF(COT_PRECALCULOS!$D$24="Precios Iva Incluído",BX145,BR145)</f>
        <v>1701780</v>
      </c>
    </row>
    <row r="146" spans="1:87">
      <c r="A146" s="182" t="s">
        <v>101</v>
      </c>
      <c r="B146" s="182" t="s">
        <v>98</v>
      </c>
      <c r="C146" s="189" t="str">
        <f t="shared" si="193"/>
        <v>F_PE15</v>
      </c>
      <c r="D146" s="189" t="str">
        <f t="shared" si="194"/>
        <v>22_P_</v>
      </c>
      <c r="E146" s="211" t="s">
        <v>1</v>
      </c>
      <c r="F146" s="211" t="s">
        <v>1</v>
      </c>
      <c r="G146" s="189" t="s">
        <v>28</v>
      </c>
      <c r="H146" s="211"/>
      <c r="I146" s="211" t="s">
        <v>50</v>
      </c>
      <c r="J146" s="211">
        <v>22</v>
      </c>
      <c r="K146" s="211" t="s">
        <v>51</v>
      </c>
      <c r="L146" s="189" t="s">
        <v>9</v>
      </c>
      <c r="M146" s="386">
        <v>0</v>
      </c>
      <c r="N146" s="211">
        <v>100</v>
      </c>
      <c r="O146" s="211">
        <v>100</v>
      </c>
      <c r="P146" s="211">
        <v>100</v>
      </c>
      <c r="Q146" s="211">
        <v>100</v>
      </c>
      <c r="R146" s="211" t="s">
        <v>73</v>
      </c>
      <c r="S146" s="183">
        <f t="shared" si="205"/>
        <v>4</v>
      </c>
      <c r="T146" s="386">
        <v>0</v>
      </c>
      <c r="U146" s="385">
        <f t="shared" si="206"/>
        <v>4</v>
      </c>
      <c r="V146" s="385">
        <f t="shared" si="206"/>
        <v>4</v>
      </c>
      <c r="W146" s="385">
        <f t="shared" si="206"/>
        <v>4</v>
      </c>
      <c r="X146" s="385">
        <f t="shared" si="206"/>
        <v>4</v>
      </c>
      <c r="Y146" s="184">
        <f t="shared" si="207"/>
        <v>0</v>
      </c>
      <c r="Z146" s="184">
        <f t="shared" si="208"/>
        <v>217917</v>
      </c>
      <c r="AA146" s="184">
        <f t="shared" si="209"/>
        <v>233081</v>
      </c>
      <c r="AB146" s="184">
        <f t="shared" si="210"/>
        <v>7582</v>
      </c>
      <c r="AC146" s="184">
        <f t="shared" si="211"/>
        <v>7530</v>
      </c>
      <c r="AD146" s="184">
        <f t="shared" si="212"/>
        <v>466110</v>
      </c>
      <c r="AE146" s="183">
        <f t="shared" si="176"/>
        <v>0</v>
      </c>
      <c r="AF146" s="385">
        <f t="shared" si="187"/>
        <v>0</v>
      </c>
      <c r="AG146" s="385">
        <f t="shared" si="187"/>
        <v>0</v>
      </c>
      <c r="AH146" s="385">
        <f t="shared" si="187"/>
        <v>0</v>
      </c>
      <c r="AI146" s="185">
        <f t="shared" si="213"/>
        <v>0</v>
      </c>
      <c r="AJ146" s="185">
        <f t="shared" si="214"/>
        <v>0</v>
      </c>
      <c r="AK146" s="185">
        <f t="shared" si="215"/>
        <v>0</v>
      </c>
      <c r="AL146" s="185">
        <f t="shared" si="216"/>
        <v>0</v>
      </c>
      <c r="AM146" s="173">
        <v>0</v>
      </c>
      <c r="AN146" s="173">
        <f t="shared" si="144"/>
        <v>871668</v>
      </c>
      <c r="AO146" s="173">
        <f t="shared" si="145"/>
        <v>932324</v>
      </c>
      <c r="AP146" s="173">
        <f t="shared" si="195"/>
        <v>30328</v>
      </c>
      <c r="AQ146" s="173">
        <f t="shared" si="196"/>
        <v>30120</v>
      </c>
      <c r="AR146" s="173">
        <f t="shared" si="197"/>
        <v>1864440</v>
      </c>
      <c r="AS146" s="186" t="s">
        <v>1350</v>
      </c>
      <c r="AT146" s="300">
        <f t="shared" si="217"/>
        <v>4.9124999999999996</v>
      </c>
      <c r="AU146" s="300">
        <f t="shared" si="217"/>
        <v>4.9124999999999996</v>
      </c>
      <c r="AV146" s="300">
        <f t="shared" si="217"/>
        <v>4.9124999999999996</v>
      </c>
      <c r="AW146" s="300">
        <f t="shared" si="217"/>
        <v>4.9124999999999996</v>
      </c>
      <c r="AX146" s="300">
        <f t="shared" si="217"/>
        <v>4.9124999999999996</v>
      </c>
      <c r="AY146" s="301">
        <f t="shared" si="192"/>
        <v>4.9124999999999996</v>
      </c>
      <c r="AZ146" s="301">
        <f t="shared" si="192"/>
        <v>4.9124999999999996</v>
      </c>
      <c r="BA146" s="301">
        <f t="shared" si="192"/>
        <v>4.9124999999999996</v>
      </c>
      <c r="BB146" s="301">
        <f t="shared" si="192"/>
        <v>4.9124999999999996</v>
      </c>
      <c r="BC146" s="301">
        <f t="shared" si="192"/>
        <v>4.9124999999999996</v>
      </c>
      <c r="BD146" s="187"/>
      <c r="BE146" s="187">
        <f t="shared" si="147"/>
        <v>525</v>
      </c>
      <c r="BF146" s="187">
        <f t="shared" si="148"/>
        <v>525</v>
      </c>
      <c r="BG146" s="187">
        <f t="shared" si="218"/>
        <v>525</v>
      </c>
      <c r="BH146" s="187">
        <f t="shared" si="219"/>
        <v>525</v>
      </c>
      <c r="BI146" s="187"/>
      <c r="BJ146" s="187">
        <f t="shared" si="222"/>
        <v>525</v>
      </c>
      <c r="BK146" s="187">
        <f t="shared" si="223"/>
        <v>525</v>
      </c>
      <c r="BL146" s="187">
        <f t="shared" si="220"/>
        <v>525</v>
      </c>
      <c r="BM146" s="187">
        <f t="shared" si="221"/>
        <v>525</v>
      </c>
      <c r="BN146" s="188"/>
      <c r="BO146" s="188">
        <f t="shared" si="224"/>
        <v>457625700</v>
      </c>
      <c r="BP146" s="188">
        <f t="shared" si="225"/>
        <v>489470100</v>
      </c>
      <c r="BQ146" s="188">
        <f t="shared" si="226"/>
        <v>15922200</v>
      </c>
      <c r="BR146" s="188">
        <f t="shared" si="227"/>
        <v>15813000</v>
      </c>
      <c r="BS146" s="188">
        <f t="shared" si="198"/>
        <v>978831000</v>
      </c>
      <c r="BT146" s="188">
        <f t="shared" si="199"/>
        <v>0</v>
      </c>
      <c r="BU146" s="188">
        <f t="shared" si="200"/>
        <v>457625700</v>
      </c>
      <c r="BV146" s="188">
        <f t="shared" si="201"/>
        <v>489470100</v>
      </c>
      <c r="BW146" s="188">
        <f t="shared" si="202"/>
        <v>15922200</v>
      </c>
      <c r="BX146" s="188">
        <f t="shared" si="203"/>
        <v>15813000</v>
      </c>
      <c r="BY146" s="188">
        <f t="shared" si="204"/>
        <v>978831000</v>
      </c>
      <c r="BZ146" s="305">
        <f>IF(COT_PRECALCULOS!$D$24="Precios Iva Incluído",BI146,BD146)</f>
        <v>0</v>
      </c>
      <c r="CA146" s="305">
        <f>IF(COT_PRECALCULOS!$D$24="Precios Iva Incluído",BJ146,BE146)</f>
        <v>525</v>
      </c>
      <c r="CB146" s="305">
        <f>IF(COT_PRECALCULOS!$D$24="Precios Iva Incluído",BK146,BF146)</f>
        <v>525</v>
      </c>
      <c r="CC146" s="305">
        <f>IF(COT_PRECALCULOS!$D$24="Precios Iva Incluído",BL146,BG146)</f>
        <v>525</v>
      </c>
      <c r="CD146" s="305">
        <f>IF(COT_PRECALCULOS!$D$24="Precios Iva Incluído",BM146,BH146)</f>
        <v>525</v>
      </c>
      <c r="CE146" s="305">
        <f>IF(COT_PRECALCULOS!$D$24="Precios Iva Incluído",BT146,BN146)</f>
        <v>0</v>
      </c>
      <c r="CF146" s="305">
        <f>IF(COT_PRECALCULOS!$D$24="Precios Iva Incluído",BU146,BO146)</f>
        <v>457625700</v>
      </c>
      <c r="CG146" s="305">
        <f>IF(COT_PRECALCULOS!$D$24="Precios Iva Incluído",BV146,BP146)</f>
        <v>489470100</v>
      </c>
      <c r="CH146" s="305">
        <f>IF(COT_PRECALCULOS!$D$24="Precios Iva Incluído",BW146,BQ146)</f>
        <v>15922200</v>
      </c>
      <c r="CI146" s="305">
        <f>IF(COT_PRECALCULOS!$D$24="Precios Iva Incluído",BX146,BR146)</f>
        <v>15813000</v>
      </c>
    </row>
    <row r="147" spans="1:87">
      <c r="A147" s="182" t="s">
        <v>101</v>
      </c>
      <c r="B147" s="182" t="s">
        <v>98</v>
      </c>
      <c r="C147" s="189" t="str">
        <f t="shared" si="193"/>
        <v>F_PE15</v>
      </c>
      <c r="D147" s="189" t="str">
        <f t="shared" si="194"/>
        <v>33_P_</v>
      </c>
      <c r="E147" s="211" t="s">
        <v>1</v>
      </c>
      <c r="F147" s="211" t="s">
        <v>1</v>
      </c>
      <c r="G147" s="189" t="s">
        <v>28</v>
      </c>
      <c r="H147" s="211"/>
      <c r="I147" s="211" t="s">
        <v>58</v>
      </c>
      <c r="J147" s="211">
        <v>33</v>
      </c>
      <c r="K147" s="211" t="s">
        <v>59</v>
      </c>
      <c r="L147" s="189" t="s">
        <v>48</v>
      </c>
      <c r="M147" s="310">
        <v>90</v>
      </c>
      <c r="N147" s="310">
        <v>90</v>
      </c>
      <c r="O147" s="310">
        <v>90</v>
      </c>
      <c r="P147" s="310">
        <v>90</v>
      </c>
      <c r="Q147" s="310">
        <v>90</v>
      </c>
      <c r="R147" s="211"/>
      <c r="S147" s="183">
        <f t="shared" si="205"/>
        <v>4</v>
      </c>
      <c r="T147" s="385">
        <f>$S147</f>
        <v>4</v>
      </c>
      <c r="U147" s="385">
        <f t="shared" si="206"/>
        <v>4</v>
      </c>
      <c r="V147" s="385">
        <f t="shared" si="206"/>
        <v>4</v>
      </c>
      <c r="W147" s="385">
        <f t="shared" si="206"/>
        <v>4</v>
      </c>
      <c r="X147" s="385">
        <f t="shared" si="206"/>
        <v>4</v>
      </c>
      <c r="Y147" s="184">
        <f t="shared" si="207"/>
        <v>163328</v>
      </c>
      <c r="Z147" s="184">
        <f t="shared" si="208"/>
        <v>217917</v>
      </c>
      <c r="AA147" s="184">
        <f t="shared" si="209"/>
        <v>233081</v>
      </c>
      <c r="AB147" s="184">
        <f t="shared" si="210"/>
        <v>7582</v>
      </c>
      <c r="AC147" s="184">
        <f t="shared" si="211"/>
        <v>7530</v>
      </c>
      <c r="AD147" s="184">
        <f t="shared" si="212"/>
        <v>629438</v>
      </c>
      <c r="AE147" s="183">
        <f t="shared" ref="AE147:AE167" si="228">IF(ISERROR(VLOOKUP(G147,FRE_FRECUENCIA_MENUS_FDS,2,FALSE)),0,VLOOKUP(G147,FRE_FRECUENCIA_MENUS_FDS,2,FALSE))</f>
        <v>0</v>
      </c>
      <c r="AF147" s="385">
        <f t="shared" si="187"/>
        <v>0</v>
      </c>
      <c r="AG147" s="385">
        <f t="shared" si="187"/>
        <v>0</v>
      </c>
      <c r="AH147" s="385">
        <f t="shared" si="187"/>
        <v>0</v>
      </c>
      <c r="AI147" s="185">
        <f t="shared" si="213"/>
        <v>0</v>
      </c>
      <c r="AJ147" s="185">
        <f t="shared" si="214"/>
        <v>0</v>
      </c>
      <c r="AK147" s="185">
        <f t="shared" si="215"/>
        <v>0</v>
      </c>
      <c r="AL147" s="185">
        <f t="shared" si="216"/>
        <v>0</v>
      </c>
      <c r="AM147" s="173">
        <f t="shared" ref="AM147:AM153" si="229">($S147*Y147)+($AE147*AI147)</f>
        <v>653312</v>
      </c>
      <c r="AN147" s="173">
        <f t="shared" si="144"/>
        <v>871668</v>
      </c>
      <c r="AO147" s="173">
        <f t="shared" si="145"/>
        <v>932324</v>
      </c>
      <c r="AP147" s="173">
        <f t="shared" si="195"/>
        <v>30328</v>
      </c>
      <c r="AQ147" s="173">
        <f t="shared" si="196"/>
        <v>30120</v>
      </c>
      <c r="AR147" s="173">
        <f t="shared" si="197"/>
        <v>2517752</v>
      </c>
      <c r="AS147" s="186" t="s">
        <v>1350</v>
      </c>
      <c r="AT147" s="300">
        <f t="shared" si="217"/>
        <v>2.8014999999999999</v>
      </c>
      <c r="AU147" s="300">
        <f t="shared" si="217"/>
        <v>2.8014999999999999</v>
      </c>
      <c r="AV147" s="300">
        <f t="shared" si="217"/>
        <v>2.8014999999999999</v>
      </c>
      <c r="AW147" s="300">
        <f t="shared" si="217"/>
        <v>2.8014999999999999</v>
      </c>
      <c r="AX147" s="300">
        <f t="shared" si="217"/>
        <v>2.8014999999999999</v>
      </c>
      <c r="AY147" s="301">
        <f t="shared" si="192"/>
        <v>2.8014999999999999</v>
      </c>
      <c r="AZ147" s="301">
        <f t="shared" si="192"/>
        <v>2.8014999999999999</v>
      </c>
      <c r="BA147" s="301">
        <f t="shared" si="192"/>
        <v>2.8014999999999999</v>
      </c>
      <c r="BB147" s="301">
        <f t="shared" si="192"/>
        <v>2.8014999999999999</v>
      </c>
      <c r="BC147" s="301">
        <f t="shared" si="192"/>
        <v>2.8014999999999999</v>
      </c>
      <c r="BD147" s="187">
        <f>ROUND(IF(OR(M147=0,AT147="DATO NO DISPONIBLE"),"",AT147*M147*($BD$7+1)),0)</f>
        <v>270</v>
      </c>
      <c r="BE147" s="187">
        <f t="shared" si="147"/>
        <v>270</v>
      </c>
      <c r="BF147" s="187">
        <f t="shared" si="148"/>
        <v>270</v>
      </c>
      <c r="BG147" s="187">
        <f t="shared" si="218"/>
        <v>270</v>
      </c>
      <c r="BH147" s="187">
        <f t="shared" si="219"/>
        <v>270</v>
      </c>
      <c r="BI147" s="187">
        <f>ROUND(IF(OR(M147=0,AY147="DATO NO DISPONIBLE"),0,AY147*M147*($BD$7+1)),0)</f>
        <v>270</v>
      </c>
      <c r="BJ147" s="187">
        <f t="shared" si="222"/>
        <v>270</v>
      </c>
      <c r="BK147" s="187">
        <f t="shared" si="223"/>
        <v>270</v>
      </c>
      <c r="BL147" s="187">
        <f t="shared" si="220"/>
        <v>270</v>
      </c>
      <c r="BM147" s="187">
        <f t="shared" si="221"/>
        <v>270</v>
      </c>
      <c r="BN147" s="188">
        <f>BD147*AM147</f>
        <v>176394240</v>
      </c>
      <c r="BO147" s="188">
        <f t="shared" si="224"/>
        <v>235350360</v>
      </c>
      <c r="BP147" s="188">
        <f t="shared" si="225"/>
        <v>251727480</v>
      </c>
      <c r="BQ147" s="188">
        <f t="shared" si="226"/>
        <v>8188560</v>
      </c>
      <c r="BR147" s="188">
        <f t="shared" si="227"/>
        <v>8132400</v>
      </c>
      <c r="BS147" s="188">
        <f t="shared" si="198"/>
        <v>679793040</v>
      </c>
      <c r="BT147" s="188">
        <f t="shared" si="199"/>
        <v>176394240</v>
      </c>
      <c r="BU147" s="188">
        <f t="shared" si="200"/>
        <v>235350360</v>
      </c>
      <c r="BV147" s="188">
        <f t="shared" si="201"/>
        <v>251727480</v>
      </c>
      <c r="BW147" s="188">
        <f t="shared" si="202"/>
        <v>8188560</v>
      </c>
      <c r="BX147" s="188">
        <f t="shared" si="203"/>
        <v>8132400</v>
      </c>
      <c r="BY147" s="188">
        <f t="shared" si="204"/>
        <v>679793040</v>
      </c>
      <c r="BZ147" s="305">
        <f>IF(COT_PRECALCULOS!$D$24="Precios Iva Incluído",BI147,BD147)</f>
        <v>270</v>
      </c>
      <c r="CA147" s="305">
        <f>IF(COT_PRECALCULOS!$D$24="Precios Iva Incluído",BJ147,BE147)</f>
        <v>270</v>
      </c>
      <c r="CB147" s="305">
        <f>IF(COT_PRECALCULOS!$D$24="Precios Iva Incluído",BK147,BF147)</f>
        <v>270</v>
      </c>
      <c r="CC147" s="305">
        <f>IF(COT_PRECALCULOS!$D$24="Precios Iva Incluído",BL147,BG147)</f>
        <v>270</v>
      </c>
      <c r="CD147" s="305">
        <f>IF(COT_PRECALCULOS!$D$24="Precios Iva Incluído",BM147,BH147)</f>
        <v>270</v>
      </c>
      <c r="CE147" s="305">
        <f>IF(COT_PRECALCULOS!$D$24="Precios Iva Incluído",BT147,BN147)</f>
        <v>176394240</v>
      </c>
      <c r="CF147" s="305">
        <f>IF(COT_PRECALCULOS!$D$24="Precios Iva Incluído",BU147,BO147)</f>
        <v>235350360</v>
      </c>
      <c r="CG147" s="305">
        <f>IF(COT_PRECALCULOS!$D$24="Precios Iva Incluído",BV147,BP147)</f>
        <v>251727480</v>
      </c>
      <c r="CH147" s="305">
        <f>IF(COT_PRECALCULOS!$D$24="Precios Iva Incluído",BW147,BQ147)</f>
        <v>8188560</v>
      </c>
      <c r="CI147" s="305">
        <f>IF(COT_PRECALCULOS!$D$24="Precios Iva Incluído",BX147,BR147)</f>
        <v>8132400</v>
      </c>
    </row>
    <row r="148" spans="1:87">
      <c r="A148" s="182" t="s">
        <v>101</v>
      </c>
      <c r="B148" s="182" t="s">
        <v>98</v>
      </c>
      <c r="C148" s="189" t="str">
        <f t="shared" si="193"/>
        <v>F_PE15</v>
      </c>
      <c r="D148" s="189" t="str">
        <f t="shared" si="194"/>
        <v>42_P_</v>
      </c>
      <c r="E148" s="211" t="s">
        <v>1</v>
      </c>
      <c r="F148" s="211" t="s">
        <v>1</v>
      </c>
      <c r="G148" s="189" t="s">
        <v>28</v>
      </c>
      <c r="H148" s="211"/>
      <c r="I148" s="211" t="s">
        <v>49</v>
      </c>
      <c r="J148" s="211">
        <v>42</v>
      </c>
      <c r="K148" s="211" t="s">
        <v>61</v>
      </c>
      <c r="L148" s="189" t="s">
        <v>9</v>
      </c>
      <c r="M148" s="211">
        <v>100</v>
      </c>
      <c r="N148" s="211">
        <v>100</v>
      </c>
      <c r="O148" s="211">
        <v>100</v>
      </c>
      <c r="P148" s="211">
        <v>100</v>
      </c>
      <c r="Q148" s="211">
        <v>100</v>
      </c>
      <c r="R148" s="211"/>
      <c r="S148" s="183">
        <f t="shared" si="205"/>
        <v>1</v>
      </c>
      <c r="T148" s="385">
        <f>$S148</f>
        <v>1</v>
      </c>
      <c r="U148" s="385">
        <f t="shared" si="206"/>
        <v>1</v>
      </c>
      <c r="V148" s="385">
        <f t="shared" si="206"/>
        <v>1</v>
      </c>
      <c r="W148" s="385">
        <f t="shared" si="206"/>
        <v>1</v>
      </c>
      <c r="X148" s="385">
        <f t="shared" si="206"/>
        <v>1</v>
      </c>
      <c r="Y148" s="184">
        <f t="shared" si="207"/>
        <v>163328</v>
      </c>
      <c r="Z148" s="184">
        <f t="shared" si="208"/>
        <v>217917</v>
      </c>
      <c r="AA148" s="184">
        <f t="shared" si="209"/>
        <v>233081</v>
      </c>
      <c r="AB148" s="184">
        <f t="shared" si="210"/>
        <v>7582</v>
      </c>
      <c r="AC148" s="184">
        <f t="shared" si="211"/>
        <v>7530</v>
      </c>
      <c r="AD148" s="184">
        <f t="shared" si="212"/>
        <v>629438</v>
      </c>
      <c r="AE148" s="183">
        <f t="shared" si="228"/>
        <v>0</v>
      </c>
      <c r="AF148" s="385">
        <f t="shared" ref="AF148:AH169" si="230">$AE148</f>
        <v>0</v>
      </c>
      <c r="AG148" s="385">
        <f t="shared" si="230"/>
        <v>0</v>
      </c>
      <c r="AH148" s="385">
        <f t="shared" si="230"/>
        <v>0</v>
      </c>
      <c r="AI148" s="185">
        <f t="shared" si="213"/>
        <v>0</v>
      </c>
      <c r="AJ148" s="185">
        <f t="shared" si="214"/>
        <v>0</v>
      </c>
      <c r="AK148" s="185">
        <f t="shared" si="215"/>
        <v>0</v>
      </c>
      <c r="AL148" s="185">
        <f t="shared" si="216"/>
        <v>0</v>
      </c>
      <c r="AM148" s="173">
        <f t="shared" si="229"/>
        <v>163328</v>
      </c>
      <c r="AN148" s="173">
        <f t="shared" si="144"/>
        <v>217917</v>
      </c>
      <c r="AO148" s="173">
        <f t="shared" si="145"/>
        <v>233081</v>
      </c>
      <c r="AP148" s="173">
        <f t="shared" si="195"/>
        <v>7582</v>
      </c>
      <c r="AQ148" s="173">
        <f t="shared" si="196"/>
        <v>7530</v>
      </c>
      <c r="AR148" s="173">
        <f t="shared" si="197"/>
        <v>629438</v>
      </c>
      <c r="AS148" s="186" t="s">
        <v>1350</v>
      </c>
      <c r="AT148" s="300">
        <f t="shared" si="217"/>
        <v>1.8169999999999999</v>
      </c>
      <c r="AU148" s="300">
        <f t="shared" si="217"/>
        <v>1.8169999999999999</v>
      </c>
      <c r="AV148" s="300">
        <f t="shared" si="217"/>
        <v>1.8169999999999999</v>
      </c>
      <c r="AW148" s="300">
        <f t="shared" si="217"/>
        <v>1.8169999999999999</v>
      </c>
      <c r="AX148" s="300">
        <f t="shared" si="217"/>
        <v>1.8169999999999999</v>
      </c>
      <c r="AY148" s="301">
        <f t="shared" ref="AY148:BC157" si="231">IF(ISERROR(MATCH(CONCATENATE($J148,"_",AY$1),COT_PRE_CODIGO_ALIMENTOS,0)),IF(ISERROR(MATCH(CONCATENATE($J148,"_",AY$2),COT_PRE_CODIGO_ALIMENTOS,0)),IF(ISERROR(MATCH(CONCATENATE($J148,"_",AY$3),COT_PRE_CODIGO_ALIMENTOS,0)),IF(ISERROR(MATCH(CONCATENATE($J148,"_",AY$4),COT_PRE_CODIGO_ALIMENTOS,0)),IF(ISERROR(MATCH(CONCATENATE($J148,"_",AY$5),COT_PRE_CODIGO_ALIMENTOS,0)),IF(ISERROR(MATCH(CONCATENATE($J148,"_",AY$6),COT_PRE_CODIGO_ALIMENTOS,0)),IF(ISERROR(MATCH(CONCATENATE($J148,"_",AY$7),COT_PRE_CODIGO_ALIMENTOS,0)),IF(ISERROR(VLOOKUP($J148,COT_PRE_ALIMENTOS,AY$8,FALSE)),"DATO NO DISPONIBLE",VLOOKUP($J148,COT_PRE_ALIMENTOS,AY$8,FALSE)),VLOOKUP(CONCATENATE($J148,"_",AY$7),COT_PRE_ALIMENTOS,AY$8,FALSE)),VLOOKUP(CONCATENATE($J148,"_",AY$6),COT_PRE_ALIMENTOS,AY$8,FALSE)),VLOOKUP(CONCATENATE($J148,"_",AY$5),COT_PRE_ALIMENTOS,AY$8,FALSE)),VLOOKUP(CONCATENATE($J148,"_",AY$4),COT_PRE_ALIMENTOS,AY$8,FALSE)),VLOOKUP(CONCATENATE($J148,"_",AY$3),COT_PRE_ALIMENTOS,AY$8,FALSE)),VLOOKUP(CONCATENATE($J148,"_",AY$2),COT_PRE_ALIMENTOS,AY$8,FALSE)),VLOOKUP(CONCATENATE($J148,"_",AY$1),COT_PRE_ALIMENTOS,AY$8,FALSE))</f>
        <v>1.8169999999999999</v>
      </c>
      <c r="AZ148" s="301">
        <f t="shared" si="231"/>
        <v>1.8169999999999999</v>
      </c>
      <c r="BA148" s="301">
        <f t="shared" si="231"/>
        <v>1.8169999999999999</v>
      </c>
      <c r="BB148" s="301">
        <f t="shared" si="231"/>
        <v>1.8169999999999999</v>
      </c>
      <c r="BC148" s="301">
        <f t="shared" si="231"/>
        <v>1.8169999999999999</v>
      </c>
      <c r="BD148" s="187">
        <f>ROUND(IF(OR(M148=0,AT148="DATO NO DISPONIBLE"),"",AT148*M148*($BD$7+1)),0)</f>
        <v>194</v>
      </c>
      <c r="BE148" s="187">
        <f t="shared" si="147"/>
        <v>194</v>
      </c>
      <c r="BF148" s="187">
        <f t="shared" si="148"/>
        <v>194</v>
      </c>
      <c r="BG148" s="187">
        <f t="shared" si="218"/>
        <v>194</v>
      </c>
      <c r="BH148" s="187">
        <f t="shared" si="219"/>
        <v>194</v>
      </c>
      <c r="BI148" s="187">
        <f>ROUND(IF(OR(M148=0,AY148="DATO NO DISPONIBLE"),0,AY148*M148*($BD$7+1)),0)</f>
        <v>194</v>
      </c>
      <c r="BJ148" s="187">
        <f t="shared" si="222"/>
        <v>194</v>
      </c>
      <c r="BK148" s="187">
        <f t="shared" si="223"/>
        <v>194</v>
      </c>
      <c r="BL148" s="187">
        <f t="shared" si="220"/>
        <v>194</v>
      </c>
      <c r="BM148" s="187">
        <f t="shared" si="221"/>
        <v>194</v>
      </c>
      <c r="BN148" s="188">
        <f>BD148*AM148</f>
        <v>31685632</v>
      </c>
      <c r="BO148" s="188">
        <f t="shared" si="224"/>
        <v>42275898</v>
      </c>
      <c r="BP148" s="188">
        <f t="shared" si="225"/>
        <v>45217714</v>
      </c>
      <c r="BQ148" s="188">
        <f t="shared" si="226"/>
        <v>1470908</v>
      </c>
      <c r="BR148" s="188">
        <f t="shared" si="227"/>
        <v>1460820</v>
      </c>
      <c r="BS148" s="188">
        <f t="shared" si="198"/>
        <v>122110972</v>
      </c>
      <c r="BT148" s="188">
        <f t="shared" si="199"/>
        <v>31685632</v>
      </c>
      <c r="BU148" s="188">
        <f t="shared" si="200"/>
        <v>42275898</v>
      </c>
      <c r="BV148" s="188">
        <f t="shared" si="201"/>
        <v>45217714</v>
      </c>
      <c r="BW148" s="188">
        <f t="shared" si="202"/>
        <v>1470908</v>
      </c>
      <c r="BX148" s="188">
        <f t="shared" si="203"/>
        <v>1460820</v>
      </c>
      <c r="BY148" s="188">
        <f t="shared" si="204"/>
        <v>122110972</v>
      </c>
      <c r="BZ148" s="305">
        <f>IF(COT_PRECALCULOS!$D$24="Precios Iva Incluído",BI148,BD148)</f>
        <v>194</v>
      </c>
      <c r="CA148" s="305">
        <f>IF(COT_PRECALCULOS!$D$24="Precios Iva Incluído",BJ148,BE148)</f>
        <v>194</v>
      </c>
      <c r="CB148" s="305">
        <f>IF(COT_PRECALCULOS!$D$24="Precios Iva Incluído",BK148,BF148)</f>
        <v>194</v>
      </c>
      <c r="CC148" s="305">
        <f>IF(COT_PRECALCULOS!$D$24="Precios Iva Incluído",BL148,BG148)</f>
        <v>194</v>
      </c>
      <c r="CD148" s="305">
        <f>IF(COT_PRECALCULOS!$D$24="Precios Iva Incluído",BM148,BH148)</f>
        <v>194</v>
      </c>
      <c r="CE148" s="305">
        <f>IF(COT_PRECALCULOS!$D$24="Precios Iva Incluído",BT148,BN148)</f>
        <v>31685632</v>
      </c>
      <c r="CF148" s="305">
        <f>IF(COT_PRECALCULOS!$D$24="Precios Iva Incluído",BU148,BO148)</f>
        <v>42275898</v>
      </c>
      <c r="CG148" s="305">
        <f>IF(COT_PRECALCULOS!$D$24="Precios Iva Incluído",BV148,BP148)</f>
        <v>45217714</v>
      </c>
      <c r="CH148" s="305">
        <f>IF(COT_PRECALCULOS!$D$24="Precios Iva Incluído",BW148,BQ148)</f>
        <v>1470908</v>
      </c>
      <c r="CI148" s="305">
        <f>IF(COT_PRECALCULOS!$D$24="Precios Iva Incluído",BX148,BR148)</f>
        <v>1460820</v>
      </c>
    </row>
    <row r="149" spans="1:87">
      <c r="A149" s="182" t="s">
        <v>101</v>
      </c>
      <c r="B149" s="182" t="s">
        <v>98</v>
      </c>
      <c r="C149" s="189" t="str">
        <f t="shared" si="193"/>
        <v>F_PE15</v>
      </c>
      <c r="D149" s="189" t="str">
        <f t="shared" si="194"/>
        <v>43_P_</v>
      </c>
      <c r="E149" s="190" t="s">
        <v>1</v>
      </c>
      <c r="F149" s="190" t="s">
        <v>1</v>
      </c>
      <c r="G149" s="189" t="s">
        <v>28</v>
      </c>
      <c r="H149" s="190"/>
      <c r="I149" s="190" t="s">
        <v>60</v>
      </c>
      <c r="J149" s="190">
        <v>43</v>
      </c>
      <c r="K149" s="190" t="s">
        <v>62</v>
      </c>
      <c r="L149" s="189" t="s">
        <v>9</v>
      </c>
      <c r="M149" s="211">
        <v>100</v>
      </c>
      <c r="N149" s="211">
        <v>100</v>
      </c>
      <c r="O149" s="211">
        <v>100</v>
      </c>
      <c r="P149" s="211">
        <v>100</v>
      </c>
      <c r="Q149" s="211">
        <v>100</v>
      </c>
      <c r="R149" s="190"/>
      <c r="S149" s="183">
        <f t="shared" si="205"/>
        <v>2</v>
      </c>
      <c r="T149" s="385">
        <f>$S149</f>
        <v>2</v>
      </c>
      <c r="U149" s="385">
        <f t="shared" si="206"/>
        <v>2</v>
      </c>
      <c r="V149" s="385">
        <f t="shared" si="206"/>
        <v>2</v>
      </c>
      <c r="W149" s="385">
        <f t="shared" si="206"/>
        <v>2</v>
      </c>
      <c r="X149" s="385">
        <f t="shared" si="206"/>
        <v>2</v>
      </c>
      <c r="Y149" s="184">
        <f t="shared" si="207"/>
        <v>163328</v>
      </c>
      <c r="Z149" s="184">
        <f t="shared" si="208"/>
        <v>217917</v>
      </c>
      <c r="AA149" s="184">
        <f t="shared" si="209"/>
        <v>233081</v>
      </c>
      <c r="AB149" s="184">
        <f t="shared" si="210"/>
        <v>7582</v>
      </c>
      <c r="AC149" s="184">
        <f t="shared" si="211"/>
        <v>7530</v>
      </c>
      <c r="AD149" s="184">
        <f t="shared" si="212"/>
        <v>629438</v>
      </c>
      <c r="AE149" s="183">
        <f t="shared" si="228"/>
        <v>0</v>
      </c>
      <c r="AF149" s="385">
        <f t="shared" si="230"/>
        <v>0</v>
      </c>
      <c r="AG149" s="385">
        <f t="shared" si="230"/>
        <v>0</v>
      </c>
      <c r="AH149" s="385">
        <f t="shared" si="230"/>
        <v>0</v>
      </c>
      <c r="AI149" s="185">
        <f t="shared" si="213"/>
        <v>0</v>
      </c>
      <c r="AJ149" s="185">
        <f t="shared" si="214"/>
        <v>0</v>
      </c>
      <c r="AK149" s="185">
        <f t="shared" si="215"/>
        <v>0</v>
      </c>
      <c r="AL149" s="185">
        <f t="shared" si="216"/>
        <v>0</v>
      </c>
      <c r="AM149" s="173">
        <f t="shared" si="229"/>
        <v>326656</v>
      </c>
      <c r="AN149" s="173">
        <f t="shared" si="144"/>
        <v>435834</v>
      </c>
      <c r="AO149" s="173">
        <f t="shared" si="145"/>
        <v>466162</v>
      </c>
      <c r="AP149" s="173">
        <f t="shared" si="195"/>
        <v>15164</v>
      </c>
      <c r="AQ149" s="173">
        <f t="shared" si="196"/>
        <v>15060</v>
      </c>
      <c r="AR149" s="173">
        <f t="shared" si="197"/>
        <v>1258876</v>
      </c>
      <c r="AS149" s="186" t="s">
        <v>1350</v>
      </c>
      <c r="AT149" s="300">
        <f t="shared" si="217"/>
        <v>1.5892500000000001</v>
      </c>
      <c r="AU149" s="300">
        <f t="shared" si="217"/>
        <v>1.5892500000000001</v>
      </c>
      <c r="AV149" s="300">
        <f t="shared" si="217"/>
        <v>1.5892500000000001</v>
      </c>
      <c r="AW149" s="300">
        <f t="shared" si="217"/>
        <v>1.5892500000000001</v>
      </c>
      <c r="AX149" s="300">
        <f t="shared" si="217"/>
        <v>1.5892500000000001</v>
      </c>
      <c r="AY149" s="301">
        <f t="shared" si="231"/>
        <v>1.5892500000000001</v>
      </c>
      <c r="AZ149" s="301">
        <f t="shared" si="231"/>
        <v>1.5892500000000001</v>
      </c>
      <c r="BA149" s="301">
        <f t="shared" si="231"/>
        <v>1.5892500000000001</v>
      </c>
      <c r="BB149" s="301">
        <f t="shared" si="231"/>
        <v>1.5892500000000001</v>
      </c>
      <c r="BC149" s="301">
        <f t="shared" si="231"/>
        <v>1.5892500000000001</v>
      </c>
      <c r="BD149" s="187">
        <f>ROUND(IF(OR(M149=0,AT149="DATO NO DISPONIBLE"),"",AT149*M149*($BD$7+1)),0)</f>
        <v>170</v>
      </c>
      <c r="BE149" s="187">
        <f t="shared" si="147"/>
        <v>170</v>
      </c>
      <c r="BF149" s="187">
        <f t="shared" si="148"/>
        <v>170</v>
      </c>
      <c r="BG149" s="187">
        <f t="shared" si="218"/>
        <v>170</v>
      </c>
      <c r="BH149" s="187">
        <f t="shared" si="219"/>
        <v>170</v>
      </c>
      <c r="BI149" s="187">
        <f>ROUND(IF(OR(M149=0,AY149="DATO NO DISPONIBLE"),0,AY149*M149*($BD$7+1)),0)</f>
        <v>170</v>
      </c>
      <c r="BJ149" s="187">
        <f t="shared" si="222"/>
        <v>170</v>
      </c>
      <c r="BK149" s="187">
        <f t="shared" si="223"/>
        <v>170</v>
      </c>
      <c r="BL149" s="187">
        <f t="shared" si="220"/>
        <v>170</v>
      </c>
      <c r="BM149" s="187">
        <f t="shared" si="221"/>
        <v>170</v>
      </c>
      <c r="BN149" s="188">
        <f>BD149*AM149</f>
        <v>55531520</v>
      </c>
      <c r="BO149" s="188">
        <f t="shared" si="224"/>
        <v>74091780</v>
      </c>
      <c r="BP149" s="188">
        <f t="shared" si="225"/>
        <v>79247540</v>
      </c>
      <c r="BQ149" s="188">
        <f t="shared" si="226"/>
        <v>2577880</v>
      </c>
      <c r="BR149" s="188">
        <f t="shared" si="227"/>
        <v>2560200</v>
      </c>
      <c r="BS149" s="188">
        <f t="shared" si="198"/>
        <v>214008920</v>
      </c>
      <c r="BT149" s="188">
        <f t="shared" si="199"/>
        <v>55531520</v>
      </c>
      <c r="BU149" s="188">
        <f t="shared" si="200"/>
        <v>74091780</v>
      </c>
      <c r="BV149" s="188">
        <f t="shared" si="201"/>
        <v>79247540</v>
      </c>
      <c r="BW149" s="188">
        <f t="shared" si="202"/>
        <v>2577880</v>
      </c>
      <c r="BX149" s="188">
        <f t="shared" si="203"/>
        <v>2560200</v>
      </c>
      <c r="BY149" s="188">
        <f t="shared" si="204"/>
        <v>214008920</v>
      </c>
      <c r="BZ149" s="305">
        <f>IF(COT_PRECALCULOS!$D$24="Precios Iva Incluído",BI149,BD149)</f>
        <v>170</v>
      </c>
      <c r="CA149" s="305">
        <f>IF(COT_PRECALCULOS!$D$24="Precios Iva Incluído",BJ149,BE149)</f>
        <v>170</v>
      </c>
      <c r="CB149" s="305">
        <f>IF(COT_PRECALCULOS!$D$24="Precios Iva Incluído",BK149,BF149)</f>
        <v>170</v>
      </c>
      <c r="CC149" s="305">
        <f>IF(COT_PRECALCULOS!$D$24="Precios Iva Incluído",BL149,BG149)</f>
        <v>170</v>
      </c>
      <c r="CD149" s="305">
        <f>IF(COT_PRECALCULOS!$D$24="Precios Iva Incluído",BM149,BH149)</f>
        <v>170</v>
      </c>
      <c r="CE149" s="305">
        <f>IF(COT_PRECALCULOS!$D$24="Precios Iva Incluído",BT149,BN149)</f>
        <v>55531520</v>
      </c>
      <c r="CF149" s="305">
        <f>IF(COT_PRECALCULOS!$D$24="Precios Iva Incluído",BU149,BO149)</f>
        <v>74091780</v>
      </c>
      <c r="CG149" s="305">
        <f>IF(COT_PRECALCULOS!$D$24="Precios Iva Incluído",BV149,BP149)</f>
        <v>79247540</v>
      </c>
      <c r="CH149" s="305">
        <f>IF(COT_PRECALCULOS!$D$24="Precios Iva Incluído",BW149,BQ149)</f>
        <v>2577880</v>
      </c>
      <c r="CI149" s="305">
        <f>IF(COT_PRECALCULOS!$D$24="Precios Iva Incluído",BX149,BR149)</f>
        <v>2560200</v>
      </c>
    </row>
    <row r="150" spans="1:87" s="237" customFormat="1">
      <c r="A150" s="182" t="s">
        <v>101</v>
      </c>
      <c r="B150" s="182" t="s">
        <v>98</v>
      </c>
      <c r="C150" s="189" t="str">
        <f t="shared" si="193"/>
        <v>F_PE15</v>
      </c>
      <c r="D150" s="189" t="str">
        <f t="shared" si="194"/>
        <v>46_P_</v>
      </c>
      <c r="E150" s="211" t="s">
        <v>1</v>
      </c>
      <c r="F150" s="211" t="s">
        <v>1</v>
      </c>
      <c r="G150" s="189" t="s">
        <v>28</v>
      </c>
      <c r="H150" s="211"/>
      <c r="I150" s="211" t="s">
        <v>63</v>
      </c>
      <c r="J150" s="211">
        <v>46</v>
      </c>
      <c r="K150" s="211" t="s">
        <v>64</v>
      </c>
      <c r="L150" s="189" t="s">
        <v>9</v>
      </c>
      <c r="M150" s="211">
        <v>100</v>
      </c>
      <c r="N150" s="211">
        <v>100</v>
      </c>
      <c r="O150" s="211">
        <v>100</v>
      </c>
      <c r="P150" s="211">
        <v>100</v>
      </c>
      <c r="Q150" s="211">
        <v>100</v>
      </c>
      <c r="R150" s="211"/>
      <c r="S150" s="388">
        <v>4</v>
      </c>
      <c r="T150" s="388">
        <f>$S150</f>
        <v>4</v>
      </c>
      <c r="U150" s="388">
        <v>0</v>
      </c>
      <c r="V150" s="388">
        <v>0</v>
      </c>
      <c r="W150" s="388">
        <v>0</v>
      </c>
      <c r="X150" s="388">
        <v>0</v>
      </c>
      <c r="Y150" s="184">
        <f t="shared" si="207"/>
        <v>163328</v>
      </c>
      <c r="Z150" s="184">
        <v>0</v>
      </c>
      <c r="AA150" s="184">
        <v>0</v>
      </c>
      <c r="AB150" s="184">
        <v>0</v>
      </c>
      <c r="AC150" s="184">
        <v>0</v>
      </c>
      <c r="AD150" s="184">
        <f t="shared" si="212"/>
        <v>163328</v>
      </c>
      <c r="AE150" s="183">
        <f t="shared" si="228"/>
        <v>0</v>
      </c>
      <c r="AF150" s="385">
        <f t="shared" si="230"/>
        <v>0</v>
      </c>
      <c r="AG150" s="385">
        <f t="shared" si="230"/>
        <v>0</v>
      </c>
      <c r="AH150" s="385">
        <f t="shared" si="230"/>
        <v>0</v>
      </c>
      <c r="AI150" s="185">
        <f t="shared" si="213"/>
        <v>0</v>
      </c>
      <c r="AJ150" s="185">
        <f t="shared" si="214"/>
        <v>0</v>
      </c>
      <c r="AK150" s="185">
        <f t="shared" si="215"/>
        <v>0</v>
      </c>
      <c r="AL150" s="185">
        <f t="shared" si="216"/>
        <v>0</v>
      </c>
      <c r="AM150" s="173">
        <f t="shared" si="229"/>
        <v>653312</v>
      </c>
      <c r="AN150" s="173">
        <f t="shared" si="144"/>
        <v>0</v>
      </c>
      <c r="AO150" s="173">
        <f t="shared" si="145"/>
        <v>0</v>
      </c>
      <c r="AP150" s="173">
        <f t="shared" si="195"/>
        <v>0</v>
      </c>
      <c r="AQ150" s="173">
        <f t="shared" si="196"/>
        <v>0</v>
      </c>
      <c r="AR150" s="173">
        <f t="shared" si="197"/>
        <v>653312</v>
      </c>
      <c r="AS150" s="186" t="s">
        <v>1350</v>
      </c>
      <c r="AT150" s="300">
        <f t="shared" si="217"/>
        <v>3.7214999999999998</v>
      </c>
      <c r="AU150" s="300">
        <f t="shared" si="217"/>
        <v>3.7214999999999998</v>
      </c>
      <c r="AV150" s="300">
        <f t="shared" si="217"/>
        <v>3.7214999999999998</v>
      </c>
      <c r="AW150" s="300">
        <f t="shared" si="217"/>
        <v>3.7214999999999998</v>
      </c>
      <c r="AX150" s="300">
        <f t="shared" si="217"/>
        <v>3.7214999999999998</v>
      </c>
      <c r="AY150" s="301">
        <f t="shared" si="231"/>
        <v>3.7214999999999998</v>
      </c>
      <c r="AZ150" s="301">
        <f t="shared" si="231"/>
        <v>3.7214999999999998</v>
      </c>
      <c r="BA150" s="301">
        <f t="shared" si="231"/>
        <v>3.7214999999999998</v>
      </c>
      <c r="BB150" s="301">
        <f t="shared" si="231"/>
        <v>3.7214999999999998</v>
      </c>
      <c r="BC150" s="301">
        <f t="shared" si="231"/>
        <v>3.7214999999999998</v>
      </c>
      <c r="BD150" s="187">
        <f>ROUND(IF(OR(M150=0,AT150="DATO NO DISPONIBLE"),"",AT150*M150*($BD$7+1)),0)</f>
        <v>398</v>
      </c>
      <c r="BE150" s="187">
        <f t="shared" si="147"/>
        <v>398</v>
      </c>
      <c r="BF150" s="187">
        <f t="shared" si="148"/>
        <v>398</v>
      </c>
      <c r="BG150" s="187">
        <f t="shared" si="218"/>
        <v>398</v>
      </c>
      <c r="BH150" s="187">
        <f t="shared" si="219"/>
        <v>398</v>
      </c>
      <c r="BI150" s="187">
        <f>ROUND(IF(OR(M150=0,AY150="DATO NO DISPONIBLE"),0,AY150*M150*($BD$7+1)),0)</f>
        <v>398</v>
      </c>
      <c r="BJ150" s="187">
        <f t="shared" si="222"/>
        <v>398</v>
      </c>
      <c r="BK150" s="187">
        <f t="shared" si="223"/>
        <v>398</v>
      </c>
      <c r="BL150" s="187">
        <f t="shared" si="220"/>
        <v>398</v>
      </c>
      <c r="BM150" s="187">
        <f t="shared" si="221"/>
        <v>398</v>
      </c>
      <c r="BN150" s="188">
        <f>BD150*AM150</f>
        <v>260018176</v>
      </c>
      <c r="BO150" s="188">
        <f t="shared" si="224"/>
        <v>0</v>
      </c>
      <c r="BP150" s="188">
        <f t="shared" si="225"/>
        <v>0</v>
      </c>
      <c r="BQ150" s="188">
        <f t="shared" si="226"/>
        <v>0</v>
      </c>
      <c r="BR150" s="188">
        <f t="shared" si="227"/>
        <v>0</v>
      </c>
      <c r="BS150" s="188">
        <f t="shared" si="198"/>
        <v>260018176</v>
      </c>
      <c r="BT150" s="188">
        <f t="shared" si="199"/>
        <v>260018176</v>
      </c>
      <c r="BU150" s="188">
        <f t="shared" si="200"/>
        <v>0</v>
      </c>
      <c r="BV150" s="188">
        <f t="shared" si="201"/>
        <v>0</v>
      </c>
      <c r="BW150" s="188">
        <f t="shared" si="202"/>
        <v>0</v>
      </c>
      <c r="BX150" s="188">
        <f t="shared" si="203"/>
        <v>0</v>
      </c>
      <c r="BY150" s="188">
        <f t="shared" si="204"/>
        <v>260018176</v>
      </c>
      <c r="BZ150" s="305">
        <f>IF(COT_PRECALCULOS!$D$24="Precios Iva Incluído",BI150,BD150)</f>
        <v>398</v>
      </c>
      <c r="CA150" s="305">
        <f>IF(COT_PRECALCULOS!$D$24="Precios Iva Incluído",BJ150,BE150)</f>
        <v>398</v>
      </c>
      <c r="CB150" s="305">
        <f>IF(COT_PRECALCULOS!$D$24="Precios Iva Incluído",BK150,BF150)</f>
        <v>398</v>
      </c>
      <c r="CC150" s="305">
        <f>IF(COT_PRECALCULOS!$D$24="Precios Iva Incluído",BL150,BG150)</f>
        <v>398</v>
      </c>
      <c r="CD150" s="305">
        <f>IF(COT_PRECALCULOS!$D$24="Precios Iva Incluído",BM150,BH150)</f>
        <v>398</v>
      </c>
      <c r="CE150" s="305">
        <f>IF(COT_PRECALCULOS!$D$24="Precios Iva Incluído",BT150,BN150)</f>
        <v>260018176</v>
      </c>
      <c r="CF150" s="305">
        <f>IF(COT_PRECALCULOS!$D$24="Precios Iva Incluído",BU150,BO150)</f>
        <v>0</v>
      </c>
      <c r="CG150" s="305">
        <f>IF(COT_PRECALCULOS!$D$24="Precios Iva Incluído",BV150,BP150)</f>
        <v>0</v>
      </c>
      <c r="CH150" s="305">
        <f>IF(COT_PRECALCULOS!$D$24="Precios Iva Incluído",BW150,BQ150)</f>
        <v>0</v>
      </c>
      <c r="CI150" s="305">
        <f>IF(COT_PRECALCULOS!$D$24="Precios Iva Incluído",BX150,BR150)</f>
        <v>0</v>
      </c>
    </row>
    <row r="151" spans="1:87">
      <c r="A151" s="182" t="s">
        <v>101</v>
      </c>
      <c r="B151" s="182" t="s">
        <v>98</v>
      </c>
      <c r="C151" s="189" t="str">
        <f t="shared" si="193"/>
        <v>F_PE15</v>
      </c>
      <c r="D151" s="189" t="str">
        <f t="shared" si="194"/>
        <v>58_P_</v>
      </c>
      <c r="E151" s="190" t="s">
        <v>1</v>
      </c>
      <c r="F151" s="190" t="s">
        <v>1</v>
      </c>
      <c r="G151" s="189" t="s">
        <v>28</v>
      </c>
      <c r="H151" s="190"/>
      <c r="I151" s="190" t="s">
        <v>65</v>
      </c>
      <c r="J151" s="190">
        <v>58</v>
      </c>
      <c r="K151" s="190" t="s">
        <v>67</v>
      </c>
      <c r="L151" s="189" t="s">
        <v>9</v>
      </c>
      <c r="M151" s="211">
        <v>100</v>
      </c>
      <c r="N151" s="211">
        <v>100</v>
      </c>
      <c r="O151" s="211">
        <v>100</v>
      </c>
      <c r="P151" s="211">
        <v>100</v>
      </c>
      <c r="Q151" s="211">
        <v>100</v>
      </c>
      <c r="R151" s="190"/>
      <c r="S151" s="388">
        <v>1</v>
      </c>
      <c r="T151" s="388">
        <f>$S151</f>
        <v>1</v>
      </c>
      <c r="U151" s="388">
        <v>0</v>
      </c>
      <c r="V151" s="388">
        <v>0</v>
      </c>
      <c r="W151" s="388">
        <v>0</v>
      </c>
      <c r="X151" s="388">
        <v>0</v>
      </c>
      <c r="Y151" s="184">
        <f t="shared" si="207"/>
        <v>163328</v>
      </c>
      <c r="Z151" s="184">
        <v>0</v>
      </c>
      <c r="AA151" s="184">
        <v>0</v>
      </c>
      <c r="AB151" s="184">
        <v>0</v>
      </c>
      <c r="AC151" s="184">
        <v>0</v>
      </c>
      <c r="AD151" s="184">
        <f t="shared" si="212"/>
        <v>163328</v>
      </c>
      <c r="AE151" s="183">
        <f t="shared" si="228"/>
        <v>0</v>
      </c>
      <c r="AF151" s="385">
        <f t="shared" si="230"/>
        <v>0</v>
      </c>
      <c r="AG151" s="385">
        <f t="shared" si="230"/>
        <v>0</v>
      </c>
      <c r="AH151" s="385">
        <f t="shared" si="230"/>
        <v>0</v>
      </c>
      <c r="AI151" s="185">
        <f t="shared" si="213"/>
        <v>0</v>
      </c>
      <c r="AJ151" s="185">
        <f t="shared" si="214"/>
        <v>0</v>
      </c>
      <c r="AK151" s="185">
        <f t="shared" si="215"/>
        <v>0</v>
      </c>
      <c r="AL151" s="185">
        <f t="shared" si="216"/>
        <v>0</v>
      </c>
      <c r="AM151" s="173">
        <f t="shared" si="229"/>
        <v>163328</v>
      </c>
      <c r="AN151" s="173">
        <f t="shared" si="144"/>
        <v>0</v>
      </c>
      <c r="AO151" s="173">
        <f t="shared" si="145"/>
        <v>0</v>
      </c>
      <c r="AP151" s="173">
        <f t="shared" si="195"/>
        <v>0</v>
      </c>
      <c r="AQ151" s="173">
        <f t="shared" si="196"/>
        <v>0</v>
      </c>
      <c r="AR151" s="173">
        <f t="shared" si="197"/>
        <v>163328</v>
      </c>
      <c r="AS151" s="186" t="s">
        <v>1350</v>
      </c>
      <c r="AT151" s="300">
        <f t="shared" ref="AT151:AX160" si="232">IF(ISERROR(IF(ISERROR(MATCH(CONCATENATE($J151,"_",AT$1),COT_PRE_CODIGO_ALIMENTOS,0)),IF(ISERROR(MATCH(CONCATENATE($J151,"_",AT$2),COT_PRE_CODIGO_ALIMENTOS,0)),IF(ISERROR(MATCH(CONCATENATE($J151,"_",AT$3),COT_PRE_CODIGO_ALIMENTOS,0)),IF(ISERROR(MATCH(CONCATENATE($J151,"_",AT$4),COT_PRE_CODIGO_ALIMENTOS,0)),IF(ISERROR(MATCH(CONCATENATE($J151,"_",AT$5),COT_PRE_CODIGO_ALIMENTOS,0)),IF(ISERROR(MATCH(CONCATENATE($J151,"_",AT$6),COT_PRE_CODIGO_ALIMENTOS,0)),IF(ISERROR(MATCH(CONCATENATE($J151,"_",AT$7),COT_PRE_CODIGO_ALIMENTOS,0)),IF(ISERROR(VLOOKUP($J151,COT_PRE_ALIMENTOS,AT$8,FALSE)),"DATO NO DISPONIBLE",VLOOKUP($J151,COT_PRE_ALIMENTOS,AT$8,FALSE)),VLOOKUP(CONCATENATE($J151,"_",AT$7),COT_PRE_ALIMENTOS,AT$8,FALSE)),VLOOKUP(CONCATENATE($J151,"_",AT$6),COT_PRE_ALIMENTOS,AT$8,FALSE)),VLOOKUP(CONCATENATE($J151,"_",AT$5),COT_PRE_ALIMENTOS,AT$8,FALSE)),VLOOKUP(CONCATENATE($J151,"_",AT$4),COT_PRE_ALIMENTOS,AT$8,FALSE)),VLOOKUP(CONCATENATE($J151,"_",AT$3),COT_PRE_ALIMENTOS,AT$8,FALSE)),VLOOKUP(CONCATENATE($J151,"_",AT$2),COT_PRE_ALIMENTOS,AT$8,FALSE)),VLOOKUP(CONCATENATE($J151,"_",AT$1),COT_PRE_ALIMENTOS,AT$8,FALSE))),"DATO NO DISPONIBLE",IF(ISERROR(MATCH(CONCATENATE($J151,"_",AT$1),COT_PRE_CODIGO_ALIMENTOS,0)),IF(ISERROR(MATCH(CONCATENATE($J151,"_",AT$2),COT_PRE_CODIGO_ALIMENTOS,0)),IF(ISERROR(MATCH(CONCATENATE($J151,"_",AT$3),COT_PRE_CODIGO_ALIMENTOS,0)),IF(ISERROR(MATCH(CONCATENATE($J151,"_",AT$4),COT_PRE_CODIGO_ALIMENTOS,0)),IF(ISERROR(MATCH(CONCATENATE($J151,"_",AT$5),COT_PRE_CODIGO_ALIMENTOS,0)),IF(ISERROR(MATCH(CONCATENATE($J151,"_",AT$6),COT_PRE_CODIGO_ALIMENTOS,0)),IF(ISERROR(MATCH(CONCATENATE($J151,"_",AT$7),COT_PRE_CODIGO_ALIMENTOS,0)),IF(ISERROR(VLOOKUP($J151,COT_PRE_ALIMENTOS,AT$8,FALSE)),"DATO NO DISPONIBLE",VLOOKUP($J151,COT_PRE_ALIMENTOS,AT$8,FALSE)),VLOOKUP(CONCATENATE($J151,"_",AT$7),COT_PRE_ALIMENTOS,AT$8,FALSE)),VLOOKUP(CONCATENATE($J151,"_",AT$6),COT_PRE_ALIMENTOS,AT$8,FALSE)),VLOOKUP(CONCATENATE($J151,"_",AT$5),COT_PRE_ALIMENTOS,AT$8,FALSE)),VLOOKUP(CONCATENATE($J151,"_",AT$4),COT_PRE_ALIMENTOS,AT$8,FALSE)),VLOOKUP(CONCATENATE($J151,"_",AT$3),COT_PRE_ALIMENTOS,AT$8,FALSE)),VLOOKUP(CONCATENATE($J151,"_",AT$2),COT_PRE_ALIMENTOS,AT$8,FALSE)),VLOOKUP(CONCATENATE($J151,"_",AT$1),COT_PRE_ALIMENTOS,AT$8,FALSE)))</f>
        <v>1.4384999999999999</v>
      </c>
      <c r="AU151" s="300">
        <f t="shared" si="232"/>
        <v>1.4384999999999999</v>
      </c>
      <c r="AV151" s="300">
        <f t="shared" si="232"/>
        <v>1.4384999999999999</v>
      </c>
      <c r="AW151" s="300">
        <f t="shared" si="232"/>
        <v>1.4384999999999999</v>
      </c>
      <c r="AX151" s="300">
        <f t="shared" si="232"/>
        <v>1.4384999999999999</v>
      </c>
      <c r="AY151" s="301">
        <f t="shared" si="231"/>
        <v>1.4384999999999999</v>
      </c>
      <c r="AZ151" s="301">
        <f t="shared" si="231"/>
        <v>1.4384999999999999</v>
      </c>
      <c r="BA151" s="301">
        <f t="shared" si="231"/>
        <v>1.4384999999999999</v>
      </c>
      <c r="BB151" s="301">
        <f t="shared" si="231"/>
        <v>1.4384999999999999</v>
      </c>
      <c r="BC151" s="301">
        <f t="shared" si="231"/>
        <v>1.4384999999999999</v>
      </c>
      <c r="BD151" s="187">
        <f>ROUND(IF(OR(M151=0,AT151="DATO NO DISPONIBLE"),"",AT151*M151*($BD$7+1)),0)</f>
        <v>154</v>
      </c>
      <c r="BE151" s="187">
        <f t="shared" si="147"/>
        <v>154</v>
      </c>
      <c r="BF151" s="187">
        <f t="shared" si="148"/>
        <v>154</v>
      </c>
      <c r="BG151" s="187">
        <f t="shared" si="218"/>
        <v>154</v>
      </c>
      <c r="BH151" s="187">
        <f t="shared" si="219"/>
        <v>154</v>
      </c>
      <c r="BI151" s="187">
        <f>ROUND(IF(OR(M151=0,AY151="DATO NO DISPONIBLE"),0,AY151*M151*($BD$7+1)),0)</f>
        <v>154</v>
      </c>
      <c r="BJ151" s="187">
        <f t="shared" si="222"/>
        <v>154</v>
      </c>
      <c r="BK151" s="187">
        <f t="shared" si="223"/>
        <v>154</v>
      </c>
      <c r="BL151" s="187">
        <f t="shared" si="220"/>
        <v>154</v>
      </c>
      <c r="BM151" s="187">
        <f t="shared" si="221"/>
        <v>154</v>
      </c>
      <c r="BN151" s="188">
        <f>BD151*AM151</f>
        <v>25152512</v>
      </c>
      <c r="BO151" s="188">
        <f t="shared" si="224"/>
        <v>0</v>
      </c>
      <c r="BP151" s="188">
        <f t="shared" si="225"/>
        <v>0</v>
      </c>
      <c r="BQ151" s="188">
        <f t="shared" si="226"/>
        <v>0</v>
      </c>
      <c r="BR151" s="188">
        <f t="shared" si="227"/>
        <v>0</v>
      </c>
      <c r="BS151" s="188">
        <f t="shared" si="198"/>
        <v>25152512</v>
      </c>
      <c r="BT151" s="188">
        <f t="shared" si="199"/>
        <v>25152512</v>
      </c>
      <c r="BU151" s="188">
        <f t="shared" si="200"/>
        <v>0</v>
      </c>
      <c r="BV151" s="188">
        <f t="shared" si="201"/>
        <v>0</v>
      </c>
      <c r="BW151" s="188">
        <f t="shared" si="202"/>
        <v>0</v>
      </c>
      <c r="BX151" s="188">
        <f t="shared" si="203"/>
        <v>0</v>
      </c>
      <c r="BY151" s="188">
        <f t="shared" si="204"/>
        <v>25152512</v>
      </c>
      <c r="BZ151" s="305">
        <f>IF(COT_PRECALCULOS!$D$24="Precios Iva Incluído",BI151,BD151)</f>
        <v>154</v>
      </c>
      <c r="CA151" s="305">
        <f>IF(COT_PRECALCULOS!$D$24="Precios Iva Incluído",BJ151,BE151)</f>
        <v>154</v>
      </c>
      <c r="CB151" s="305">
        <f>IF(COT_PRECALCULOS!$D$24="Precios Iva Incluído",BK151,BF151)</f>
        <v>154</v>
      </c>
      <c r="CC151" s="305">
        <f>IF(COT_PRECALCULOS!$D$24="Precios Iva Incluído",BL151,BG151)</f>
        <v>154</v>
      </c>
      <c r="CD151" s="305">
        <f>IF(COT_PRECALCULOS!$D$24="Precios Iva Incluído",BM151,BH151)</f>
        <v>154</v>
      </c>
      <c r="CE151" s="305">
        <f>IF(COT_PRECALCULOS!$D$24="Precios Iva Incluído",BT151,BN151)</f>
        <v>25152512</v>
      </c>
      <c r="CF151" s="305">
        <f>IF(COT_PRECALCULOS!$D$24="Precios Iva Incluído",BU151,BO151)</f>
        <v>0</v>
      </c>
      <c r="CG151" s="305">
        <f>IF(COT_PRECALCULOS!$D$24="Precios Iva Incluído",BV151,BP151)</f>
        <v>0</v>
      </c>
      <c r="CH151" s="305">
        <f>IF(COT_PRECALCULOS!$D$24="Precios Iva Incluído",BW151,BQ151)</f>
        <v>0</v>
      </c>
      <c r="CI151" s="305">
        <f>IF(COT_PRECALCULOS!$D$24="Precios Iva Incluído",BX151,BR151)</f>
        <v>0</v>
      </c>
    </row>
    <row r="152" spans="1:87">
      <c r="A152" s="182" t="s">
        <v>101</v>
      </c>
      <c r="B152" s="182" t="s">
        <v>98</v>
      </c>
      <c r="C152" s="189" t="str">
        <f t="shared" si="193"/>
        <v>F_PE15</v>
      </c>
      <c r="D152" s="189" t="str">
        <f t="shared" si="194"/>
        <v>59_P_</v>
      </c>
      <c r="E152" s="190" t="s">
        <v>1</v>
      </c>
      <c r="F152" s="190" t="s">
        <v>1</v>
      </c>
      <c r="G152" s="189" t="s">
        <v>28</v>
      </c>
      <c r="H152" s="190"/>
      <c r="I152" s="190" t="s">
        <v>66</v>
      </c>
      <c r="J152" s="190">
        <v>59</v>
      </c>
      <c r="K152" s="190" t="s">
        <v>99</v>
      </c>
      <c r="L152" s="189" t="s">
        <v>9</v>
      </c>
      <c r="M152" s="386">
        <v>0</v>
      </c>
      <c r="N152" s="211">
        <v>100</v>
      </c>
      <c r="O152" s="211">
        <v>100</v>
      </c>
      <c r="P152" s="211">
        <v>100</v>
      </c>
      <c r="Q152" s="211">
        <v>100</v>
      </c>
      <c r="R152" s="190" t="s">
        <v>73</v>
      </c>
      <c r="S152" s="183">
        <f t="shared" ref="S152:S167" si="233">COUNTIF(CAL_PRIMERA_ENTREGA_FRUTA,CONCATENATE(G152,"_",J152))</f>
        <v>0</v>
      </c>
      <c r="T152" s="386">
        <v>0</v>
      </c>
      <c r="U152" s="385">
        <f t="shared" ref="U152:X167" si="234">$S152</f>
        <v>0</v>
      </c>
      <c r="V152" s="385">
        <f t="shared" si="234"/>
        <v>0</v>
      </c>
      <c r="W152" s="385">
        <f t="shared" si="234"/>
        <v>0</v>
      </c>
      <c r="X152" s="385">
        <f t="shared" si="234"/>
        <v>0</v>
      </c>
      <c r="Y152" s="184">
        <f t="shared" si="207"/>
        <v>0</v>
      </c>
      <c r="Z152" s="184">
        <f t="shared" ref="Z152:Z172" si="235">IF(N152&lt;&gt;0,VLOOKUP(A152,FRE_CANTIDADES_DIARIAS_SUMINISTROS,5,FALSE),0)</f>
        <v>217917</v>
      </c>
      <c r="AA152" s="184">
        <f t="shared" ref="AA152:AA172" si="236">IF(O152&lt;&gt;0,VLOOKUP(A152,FRE_CANTIDADES_DIARIAS_SUMINISTROS,6,FALSE),0)</f>
        <v>233081</v>
      </c>
      <c r="AB152" s="184">
        <f t="shared" ref="AB152:AB183" si="237">IF(P152&lt;&gt;0,VLOOKUP(A152,FRE_CANTIDADES_DIARIAS_SUMINISTROS,7,FALSE),0)</f>
        <v>7582</v>
      </c>
      <c r="AC152" s="184">
        <f t="shared" ref="AC152:AC183" si="238">IF(Q152&lt;&gt;0,VLOOKUP(A152,FRE_CANTIDADES_DIARIAS_SUMINISTROS,8,FALSE),0)</f>
        <v>7530</v>
      </c>
      <c r="AD152" s="184">
        <f t="shared" si="212"/>
        <v>466110</v>
      </c>
      <c r="AE152" s="183">
        <f t="shared" si="228"/>
        <v>0</v>
      </c>
      <c r="AF152" s="385">
        <f t="shared" si="230"/>
        <v>0</v>
      </c>
      <c r="AG152" s="385">
        <f t="shared" si="230"/>
        <v>0</v>
      </c>
      <c r="AH152" s="385">
        <f t="shared" si="230"/>
        <v>0</v>
      </c>
      <c r="AI152" s="185">
        <f t="shared" si="213"/>
        <v>0</v>
      </c>
      <c r="AJ152" s="185">
        <f t="shared" si="214"/>
        <v>0</v>
      </c>
      <c r="AK152" s="185">
        <f t="shared" si="215"/>
        <v>0</v>
      </c>
      <c r="AL152" s="185">
        <f t="shared" si="216"/>
        <v>0</v>
      </c>
      <c r="AM152" s="173">
        <f t="shared" si="229"/>
        <v>0</v>
      </c>
      <c r="AN152" s="173">
        <f t="shared" si="144"/>
        <v>0</v>
      </c>
      <c r="AO152" s="173">
        <f t="shared" si="145"/>
        <v>0</v>
      </c>
      <c r="AP152" s="173">
        <f t="shared" si="195"/>
        <v>0</v>
      </c>
      <c r="AQ152" s="173">
        <f t="shared" si="196"/>
        <v>0</v>
      </c>
      <c r="AR152" s="173">
        <f t="shared" si="197"/>
        <v>0</v>
      </c>
      <c r="AS152" s="186" t="s">
        <v>1350</v>
      </c>
      <c r="AT152" s="300">
        <f t="shared" si="232"/>
        <v>2.6785000000000001</v>
      </c>
      <c r="AU152" s="300">
        <f t="shared" si="232"/>
        <v>2.6785000000000001</v>
      </c>
      <c r="AV152" s="300">
        <f t="shared" si="232"/>
        <v>2.6785000000000001</v>
      </c>
      <c r="AW152" s="300">
        <f t="shared" si="232"/>
        <v>2.6785000000000001</v>
      </c>
      <c r="AX152" s="300">
        <f t="shared" si="232"/>
        <v>2.6785000000000001</v>
      </c>
      <c r="AY152" s="301">
        <f t="shared" si="231"/>
        <v>2.6785000000000001</v>
      </c>
      <c r="AZ152" s="301">
        <f t="shared" si="231"/>
        <v>2.6785000000000001</v>
      </c>
      <c r="BA152" s="301">
        <f t="shared" si="231"/>
        <v>2.6785000000000001</v>
      </c>
      <c r="BB152" s="301">
        <f t="shared" si="231"/>
        <v>2.6785000000000001</v>
      </c>
      <c r="BC152" s="301">
        <f t="shared" si="231"/>
        <v>2.6785000000000001</v>
      </c>
      <c r="BD152" s="187"/>
      <c r="BE152" s="187">
        <f t="shared" si="147"/>
        <v>286</v>
      </c>
      <c r="BF152" s="187">
        <f t="shared" si="148"/>
        <v>286</v>
      </c>
      <c r="BG152" s="187">
        <f t="shared" si="218"/>
        <v>286</v>
      </c>
      <c r="BH152" s="187">
        <f t="shared" si="219"/>
        <v>286</v>
      </c>
      <c r="BI152" s="187"/>
      <c r="BJ152" s="187">
        <f t="shared" si="222"/>
        <v>286</v>
      </c>
      <c r="BK152" s="187">
        <f t="shared" si="223"/>
        <v>286</v>
      </c>
      <c r="BL152" s="187">
        <f t="shared" si="220"/>
        <v>286</v>
      </c>
      <c r="BM152" s="187">
        <f t="shared" si="221"/>
        <v>286</v>
      </c>
      <c r="BN152" s="188"/>
      <c r="BO152" s="188">
        <f t="shared" si="224"/>
        <v>0</v>
      </c>
      <c r="BP152" s="188">
        <f t="shared" si="225"/>
        <v>0</v>
      </c>
      <c r="BQ152" s="188">
        <f t="shared" si="226"/>
        <v>0</v>
      </c>
      <c r="BR152" s="188">
        <f t="shared" si="227"/>
        <v>0</v>
      </c>
      <c r="BS152" s="188">
        <f t="shared" si="198"/>
        <v>0</v>
      </c>
      <c r="BT152" s="188">
        <f t="shared" si="199"/>
        <v>0</v>
      </c>
      <c r="BU152" s="188">
        <f t="shared" si="200"/>
        <v>0</v>
      </c>
      <c r="BV152" s="188">
        <f t="shared" si="201"/>
        <v>0</v>
      </c>
      <c r="BW152" s="188">
        <f t="shared" si="202"/>
        <v>0</v>
      </c>
      <c r="BX152" s="188">
        <f t="shared" si="203"/>
        <v>0</v>
      </c>
      <c r="BY152" s="188">
        <f t="shared" si="204"/>
        <v>0</v>
      </c>
      <c r="BZ152" s="305">
        <f>IF(COT_PRECALCULOS!$D$24="Precios Iva Incluído",BI152,BD152)</f>
        <v>0</v>
      </c>
      <c r="CA152" s="305">
        <f>IF(COT_PRECALCULOS!$D$24="Precios Iva Incluído",BJ152,BE152)</f>
        <v>286</v>
      </c>
      <c r="CB152" s="305">
        <f>IF(COT_PRECALCULOS!$D$24="Precios Iva Incluído",BK152,BF152)</f>
        <v>286</v>
      </c>
      <c r="CC152" s="305">
        <f>IF(COT_PRECALCULOS!$D$24="Precios Iva Incluído",BL152,BG152)</f>
        <v>286</v>
      </c>
      <c r="CD152" s="305">
        <f>IF(COT_PRECALCULOS!$D$24="Precios Iva Incluído",BM152,BH152)</f>
        <v>286</v>
      </c>
      <c r="CE152" s="305">
        <f>IF(COT_PRECALCULOS!$D$24="Precios Iva Incluído",BT152,BN152)</f>
        <v>0</v>
      </c>
      <c r="CF152" s="305">
        <f>IF(COT_PRECALCULOS!$D$24="Precios Iva Incluído",BU152,BO152)</f>
        <v>0</v>
      </c>
      <c r="CG152" s="305">
        <f>IF(COT_PRECALCULOS!$D$24="Precios Iva Incluído",BV152,BP152)</f>
        <v>0</v>
      </c>
      <c r="CH152" s="305">
        <f>IF(COT_PRECALCULOS!$D$24="Precios Iva Incluído",BW152,BQ152)</f>
        <v>0</v>
      </c>
      <c r="CI152" s="305">
        <f>IF(COT_PRECALCULOS!$D$24="Precios Iva Incluído",BX152,BR152)</f>
        <v>0</v>
      </c>
    </row>
    <row r="153" spans="1:87">
      <c r="A153" s="182" t="s">
        <v>101</v>
      </c>
      <c r="B153" s="182" t="s">
        <v>98</v>
      </c>
      <c r="C153" s="189" t="str">
        <f t="shared" si="193"/>
        <v>F_PE15</v>
      </c>
      <c r="D153" s="189" t="str">
        <f t="shared" si="194"/>
        <v>69_P_</v>
      </c>
      <c r="E153" s="211" t="s">
        <v>1</v>
      </c>
      <c r="F153" s="211" t="s">
        <v>1</v>
      </c>
      <c r="G153" s="189" t="s">
        <v>28</v>
      </c>
      <c r="H153" s="211"/>
      <c r="I153" s="211" t="s">
        <v>68</v>
      </c>
      <c r="J153" s="211">
        <v>69</v>
      </c>
      <c r="K153" s="211" t="s">
        <v>70</v>
      </c>
      <c r="L153" s="189" t="s">
        <v>9</v>
      </c>
      <c r="M153" s="211">
        <v>100</v>
      </c>
      <c r="N153" s="211">
        <v>100</v>
      </c>
      <c r="O153" s="211">
        <v>100</v>
      </c>
      <c r="P153" s="211">
        <v>100</v>
      </c>
      <c r="Q153" s="211">
        <v>100</v>
      </c>
      <c r="R153" s="211"/>
      <c r="S153" s="183">
        <f t="shared" si="233"/>
        <v>2</v>
      </c>
      <c r="T153" s="385">
        <f>$S153</f>
        <v>2</v>
      </c>
      <c r="U153" s="385">
        <f t="shared" si="234"/>
        <v>2</v>
      </c>
      <c r="V153" s="385">
        <f t="shared" si="234"/>
        <v>2</v>
      </c>
      <c r="W153" s="385">
        <f t="shared" si="234"/>
        <v>2</v>
      </c>
      <c r="X153" s="385">
        <f t="shared" si="234"/>
        <v>2</v>
      </c>
      <c r="Y153" s="184">
        <f t="shared" si="207"/>
        <v>163328</v>
      </c>
      <c r="Z153" s="184">
        <f t="shared" si="235"/>
        <v>217917</v>
      </c>
      <c r="AA153" s="184">
        <f t="shared" si="236"/>
        <v>233081</v>
      </c>
      <c r="AB153" s="184">
        <f t="shared" si="237"/>
        <v>7582</v>
      </c>
      <c r="AC153" s="184">
        <f t="shared" si="238"/>
        <v>7530</v>
      </c>
      <c r="AD153" s="184">
        <f t="shared" si="212"/>
        <v>629438</v>
      </c>
      <c r="AE153" s="183">
        <f t="shared" si="228"/>
        <v>0</v>
      </c>
      <c r="AF153" s="385">
        <f t="shared" si="230"/>
        <v>0</v>
      </c>
      <c r="AG153" s="385">
        <f t="shared" si="230"/>
        <v>0</v>
      </c>
      <c r="AH153" s="385">
        <f t="shared" si="230"/>
        <v>0</v>
      </c>
      <c r="AI153" s="185">
        <f t="shared" si="213"/>
        <v>0</v>
      </c>
      <c r="AJ153" s="185">
        <f t="shared" si="214"/>
        <v>0</v>
      </c>
      <c r="AK153" s="185">
        <f t="shared" si="215"/>
        <v>0</v>
      </c>
      <c r="AL153" s="185">
        <f t="shared" si="216"/>
        <v>0</v>
      </c>
      <c r="AM153" s="173">
        <f t="shared" si="229"/>
        <v>326656</v>
      </c>
      <c r="AN153" s="173">
        <f t="shared" si="144"/>
        <v>435834</v>
      </c>
      <c r="AO153" s="173">
        <f t="shared" si="145"/>
        <v>466162</v>
      </c>
      <c r="AP153" s="173">
        <f t="shared" si="195"/>
        <v>15164</v>
      </c>
      <c r="AQ153" s="173">
        <f t="shared" si="196"/>
        <v>15060</v>
      </c>
      <c r="AR153" s="173">
        <f t="shared" si="197"/>
        <v>1258876</v>
      </c>
      <c r="AS153" s="186" t="s">
        <v>1350</v>
      </c>
      <c r="AT153" s="300">
        <f t="shared" si="232"/>
        <v>2.8519999999999999</v>
      </c>
      <c r="AU153" s="300">
        <f t="shared" si="232"/>
        <v>2.8519999999999999</v>
      </c>
      <c r="AV153" s="300">
        <f t="shared" si="232"/>
        <v>2.8519999999999999</v>
      </c>
      <c r="AW153" s="300">
        <f t="shared" si="232"/>
        <v>2.8519999999999999</v>
      </c>
      <c r="AX153" s="300">
        <f t="shared" si="232"/>
        <v>2.8519999999999999</v>
      </c>
      <c r="AY153" s="301">
        <f t="shared" si="231"/>
        <v>2.8519999999999999</v>
      </c>
      <c r="AZ153" s="301">
        <f t="shared" si="231"/>
        <v>2.8519999999999999</v>
      </c>
      <c r="BA153" s="301">
        <f t="shared" si="231"/>
        <v>2.8519999999999999</v>
      </c>
      <c r="BB153" s="301">
        <f t="shared" si="231"/>
        <v>2.8519999999999999</v>
      </c>
      <c r="BC153" s="301">
        <f t="shared" si="231"/>
        <v>2.8519999999999999</v>
      </c>
      <c r="BD153" s="187">
        <f>ROUND(IF(OR(M153=0,AT153="DATO NO DISPONIBLE"),"",AT153*M153*($BD$7+1)),0)</f>
        <v>305</v>
      </c>
      <c r="BE153" s="187">
        <f t="shared" si="147"/>
        <v>305</v>
      </c>
      <c r="BF153" s="187">
        <f t="shared" si="148"/>
        <v>305</v>
      </c>
      <c r="BG153" s="187">
        <f t="shared" si="218"/>
        <v>305</v>
      </c>
      <c r="BH153" s="187">
        <f t="shared" si="219"/>
        <v>305</v>
      </c>
      <c r="BI153" s="187">
        <f>ROUND(IF(OR(M153=0,AY153="DATO NO DISPONIBLE"),0,AY153*M153*($BD$7+1)),0)</f>
        <v>305</v>
      </c>
      <c r="BJ153" s="187">
        <f t="shared" si="222"/>
        <v>305</v>
      </c>
      <c r="BK153" s="187">
        <f t="shared" si="223"/>
        <v>305</v>
      </c>
      <c r="BL153" s="187">
        <f t="shared" si="220"/>
        <v>305</v>
      </c>
      <c r="BM153" s="187">
        <f t="shared" si="221"/>
        <v>305</v>
      </c>
      <c r="BN153" s="188">
        <f>BD153*AM153</f>
        <v>99630080</v>
      </c>
      <c r="BO153" s="188">
        <f t="shared" si="224"/>
        <v>132929370</v>
      </c>
      <c r="BP153" s="188">
        <f t="shared" si="225"/>
        <v>142179410</v>
      </c>
      <c r="BQ153" s="188">
        <f t="shared" si="226"/>
        <v>4625020</v>
      </c>
      <c r="BR153" s="188">
        <f t="shared" si="227"/>
        <v>4593300</v>
      </c>
      <c r="BS153" s="188">
        <f t="shared" si="198"/>
        <v>383957180</v>
      </c>
      <c r="BT153" s="188">
        <f t="shared" si="199"/>
        <v>99630080</v>
      </c>
      <c r="BU153" s="188">
        <f t="shared" si="200"/>
        <v>132929370</v>
      </c>
      <c r="BV153" s="188">
        <f t="shared" si="201"/>
        <v>142179410</v>
      </c>
      <c r="BW153" s="188">
        <f t="shared" si="202"/>
        <v>4625020</v>
      </c>
      <c r="BX153" s="188">
        <f t="shared" si="203"/>
        <v>4593300</v>
      </c>
      <c r="BY153" s="188">
        <f t="shared" si="204"/>
        <v>383957180</v>
      </c>
      <c r="BZ153" s="305">
        <f>IF(COT_PRECALCULOS!$D$24="Precios Iva Incluído",BI153,BD153)</f>
        <v>305</v>
      </c>
      <c r="CA153" s="305">
        <f>IF(COT_PRECALCULOS!$D$24="Precios Iva Incluído",BJ153,BE153)</f>
        <v>305</v>
      </c>
      <c r="CB153" s="305">
        <f>IF(COT_PRECALCULOS!$D$24="Precios Iva Incluído",BK153,BF153)</f>
        <v>305</v>
      </c>
      <c r="CC153" s="305">
        <f>IF(COT_PRECALCULOS!$D$24="Precios Iva Incluído",BL153,BG153)</f>
        <v>305</v>
      </c>
      <c r="CD153" s="305">
        <f>IF(COT_PRECALCULOS!$D$24="Precios Iva Incluído",BM153,BH153)</f>
        <v>305</v>
      </c>
      <c r="CE153" s="305">
        <f>IF(COT_PRECALCULOS!$D$24="Precios Iva Incluído",BT153,BN153)</f>
        <v>99630080</v>
      </c>
      <c r="CF153" s="305">
        <f>IF(COT_PRECALCULOS!$D$24="Precios Iva Incluído",BU153,BO153)</f>
        <v>132929370</v>
      </c>
      <c r="CG153" s="305">
        <f>IF(COT_PRECALCULOS!$D$24="Precios Iva Incluído",BV153,BP153)</f>
        <v>142179410</v>
      </c>
      <c r="CH153" s="305">
        <f>IF(COT_PRECALCULOS!$D$24="Precios Iva Incluído",BW153,BQ153)</f>
        <v>4625020</v>
      </c>
      <c r="CI153" s="305">
        <f>IF(COT_PRECALCULOS!$D$24="Precios Iva Incluído",BX153,BR153)</f>
        <v>4593300</v>
      </c>
    </row>
    <row r="154" spans="1:87">
      <c r="A154" s="182" t="s">
        <v>101</v>
      </c>
      <c r="B154" s="182" t="s">
        <v>98</v>
      </c>
      <c r="C154" s="189" t="str">
        <f t="shared" si="193"/>
        <v>F_PE15</v>
      </c>
      <c r="D154" s="189" t="str">
        <f t="shared" si="194"/>
        <v>70_P_</v>
      </c>
      <c r="E154" s="211" t="s">
        <v>1</v>
      </c>
      <c r="F154" s="211" t="s">
        <v>1</v>
      </c>
      <c r="G154" s="189" t="s">
        <v>28</v>
      </c>
      <c r="H154" s="211"/>
      <c r="I154" s="211" t="s">
        <v>69</v>
      </c>
      <c r="J154" s="211">
        <v>70</v>
      </c>
      <c r="K154" s="211" t="s">
        <v>71</v>
      </c>
      <c r="L154" s="189" t="s">
        <v>9</v>
      </c>
      <c r="M154" s="386">
        <v>0</v>
      </c>
      <c r="N154" s="211">
        <v>100</v>
      </c>
      <c r="O154" s="211">
        <v>100</v>
      </c>
      <c r="P154" s="211">
        <v>100</v>
      </c>
      <c r="Q154" s="211">
        <v>100</v>
      </c>
      <c r="R154" s="211" t="s">
        <v>73</v>
      </c>
      <c r="S154" s="183">
        <f t="shared" si="233"/>
        <v>0</v>
      </c>
      <c r="T154" s="386">
        <v>0</v>
      </c>
      <c r="U154" s="385">
        <f t="shared" si="234"/>
        <v>0</v>
      </c>
      <c r="V154" s="385">
        <f t="shared" si="234"/>
        <v>0</v>
      </c>
      <c r="W154" s="385">
        <f t="shared" si="234"/>
        <v>0</v>
      </c>
      <c r="X154" s="385">
        <f t="shared" si="234"/>
        <v>0</v>
      </c>
      <c r="Y154" s="184">
        <f t="shared" si="207"/>
        <v>0</v>
      </c>
      <c r="Z154" s="184">
        <f t="shared" si="235"/>
        <v>217917</v>
      </c>
      <c r="AA154" s="184">
        <f t="shared" si="236"/>
        <v>233081</v>
      </c>
      <c r="AB154" s="184">
        <f t="shared" si="237"/>
        <v>7582</v>
      </c>
      <c r="AC154" s="184">
        <f t="shared" si="238"/>
        <v>7530</v>
      </c>
      <c r="AD154" s="184">
        <f t="shared" si="212"/>
        <v>466110</v>
      </c>
      <c r="AE154" s="183">
        <f t="shared" si="228"/>
        <v>0</v>
      </c>
      <c r="AF154" s="385">
        <f t="shared" si="230"/>
        <v>0</v>
      </c>
      <c r="AG154" s="385">
        <f t="shared" si="230"/>
        <v>0</v>
      </c>
      <c r="AH154" s="385">
        <f t="shared" si="230"/>
        <v>0</v>
      </c>
      <c r="AI154" s="185">
        <f t="shared" si="213"/>
        <v>0</v>
      </c>
      <c r="AJ154" s="185">
        <f t="shared" si="214"/>
        <v>0</v>
      </c>
      <c r="AK154" s="185">
        <f t="shared" si="215"/>
        <v>0</v>
      </c>
      <c r="AL154" s="185">
        <f t="shared" si="216"/>
        <v>0</v>
      </c>
      <c r="AM154" s="173">
        <v>0</v>
      </c>
      <c r="AN154" s="173">
        <f t="shared" si="144"/>
        <v>0</v>
      </c>
      <c r="AO154" s="173">
        <f t="shared" si="145"/>
        <v>0</v>
      </c>
      <c r="AP154" s="173">
        <f t="shared" si="195"/>
        <v>0</v>
      </c>
      <c r="AQ154" s="173">
        <f t="shared" si="196"/>
        <v>0</v>
      </c>
      <c r="AR154" s="173">
        <f t="shared" si="197"/>
        <v>0</v>
      </c>
      <c r="AS154" s="186" t="s">
        <v>1350</v>
      </c>
      <c r="AT154" s="300">
        <f t="shared" si="232"/>
        <v>4.0575000000000001</v>
      </c>
      <c r="AU154" s="300">
        <f t="shared" si="232"/>
        <v>4.0575000000000001</v>
      </c>
      <c r="AV154" s="300">
        <f t="shared" si="232"/>
        <v>4.0575000000000001</v>
      </c>
      <c r="AW154" s="300">
        <f t="shared" si="232"/>
        <v>4.0575000000000001</v>
      </c>
      <c r="AX154" s="300">
        <f t="shared" si="232"/>
        <v>4.0575000000000001</v>
      </c>
      <c r="AY154" s="301">
        <f t="shared" si="231"/>
        <v>4.0575000000000001</v>
      </c>
      <c r="AZ154" s="301">
        <f t="shared" si="231"/>
        <v>4.0575000000000001</v>
      </c>
      <c r="BA154" s="301">
        <f t="shared" si="231"/>
        <v>4.0575000000000001</v>
      </c>
      <c r="BB154" s="301">
        <f t="shared" si="231"/>
        <v>4.0575000000000001</v>
      </c>
      <c r="BC154" s="301">
        <f t="shared" si="231"/>
        <v>4.0575000000000001</v>
      </c>
      <c r="BD154" s="187"/>
      <c r="BE154" s="187">
        <f t="shared" si="147"/>
        <v>434</v>
      </c>
      <c r="BF154" s="187">
        <f t="shared" si="148"/>
        <v>434</v>
      </c>
      <c r="BG154" s="187">
        <f t="shared" si="218"/>
        <v>434</v>
      </c>
      <c r="BH154" s="187">
        <f t="shared" si="219"/>
        <v>434</v>
      </c>
      <c r="BI154" s="187"/>
      <c r="BJ154" s="187">
        <f t="shared" si="222"/>
        <v>434</v>
      </c>
      <c r="BK154" s="187">
        <f t="shared" si="223"/>
        <v>434</v>
      </c>
      <c r="BL154" s="187">
        <f t="shared" si="220"/>
        <v>434</v>
      </c>
      <c r="BM154" s="187">
        <f t="shared" si="221"/>
        <v>434</v>
      </c>
      <c r="BN154" s="188"/>
      <c r="BO154" s="188">
        <f t="shared" si="224"/>
        <v>0</v>
      </c>
      <c r="BP154" s="188">
        <f t="shared" si="225"/>
        <v>0</v>
      </c>
      <c r="BQ154" s="188">
        <f t="shared" si="226"/>
        <v>0</v>
      </c>
      <c r="BR154" s="188">
        <f t="shared" si="227"/>
        <v>0</v>
      </c>
      <c r="BS154" s="188">
        <f t="shared" si="198"/>
        <v>0</v>
      </c>
      <c r="BT154" s="188">
        <f t="shared" si="199"/>
        <v>0</v>
      </c>
      <c r="BU154" s="188">
        <f t="shared" si="200"/>
        <v>0</v>
      </c>
      <c r="BV154" s="188">
        <f t="shared" si="201"/>
        <v>0</v>
      </c>
      <c r="BW154" s="188">
        <f t="shared" si="202"/>
        <v>0</v>
      </c>
      <c r="BX154" s="188">
        <f t="shared" si="203"/>
        <v>0</v>
      </c>
      <c r="BY154" s="188">
        <f t="shared" si="204"/>
        <v>0</v>
      </c>
      <c r="BZ154" s="305">
        <f>IF(COT_PRECALCULOS!$D$24="Precios Iva Incluído",BI154,BD154)</f>
        <v>0</v>
      </c>
      <c r="CA154" s="305">
        <f>IF(COT_PRECALCULOS!$D$24="Precios Iva Incluído",BJ154,BE154)</f>
        <v>434</v>
      </c>
      <c r="CB154" s="305">
        <f>IF(COT_PRECALCULOS!$D$24="Precios Iva Incluído",BK154,BF154)</f>
        <v>434</v>
      </c>
      <c r="CC154" s="305">
        <f>IF(COT_PRECALCULOS!$D$24="Precios Iva Incluído",BL154,BG154)</f>
        <v>434</v>
      </c>
      <c r="CD154" s="305">
        <f>IF(COT_PRECALCULOS!$D$24="Precios Iva Incluído",BM154,BH154)</f>
        <v>434</v>
      </c>
      <c r="CE154" s="305">
        <f>IF(COT_PRECALCULOS!$D$24="Precios Iva Incluído",BT154,BN154)</f>
        <v>0</v>
      </c>
      <c r="CF154" s="305">
        <f>IF(COT_PRECALCULOS!$D$24="Precios Iva Incluído",BU154,BO154)</f>
        <v>0</v>
      </c>
      <c r="CG154" s="305">
        <f>IF(COT_PRECALCULOS!$D$24="Precios Iva Incluído",BV154,BP154)</f>
        <v>0</v>
      </c>
      <c r="CH154" s="305">
        <f>IF(COT_PRECALCULOS!$D$24="Precios Iva Incluído",BW154,BQ154)</f>
        <v>0</v>
      </c>
      <c r="CI154" s="305">
        <f>IF(COT_PRECALCULOS!$D$24="Precios Iva Incluído",BX154,BR154)</f>
        <v>0</v>
      </c>
    </row>
    <row r="155" spans="1:87">
      <c r="A155" s="182" t="s">
        <v>101</v>
      </c>
      <c r="B155" s="182" t="s">
        <v>98</v>
      </c>
      <c r="C155" s="189" t="str">
        <f t="shared" si="193"/>
        <v>F_PE15</v>
      </c>
      <c r="D155" s="189" t="str">
        <f t="shared" si="194"/>
        <v>36_P_</v>
      </c>
      <c r="E155" s="211" t="s">
        <v>1</v>
      </c>
      <c r="F155" s="211" t="s">
        <v>1</v>
      </c>
      <c r="G155" s="189" t="s">
        <v>28</v>
      </c>
      <c r="H155" s="211"/>
      <c r="I155" s="211" t="s">
        <v>1340</v>
      </c>
      <c r="J155" s="211">
        <v>36</v>
      </c>
      <c r="K155" s="211" t="s">
        <v>1340</v>
      </c>
      <c r="L155" s="189" t="s">
        <v>9</v>
      </c>
      <c r="M155" s="211">
        <v>20</v>
      </c>
      <c r="N155" s="211">
        <v>40</v>
      </c>
      <c r="O155" s="211">
        <v>40</v>
      </c>
      <c r="P155" s="211">
        <v>40</v>
      </c>
      <c r="Q155" s="211">
        <v>40</v>
      </c>
      <c r="R155" s="211"/>
      <c r="S155" s="183">
        <f t="shared" si="233"/>
        <v>1</v>
      </c>
      <c r="T155" s="385">
        <f t="shared" ref="T155:T169" si="239">$S155</f>
        <v>1</v>
      </c>
      <c r="U155" s="385">
        <f t="shared" si="234"/>
        <v>1</v>
      </c>
      <c r="V155" s="385">
        <f t="shared" si="234"/>
        <v>1</v>
      </c>
      <c r="W155" s="385">
        <f t="shared" si="234"/>
        <v>1</v>
      </c>
      <c r="X155" s="385">
        <f t="shared" si="234"/>
        <v>1</v>
      </c>
      <c r="Y155" s="184">
        <f t="shared" si="207"/>
        <v>163328</v>
      </c>
      <c r="Z155" s="184">
        <f t="shared" si="235"/>
        <v>217917</v>
      </c>
      <c r="AA155" s="184">
        <f t="shared" si="236"/>
        <v>233081</v>
      </c>
      <c r="AB155" s="184">
        <f t="shared" si="237"/>
        <v>7582</v>
      </c>
      <c r="AC155" s="184">
        <f t="shared" si="238"/>
        <v>7530</v>
      </c>
      <c r="AD155" s="184">
        <f t="shared" si="212"/>
        <v>629438</v>
      </c>
      <c r="AE155" s="183">
        <f t="shared" si="228"/>
        <v>0</v>
      </c>
      <c r="AF155" s="385">
        <f t="shared" si="230"/>
        <v>0</v>
      </c>
      <c r="AG155" s="385">
        <f t="shared" si="230"/>
        <v>0</v>
      </c>
      <c r="AH155" s="385">
        <f t="shared" si="230"/>
        <v>0</v>
      </c>
      <c r="AI155" s="185">
        <f t="shared" si="213"/>
        <v>0</v>
      </c>
      <c r="AJ155" s="185">
        <f t="shared" si="214"/>
        <v>0</v>
      </c>
      <c r="AK155" s="185">
        <f t="shared" si="215"/>
        <v>0</v>
      </c>
      <c r="AL155" s="185">
        <f t="shared" si="216"/>
        <v>0</v>
      </c>
      <c r="AM155" s="173">
        <f t="shared" ref="AM155:AM169" si="240">($S155*Y155)+($AE155*AI155)</f>
        <v>163328</v>
      </c>
      <c r="AN155" s="173">
        <f t="shared" si="144"/>
        <v>217917</v>
      </c>
      <c r="AO155" s="173">
        <f t="shared" si="145"/>
        <v>233081</v>
      </c>
      <c r="AP155" s="173">
        <f t="shared" si="195"/>
        <v>7582</v>
      </c>
      <c r="AQ155" s="173">
        <f t="shared" si="196"/>
        <v>7530</v>
      </c>
      <c r="AR155" s="173">
        <f t="shared" si="197"/>
        <v>629438</v>
      </c>
      <c r="AS155" s="186" t="s">
        <v>1350</v>
      </c>
      <c r="AT155" s="300">
        <f t="shared" si="232"/>
        <v>5.9</v>
      </c>
      <c r="AU155" s="300">
        <f t="shared" si="232"/>
        <v>5.9</v>
      </c>
      <c r="AV155" s="300">
        <f t="shared" si="232"/>
        <v>5.9</v>
      </c>
      <c r="AW155" s="300">
        <f t="shared" si="232"/>
        <v>5.9</v>
      </c>
      <c r="AX155" s="300">
        <f t="shared" si="232"/>
        <v>5.9</v>
      </c>
      <c r="AY155" s="301">
        <f t="shared" si="231"/>
        <v>5.9</v>
      </c>
      <c r="AZ155" s="301">
        <f t="shared" si="231"/>
        <v>5.9</v>
      </c>
      <c r="BA155" s="301">
        <f t="shared" si="231"/>
        <v>5.9</v>
      </c>
      <c r="BB155" s="301">
        <f t="shared" si="231"/>
        <v>5.9</v>
      </c>
      <c r="BC155" s="301">
        <f t="shared" si="231"/>
        <v>5.9</v>
      </c>
      <c r="BD155" s="187">
        <f t="shared" ref="BD155:BD169" si="241">ROUND(IF(OR(M155=0,AT155="DATO NO DISPONIBLE"),"",AT155*M155*($BD$7+1)),0)</f>
        <v>126</v>
      </c>
      <c r="BE155" s="187">
        <f t="shared" si="147"/>
        <v>252</v>
      </c>
      <c r="BF155" s="187">
        <f t="shared" si="148"/>
        <v>252</v>
      </c>
      <c r="BG155" s="187">
        <f t="shared" si="218"/>
        <v>252</v>
      </c>
      <c r="BH155" s="187">
        <f t="shared" si="219"/>
        <v>252</v>
      </c>
      <c r="BI155" s="187">
        <f t="shared" ref="BI155:BI169" si="242">ROUND(IF(OR(M155=0,AY155="DATO NO DISPONIBLE"),0,AY155*M155*($BD$7+1)),0)</f>
        <v>126</v>
      </c>
      <c r="BJ155" s="187">
        <f t="shared" si="222"/>
        <v>252</v>
      </c>
      <c r="BK155" s="187">
        <f t="shared" si="223"/>
        <v>252</v>
      </c>
      <c r="BL155" s="187">
        <f t="shared" si="220"/>
        <v>252</v>
      </c>
      <c r="BM155" s="187">
        <f t="shared" si="221"/>
        <v>252</v>
      </c>
      <c r="BN155" s="188">
        <f t="shared" ref="BN155:BN169" si="243">BD155*AM155</f>
        <v>20579328</v>
      </c>
      <c r="BO155" s="188">
        <f t="shared" si="224"/>
        <v>54915084</v>
      </c>
      <c r="BP155" s="188">
        <f t="shared" si="225"/>
        <v>58736412</v>
      </c>
      <c r="BQ155" s="188">
        <f t="shared" si="226"/>
        <v>1910664</v>
      </c>
      <c r="BR155" s="188">
        <f t="shared" si="227"/>
        <v>1897560</v>
      </c>
      <c r="BS155" s="188">
        <f t="shared" si="198"/>
        <v>138039048</v>
      </c>
      <c r="BT155" s="188">
        <f t="shared" si="199"/>
        <v>20579328</v>
      </c>
      <c r="BU155" s="188">
        <f t="shared" si="200"/>
        <v>54915084</v>
      </c>
      <c r="BV155" s="188">
        <f t="shared" si="201"/>
        <v>58736412</v>
      </c>
      <c r="BW155" s="188">
        <f t="shared" si="202"/>
        <v>1910664</v>
      </c>
      <c r="BX155" s="188">
        <f t="shared" si="203"/>
        <v>1897560</v>
      </c>
      <c r="BY155" s="188">
        <f t="shared" si="204"/>
        <v>138039048</v>
      </c>
      <c r="BZ155" s="305">
        <f>IF(COT_PRECALCULOS!$D$24="Precios Iva Incluído",BI155,BD155)</f>
        <v>126</v>
      </c>
      <c r="CA155" s="305">
        <f>IF(COT_PRECALCULOS!$D$24="Precios Iva Incluído",BJ155,BE155)</f>
        <v>252</v>
      </c>
      <c r="CB155" s="305">
        <f>IF(COT_PRECALCULOS!$D$24="Precios Iva Incluído",BK155,BF155)</f>
        <v>252</v>
      </c>
      <c r="CC155" s="305">
        <f>IF(COT_PRECALCULOS!$D$24="Precios Iva Incluído",BL155,BG155)</f>
        <v>252</v>
      </c>
      <c r="CD155" s="305">
        <f>IF(COT_PRECALCULOS!$D$24="Precios Iva Incluído",BM155,BH155)</f>
        <v>252</v>
      </c>
      <c r="CE155" s="305">
        <f>IF(COT_PRECALCULOS!$D$24="Precios Iva Incluído",BT155,BN155)</f>
        <v>20579328</v>
      </c>
      <c r="CF155" s="305">
        <f>IF(COT_PRECALCULOS!$D$24="Precios Iva Incluído",BU155,BO155)</f>
        <v>54915084</v>
      </c>
      <c r="CG155" s="305">
        <f>IF(COT_PRECALCULOS!$D$24="Precios Iva Incluído",BV155,BP155)</f>
        <v>58736412</v>
      </c>
      <c r="CH155" s="305">
        <f>IF(COT_PRECALCULOS!$D$24="Precios Iva Incluído",BW155,BQ155)</f>
        <v>1910664</v>
      </c>
      <c r="CI155" s="305">
        <f>IF(COT_PRECALCULOS!$D$24="Precios Iva Incluído",BX155,BR155)</f>
        <v>1897560</v>
      </c>
    </row>
    <row r="156" spans="1:87">
      <c r="A156" s="182" t="s">
        <v>101</v>
      </c>
      <c r="B156" s="182" t="s">
        <v>98</v>
      </c>
      <c r="C156" s="189" t="str">
        <f t="shared" si="193"/>
        <v>F_E1</v>
      </c>
      <c r="D156" s="189" t="str">
        <f t="shared" si="194"/>
        <v>69_P_</v>
      </c>
      <c r="E156" s="211" t="s">
        <v>1</v>
      </c>
      <c r="F156" s="211" t="s">
        <v>1</v>
      </c>
      <c r="G156" s="189" t="s">
        <v>10</v>
      </c>
      <c r="H156" s="211" t="s">
        <v>13</v>
      </c>
      <c r="I156" s="211" t="s">
        <v>68</v>
      </c>
      <c r="J156" s="211">
        <v>69</v>
      </c>
      <c r="K156" s="211" t="s">
        <v>70</v>
      </c>
      <c r="L156" s="189" t="s">
        <v>9</v>
      </c>
      <c r="M156" s="211">
        <v>100</v>
      </c>
      <c r="N156" s="211">
        <v>100</v>
      </c>
      <c r="O156" s="211">
        <v>100</v>
      </c>
      <c r="P156" s="211">
        <v>100</v>
      </c>
      <c r="Q156" s="211">
        <v>100</v>
      </c>
      <c r="R156" s="211"/>
      <c r="S156" s="183">
        <f t="shared" si="233"/>
        <v>2</v>
      </c>
      <c r="T156" s="385">
        <f t="shared" si="239"/>
        <v>2</v>
      </c>
      <c r="U156" s="385">
        <f t="shared" si="234"/>
        <v>2</v>
      </c>
      <c r="V156" s="385">
        <f t="shared" si="234"/>
        <v>2</v>
      </c>
      <c r="W156" s="385">
        <f t="shared" si="234"/>
        <v>2</v>
      </c>
      <c r="X156" s="385">
        <f t="shared" si="234"/>
        <v>2</v>
      </c>
      <c r="Y156" s="184">
        <f t="shared" si="207"/>
        <v>163328</v>
      </c>
      <c r="Z156" s="184">
        <f t="shared" si="235"/>
        <v>217917</v>
      </c>
      <c r="AA156" s="184">
        <f t="shared" si="236"/>
        <v>233081</v>
      </c>
      <c r="AB156" s="184">
        <f t="shared" si="237"/>
        <v>7582</v>
      </c>
      <c r="AC156" s="184">
        <f t="shared" si="238"/>
        <v>7530</v>
      </c>
      <c r="AD156" s="184">
        <f t="shared" si="212"/>
        <v>629438</v>
      </c>
      <c r="AE156" s="183">
        <f t="shared" si="228"/>
        <v>0</v>
      </c>
      <c r="AF156" s="385">
        <f t="shared" si="230"/>
        <v>0</v>
      </c>
      <c r="AG156" s="385">
        <f t="shared" si="230"/>
        <v>0</v>
      </c>
      <c r="AH156" s="385">
        <f t="shared" si="230"/>
        <v>0</v>
      </c>
      <c r="AI156" s="185">
        <f t="shared" si="213"/>
        <v>0</v>
      </c>
      <c r="AJ156" s="185">
        <f t="shared" si="214"/>
        <v>0</v>
      </c>
      <c r="AK156" s="185">
        <f t="shared" si="215"/>
        <v>0</v>
      </c>
      <c r="AL156" s="185">
        <f t="shared" si="216"/>
        <v>0</v>
      </c>
      <c r="AM156" s="173">
        <f t="shared" si="240"/>
        <v>326656</v>
      </c>
      <c r="AN156" s="173">
        <f t="shared" ref="AN156:AN219" si="244">($S156*Z156)+($AE156*AJ156)</f>
        <v>435834</v>
      </c>
      <c r="AO156" s="173">
        <f t="shared" ref="AO156:AO219" si="245">($S156*AA156)+($AE156*AK156)</f>
        <v>466162</v>
      </c>
      <c r="AP156" s="173">
        <f t="shared" si="195"/>
        <v>15164</v>
      </c>
      <c r="AQ156" s="173">
        <f t="shared" si="196"/>
        <v>15060</v>
      </c>
      <c r="AR156" s="173">
        <f t="shared" si="197"/>
        <v>1258876</v>
      </c>
      <c r="AS156" s="186" t="s">
        <v>1351</v>
      </c>
      <c r="AT156" s="300">
        <f t="shared" si="232"/>
        <v>2.8519999999999999</v>
      </c>
      <c r="AU156" s="300">
        <f t="shared" si="232"/>
        <v>2.8519999999999999</v>
      </c>
      <c r="AV156" s="300">
        <f t="shared" si="232"/>
        <v>2.8519999999999999</v>
      </c>
      <c r="AW156" s="300">
        <f t="shared" si="232"/>
        <v>2.8519999999999999</v>
      </c>
      <c r="AX156" s="300">
        <f t="shared" si="232"/>
        <v>2.8519999999999999</v>
      </c>
      <c r="AY156" s="301">
        <f t="shared" si="231"/>
        <v>2.8519999999999999</v>
      </c>
      <c r="AZ156" s="301">
        <f t="shared" si="231"/>
        <v>2.8519999999999999</v>
      </c>
      <c r="BA156" s="301">
        <f t="shared" si="231"/>
        <v>2.8519999999999999</v>
      </c>
      <c r="BB156" s="301">
        <f t="shared" si="231"/>
        <v>2.8519999999999999</v>
      </c>
      <c r="BC156" s="301">
        <f t="shared" si="231"/>
        <v>2.8519999999999999</v>
      </c>
      <c r="BD156" s="187">
        <f t="shared" si="241"/>
        <v>305</v>
      </c>
      <c r="BE156" s="187">
        <f t="shared" si="147"/>
        <v>305</v>
      </c>
      <c r="BF156" s="187">
        <f t="shared" si="148"/>
        <v>305</v>
      </c>
      <c r="BG156" s="187">
        <f t="shared" si="218"/>
        <v>305</v>
      </c>
      <c r="BH156" s="187">
        <f t="shared" si="219"/>
        <v>305</v>
      </c>
      <c r="BI156" s="187">
        <f t="shared" si="242"/>
        <v>305</v>
      </c>
      <c r="BJ156" s="187">
        <f t="shared" si="222"/>
        <v>305</v>
      </c>
      <c r="BK156" s="187">
        <f t="shared" si="223"/>
        <v>305</v>
      </c>
      <c r="BL156" s="187">
        <f t="shared" si="220"/>
        <v>305</v>
      </c>
      <c r="BM156" s="187">
        <f t="shared" si="221"/>
        <v>305</v>
      </c>
      <c r="BN156" s="188">
        <f t="shared" si="243"/>
        <v>99630080</v>
      </c>
      <c r="BO156" s="188">
        <f t="shared" si="224"/>
        <v>132929370</v>
      </c>
      <c r="BP156" s="188">
        <f t="shared" si="225"/>
        <v>142179410</v>
      </c>
      <c r="BQ156" s="188">
        <f t="shared" si="226"/>
        <v>4625020</v>
      </c>
      <c r="BR156" s="188">
        <f t="shared" si="227"/>
        <v>4593300</v>
      </c>
      <c r="BS156" s="188">
        <f t="shared" si="198"/>
        <v>383957180</v>
      </c>
      <c r="BT156" s="188">
        <f t="shared" si="199"/>
        <v>99630080</v>
      </c>
      <c r="BU156" s="188">
        <f t="shared" si="200"/>
        <v>132929370</v>
      </c>
      <c r="BV156" s="188">
        <f t="shared" si="201"/>
        <v>142179410</v>
      </c>
      <c r="BW156" s="188">
        <f t="shared" si="202"/>
        <v>4625020</v>
      </c>
      <c r="BX156" s="188">
        <f t="shared" si="203"/>
        <v>4593300</v>
      </c>
      <c r="BY156" s="188">
        <f t="shared" si="204"/>
        <v>383957180</v>
      </c>
      <c r="BZ156" s="305">
        <f>IF(COT_PRECALCULOS!$D$24="Precios Iva Incluído",BI156,BD156)</f>
        <v>305</v>
      </c>
      <c r="CA156" s="305">
        <f>IF(COT_PRECALCULOS!$D$24="Precios Iva Incluído",BJ156,BE156)</f>
        <v>305</v>
      </c>
      <c r="CB156" s="305">
        <f>IF(COT_PRECALCULOS!$D$24="Precios Iva Incluído",BK156,BF156)</f>
        <v>305</v>
      </c>
      <c r="CC156" s="305">
        <f>IF(COT_PRECALCULOS!$D$24="Precios Iva Incluído",BL156,BG156)</f>
        <v>305</v>
      </c>
      <c r="CD156" s="305">
        <f>IF(COT_PRECALCULOS!$D$24="Precios Iva Incluído",BM156,BH156)</f>
        <v>305</v>
      </c>
      <c r="CE156" s="305">
        <f>IF(COT_PRECALCULOS!$D$24="Precios Iva Incluído",BT156,BN156)</f>
        <v>99630080</v>
      </c>
      <c r="CF156" s="305">
        <f>IF(COT_PRECALCULOS!$D$24="Precios Iva Incluído",BU156,BO156)</f>
        <v>132929370</v>
      </c>
      <c r="CG156" s="305">
        <f>IF(COT_PRECALCULOS!$D$24="Precios Iva Incluído",BV156,BP156)</f>
        <v>142179410</v>
      </c>
      <c r="CH156" s="305">
        <f>IF(COT_PRECALCULOS!$D$24="Precios Iva Incluído",BW156,BQ156)</f>
        <v>4625020</v>
      </c>
      <c r="CI156" s="305">
        <f>IF(COT_PRECALCULOS!$D$24="Precios Iva Incluído",BX156,BR156)</f>
        <v>4593300</v>
      </c>
    </row>
    <row r="157" spans="1:87">
      <c r="A157" s="182" t="s">
        <v>101</v>
      </c>
      <c r="B157" s="182" t="s">
        <v>98</v>
      </c>
      <c r="C157" s="189" t="str">
        <f t="shared" si="193"/>
        <v>F_E1</v>
      </c>
      <c r="D157" s="189" t="str">
        <f t="shared" si="194"/>
        <v>33_P_</v>
      </c>
      <c r="E157" s="211" t="s">
        <v>1</v>
      </c>
      <c r="F157" s="211" t="s">
        <v>1</v>
      </c>
      <c r="G157" s="189" t="s">
        <v>10</v>
      </c>
      <c r="H157" s="211"/>
      <c r="I157" s="211" t="s">
        <v>58</v>
      </c>
      <c r="J157" s="211">
        <v>33</v>
      </c>
      <c r="K157" s="211" t="s">
        <v>59</v>
      </c>
      <c r="L157" s="189" t="s">
        <v>48</v>
      </c>
      <c r="M157" s="310">
        <v>90</v>
      </c>
      <c r="N157" s="310">
        <v>90</v>
      </c>
      <c r="O157" s="310">
        <v>90</v>
      </c>
      <c r="P157" s="310">
        <v>90</v>
      </c>
      <c r="Q157" s="310">
        <v>90</v>
      </c>
      <c r="R157" s="211"/>
      <c r="S157" s="183">
        <f t="shared" si="233"/>
        <v>2</v>
      </c>
      <c r="T157" s="385">
        <f t="shared" si="239"/>
        <v>2</v>
      </c>
      <c r="U157" s="385">
        <f t="shared" si="234"/>
        <v>2</v>
      </c>
      <c r="V157" s="385">
        <f t="shared" si="234"/>
        <v>2</v>
      </c>
      <c r="W157" s="385">
        <f t="shared" si="234"/>
        <v>2</v>
      </c>
      <c r="X157" s="385">
        <f t="shared" si="234"/>
        <v>2</v>
      </c>
      <c r="Y157" s="184">
        <f t="shared" si="207"/>
        <v>163328</v>
      </c>
      <c r="Z157" s="184">
        <f t="shared" si="235"/>
        <v>217917</v>
      </c>
      <c r="AA157" s="184">
        <f t="shared" si="236"/>
        <v>233081</v>
      </c>
      <c r="AB157" s="184">
        <f t="shared" si="237"/>
        <v>7582</v>
      </c>
      <c r="AC157" s="184">
        <f t="shared" si="238"/>
        <v>7530</v>
      </c>
      <c r="AD157" s="184">
        <f t="shared" si="212"/>
        <v>629438</v>
      </c>
      <c r="AE157" s="183">
        <f t="shared" si="228"/>
        <v>0</v>
      </c>
      <c r="AF157" s="385">
        <f t="shared" si="230"/>
        <v>0</v>
      </c>
      <c r="AG157" s="385">
        <f t="shared" si="230"/>
        <v>0</v>
      </c>
      <c r="AH157" s="385">
        <f t="shared" si="230"/>
        <v>0</v>
      </c>
      <c r="AI157" s="185">
        <f t="shared" si="213"/>
        <v>0</v>
      </c>
      <c r="AJ157" s="185">
        <f t="shared" si="214"/>
        <v>0</v>
      </c>
      <c r="AK157" s="185">
        <f t="shared" si="215"/>
        <v>0</v>
      </c>
      <c r="AL157" s="185">
        <f t="shared" si="216"/>
        <v>0</v>
      </c>
      <c r="AM157" s="173">
        <f t="shared" si="240"/>
        <v>326656</v>
      </c>
      <c r="AN157" s="173">
        <f t="shared" si="244"/>
        <v>435834</v>
      </c>
      <c r="AO157" s="173">
        <f t="shared" si="245"/>
        <v>466162</v>
      </c>
      <c r="AP157" s="173">
        <f t="shared" si="195"/>
        <v>15164</v>
      </c>
      <c r="AQ157" s="173">
        <f t="shared" si="196"/>
        <v>15060</v>
      </c>
      <c r="AR157" s="173">
        <f t="shared" si="197"/>
        <v>1258876</v>
      </c>
      <c r="AS157" s="186" t="s">
        <v>1351</v>
      </c>
      <c r="AT157" s="300">
        <f t="shared" si="232"/>
        <v>2.8014999999999999</v>
      </c>
      <c r="AU157" s="300">
        <f t="shared" si="232"/>
        <v>2.8014999999999999</v>
      </c>
      <c r="AV157" s="300">
        <f t="shared" si="232"/>
        <v>2.8014999999999999</v>
      </c>
      <c r="AW157" s="300">
        <f t="shared" si="232"/>
        <v>2.8014999999999999</v>
      </c>
      <c r="AX157" s="300">
        <f t="shared" si="232"/>
        <v>2.8014999999999999</v>
      </c>
      <c r="AY157" s="301">
        <f t="shared" si="231"/>
        <v>2.8014999999999999</v>
      </c>
      <c r="AZ157" s="301">
        <f t="shared" si="231"/>
        <v>2.8014999999999999</v>
      </c>
      <c r="BA157" s="301">
        <f t="shared" si="231"/>
        <v>2.8014999999999999</v>
      </c>
      <c r="BB157" s="301">
        <f t="shared" si="231"/>
        <v>2.8014999999999999</v>
      </c>
      <c r="BC157" s="301">
        <f t="shared" si="231"/>
        <v>2.8014999999999999</v>
      </c>
      <c r="BD157" s="187">
        <f t="shared" si="241"/>
        <v>270</v>
      </c>
      <c r="BE157" s="187">
        <f t="shared" ref="BE157:BE220" si="246">ROUND(IF(OR(N157=0,AU157="DATO NO DISPONIBLE"),0,AU157*N157*($BD$7+1)),0)</f>
        <v>270</v>
      </c>
      <c r="BF157" s="187">
        <f t="shared" ref="BF157:BF220" si="247">ROUND(IF(OR(O157=0,AV157="DATO NO DISPONIBLE"),0,AV157*O157*($BD$7+1)),0)</f>
        <v>270</v>
      </c>
      <c r="BG157" s="187">
        <f t="shared" si="218"/>
        <v>270</v>
      </c>
      <c r="BH157" s="187">
        <f t="shared" si="219"/>
        <v>270</v>
      </c>
      <c r="BI157" s="187">
        <f t="shared" si="242"/>
        <v>270</v>
      </c>
      <c r="BJ157" s="187">
        <f t="shared" si="222"/>
        <v>270</v>
      </c>
      <c r="BK157" s="187">
        <f t="shared" si="223"/>
        <v>270</v>
      </c>
      <c r="BL157" s="187">
        <f t="shared" si="220"/>
        <v>270</v>
      </c>
      <c r="BM157" s="187">
        <f t="shared" si="221"/>
        <v>270</v>
      </c>
      <c r="BN157" s="188">
        <f t="shared" si="243"/>
        <v>88197120</v>
      </c>
      <c r="BO157" s="188">
        <f t="shared" si="224"/>
        <v>117675180</v>
      </c>
      <c r="BP157" s="188">
        <f t="shared" si="225"/>
        <v>125863740</v>
      </c>
      <c r="BQ157" s="188">
        <f t="shared" si="226"/>
        <v>4094280</v>
      </c>
      <c r="BR157" s="188">
        <f t="shared" si="227"/>
        <v>4066200</v>
      </c>
      <c r="BS157" s="188">
        <f t="shared" si="198"/>
        <v>339896520</v>
      </c>
      <c r="BT157" s="188">
        <f t="shared" si="199"/>
        <v>88197120</v>
      </c>
      <c r="BU157" s="188">
        <f t="shared" si="200"/>
        <v>117675180</v>
      </c>
      <c r="BV157" s="188">
        <f t="shared" si="201"/>
        <v>125863740</v>
      </c>
      <c r="BW157" s="188">
        <f t="shared" si="202"/>
        <v>4094280</v>
      </c>
      <c r="BX157" s="188">
        <f t="shared" si="203"/>
        <v>4066200</v>
      </c>
      <c r="BY157" s="188">
        <f t="shared" si="204"/>
        <v>339896520</v>
      </c>
      <c r="BZ157" s="305">
        <f>IF(COT_PRECALCULOS!$D$24="Precios Iva Incluído",BI157,BD157)</f>
        <v>270</v>
      </c>
      <c r="CA157" s="305">
        <f>IF(COT_PRECALCULOS!$D$24="Precios Iva Incluído",BJ157,BE157)</f>
        <v>270</v>
      </c>
      <c r="CB157" s="305">
        <f>IF(COT_PRECALCULOS!$D$24="Precios Iva Incluído",BK157,BF157)</f>
        <v>270</v>
      </c>
      <c r="CC157" s="305">
        <f>IF(COT_PRECALCULOS!$D$24="Precios Iva Incluído",BL157,BG157)</f>
        <v>270</v>
      </c>
      <c r="CD157" s="305">
        <f>IF(COT_PRECALCULOS!$D$24="Precios Iva Incluído",BM157,BH157)</f>
        <v>270</v>
      </c>
      <c r="CE157" s="305">
        <f>IF(COT_PRECALCULOS!$D$24="Precios Iva Incluído",BT157,BN157)</f>
        <v>88197120</v>
      </c>
      <c r="CF157" s="305">
        <f>IF(COT_PRECALCULOS!$D$24="Precios Iva Incluído",BU157,BO157)</f>
        <v>117675180</v>
      </c>
      <c r="CG157" s="305">
        <f>IF(COT_PRECALCULOS!$D$24="Precios Iva Incluído",BV157,BP157)</f>
        <v>125863740</v>
      </c>
      <c r="CH157" s="305">
        <f>IF(COT_PRECALCULOS!$D$24="Precios Iva Incluído",BW157,BQ157)</f>
        <v>4094280</v>
      </c>
      <c r="CI157" s="305">
        <f>IF(COT_PRECALCULOS!$D$24="Precios Iva Incluído",BX157,BR157)</f>
        <v>4066200</v>
      </c>
    </row>
    <row r="158" spans="1:87">
      <c r="A158" s="182" t="s">
        <v>101</v>
      </c>
      <c r="B158" s="182" t="s">
        <v>98</v>
      </c>
      <c r="C158" s="189" t="str">
        <f t="shared" si="193"/>
        <v>F_E1</v>
      </c>
      <c r="D158" s="189" t="str">
        <f t="shared" si="194"/>
        <v>58_P_</v>
      </c>
      <c r="E158" s="190" t="s">
        <v>1</v>
      </c>
      <c r="F158" s="190" t="s">
        <v>1</v>
      </c>
      <c r="G158" s="189" t="s">
        <v>10</v>
      </c>
      <c r="H158" s="190"/>
      <c r="I158" s="190" t="s">
        <v>65</v>
      </c>
      <c r="J158" s="190">
        <v>58</v>
      </c>
      <c r="K158" s="190" t="s">
        <v>67</v>
      </c>
      <c r="L158" s="189" t="s">
        <v>9</v>
      </c>
      <c r="M158" s="211">
        <v>100</v>
      </c>
      <c r="N158" s="211">
        <v>100</v>
      </c>
      <c r="O158" s="211">
        <v>100</v>
      </c>
      <c r="P158" s="211">
        <v>100</v>
      </c>
      <c r="Q158" s="211">
        <v>100</v>
      </c>
      <c r="R158" s="190"/>
      <c r="S158" s="183">
        <f t="shared" si="233"/>
        <v>1</v>
      </c>
      <c r="T158" s="385">
        <f t="shared" si="239"/>
        <v>1</v>
      </c>
      <c r="U158" s="385">
        <f t="shared" si="234"/>
        <v>1</v>
      </c>
      <c r="V158" s="385">
        <f t="shared" si="234"/>
        <v>1</v>
      </c>
      <c r="W158" s="385">
        <f t="shared" si="234"/>
        <v>1</v>
      </c>
      <c r="X158" s="385">
        <f t="shared" si="234"/>
        <v>1</v>
      </c>
      <c r="Y158" s="184">
        <f t="shared" si="207"/>
        <v>163328</v>
      </c>
      <c r="Z158" s="184">
        <f t="shared" si="235"/>
        <v>217917</v>
      </c>
      <c r="AA158" s="184">
        <f t="shared" si="236"/>
        <v>233081</v>
      </c>
      <c r="AB158" s="184">
        <f t="shared" si="237"/>
        <v>7582</v>
      </c>
      <c r="AC158" s="184">
        <f t="shared" si="238"/>
        <v>7530</v>
      </c>
      <c r="AD158" s="184">
        <f t="shared" si="212"/>
        <v>629438</v>
      </c>
      <c r="AE158" s="183">
        <f t="shared" si="228"/>
        <v>0</v>
      </c>
      <c r="AF158" s="385">
        <f t="shared" si="230"/>
        <v>0</v>
      </c>
      <c r="AG158" s="385">
        <f t="shared" si="230"/>
        <v>0</v>
      </c>
      <c r="AH158" s="385">
        <f t="shared" si="230"/>
        <v>0</v>
      </c>
      <c r="AI158" s="185">
        <f t="shared" si="213"/>
        <v>0</v>
      </c>
      <c r="AJ158" s="185">
        <f t="shared" si="214"/>
        <v>0</v>
      </c>
      <c r="AK158" s="185">
        <f t="shared" si="215"/>
        <v>0</v>
      </c>
      <c r="AL158" s="185">
        <f t="shared" si="216"/>
        <v>0</v>
      </c>
      <c r="AM158" s="173">
        <f t="shared" si="240"/>
        <v>163328</v>
      </c>
      <c r="AN158" s="173">
        <f t="shared" si="244"/>
        <v>217917</v>
      </c>
      <c r="AO158" s="173">
        <f t="shared" si="245"/>
        <v>233081</v>
      </c>
      <c r="AP158" s="173">
        <f t="shared" si="195"/>
        <v>7582</v>
      </c>
      <c r="AQ158" s="173">
        <f t="shared" si="196"/>
        <v>7530</v>
      </c>
      <c r="AR158" s="173">
        <f t="shared" si="197"/>
        <v>629438</v>
      </c>
      <c r="AS158" s="186" t="s">
        <v>1351</v>
      </c>
      <c r="AT158" s="300">
        <f t="shared" si="232"/>
        <v>1.4384999999999999</v>
      </c>
      <c r="AU158" s="300">
        <f t="shared" si="232"/>
        <v>1.4384999999999999</v>
      </c>
      <c r="AV158" s="300">
        <f t="shared" si="232"/>
        <v>1.4384999999999999</v>
      </c>
      <c r="AW158" s="300">
        <f t="shared" si="232"/>
        <v>1.4384999999999999</v>
      </c>
      <c r="AX158" s="300">
        <f t="shared" si="232"/>
        <v>1.4384999999999999</v>
      </c>
      <c r="AY158" s="301">
        <f t="shared" ref="AY158:BC167" si="248">IF(ISERROR(MATCH(CONCATENATE($J158,"_",AY$1),COT_PRE_CODIGO_ALIMENTOS,0)),IF(ISERROR(MATCH(CONCATENATE($J158,"_",AY$2),COT_PRE_CODIGO_ALIMENTOS,0)),IF(ISERROR(MATCH(CONCATENATE($J158,"_",AY$3),COT_PRE_CODIGO_ALIMENTOS,0)),IF(ISERROR(MATCH(CONCATENATE($J158,"_",AY$4),COT_PRE_CODIGO_ALIMENTOS,0)),IF(ISERROR(MATCH(CONCATENATE($J158,"_",AY$5),COT_PRE_CODIGO_ALIMENTOS,0)),IF(ISERROR(MATCH(CONCATENATE($J158,"_",AY$6),COT_PRE_CODIGO_ALIMENTOS,0)),IF(ISERROR(MATCH(CONCATENATE($J158,"_",AY$7),COT_PRE_CODIGO_ALIMENTOS,0)),IF(ISERROR(VLOOKUP($J158,COT_PRE_ALIMENTOS,AY$8,FALSE)),"DATO NO DISPONIBLE",VLOOKUP($J158,COT_PRE_ALIMENTOS,AY$8,FALSE)),VLOOKUP(CONCATENATE($J158,"_",AY$7),COT_PRE_ALIMENTOS,AY$8,FALSE)),VLOOKUP(CONCATENATE($J158,"_",AY$6),COT_PRE_ALIMENTOS,AY$8,FALSE)),VLOOKUP(CONCATENATE($J158,"_",AY$5),COT_PRE_ALIMENTOS,AY$8,FALSE)),VLOOKUP(CONCATENATE($J158,"_",AY$4),COT_PRE_ALIMENTOS,AY$8,FALSE)),VLOOKUP(CONCATENATE($J158,"_",AY$3),COT_PRE_ALIMENTOS,AY$8,FALSE)),VLOOKUP(CONCATENATE($J158,"_",AY$2),COT_PRE_ALIMENTOS,AY$8,FALSE)),VLOOKUP(CONCATENATE($J158,"_",AY$1),COT_PRE_ALIMENTOS,AY$8,FALSE))</f>
        <v>1.4384999999999999</v>
      </c>
      <c r="AZ158" s="301">
        <f t="shared" si="248"/>
        <v>1.4384999999999999</v>
      </c>
      <c r="BA158" s="301">
        <f t="shared" si="248"/>
        <v>1.4384999999999999</v>
      </c>
      <c r="BB158" s="301">
        <f t="shared" si="248"/>
        <v>1.4384999999999999</v>
      </c>
      <c r="BC158" s="301">
        <f t="shared" si="248"/>
        <v>1.4384999999999999</v>
      </c>
      <c r="BD158" s="187">
        <f t="shared" si="241"/>
        <v>154</v>
      </c>
      <c r="BE158" s="187">
        <f t="shared" si="246"/>
        <v>154</v>
      </c>
      <c r="BF158" s="187">
        <f t="shared" si="247"/>
        <v>154</v>
      </c>
      <c r="BG158" s="187">
        <f t="shared" si="218"/>
        <v>154</v>
      </c>
      <c r="BH158" s="187">
        <f t="shared" si="219"/>
        <v>154</v>
      </c>
      <c r="BI158" s="187">
        <f t="shared" si="242"/>
        <v>154</v>
      </c>
      <c r="BJ158" s="187">
        <f t="shared" si="222"/>
        <v>154</v>
      </c>
      <c r="BK158" s="187">
        <f t="shared" si="223"/>
        <v>154</v>
      </c>
      <c r="BL158" s="187">
        <f t="shared" si="220"/>
        <v>154</v>
      </c>
      <c r="BM158" s="187">
        <f t="shared" si="221"/>
        <v>154</v>
      </c>
      <c r="BN158" s="188">
        <f t="shared" si="243"/>
        <v>25152512</v>
      </c>
      <c r="BO158" s="188">
        <f t="shared" si="224"/>
        <v>33559218</v>
      </c>
      <c r="BP158" s="188">
        <f t="shared" si="225"/>
        <v>35894474</v>
      </c>
      <c r="BQ158" s="188">
        <f t="shared" si="226"/>
        <v>1167628</v>
      </c>
      <c r="BR158" s="188">
        <f t="shared" si="227"/>
        <v>1159620</v>
      </c>
      <c r="BS158" s="188">
        <f t="shared" si="198"/>
        <v>96933452</v>
      </c>
      <c r="BT158" s="188">
        <f t="shared" si="199"/>
        <v>25152512</v>
      </c>
      <c r="BU158" s="188">
        <f t="shared" si="200"/>
        <v>33559218</v>
      </c>
      <c r="BV158" s="188">
        <f t="shared" si="201"/>
        <v>35894474</v>
      </c>
      <c r="BW158" s="188">
        <f t="shared" si="202"/>
        <v>1167628</v>
      </c>
      <c r="BX158" s="188">
        <f t="shared" si="203"/>
        <v>1159620</v>
      </c>
      <c r="BY158" s="188">
        <f t="shared" si="204"/>
        <v>96933452</v>
      </c>
      <c r="BZ158" s="305">
        <f>IF(COT_PRECALCULOS!$D$24="Precios Iva Incluído",BI158,BD158)</f>
        <v>154</v>
      </c>
      <c r="CA158" s="305">
        <f>IF(COT_PRECALCULOS!$D$24="Precios Iva Incluído",BJ158,BE158)</f>
        <v>154</v>
      </c>
      <c r="CB158" s="305">
        <f>IF(COT_PRECALCULOS!$D$24="Precios Iva Incluído",BK158,BF158)</f>
        <v>154</v>
      </c>
      <c r="CC158" s="305">
        <f>IF(COT_PRECALCULOS!$D$24="Precios Iva Incluído",BL158,BG158)</f>
        <v>154</v>
      </c>
      <c r="CD158" s="305">
        <f>IF(COT_PRECALCULOS!$D$24="Precios Iva Incluído",BM158,BH158)</f>
        <v>154</v>
      </c>
      <c r="CE158" s="305">
        <f>IF(COT_PRECALCULOS!$D$24="Precios Iva Incluído",BT158,BN158)</f>
        <v>25152512</v>
      </c>
      <c r="CF158" s="305">
        <f>IF(COT_PRECALCULOS!$D$24="Precios Iva Incluído",BU158,BO158)</f>
        <v>33559218</v>
      </c>
      <c r="CG158" s="305">
        <f>IF(COT_PRECALCULOS!$D$24="Precios Iva Incluído",BV158,BP158)</f>
        <v>35894474</v>
      </c>
      <c r="CH158" s="305">
        <f>IF(COT_PRECALCULOS!$D$24="Precios Iva Incluído",BW158,BQ158)</f>
        <v>1167628</v>
      </c>
      <c r="CI158" s="305">
        <f>IF(COT_PRECALCULOS!$D$24="Precios Iva Incluído",BX158,BR158)</f>
        <v>1159620</v>
      </c>
    </row>
    <row r="159" spans="1:87" s="237" customFormat="1">
      <c r="A159" s="182" t="s">
        <v>101</v>
      </c>
      <c r="B159" s="182" t="s">
        <v>98</v>
      </c>
      <c r="C159" s="189" t="str">
        <f t="shared" si="193"/>
        <v>F_E1</v>
      </c>
      <c r="D159" s="189" t="str">
        <f t="shared" si="194"/>
        <v>46_P_</v>
      </c>
      <c r="E159" s="211" t="s">
        <v>1</v>
      </c>
      <c r="F159" s="211" t="s">
        <v>1</v>
      </c>
      <c r="G159" s="189" t="s">
        <v>10</v>
      </c>
      <c r="H159" s="211"/>
      <c r="I159" s="211" t="s">
        <v>63</v>
      </c>
      <c r="J159" s="211">
        <v>46</v>
      </c>
      <c r="K159" s="211" t="s">
        <v>64</v>
      </c>
      <c r="L159" s="189" t="s">
        <v>9</v>
      </c>
      <c r="M159" s="211">
        <v>100</v>
      </c>
      <c r="N159" s="211">
        <v>100</v>
      </c>
      <c r="O159" s="211">
        <v>100</v>
      </c>
      <c r="P159" s="211">
        <v>100</v>
      </c>
      <c r="Q159" s="211">
        <v>100</v>
      </c>
      <c r="R159" s="211"/>
      <c r="S159" s="183">
        <f t="shared" si="233"/>
        <v>1</v>
      </c>
      <c r="T159" s="385">
        <f t="shared" si="239"/>
        <v>1</v>
      </c>
      <c r="U159" s="385">
        <f t="shared" si="234"/>
        <v>1</v>
      </c>
      <c r="V159" s="385">
        <f t="shared" si="234"/>
        <v>1</v>
      </c>
      <c r="W159" s="385">
        <f t="shared" si="234"/>
        <v>1</v>
      </c>
      <c r="X159" s="385">
        <f t="shared" si="234"/>
        <v>1</v>
      </c>
      <c r="Y159" s="184">
        <f t="shared" si="207"/>
        <v>163328</v>
      </c>
      <c r="Z159" s="184">
        <f t="shared" si="235"/>
        <v>217917</v>
      </c>
      <c r="AA159" s="184">
        <f t="shared" si="236"/>
        <v>233081</v>
      </c>
      <c r="AB159" s="184">
        <f t="shared" si="237"/>
        <v>7582</v>
      </c>
      <c r="AC159" s="184">
        <f t="shared" si="238"/>
        <v>7530</v>
      </c>
      <c r="AD159" s="184">
        <f t="shared" si="212"/>
        <v>629438</v>
      </c>
      <c r="AE159" s="183">
        <f t="shared" si="228"/>
        <v>0</v>
      </c>
      <c r="AF159" s="385">
        <f t="shared" si="230"/>
        <v>0</v>
      </c>
      <c r="AG159" s="385">
        <f t="shared" si="230"/>
        <v>0</v>
      </c>
      <c r="AH159" s="385">
        <f t="shared" si="230"/>
        <v>0</v>
      </c>
      <c r="AI159" s="185">
        <f t="shared" si="213"/>
        <v>0</v>
      </c>
      <c r="AJ159" s="185">
        <f t="shared" si="214"/>
        <v>0</v>
      </c>
      <c r="AK159" s="185">
        <f t="shared" si="215"/>
        <v>0</v>
      </c>
      <c r="AL159" s="185">
        <f t="shared" si="216"/>
        <v>0</v>
      </c>
      <c r="AM159" s="173">
        <f t="shared" si="240"/>
        <v>163328</v>
      </c>
      <c r="AN159" s="173">
        <f t="shared" si="244"/>
        <v>217917</v>
      </c>
      <c r="AO159" s="173">
        <f t="shared" si="245"/>
        <v>233081</v>
      </c>
      <c r="AP159" s="173">
        <f t="shared" si="195"/>
        <v>7582</v>
      </c>
      <c r="AQ159" s="173">
        <f t="shared" si="196"/>
        <v>7530</v>
      </c>
      <c r="AR159" s="173">
        <f t="shared" si="197"/>
        <v>629438</v>
      </c>
      <c r="AS159" s="186" t="s">
        <v>1351</v>
      </c>
      <c r="AT159" s="300">
        <f t="shared" si="232"/>
        <v>3.7214999999999998</v>
      </c>
      <c r="AU159" s="300">
        <f t="shared" si="232"/>
        <v>3.7214999999999998</v>
      </c>
      <c r="AV159" s="300">
        <f t="shared" si="232"/>
        <v>3.7214999999999998</v>
      </c>
      <c r="AW159" s="300">
        <f t="shared" si="232"/>
        <v>3.7214999999999998</v>
      </c>
      <c r="AX159" s="300">
        <f t="shared" si="232"/>
        <v>3.7214999999999998</v>
      </c>
      <c r="AY159" s="301">
        <f t="shared" si="248"/>
        <v>3.7214999999999998</v>
      </c>
      <c r="AZ159" s="301">
        <f t="shared" si="248"/>
        <v>3.7214999999999998</v>
      </c>
      <c r="BA159" s="301">
        <f t="shared" si="248"/>
        <v>3.7214999999999998</v>
      </c>
      <c r="BB159" s="301">
        <f t="shared" si="248"/>
        <v>3.7214999999999998</v>
      </c>
      <c r="BC159" s="301">
        <f t="shared" si="248"/>
        <v>3.7214999999999998</v>
      </c>
      <c r="BD159" s="187">
        <f t="shared" si="241"/>
        <v>398</v>
      </c>
      <c r="BE159" s="187">
        <f t="shared" si="246"/>
        <v>398</v>
      </c>
      <c r="BF159" s="187">
        <f t="shared" si="247"/>
        <v>398</v>
      </c>
      <c r="BG159" s="187">
        <f t="shared" si="218"/>
        <v>398</v>
      </c>
      <c r="BH159" s="187">
        <f t="shared" si="219"/>
        <v>398</v>
      </c>
      <c r="BI159" s="187">
        <f t="shared" si="242"/>
        <v>398</v>
      </c>
      <c r="BJ159" s="187">
        <f t="shared" si="222"/>
        <v>398</v>
      </c>
      <c r="BK159" s="187">
        <f t="shared" si="223"/>
        <v>398</v>
      </c>
      <c r="BL159" s="187">
        <f t="shared" si="220"/>
        <v>398</v>
      </c>
      <c r="BM159" s="187">
        <f t="shared" si="221"/>
        <v>398</v>
      </c>
      <c r="BN159" s="188">
        <f t="shared" si="243"/>
        <v>65004544</v>
      </c>
      <c r="BO159" s="188">
        <f t="shared" si="224"/>
        <v>86730966</v>
      </c>
      <c r="BP159" s="188">
        <f t="shared" si="225"/>
        <v>92766238</v>
      </c>
      <c r="BQ159" s="188">
        <f t="shared" si="226"/>
        <v>3017636</v>
      </c>
      <c r="BR159" s="188">
        <f t="shared" si="227"/>
        <v>2996940</v>
      </c>
      <c r="BS159" s="188">
        <f t="shared" si="198"/>
        <v>250516324</v>
      </c>
      <c r="BT159" s="188">
        <f t="shared" si="199"/>
        <v>65004544</v>
      </c>
      <c r="BU159" s="188">
        <f t="shared" si="200"/>
        <v>86730966</v>
      </c>
      <c r="BV159" s="188">
        <f t="shared" si="201"/>
        <v>92766238</v>
      </c>
      <c r="BW159" s="188">
        <f t="shared" si="202"/>
        <v>3017636</v>
      </c>
      <c r="BX159" s="188">
        <f t="shared" si="203"/>
        <v>2996940</v>
      </c>
      <c r="BY159" s="188">
        <f t="shared" si="204"/>
        <v>250516324</v>
      </c>
      <c r="BZ159" s="305">
        <f>IF(COT_PRECALCULOS!$D$24="Precios Iva Incluído",BI159,BD159)</f>
        <v>398</v>
      </c>
      <c r="CA159" s="305">
        <f>IF(COT_PRECALCULOS!$D$24="Precios Iva Incluído",BJ159,BE159)</f>
        <v>398</v>
      </c>
      <c r="CB159" s="305">
        <f>IF(COT_PRECALCULOS!$D$24="Precios Iva Incluído",BK159,BF159)</f>
        <v>398</v>
      </c>
      <c r="CC159" s="305">
        <f>IF(COT_PRECALCULOS!$D$24="Precios Iva Incluído",BL159,BG159)</f>
        <v>398</v>
      </c>
      <c r="CD159" s="305">
        <f>IF(COT_PRECALCULOS!$D$24="Precios Iva Incluído",BM159,BH159)</f>
        <v>398</v>
      </c>
      <c r="CE159" s="305">
        <f>IF(COT_PRECALCULOS!$D$24="Precios Iva Incluído",BT159,BN159)</f>
        <v>65004544</v>
      </c>
      <c r="CF159" s="305">
        <f>IF(COT_PRECALCULOS!$D$24="Precios Iva Incluído",BU159,BO159)</f>
        <v>86730966</v>
      </c>
      <c r="CG159" s="305">
        <f>IF(COT_PRECALCULOS!$D$24="Precios Iva Incluído",BV159,BP159)</f>
        <v>92766238</v>
      </c>
      <c r="CH159" s="305">
        <f>IF(COT_PRECALCULOS!$D$24="Precios Iva Incluído",BW159,BQ159)</f>
        <v>3017636</v>
      </c>
      <c r="CI159" s="305">
        <f>IF(COT_PRECALCULOS!$D$24="Precios Iva Incluído",BX159,BR159)</f>
        <v>2996940</v>
      </c>
    </row>
    <row r="160" spans="1:87">
      <c r="A160" s="182" t="s">
        <v>101</v>
      </c>
      <c r="B160" s="182" t="s">
        <v>98</v>
      </c>
      <c r="C160" s="189" t="str">
        <f t="shared" si="193"/>
        <v>F_E2</v>
      </c>
      <c r="D160" s="189" t="str">
        <f t="shared" si="194"/>
        <v>69_P_</v>
      </c>
      <c r="E160" s="190" t="s">
        <v>1</v>
      </c>
      <c r="F160" s="190" t="s">
        <v>1</v>
      </c>
      <c r="G160" s="189" t="s">
        <v>11</v>
      </c>
      <c r="H160" s="190" t="s">
        <v>13</v>
      </c>
      <c r="I160" s="190" t="s">
        <v>68</v>
      </c>
      <c r="J160" s="190">
        <v>69</v>
      </c>
      <c r="K160" s="190" t="s">
        <v>70</v>
      </c>
      <c r="L160" s="189" t="s">
        <v>9</v>
      </c>
      <c r="M160" s="211">
        <v>100</v>
      </c>
      <c r="N160" s="211">
        <v>100</v>
      </c>
      <c r="O160" s="211">
        <v>100</v>
      </c>
      <c r="P160" s="211">
        <v>100</v>
      </c>
      <c r="Q160" s="211">
        <v>100</v>
      </c>
      <c r="R160" s="190"/>
      <c r="S160" s="183">
        <f t="shared" si="233"/>
        <v>2</v>
      </c>
      <c r="T160" s="385">
        <f t="shared" si="239"/>
        <v>2</v>
      </c>
      <c r="U160" s="385">
        <f t="shared" si="234"/>
        <v>2</v>
      </c>
      <c r="V160" s="385">
        <f t="shared" si="234"/>
        <v>2</v>
      </c>
      <c r="W160" s="385">
        <f t="shared" si="234"/>
        <v>2</v>
      </c>
      <c r="X160" s="385">
        <f t="shared" si="234"/>
        <v>2</v>
      </c>
      <c r="Y160" s="184">
        <f t="shared" si="207"/>
        <v>163328</v>
      </c>
      <c r="Z160" s="184">
        <f t="shared" si="235"/>
        <v>217917</v>
      </c>
      <c r="AA160" s="184">
        <f t="shared" si="236"/>
        <v>233081</v>
      </c>
      <c r="AB160" s="184">
        <f t="shared" si="237"/>
        <v>7582</v>
      </c>
      <c r="AC160" s="184">
        <f t="shared" si="238"/>
        <v>7530</v>
      </c>
      <c r="AD160" s="184">
        <f t="shared" si="212"/>
        <v>629438</v>
      </c>
      <c r="AE160" s="183">
        <f t="shared" si="228"/>
        <v>0</v>
      </c>
      <c r="AF160" s="385">
        <f t="shared" si="230"/>
        <v>0</v>
      </c>
      <c r="AG160" s="385">
        <f t="shared" si="230"/>
        <v>0</v>
      </c>
      <c r="AH160" s="385">
        <f t="shared" si="230"/>
        <v>0</v>
      </c>
      <c r="AI160" s="185">
        <f t="shared" si="213"/>
        <v>0</v>
      </c>
      <c r="AJ160" s="185">
        <f t="shared" si="214"/>
        <v>0</v>
      </c>
      <c r="AK160" s="185">
        <f t="shared" si="215"/>
        <v>0</v>
      </c>
      <c r="AL160" s="185">
        <f t="shared" si="216"/>
        <v>0</v>
      </c>
      <c r="AM160" s="173">
        <f t="shared" si="240"/>
        <v>326656</v>
      </c>
      <c r="AN160" s="173">
        <f t="shared" si="244"/>
        <v>435834</v>
      </c>
      <c r="AO160" s="173">
        <f t="shared" si="245"/>
        <v>466162</v>
      </c>
      <c r="AP160" s="173">
        <f t="shared" si="195"/>
        <v>15164</v>
      </c>
      <c r="AQ160" s="173">
        <f t="shared" si="196"/>
        <v>15060</v>
      </c>
      <c r="AR160" s="173">
        <f t="shared" si="197"/>
        <v>1258876</v>
      </c>
      <c r="AS160" s="186" t="s">
        <v>1352</v>
      </c>
      <c r="AT160" s="300">
        <f t="shared" si="232"/>
        <v>2.8519999999999999</v>
      </c>
      <c r="AU160" s="300">
        <f t="shared" si="232"/>
        <v>2.8519999999999999</v>
      </c>
      <c r="AV160" s="300">
        <f t="shared" si="232"/>
        <v>2.8519999999999999</v>
      </c>
      <c r="AW160" s="300">
        <f t="shared" si="232"/>
        <v>2.8519999999999999</v>
      </c>
      <c r="AX160" s="300">
        <f t="shared" si="232"/>
        <v>2.8519999999999999</v>
      </c>
      <c r="AY160" s="301">
        <f t="shared" si="248"/>
        <v>2.8519999999999999</v>
      </c>
      <c r="AZ160" s="301">
        <f t="shared" si="248"/>
        <v>2.8519999999999999</v>
      </c>
      <c r="BA160" s="301">
        <f t="shared" si="248"/>
        <v>2.8519999999999999</v>
      </c>
      <c r="BB160" s="301">
        <f t="shared" si="248"/>
        <v>2.8519999999999999</v>
      </c>
      <c r="BC160" s="301">
        <f t="shared" si="248"/>
        <v>2.8519999999999999</v>
      </c>
      <c r="BD160" s="187">
        <f t="shared" si="241"/>
        <v>305</v>
      </c>
      <c r="BE160" s="187">
        <f t="shared" si="246"/>
        <v>305</v>
      </c>
      <c r="BF160" s="187">
        <f t="shared" si="247"/>
        <v>305</v>
      </c>
      <c r="BG160" s="187">
        <f t="shared" si="218"/>
        <v>305</v>
      </c>
      <c r="BH160" s="187">
        <f t="shared" si="219"/>
        <v>305</v>
      </c>
      <c r="BI160" s="187">
        <f t="shared" si="242"/>
        <v>305</v>
      </c>
      <c r="BJ160" s="187">
        <f t="shared" si="222"/>
        <v>305</v>
      </c>
      <c r="BK160" s="187">
        <f t="shared" si="223"/>
        <v>305</v>
      </c>
      <c r="BL160" s="187">
        <f t="shared" si="220"/>
        <v>305</v>
      </c>
      <c r="BM160" s="187">
        <f t="shared" si="221"/>
        <v>305</v>
      </c>
      <c r="BN160" s="188">
        <f t="shared" si="243"/>
        <v>99630080</v>
      </c>
      <c r="BO160" s="188">
        <f t="shared" si="224"/>
        <v>132929370</v>
      </c>
      <c r="BP160" s="188">
        <f t="shared" si="225"/>
        <v>142179410</v>
      </c>
      <c r="BQ160" s="188">
        <f t="shared" si="226"/>
        <v>4625020</v>
      </c>
      <c r="BR160" s="188">
        <f t="shared" si="227"/>
        <v>4593300</v>
      </c>
      <c r="BS160" s="188">
        <f t="shared" si="198"/>
        <v>383957180</v>
      </c>
      <c r="BT160" s="188">
        <f t="shared" si="199"/>
        <v>99630080</v>
      </c>
      <c r="BU160" s="188">
        <f t="shared" si="200"/>
        <v>132929370</v>
      </c>
      <c r="BV160" s="188">
        <f t="shared" si="201"/>
        <v>142179410</v>
      </c>
      <c r="BW160" s="188">
        <f t="shared" si="202"/>
        <v>4625020</v>
      </c>
      <c r="BX160" s="188">
        <f t="shared" si="203"/>
        <v>4593300</v>
      </c>
      <c r="BY160" s="188">
        <f t="shared" si="204"/>
        <v>383957180</v>
      </c>
      <c r="BZ160" s="305">
        <f>IF(COT_PRECALCULOS!$D$24="Precios Iva Incluído",BI160,BD160)</f>
        <v>305</v>
      </c>
      <c r="CA160" s="305">
        <f>IF(COT_PRECALCULOS!$D$24="Precios Iva Incluído",BJ160,BE160)</f>
        <v>305</v>
      </c>
      <c r="CB160" s="305">
        <f>IF(COT_PRECALCULOS!$D$24="Precios Iva Incluído",BK160,BF160)</f>
        <v>305</v>
      </c>
      <c r="CC160" s="305">
        <f>IF(COT_PRECALCULOS!$D$24="Precios Iva Incluído",BL160,BG160)</f>
        <v>305</v>
      </c>
      <c r="CD160" s="305">
        <f>IF(COT_PRECALCULOS!$D$24="Precios Iva Incluído",BM160,BH160)</f>
        <v>305</v>
      </c>
      <c r="CE160" s="305">
        <f>IF(COT_PRECALCULOS!$D$24="Precios Iva Incluído",BT160,BN160)</f>
        <v>99630080</v>
      </c>
      <c r="CF160" s="305">
        <f>IF(COT_PRECALCULOS!$D$24="Precios Iva Incluído",BU160,BO160)</f>
        <v>132929370</v>
      </c>
      <c r="CG160" s="305">
        <f>IF(COT_PRECALCULOS!$D$24="Precios Iva Incluído",BV160,BP160)</f>
        <v>142179410</v>
      </c>
      <c r="CH160" s="305">
        <f>IF(COT_PRECALCULOS!$D$24="Precios Iva Incluído",BW160,BQ160)</f>
        <v>4625020</v>
      </c>
      <c r="CI160" s="305">
        <f>IF(COT_PRECALCULOS!$D$24="Precios Iva Incluído",BX160,BR160)</f>
        <v>4593300</v>
      </c>
    </row>
    <row r="161" spans="1:87">
      <c r="A161" s="182" t="s">
        <v>101</v>
      </c>
      <c r="B161" s="182" t="s">
        <v>98</v>
      </c>
      <c r="C161" s="189" t="str">
        <f t="shared" si="193"/>
        <v>F_E2</v>
      </c>
      <c r="D161" s="189" t="str">
        <f t="shared" si="194"/>
        <v>33_P_</v>
      </c>
      <c r="E161" s="190" t="s">
        <v>1</v>
      </c>
      <c r="F161" s="190" t="s">
        <v>1</v>
      </c>
      <c r="G161" s="189" t="s">
        <v>11</v>
      </c>
      <c r="H161" s="190"/>
      <c r="I161" s="190" t="s">
        <v>58</v>
      </c>
      <c r="J161" s="190">
        <v>33</v>
      </c>
      <c r="K161" s="190" t="s">
        <v>59</v>
      </c>
      <c r="L161" s="189" t="s">
        <v>48</v>
      </c>
      <c r="M161" s="310">
        <v>90</v>
      </c>
      <c r="N161" s="310">
        <v>90</v>
      </c>
      <c r="O161" s="310">
        <v>90</v>
      </c>
      <c r="P161" s="310">
        <v>90</v>
      </c>
      <c r="Q161" s="310">
        <v>90</v>
      </c>
      <c r="R161" s="190"/>
      <c r="S161" s="183">
        <f t="shared" si="233"/>
        <v>1</v>
      </c>
      <c r="T161" s="385">
        <f t="shared" si="239"/>
        <v>1</v>
      </c>
      <c r="U161" s="385">
        <f t="shared" si="234"/>
        <v>1</v>
      </c>
      <c r="V161" s="385">
        <f t="shared" si="234"/>
        <v>1</v>
      </c>
      <c r="W161" s="385">
        <f t="shared" si="234"/>
        <v>1</v>
      </c>
      <c r="X161" s="385">
        <f t="shared" si="234"/>
        <v>1</v>
      </c>
      <c r="Y161" s="184">
        <f t="shared" si="207"/>
        <v>163328</v>
      </c>
      <c r="Z161" s="184">
        <f t="shared" si="235"/>
        <v>217917</v>
      </c>
      <c r="AA161" s="184">
        <f t="shared" si="236"/>
        <v>233081</v>
      </c>
      <c r="AB161" s="184">
        <f t="shared" si="237"/>
        <v>7582</v>
      </c>
      <c r="AC161" s="184">
        <f t="shared" si="238"/>
        <v>7530</v>
      </c>
      <c r="AD161" s="184">
        <f t="shared" si="212"/>
        <v>629438</v>
      </c>
      <c r="AE161" s="183">
        <f t="shared" si="228"/>
        <v>0</v>
      </c>
      <c r="AF161" s="385">
        <f t="shared" si="230"/>
        <v>0</v>
      </c>
      <c r="AG161" s="385">
        <f t="shared" si="230"/>
        <v>0</v>
      </c>
      <c r="AH161" s="385">
        <f t="shared" si="230"/>
        <v>0</v>
      </c>
      <c r="AI161" s="185">
        <f t="shared" si="213"/>
        <v>0</v>
      </c>
      <c r="AJ161" s="185">
        <f t="shared" si="214"/>
        <v>0</v>
      </c>
      <c r="AK161" s="185">
        <f t="shared" si="215"/>
        <v>0</v>
      </c>
      <c r="AL161" s="185">
        <f t="shared" si="216"/>
        <v>0</v>
      </c>
      <c r="AM161" s="173">
        <f t="shared" si="240"/>
        <v>163328</v>
      </c>
      <c r="AN161" s="173">
        <f t="shared" si="244"/>
        <v>217917</v>
      </c>
      <c r="AO161" s="173">
        <f t="shared" si="245"/>
        <v>233081</v>
      </c>
      <c r="AP161" s="173">
        <f t="shared" si="195"/>
        <v>7582</v>
      </c>
      <c r="AQ161" s="173">
        <f t="shared" si="196"/>
        <v>7530</v>
      </c>
      <c r="AR161" s="173">
        <f t="shared" si="197"/>
        <v>629438</v>
      </c>
      <c r="AS161" s="186" t="s">
        <v>1352</v>
      </c>
      <c r="AT161" s="300">
        <f t="shared" ref="AT161:AX170" si="249">IF(ISERROR(IF(ISERROR(MATCH(CONCATENATE($J161,"_",AT$1),COT_PRE_CODIGO_ALIMENTOS,0)),IF(ISERROR(MATCH(CONCATENATE($J161,"_",AT$2),COT_PRE_CODIGO_ALIMENTOS,0)),IF(ISERROR(MATCH(CONCATENATE($J161,"_",AT$3),COT_PRE_CODIGO_ALIMENTOS,0)),IF(ISERROR(MATCH(CONCATENATE($J161,"_",AT$4),COT_PRE_CODIGO_ALIMENTOS,0)),IF(ISERROR(MATCH(CONCATENATE($J161,"_",AT$5),COT_PRE_CODIGO_ALIMENTOS,0)),IF(ISERROR(MATCH(CONCATENATE($J161,"_",AT$6),COT_PRE_CODIGO_ALIMENTOS,0)),IF(ISERROR(MATCH(CONCATENATE($J161,"_",AT$7),COT_PRE_CODIGO_ALIMENTOS,0)),IF(ISERROR(VLOOKUP($J161,COT_PRE_ALIMENTOS,AT$8,FALSE)),"DATO NO DISPONIBLE",VLOOKUP($J161,COT_PRE_ALIMENTOS,AT$8,FALSE)),VLOOKUP(CONCATENATE($J161,"_",AT$7),COT_PRE_ALIMENTOS,AT$8,FALSE)),VLOOKUP(CONCATENATE($J161,"_",AT$6),COT_PRE_ALIMENTOS,AT$8,FALSE)),VLOOKUP(CONCATENATE($J161,"_",AT$5),COT_PRE_ALIMENTOS,AT$8,FALSE)),VLOOKUP(CONCATENATE($J161,"_",AT$4),COT_PRE_ALIMENTOS,AT$8,FALSE)),VLOOKUP(CONCATENATE($J161,"_",AT$3),COT_PRE_ALIMENTOS,AT$8,FALSE)),VLOOKUP(CONCATENATE($J161,"_",AT$2),COT_PRE_ALIMENTOS,AT$8,FALSE)),VLOOKUP(CONCATENATE($J161,"_",AT$1),COT_PRE_ALIMENTOS,AT$8,FALSE))),"DATO NO DISPONIBLE",IF(ISERROR(MATCH(CONCATENATE($J161,"_",AT$1),COT_PRE_CODIGO_ALIMENTOS,0)),IF(ISERROR(MATCH(CONCATENATE($J161,"_",AT$2),COT_PRE_CODIGO_ALIMENTOS,0)),IF(ISERROR(MATCH(CONCATENATE($J161,"_",AT$3),COT_PRE_CODIGO_ALIMENTOS,0)),IF(ISERROR(MATCH(CONCATENATE($J161,"_",AT$4),COT_PRE_CODIGO_ALIMENTOS,0)),IF(ISERROR(MATCH(CONCATENATE($J161,"_",AT$5),COT_PRE_CODIGO_ALIMENTOS,0)),IF(ISERROR(MATCH(CONCATENATE($J161,"_",AT$6),COT_PRE_CODIGO_ALIMENTOS,0)),IF(ISERROR(MATCH(CONCATENATE($J161,"_",AT$7),COT_PRE_CODIGO_ALIMENTOS,0)),IF(ISERROR(VLOOKUP($J161,COT_PRE_ALIMENTOS,AT$8,FALSE)),"DATO NO DISPONIBLE",VLOOKUP($J161,COT_PRE_ALIMENTOS,AT$8,FALSE)),VLOOKUP(CONCATENATE($J161,"_",AT$7),COT_PRE_ALIMENTOS,AT$8,FALSE)),VLOOKUP(CONCATENATE($J161,"_",AT$6),COT_PRE_ALIMENTOS,AT$8,FALSE)),VLOOKUP(CONCATENATE($J161,"_",AT$5),COT_PRE_ALIMENTOS,AT$8,FALSE)),VLOOKUP(CONCATENATE($J161,"_",AT$4),COT_PRE_ALIMENTOS,AT$8,FALSE)),VLOOKUP(CONCATENATE($J161,"_",AT$3),COT_PRE_ALIMENTOS,AT$8,FALSE)),VLOOKUP(CONCATENATE($J161,"_",AT$2),COT_PRE_ALIMENTOS,AT$8,FALSE)),VLOOKUP(CONCATENATE($J161,"_",AT$1),COT_PRE_ALIMENTOS,AT$8,FALSE)))</f>
        <v>2.8014999999999999</v>
      </c>
      <c r="AU161" s="300">
        <f t="shared" si="249"/>
        <v>2.8014999999999999</v>
      </c>
      <c r="AV161" s="300">
        <f t="shared" si="249"/>
        <v>2.8014999999999999</v>
      </c>
      <c r="AW161" s="300">
        <f t="shared" si="249"/>
        <v>2.8014999999999999</v>
      </c>
      <c r="AX161" s="300">
        <f t="shared" si="249"/>
        <v>2.8014999999999999</v>
      </c>
      <c r="AY161" s="301">
        <f t="shared" si="248"/>
        <v>2.8014999999999999</v>
      </c>
      <c r="AZ161" s="301">
        <f t="shared" si="248"/>
        <v>2.8014999999999999</v>
      </c>
      <c r="BA161" s="301">
        <f t="shared" si="248"/>
        <v>2.8014999999999999</v>
      </c>
      <c r="BB161" s="301">
        <f t="shared" si="248"/>
        <v>2.8014999999999999</v>
      </c>
      <c r="BC161" s="301">
        <f t="shared" si="248"/>
        <v>2.8014999999999999</v>
      </c>
      <c r="BD161" s="187">
        <f t="shared" si="241"/>
        <v>270</v>
      </c>
      <c r="BE161" s="187">
        <f t="shared" si="246"/>
        <v>270</v>
      </c>
      <c r="BF161" s="187">
        <f t="shared" si="247"/>
        <v>270</v>
      </c>
      <c r="BG161" s="187">
        <f t="shared" si="218"/>
        <v>270</v>
      </c>
      <c r="BH161" s="187">
        <f t="shared" si="219"/>
        <v>270</v>
      </c>
      <c r="BI161" s="187">
        <f t="shared" si="242"/>
        <v>270</v>
      </c>
      <c r="BJ161" s="187">
        <f t="shared" si="222"/>
        <v>270</v>
      </c>
      <c r="BK161" s="187">
        <f t="shared" si="223"/>
        <v>270</v>
      </c>
      <c r="BL161" s="187">
        <f t="shared" si="220"/>
        <v>270</v>
      </c>
      <c r="BM161" s="187">
        <f t="shared" si="221"/>
        <v>270</v>
      </c>
      <c r="BN161" s="188">
        <f t="shared" si="243"/>
        <v>44098560</v>
      </c>
      <c r="BO161" s="188">
        <f t="shared" si="224"/>
        <v>58837590</v>
      </c>
      <c r="BP161" s="188">
        <f t="shared" si="225"/>
        <v>62931870</v>
      </c>
      <c r="BQ161" s="188">
        <f t="shared" si="226"/>
        <v>2047140</v>
      </c>
      <c r="BR161" s="188">
        <f t="shared" si="227"/>
        <v>2033100</v>
      </c>
      <c r="BS161" s="188">
        <f t="shared" si="198"/>
        <v>169948260</v>
      </c>
      <c r="BT161" s="188">
        <f t="shared" si="199"/>
        <v>44098560</v>
      </c>
      <c r="BU161" s="188">
        <f t="shared" si="200"/>
        <v>58837590</v>
      </c>
      <c r="BV161" s="188">
        <f t="shared" si="201"/>
        <v>62931870</v>
      </c>
      <c r="BW161" s="188">
        <f t="shared" si="202"/>
        <v>2047140</v>
      </c>
      <c r="BX161" s="188">
        <f t="shared" si="203"/>
        <v>2033100</v>
      </c>
      <c r="BY161" s="188">
        <f t="shared" si="204"/>
        <v>169948260</v>
      </c>
      <c r="BZ161" s="305">
        <f>IF(COT_PRECALCULOS!$D$24="Precios Iva Incluído",BI161,BD161)</f>
        <v>270</v>
      </c>
      <c r="CA161" s="305">
        <f>IF(COT_PRECALCULOS!$D$24="Precios Iva Incluído",BJ161,BE161)</f>
        <v>270</v>
      </c>
      <c r="CB161" s="305">
        <f>IF(COT_PRECALCULOS!$D$24="Precios Iva Incluído",BK161,BF161)</f>
        <v>270</v>
      </c>
      <c r="CC161" s="305">
        <f>IF(COT_PRECALCULOS!$D$24="Precios Iva Incluído",BL161,BG161)</f>
        <v>270</v>
      </c>
      <c r="CD161" s="305">
        <f>IF(COT_PRECALCULOS!$D$24="Precios Iva Incluído",BM161,BH161)</f>
        <v>270</v>
      </c>
      <c r="CE161" s="305">
        <f>IF(COT_PRECALCULOS!$D$24="Precios Iva Incluído",BT161,BN161)</f>
        <v>44098560</v>
      </c>
      <c r="CF161" s="305">
        <f>IF(COT_PRECALCULOS!$D$24="Precios Iva Incluído",BU161,BO161)</f>
        <v>58837590</v>
      </c>
      <c r="CG161" s="305">
        <f>IF(COT_PRECALCULOS!$D$24="Precios Iva Incluído",BV161,BP161)</f>
        <v>62931870</v>
      </c>
      <c r="CH161" s="305">
        <f>IF(COT_PRECALCULOS!$D$24="Precios Iva Incluído",BW161,BQ161)</f>
        <v>2047140</v>
      </c>
      <c r="CI161" s="305">
        <f>IF(COT_PRECALCULOS!$D$24="Precios Iva Incluído",BX161,BR161)</f>
        <v>2033100</v>
      </c>
    </row>
    <row r="162" spans="1:87">
      <c r="A162" s="182" t="s">
        <v>101</v>
      </c>
      <c r="B162" s="182" t="s">
        <v>98</v>
      </c>
      <c r="C162" s="189" t="str">
        <f t="shared" si="193"/>
        <v>F_E2</v>
      </c>
      <c r="D162" s="189" t="str">
        <f t="shared" si="194"/>
        <v>58_P_</v>
      </c>
      <c r="E162" s="211" t="s">
        <v>1</v>
      </c>
      <c r="F162" s="211" t="s">
        <v>1</v>
      </c>
      <c r="G162" s="189" t="s">
        <v>11</v>
      </c>
      <c r="H162" s="211"/>
      <c r="I162" s="211" t="s">
        <v>65</v>
      </c>
      <c r="J162" s="211">
        <v>58</v>
      </c>
      <c r="K162" s="211" t="s">
        <v>67</v>
      </c>
      <c r="L162" s="189" t="s">
        <v>9</v>
      </c>
      <c r="M162" s="211">
        <v>100</v>
      </c>
      <c r="N162" s="211">
        <v>100</v>
      </c>
      <c r="O162" s="211">
        <v>100</v>
      </c>
      <c r="P162" s="211">
        <v>100</v>
      </c>
      <c r="Q162" s="211">
        <v>100</v>
      </c>
      <c r="R162" s="211"/>
      <c r="S162" s="183">
        <f t="shared" si="233"/>
        <v>1</v>
      </c>
      <c r="T162" s="385">
        <f t="shared" si="239"/>
        <v>1</v>
      </c>
      <c r="U162" s="385">
        <f t="shared" si="234"/>
        <v>1</v>
      </c>
      <c r="V162" s="385">
        <f t="shared" si="234"/>
        <v>1</v>
      </c>
      <c r="W162" s="385">
        <f t="shared" si="234"/>
        <v>1</v>
      </c>
      <c r="X162" s="385">
        <f t="shared" si="234"/>
        <v>1</v>
      </c>
      <c r="Y162" s="184">
        <f t="shared" si="207"/>
        <v>163328</v>
      </c>
      <c r="Z162" s="184">
        <f t="shared" si="235"/>
        <v>217917</v>
      </c>
      <c r="AA162" s="184">
        <f t="shared" si="236"/>
        <v>233081</v>
      </c>
      <c r="AB162" s="184">
        <f t="shared" si="237"/>
        <v>7582</v>
      </c>
      <c r="AC162" s="184">
        <f t="shared" si="238"/>
        <v>7530</v>
      </c>
      <c r="AD162" s="184">
        <f t="shared" si="212"/>
        <v>629438</v>
      </c>
      <c r="AE162" s="183">
        <f t="shared" si="228"/>
        <v>0</v>
      </c>
      <c r="AF162" s="385">
        <f t="shared" si="230"/>
        <v>0</v>
      </c>
      <c r="AG162" s="385">
        <f t="shared" si="230"/>
        <v>0</v>
      </c>
      <c r="AH162" s="385">
        <f t="shared" si="230"/>
        <v>0</v>
      </c>
      <c r="AI162" s="185">
        <f t="shared" si="213"/>
        <v>0</v>
      </c>
      <c r="AJ162" s="185">
        <f t="shared" si="214"/>
        <v>0</v>
      </c>
      <c r="AK162" s="185">
        <f t="shared" si="215"/>
        <v>0</v>
      </c>
      <c r="AL162" s="185">
        <f t="shared" si="216"/>
        <v>0</v>
      </c>
      <c r="AM162" s="173">
        <f t="shared" si="240"/>
        <v>163328</v>
      </c>
      <c r="AN162" s="173">
        <f t="shared" si="244"/>
        <v>217917</v>
      </c>
      <c r="AO162" s="173">
        <f t="shared" si="245"/>
        <v>233081</v>
      </c>
      <c r="AP162" s="173">
        <f t="shared" si="195"/>
        <v>7582</v>
      </c>
      <c r="AQ162" s="173">
        <f t="shared" si="196"/>
        <v>7530</v>
      </c>
      <c r="AR162" s="173">
        <f t="shared" si="197"/>
        <v>629438</v>
      </c>
      <c r="AS162" s="186" t="s">
        <v>1352</v>
      </c>
      <c r="AT162" s="300">
        <f t="shared" si="249"/>
        <v>1.4384999999999999</v>
      </c>
      <c r="AU162" s="300">
        <f t="shared" si="249"/>
        <v>1.4384999999999999</v>
      </c>
      <c r="AV162" s="300">
        <f t="shared" si="249"/>
        <v>1.4384999999999999</v>
      </c>
      <c r="AW162" s="300">
        <f t="shared" si="249"/>
        <v>1.4384999999999999</v>
      </c>
      <c r="AX162" s="300">
        <f t="shared" si="249"/>
        <v>1.4384999999999999</v>
      </c>
      <c r="AY162" s="301">
        <f t="shared" si="248"/>
        <v>1.4384999999999999</v>
      </c>
      <c r="AZ162" s="301">
        <f t="shared" si="248"/>
        <v>1.4384999999999999</v>
      </c>
      <c r="BA162" s="301">
        <f t="shared" si="248"/>
        <v>1.4384999999999999</v>
      </c>
      <c r="BB162" s="301">
        <f t="shared" si="248"/>
        <v>1.4384999999999999</v>
      </c>
      <c r="BC162" s="301">
        <f t="shared" si="248"/>
        <v>1.4384999999999999</v>
      </c>
      <c r="BD162" s="187">
        <f t="shared" si="241"/>
        <v>154</v>
      </c>
      <c r="BE162" s="187">
        <f t="shared" si="246"/>
        <v>154</v>
      </c>
      <c r="BF162" s="187">
        <f t="shared" si="247"/>
        <v>154</v>
      </c>
      <c r="BG162" s="187">
        <f t="shared" si="218"/>
        <v>154</v>
      </c>
      <c r="BH162" s="187">
        <f t="shared" si="219"/>
        <v>154</v>
      </c>
      <c r="BI162" s="187">
        <f t="shared" si="242"/>
        <v>154</v>
      </c>
      <c r="BJ162" s="187">
        <f t="shared" si="222"/>
        <v>154</v>
      </c>
      <c r="BK162" s="187">
        <f t="shared" si="223"/>
        <v>154</v>
      </c>
      <c r="BL162" s="187">
        <f t="shared" si="220"/>
        <v>154</v>
      </c>
      <c r="BM162" s="187">
        <f t="shared" si="221"/>
        <v>154</v>
      </c>
      <c r="BN162" s="188">
        <f t="shared" si="243"/>
        <v>25152512</v>
      </c>
      <c r="BO162" s="188">
        <f t="shared" si="224"/>
        <v>33559218</v>
      </c>
      <c r="BP162" s="188">
        <f t="shared" si="225"/>
        <v>35894474</v>
      </c>
      <c r="BQ162" s="188">
        <f t="shared" si="226"/>
        <v>1167628</v>
      </c>
      <c r="BR162" s="188">
        <f t="shared" si="227"/>
        <v>1159620</v>
      </c>
      <c r="BS162" s="188">
        <f t="shared" si="198"/>
        <v>96933452</v>
      </c>
      <c r="BT162" s="188">
        <f t="shared" si="199"/>
        <v>25152512</v>
      </c>
      <c r="BU162" s="188">
        <f t="shared" si="200"/>
        <v>33559218</v>
      </c>
      <c r="BV162" s="188">
        <f t="shared" si="201"/>
        <v>35894474</v>
      </c>
      <c r="BW162" s="188">
        <f t="shared" si="202"/>
        <v>1167628</v>
      </c>
      <c r="BX162" s="188">
        <f t="shared" si="203"/>
        <v>1159620</v>
      </c>
      <c r="BY162" s="188">
        <f t="shared" si="204"/>
        <v>96933452</v>
      </c>
      <c r="BZ162" s="305">
        <f>IF(COT_PRECALCULOS!$D$24="Precios Iva Incluído",BI162,BD162)</f>
        <v>154</v>
      </c>
      <c r="CA162" s="305">
        <f>IF(COT_PRECALCULOS!$D$24="Precios Iva Incluído",BJ162,BE162)</f>
        <v>154</v>
      </c>
      <c r="CB162" s="305">
        <f>IF(COT_PRECALCULOS!$D$24="Precios Iva Incluído",BK162,BF162)</f>
        <v>154</v>
      </c>
      <c r="CC162" s="305">
        <f>IF(COT_PRECALCULOS!$D$24="Precios Iva Incluído",BL162,BG162)</f>
        <v>154</v>
      </c>
      <c r="CD162" s="305">
        <f>IF(COT_PRECALCULOS!$D$24="Precios Iva Incluído",BM162,BH162)</f>
        <v>154</v>
      </c>
      <c r="CE162" s="305">
        <f>IF(COT_PRECALCULOS!$D$24="Precios Iva Incluído",BT162,BN162)</f>
        <v>25152512</v>
      </c>
      <c r="CF162" s="305">
        <f>IF(COT_PRECALCULOS!$D$24="Precios Iva Incluído",BU162,BO162)</f>
        <v>33559218</v>
      </c>
      <c r="CG162" s="305">
        <f>IF(COT_PRECALCULOS!$D$24="Precios Iva Incluído",BV162,BP162)</f>
        <v>35894474</v>
      </c>
      <c r="CH162" s="305">
        <f>IF(COT_PRECALCULOS!$D$24="Precios Iva Incluído",BW162,BQ162)</f>
        <v>1167628</v>
      </c>
      <c r="CI162" s="305">
        <f>IF(COT_PRECALCULOS!$D$24="Precios Iva Incluído",BX162,BR162)</f>
        <v>1159620</v>
      </c>
    </row>
    <row r="163" spans="1:87">
      <c r="A163" s="182" t="s">
        <v>101</v>
      </c>
      <c r="B163" s="182" t="s">
        <v>98</v>
      </c>
      <c r="C163" s="189" t="str">
        <f t="shared" si="193"/>
        <v>F_E2</v>
      </c>
      <c r="D163" s="189" t="str">
        <f t="shared" si="194"/>
        <v>46_P_</v>
      </c>
      <c r="E163" s="211" t="s">
        <v>1</v>
      </c>
      <c r="F163" s="211" t="s">
        <v>1</v>
      </c>
      <c r="G163" s="189" t="s">
        <v>11</v>
      </c>
      <c r="H163" s="211"/>
      <c r="I163" s="211" t="s">
        <v>63</v>
      </c>
      <c r="J163" s="211">
        <v>46</v>
      </c>
      <c r="K163" s="211" t="s">
        <v>64</v>
      </c>
      <c r="L163" s="189" t="s">
        <v>9</v>
      </c>
      <c r="M163" s="211">
        <v>100</v>
      </c>
      <c r="N163" s="211">
        <v>100</v>
      </c>
      <c r="O163" s="211">
        <v>100</v>
      </c>
      <c r="P163" s="211">
        <v>100</v>
      </c>
      <c r="Q163" s="211">
        <v>100</v>
      </c>
      <c r="R163" s="211"/>
      <c r="S163" s="183">
        <f t="shared" si="233"/>
        <v>2</v>
      </c>
      <c r="T163" s="385">
        <f t="shared" si="239"/>
        <v>2</v>
      </c>
      <c r="U163" s="385">
        <f t="shared" si="234"/>
        <v>2</v>
      </c>
      <c r="V163" s="385">
        <f t="shared" si="234"/>
        <v>2</v>
      </c>
      <c r="W163" s="385">
        <f t="shared" si="234"/>
        <v>2</v>
      </c>
      <c r="X163" s="385">
        <f t="shared" si="234"/>
        <v>2</v>
      </c>
      <c r="Y163" s="184">
        <f t="shared" si="207"/>
        <v>163328</v>
      </c>
      <c r="Z163" s="184">
        <f t="shared" si="235"/>
        <v>217917</v>
      </c>
      <c r="AA163" s="184">
        <f t="shared" si="236"/>
        <v>233081</v>
      </c>
      <c r="AB163" s="184">
        <f t="shared" si="237"/>
        <v>7582</v>
      </c>
      <c r="AC163" s="184">
        <f t="shared" si="238"/>
        <v>7530</v>
      </c>
      <c r="AD163" s="184">
        <f t="shared" si="212"/>
        <v>629438</v>
      </c>
      <c r="AE163" s="183">
        <f t="shared" si="228"/>
        <v>0</v>
      </c>
      <c r="AF163" s="385">
        <f t="shared" si="230"/>
        <v>0</v>
      </c>
      <c r="AG163" s="385">
        <f t="shared" si="230"/>
        <v>0</v>
      </c>
      <c r="AH163" s="385">
        <f t="shared" si="230"/>
        <v>0</v>
      </c>
      <c r="AI163" s="185">
        <f t="shared" si="213"/>
        <v>0</v>
      </c>
      <c r="AJ163" s="185">
        <f t="shared" si="214"/>
        <v>0</v>
      </c>
      <c r="AK163" s="185">
        <f t="shared" si="215"/>
        <v>0</v>
      </c>
      <c r="AL163" s="185">
        <f t="shared" si="216"/>
        <v>0</v>
      </c>
      <c r="AM163" s="173">
        <f t="shared" si="240"/>
        <v>326656</v>
      </c>
      <c r="AN163" s="173">
        <f t="shared" si="244"/>
        <v>435834</v>
      </c>
      <c r="AO163" s="173">
        <f t="shared" si="245"/>
        <v>466162</v>
      </c>
      <c r="AP163" s="173">
        <f t="shared" si="195"/>
        <v>15164</v>
      </c>
      <c r="AQ163" s="173">
        <f t="shared" si="196"/>
        <v>15060</v>
      </c>
      <c r="AR163" s="173">
        <f t="shared" si="197"/>
        <v>1258876</v>
      </c>
      <c r="AS163" s="186" t="s">
        <v>1352</v>
      </c>
      <c r="AT163" s="300">
        <f t="shared" si="249"/>
        <v>3.7214999999999998</v>
      </c>
      <c r="AU163" s="300">
        <f t="shared" si="249"/>
        <v>3.7214999999999998</v>
      </c>
      <c r="AV163" s="300">
        <f t="shared" si="249"/>
        <v>3.7214999999999998</v>
      </c>
      <c r="AW163" s="300">
        <f t="shared" si="249"/>
        <v>3.7214999999999998</v>
      </c>
      <c r="AX163" s="300">
        <f t="shared" si="249"/>
        <v>3.7214999999999998</v>
      </c>
      <c r="AY163" s="301">
        <f t="shared" si="248"/>
        <v>3.7214999999999998</v>
      </c>
      <c r="AZ163" s="301">
        <f t="shared" si="248"/>
        <v>3.7214999999999998</v>
      </c>
      <c r="BA163" s="301">
        <f t="shared" si="248"/>
        <v>3.7214999999999998</v>
      </c>
      <c r="BB163" s="301">
        <f t="shared" si="248"/>
        <v>3.7214999999999998</v>
      </c>
      <c r="BC163" s="301">
        <f t="shared" si="248"/>
        <v>3.7214999999999998</v>
      </c>
      <c r="BD163" s="187">
        <f t="shared" si="241"/>
        <v>398</v>
      </c>
      <c r="BE163" s="187">
        <f t="shared" si="246"/>
        <v>398</v>
      </c>
      <c r="BF163" s="187">
        <f t="shared" si="247"/>
        <v>398</v>
      </c>
      <c r="BG163" s="187">
        <f t="shared" si="218"/>
        <v>398</v>
      </c>
      <c r="BH163" s="187">
        <f t="shared" si="219"/>
        <v>398</v>
      </c>
      <c r="BI163" s="187">
        <f t="shared" si="242"/>
        <v>398</v>
      </c>
      <c r="BJ163" s="187">
        <f t="shared" si="222"/>
        <v>398</v>
      </c>
      <c r="BK163" s="187">
        <f t="shared" si="223"/>
        <v>398</v>
      </c>
      <c r="BL163" s="187">
        <f t="shared" si="220"/>
        <v>398</v>
      </c>
      <c r="BM163" s="187">
        <f t="shared" si="221"/>
        <v>398</v>
      </c>
      <c r="BN163" s="188">
        <f t="shared" si="243"/>
        <v>130009088</v>
      </c>
      <c r="BO163" s="188">
        <f t="shared" si="224"/>
        <v>173461932</v>
      </c>
      <c r="BP163" s="188">
        <f t="shared" si="225"/>
        <v>185532476</v>
      </c>
      <c r="BQ163" s="188">
        <f t="shared" si="226"/>
        <v>6035272</v>
      </c>
      <c r="BR163" s="188">
        <f t="shared" si="227"/>
        <v>5993880</v>
      </c>
      <c r="BS163" s="188">
        <f t="shared" si="198"/>
        <v>501032648</v>
      </c>
      <c r="BT163" s="188">
        <f t="shared" si="199"/>
        <v>130009088</v>
      </c>
      <c r="BU163" s="188">
        <f t="shared" si="200"/>
        <v>173461932</v>
      </c>
      <c r="BV163" s="188">
        <f t="shared" si="201"/>
        <v>185532476</v>
      </c>
      <c r="BW163" s="188">
        <f t="shared" si="202"/>
        <v>6035272</v>
      </c>
      <c r="BX163" s="188">
        <f t="shared" si="203"/>
        <v>5993880</v>
      </c>
      <c r="BY163" s="188">
        <f t="shared" si="204"/>
        <v>501032648</v>
      </c>
      <c r="BZ163" s="305">
        <f>IF(COT_PRECALCULOS!$D$24="Precios Iva Incluído",BI163,BD163)</f>
        <v>398</v>
      </c>
      <c r="CA163" s="305">
        <f>IF(COT_PRECALCULOS!$D$24="Precios Iva Incluído",BJ163,BE163)</f>
        <v>398</v>
      </c>
      <c r="CB163" s="305">
        <f>IF(COT_PRECALCULOS!$D$24="Precios Iva Incluído",BK163,BF163)</f>
        <v>398</v>
      </c>
      <c r="CC163" s="305">
        <f>IF(COT_PRECALCULOS!$D$24="Precios Iva Incluído",BL163,BG163)</f>
        <v>398</v>
      </c>
      <c r="CD163" s="305">
        <f>IF(COT_PRECALCULOS!$D$24="Precios Iva Incluído",BM163,BH163)</f>
        <v>398</v>
      </c>
      <c r="CE163" s="305">
        <f>IF(COT_PRECALCULOS!$D$24="Precios Iva Incluído",BT163,BN163)</f>
        <v>130009088</v>
      </c>
      <c r="CF163" s="305">
        <f>IF(COT_PRECALCULOS!$D$24="Precios Iva Incluído",BU163,BO163)</f>
        <v>173461932</v>
      </c>
      <c r="CG163" s="305">
        <f>IF(COT_PRECALCULOS!$D$24="Precios Iva Incluído",BV163,BP163)</f>
        <v>185532476</v>
      </c>
      <c r="CH163" s="305">
        <f>IF(COT_PRECALCULOS!$D$24="Precios Iva Incluído",BW163,BQ163)</f>
        <v>6035272</v>
      </c>
      <c r="CI163" s="305">
        <f>IF(COT_PRECALCULOS!$D$24="Precios Iva Incluído",BX163,BR163)</f>
        <v>5993880</v>
      </c>
    </row>
    <row r="164" spans="1:87">
      <c r="A164" s="182" t="s">
        <v>101</v>
      </c>
      <c r="B164" s="182" t="s">
        <v>98</v>
      </c>
      <c r="C164" s="189" t="str">
        <f t="shared" si="193"/>
        <v>F_E3</v>
      </c>
      <c r="D164" s="189" t="str">
        <f t="shared" si="194"/>
        <v>69_P_</v>
      </c>
      <c r="E164" s="211" t="s">
        <v>1</v>
      </c>
      <c r="F164" s="211" t="s">
        <v>1</v>
      </c>
      <c r="G164" s="189" t="s">
        <v>12</v>
      </c>
      <c r="H164" s="211" t="s">
        <v>13</v>
      </c>
      <c r="I164" s="211" t="s">
        <v>68</v>
      </c>
      <c r="J164" s="211">
        <v>69</v>
      </c>
      <c r="K164" s="211" t="s">
        <v>70</v>
      </c>
      <c r="L164" s="189" t="s">
        <v>9</v>
      </c>
      <c r="M164" s="211">
        <v>100</v>
      </c>
      <c r="N164" s="211">
        <v>100</v>
      </c>
      <c r="O164" s="211">
        <v>100</v>
      </c>
      <c r="P164" s="211">
        <v>100</v>
      </c>
      <c r="Q164" s="211">
        <v>100</v>
      </c>
      <c r="R164" s="211"/>
      <c r="S164" s="183">
        <f t="shared" si="233"/>
        <v>1</v>
      </c>
      <c r="T164" s="385">
        <f t="shared" si="239"/>
        <v>1</v>
      </c>
      <c r="U164" s="385">
        <f t="shared" si="234"/>
        <v>1</v>
      </c>
      <c r="V164" s="385">
        <f t="shared" si="234"/>
        <v>1</v>
      </c>
      <c r="W164" s="385">
        <f t="shared" si="234"/>
        <v>1</v>
      </c>
      <c r="X164" s="385">
        <f t="shared" si="234"/>
        <v>1</v>
      </c>
      <c r="Y164" s="184">
        <f t="shared" si="207"/>
        <v>163328</v>
      </c>
      <c r="Z164" s="184">
        <f t="shared" si="235"/>
        <v>217917</v>
      </c>
      <c r="AA164" s="184">
        <f t="shared" si="236"/>
        <v>233081</v>
      </c>
      <c r="AB164" s="184">
        <f t="shared" si="237"/>
        <v>7582</v>
      </c>
      <c r="AC164" s="184">
        <f t="shared" si="238"/>
        <v>7530</v>
      </c>
      <c r="AD164" s="184">
        <f t="shared" si="212"/>
        <v>629438</v>
      </c>
      <c r="AE164" s="183">
        <f t="shared" si="228"/>
        <v>0</v>
      </c>
      <c r="AF164" s="385">
        <f t="shared" si="230"/>
        <v>0</v>
      </c>
      <c r="AG164" s="385">
        <f t="shared" si="230"/>
        <v>0</v>
      </c>
      <c r="AH164" s="385">
        <f t="shared" si="230"/>
        <v>0</v>
      </c>
      <c r="AI164" s="185">
        <f t="shared" si="213"/>
        <v>0</v>
      </c>
      <c r="AJ164" s="185">
        <f t="shared" si="214"/>
        <v>0</v>
      </c>
      <c r="AK164" s="185">
        <f t="shared" si="215"/>
        <v>0</v>
      </c>
      <c r="AL164" s="185">
        <f t="shared" si="216"/>
        <v>0</v>
      </c>
      <c r="AM164" s="173">
        <f t="shared" si="240"/>
        <v>163328</v>
      </c>
      <c r="AN164" s="173">
        <f t="shared" si="244"/>
        <v>217917</v>
      </c>
      <c r="AO164" s="173">
        <f t="shared" si="245"/>
        <v>233081</v>
      </c>
      <c r="AP164" s="173">
        <f t="shared" si="195"/>
        <v>7582</v>
      </c>
      <c r="AQ164" s="173">
        <f t="shared" si="196"/>
        <v>7530</v>
      </c>
      <c r="AR164" s="173">
        <f t="shared" si="197"/>
        <v>629438</v>
      </c>
      <c r="AS164" s="186" t="s">
        <v>1353</v>
      </c>
      <c r="AT164" s="300">
        <f t="shared" si="249"/>
        <v>2.8519999999999999</v>
      </c>
      <c r="AU164" s="300">
        <f t="shared" si="249"/>
        <v>2.8519999999999999</v>
      </c>
      <c r="AV164" s="300">
        <f t="shared" si="249"/>
        <v>2.8519999999999999</v>
      </c>
      <c r="AW164" s="300">
        <f t="shared" si="249"/>
        <v>2.8519999999999999</v>
      </c>
      <c r="AX164" s="300">
        <f t="shared" si="249"/>
        <v>2.8519999999999999</v>
      </c>
      <c r="AY164" s="301">
        <f t="shared" si="248"/>
        <v>2.8519999999999999</v>
      </c>
      <c r="AZ164" s="301">
        <f t="shared" si="248"/>
        <v>2.8519999999999999</v>
      </c>
      <c r="BA164" s="301">
        <f t="shared" si="248"/>
        <v>2.8519999999999999</v>
      </c>
      <c r="BB164" s="301">
        <f t="shared" si="248"/>
        <v>2.8519999999999999</v>
      </c>
      <c r="BC164" s="301">
        <f t="shared" si="248"/>
        <v>2.8519999999999999</v>
      </c>
      <c r="BD164" s="187">
        <f t="shared" si="241"/>
        <v>305</v>
      </c>
      <c r="BE164" s="187">
        <f t="shared" si="246"/>
        <v>305</v>
      </c>
      <c r="BF164" s="187">
        <f t="shared" si="247"/>
        <v>305</v>
      </c>
      <c r="BG164" s="187">
        <f t="shared" si="218"/>
        <v>305</v>
      </c>
      <c r="BH164" s="187">
        <f t="shared" si="219"/>
        <v>305</v>
      </c>
      <c r="BI164" s="187">
        <f t="shared" si="242"/>
        <v>305</v>
      </c>
      <c r="BJ164" s="187">
        <f t="shared" si="222"/>
        <v>305</v>
      </c>
      <c r="BK164" s="187">
        <f t="shared" si="223"/>
        <v>305</v>
      </c>
      <c r="BL164" s="187">
        <f t="shared" si="220"/>
        <v>305</v>
      </c>
      <c r="BM164" s="187">
        <f t="shared" si="221"/>
        <v>305</v>
      </c>
      <c r="BN164" s="188">
        <f t="shared" si="243"/>
        <v>49815040</v>
      </c>
      <c r="BO164" s="188">
        <f t="shared" si="224"/>
        <v>66464685</v>
      </c>
      <c r="BP164" s="188">
        <f t="shared" si="225"/>
        <v>71089705</v>
      </c>
      <c r="BQ164" s="188">
        <f t="shared" si="226"/>
        <v>2312510</v>
      </c>
      <c r="BR164" s="188">
        <f t="shared" si="227"/>
        <v>2296650</v>
      </c>
      <c r="BS164" s="188">
        <f t="shared" si="198"/>
        <v>191978590</v>
      </c>
      <c r="BT164" s="188">
        <f t="shared" si="199"/>
        <v>49815040</v>
      </c>
      <c r="BU164" s="188">
        <f t="shared" si="200"/>
        <v>66464685</v>
      </c>
      <c r="BV164" s="188">
        <f t="shared" si="201"/>
        <v>71089705</v>
      </c>
      <c r="BW164" s="188">
        <f t="shared" si="202"/>
        <v>2312510</v>
      </c>
      <c r="BX164" s="188">
        <f t="shared" si="203"/>
        <v>2296650</v>
      </c>
      <c r="BY164" s="188">
        <f t="shared" si="204"/>
        <v>191978590</v>
      </c>
      <c r="BZ164" s="305">
        <f>IF(COT_PRECALCULOS!$D$24="Precios Iva Incluído",BI164,BD164)</f>
        <v>305</v>
      </c>
      <c r="CA164" s="305">
        <f>IF(COT_PRECALCULOS!$D$24="Precios Iva Incluído",BJ164,BE164)</f>
        <v>305</v>
      </c>
      <c r="CB164" s="305">
        <f>IF(COT_PRECALCULOS!$D$24="Precios Iva Incluído",BK164,BF164)</f>
        <v>305</v>
      </c>
      <c r="CC164" s="305">
        <f>IF(COT_PRECALCULOS!$D$24="Precios Iva Incluído",BL164,BG164)</f>
        <v>305</v>
      </c>
      <c r="CD164" s="305">
        <f>IF(COT_PRECALCULOS!$D$24="Precios Iva Incluído",BM164,BH164)</f>
        <v>305</v>
      </c>
      <c r="CE164" s="305">
        <f>IF(COT_PRECALCULOS!$D$24="Precios Iva Incluído",BT164,BN164)</f>
        <v>49815040</v>
      </c>
      <c r="CF164" s="305">
        <f>IF(COT_PRECALCULOS!$D$24="Precios Iva Incluído",BU164,BO164)</f>
        <v>66464685</v>
      </c>
      <c r="CG164" s="305">
        <f>IF(COT_PRECALCULOS!$D$24="Precios Iva Incluído",BV164,BP164)</f>
        <v>71089705</v>
      </c>
      <c r="CH164" s="305">
        <f>IF(COT_PRECALCULOS!$D$24="Precios Iva Incluído",BW164,BQ164)</f>
        <v>2312510</v>
      </c>
      <c r="CI164" s="305">
        <f>IF(COT_PRECALCULOS!$D$24="Precios Iva Incluído",BX164,BR164)</f>
        <v>2296650</v>
      </c>
    </row>
    <row r="165" spans="1:87">
      <c r="A165" s="182" t="s">
        <v>101</v>
      </c>
      <c r="B165" s="182" t="s">
        <v>98</v>
      </c>
      <c r="C165" s="189" t="str">
        <f t="shared" si="193"/>
        <v>F_E3</v>
      </c>
      <c r="D165" s="189" t="str">
        <f t="shared" si="194"/>
        <v>33_P_</v>
      </c>
      <c r="E165" s="211" t="s">
        <v>1</v>
      </c>
      <c r="F165" s="211" t="s">
        <v>1</v>
      </c>
      <c r="G165" s="189" t="s">
        <v>12</v>
      </c>
      <c r="H165" s="211"/>
      <c r="I165" s="211" t="s">
        <v>58</v>
      </c>
      <c r="J165" s="211">
        <v>33</v>
      </c>
      <c r="K165" s="211" t="s">
        <v>59</v>
      </c>
      <c r="L165" s="189" t="s">
        <v>48</v>
      </c>
      <c r="M165" s="310">
        <v>90</v>
      </c>
      <c r="N165" s="310">
        <v>90</v>
      </c>
      <c r="O165" s="310">
        <v>90</v>
      </c>
      <c r="P165" s="310">
        <v>90</v>
      </c>
      <c r="Q165" s="310">
        <v>90</v>
      </c>
      <c r="R165" s="211"/>
      <c r="S165" s="183">
        <f t="shared" si="233"/>
        <v>1</v>
      </c>
      <c r="T165" s="385">
        <f t="shared" si="239"/>
        <v>1</v>
      </c>
      <c r="U165" s="385">
        <f t="shared" si="234"/>
        <v>1</v>
      </c>
      <c r="V165" s="385">
        <f t="shared" si="234"/>
        <v>1</v>
      </c>
      <c r="W165" s="385">
        <f t="shared" si="234"/>
        <v>1</v>
      </c>
      <c r="X165" s="385">
        <f t="shared" si="234"/>
        <v>1</v>
      </c>
      <c r="Y165" s="184">
        <f t="shared" si="207"/>
        <v>163328</v>
      </c>
      <c r="Z165" s="184">
        <f t="shared" si="235"/>
        <v>217917</v>
      </c>
      <c r="AA165" s="184">
        <f t="shared" si="236"/>
        <v>233081</v>
      </c>
      <c r="AB165" s="184">
        <f t="shared" si="237"/>
        <v>7582</v>
      </c>
      <c r="AC165" s="184">
        <f t="shared" si="238"/>
        <v>7530</v>
      </c>
      <c r="AD165" s="184">
        <f t="shared" si="212"/>
        <v>629438</v>
      </c>
      <c r="AE165" s="183">
        <f t="shared" si="228"/>
        <v>0</v>
      </c>
      <c r="AF165" s="385">
        <f t="shared" si="230"/>
        <v>0</v>
      </c>
      <c r="AG165" s="385">
        <f t="shared" si="230"/>
        <v>0</v>
      </c>
      <c r="AH165" s="385">
        <f t="shared" si="230"/>
        <v>0</v>
      </c>
      <c r="AI165" s="185">
        <f t="shared" si="213"/>
        <v>0</v>
      </c>
      <c r="AJ165" s="185">
        <f t="shared" si="214"/>
        <v>0</v>
      </c>
      <c r="AK165" s="185">
        <f t="shared" si="215"/>
        <v>0</v>
      </c>
      <c r="AL165" s="185">
        <f t="shared" si="216"/>
        <v>0</v>
      </c>
      <c r="AM165" s="173">
        <f t="shared" si="240"/>
        <v>163328</v>
      </c>
      <c r="AN165" s="173">
        <f t="shared" si="244"/>
        <v>217917</v>
      </c>
      <c r="AO165" s="173">
        <f t="shared" si="245"/>
        <v>233081</v>
      </c>
      <c r="AP165" s="173">
        <f t="shared" si="195"/>
        <v>7582</v>
      </c>
      <c r="AQ165" s="173">
        <f t="shared" si="196"/>
        <v>7530</v>
      </c>
      <c r="AR165" s="173">
        <f t="shared" si="197"/>
        <v>629438</v>
      </c>
      <c r="AS165" s="186" t="s">
        <v>1353</v>
      </c>
      <c r="AT165" s="300">
        <f t="shared" si="249"/>
        <v>2.8014999999999999</v>
      </c>
      <c r="AU165" s="300">
        <f t="shared" si="249"/>
        <v>2.8014999999999999</v>
      </c>
      <c r="AV165" s="300">
        <f t="shared" si="249"/>
        <v>2.8014999999999999</v>
      </c>
      <c r="AW165" s="300">
        <f t="shared" si="249"/>
        <v>2.8014999999999999</v>
      </c>
      <c r="AX165" s="300">
        <f t="shared" si="249"/>
        <v>2.8014999999999999</v>
      </c>
      <c r="AY165" s="301">
        <f t="shared" si="248"/>
        <v>2.8014999999999999</v>
      </c>
      <c r="AZ165" s="301">
        <f t="shared" si="248"/>
        <v>2.8014999999999999</v>
      </c>
      <c r="BA165" s="301">
        <f t="shared" si="248"/>
        <v>2.8014999999999999</v>
      </c>
      <c r="BB165" s="301">
        <f t="shared" si="248"/>
        <v>2.8014999999999999</v>
      </c>
      <c r="BC165" s="301">
        <f t="shared" si="248"/>
        <v>2.8014999999999999</v>
      </c>
      <c r="BD165" s="187">
        <f t="shared" si="241"/>
        <v>270</v>
      </c>
      <c r="BE165" s="187">
        <f t="shared" si="246"/>
        <v>270</v>
      </c>
      <c r="BF165" s="187">
        <f t="shared" si="247"/>
        <v>270</v>
      </c>
      <c r="BG165" s="187">
        <f t="shared" si="218"/>
        <v>270</v>
      </c>
      <c r="BH165" s="187">
        <f t="shared" si="219"/>
        <v>270</v>
      </c>
      <c r="BI165" s="187">
        <f t="shared" si="242"/>
        <v>270</v>
      </c>
      <c r="BJ165" s="187">
        <f t="shared" si="222"/>
        <v>270</v>
      </c>
      <c r="BK165" s="187">
        <f t="shared" si="223"/>
        <v>270</v>
      </c>
      <c r="BL165" s="187">
        <f t="shared" si="220"/>
        <v>270</v>
      </c>
      <c r="BM165" s="187">
        <f t="shared" si="221"/>
        <v>270</v>
      </c>
      <c r="BN165" s="188">
        <f t="shared" si="243"/>
        <v>44098560</v>
      </c>
      <c r="BO165" s="188">
        <f t="shared" si="224"/>
        <v>58837590</v>
      </c>
      <c r="BP165" s="188">
        <f t="shared" si="225"/>
        <v>62931870</v>
      </c>
      <c r="BQ165" s="188">
        <f t="shared" si="226"/>
        <v>2047140</v>
      </c>
      <c r="BR165" s="188">
        <f t="shared" si="227"/>
        <v>2033100</v>
      </c>
      <c r="BS165" s="188">
        <f t="shared" si="198"/>
        <v>169948260</v>
      </c>
      <c r="BT165" s="188">
        <f t="shared" si="199"/>
        <v>44098560</v>
      </c>
      <c r="BU165" s="188">
        <f t="shared" si="200"/>
        <v>58837590</v>
      </c>
      <c r="BV165" s="188">
        <f t="shared" si="201"/>
        <v>62931870</v>
      </c>
      <c r="BW165" s="188">
        <f t="shared" si="202"/>
        <v>2047140</v>
      </c>
      <c r="BX165" s="188">
        <f t="shared" si="203"/>
        <v>2033100</v>
      </c>
      <c r="BY165" s="188">
        <f t="shared" si="204"/>
        <v>169948260</v>
      </c>
      <c r="BZ165" s="305">
        <f>IF(COT_PRECALCULOS!$D$24="Precios Iva Incluído",BI165,BD165)</f>
        <v>270</v>
      </c>
      <c r="CA165" s="305">
        <f>IF(COT_PRECALCULOS!$D$24="Precios Iva Incluído",BJ165,BE165)</f>
        <v>270</v>
      </c>
      <c r="CB165" s="305">
        <f>IF(COT_PRECALCULOS!$D$24="Precios Iva Incluído",BK165,BF165)</f>
        <v>270</v>
      </c>
      <c r="CC165" s="305">
        <f>IF(COT_PRECALCULOS!$D$24="Precios Iva Incluído",BL165,BG165)</f>
        <v>270</v>
      </c>
      <c r="CD165" s="305">
        <f>IF(COT_PRECALCULOS!$D$24="Precios Iva Incluído",BM165,BH165)</f>
        <v>270</v>
      </c>
      <c r="CE165" s="305">
        <f>IF(COT_PRECALCULOS!$D$24="Precios Iva Incluído",BT165,BN165)</f>
        <v>44098560</v>
      </c>
      <c r="CF165" s="305">
        <f>IF(COT_PRECALCULOS!$D$24="Precios Iva Incluído",BU165,BO165)</f>
        <v>58837590</v>
      </c>
      <c r="CG165" s="305">
        <f>IF(COT_PRECALCULOS!$D$24="Precios Iva Incluído",BV165,BP165)</f>
        <v>62931870</v>
      </c>
      <c r="CH165" s="305">
        <f>IF(COT_PRECALCULOS!$D$24="Precios Iva Incluído",BW165,BQ165)</f>
        <v>2047140</v>
      </c>
      <c r="CI165" s="305">
        <f>IF(COT_PRECALCULOS!$D$24="Precios Iva Incluído",BX165,BR165)</f>
        <v>2033100</v>
      </c>
    </row>
    <row r="166" spans="1:87">
      <c r="A166" s="182" t="s">
        <v>101</v>
      </c>
      <c r="B166" s="182" t="s">
        <v>98</v>
      </c>
      <c r="C166" s="189" t="str">
        <f t="shared" si="193"/>
        <v>F_E3</v>
      </c>
      <c r="D166" s="189" t="str">
        <f t="shared" si="194"/>
        <v>58_P_</v>
      </c>
      <c r="E166" s="190" t="s">
        <v>1</v>
      </c>
      <c r="F166" s="190" t="s">
        <v>1</v>
      </c>
      <c r="G166" s="189" t="s">
        <v>12</v>
      </c>
      <c r="H166" s="190"/>
      <c r="I166" s="190" t="s">
        <v>65</v>
      </c>
      <c r="J166" s="190">
        <v>58</v>
      </c>
      <c r="K166" s="190" t="s">
        <v>67</v>
      </c>
      <c r="L166" s="189" t="s">
        <v>9</v>
      </c>
      <c r="M166" s="211">
        <v>100</v>
      </c>
      <c r="N166" s="211">
        <v>100</v>
      </c>
      <c r="O166" s="211">
        <v>100</v>
      </c>
      <c r="P166" s="211">
        <v>100</v>
      </c>
      <c r="Q166" s="211">
        <v>100</v>
      </c>
      <c r="R166" s="190"/>
      <c r="S166" s="183">
        <f t="shared" si="233"/>
        <v>2</v>
      </c>
      <c r="T166" s="385">
        <f t="shared" si="239"/>
        <v>2</v>
      </c>
      <c r="U166" s="385">
        <f t="shared" si="234"/>
        <v>2</v>
      </c>
      <c r="V166" s="385">
        <f t="shared" si="234"/>
        <v>2</v>
      </c>
      <c r="W166" s="385">
        <f t="shared" si="234"/>
        <v>2</v>
      </c>
      <c r="X166" s="385">
        <f t="shared" si="234"/>
        <v>2</v>
      </c>
      <c r="Y166" s="184">
        <f t="shared" si="207"/>
        <v>163328</v>
      </c>
      <c r="Z166" s="184">
        <f t="shared" si="235"/>
        <v>217917</v>
      </c>
      <c r="AA166" s="184">
        <f t="shared" si="236"/>
        <v>233081</v>
      </c>
      <c r="AB166" s="184">
        <f t="shared" si="237"/>
        <v>7582</v>
      </c>
      <c r="AC166" s="184">
        <f t="shared" si="238"/>
        <v>7530</v>
      </c>
      <c r="AD166" s="184">
        <f t="shared" si="212"/>
        <v>629438</v>
      </c>
      <c r="AE166" s="183">
        <f t="shared" si="228"/>
        <v>0</v>
      </c>
      <c r="AF166" s="385">
        <f t="shared" si="230"/>
        <v>0</v>
      </c>
      <c r="AG166" s="385">
        <f t="shared" si="230"/>
        <v>0</v>
      </c>
      <c r="AH166" s="385">
        <f t="shared" si="230"/>
        <v>0</v>
      </c>
      <c r="AI166" s="185">
        <f t="shared" si="213"/>
        <v>0</v>
      </c>
      <c r="AJ166" s="185">
        <f t="shared" si="214"/>
        <v>0</v>
      </c>
      <c r="AK166" s="185">
        <f t="shared" si="215"/>
        <v>0</v>
      </c>
      <c r="AL166" s="185">
        <f t="shared" si="216"/>
        <v>0</v>
      </c>
      <c r="AM166" s="173">
        <f t="shared" si="240"/>
        <v>326656</v>
      </c>
      <c r="AN166" s="173">
        <f t="shared" si="244"/>
        <v>435834</v>
      </c>
      <c r="AO166" s="173">
        <f t="shared" si="245"/>
        <v>466162</v>
      </c>
      <c r="AP166" s="173">
        <f t="shared" si="195"/>
        <v>15164</v>
      </c>
      <c r="AQ166" s="173">
        <f t="shared" si="196"/>
        <v>15060</v>
      </c>
      <c r="AR166" s="173">
        <f t="shared" si="197"/>
        <v>1258876</v>
      </c>
      <c r="AS166" s="186" t="s">
        <v>1353</v>
      </c>
      <c r="AT166" s="300">
        <f t="shared" si="249"/>
        <v>1.4384999999999999</v>
      </c>
      <c r="AU166" s="300">
        <f t="shared" si="249"/>
        <v>1.4384999999999999</v>
      </c>
      <c r="AV166" s="300">
        <f t="shared" si="249"/>
        <v>1.4384999999999999</v>
      </c>
      <c r="AW166" s="300">
        <f t="shared" si="249"/>
        <v>1.4384999999999999</v>
      </c>
      <c r="AX166" s="300">
        <f t="shared" si="249"/>
        <v>1.4384999999999999</v>
      </c>
      <c r="AY166" s="301">
        <f t="shared" si="248"/>
        <v>1.4384999999999999</v>
      </c>
      <c r="AZ166" s="301">
        <f t="shared" si="248"/>
        <v>1.4384999999999999</v>
      </c>
      <c r="BA166" s="301">
        <f t="shared" si="248"/>
        <v>1.4384999999999999</v>
      </c>
      <c r="BB166" s="301">
        <f t="shared" si="248"/>
        <v>1.4384999999999999</v>
      </c>
      <c r="BC166" s="301">
        <f t="shared" si="248"/>
        <v>1.4384999999999999</v>
      </c>
      <c r="BD166" s="187">
        <f t="shared" si="241"/>
        <v>154</v>
      </c>
      <c r="BE166" s="187">
        <f t="shared" si="246"/>
        <v>154</v>
      </c>
      <c r="BF166" s="187">
        <f t="shared" si="247"/>
        <v>154</v>
      </c>
      <c r="BG166" s="187">
        <f t="shared" si="218"/>
        <v>154</v>
      </c>
      <c r="BH166" s="187">
        <f t="shared" si="219"/>
        <v>154</v>
      </c>
      <c r="BI166" s="187">
        <f t="shared" si="242"/>
        <v>154</v>
      </c>
      <c r="BJ166" s="187">
        <f t="shared" si="222"/>
        <v>154</v>
      </c>
      <c r="BK166" s="187">
        <f t="shared" si="223"/>
        <v>154</v>
      </c>
      <c r="BL166" s="187">
        <f t="shared" si="220"/>
        <v>154</v>
      </c>
      <c r="BM166" s="187">
        <f t="shared" si="221"/>
        <v>154</v>
      </c>
      <c r="BN166" s="188">
        <f t="shared" si="243"/>
        <v>50305024</v>
      </c>
      <c r="BO166" s="188">
        <f t="shared" si="224"/>
        <v>67118436</v>
      </c>
      <c r="BP166" s="188">
        <f t="shared" si="225"/>
        <v>71788948</v>
      </c>
      <c r="BQ166" s="188">
        <f t="shared" si="226"/>
        <v>2335256</v>
      </c>
      <c r="BR166" s="188">
        <f t="shared" si="227"/>
        <v>2319240</v>
      </c>
      <c r="BS166" s="188">
        <f t="shared" si="198"/>
        <v>193866904</v>
      </c>
      <c r="BT166" s="188">
        <f t="shared" si="199"/>
        <v>50305024</v>
      </c>
      <c r="BU166" s="188">
        <f t="shared" si="200"/>
        <v>67118436</v>
      </c>
      <c r="BV166" s="188">
        <f t="shared" si="201"/>
        <v>71788948</v>
      </c>
      <c r="BW166" s="188">
        <f t="shared" si="202"/>
        <v>2335256</v>
      </c>
      <c r="BX166" s="188">
        <f t="shared" si="203"/>
        <v>2319240</v>
      </c>
      <c r="BY166" s="188">
        <f t="shared" si="204"/>
        <v>193866904</v>
      </c>
      <c r="BZ166" s="305">
        <f>IF(COT_PRECALCULOS!$D$24="Precios Iva Incluído",BI166,BD166)</f>
        <v>154</v>
      </c>
      <c r="CA166" s="305">
        <f>IF(COT_PRECALCULOS!$D$24="Precios Iva Incluído",BJ166,BE166)</f>
        <v>154</v>
      </c>
      <c r="CB166" s="305">
        <f>IF(COT_PRECALCULOS!$D$24="Precios Iva Incluído",BK166,BF166)</f>
        <v>154</v>
      </c>
      <c r="CC166" s="305">
        <f>IF(COT_PRECALCULOS!$D$24="Precios Iva Incluído",BL166,BG166)</f>
        <v>154</v>
      </c>
      <c r="CD166" s="305">
        <f>IF(COT_PRECALCULOS!$D$24="Precios Iva Incluído",BM166,BH166)</f>
        <v>154</v>
      </c>
      <c r="CE166" s="305">
        <f>IF(COT_PRECALCULOS!$D$24="Precios Iva Incluído",BT166,BN166)</f>
        <v>50305024</v>
      </c>
      <c r="CF166" s="305">
        <f>IF(COT_PRECALCULOS!$D$24="Precios Iva Incluído",BU166,BO166)</f>
        <v>67118436</v>
      </c>
      <c r="CG166" s="305">
        <f>IF(COT_PRECALCULOS!$D$24="Precios Iva Incluído",BV166,BP166)</f>
        <v>71788948</v>
      </c>
      <c r="CH166" s="305">
        <f>IF(COT_PRECALCULOS!$D$24="Precios Iva Incluído",BW166,BQ166)</f>
        <v>2335256</v>
      </c>
      <c r="CI166" s="305">
        <f>IF(COT_PRECALCULOS!$D$24="Precios Iva Incluído",BX166,BR166)</f>
        <v>2319240</v>
      </c>
    </row>
    <row r="167" spans="1:87" s="237" customFormat="1">
      <c r="A167" s="182" t="s">
        <v>101</v>
      </c>
      <c r="B167" s="182" t="s">
        <v>98</v>
      </c>
      <c r="C167" s="189" t="str">
        <f t="shared" si="193"/>
        <v>F_E3</v>
      </c>
      <c r="D167" s="189" t="str">
        <f t="shared" si="194"/>
        <v>46_P_</v>
      </c>
      <c r="E167" s="211" t="s">
        <v>1</v>
      </c>
      <c r="F167" s="211" t="s">
        <v>1</v>
      </c>
      <c r="G167" s="189" t="s">
        <v>12</v>
      </c>
      <c r="H167" s="211"/>
      <c r="I167" s="211" t="s">
        <v>63</v>
      </c>
      <c r="J167" s="211">
        <v>46</v>
      </c>
      <c r="K167" s="211" t="s">
        <v>64</v>
      </c>
      <c r="L167" s="189" t="s">
        <v>9</v>
      </c>
      <c r="M167" s="211">
        <v>100</v>
      </c>
      <c r="N167" s="211">
        <v>100</v>
      </c>
      <c r="O167" s="211">
        <v>100</v>
      </c>
      <c r="P167" s="211">
        <v>100</v>
      </c>
      <c r="Q167" s="211">
        <v>100</v>
      </c>
      <c r="R167" s="211"/>
      <c r="S167" s="183">
        <f t="shared" si="233"/>
        <v>1</v>
      </c>
      <c r="T167" s="385">
        <f t="shared" si="239"/>
        <v>1</v>
      </c>
      <c r="U167" s="385">
        <f t="shared" si="234"/>
        <v>1</v>
      </c>
      <c r="V167" s="385">
        <f t="shared" si="234"/>
        <v>1</v>
      </c>
      <c r="W167" s="385">
        <f t="shared" si="234"/>
        <v>1</v>
      </c>
      <c r="X167" s="385">
        <f t="shared" si="234"/>
        <v>1</v>
      </c>
      <c r="Y167" s="184">
        <f t="shared" si="207"/>
        <v>163328</v>
      </c>
      <c r="Z167" s="184">
        <f t="shared" si="235"/>
        <v>217917</v>
      </c>
      <c r="AA167" s="184">
        <f t="shared" si="236"/>
        <v>233081</v>
      </c>
      <c r="AB167" s="184">
        <f t="shared" si="237"/>
        <v>7582</v>
      </c>
      <c r="AC167" s="184">
        <f t="shared" si="238"/>
        <v>7530</v>
      </c>
      <c r="AD167" s="184">
        <f t="shared" si="212"/>
        <v>629438</v>
      </c>
      <c r="AE167" s="183">
        <f t="shared" si="228"/>
        <v>0</v>
      </c>
      <c r="AF167" s="385">
        <f t="shared" si="230"/>
        <v>0</v>
      </c>
      <c r="AG167" s="385">
        <f t="shared" si="230"/>
        <v>0</v>
      </c>
      <c r="AH167" s="385">
        <f t="shared" si="230"/>
        <v>0</v>
      </c>
      <c r="AI167" s="185">
        <f t="shared" si="213"/>
        <v>0</v>
      </c>
      <c r="AJ167" s="185">
        <f t="shared" si="214"/>
        <v>0</v>
      </c>
      <c r="AK167" s="185">
        <f t="shared" si="215"/>
        <v>0</v>
      </c>
      <c r="AL167" s="185">
        <f t="shared" si="216"/>
        <v>0</v>
      </c>
      <c r="AM167" s="173">
        <f t="shared" si="240"/>
        <v>163328</v>
      </c>
      <c r="AN167" s="173">
        <f t="shared" si="244"/>
        <v>217917</v>
      </c>
      <c r="AO167" s="173">
        <f t="shared" si="245"/>
        <v>233081</v>
      </c>
      <c r="AP167" s="173">
        <f t="shared" si="195"/>
        <v>7582</v>
      </c>
      <c r="AQ167" s="173">
        <f t="shared" si="196"/>
        <v>7530</v>
      </c>
      <c r="AR167" s="173">
        <f t="shared" si="197"/>
        <v>629438</v>
      </c>
      <c r="AS167" s="186" t="s">
        <v>1353</v>
      </c>
      <c r="AT167" s="300">
        <f t="shared" si="249"/>
        <v>3.7214999999999998</v>
      </c>
      <c r="AU167" s="300">
        <f t="shared" si="249"/>
        <v>3.7214999999999998</v>
      </c>
      <c r="AV167" s="300">
        <f t="shared" si="249"/>
        <v>3.7214999999999998</v>
      </c>
      <c r="AW167" s="300">
        <f t="shared" si="249"/>
        <v>3.7214999999999998</v>
      </c>
      <c r="AX167" s="300">
        <f t="shared" si="249"/>
        <v>3.7214999999999998</v>
      </c>
      <c r="AY167" s="301">
        <f t="shared" si="248"/>
        <v>3.7214999999999998</v>
      </c>
      <c r="AZ167" s="301">
        <f t="shared" si="248"/>
        <v>3.7214999999999998</v>
      </c>
      <c r="BA167" s="301">
        <f t="shared" si="248"/>
        <v>3.7214999999999998</v>
      </c>
      <c r="BB167" s="301">
        <f t="shared" si="248"/>
        <v>3.7214999999999998</v>
      </c>
      <c r="BC167" s="301">
        <f t="shared" si="248"/>
        <v>3.7214999999999998</v>
      </c>
      <c r="BD167" s="187">
        <f t="shared" si="241"/>
        <v>398</v>
      </c>
      <c r="BE167" s="187">
        <f t="shared" si="246"/>
        <v>398</v>
      </c>
      <c r="BF167" s="187">
        <f t="shared" si="247"/>
        <v>398</v>
      </c>
      <c r="BG167" s="187">
        <f t="shared" si="218"/>
        <v>398</v>
      </c>
      <c r="BH167" s="187">
        <f t="shared" si="219"/>
        <v>398</v>
      </c>
      <c r="BI167" s="187">
        <f t="shared" si="242"/>
        <v>398</v>
      </c>
      <c r="BJ167" s="187">
        <f t="shared" si="222"/>
        <v>398</v>
      </c>
      <c r="BK167" s="187">
        <f t="shared" si="223"/>
        <v>398</v>
      </c>
      <c r="BL167" s="187">
        <f t="shared" si="220"/>
        <v>398</v>
      </c>
      <c r="BM167" s="187">
        <f t="shared" si="221"/>
        <v>398</v>
      </c>
      <c r="BN167" s="188">
        <f t="shared" si="243"/>
        <v>65004544</v>
      </c>
      <c r="BO167" s="188">
        <f t="shared" si="224"/>
        <v>86730966</v>
      </c>
      <c r="BP167" s="188">
        <f t="shared" si="225"/>
        <v>92766238</v>
      </c>
      <c r="BQ167" s="188">
        <f t="shared" si="226"/>
        <v>3017636</v>
      </c>
      <c r="BR167" s="188">
        <f t="shared" si="227"/>
        <v>2996940</v>
      </c>
      <c r="BS167" s="188">
        <f t="shared" si="198"/>
        <v>250516324</v>
      </c>
      <c r="BT167" s="188">
        <f t="shared" si="199"/>
        <v>65004544</v>
      </c>
      <c r="BU167" s="188">
        <f t="shared" si="200"/>
        <v>86730966</v>
      </c>
      <c r="BV167" s="188">
        <f t="shared" si="201"/>
        <v>92766238</v>
      </c>
      <c r="BW167" s="188">
        <f t="shared" si="202"/>
        <v>3017636</v>
      </c>
      <c r="BX167" s="188">
        <f t="shared" si="203"/>
        <v>2996940</v>
      </c>
      <c r="BY167" s="188">
        <f t="shared" si="204"/>
        <v>250516324</v>
      </c>
      <c r="BZ167" s="305">
        <f>IF(COT_PRECALCULOS!$D$24="Precios Iva Incluído",BI167,BD167)</f>
        <v>398</v>
      </c>
      <c r="CA167" s="305">
        <f>IF(COT_PRECALCULOS!$D$24="Precios Iva Incluído",BJ167,BE167)</f>
        <v>398</v>
      </c>
      <c r="CB167" s="305">
        <f>IF(COT_PRECALCULOS!$D$24="Precios Iva Incluído",BK167,BF167)</f>
        <v>398</v>
      </c>
      <c r="CC167" s="305">
        <f>IF(COT_PRECALCULOS!$D$24="Precios Iva Incluído",BL167,BG167)</f>
        <v>398</v>
      </c>
      <c r="CD167" s="305">
        <f>IF(COT_PRECALCULOS!$D$24="Precios Iva Incluído",BM167,BH167)</f>
        <v>398</v>
      </c>
      <c r="CE167" s="305">
        <f>IF(COT_PRECALCULOS!$D$24="Precios Iva Incluído",BT167,BN167)</f>
        <v>65004544</v>
      </c>
      <c r="CF167" s="305">
        <f>IF(COT_PRECALCULOS!$D$24="Precios Iva Incluído",BU167,BO167)</f>
        <v>86730966</v>
      </c>
      <c r="CG167" s="305">
        <f>IF(COT_PRECALCULOS!$D$24="Precios Iva Incluído",BV167,BP167)</f>
        <v>92766238</v>
      </c>
      <c r="CH167" s="305">
        <f>IF(COT_PRECALCULOS!$D$24="Precios Iva Incluído",BW167,BQ167)</f>
        <v>3017636</v>
      </c>
      <c r="CI167" s="305">
        <f>IF(COT_PRECALCULOS!$D$24="Precios Iva Incluído",BX167,BR167)</f>
        <v>2996940</v>
      </c>
    </row>
    <row r="168" spans="1:87">
      <c r="A168" s="182" t="s">
        <v>102</v>
      </c>
      <c r="B168" s="182" t="s">
        <v>126</v>
      </c>
      <c r="C168" s="189" t="str">
        <f t="shared" si="193"/>
        <v>F_SE1</v>
      </c>
      <c r="D168" s="189" t="str">
        <f t="shared" si="194"/>
        <v>8_S_</v>
      </c>
      <c r="E168" s="190" t="s">
        <v>1</v>
      </c>
      <c r="F168" s="190" t="s">
        <v>1</v>
      </c>
      <c r="G168" s="189" t="s">
        <v>29</v>
      </c>
      <c r="H168" s="190" t="s">
        <v>2</v>
      </c>
      <c r="I168" s="190" t="s">
        <v>54</v>
      </c>
      <c r="J168" s="190">
        <v>8</v>
      </c>
      <c r="K168" s="190" t="s">
        <v>55</v>
      </c>
      <c r="L168" s="189" t="s">
        <v>9</v>
      </c>
      <c r="M168" s="211">
        <v>100</v>
      </c>
      <c r="N168" s="211">
        <v>100</v>
      </c>
      <c r="O168" s="211">
        <v>100</v>
      </c>
      <c r="P168" s="211"/>
      <c r="Q168" s="211"/>
      <c r="R168" s="190"/>
      <c r="S168" s="183">
        <f>COUNTIF(CAL_SEGUNDA_ENTREGA_LAV_FRUTA,CONCATENATE(G168,"_",J168))</f>
        <v>0</v>
      </c>
      <c r="T168" s="385">
        <f t="shared" si="239"/>
        <v>0</v>
      </c>
      <c r="U168" s="385">
        <f t="shared" ref="U168:V172" si="250">$S168</f>
        <v>0</v>
      </c>
      <c r="V168" s="385">
        <f t="shared" si="250"/>
        <v>0</v>
      </c>
      <c r="W168" s="387"/>
      <c r="X168" s="387"/>
      <c r="Y168" s="184">
        <f t="shared" si="207"/>
        <v>28053</v>
      </c>
      <c r="Z168" s="184">
        <f t="shared" si="235"/>
        <v>31277</v>
      </c>
      <c r="AA168" s="184">
        <f t="shared" si="236"/>
        <v>46469</v>
      </c>
      <c r="AB168" s="184">
        <f t="shared" si="237"/>
        <v>0</v>
      </c>
      <c r="AC168" s="184">
        <f t="shared" si="238"/>
        <v>0</v>
      </c>
      <c r="AD168" s="184">
        <f t="shared" si="212"/>
        <v>105799</v>
      </c>
      <c r="AE168" s="183">
        <f>COUNTIF(CAL_SEGUNDA_ENTREGA_FDS_FRUTA,CONCATENATE(G168,"_",J168))</f>
        <v>0</v>
      </c>
      <c r="AF168" s="385">
        <f t="shared" si="230"/>
        <v>0</v>
      </c>
      <c r="AG168" s="385">
        <f t="shared" si="230"/>
        <v>0</v>
      </c>
      <c r="AH168" s="385">
        <f t="shared" si="230"/>
        <v>0</v>
      </c>
      <c r="AI168" s="185">
        <f t="shared" si="213"/>
        <v>74</v>
      </c>
      <c r="AJ168" s="185">
        <f t="shared" si="214"/>
        <v>433</v>
      </c>
      <c r="AK168" s="185">
        <f t="shared" si="215"/>
        <v>683</v>
      </c>
      <c r="AL168" s="185">
        <f t="shared" si="216"/>
        <v>1190</v>
      </c>
      <c r="AM168" s="173">
        <f t="shared" si="240"/>
        <v>0</v>
      </c>
      <c r="AN168" s="173">
        <f t="shared" si="244"/>
        <v>0</v>
      </c>
      <c r="AO168" s="173">
        <f t="shared" si="245"/>
        <v>0</v>
      </c>
      <c r="AP168" s="173">
        <f t="shared" si="195"/>
        <v>0</v>
      </c>
      <c r="AQ168" s="173">
        <f t="shared" si="196"/>
        <v>0</v>
      </c>
      <c r="AR168" s="173">
        <f t="shared" si="197"/>
        <v>0</v>
      </c>
      <c r="AS168" s="186" t="s">
        <v>1360</v>
      </c>
      <c r="AT168" s="300">
        <f t="shared" si="249"/>
        <v>1.25</v>
      </c>
      <c r="AU168" s="300">
        <f t="shared" si="249"/>
        <v>1.25</v>
      </c>
      <c r="AV168" s="300">
        <f t="shared" si="249"/>
        <v>1.25</v>
      </c>
      <c r="AW168" s="300">
        <f t="shared" si="249"/>
        <v>1.25</v>
      </c>
      <c r="AX168" s="300">
        <f t="shared" si="249"/>
        <v>1.25</v>
      </c>
      <c r="AY168" s="301">
        <f t="shared" ref="AY168:BC177" si="251">IF(ISERROR(MATCH(CONCATENATE($J168,"_",AY$1),COT_PRE_CODIGO_ALIMENTOS,0)),IF(ISERROR(MATCH(CONCATENATE($J168,"_",AY$2),COT_PRE_CODIGO_ALIMENTOS,0)),IF(ISERROR(MATCH(CONCATENATE($J168,"_",AY$3),COT_PRE_CODIGO_ALIMENTOS,0)),IF(ISERROR(MATCH(CONCATENATE($J168,"_",AY$4),COT_PRE_CODIGO_ALIMENTOS,0)),IF(ISERROR(MATCH(CONCATENATE($J168,"_",AY$5),COT_PRE_CODIGO_ALIMENTOS,0)),IF(ISERROR(MATCH(CONCATENATE($J168,"_",AY$6),COT_PRE_CODIGO_ALIMENTOS,0)),IF(ISERROR(MATCH(CONCATENATE($J168,"_",AY$7),COT_PRE_CODIGO_ALIMENTOS,0)),IF(ISERROR(VLOOKUP($J168,COT_PRE_ALIMENTOS,AY$8,FALSE)),"DATO NO DISPONIBLE",VLOOKUP($J168,COT_PRE_ALIMENTOS,AY$8,FALSE)),VLOOKUP(CONCATENATE($J168,"_",AY$7),COT_PRE_ALIMENTOS,AY$8,FALSE)),VLOOKUP(CONCATENATE($J168,"_",AY$6),COT_PRE_ALIMENTOS,AY$8,FALSE)),VLOOKUP(CONCATENATE($J168,"_",AY$5),COT_PRE_ALIMENTOS,AY$8,FALSE)),VLOOKUP(CONCATENATE($J168,"_",AY$4),COT_PRE_ALIMENTOS,AY$8,FALSE)),VLOOKUP(CONCATENATE($J168,"_",AY$3),COT_PRE_ALIMENTOS,AY$8,FALSE)),VLOOKUP(CONCATENATE($J168,"_",AY$2),COT_PRE_ALIMENTOS,AY$8,FALSE)),VLOOKUP(CONCATENATE($J168,"_",AY$1),COT_PRE_ALIMENTOS,AY$8,FALSE))</f>
        <v>1.25</v>
      </c>
      <c r="AZ168" s="301">
        <f t="shared" si="251"/>
        <v>1.25</v>
      </c>
      <c r="BA168" s="301">
        <f t="shared" si="251"/>
        <v>1.25</v>
      </c>
      <c r="BB168" s="301">
        <f t="shared" si="251"/>
        <v>1.25</v>
      </c>
      <c r="BC168" s="301">
        <f t="shared" si="251"/>
        <v>1.25</v>
      </c>
      <c r="BD168" s="187">
        <f t="shared" si="241"/>
        <v>134</v>
      </c>
      <c r="BE168" s="187">
        <f t="shared" si="246"/>
        <v>134</v>
      </c>
      <c r="BF168" s="187">
        <f t="shared" si="247"/>
        <v>134</v>
      </c>
      <c r="BG168" s="187"/>
      <c r="BH168" s="187"/>
      <c r="BI168" s="187">
        <f t="shared" si="242"/>
        <v>134</v>
      </c>
      <c r="BJ168" s="187">
        <f t="shared" si="222"/>
        <v>134</v>
      </c>
      <c r="BK168" s="187">
        <f t="shared" si="223"/>
        <v>134</v>
      </c>
      <c r="BL168" s="187"/>
      <c r="BM168" s="187"/>
      <c r="BN168" s="188">
        <f t="shared" si="243"/>
        <v>0</v>
      </c>
      <c r="BO168" s="188">
        <f t="shared" si="224"/>
        <v>0</v>
      </c>
      <c r="BP168" s="188">
        <f t="shared" si="225"/>
        <v>0</v>
      </c>
      <c r="BQ168" s="188">
        <f t="shared" si="226"/>
        <v>0</v>
      </c>
      <c r="BR168" s="188">
        <f t="shared" si="227"/>
        <v>0</v>
      </c>
      <c r="BS168" s="188">
        <f t="shared" si="198"/>
        <v>0</v>
      </c>
      <c r="BT168" s="188">
        <f t="shared" si="199"/>
        <v>0</v>
      </c>
      <c r="BU168" s="188">
        <f t="shared" si="200"/>
        <v>0</v>
      </c>
      <c r="BV168" s="188">
        <f t="shared" si="201"/>
        <v>0</v>
      </c>
      <c r="BW168" s="188">
        <f t="shared" si="202"/>
        <v>0</v>
      </c>
      <c r="BX168" s="188">
        <f t="shared" si="203"/>
        <v>0</v>
      </c>
      <c r="BY168" s="188">
        <f t="shared" si="204"/>
        <v>0</v>
      </c>
      <c r="BZ168" s="305">
        <f>IF(COT_PRECALCULOS!$D$24="Precios Iva Incluído",BI168,BD168)</f>
        <v>134</v>
      </c>
      <c r="CA168" s="305">
        <f>IF(COT_PRECALCULOS!$D$24="Precios Iva Incluído",BJ168,BE168)</f>
        <v>134</v>
      </c>
      <c r="CB168" s="305">
        <f>IF(COT_PRECALCULOS!$D$24="Precios Iva Incluído",BK168,BF168)</f>
        <v>134</v>
      </c>
      <c r="CC168" s="305">
        <f>IF(COT_PRECALCULOS!$D$24="Precios Iva Incluído",BL168,BG168)</f>
        <v>0</v>
      </c>
      <c r="CD168" s="305">
        <f>IF(COT_PRECALCULOS!$D$24="Precios Iva Incluído",BM168,BH168)</f>
        <v>0</v>
      </c>
      <c r="CE168" s="305">
        <f>IF(COT_PRECALCULOS!$D$24="Precios Iva Incluído",BT168,BN168)</f>
        <v>0</v>
      </c>
      <c r="CF168" s="305">
        <f>IF(COT_PRECALCULOS!$D$24="Precios Iva Incluído",BU168,BO168)</f>
        <v>0</v>
      </c>
      <c r="CG168" s="305">
        <f>IF(COT_PRECALCULOS!$D$24="Precios Iva Incluído",BV168,BP168)</f>
        <v>0</v>
      </c>
      <c r="CH168" s="305">
        <f>IF(COT_PRECALCULOS!$D$24="Precios Iva Incluído",BW168,BQ168)</f>
        <v>0</v>
      </c>
      <c r="CI168" s="305">
        <f>IF(COT_PRECALCULOS!$D$24="Precios Iva Incluído",BX168,BR168)</f>
        <v>0</v>
      </c>
    </row>
    <row r="169" spans="1:87">
      <c r="A169" s="182" t="s">
        <v>102</v>
      </c>
      <c r="B169" s="182" t="s">
        <v>126</v>
      </c>
      <c r="C169" s="189" t="str">
        <f t="shared" si="193"/>
        <v>F_SE1</v>
      </c>
      <c r="D169" s="189" t="str">
        <f t="shared" si="194"/>
        <v>7_S_</v>
      </c>
      <c r="E169" s="190" t="s">
        <v>1</v>
      </c>
      <c r="F169" s="190" t="s">
        <v>1</v>
      </c>
      <c r="G169" s="189" t="s">
        <v>29</v>
      </c>
      <c r="H169" s="190"/>
      <c r="I169" s="190" t="s">
        <v>56</v>
      </c>
      <c r="J169" s="190">
        <v>7</v>
      </c>
      <c r="K169" s="190" t="s">
        <v>57</v>
      </c>
      <c r="L169" s="189" t="s">
        <v>9</v>
      </c>
      <c r="M169" s="211">
        <v>100</v>
      </c>
      <c r="N169" s="211">
        <v>100</v>
      </c>
      <c r="O169" s="211">
        <v>100</v>
      </c>
      <c r="P169" s="211"/>
      <c r="Q169" s="211"/>
      <c r="R169" s="190"/>
      <c r="S169" s="183">
        <f>COUNTIF(CAL_SEGUNDA_ENTREGA_LAV_FRUTA,CONCATENATE(G169,"_",J169))</f>
        <v>1</v>
      </c>
      <c r="T169" s="385">
        <f t="shared" si="239"/>
        <v>1</v>
      </c>
      <c r="U169" s="385">
        <f t="shared" si="250"/>
        <v>1</v>
      </c>
      <c r="V169" s="385">
        <f t="shared" si="250"/>
        <v>1</v>
      </c>
      <c r="W169" s="387"/>
      <c r="X169" s="387"/>
      <c r="Y169" s="184">
        <f t="shared" si="207"/>
        <v>28053</v>
      </c>
      <c r="Z169" s="184">
        <f t="shared" si="235"/>
        <v>31277</v>
      </c>
      <c r="AA169" s="184">
        <f t="shared" si="236"/>
        <v>46469</v>
      </c>
      <c r="AB169" s="184">
        <f t="shared" si="237"/>
        <v>0</v>
      </c>
      <c r="AC169" s="184">
        <f t="shared" si="238"/>
        <v>0</v>
      </c>
      <c r="AD169" s="184">
        <f t="shared" si="212"/>
        <v>105799</v>
      </c>
      <c r="AE169" s="183">
        <f>COUNTIF(CAL_SEGUNDA_ENTREGA_FDS_FRUTA,CONCATENATE(G169,"_",J169))</f>
        <v>0</v>
      </c>
      <c r="AF169" s="385">
        <f t="shared" si="230"/>
        <v>0</v>
      </c>
      <c r="AG169" s="385">
        <f t="shared" si="230"/>
        <v>0</v>
      </c>
      <c r="AH169" s="385">
        <f t="shared" si="230"/>
        <v>0</v>
      </c>
      <c r="AI169" s="185">
        <f t="shared" si="213"/>
        <v>74</v>
      </c>
      <c r="AJ169" s="185">
        <f t="shared" si="214"/>
        <v>433</v>
      </c>
      <c r="AK169" s="185">
        <f t="shared" si="215"/>
        <v>683</v>
      </c>
      <c r="AL169" s="185">
        <f t="shared" si="216"/>
        <v>1190</v>
      </c>
      <c r="AM169" s="173">
        <f t="shared" si="240"/>
        <v>28053</v>
      </c>
      <c r="AN169" s="173">
        <f t="shared" si="244"/>
        <v>31277</v>
      </c>
      <c r="AO169" s="173">
        <f t="shared" si="245"/>
        <v>46469</v>
      </c>
      <c r="AP169" s="173">
        <f t="shared" si="195"/>
        <v>0</v>
      </c>
      <c r="AQ169" s="173">
        <f t="shared" si="196"/>
        <v>0</v>
      </c>
      <c r="AR169" s="173">
        <f t="shared" si="197"/>
        <v>105799</v>
      </c>
      <c r="AS169" s="186" t="s">
        <v>1360</v>
      </c>
      <c r="AT169" s="300">
        <f t="shared" si="249"/>
        <v>1</v>
      </c>
      <c r="AU169" s="300">
        <f t="shared" si="249"/>
        <v>1</v>
      </c>
      <c r="AV169" s="300">
        <f t="shared" si="249"/>
        <v>1</v>
      </c>
      <c r="AW169" s="300">
        <f t="shared" si="249"/>
        <v>1</v>
      </c>
      <c r="AX169" s="300">
        <f t="shared" si="249"/>
        <v>1</v>
      </c>
      <c r="AY169" s="301">
        <f t="shared" si="251"/>
        <v>1</v>
      </c>
      <c r="AZ169" s="301">
        <f t="shared" si="251"/>
        <v>1</v>
      </c>
      <c r="BA169" s="301">
        <f t="shared" si="251"/>
        <v>1</v>
      </c>
      <c r="BB169" s="301">
        <f t="shared" si="251"/>
        <v>1</v>
      </c>
      <c r="BC169" s="301">
        <f t="shared" si="251"/>
        <v>1</v>
      </c>
      <c r="BD169" s="187">
        <f t="shared" si="241"/>
        <v>107</v>
      </c>
      <c r="BE169" s="187">
        <f t="shared" si="246"/>
        <v>107</v>
      </c>
      <c r="BF169" s="187">
        <f t="shared" si="247"/>
        <v>107</v>
      </c>
      <c r="BG169" s="187"/>
      <c r="BH169" s="187"/>
      <c r="BI169" s="187">
        <f t="shared" si="242"/>
        <v>107</v>
      </c>
      <c r="BJ169" s="187">
        <f t="shared" si="222"/>
        <v>107</v>
      </c>
      <c r="BK169" s="187">
        <f t="shared" si="223"/>
        <v>107</v>
      </c>
      <c r="BL169" s="187"/>
      <c r="BM169" s="187"/>
      <c r="BN169" s="188">
        <f t="shared" si="243"/>
        <v>3001671</v>
      </c>
      <c r="BO169" s="188">
        <f t="shared" si="224"/>
        <v>3346639</v>
      </c>
      <c r="BP169" s="188">
        <f t="shared" si="225"/>
        <v>4972183</v>
      </c>
      <c r="BQ169" s="188">
        <f t="shared" si="226"/>
        <v>0</v>
      </c>
      <c r="BR169" s="188">
        <f t="shared" si="227"/>
        <v>0</v>
      </c>
      <c r="BS169" s="188">
        <f t="shared" si="198"/>
        <v>11320493</v>
      </c>
      <c r="BT169" s="188">
        <f t="shared" si="199"/>
        <v>3001671</v>
      </c>
      <c r="BU169" s="188">
        <f t="shared" si="200"/>
        <v>3346639</v>
      </c>
      <c r="BV169" s="188">
        <f t="shared" si="201"/>
        <v>4972183</v>
      </c>
      <c r="BW169" s="188">
        <f t="shared" si="202"/>
        <v>0</v>
      </c>
      <c r="BX169" s="188">
        <f t="shared" si="203"/>
        <v>0</v>
      </c>
      <c r="BY169" s="188">
        <f t="shared" si="204"/>
        <v>11320493</v>
      </c>
      <c r="BZ169" s="305">
        <f>IF(COT_PRECALCULOS!$D$24="Precios Iva Incluído",BI169,BD169)</f>
        <v>107</v>
      </c>
      <c r="CA169" s="305">
        <f>IF(COT_PRECALCULOS!$D$24="Precios Iva Incluído",BJ169,BE169)</f>
        <v>107</v>
      </c>
      <c r="CB169" s="305">
        <f>IF(COT_PRECALCULOS!$D$24="Precios Iva Incluído",BK169,BF169)</f>
        <v>107</v>
      </c>
      <c r="CC169" s="305">
        <f>IF(COT_PRECALCULOS!$D$24="Precios Iva Incluído",BL169,BG169)</f>
        <v>0</v>
      </c>
      <c r="CD169" s="305">
        <f>IF(COT_PRECALCULOS!$D$24="Precios Iva Incluído",BM169,BH169)</f>
        <v>0</v>
      </c>
      <c r="CE169" s="305">
        <f>IF(COT_PRECALCULOS!$D$24="Precios Iva Incluído",BT169,BN169)</f>
        <v>3001671</v>
      </c>
      <c r="CF169" s="305">
        <f>IF(COT_PRECALCULOS!$D$24="Precios Iva Incluído",BU169,BO169)</f>
        <v>3346639</v>
      </c>
      <c r="CG169" s="305">
        <f>IF(COT_PRECALCULOS!$D$24="Precios Iva Incluído",BV169,BP169)</f>
        <v>4972183</v>
      </c>
      <c r="CH169" s="305">
        <f>IF(COT_PRECALCULOS!$D$24="Precios Iva Incluído",BW169,BQ169)</f>
        <v>0</v>
      </c>
      <c r="CI169" s="305">
        <f>IF(COT_PRECALCULOS!$D$24="Precios Iva Incluído",BX169,BR169)</f>
        <v>0</v>
      </c>
    </row>
    <row r="170" spans="1:87">
      <c r="A170" s="182" t="s">
        <v>102</v>
      </c>
      <c r="B170" s="182" t="s">
        <v>126</v>
      </c>
      <c r="C170" s="189" t="str">
        <f t="shared" si="193"/>
        <v>F_SE1</v>
      </c>
      <c r="D170" s="189" t="str">
        <f t="shared" si="194"/>
        <v>17_S_</v>
      </c>
      <c r="E170" s="211" t="s">
        <v>1</v>
      </c>
      <c r="F170" s="211" t="s">
        <v>1</v>
      </c>
      <c r="G170" s="189" t="s">
        <v>29</v>
      </c>
      <c r="H170" s="211"/>
      <c r="I170" s="211" t="s">
        <v>52</v>
      </c>
      <c r="J170" s="211">
        <v>17</v>
      </c>
      <c r="K170" s="211" t="s">
        <v>53</v>
      </c>
      <c r="L170" s="189" t="s">
        <v>9</v>
      </c>
      <c r="M170" s="386">
        <v>0</v>
      </c>
      <c r="N170" s="211">
        <v>100</v>
      </c>
      <c r="O170" s="211">
        <v>100</v>
      </c>
      <c r="P170" s="211"/>
      <c r="Q170" s="211"/>
      <c r="R170" s="211" t="s">
        <v>73</v>
      </c>
      <c r="S170" s="183">
        <f>COUNTIF(CAL_SEGUNDA_ENTREGA_LAV_FRUTA,CONCATENATE(G170,"_",J170))</f>
        <v>2</v>
      </c>
      <c r="T170" s="386">
        <v>0</v>
      </c>
      <c r="U170" s="385">
        <f t="shared" si="250"/>
        <v>2</v>
      </c>
      <c r="V170" s="385">
        <f t="shared" si="250"/>
        <v>2</v>
      </c>
      <c r="W170" s="387"/>
      <c r="X170" s="387"/>
      <c r="Y170" s="184">
        <f t="shared" si="207"/>
        <v>0</v>
      </c>
      <c r="Z170" s="184">
        <f t="shared" si="235"/>
        <v>31277</v>
      </c>
      <c r="AA170" s="184">
        <f t="shared" si="236"/>
        <v>46469</v>
      </c>
      <c r="AB170" s="184">
        <f t="shared" si="237"/>
        <v>0</v>
      </c>
      <c r="AC170" s="184">
        <f t="shared" si="238"/>
        <v>0</v>
      </c>
      <c r="AD170" s="184">
        <f t="shared" si="212"/>
        <v>77746</v>
      </c>
      <c r="AE170" s="183">
        <f>COUNTIF(CAL_SEGUNDA_ENTREGA_FDS_FRUTA,CONCATENATE(G170,"_",J170))</f>
        <v>2</v>
      </c>
      <c r="AF170" s="386">
        <v>0</v>
      </c>
      <c r="AG170" s="385">
        <f>$AE170</f>
        <v>2</v>
      </c>
      <c r="AH170" s="385">
        <f>$AE170</f>
        <v>2</v>
      </c>
      <c r="AI170" s="185">
        <f t="shared" si="213"/>
        <v>0</v>
      </c>
      <c r="AJ170" s="185">
        <f t="shared" si="214"/>
        <v>433</v>
      </c>
      <c r="AK170" s="185">
        <f t="shared" si="215"/>
        <v>683</v>
      </c>
      <c r="AL170" s="185">
        <f t="shared" si="216"/>
        <v>1116</v>
      </c>
      <c r="AM170" s="173">
        <v>0</v>
      </c>
      <c r="AN170" s="173">
        <f t="shared" si="244"/>
        <v>63420</v>
      </c>
      <c r="AO170" s="173">
        <f t="shared" si="245"/>
        <v>94304</v>
      </c>
      <c r="AP170" s="173">
        <f t="shared" si="195"/>
        <v>0</v>
      </c>
      <c r="AQ170" s="173">
        <f t="shared" si="196"/>
        <v>0</v>
      </c>
      <c r="AR170" s="173">
        <f t="shared" si="197"/>
        <v>157724</v>
      </c>
      <c r="AS170" s="186" t="s">
        <v>1360</v>
      </c>
      <c r="AT170" s="300">
        <f t="shared" si="249"/>
        <v>2.11</v>
      </c>
      <c r="AU170" s="300">
        <f t="shared" si="249"/>
        <v>2.11</v>
      </c>
      <c r="AV170" s="300">
        <f t="shared" si="249"/>
        <v>2.11</v>
      </c>
      <c r="AW170" s="300">
        <f t="shared" si="249"/>
        <v>2.11</v>
      </c>
      <c r="AX170" s="300">
        <f t="shared" si="249"/>
        <v>2.11</v>
      </c>
      <c r="AY170" s="301">
        <f t="shared" si="251"/>
        <v>2.11</v>
      </c>
      <c r="AZ170" s="301">
        <f t="shared" si="251"/>
        <v>2.11</v>
      </c>
      <c r="BA170" s="301">
        <f t="shared" si="251"/>
        <v>2.11</v>
      </c>
      <c r="BB170" s="301">
        <f t="shared" si="251"/>
        <v>2.11</v>
      </c>
      <c r="BC170" s="301">
        <f t="shared" si="251"/>
        <v>2.11</v>
      </c>
      <c r="BD170" s="187"/>
      <c r="BE170" s="187">
        <f t="shared" si="246"/>
        <v>226</v>
      </c>
      <c r="BF170" s="187">
        <f t="shared" si="247"/>
        <v>226</v>
      </c>
      <c r="BG170" s="187"/>
      <c r="BH170" s="187"/>
      <c r="BI170" s="187"/>
      <c r="BJ170" s="187">
        <f t="shared" si="222"/>
        <v>226</v>
      </c>
      <c r="BK170" s="187">
        <f t="shared" si="223"/>
        <v>226</v>
      </c>
      <c r="BL170" s="187"/>
      <c r="BM170" s="187"/>
      <c r="BN170" s="188"/>
      <c r="BO170" s="188">
        <f t="shared" si="224"/>
        <v>14332920</v>
      </c>
      <c r="BP170" s="188">
        <f t="shared" si="225"/>
        <v>21312704</v>
      </c>
      <c r="BQ170" s="188">
        <f t="shared" si="226"/>
        <v>0</v>
      </c>
      <c r="BR170" s="188">
        <f t="shared" si="227"/>
        <v>0</v>
      </c>
      <c r="BS170" s="188">
        <f t="shared" si="198"/>
        <v>35645624</v>
      </c>
      <c r="BT170" s="188">
        <f t="shared" si="199"/>
        <v>0</v>
      </c>
      <c r="BU170" s="188">
        <f t="shared" si="200"/>
        <v>14332920</v>
      </c>
      <c r="BV170" s="188">
        <f t="shared" si="201"/>
        <v>21312704</v>
      </c>
      <c r="BW170" s="188">
        <f t="shared" si="202"/>
        <v>0</v>
      </c>
      <c r="BX170" s="188">
        <f t="shared" si="203"/>
        <v>0</v>
      </c>
      <c r="BY170" s="188">
        <f t="shared" si="204"/>
        <v>35645624</v>
      </c>
      <c r="BZ170" s="305">
        <f>IF(COT_PRECALCULOS!$D$24="Precios Iva Incluído",BI170,BD170)</f>
        <v>0</v>
      </c>
      <c r="CA170" s="305">
        <f>IF(COT_PRECALCULOS!$D$24="Precios Iva Incluído",BJ170,BE170)</f>
        <v>226</v>
      </c>
      <c r="CB170" s="305">
        <f>IF(COT_PRECALCULOS!$D$24="Precios Iva Incluído",BK170,BF170)</f>
        <v>226</v>
      </c>
      <c r="CC170" s="305">
        <f>IF(COT_PRECALCULOS!$D$24="Precios Iva Incluído",BL170,BG170)</f>
        <v>0</v>
      </c>
      <c r="CD170" s="305">
        <f>IF(COT_PRECALCULOS!$D$24="Precios Iva Incluído",BM170,BH170)</f>
        <v>0</v>
      </c>
      <c r="CE170" s="305">
        <f>IF(COT_PRECALCULOS!$D$24="Precios Iva Incluído",BT170,BN170)</f>
        <v>0</v>
      </c>
      <c r="CF170" s="305">
        <f>IF(COT_PRECALCULOS!$D$24="Precios Iva Incluído",BU170,BO170)</f>
        <v>14332920</v>
      </c>
      <c r="CG170" s="305">
        <f>IF(COT_PRECALCULOS!$D$24="Precios Iva Incluído",BV170,BP170)</f>
        <v>21312704</v>
      </c>
      <c r="CH170" s="305">
        <f>IF(COT_PRECALCULOS!$D$24="Precios Iva Incluído",BW170,BQ170)</f>
        <v>0</v>
      </c>
      <c r="CI170" s="305">
        <f>IF(COT_PRECALCULOS!$D$24="Precios Iva Incluído",BX170,BR170)</f>
        <v>0</v>
      </c>
    </row>
    <row r="171" spans="1:87">
      <c r="A171" s="182" t="s">
        <v>102</v>
      </c>
      <c r="B171" s="182" t="s">
        <v>126</v>
      </c>
      <c r="C171" s="189" t="str">
        <f t="shared" si="193"/>
        <v>F_SE1</v>
      </c>
      <c r="D171" s="189" t="str">
        <f t="shared" si="194"/>
        <v>22_S_</v>
      </c>
      <c r="E171" s="211" t="s">
        <v>1</v>
      </c>
      <c r="F171" s="211" t="s">
        <v>1</v>
      </c>
      <c r="G171" s="189" t="s">
        <v>29</v>
      </c>
      <c r="H171" s="211"/>
      <c r="I171" s="211" t="s">
        <v>50</v>
      </c>
      <c r="J171" s="211">
        <v>22</v>
      </c>
      <c r="K171" s="211" t="s">
        <v>51</v>
      </c>
      <c r="L171" s="189" t="s">
        <v>9</v>
      </c>
      <c r="M171" s="386">
        <v>0</v>
      </c>
      <c r="N171" s="211">
        <v>100</v>
      </c>
      <c r="O171" s="211">
        <v>100</v>
      </c>
      <c r="P171" s="211"/>
      <c r="Q171" s="211"/>
      <c r="R171" s="211" t="s">
        <v>73</v>
      </c>
      <c r="S171" s="183">
        <f>COUNTIF(CAL_SEGUNDA_ENTREGA_LAV_FRUTA,CONCATENATE(G171,"_",J171))</f>
        <v>2</v>
      </c>
      <c r="T171" s="386">
        <v>0</v>
      </c>
      <c r="U171" s="385">
        <f t="shared" si="250"/>
        <v>2</v>
      </c>
      <c r="V171" s="385">
        <f t="shared" si="250"/>
        <v>2</v>
      </c>
      <c r="W171" s="387"/>
      <c r="X171" s="387"/>
      <c r="Y171" s="184">
        <f t="shared" si="207"/>
        <v>0</v>
      </c>
      <c r="Z171" s="184">
        <f t="shared" si="235"/>
        <v>31277</v>
      </c>
      <c r="AA171" s="184">
        <f t="shared" si="236"/>
        <v>46469</v>
      </c>
      <c r="AB171" s="184">
        <f t="shared" si="237"/>
        <v>0</v>
      </c>
      <c r="AC171" s="184">
        <f t="shared" si="238"/>
        <v>0</v>
      </c>
      <c r="AD171" s="184">
        <f t="shared" si="212"/>
        <v>77746</v>
      </c>
      <c r="AE171" s="183">
        <f>COUNTIF(CAL_SEGUNDA_ENTREGA_FDS_FRUTA,CONCATENATE(G171,"_",J171))</f>
        <v>1</v>
      </c>
      <c r="AF171" s="386">
        <v>0</v>
      </c>
      <c r="AG171" s="385">
        <f>$AE171</f>
        <v>1</v>
      </c>
      <c r="AH171" s="385">
        <f>$AE171</f>
        <v>1</v>
      </c>
      <c r="AI171" s="185">
        <f t="shared" si="213"/>
        <v>0</v>
      </c>
      <c r="AJ171" s="185">
        <f t="shared" si="214"/>
        <v>433</v>
      </c>
      <c r="AK171" s="185">
        <f t="shared" si="215"/>
        <v>683</v>
      </c>
      <c r="AL171" s="185">
        <f t="shared" si="216"/>
        <v>1116</v>
      </c>
      <c r="AM171" s="173">
        <v>0</v>
      </c>
      <c r="AN171" s="173">
        <f t="shared" si="244"/>
        <v>62987</v>
      </c>
      <c r="AO171" s="173">
        <f t="shared" si="245"/>
        <v>93621</v>
      </c>
      <c r="AP171" s="173">
        <f t="shared" si="195"/>
        <v>0</v>
      </c>
      <c r="AQ171" s="173">
        <f t="shared" si="196"/>
        <v>0</v>
      </c>
      <c r="AR171" s="173">
        <f t="shared" si="197"/>
        <v>156608</v>
      </c>
      <c r="AS171" s="186" t="s">
        <v>1360</v>
      </c>
      <c r="AT171" s="300">
        <f t="shared" ref="AT171:AX180" si="252">IF(ISERROR(IF(ISERROR(MATCH(CONCATENATE($J171,"_",AT$1),COT_PRE_CODIGO_ALIMENTOS,0)),IF(ISERROR(MATCH(CONCATENATE($J171,"_",AT$2),COT_PRE_CODIGO_ALIMENTOS,0)),IF(ISERROR(MATCH(CONCATENATE($J171,"_",AT$3),COT_PRE_CODIGO_ALIMENTOS,0)),IF(ISERROR(MATCH(CONCATENATE($J171,"_",AT$4),COT_PRE_CODIGO_ALIMENTOS,0)),IF(ISERROR(MATCH(CONCATENATE($J171,"_",AT$5),COT_PRE_CODIGO_ALIMENTOS,0)),IF(ISERROR(MATCH(CONCATENATE($J171,"_",AT$6),COT_PRE_CODIGO_ALIMENTOS,0)),IF(ISERROR(MATCH(CONCATENATE($J171,"_",AT$7),COT_PRE_CODIGO_ALIMENTOS,0)),IF(ISERROR(VLOOKUP($J171,COT_PRE_ALIMENTOS,AT$8,FALSE)),"DATO NO DISPONIBLE",VLOOKUP($J171,COT_PRE_ALIMENTOS,AT$8,FALSE)),VLOOKUP(CONCATENATE($J171,"_",AT$7),COT_PRE_ALIMENTOS,AT$8,FALSE)),VLOOKUP(CONCATENATE($J171,"_",AT$6),COT_PRE_ALIMENTOS,AT$8,FALSE)),VLOOKUP(CONCATENATE($J171,"_",AT$5),COT_PRE_ALIMENTOS,AT$8,FALSE)),VLOOKUP(CONCATENATE($J171,"_",AT$4),COT_PRE_ALIMENTOS,AT$8,FALSE)),VLOOKUP(CONCATENATE($J171,"_",AT$3),COT_PRE_ALIMENTOS,AT$8,FALSE)),VLOOKUP(CONCATENATE($J171,"_",AT$2),COT_PRE_ALIMENTOS,AT$8,FALSE)),VLOOKUP(CONCATENATE($J171,"_",AT$1),COT_PRE_ALIMENTOS,AT$8,FALSE))),"DATO NO DISPONIBLE",IF(ISERROR(MATCH(CONCATENATE($J171,"_",AT$1),COT_PRE_CODIGO_ALIMENTOS,0)),IF(ISERROR(MATCH(CONCATENATE($J171,"_",AT$2),COT_PRE_CODIGO_ALIMENTOS,0)),IF(ISERROR(MATCH(CONCATENATE($J171,"_",AT$3),COT_PRE_CODIGO_ALIMENTOS,0)),IF(ISERROR(MATCH(CONCATENATE($J171,"_",AT$4),COT_PRE_CODIGO_ALIMENTOS,0)),IF(ISERROR(MATCH(CONCATENATE($J171,"_",AT$5),COT_PRE_CODIGO_ALIMENTOS,0)),IF(ISERROR(MATCH(CONCATENATE($J171,"_",AT$6),COT_PRE_CODIGO_ALIMENTOS,0)),IF(ISERROR(MATCH(CONCATENATE($J171,"_",AT$7),COT_PRE_CODIGO_ALIMENTOS,0)),IF(ISERROR(VLOOKUP($J171,COT_PRE_ALIMENTOS,AT$8,FALSE)),"DATO NO DISPONIBLE",VLOOKUP($J171,COT_PRE_ALIMENTOS,AT$8,FALSE)),VLOOKUP(CONCATENATE($J171,"_",AT$7),COT_PRE_ALIMENTOS,AT$8,FALSE)),VLOOKUP(CONCATENATE($J171,"_",AT$6),COT_PRE_ALIMENTOS,AT$8,FALSE)),VLOOKUP(CONCATENATE($J171,"_",AT$5),COT_PRE_ALIMENTOS,AT$8,FALSE)),VLOOKUP(CONCATENATE($J171,"_",AT$4),COT_PRE_ALIMENTOS,AT$8,FALSE)),VLOOKUP(CONCATENATE($J171,"_",AT$3),COT_PRE_ALIMENTOS,AT$8,FALSE)),VLOOKUP(CONCATENATE($J171,"_",AT$2),COT_PRE_ALIMENTOS,AT$8,FALSE)),VLOOKUP(CONCATENATE($J171,"_",AT$1),COT_PRE_ALIMENTOS,AT$8,FALSE)))</f>
        <v>4.9124999999999996</v>
      </c>
      <c r="AU171" s="300">
        <f t="shared" si="252"/>
        <v>4.9124999999999996</v>
      </c>
      <c r="AV171" s="300">
        <f t="shared" si="252"/>
        <v>4.9124999999999996</v>
      </c>
      <c r="AW171" s="300">
        <f t="shared" si="252"/>
        <v>4.9124999999999996</v>
      </c>
      <c r="AX171" s="300">
        <f t="shared" si="252"/>
        <v>4.9124999999999996</v>
      </c>
      <c r="AY171" s="301">
        <f t="shared" si="251"/>
        <v>4.9124999999999996</v>
      </c>
      <c r="AZ171" s="301">
        <f t="shared" si="251"/>
        <v>4.9124999999999996</v>
      </c>
      <c r="BA171" s="301">
        <f t="shared" si="251"/>
        <v>4.9124999999999996</v>
      </c>
      <c r="BB171" s="301">
        <f t="shared" si="251"/>
        <v>4.9124999999999996</v>
      </c>
      <c r="BC171" s="301">
        <f t="shared" si="251"/>
        <v>4.9124999999999996</v>
      </c>
      <c r="BD171" s="187"/>
      <c r="BE171" s="187">
        <f t="shared" si="246"/>
        <v>525</v>
      </c>
      <c r="BF171" s="187">
        <f t="shared" si="247"/>
        <v>525</v>
      </c>
      <c r="BG171" s="187"/>
      <c r="BH171" s="187"/>
      <c r="BI171" s="187"/>
      <c r="BJ171" s="187">
        <f t="shared" si="222"/>
        <v>525</v>
      </c>
      <c r="BK171" s="187">
        <f t="shared" si="223"/>
        <v>525</v>
      </c>
      <c r="BL171" s="187"/>
      <c r="BM171" s="187"/>
      <c r="BN171" s="188"/>
      <c r="BO171" s="188">
        <f t="shared" si="224"/>
        <v>33068175</v>
      </c>
      <c r="BP171" s="188">
        <f t="shared" si="225"/>
        <v>49151025</v>
      </c>
      <c r="BQ171" s="188">
        <f t="shared" si="226"/>
        <v>0</v>
      </c>
      <c r="BR171" s="188">
        <f t="shared" si="227"/>
        <v>0</v>
      </c>
      <c r="BS171" s="188">
        <f t="shared" si="198"/>
        <v>82219200</v>
      </c>
      <c r="BT171" s="188">
        <f t="shared" si="199"/>
        <v>0</v>
      </c>
      <c r="BU171" s="188">
        <f t="shared" si="200"/>
        <v>33068175</v>
      </c>
      <c r="BV171" s="188">
        <f t="shared" si="201"/>
        <v>49151025</v>
      </c>
      <c r="BW171" s="188">
        <f t="shared" si="202"/>
        <v>0</v>
      </c>
      <c r="BX171" s="188">
        <f t="shared" si="203"/>
        <v>0</v>
      </c>
      <c r="BY171" s="188">
        <f t="shared" si="204"/>
        <v>82219200</v>
      </c>
      <c r="BZ171" s="305">
        <f>IF(COT_PRECALCULOS!$D$24="Precios Iva Incluído",BI171,BD171)</f>
        <v>0</v>
      </c>
      <c r="CA171" s="305">
        <f>IF(COT_PRECALCULOS!$D$24="Precios Iva Incluído",BJ171,BE171)</f>
        <v>525</v>
      </c>
      <c r="CB171" s="305">
        <f>IF(COT_PRECALCULOS!$D$24="Precios Iva Incluído",BK171,BF171)</f>
        <v>525</v>
      </c>
      <c r="CC171" s="305">
        <f>IF(COT_PRECALCULOS!$D$24="Precios Iva Incluído",BL171,BG171)</f>
        <v>0</v>
      </c>
      <c r="CD171" s="305">
        <f>IF(COT_PRECALCULOS!$D$24="Precios Iva Incluído",BM171,BH171)</f>
        <v>0</v>
      </c>
      <c r="CE171" s="305">
        <f>IF(COT_PRECALCULOS!$D$24="Precios Iva Incluído",BT171,BN171)</f>
        <v>0</v>
      </c>
      <c r="CF171" s="305">
        <f>IF(COT_PRECALCULOS!$D$24="Precios Iva Incluído",BU171,BO171)</f>
        <v>33068175</v>
      </c>
      <c r="CG171" s="305">
        <f>IF(COT_PRECALCULOS!$D$24="Precios Iva Incluído",BV171,BP171)</f>
        <v>49151025</v>
      </c>
      <c r="CH171" s="305">
        <f>IF(COT_PRECALCULOS!$D$24="Precios Iva Incluído",BW171,BQ171)</f>
        <v>0</v>
      </c>
      <c r="CI171" s="305">
        <f>IF(COT_PRECALCULOS!$D$24="Precios Iva Incluído",BX171,BR171)</f>
        <v>0</v>
      </c>
    </row>
    <row r="172" spans="1:87">
      <c r="A172" s="182" t="s">
        <v>102</v>
      </c>
      <c r="B172" s="182" t="s">
        <v>126</v>
      </c>
      <c r="C172" s="189" t="str">
        <f t="shared" si="193"/>
        <v>F_SE1</v>
      </c>
      <c r="D172" s="189" t="str">
        <f t="shared" si="194"/>
        <v>33_S_</v>
      </c>
      <c r="E172" s="211" t="s">
        <v>1</v>
      </c>
      <c r="F172" s="211" t="s">
        <v>1</v>
      </c>
      <c r="G172" s="189" t="s">
        <v>29</v>
      </c>
      <c r="H172" s="211"/>
      <c r="I172" s="211" t="s">
        <v>58</v>
      </c>
      <c r="J172" s="211">
        <v>33</v>
      </c>
      <c r="K172" s="211" t="s">
        <v>59</v>
      </c>
      <c r="L172" s="189" t="s">
        <v>48</v>
      </c>
      <c r="M172" s="310">
        <v>90</v>
      </c>
      <c r="N172" s="310">
        <v>90</v>
      </c>
      <c r="O172" s="310">
        <v>90</v>
      </c>
      <c r="P172" s="211"/>
      <c r="Q172" s="211"/>
      <c r="R172" s="211"/>
      <c r="S172" s="183">
        <f>COUNTIF(CAL_SEGUNDA_ENTREGA_LAV_FRUTA,CONCATENATE(G172,"_",J172))</f>
        <v>3</v>
      </c>
      <c r="T172" s="385">
        <f>$S172</f>
        <v>3</v>
      </c>
      <c r="U172" s="385">
        <f t="shared" si="250"/>
        <v>3</v>
      </c>
      <c r="V172" s="385">
        <f t="shared" si="250"/>
        <v>3</v>
      </c>
      <c r="W172" s="387"/>
      <c r="X172" s="387"/>
      <c r="Y172" s="184">
        <f t="shared" si="207"/>
        <v>28053</v>
      </c>
      <c r="Z172" s="184">
        <f t="shared" si="235"/>
        <v>31277</v>
      </c>
      <c r="AA172" s="184">
        <f t="shared" si="236"/>
        <v>46469</v>
      </c>
      <c r="AB172" s="184">
        <f t="shared" si="237"/>
        <v>0</v>
      </c>
      <c r="AC172" s="184">
        <f t="shared" si="238"/>
        <v>0</v>
      </c>
      <c r="AD172" s="184">
        <f t="shared" si="212"/>
        <v>105799</v>
      </c>
      <c r="AE172" s="388">
        <v>2</v>
      </c>
      <c r="AF172" s="388">
        <f>$AE172</f>
        <v>2</v>
      </c>
      <c r="AG172" s="388">
        <v>0</v>
      </c>
      <c r="AH172" s="388">
        <v>0</v>
      </c>
      <c r="AI172" s="185">
        <f t="shared" si="213"/>
        <v>74</v>
      </c>
      <c r="AJ172" s="185">
        <v>0</v>
      </c>
      <c r="AK172" s="185">
        <v>0</v>
      </c>
      <c r="AL172" s="185">
        <f t="shared" si="216"/>
        <v>74</v>
      </c>
      <c r="AM172" s="173">
        <f t="shared" ref="AM172:AM178" si="253">($S172*Y172)+($AE172*AI172)</f>
        <v>84307</v>
      </c>
      <c r="AN172" s="173">
        <f t="shared" si="244"/>
        <v>93831</v>
      </c>
      <c r="AO172" s="173">
        <f t="shared" si="245"/>
        <v>139407</v>
      </c>
      <c r="AP172" s="173">
        <f t="shared" si="195"/>
        <v>0</v>
      </c>
      <c r="AQ172" s="173">
        <f t="shared" si="196"/>
        <v>0</v>
      </c>
      <c r="AR172" s="173">
        <f t="shared" si="197"/>
        <v>317545</v>
      </c>
      <c r="AS172" s="186" t="s">
        <v>1360</v>
      </c>
      <c r="AT172" s="300">
        <f t="shared" si="252"/>
        <v>2.8014999999999999</v>
      </c>
      <c r="AU172" s="300">
        <f t="shared" si="252"/>
        <v>2.8014999999999999</v>
      </c>
      <c r="AV172" s="300">
        <f t="shared" si="252"/>
        <v>2.8014999999999999</v>
      </c>
      <c r="AW172" s="300">
        <f t="shared" si="252"/>
        <v>2.8014999999999999</v>
      </c>
      <c r="AX172" s="300">
        <f t="shared" si="252"/>
        <v>2.8014999999999999</v>
      </c>
      <c r="AY172" s="301">
        <f t="shared" si="251"/>
        <v>2.8014999999999999</v>
      </c>
      <c r="AZ172" s="301">
        <f t="shared" si="251"/>
        <v>2.8014999999999999</v>
      </c>
      <c r="BA172" s="301">
        <f t="shared" si="251"/>
        <v>2.8014999999999999</v>
      </c>
      <c r="BB172" s="301">
        <f t="shared" si="251"/>
        <v>2.8014999999999999</v>
      </c>
      <c r="BC172" s="301">
        <f t="shared" si="251"/>
        <v>2.8014999999999999</v>
      </c>
      <c r="BD172" s="187">
        <f>ROUND(IF(OR(M172=0,AT172="DATO NO DISPONIBLE"),"",AT172*M172*($BD$7+1)),0)</f>
        <v>270</v>
      </c>
      <c r="BE172" s="187">
        <f t="shared" si="246"/>
        <v>270</v>
      </c>
      <c r="BF172" s="187">
        <f t="shared" si="247"/>
        <v>270</v>
      </c>
      <c r="BG172" s="187"/>
      <c r="BH172" s="187"/>
      <c r="BI172" s="187">
        <f>ROUND(IF(OR(M172=0,AY172="DATO NO DISPONIBLE"),0,AY172*M172*($BD$7+1)),0)</f>
        <v>270</v>
      </c>
      <c r="BJ172" s="187">
        <f t="shared" si="222"/>
        <v>270</v>
      </c>
      <c r="BK172" s="187">
        <f t="shared" si="223"/>
        <v>270</v>
      </c>
      <c r="BL172" s="187"/>
      <c r="BM172" s="187"/>
      <c r="BN172" s="188">
        <f>BD172*AM172</f>
        <v>22762890</v>
      </c>
      <c r="BO172" s="188">
        <f t="shared" si="224"/>
        <v>25334370</v>
      </c>
      <c r="BP172" s="188">
        <f t="shared" si="225"/>
        <v>37639890</v>
      </c>
      <c r="BQ172" s="188">
        <f t="shared" si="226"/>
        <v>0</v>
      </c>
      <c r="BR172" s="188">
        <f t="shared" si="227"/>
        <v>0</v>
      </c>
      <c r="BS172" s="188">
        <f t="shared" si="198"/>
        <v>85737150</v>
      </c>
      <c r="BT172" s="188">
        <f t="shared" si="199"/>
        <v>22762890</v>
      </c>
      <c r="BU172" s="188">
        <f t="shared" si="200"/>
        <v>25334370</v>
      </c>
      <c r="BV172" s="188">
        <f t="shared" si="201"/>
        <v>37639890</v>
      </c>
      <c r="BW172" s="188">
        <f t="shared" si="202"/>
        <v>0</v>
      </c>
      <c r="BX172" s="188">
        <f t="shared" si="203"/>
        <v>0</v>
      </c>
      <c r="BY172" s="188">
        <f t="shared" si="204"/>
        <v>85737150</v>
      </c>
      <c r="BZ172" s="305">
        <f>IF(COT_PRECALCULOS!$D$24="Precios Iva Incluído",BI172,BD172)</f>
        <v>270</v>
      </c>
      <c r="CA172" s="305">
        <f>IF(COT_PRECALCULOS!$D$24="Precios Iva Incluído",BJ172,BE172)</f>
        <v>270</v>
      </c>
      <c r="CB172" s="305">
        <f>IF(COT_PRECALCULOS!$D$24="Precios Iva Incluído",BK172,BF172)</f>
        <v>270</v>
      </c>
      <c r="CC172" s="305">
        <f>IF(COT_PRECALCULOS!$D$24="Precios Iva Incluído",BL172,BG172)</f>
        <v>0</v>
      </c>
      <c r="CD172" s="305">
        <f>IF(COT_PRECALCULOS!$D$24="Precios Iva Incluído",BM172,BH172)</f>
        <v>0</v>
      </c>
      <c r="CE172" s="305">
        <f>IF(COT_PRECALCULOS!$D$24="Precios Iva Incluído",BT172,BN172)</f>
        <v>22762890</v>
      </c>
      <c r="CF172" s="305">
        <f>IF(COT_PRECALCULOS!$D$24="Precios Iva Incluído",BU172,BO172)</f>
        <v>25334370</v>
      </c>
      <c r="CG172" s="305">
        <f>IF(COT_PRECALCULOS!$D$24="Precios Iva Incluído",BV172,BP172)</f>
        <v>37639890</v>
      </c>
      <c r="CH172" s="305">
        <f>IF(COT_PRECALCULOS!$D$24="Precios Iva Incluído",BW172,BQ172)</f>
        <v>0</v>
      </c>
      <c r="CI172" s="305">
        <f>IF(COT_PRECALCULOS!$D$24="Precios Iva Incluído",BX172,BR172)</f>
        <v>0</v>
      </c>
    </row>
    <row r="173" spans="1:87">
      <c r="A173" s="182" t="s">
        <v>102</v>
      </c>
      <c r="B173" s="182" t="s">
        <v>126</v>
      </c>
      <c r="C173" s="189" t="str">
        <f t="shared" si="193"/>
        <v>F_SE1</v>
      </c>
      <c r="D173" s="189" t="str">
        <f t="shared" si="194"/>
        <v>42_S_</v>
      </c>
      <c r="E173" s="211" t="s">
        <v>1</v>
      </c>
      <c r="F173" s="211" t="s">
        <v>1</v>
      </c>
      <c r="G173" s="189" t="s">
        <v>29</v>
      </c>
      <c r="H173" s="211"/>
      <c r="I173" s="211" t="s">
        <v>49</v>
      </c>
      <c r="J173" s="211">
        <v>42</v>
      </c>
      <c r="K173" s="211" t="s">
        <v>61</v>
      </c>
      <c r="L173" s="189" t="s">
        <v>9</v>
      </c>
      <c r="M173" s="211">
        <v>100</v>
      </c>
      <c r="N173" s="211">
        <v>100</v>
      </c>
      <c r="O173" s="211">
        <v>100</v>
      </c>
      <c r="P173" s="211"/>
      <c r="Q173" s="211"/>
      <c r="R173" s="211"/>
      <c r="S173" s="388">
        <v>2</v>
      </c>
      <c r="T173" s="388">
        <f>$S173</f>
        <v>2</v>
      </c>
      <c r="U173" s="388">
        <v>0</v>
      </c>
      <c r="V173" s="388">
        <v>0</v>
      </c>
      <c r="W173" s="387"/>
      <c r="X173" s="387"/>
      <c r="Y173" s="184">
        <f t="shared" si="207"/>
        <v>28053</v>
      </c>
      <c r="Z173" s="184">
        <v>0</v>
      </c>
      <c r="AA173" s="184">
        <v>0</v>
      </c>
      <c r="AB173" s="184">
        <f t="shared" si="237"/>
        <v>0</v>
      </c>
      <c r="AC173" s="184">
        <f t="shared" si="238"/>
        <v>0</v>
      </c>
      <c r="AD173" s="184">
        <f t="shared" si="212"/>
        <v>28053</v>
      </c>
      <c r="AE173" s="183">
        <f>COUNTIF(CAL_SEGUNDA_ENTREGA_FDS_FRUTA,CONCATENATE(G173,"_",J173))</f>
        <v>2</v>
      </c>
      <c r="AF173" s="385">
        <f>$AE173</f>
        <v>2</v>
      </c>
      <c r="AG173" s="385">
        <f t="shared" ref="AG173:AH175" si="254">$AE173</f>
        <v>2</v>
      </c>
      <c r="AH173" s="385">
        <f t="shared" si="254"/>
        <v>2</v>
      </c>
      <c r="AI173" s="185">
        <f t="shared" si="213"/>
        <v>74</v>
      </c>
      <c r="AJ173" s="185">
        <f>IF(OR(B173="NA",N173=0),0,VLOOKUP(B173,FRE_CANTIDADES_DIARIAS_SUMINISTROS,5,FALSE))</f>
        <v>433</v>
      </c>
      <c r="AK173" s="185">
        <f>IF(OR(B173="NA",O173=0),0,VLOOKUP(B173,FRE_CANTIDADES_DIARIAS_SUMINISTROS,6,FALSE))</f>
        <v>683</v>
      </c>
      <c r="AL173" s="185">
        <f t="shared" si="216"/>
        <v>1190</v>
      </c>
      <c r="AM173" s="173">
        <f t="shared" si="253"/>
        <v>56254</v>
      </c>
      <c r="AN173" s="173">
        <f t="shared" si="244"/>
        <v>866</v>
      </c>
      <c r="AO173" s="173">
        <f t="shared" si="245"/>
        <v>1366</v>
      </c>
      <c r="AP173" s="173">
        <f t="shared" si="195"/>
        <v>0</v>
      </c>
      <c r="AQ173" s="173">
        <f t="shared" si="196"/>
        <v>0</v>
      </c>
      <c r="AR173" s="173">
        <f t="shared" si="197"/>
        <v>58486</v>
      </c>
      <c r="AS173" s="186" t="s">
        <v>1360</v>
      </c>
      <c r="AT173" s="300">
        <f t="shared" si="252"/>
        <v>1.8169999999999999</v>
      </c>
      <c r="AU173" s="300">
        <f t="shared" si="252"/>
        <v>1.8169999999999999</v>
      </c>
      <c r="AV173" s="300">
        <f t="shared" si="252"/>
        <v>1.8169999999999999</v>
      </c>
      <c r="AW173" s="300">
        <f t="shared" si="252"/>
        <v>1.8169999999999999</v>
      </c>
      <c r="AX173" s="300">
        <f t="shared" si="252"/>
        <v>1.8169999999999999</v>
      </c>
      <c r="AY173" s="301">
        <f t="shared" si="251"/>
        <v>1.8169999999999999</v>
      </c>
      <c r="AZ173" s="301">
        <f t="shared" si="251"/>
        <v>1.8169999999999999</v>
      </c>
      <c r="BA173" s="301">
        <f t="shared" si="251"/>
        <v>1.8169999999999999</v>
      </c>
      <c r="BB173" s="301">
        <f t="shared" si="251"/>
        <v>1.8169999999999999</v>
      </c>
      <c r="BC173" s="301">
        <f t="shared" si="251"/>
        <v>1.8169999999999999</v>
      </c>
      <c r="BD173" s="187">
        <f>ROUND(IF(OR(M173=0,AT173="DATO NO DISPONIBLE"),"",AT173*M173*($BD$7+1)),0)</f>
        <v>194</v>
      </c>
      <c r="BE173" s="187">
        <f t="shared" si="246"/>
        <v>194</v>
      </c>
      <c r="BF173" s="187">
        <f t="shared" si="247"/>
        <v>194</v>
      </c>
      <c r="BG173" s="187"/>
      <c r="BH173" s="187"/>
      <c r="BI173" s="187">
        <f>ROUND(IF(OR(M173=0,AY173="DATO NO DISPONIBLE"),0,AY173*M173*($BD$7+1)),0)</f>
        <v>194</v>
      </c>
      <c r="BJ173" s="187">
        <f t="shared" si="222"/>
        <v>194</v>
      </c>
      <c r="BK173" s="187">
        <f t="shared" si="223"/>
        <v>194</v>
      </c>
      <c r="BL173" s="187"/>
      <c r="BM173" s="187"/>
      <c r="BN173" s="188">
        <f>BD173*AM173</f>
        <v>10913276</v>
      </c>
      <c r="BO173" s="188">
        <f t="shared" si="224"/>
        <v>168004</v>
      </c>
      <c r="BP173" s="188">
        <f t="shared" si="225"/>
        <v>265004</v>
      </c>
      <c r="BQ173" s="188">
        <f t="shared" si="226"/>
        <v>0</v>
      </c>
      <c r="BR173" s="188">
        <f t="shared" si="227"/>
        <v>0</v>
      </c>
      <c r="BS173" s="188">
        <f t="shared" si="198"/>
        <v>11346284</v>
      </c>
      <c r="BT173" s="188">
        <f t="shared" si="199"/>
        <v>10913276</v>
      </c>
      <c r="BU173" s="188">
        <f t="shared" si="200"/>
        <v>168004</v>
      </c>
      <c r="BV173" s="188">
        <f t="shared" si="201"/>
        <v>265004</v>
      </c>
      <c r="BW173" s="188">
        <f t="shared" si="202"/>
        <v>0</v>
      </c>
      <c r="BX173" s="188">
        <f t="shared" si="203"/>
        <v>0</v>
      </c>
      <c r="BY173" s="188">
        <f t="shared" si="204"/>
        <v>11346284</v>
      </c>
      <c r="BZ173" s="305">
        <f>IF(COT_PRECALCULOS!$D$24="Precios Iva Incluído",BI173,BD173)</f>
        <v>194</v>
      </c>
      <c r="CA173" s="305">
        <f>IF(COT_PRECALCULOS!$D$24="Precios Iva Incluído",BJ173,BE173)</f>
        <v>194</v>
      </c>
      <c r="CB173" s="305">
        <f>IF(COT_PRECALCULOS!$D$24="Precios Iva Incluído",BK173,BF173)</f>
        <v>194</v>
      </c>
      <c r="CC173" s="305">
        <f>IF(COT_PRECALCULOS!$D$24="Precios Iva Incluído",BL173,BG173)</f>
        <v>0</v>
      </c>
      <c r="CD173" s="305">
        <f>IF(COT_PRECALCULOS!$D$24="Precios Iva Incluído",BM173,BH173)</f>
        <v>0</v>
      </c>
      <c r="CE173" s="305">
        <f>IF(COT_PRECALCULOS!$D$24="Precios Iva Incluído",BT173,BN173)</f>
        <v>10913276</v>
      </c>
      <c r="CF173" s="305">
        <f>IF(COT_PRECALCULOS!$D$24="Precios Iva Incluído",BU173,BO173)</f>
        <v>168004</v>
      </c>
      <c r="CG173" s="305">
        <f>IF(COT_PRECALCULOS!$D$24="Precios Iva Incluído",BV173,BP173)</f>
        <v>265004</v>
      </c>
      <c r="CH173" s="305">
        <f>IF(COT_PRECALCULOS!$D$24="Precios Iva Incluído",BW173,BQ173)</f>
        <v>0</v>
      </c>
      <c r="CI173" s="305">
        <f>IF(COT_PRECALCULOS!$D$24="Precios Iva Incluído",BX173,BR173)</f>
        <v>0</v>
      </c>
    </row>
    <row r="174" spans="1:87">
      <c r="A174" s="182" t="s">
        <v>102</v>
      </c>
      <c r="B174" s="182" t="s">
        <v>126</v>
      </c>
      <c r="C174" s="189" t="str">
        <f t="shared" si="193"/>
        <v>F_SE1</v>
      </c>
      <c r="D174" s="189" t="str">
        <f t="shared" si="194"/>
        <v>43_S_</v>
      </c>
      <c r="E174" s="211" t="s">
        <v>1</v>
      </c>
      <c r="F174" s="211" t="s">
        <v>1</v>
      </c>
      <c r="G174" s="189" t="s">
        <v>29</v>
      </c>
      <c r="H174" s="211"/>
      <c r="I174" s="211" t="s">
        <v>60</v>
      </c>
      <c r="J174" s="211">
        <v>43</v>
      </c>
      <c r="K174" s="211" t="s">
        <v>62</v>
      </c>
      <c r="L174" s="189" t="s">
        <v>9</v>
      </c>
      <c r="M174" s="211">
        <v>100</v>
      </c>
      <c r="N174" s="211">
        <v>100</v>
      </c>
      <c r="O174" s="211">
        <v>100</v>
      </c>
      <c r="P174" s="211"/>
      <c r="Q174" s="211"/>
      <c r="R174" s="211"/>
      <c r="S174" s="183">
        <f>COUNTIF(CAL_SEGUNDA_ENTREGA_LAV_FRUTA,CONCATENATE(G174,"_",J174))</f>
        <v>2</v>
      </c>
      <c r="T174" s="385">
        <f>$S174</f>
        <v>2</v>
      </c>
      <c r="U174" s="385">
        <f>$S174</f>
        <v>2</v>
      </c>
      <c r="V174" s="385">
        <f>$S174</f>
        <v>2</v>
      </c>
      <c r="W174" s="387"/>
      <c r="X174" s="387"/>
      <c r="Y174" s="184">
        <f t="shared" si="207"/>
        <v>28053</v>
      </c>
      <c r="Z174" s="184">
        <f>IF(N174&lt;&gt;0,VLOOKUP(A174,FRE_CANTIDADES_DIARIAS_SUMINISTROS,5,FALSE),0)</f>
        <v>31277</v>
      </c>
      <c r="AA174" s="184">
        <f>IF(O174&lt;&gt;0,VLOOKUP(A174,FRE_CANTIDADES_DIARIAS_SUMINISTROS,6,FALSE),0)</f>
        <v>46469</v>
      </c>
      <c r="AB174" s="184">
        <f t="shared" si="237"/>
        <v>0</v>
      </c>
      <c r="AC174" s="184">
        <f t="shared" si="238"/>
        <v>0</v>
      </c>
      <c r="AD174" s="184">
        <f t="shared" si="212"/>
        <v>105799</v>
      </c>
      <c r="AE174" s="183">
        <f>COUNTIF(CAL_SEGUNDA_ENTREGA_FDS_FRUTA,CONCATENATE(G174,"_",J174))</f>
        <v>1</v>
      </c>
      <c r="AF174" s="385">
        <f>$AE174</f>
        <v>1</v>
      </c>
      <c r="AG174" s="385">
        <f t="shared" si="254"/>
        <v>1</v>
      </c>
      <c r="AH174" s="385">
        <f t="shared" si="254"/>
        <v>1</v>
      </c>
      <c r="AI174" s="185">
        <f t="shared" si="213"/>
        <v>74</v>
      </c>
      <c r="AJ174" s="185">
        <f>IF(OR(B174="NA",N174=0),0,VLOOKUP(B174,FRE_CANTIDADES_DIARIAS_SUMINISTROS,5,FALSE))</f>
        <v>433</v>
      </c>
      <c r="AK174" s="185">
        <f>IF(OR(B174="NA",O174=0),0,VLOOKUP(B174,FRE_CANTIDADES_DIARIAS_SUMINISTROS,6,FALSE))</f>
        <v>683</v>
      </c>
      <c r="AL174" s="185">
        <f t="shared" si="216"/>
        <v>1190</v>
      </c>
      <c r="AM174" s="173">
        <f t="shared" si="253"/>
        <v>56180</v>
      </c>
      <c r="AN174" s="173">
        <f t="shared" si="244"/>
        <v>62987</v>
      </c>
      <c r="AO174" s="173">
        <f t="shared" si="245"/>
        <v>93621</v>
      </c>
      <c r="AP174" s="173">
        <f t="shared" si="195"/>
        <v>0</v>
      </c>
      <c r="AQ174" s="173">
        <f t="shared" si="196"/>
        <v>0</v>
      </c>
      <c r="AR174" s="173">
        <f t="shared" si="197"/>
        <v>212788</v>
      </c>
      <c r="AS174" s="186" t="s">
        <v>1360</v>
      </c>
      <c r="AT174" s="300">
        <f t="shared" si="252"/>
        <v>1.5892500000000001</v>
      </c>
      <c r="AU174" s="300">
        <f t="shared" si="252"/>
        <v>1.5892500000000001</v>
      </c>
      <c r="AV174" s="300">
        <f t="shared" si="252"/>
        <v>1.5892500000000001</v>
      </c>
      <c r="AW174" s="300">
        <f t="shared" si="252"/>
        <v>1.5892500000000001</v>
      </c>
      <c r="AX174" s="300">
        <f t="shared" si="252"/>
        <v>1.5892500000000001</v>
      </c>
      <c r="AY174" s="301">
        <f t="shared" si="251"/>
        <v>1.5892500000000001</v>
      </c>
      <c r="AZ174" s="301">
        <f t="shared" si="251"/>
        <v>1.5892500000000001</v>
      </c>
      <c r="BA174" s="301">
        <f t="shared" si="251"/>
        <v>1.5892500000000001</v>
      </c>
      <c r="BB174" s="301">
        <f t="shared" si="251"/>
        <v>1.5892500000000001</v>
      </c>
      <c r="BC174" s="301">
        <f t="shared" si="251"/>
        <v>1.5892500000000001</v>
      </c>
      <c r="BD174" s="187">
        <f>ROUND(IF(OR(M174=0,AT174="DATO NO DISPONIBLE"),"",AT174*M174*($BD$7+1)),0)</f>
        <v>170</v>
      </c>
      <c r="BE174" s="187">
        <f t="shared" si="246"/>
        <v>170</v>
      </c>
      <c r="BF174" s="187">
        <f t="shared" si="247"/>
        <v>170</v>
      </c>
      <c r="BG174" s="187"/>
      <c r="BH174" s="187"/>
      <c r="BI174" s="187">
        <f>ROUND(IF(OR(M174=0,AY174="DATO NO DISPONIBLE"),0,AY174*M174*($BD$7+1)),0)</f>
        <v>170</v>
      </c>
      <c r="BJ174" s="187">
        <f t="shared" si="222"/>
        <v>170</v>
      </c>
      <c r="BK174" s="187">
        <f t="shared" si="223"/>
        <v>170</v>
      </c>
      <c r="BL174" s="187"/>
      <c r="BM174" s="187"/>
      <c r="BN174" s="188">
        <f>BD174*AM174</f>
        <v>9550600</v>
      </c>
      <c r="BO174" s="188">
        <f t="shared" si="224"/>
        <v>10707790</v>
      </c>
      <c r="BP174" s="188">
        <f t="shared" si="225"/>
        <v>15915570</v>
      </c>
      <c r="BQ174" s="188">
        <f t="shared" si="226"/>
        <v>0</v>
      </c>
      <c r="BR174" s="188">
        <f t="shared" si="227"/>
        <v>0</v>
      </c>
      <c r="BS174" s="188">
        <f t="shared" si="198"/>
        <v>36173960</v>
      </c>
      <c r="BT174" s="188">
        <f t="shared" si="199"/>
        <v>9550600</v>
      </c>
      <c r="BU174" s="188">
        <f t="shared" si="200"/>
        <v>10707790</v>
      </c>
      <c r="BV174" s="188">
        <f t="shared" si="201"/>
        <v>15915570</v>
      </c>
      <c r="BW174" s="188">
        <f t="shared" si="202"/>
        <v>0</v>
      </c>
      <c r="BX174" s="188">
        <f t="shared" si="203"/>
        <v>0</v>
      </c>
      <c r="BY174" s="188">
        <f t="shared" si="204"/>
        <v>36173960</v>
      </c>
      <c r="BZ174" s="305">
        <f>IF(COT_PRECALCULOS!$D$24="Precios Iva Incluído",BI174,BD174)</f>
        <v>170</v>
      </c>
      <c r="CA174" s="305">
        <f>IF(COT_PRECALCULOS!$D$24="Precios Iva Incluído",BJ174,BE174)</f>
        <v>170</v>
      </c>
      <c r="CB174" s="305">
        <f>IF(COT_PRECALCULOS!$D$24="Precios Iva Incluído",BK174,BF174)</f>
        <v>170</v>
      </c>
      <c r="CC174" s="305">
        <f>IF(COT_PRECALCULOS!$D$24="Precios Iva Incluído",BL174,BG174)</f>
        <v>0</v>
      </c>
      <c r="CD174" s="305">
        <f>IF(COT_PRECALCULOS!$D$24="Precios Iva Incluído",BM174,BH174)</f>
        <v>0</v>
      </c>
      <c r="CE174" s="305">
        <f>IF(COT_PRECALCULOS!$D$24="Precios Iva Incluído",BT174,BN174)</f>
        <v>9550600</v>
      </c>
      <c r="CF174" s="305">
        <f>IF(COT_PRECALCULOS!$D$24="Precios Iva Incluído",BU174,BO174)</f>
        <v>10707790</v>
      </c>
      <c r="CG174" s="305">
        <f>IF(COT_PRECALCULOS!$D$24="Precios Iva Incluído",BV174,BP174)</f>
        <v>15915570</v>
      </c>
      <c r="CH174" s="305">
        <f>IF(COT_PRECALCULOS!$D$24="Precios Iva Incluído",BW174,BQ174)</f>
        <v>0</v>
      </c>
      <c r="CI174" s="305">
        <f>IF(COT_PRECALCULOS!$D$24="Precios Iva Incluído",BX174,BR174)</f>
        <v>0</v>
      </c>
    </row>
    <row r="175" spans="1:87">
      <c r="A175" s="182" t="s">
        <v>102</v>
      </c>
      <c r="B175" s="182" t="s">
        <v>126</v>
      </c>
      <c r="C175" s="189" t="str">
        <f t="shared" si="193"/>
        <v>F_SE1</v>
      </c>
      <c r="D175" s="189" t="str">
        <f t="shared" si="194"/>
        <v>46_S_</v>
      </c>
      <c r="E175" s="211" t="s">
        <v>1</v>
      </c>
      <c r="F175" s="211" t="s">
        <v>1</v>
      </c>
      <c r="G175" s="189" t="s">
        <v>29</v>
      </c>
      <c r="H175" s="211"/>
      <c r="I175" s="211" t="s">
        <v>63</v>
      </c>
      <c r="J175" s="211">
        <v>46</v>
      </c>
      <c r="K175" s="211" t="s">
        <v>64</v>
      </c>
      <c r="L175" s="189" t="s">
        <v>9</v>
      </c>
      <c r="M175" s="211">
        <v>100</v>
      </c>
      <c r="N175" s="211">
        <v>100</v>
      </c>
      <c r="O175" s="211">
        <v>100</v>
      </c>
      <c r="P175" s="211"/>
      <c r="Q175" s="211"/>
      <c r="R175" s="211"/>
      <c r="S175" s="388">
        <v>2</v>
      </c>
      <c r="T175" s="388">
        <f>$S175</f>
        <v>2</v>
      </c>
      <c r="U175" s="388">
        <v>0</v>
      </c>
      <c r="V175" s="388">
        <v>0</v>
      </c>
      <c r="W175" s="387"/>
      <c r="X175" s="387"/>
      <c r="Y175" s="184">
        <f t="shared" si="207"/>
        <v>28053</v>
      </c>
      <c r="Z175" s="184">
        <v>0</v>
      </c>
      <c r="AA175" s="184">
        <v>0</v>
      </c>
      <c r="AB175" s="184">
        <f t="shared" si="237"/>
        <v>0</v>
      </c>
      <c r="AC175" s="184">
        <f t="shared" si="238"/>
        <v>0</v>
      </c>
      <c r="AD175" s="184">
        <f t="shared" si="212"/>
        <v>28053</v>
      </c>
      <c r="AE175" s="183">
        <f>COUNTIF(CAL_SEGUNDA_ENTREGA_FDS_FRUTA,CONCATENATE(G175,"_",J175))</f>
        <v>1</v>
      </c>
      <c r="AF175" s="385">
        <f>$AE175</f>
        <v>1</v>
      </c>
      <c r="AG175" s="385">
        <f t="shared" si="254"/>
        <v>1</v>
      </c>
      <c r="AH175" s="385">
        <f t="shared" si="254"/>
        <v>1</v>
      </c>
      <c r="AI175" s="185">
        <f t="shared" si="213"/>
        <v>74</v>
      </c>
      <c r="AJ175" s="185">
        <f>IF(OR(B175="NA",N175=0),0,VLOOKUP(B175,FRE_CANTIDADES_DIARIAS_SUMINISTROS,5,FALSE))</f>
        <v>433</v>
      </c>
      <c r="AK175" s="185">
        <f>IF(OR(B175="NA",O175=0),0,VLOOKUP(B175,FRE_CANTIDADES_DIARIAS_SUMINISTROS,6,FALSE))</f>
        <v>683</v>
      </c>
      <c r="AL175" s="185">
        <f t="shared" si="216"/>
        <v>1190</v>
      </c>
      <c r="AM175" s="173">
        <f t="shared" si="253"/>
        <v>56180</v>
      </c>
      <c r="AN175" s="173">
        <f t="shared" si="244"/>
        <v>433</v>
      </c>
      <c r="AO175" s="173">
        <f t="shared" si="245"/>
        <v>683</v>
      </c>
      <c r="AP175" s="173">
        <f t="shared" si="195"/>
        <v>0</v>
      </c>
      <c r="AQ175" s="173">
        <f t="shared" si="196"/>
        <v>0</v>
      </c>
      <c r="AR175" s="173">
        <f t="shared" si="197"/>
        <v>57296</v>
      </c>
      <c r="AS175" s="186" t="s">
        <v>1360</v>
      </c>
      <c r="AT175" s="300">
        <f t="shared" si="252"/>
        <v>3.7214999999999998</v>
      </c>
      <c r="AU175" s="300">
        <f t="shared" si="252"/>
        <v>3.7214999999999998</v>
      </c>
      <c r="AV175" s="300">
        <f t="shared" si="252"/>
        <v>3.7214999999999998</v>
      </c>
      <c r="AW175" s="300">
        <f t="shared" si="252"/>
        <v>3.7214999999999998</v>
      </c>
      <c r="AX175" s="300">
        <f t="shared" si="252"/>
        <v>3.7214999999999998</v>
      </c>
      <c r="AY175" s="301">
        <f t="shared" si="251"/>
        <v>3.7214999999999998</v>
      </c>
      <c r="AZ175" s="301">
        <f t="shared" si="251"/>
        <v>3.7214999999999998</v>
      </c>
      <c r="BA175" s="301">
        <f t="shared" si="251"/>
        <v>3.7214999999999998</v>
      </c>
      <c r="BB175" s="301">
        <f t="shared" si="251"/>
        <v>3.7214999999999998</v>
      </c>
      <c r="BC175" s="301">
        <f t="shared" si="251"/>
        <v>3.7214999999999998</v>
      </c>
      <c r="BD175" s="187">
        <f>ROUND(IF(OR(M175=0,AT175="DATO NO DISPONIBLE"),"",AT175*M175*($BD$7+1)),0)</f>
        <v>398</v>
      </c>
      <c r="BE175" s="187">
        <f t="shared" si="246"/>
        <v>398</v>
      </c>
      <c r="BF175" s="187">
        <f t="shared" si="247"/>
        <v>398</v>
      </c>
      <c r="BG175" s="187"/>
      <c r="BH175" s="187"/>
      <c r="BI175" s="187">
        <f>ROUND(IF(OR(M175=0,AY175="DATO NO DISPONIBLE"),0,AY175*M175*($BD$7+1)),0)</f>
        <v>398</v>
      </c>
      <c r="BJ175" s="187">
        <f t="shared" si="222"/>
        <v>398</v>
      </c>
      <c r="BK175" s="187">
        <f t="shared" si="223"/>
        <v>398</v>
      </c>
      <c r="BL175" s="187"/>
      <c r="BM175" s="187"/>
      <c r="BN175" s="188">
        <f>BD175*AM175</f>
        <v>22359640</v>
      </c>
      <c r="BO175" s="188">
        <f t="shared" si="224"/>
        <v>172334</v>
      </c>
      <c r="BP175" s="188">
        <f t="shared" si="225"/>
        <v>271834</v>
      </c>
      <c r="BQ175" s="188">
        <f t="shared" si="226"/>
        <v>0</v>
      </c>
      <c r="BR175" s="188">
        <f t="shared" si="227"/>
        <v>0</v>
      </c>
      <c r="BS175" s="188">
        <f t="shared" si="198"/>
        <v>22803808</v>
      </c>
      <c r="BT175" s="188">
        <f t="shared" si="199"/>
        <v>22359640</v>
      </c>
      <c r="BU175" s="188">
        <f t="shared" si="200"/>
        <v>172334</v>
      </c>
      <c r="BV175" s="188">
        <f t="shared" si="201"/>
        <v>271834</v>
      </c>
      <c r="BW175" s="188">
        <f t="shared" si="202"/>
        <v>0</v>
      </c>
      <c r="BX175" s="188">
        <f t="shared" si="203"/>
        <v>0</v>
      </c>
      <c r="BY175" s="188">
        <f t="shared" si="204"/>
        <v>22803808</v>
      </c>
      <c r="BZ175" s="305">
        <f>IF(COT_PRECALCULOS!$D$24="Precios Iva Incluído",BI175,BD175)</f>
        <v>398</v>
      </c>
      <c r="CA175" s="305">
        <f>IF(COT_PRECALCULOS!$D$24="Precios Iva Incluído",BJ175,BE175)</f>
        <v>398</v>
      </c>
      <c r="CB175" s="305">
        <f>IF(COT_PRECALCULOS!$D$24="Precios Iva Incluído",BK175,BF175)</f>
        <v>398</v>
      </c>
      <c r="CC175" s="305">
        <f>IF(COT_PRECALCULOS!$D$24="Precios Iva Incluído",BL175,BG175)</f>
        <v>0</v>
      </c>
      <c r="CD175" s="305">
        <f>IF(COT_PRECALCULOS!$D$24="Precios Iva Incluído",BM175,BH175)</f>
        <v>0</v>
      </c>
      <c r="CE175" s="305">
        <f>IF(COT_PRECALCULOS!$D$24="Precios Iva Incluído",BT175,BN175)</f>
        <v>22359640</v>
      </c>
      <c r="CF175" s="305">
        <f>IF(COT_PRECALCULOS!$D$24="Precios Iva Incluído",BU175,BO175)</f>
        <v>172334</v>
      </c>
      <c r="CG175" s="305">
        <f>IF(COT_PRECALCULOS!$D$24="Precios Iva Incluído",BV175,BP175)</f>
        <v>271834</v>
      </c>
      <c r="CH175" s="305">
        <f>IF(COT_PRECALCULOS!$D$24="Precios Iva Incluído",BW175,BQ175)</f>
        <v>0</v>
      </c>
      <c r="CI175" s="305">
        <f>IF(COT_PRECALCULOS!$D$24="Precios Iva Incluído",BX175,BR175)</f>
        <v>0</v>
      </c>
    </row>
    <row r="176" spans="1:87">
      <c r="A176" s="182" t="s">
        <v>102</v>
      </c>
      <c r="B176" s="182" t="s">
        <v>126</v>
      </c>
      <c r="C176" s="189" t="str">
        <f t="shared" si="193"/>
        <v>F_SE1</v>
      </c>
      <c r="D176" s="189" t="str">
        <f t="shared" si="194"/>
        <v>58_S_</v>
      </c>
      <c r="E176" s="211" t="s">
        <v>1</v>
      </c>
      <c r="F176" s="211" t="s">
        <v>1</v>
      </c>
      <c r="G176" s="189" t="s">
        <v>29</v>
      </c>
      <c r="H176" s="211"/>
      <c r="I176" s="211" t="s">
        <v>65</v>
      </c>
      <c r="J176" s="211">
        <v>58</v>
      </c>
      <c r="K176" s="211" t="s">
        <v>67</v>
      </c>
      <c r="L176" s="189" t="s">
        <v>9</v>
      </c>
      <c r="M176" s="211">
        <v>100</v>
      </c>
      <c r="N176" s="211">
        <v>100</v>
      </c>
      <c r="O176" s="211">
        <v>100</v>
      </c>
      <c r="P176" s="211"/>
      <c r="Q176" s="211"/>
      <c r="R176" s="211"/>
      <c r="S176" s="183">
        <f t="shared" ref="S176:S185" si="255">COUNTIF(CAL_SEGUNDA_ENTREGA_LAV_FRUTA,CONCATENATE(G176,"_",J176))</f>
        <v>2</v>
      </c>
      <c r="T176" s="385">
        <f>$S176</f>
        <v>2</v>
      </c>
      <c r="U176" s="385">
        <f t="shared" ref="U176:V185" si="256">$S176</f>
        <v>2</v>
      </c>
      <c r="V176" s="385">
        <f t="shared" si="256"/>
        <v>2</v>
      </c>
      <c r="W176" s="387"/>
      <c r="X176" s="387"/>
      <c r="Y176" s="184">
        <f t="shared" si="207"/>
        <v>28053</v>
      </c>
      <c r="Z176" s="184">
        <f t="shared" ref="Z176:Z185" si="257">IF(N176&lt;&gt;0,VLOOKUP(A176,FRE_CANTIDADES_DIARIAS_SUMINISTROS,5,FALSE),0)</f>
        <v>31277</v>
      </c>
      <c r="AA176" s="184">
        <f t="shared" ref="AA176:AA185" si="258">IF(O176&lt;&gt;0,VLOOKUP(A176,FRE_CANTIDADES_DIARIAS_SUMINISTROS,6,FALSE),0)</f>
        <v>46469</v>
      </c>
      <c r="AB176" s="184">
        <f t="shared" si="237"/>
        <v>0</v>
      </c>
      <c r="AC176" s="184">
        <f t="shared" si="238"/>
        <v>0</v>
      </c>
      <c r="AD176" s="184">
        <f t="shared" si="212"/>
        <v>105799</v>
      </c>
      <c r="AE176" s="388">
        <v>2</v>
      </c>
      <c r="AF176" s="388">
        <f>$AE176</f>
        <v>2</v>
      </c>
      <c r="AG176" s="388">
        <v>0</v>
      </c>
      <c r="AH176" s="388">
        <v>0</v>
      </c>
      <c r="AI176" s="185">
        <f t="shared" si="213"/>
        <v>74</v>
      </c>
      <c r="AJ176" s="185">
        <v>0</v>
      </c>
      <c r="AK176" s="185">
        <v>0</v>
      </c>
      <c r="AL176" s="185">
        <f t="shared" si="216"/>
        <v>74</v>
      </c>
      <c r="AM176" s="173">
        <f t="shared" si="253"/>
        <v>56254</v>
      </c>
      <c r="AN176" s="173">
        <f t="shared" si="244"/>
        <v>62554</v>
      </c>
      <c r="AO176" s="173">
        <f t="shared" si="245"/>
        <v>92938</v>
      </c>
      <c r="AP176" s="173">
        <f t="shared" si="195"/>
        <v>0</v>
      </c>
      <c r="AQ176" s="173">
        <f t="shared" si="196"/>
        <v>0</v>
      </c>
      <c r="AR176" s="173">
        <f t="shared" si="197"/>
        <v>211746</v>
      </c>
      <c r="AS176" s="186" t="s">
        <v>1360</v>
      </c>
      <c r="AT176" s="300">
        <f t="shared" si="252"/>
        <v>1.4384999999999999</v>
      </c>
      <c r="AU176" s="300">
        <f t="shared" si="252"/>
        <v>1.4384999999999999</v>
      </c>
      <c r="AV176" s="300">
        <f t="shared" si="252"/>
        <v>1.4384999999999999</v>
      </c>
      <c r="AW176" s="300">
        <f t="shared" si="252"/>
        <v>1.4384999999999999</v>
      </c>
      <c r="AX176" s="300">
        <f t="shared" si="252"/>
        <v>1.4384999999999999</v>
      </c>
      <c r="AY176" s="301">
        <f t="shared" si="251"/>
        <v>1.4384999999999999</v>
      </c>
      <c r="AZ176" s="301">
        <f t="shared" si="251"/>
        <v>1.4384999999999999</v>
      </c>
      <c r="BA176" s="301">
        <f t="shared" si="251"/>
        <v>1.4384999999999999</v>
      </c>
      <c r="BB176" s="301">
        <f t="shared" si="251"/>
        <v>1.4384999999999999</v>
      </c>
      <c r="BC176" s="301">
        <f t="shared" si="251"/>
        <v>1.4384999999999999</v>
      </c>
      <c r="BD176" s="187">
        <f>ROUND(IF(OR(M176=0,AT176="DATO NO DISPONIBLE"),"",AT176*M176*($BD$7+1)),0)</f>
        <v>154</v>
      </c>
      <c r="BE176" s="187">
        <f t="shared" si="246"/>
        <v>154</v>
      </c>
      <c r="BF176" s="187">
        <f t="shared" si="247"/>
        <v>154</v>
      </c>
      <c r="BG176" s="187"/>
      <c r="BH176" s="187"/>
      <c r="BI176" s="187">
        <f>ROUND(IF(OR(M176=0,AY176="DATO NO DISPONIBLE"),0,AY176*M176*($BD$7+1)),0)</f>
        <v>154</v>
      </c>
      <c r="BJ176" s="187">
        <f t="shared" si="222"/>
        <v>154</v>
      </c>
      <c r="BK176" s="187">
        <f t="shared" si="223"/>
        <v>154</v>
      </c>
      <c r="BL176" s="187"/>
      <c r="BM176" s="187"/>
      <c r="BN176" s="188">
        <f>BD176*AM176</f>
        <v>8663116</v>
      </c>
      <c r="BO176" s="188">
        <f t="shared" si="224"/>
        <v>9633316</v>
      </c>
      <c r="BP176" s="188">
        <f t="shared" si="225"/>
        <v>14312452</v>
      </c>
      <c r="BQ176" s="188">
        <f t="shared" si="226"/>
        <v>0</v>
      </c>
      <c r="BR176" s="188">
        <f t="shared" si="227"/>
        <v>0</v>
      </c>
      <c r="BS176" s="188">
        <f t="shared" si="198"/>
        <v>32608884</v>
      </c>
      <c r="BT176" s="188">
        <f t="shared" si="199"/>
        <v>8663116</v>
      </c>
      <c r="BU176" s="188">
        <f t="shared" si="200"/>
        <v>9633316</v>
      </c>
      <c r="BV176" s="188">
        <f t="shared" si="201"/>
        <v>14312452</v>
      </c>
      <c r="BW176" s="188">
        <f t="shared" si="202"/>
        <v>0</v>
      </c>
      <c r="BX176" s="188">
        <f t="shared" si="203"/>
        <v>0</v>
      </c>
      <c r="BY176" s="188">
        <f t="shared" si="204"/>
        <v>32608884</v>
      </c>
      <c r="BZ176" s="305">
        <f>IF(COT_PRECALCULOS!$D$24="Precios Iva Incluído",BI176,BD176)</f>
        <v>154</v>
      </c>
      <c r="CA176" s="305">
        <f>IF(COT_PRECALCULOS!$D$24="Precios Iva Incluído",BJ176,BE176)</f>
        <v>154</v>
      </c>
      <c r="CB176" s="305">
        <f>IF(COT_PRECALCULOS!$D$24="Precios Iva Incluído",BK176,BF176)</f>
        <v>154</v>
      </c>
      <c r="CC176" s="305">
        <f>IF(COT_PRECALCULOS!$D$24="Precios Iva Incluído",BL176,BG176)</f>
        <v>0</v>
      </c>
      <c r="CD176" s="305">
        <f>IF(COT_PRECALCULOS!$D$24="Precios Iva Incluído",BM176,BH176)</f>
        <v>0</v>
      </c>
      <c r="CE176" s="305">
        <f>IF(COT_PRECALCULOS!$D$24="Precios Iva Incluído",BT176,BN176)</f>
        <v>8663116</v>
      </c>
      <c r="CF176" s="305">
        <f>IF(COT_PRECALCULOS!$D$24="Precios Iva Incluído",BU176,BO176)</f>
        <v>9633316</v>
      </c>
      <c r="CG176" s="305">
        <f>IF(COT_PRECALCULOS!$D$24="Precios Iva Incluído",BV176,BP176)</f>
        <v>14312452</v>
      </c>
      <c r="CH176" s="305">
        <f>IF(COT_PRECALCULOS!$D$24="Precios Iva Incluído",BW176,BQ176)</f>
        <v>0</v>
      </c>
      <c r="CI176" s="305">
        <f>IF(COT_PRECALCULOS!$D$24="Precios Iva Incluído",BX176,BR176)</f>
        <v>0</v>
      </c>
    </row>
    <row r="177" spans="1:87">
      <c r="A177" s="182" t="s">
        <v>102</v>
      </c>
      <c r="B177" s="182" t="s">
        <v>126</v>
      </c>
      <c r="C177" s="189" t="str">
        <f t="shared" si="193"/>
        <v>F_SE1</v>
      </c>
      <c r="D177" s="189" t="str">
        <f t="shared" si="194"/>
        <v>59_S_</v>
      </c>
      <c r="E177" s="211" t="s">
        <v>1</v>
      </c>
      <c r="F177" s="211" t="s">
        <v>1</v>
      </c>
      <c r="G177" s="189" t="s">
        <v>29</v>
      </c>
      <c r="H177" s="211"/>
      <c r="I177" s="211" t="s">
        <v>66</v>
      </c>
      <c r="J177" s="211">
        <v>59</v>
      </c>
      <c r="K177" s="211" t="s">
        <v>99</v>
      </c>
      <c r="L177" s="189" t="s">
        <v>9</v>
      </c>
      <c r="M177" s="386">
        <v>0</v>
      </c>
      <c r="N177" s="211">
        <v>100</v>
      </c>
      <c r="O177" s="211">
        <v>100</v>
      </c>
      <c r="P177" s="211"/>
      <c r="Q177" s="211"/>
      <c r="R177" s="211" t="s">
        <v>73</v>
      </c>
      <c r="S177" s="183">
        <f t="shared" si="255"/>
        <v>0</v>
      </c>
      <c r="T177" s="386">
        <v>0</v>
      </c>
      <c r="U177" s="385">
        <f t="shared" si="256"/>
        <v>0</v>
      </c>
      <c r="V177" s="385">
        <f t="shared" si="256"/>
        <v>0</v>
      </c>
      <c r="W177" s="387"/>
      <c r="X177" s="387"/>
      <c r="Y177" s="184">
        <f t="shared" si="207"/>
        <v>0</v>
      </c>
      <c r="Z177" s="184">
        <f t="shared" si="257"/>
        <v>31277</v>
      </c>
      <c r="AA177" s="184">
        <f t="shared" si="258"/>
        <v>46469</v>
      </c>
      <c r="AB177" s="184">
        <f t="shared" si="237"/>
        <v>0</v>
      </c>
      <c r="AC177" s="184">
        <f t="shared" si="238"/>
        <v>0</v>
      </c>
      <c r="AD177" s="184">
        <f t="shared" si="212"/>
        <v>77746</v>
      </c>
      <c r="AE177" s="183">
        <f t="shared" ref="AE177:AE212" si="259">COUNTIF(CAL_SEGUNDA_ENTREGA_FDS_FRUTA,CONCATENATE(G177,"_",J177))</f>
        <v>0</v>
      </c>
      <c r="AF177" s="386">
        <v>0</v>
      </c>
      <c r="AG177" s="385">
        <f t="shared" ref="AG177:AH196" si="260">$AE177</f>
        <v>0</v>
      </c>
      <c r="AH177" s="385">
        <f t="shared" si="260"/>
        <v>0</v>
      </c>
      <c r="AI177" s="185">
        <f t="shared" si="213"/>
        <v>0</v>
      </c>
      <c r="AJ177" s="185">
        <f t="shared" ref="AJ177:AJ212" si="261">IF(OR(B177="NA",N177=0),0,VLOOKUP(B177,FRE_CANTIDADES_DIARIAS_SUMINISTROS,5,FALSE))</f>
        <v>433</v>
      </c>
      <c r="AK177" s="185">
        <f t="shared" ref="AK177:AK212" si="262">IF(OR(B177="NA",O177=0),0,VLOOKUP(B177,FRE_CANTIDADES_DIARIAS_SUMINISTROS,6,FALSE))</f>
        <v>683</v>
      </c>
      <c r="AL177" s="185">
        <f t="shared" si="216"/>
        <v>1116</v>
      </c>
      <c r="AM177" s="173">
        <f t="shared" si="253"/>
        <v>0</v>
      </c>
      <c r="AN177" s="173">
        <f t="shared" si="244"/>
        <v>0</v>
      </c>
      <c r="AO177" s="173">
        <f t="shared" si="245"/>
        <v>0</v>
      </c>
      <c r="AP177" s="173">
        <f t="shared" si="195"/>
        <v>0</v>
      </c>
      <c r="AQ177" s="173">
        <f t="shared" si="196"/>
        <v>0</v>
      </c>
      <c r="AR177" s="173">
        <f t="shared" si="197"/>
        <v>0</v>
      </c>
      <c r="AS177" s="186" t="s">
        <v>1360</v>
      </c>
      <c r="AT177" s="300">
        <f t="shared" si="252"/>
        <v>2.6785000000000001</v>
      </c>
      <c r="AU177" s="300">
        <f t="shared" si="252"/>
        <v>2.6785000000000001</v>
      </c>
      <c r="AV177" s="300">
        <f t="shared" si="252"/>
        <v>2.6785000000000001</v>
      </c>
      <c r="AW177" s="300">
        <f t="shared" si="252"/>
        <v>2.6785000000000001</v>
      </c>
      <c r="AX177" s="300">
        <f t="shared" si="252"/>
        <v>2.6785000000000001</v>
      </c>
      <c r="AY177" s="301">
        <f t="shared" si="251"/>
        <v>2.6785000000000001</v>
      </c>
      <c r="AZ177" s="301">
        <f t="shared" si="251"/>
        <v>2.6785000000000001</v>
      </c>
      <c r="BA177" s="301">
        <f t="shared" si="251"/>
        <v>2.6785000000000001</v>
      </c>
      <c r="BB177" s="301">
        <f t="shared" si="251"/>
        <v>2.6785000000000001</v>
      </c>
      <c r="BC177" s="301">
        <f t="shared" si="251"/>
        <v>2.6785000000000001</v>
      </c>
      <c r="BD177" s="187"/>
      <c r="BE177" s="187">
        <f t="shared" si="246"/>
        <v>286</v>
      </c>
      <c r="BF177" s="187">
        <f t="shared" si="247"/>
        <v>286</v>
      </c>
      <c r="BG177" s="187"/>
      <c r="BH177" s="187"/>
      <c r="BI177" s="187"/>
      <c r="BJ177" s="187">
        <f t="shared" si="222"/>
        <v>286</v>
      </c>
      <c r="BK177" s="187">
        <f t="shared" si="223"/>
        <v>286</v>
      </c>
      <c r="BL177" s="187"/>
      <c r="BM177" s="187"/>
      <c r="BN177" s="188"/>
      <c r="BO177" s="188">
        <f t="shared" si="224"/>
        <v>0</v>
      </c>
      <c r="BP177" s="188">
        <f t="shared" si="225"/>
        <v>0</v>
      </c>
      <c r="BQ177" s="188">
        <f t="shared" si="226"/>
        <v>0</v>
      </c>
      <c r="BR177" s="188">
        <f t="shared" si="227"/>
        <v>0</v>
      </c>
      <c r="BS177" s="188">
        <f t="shared" si="198"/>
        <v>0</v>
      </c>
      <c r="BT177" s="188">
        <f t="shared" si="199"/>
        <v>0</v>
      </c>
      <c r="BU177" s="188">
        <f t="shared" si="200"/>
        <v>0</v>
      </c>
      <c r="BV177" s="188">
        <f t="shared" si="201"/>
        <v>0</v>
      </c>
      <c r="BW177" s="188">
        <f t="shared" si="202"/>
        <v>0</v>
      </c>
      <c r="BX177" s="188">
        <f t="shared" si="203"/>
        <v>0</v>
      </c>
      <c r="BY177" s="188">
        <f t="shared" si="204"/>
        <v>0</v>
      </c>
      <c r="BZ177" s="305">
        <f>IF(COT_PRECALCULOS!$D$24="Precios Iva Incluído",BI177,BD177)</f>
        <v>0</v>
      </c>
      <c r="CA177" s="305">
        <f>IF(COT_PRECALCULOS!$D$24="Precios Iva Incluído",BJ177,BE177)</f>
        <v>286</v>
      </c>
      <c r="CB177" s="305">
        <f>IF(COT_PRECALCULOS!$D$24="Precios Iva Incluído",BK177,BF177)</f>
        <v>286</v>
      </c>
      <c r="CC177" s="305">
        <f>IF(COT_PRECALCULOS!$D$24="Precios Iva Incluído",BL177,BG177)</f>
        <v>0</v>
      </c>
      <c r="CD177" s="305">
        <f>IF(COT_PRECALCULOS!$D$24="Precios Iva Incluído",BM177,BH177)</f>
        <v>0</v>
      </c>
      <c r="CE177" s="305">
        <f>IF(COT_PRECALCULOS!$D$24="Precios Iva Incluído",BT177,BN177)</f>
        <v>0</v>
      </c>
      <c r="CF177" s="305">
        <f>IF(COT_PRECALCULOS!$D$24="Precios Iva Incluído",BU177,BO177)</f>
        <v>0</v>
      </c>
      <c r="CG177" s="305">
        <f>IF(COT_PRECALCULOS!$D$24="Precios Iva Incluído",BV177,BP177)</f>
        <v>0</v>
      </c>
      <c r="CH177" s="305">
        <f>IF(COT_PRECALCULOS!$D$24="Precios Iva Incluído",BW177,BQ177)</f>
        <v>0</v>
      </c>
      <c r="CI177" s="305">
        <f>IF(COT_PRECALCULOS!$D$24="Precios Iva Incluído",BX177,BR177)</f>
        <v>0</v>
      </c>
    </row>
    <row r="178" spans="1:87">
      <c r="A178" s="182" t="s">
        <v>102</v>
      </c>
      <c r="B178" s="182" t="s">
        <v>126</v>
      </c>
      <c r="C178" s="189" t="str">
        <f t="shared" si="193"/>
        <v>F_SE1</v>
      </c>
      <c r="D178" s="189" t="str">
        <f t="shared" si="194"/>
        <v>69_S_</v>
      </c>
      <c r="E178" s="211" t="s">
        <v>1</v>
      </c>
      <c r="F178" s="211" t="s">
        <v>1</v>
      </c>
      <c r="G178" s="189" t="s">
        <v>29</v>
      </c>
      <c r="H178" s="211"/>
      <c r="I178" s="211" t="s">
        <v>68</v>
      </c>
      <c r="J178" s="211">
        <v>69</v>
      </c>
      <c r="K178" s="211" t="s">
        <v>70</v>
      </c>
      <c r="L178" s="189" t="s">
        <v>9</v>
      </c>
      <c r="M178" s="211">
        <v>100</v>
      </c>
      <c r="N178" s="211">
        <v>100</v>
      </c>
      <c r="O178" s="211">
        <v>100</v>
      </c>
      <c r="P178" s="211"/>
      <c r="Q178" s="211"/>
      <c r="R178" s="211"/>
      <c r="S178" s="183">
        <f t="shared" si="255"/>
        <v>0</v>
      </c>
      <c r="T178" s="385">
        <f>$S178</f>
        <v>0</v>
      </c>
      <c r="U178" s="385">
        <f t="shared" si="256"/>
        <v>0</v>
      </c>
      <c r="V178" s="385">
        <f t="shared" si="256"/>
        <v>0</v>
      </c>
      <c r="W178" s="387"/>
      <c r="X178" s="387"/>
      <c r="Y178" s="184">
        <f t="shared" si="207"/>
        <v>28053</v>
      </c>
      <c r="Z178" s="184">
        <f t="shared" si="257"/>
        <v>31277</v>
      </c>
      <c r="AA178" s="184">
        <f t="shared" si="258"/>
        <v>46469</v>
      </c>
      <c r="AB178" s="184">
        <f t="shared" si="237"/>
        <v>0</v>
      </c>
      <c r="AC178" s="184">
        <f t="shared" si="238"/>
        <v>0</v>
      </c>
      <c r="AD178" s="184">
        <f t="shared" si="212"/>
        <v>105799</v>
      </c>
      <c r="AE178" s="183">
        <f t="shared" si="259"/>
        <v>1</v>
      </c>
      <c r="AF178" s="385">
        <f>$AE178</f>
        <v>1</v>
      </c>
      <c r="AG178" s="385">
        <f t="shared" si="260"/>
        <v>1</v>
      </c>
      <c r="AH178" s="385">
        <f t="shared" si="260"/>
        <v>1</v>
      </c>
      <c r="AI178" s="185">
        <f t="shared" si="213"/>
        <v>74</v>
      </c>
      <c r="AJ178" s="185">
        <f t="shared" si="261"/>
        <v>433</v>
      </c>
      <c r="AK178" s="185">
        <f t="shared" si="262"/>
        <v>683</v>
      </c>
      <c r="AL178" s="185">
        <f t="shared" si="216"/>
        <v>1190</v>
      </c>
      <c r="AM178" s="173">
        <f t="shared" si="253"/>
        <v>74</v>
      </c>
      <c r="AN178" s="173">
        <f t="shared" si="244"/>
        <v>433</v>
      </c>
      <c r="AO178" s="173">
        <f t="shared" si="245"/>
        <v>683</v>
      </c>
      <c r="AP178" s="173">
        <f t="shared" si="195"/>
        <v>0</v>
      </c>
      <c r="AQ178" s="173">
        <f t="shared" si="196"/>
        <v>0</v>
      </c>
      <c r="AR178" s="173">
        <f t="shared" si="197"/>
        <v>1190</v>
      </c>
      <c r="AS178" s="186" t="s">
        <v>1360</v>
      </c>
      <c r="AT178" s="300">
        <f t="shared" si="252"/>
        <v>2.8519999999999999</v>
      </c>
      <c r="AU178" s="300">
        <f t="shared" si="252"/>
        <v>2.8519999999999999</v>
      </c>
      <c r="AV178" s="300">
        <f t="shared" si="252"/>
        <v>2.8519999999999999</v>
      </c>
      <c r="AW178" s="300">
        <f t="shared" si="252"/>
        <v>2.8519999999999999</v>
      </c>
      <c r="AX178" s="300">
        <f t="shared" si="252"/>
        <v>2.8519999999999999</v>
      </c>
      <c r="AY178" s="301">
        <f t="shared" ref="AY178:BC187" si="263">IF(ISERROR(MATCH(CONCATENATE($J178,"_",AY$1),COT_PRE_CODIGO_ALIMENTOS,0)),IF(ISERROR(MATCH(CONCATENATE($J178,"_",AY$2),COT_PRE_CODIGO_ALIMENTOS,0)),IF(ISERROR(MATCH(CONCATENATE($J178,"_",AY$3),COT_PRE_CODIGO_ALIMENTOS,0)),IF(ISERROR(MATCH(CONCATENATE($J178,"_",AY$4),COT_PRE_CODIGO_ALIMENTOS,0)),IF(ISERROR(MATCH(CONCATENATE($J178,"_",AY$5),COT_PRE_CODIGO_ALIMENTOS,0)),IF(ISERROR(MATCH(CONCATENATE($J178,"_",AY$6),COT_PRE_CODIGO_ALIMENTOS,0)),IF(ISERROR(MATCH(CONCATENATE($J178,"_",AY$7),COT_PRE_CODIGO_ALIMENTOS,0)),IF(ISERROR(VLOOKUP($J178,COT_PRE_ALIMENTOS,AY$8,FALSE)),"DATO NO DISPONIBLE",VLOOKUP($J178,COT_PRE_ALIMENTOS,AY$8,FALSE)),VLOOKUP(CONCATENATE($J178,"_",AY$7),COT_PRE_ALIMENTOS,AY$8,FALSE)),VLOOKUP(CONCATENATE($J178,"_",AY$6),COT_PRE_ALIMENTOS,AY$8,FALSE)),VLOOKUP(CONCATENATE($J178,"_",AY$5),COT_PRE_ALIMENTOS,AY$8,FALSE)),VLOOKUP(CONCATENATE($J178,"_",AY$4),COT_PRE_ALIMENTOS,AY$8,FALSE)),VLOOKUP(CONCATENATE($J178,"_",AY$3),COT_PRE_ALIMENTOS,AY$8,FALSE)),VLOOKUP(CONCATENATE($J178,"_",AY$2),COT_PRE_ALIMENTOS,AY$8,FALSE)),VLOOKUP(CONCATENATE($J178,"_",AY$1),COT_PRE_ALIMENTOS,AY$8,FALSE))</f>
        <v>2.8519999999999999</v>
      </c>
      <c r="AZ178" s="301">
        <f t="shared" si="263"/>
        <v>2.8519999999999999</v>
      </c>
      <c r="BA178" s="301">
        <f t="shared" si="263"/>
        <v>2.8519999999999999</v>
      </c>
      <c r="BB178" s="301">
        <f t="shared" si="263"/>
        <v>2.8519999999999999</v>
      </c>
      <c r="BC178" s="301">
        <f t="shared" si="263"/>
        <v>2.8519999999999999</v>
      </c>
      <c r="BD178" s="187">
        <f>ROUND(IF(OR(M178=0,AT178="DATO NO DISPONIBLE"),"",AT178*M178*($BD$7+1)),0)</f>
        <v>305</v>
      </c>
      <c r="BE178" s="187">
        <f t="shared" si="246"/>
        <v>305</v>
      </c>
      <c r="BF178" s="187">
        <f t="shared" si="247"/>
        <v>305</v>
      </c>
      <c r="BG178" s="187"/>
      <c r="BH178" s="187"/>
      <c r="BI178" s="187">
        <f>ROUND(IF(OR(M178=0,AY178="DATO NO DISPONIBLE"),0,AY178*M178*($BD$7+1)),0)</f>
        <v>305</v>
      </c>
      <c r="BJ178" s="187">
        <f t="shared" si="222"/>
        <v>305</v>
      </c>
      <c r="BK178" s="187">
        <f t="shared" si="223"/>
        <v>305</v>
      </c>
      <c r="BL178" s="187"/>
      <c r="BM178" s="187"/>
      <c r="BN178" s="188">
        <f>BD178*AM178</f>
        <v>22570</v>
      </c>
      <c r="BO178" s="188">
        <f t="shared" si="224"/>
        <v>132065</v>
      </c>
      <c r="BP178" s="188">
        <f t="shared" si="225"/>
        <v>208315</v>
      </c>
      <c r="BQ178" s="188">
        <f t="shared" si="226"/>
        <v>0</v>
      </c>
      <c r="BR178" s="188">
        <f t="shared" si="227"/>
        <v>0</v>
      </c>
      <c r="BS178" s="188">
        <f t="shared" si="198"/>
        <v>362950</v>
      </c>
      <c r="BT178" s="188">
        <f t="shared" si="199"/>
        <v>22570</v>
      </c>
      <c r="BU178" s="188">
        <f t="shared" si="200"/>
        <v>132065</v>
      </c>
      <c r="BV178" s="188">
        <f t="shared" si="201"/>
        <v>208315</v>
      </c>
      <c r="BW178" s="188">
        <f t="shared" si="202"/>
        <v>0</v>
      </c>
      <c r="BX178" s="188">
        <f t="shared" si="203"/>
        <v>0</v>
      </c>
      <c r="BY178" s="188">
        <f t="shared" si="204"/>
        <v>362950</v>
      </c>
      <c r="BZ178" s="305">
        <f>IF(COT_PRECALCULOS!$D$24="Precios Iva Incluído",BI178,BD178)</f>
        <v>305</v>
      </c>
      <c r="CA178" s="305">
        <f>IF(COT_PRECALCULOS!$D$24="Precios Iva Incluído",BJ178,BE178)</f>
        <v>305</v>
      </c>
      <c r="CB178" s="305">
        <f>IF(COT_PRECALCULOS!$D$24="Precios Iva Incluído",BK178,BF178)</f>
        <v>305</v>
      </c>
      <c r="CC178" s="305">
        <f>IF(COT_PRECALCULOS!$D$24="Precios Iva Incluído",BL178,BG178)</f>
        <v>0</v>
      </c>
      <c r="CD178" s="305">
        <f>IF(COT_PRECALCULOS!$D$24="Precios Iva Incluído",BM178,BH178)</f>
        <v>0</v>
      </c>
      <c r="CE178" s="305">
        <f>IF(COT_PRECALCULOS!$D$24="Precios Iva Incluído",BT178,BN178)</f>
        <v>22570</v>
      </c>
      <c r="CF178" s="305">
        <f>IF(COT_PRECALCULOS!$D$24="Precios Iva Incluído",BU178,BO178)</f>
        <v>132065</v>
      </c>
      <c r="CG178" s="305">
        <f>IF(COT_PRECALCULOS!$D$24="Precios Iva Incluído",BV178,BP178)</f>
        <v>208315</v>
      </c>
      <c r="CH178" s="305">
        <f>IF(COT_PRECALCULOS!$D$24="Precios Iva Incluído",BW178,BQ178)</f>
        <v>0</v>
      </c>
      <c r="CI178" s="305">
        <f>IF(COT_PRECALCULOS!$D$24="Precios Iva Incluído",BX178,BR178)</f>
        <v>0</v>
      </c>
    </row>
    <row r="179" spans="1:87">
      <c r="A179" s="182" t="s">
        <v>102</v>
      </c>
      <c r="B179" s="182" t="s">
        <v>126</v>
      </c>
      <c r="C179" s="189" t="str">
        <f t="shared" si="193"/>
        <v>F_SE1</v>
      </c>
      <c r="D179" s="189" t="str">
        <f t="shared" si="194"/>
        <v>70_S_</v>
      </c>
      <c r="E179" s="211" t="s">
        <v>1</v>
      </c>
      <c r="F179" s="211" t="s">
        <v>1</v>
      </c>
      <c r="G179" s="189" t="s">
        <v>29</v>
      </c>
      <c r="H179" s="211"/>
      <c r="I179" s="211" t="s">
        <v>69</v>
      </c>
      <c r="J179" s="211">
        <v>70</v>
      </c>
      <c r="K179" s="211" t="s">
        <v>71</v>
      </c>
      <c r="L179" s="189" t="s">
        <v>9</v>
      </c>
      <c r="M179" s="386">
        <v>0</v>
      </c>
      <c r="N179" s="211">
        <v>100</v>
      </c>
      <c r="O179" s="211">
        <v>100</v>
      </c>
      <c r="P179" s="211"/>
      <c r="Q179" s="211"/>
      <c r="R179" s="211" t="s">
        <v>73</v>
      </c>
      <c r="S179" s="183">
        <f t="shared" si="255"/>
        <v>0</v>
      </c>
      <c r="T179" s="386">
        <v>0</v>
      </c>
      <c r="U179" s="385">
        <f t="shared" si="256"/>
        <v>0</v>
      </c>
      <c r="V179" s="385">
        <f t="shared" si="256"/>
        <v>0</v>
      </c>
      <c r="W179" s="387"/>
      <c r="X179" s="387"/>
      <c r="Y179" s="184">
        <f t="shared" si="207"/>
        <v>0</v>
      </c>
      <c r="Z179" s="184">
        <f t="shared" si="257"/>
        <v>31277</v>
      </c>
      <c r="AA179" s="184">
        <f t="shared" si="258"/>
        <v>46469</v>
      </c>
      <c r="AB179" s="184">
        <f t="shared" si="237"/>
        <v>0</v>
      </c>
      <c r="AC179" s="184">
        <f t="shared" si="238"/>
        <v>0</v>
      </c>
      <c r="AD179" s="184">
        <f t="shared" si="212"/>
        <v>77746</v>
      </c>
      <c r="AE179" s="183">
        <f t="shared" si="259"/>
        <v>2</v>
      </c>
      <c r="AF179" s="386">
        <v>0</v>
      </c>
      <c r="AG179" s="385">
        <f t="shared" si="260"/>
        <v>2</v>
      </c>
      <c r="AH179" s="385">
        <f t="shared" si="260"/>
        <v>2</v>
      </c>
      <c r="AI179" s="185">
        <f t="shared" si="213"/>
        <v>0</v>
      </c>
      <c r="AJ179" s="185">
        <f t="shared" si="261"/>
        <v>433</v>
      </c>
      <c r="AK179" s="185">
        <f t="shared" si="262"/>
        <v>683</v>
      </c>
      <c r="AL179" s="185">
        <f t="shared" si="216"/>
        <v>1116</v>
      </c>
      <c r="AM179" s="173">
        <v>0</v>
      </c>
      <c r="AN179" s="173">
        <f t="shared" si="244"/>
        <v>866</v>
      </c>
      <c r="AO179" s="173">
        <f t="shared" si="245"/>
        <v>1366</v>
      </c>
      <c r="AP179" s="173">
        <f t="shared" si="195"/>
        <v>0</v>
      </c>
      <c r="AQ179" s="173">
        <f t="shared" si="196"/>
        <v>0</v>
      </c>
      <c r="AR179" s="173">
        <f t="shared" si="197"/>
        <v>2232</v>
      </c>
      <c r="AS179" s="186" t="s">
        <v>1360</v>
      </c>
      <c r="AT179" s="300">
        <f t="shared" si="252"/>
        <v>4.0575000000000001</v>
      </c>
      <c r="AU179" s="300">
        <f t="shared" si="252"/>
        <v>4.0575000000000001</v>
      </c>
      <c r="AV179" s="300">
        <f t="shared" si="252"/>
        <v>4.0575000000000001</v>
      </c>
      <c r="AW179" s="300">
        <f t="shared" si="252"/>
        <v>4.0575000000000001</v>
      </c>
      <c r="AX179" s="300">
        <f t="shared" si="252"/>
        <v>4.0575000000000001</v>
      </c>
      <c r="AY179" s="301">
        <f t="shared" si="263"/>
        <v>4.0575000000000001</v>
      </c>
      <c r="AZ179" s="301">
        <f t="shared" si="263"/>
        <v>4.0575000000000001</v>
      </c>
      <c r="BA179" s="301">
        <f t="shared" si="263"/>
        <v>4.0575000000000001</v>
      </c>
      <c r="BB179" s="301">
        <f t="shared" si="263"/>
        <v>4.0575000000000001</v>
      </c>
      <c r="BC179" s="301">
        <f t="shared" si="263"/>
        <v>4.0575000000000001</v>
      </c>
      <c r="BD179" s="187"/>
      <c r="BE179" s="187">
        <f t="shared" si="246"/>
        <v>434</v>
      </c>
      <c r="BF179" s="187">
        <f t="shared" si="247"/>
        <v>434</v>
      </c>
      <c r="BG179" s="187"/>
      <c r="BH179" s="187"/>
      <c r="BI179" s="187"/>
      <c r="BJ179" s="187">
        <f t="shared" si="222"/>
        <v>434</v>
      </c>
      <c r="BK179" s="187">
        <f t="shared" si="223"/>
        <v>434</v>
      </c>
      <c r="BL179" s="187"/>
      <c r="BM179" s="187"/>
      <c r="BN179" s="188"/>
      <c r="BO179" s="188">
        <f t="shared" si="224"/>
        <v>375844</v>
      </c>
      <c r="BP179" s="188">
        <f t="shared" si="225"/>
        <v>592844</v>
      </c>
      <c r="BQ179" s="188">
        <f t="shared" si="226"/>
        <v>0</v>
      </c>
      <c r="BR179" s="188">
        <f t="shared" si="227"/>
        <v>0</v>
      </c>
      <c r="BS179" s="188">
        <f t="shared" si="198"/>
        <v>968688</v>
      </c>
      <c r="BT179" s="188">
        <f t="shared" si="199"/>
        <v>0</v>
      </c>
      <c r="BU179" s="188">
        <f t="shared" si="200"/>
        <v>375844</v>
      </c>
      <c r="BV179" s="188">
        <f t="shared" si="201"/>
        <v>592844</v>
      </c>
      <c r="BW179" s="188">
        <f t="shared" si="202"/>
        <v>0</v>
      </c>
      <c r="BX179" s="188">
        <f t="shared" si="203"/>
        <v>0</v>
      </c>
      <c r="BY179" s="188">
        <f t="shared" si="204"/>
        <v>968688</v>
      </c>
      <c r="BZ179" s="305">
        <f>IF(COT_PRECALCULOS!$D$24="Precios Iva Incluído",BI179,BD179)</f>
        <v>0</v>
      </c>
      <c r="CA179" s="305">
        <f>IF(COT_PRECALCULOS!$D$24="Precios Iva Incluído",BJ179,BE179)</f>
        <v>434</v>
      </c>
      <c r="CB179" s="305">
        <f>IF(COT_PRECALCULOS!$D$24="Precios Iva Incluído",BK179,BF179)</f>
        <v>434</v>
      </c>
      <c r="CC179" s="305">
        <f>IF(COT_PRECALCULOS!$D$24="Precios Iva Incluído",BL179,BG179)</f>
        <v>0</v>
      </c>
      <c r="CD179" s="305">
        <f>IF(COT_PRECALCULOS!$D$24="Precios Iva Incluído",BM179,BH179)</f>
        <v>0</v>
      </c>
      <c r="CE179" s="305">
        <f>IF(COT_PRECALCULOS!$D$24="Precios Iva Incluído",BT179,BN179)</f>
        <v>0</v>
      </c>
      <c r="CF179" s="305">
        <f>IF(COT_PRECALCULOS!$D$24="Precios Iva Incluído",BU179,BO179)</f>
        <v>375844</v>
      </c>
      <c r="CG179" s="305">
        <f>IF(COT_PRECALCULOS!$D$24="Precios Iva Incluído",BV179,BP179)</f>
        <v>592844</v>
      </c>
      <c r="CH179" s="305">
        <f>IF(COT_PRECALCULOS!$D$24="Precios Iva Incluído",BW179,BQ179)</f>
        <v>0</v>
      </c>
      <c r="CI179" s="305">
        <f>IF(COT_PRECALCULOS!$D$24="Precios Iva Incluído",BX179,BR179)</f>
        <v>0</v>
      </c>
    </row>
    <row r="180" spans="1:87">
      <c r="A180" s="182" t="s">
        <v>102</v>
      </c>
      <c r="B180" s="182" t="s">
        <v>126</v>
      </c>
      <c r="C180" s="189" t="str">
        <f t="shared" si="193"/>
        <v>F_SE1</v>
      </c>
      <c r="D180" s="189" t="str">
        <f t="shared" si="194"/>
        <v>36_S_</v>
      </c>
      <c r="E180" s="211" t="s">
        <v>1</v>
      </c>
      <c r="F180" s="211" t="s">
        <v>1</v>
      </c>
      <c r="G180" s="189" t="s">
        <v>29</v>
      </c>
      <c r="H180" s="211"/>
      <c r="I180" s="211" t="s">
        <v>1340</v>
      </c>
      <c r="J180" s="211">
        <v>36</v>
      </c>
      <c r="K180" s="211" t="s">
        <v>1340</v>
      </c>
      <c r="L180" s="189" t="s">
        <v>9</v>
      </c>
      <c r="M180" s="211">
        <v>20</v>
      </c>
      <c r="N180" s="211">
        <v>40</v>
      </c>
      <c r="O180" s="211">
        <v>40</v>
      </c>
      <c r="P180" s="211"/>
      <c r="Q180" s="211"/>
      <c r="R180" s="211"/>
      <c r="S180" s="183">
        <f t="shared" si="255"/>
        <v>0</v>
      </c>
      <c r="T180" s="385">
        <f>$S180</f>
        <v>0</v>
      </c>
      <c r="U180" s="385">
        <f t="shared" si="256"/>
        <v>0</v>
      </c>
      <c r="V180" s="385">
        <f t="shared" si="256"/>
        <v>0</v>
      </c>
      <c r="W180" s="387"/>
      <c r="X180" s="387"/>
      <c r="Y180" s="184">
        <f t="shared" si="207"/>
        <v>28053</v>
      </c>
      <c r="Z180" s="184">
        <f t="shared" si="257"/>
        <v>31277</v>
      </c>
      <c r="AA180" s="184">
        <f t="shared" si="258"/>
        <v>46469</v>
      </c>
      <c r="AB180" s="184">
        <f t="shared" si="237"/>
        <v>0</v>
      </c>
      <c r="AC180" s="184">
        <f t="shared" si="238"/>
        <v>0</v>
      </c>
      <c r="AD180" s="184">
        <f t="shared" si="212"/>
        <v>105799</v>
      </c>
      <c r="AE180" s="183">
        <f t="shared" si="259"/>
        <v>0</v>
      </c>
      <c r="AF180" s="385">
        <f>$AE180</f>
        <v>0</v>
      </c>
      <c r="AG180" s="385">
        <f t="shared" si="260"/>
        <v>0</v>
      </c>
      <c r="AH180" s="385">
        <f t="shared" si="260"/>
        <v>0</v>
      </c>
      <c r="AI180" s="185">
        <f t="shared" si="213"/>
        <v>74</v>
      </c>
      <c r="AJ180" s="185">
        <f t="shared" si="261"/>
        <v>433</v>
      </c>
      <c r="AK180" s="185">
        <f t="shared" si="262"/>
        <v>683</v>
      </c>
      <c r="AL180" s="185">
        <f t="shared" si="216"/>
        <v>1190</v>
      </c>
      <c r="AM180" s="173">
        <f>($S180*Y180)+($AE180*AI180)</f>
        <v>0</v>
      </c>
      <c r="AN180" s="173">
        <f t="shared" si="244"/>
        <v>0</v>
      </c>
      <c r="AO180" s="173">
        <f t="shared" si="245"/>
        <v>0</v>
      </c>
      <c r="AP180" s="173">
        <f t="shared" si="195"/>
        <v>0</v>
      </c>
      <c r="AQ180" s="173">
        <f t="shared" si="196"/>
        <v>0</v>
      </c>
      <c r="AR180" s="173">
        <f t="shared" si="197"/>
        <v>0</v>
      </c>
      <c r="AS180" s="186" t="s">
        <v>1360</v>
      </c>
      <c r="AT180" s="300">
        <f t="shared" si="252"/>
        <v>5.9</v>
      </c>
      <c r="AU180" s="300">
        <f t="shared" si="252"/>
        <v>5.9</v>
      </c>
      <c r="AV180" s="300">
        <f t="shared" si="252"/>
        <v>5.9</v>
      </c>
      <c r="AW180" s="300">
        <f t="shared" si="252"/>
        <v>5.9</v>
      </c>
      <c r="AX180" s="300">
        <f t="shared" si="252"/>
        <v>5.9</v>
      </c>
      <c r="AY180" s="301">
        <f t="shared" si="263"/>
        <v>5.9</v>
      </c>
      <c r="AZ180" s="301">
        <f t="shared" si="263"/>
        <v>5.9</v>
      </c>
      <c r="BA180" s="301">
        <f t="shared" si="263"/>
        <v>5.9</v>
      </c>
      <c r="BB180" s="301">
        <f t="shared" si="263"/>
        <v>5.9</v>
      </c>
      <c r="BC180" s="301">
        <f t="shared" si="263"/>
        <v>5.9</v>
      </c>
      <c r="BD180" s="187">
        <f>ROUND(IF(OR(M180=0,AT180="DATO NO DISPONIBLE"),"",AT180*M180*($BD$7+1)),0)</f>
        <v>126</v>
      </c>
      <c r="BE180" s="187">
        <f t="shared" si="246"/>
        <v>252</v>
      </c>
      <c r="BF180" s="187">
        <f t="shared" si="247"/>
        <v>252</v>
      </c>
      <c r="BG180" s="187"/>
      <c r="BH180" s="187"/>
      <c r="BI180" s="187">
        <f>ROUND(IF(OR(M180=0,AY180="DATO NO DISPONIBLE"),0,AY180*M180*($BD$7+1)),0)</f>
        <v>126</v>
      </c>
      <c r="BJ180" s="187">
        <f t="shared" si="222"/>
        <v>252</v>
      </c>
      <c r="BK180" s="187">
        <f t="shared" si="223"/>
        <v>252</v>
      </c>
      <c r="BL180" s="187"/>
      <c r="BM180" s="187"/>
      <c r="BN180" s="188">
        <f>BD180*AM180</f>
        <v>0</v>
      </c>
      <c r="BO180" s="188">
        <f t="shared" si="224"/>
        <v>0</v>
      </c>
      <c r="BP180" s="188">
        <f t="shared" si="225"/>
        <v>0</v>
      </c>
      <c r="BQ180" s="188">
        <f t="shared" si="226"/>
        <v>0</v>
      </c>
      <c r="BR180" s="188">
        <f t="shared" si="227"/>
        <v>0</v>
      </c>
      <c r="BS180" s="188">
        <f t="shared" si="198"/>
        <v>0</v>
      </c>
      <c r="BT180" s="188">
        <f t="shared" si="199"/>
        <v>0</v>
      </c>
      <c r="BU180" s="188">
        <f t="shared" si="200"/>
        <v>0</v>
      </c>
      <c r="BV180" s="188">
        <f t="shared" si="201"/>
        <v>0</v>
      </c>
      <c r="BW180" s="188">
        <f t="shared" si="202"/>
        <v>0</v>
      </c>
      <c r="BX180" s="188">
        <f t="shared" si="203"/>
        <v>0</v>
      </c>
      <c r="BY180" s="188">
        <f t="shared" si="204"/>
        <v>0</v>
      </c>
      <c r="BZ180" s="305">
        <f>IF(COT_PRECALCULOS!$D$24="Precios Iva Incluído",BI180,BD180)</f>
        <v>126</v>
      </c>
      <c r="CA180" s="305">
        <f>IF(COT_PRECALCULOS!$D$24="Precios Iva Incluído",BJ180,BE180)</f>
        <v>252</v>
      </c>
      <c r="CB180" s="305">
        <f>IF(COT_PRECALCULOS!$D$24="Precios Iva Incluído",BK180,BF180)</f>
        <v>252</v>
      </c>
      <c r="CC180" s="305">
        <f>IF(COT_PRECALCULOS!$D$24="Precios Iva Incluído",BL180,BG180)</f>
        <v>0</v>
      </c>
      <c r="CD180" s="305">
        <f>IF(COT_PRECALCULOS!$D$24="Precios Iva Incluído",BM180,BH180)</f>
        <v>0</v>
      </c>
      <c r="CE180" s="305">
        <f>IF(COT_PRECALCULOS!$D$24="Precios Iva Incluído",BT180,BN180)</f>
        <v>0</v>
      </c>
      <c r="CF180" s="305">
        <f>IF(COT_PRECALCULOS!$D$24="Precios Iva Incluído",BU180,BO180)</f>
        <v>0</v>
      </c>
      <c r="CG180" s="305">
        <f>IF(COT_PRECALCULOS!$D$24="Precios Iva Incluído",BV180,BP180)</f>
        <v>0</v>
      </c>
      <c r="CH180" s="305">
        <f>IF(COT_PRECALCULOS!$D$24="Precios Iva Incluído",BW180,BQ180)</f>
        <v>0</v>
      </c>
      <c r="CI180" s="305">
        <f>IF(COT_PRECALCULOS!$D$24="Precios Iva Incluído",BX180,BR180)</f>
        <v>0</v>
      </c>
    </row>
    <row r="181" spans="1:87">
      <c r="A181" s="182" t="s">
        <v>102</v>
      </c>
      <c r="B181" s="182" t="s">
        <v>126</v>
      </c>
      <c r="C181" s="189" t="str">
        <f t="shared" si="193"/>
        <v>F_SE2</v>
      </c>
      <c r="D181" s="189" t="str">
        <f t="shared" si="194"/>
        <v>8_S_</v>
      </c>
      <c r="E181" s="211" t="s">
        <v>1</v>
      </c>
      <c r="F181" s="211" t="s">
        <v>1</v>
      </c>
      <c r="G181" s="189" t="s">
        <v>31</v>
      </c>
      <c r="H181" s="211" t="s">
        <v>2</v>
      </c>
      <c r="I181" s="211" t="s">
        <v>54</v>
      </c>
      <c r="J181" s="211">
        <v>8</v>
      </c>
      <c r="K181" s="211" t="s">
        <v>55</v>
      </c>
      <c r="L181" s="189" t="s">
        <v>9</v>
      </c>
      <c r="M181" s="211">
        <v>100</v>
      </c>
      <c r="N181" s="211">
        <v>100</v>
      </c>
      <c r="O181" s="211">
        <v>100</v>
      </c>
      <c r="P181" s="211"/>
      <c r="Q181" s="211"/>
      <c r="R181" s="211"/>
      <c r="S181" s="183">
        <f t="shared" si="255"/>
        <v>2</v>
      </c>
      <c r="T181" s="385">
        <f>$S181</f>
        <v>2</v>
      </c>
      <c r="U181" s="385">
        <f t="shared" si="256"/>
        <v>2</v>
      </c>
      <c r="V181" s="385">
        <f t="shared" si="256"/>
        <v>2</v>
      </c>
      <c r="W181" s="387"/>
      <c r="X181" s="387"/>
      <c r="Y181" s="184">
        <f t="shared" si="207"/>
        <v>28053</v>
      </c>
      <c r="Z181" s="184">
        <f t="shared" si="257"/>
        <v>31277</v>
      </c>
      <c r="AA181" s="184">
        <f t="shared" si="258"/>
        <v>46469</v>
      </c>
      <c r="AB181" s="184">
        <f t="shared" si="237"/>
        <v>0</v>
      </c>
      <c r="AC181" s="184">
        <f t="shared" si="238"/>
        <v>0</v>
      </c>
      <c r="AD181" s="184">
        <f t="shared" si="212"/>
        <v>105799</v>
      </c>
      <c r="AE181" s="183">
        <f t="shared" si="259"/>
        <v>0</v>
      </c>
      <c r="AF181" s="385">
        <f>$AE181</f>
        <v>0</v>
      </c>
      <c r="AG181" s="385">
        <f t="shared" si="260"/>
        <v>0</v>
      </c>
      <c r="AH181" s="385">
        <f t="shared" si="260"/>
        <v>0</v>
      </c>
      <c r="AI181" s="185">
        <f t="shared" si="213"/>
        <v>74</v>
      </c>
      <c r="AJ181" s="185">
        <f t="shared" si="261"/>
        <v>433</v>
      </c>
      <c r="AK181" s="185">
        <f t="shared" si="262"/>
        <v>683</v>
      </c>
      <c r="AL181" s="185">
        <f t="shared" si="216"/>
        <v>1190</v>
      </c>
      <c r="AM181" s="173">
        <f>($S181*Y181)+($AE181*AI181)</f>
        <v>56106</v>
      </c>
      <c r="AN181" s="173">
        <f t="shared" si="244"/>
        <v>62554</v>
      </c>
      <c r="AO181" s="173">
        <f t="shared" si="245"/>
        <v>92938</v>
      </c>
      <c r="AP181" s="173">
        <f t="shared" si="195"/>
        <v>0</v>
      </c>
      <c r="AQ181" s="173">
        <f t="shared" si="196"/>
        <v>0</v>
      </c>
      <c r="AR181" s="173">
        <f t="shared" si="197"/>
        <v>211598</v>
      </c>
      <c r="AS181" s="186" t="s">
        <v>1361</v>
      </c>
      <c r="AT181" s="300">
        <f t="shared" ref="AT181:AX190" si="264">IF(ISERROR(IF(ISERROR(MATCH(CONCATENATE($J181,"_",AT$1),COT_PRE_CODIGO_ALIMENTOS,0)),IF(ISERROR(MATCH(CONCATENATE($J181,"_",AT$2),COT_PRE_CODIGO_ALIMENTOS,0)),IF(ISERROR(MATCH(CONCATENATE($J181,"_",AT$3),COT_PRE_CODIGO_ALIMENTOS,0)),IF(ISERROR(MATCH(CONCATENATE($J181,"_",AT$4),COT_PRE_CODIGO_ALIMENTOS,0)),IF(ISERROR(MATCH(CONCATENATE($J181,"_",AT$5),COT_PRE_CODIGO_ALIMENTOS,0)),IF(ISERROR(MATCH(CONCATENATE($J181,"_",AT$6),COT_PRE_CODIGO_ALIMENTOS,0)),IF(ISERROR(MATCH(CONCATENATE($J181,"_",AT$7),COT_PRE_CODIGO_ALIMENTOS,0)),IF(ISERROR(VLOOKUP($J181,COT_PRE_ALIMENTOS,AT$8,FALSE)),"DATO NO DISPONIBLE",VLOOKUP($J181,COT_PRE_ALIMENTOS,AT$8,FALSE)),VLOOKUP(CONCATENATE($J181,"_",AT$7),COT_PRE_ALIMENTOS,AT$8,FALSE)),VLOOKUP(CONCATENATE($J181,"_",AT$6),COT_PRE_ALIMENTOS,AT$8,FALSE)),VLOOKUP(CONCATENATE($J181,"_",AT$5),COT_PRE_ALIMENTOS,AT$8,FALSE)),VLOOKUP(CONCATENATE($J181,"_",AT$4),COT_PRE_ALIMENTOS,AT$8,FALSE)),VLOOKUP(CONCATENATE($J181,"_",AT$3),COT_PRE_ALIMENTOS,AT$8,FALSE)),VLOOKUP(CONCATENATE($J181,"_",AT$2),COT_PRE_ALIMENTOS,AT$8,FALSE)),VLOOKUP(CONCATENATE($J181,"_",AT$1),COT_PRE_ALIMENTOS,AT$8,FALSE))),"DATO NO DISPONIBLE",IF(ISERROR(MATCH(CONCATENATE($J181,"_",AT$1),COT_PRE_CODIGO_ALIMENTOS,0)),IF(ISERROR(MATCH(CONCATENATE($J181,"_",AT$2),COT_PRE_CODIGO_ALIMENTOS,0)),IF(ISERROR(MATCH(CONCATENATE($J181,"_",AT$3),COT_PRE_CODIGO_ALIMENTOS,0)),IF(ISERROR(MATCH(CONCATENATE($J181,"_",AT$4),COT_PRE_CODIGO_ALIMENTOS,0)),IF(ISERROR(MATCH(CONCATENATE($J181,"_",AT$5),COT_PRE_CODIGO_ALIMENTOS,0)),IF(ISERROR(MATCH(CONCATENATE($J181,"_",AT$6),COT_PRE_CODIGO_ALIMENTOS,0)),IF(ISERROR(MATCH(CONCATENATE($J181,"_",AT$7),COT_PRE_CODIGO_ALIMENTOS,0)),IF(ISERROR(VLOOKUP($J181,COT_PRE_ALIMENTOS,AT$8,FALSE)),"DATO NO DISPONIBLE",VLOOKUP($J181,COT_PRE_ALIMENTOS,AT$8,FALSE)),VLOOKUP(CONCATENATE($J181,"_",AT$7),COT_PRE_ALIMENTOS,AT$8,FALSE)),VLOOKUP(CONCATENATE($J181,"_",AT$6),COT_PRE_ALIMENTOS,AT$8,FALSE)),VLOOKUP(CONCATENATE($J181,"_",AT$5),COT_PRE_ALIMENTOS,AT$8,FALSE)),VLOOKUP(CONCATENATE($J181,"_",AT$4),COT_PRE_ALIMENTOS,AT$8,FALSE)),VLOOKUP(CONCATENATE($J181,"_",AT$3),COT_PRE_ALIMENTOS,AT$8,FALSE)),VLOOKUP(CONCATENATE($J181,"_",AT$2),COT_PRE_ALIMENTOS,AT$8,FALSE)),VLOOKUP(CONCATENATE($J181,"_",AT$1),COT_PRE_ALIMENTOS,AT$8,FALSE)))</f>
        <v>1.25</v>
      </c>
      <c r="AU181" s="300">
        <f t="shared" si="264"/>
        <v>1.25</v>
      </c>
      <c r="AV181" s="300">
        <f t="shared" si="264"/>
        <v>1.25</v>
      </c>
      <c r="AW181" s="300">
        <f t="shared" si="264"/>
        <v>1.25</v>
      </c>
      <c r="AX181" s="300">
        <f t="shared" si="264"/>
        <v>1.25</v>
      </c>
      <c r="AY181" s="301">
        <f t="shared" si="263"/>
        <v>1.25</v>
      </c>
      <c r="AZ181" s="301">
        <f t="shared" si="263"/>
        <v>1.25</v>
      </c>
      <c r="BA181" s="301">
        <f t="shared" si="263"/>
        <v>1.25</v>
      </c>
      <c r="BB181" s="301">
        <f t="shared" si="263"/>
        <v>1.25</v>
      </c>
      <c r="BC181" s="301">
        <f t="shared" si="263"/>
        <v>1.25</v>
      </c>
      <c r="BD181" s="187">
        <f>ROUND(IF(OR(M181=0,AT181="DATO NO DISPONIBLE"),"",AT181*M181*($BD$7+1)),0)</f>
        <v>134</v>
      </c>
      <c r="BE181" s="187">
        <f t="shared" si="246"/>
        <v>134</v>
      </c>
      <c r="BF181" s="187">
        <f t="shared" si="247"/>
        <v>134</v>
      </c>
      <c r="BG181" s="187"/>
      <c r="BH181" s="187"/>
      <c r="BI181" s="187">
        <f>ROUND(IF(OR(M181=0,AY181="DATO NO DISPONIBLE"),0,AY181*M181*($BD$7+1)),0)</f>
        <v>134</v>
      </c>
      <c r="BJ181" s="187">
        <f t="shared" si="222"/>
        <v>134</v>
      </c>
      <c r="BK181" s="187">
        <f t="shared" si="223"/>
        <v>134</v>
      </c>
      <c r="BL181" s="187"/>
      <c r="BM181" s="187"/>
      <c r="BN181" s="188">
        <f>BD181*AM181</f>
        <v>7518204</v>
      </c>
      <c r="BO181" s="188">
        <f t="shared" si="224"/>
        <v>8382236</v>
      </c>
      <c r="BP181" s="188">
        <f t="shared" si="225"/>
        <v>12453692</v>
      </c>
      <c r="BQ181" s="188">
        <f t="shared" si="226"/>
        <v>0</v>
      </c>
      <c r="BR181" s="188">
        <f t="shared" si="227"/>
        <v>0</v>
      </c>
      <c r="BS181" s="188">
        <f t="shared" si="198"/>
        <v>28354132</v>
      </c>
      <c r="BT181" s="188">
        <f t="shared" si="199"/>
        <v>7518204</v>
      </c>
      <c r="BU181" s="188">
        <f t="shared" si="200"/>
        <v>8382236</v>
      </c>
      <c r="BV181" s="188">
        <f t="shared" si="201"/>
        <v>12453692</v>
      </c>
      <c r="BW181" s="188">
        <f t="shared" si="202"/>
        <v>0</v>
      </c>
      <c r="BX181" s="188">
        <f t="shared" si="203"/>
        <v>0</v>
      </c>
      <c r="BY181" s="188">
        <f t="shared" si="204"/>
        <v>28354132</v>
      </c>
      <c r="BZ181" s="305">
        <f>IF(COT_PRECALCULOS!$D$24="Precios Iva Incluído",BI181,BD181)</f>
        <v>134</v>
      </c>
      <c r="CA181" s="305">
        <f>IF(COT_PRECALCULOS!$D$24="Precios Iva Incluído",BJ181,BE181)</f>
        <v>134</v>
      </c>
      <c r="CB181" s="305">
        <f>IF(COT_PRECALCULOS!$D$24="Precios Iva Incluído",BK181,BF181)</f>
        <v>134</v>
      </c>
      <c r="CC181" s="305">
        <f>IF(COT_PRECALCULOS!$D$24="Precios Iva Incluído",BL181,BG181)</f>
        <v>0</v>
      </c>
      <c r="CD181" s="305">
        <f>IF(COT_PRECALCULOS!$D$24="Precios Iva Incluído",BM181,BH181)</f>
        <v>0</v>
      </c>
      <c r="CE181" s="305">
        <f>IF(COT_PRECALCULOS!$D$24="Precios Iva Incluído",BT181,BN181)</f>
        <v>7518204</v>
      </c>
      <c r="CF181" s="305">
        <f>IF(COT_PRECALCULOS!$D$24="Precios Iva Incluído",BU181,BO181)</f>
        <v>8382236</v>
      </c>
      <c r="CG181" s="305">
        <f>IF(COT_PRECALCULOS!$D$24="Precios Iva Incluído",BV181,BP181)</f>
        <v>12453692</v>
      </c>
      <c r="CH181" s="305">
        <f>IF(COT_PRECALCULOS!$D$24="Precios Iva Incluído",BW181,BQ181)</f>
        <v>0</v>
      </c>
      <c r="CI181" s="305">
        <f>IF(COT_PRECALCULOS!$D$24="Precios Iva Incluído",BX181,BR181)</f>
        <v>0</v>
      </c>
    </row>
    <row r="182" spans="1:87">
      <c r="A182" s="182" t="s">
        <v>102</v>
      </c>
      <c r="B182" s="182" t="s">
        <v>126</v>
      </c>
      <c r="C182" s="189" t="str">
        <f t="shared" si="193"/>
        <v>F_SE2</v>
      </c>
      <c r="D182" s="189" t="str">
        <f t="shared" si="194"/>
        <v>7_S_</v>
      </c>
      <c r="E182" s="211" t="s">
        <v>1</v>
      </c>
      <c r="F182" s="211" t="s">
        <v>1</v>
      </c>
      <c r="G182" s="189" t="s">
        <v>31</v>
      </c>
      <c r="H182" s="211"/>
      <c r="I182" s="211" t="s">
        <v>56</v>
      </c>
      <c r="J182" s="211">
        <v>7</v>
      </c>
      <c r="K182" s="211" t="s">
        <v>57</v>
      </c>
      <c r="L182" s="189" t="s">
        <v>9</v>
      </c>
      <c r="M182" s="211">
        <v>100</v>
      </c>
      <c r="N182" s="211">
        <v>100</v>
      </c>
      <c r="O182" s="211">
        <v>100</v>
      </c>
      <c r="P182" s="211"/>
      <c r="Q182" s="211"/>
      <c r="R182" s="211"/>
      <c r="S182" s="183">
        <f t="shared" si="255"/>
        <v>1</v>
      </c>
      <c r="T182" s="385">
        <f>$S182</f>
        <v>1</v>
      </c>
      <c r="U182" s="385">
        <f t="shared" si="256"/>
        <v>1</v>
      </c>
      <c r="V182" s="385">
        <f t="shared" si="256"/>
        <v>1</v>
      </c>
      <c r="W182" s="387"/>
      <c r="X182" s="387"/>
      <c r="Y182" s="184">
        <f t="shared" si="207"/>
        <v>28053</v>
      </c>
      <c r="Z182" s="184">
        <f t="shared" si="257"/>
        <v>31277</v>
      </c>
      <c r="AA182" s="184">
        <f t="shared" si="258"/>
        <v>46469</v>
      </c>
      <c r="AB182" s="184">
        <f t="shared" si="237"/>
        <v>0</v>
      </c>
      <c r="AC182" s="184">
        <f t="shared" si="238"/>
        <v>0</v>
      </c>
      <c r="AD182" s="184">
        <f t="shared" si="212"/>
        <v>105799</v>
      </c>
      <c r="AE182" s="183">
        <f t="shared" si="259"/>
        <v>0</v>
      </c>
      <c r="AF182" s="385">
        <f>$AE182</f>
        <v>0</v>
      </c>
      <c r="AG182" s="385">
        <f t="shared" si="260"/>
        <v>0</v>
      </c>
      <c r="AH182" s="385">
        <f t="shared" si="260"/>
        <v>0</v>
      </c>
      <c r="AI182" s="185">
        <f t="shared" si="213"/>
        <v>74</v>
      </c>
      <c r="AJ182" s="185">
        <f t="shared" si="261"/>
        <v>433</v>
      </c>
      <c r="AK182" s="185">
        <f t="shared" si="262"/>
        <v>683</v>
      </c>
      <c r="AL182" s="185">
        <f t="shared" si="216"/>
        <v>1190</v>
      </c>
      <c r="AM182" s="173">
        <f>($S182*Y182)+($AE182*AI182)</f>
        <v>28053</v>
      </c>
      <c r="AN182" s="173">
        <f t="shared" si="244"/>
        <v>31277</v>
      </c>
      <c r="AO182" s="173">
        <f t="shared" si="245"/>
        <v>46469</v>
      </c>
      <c r="AP182" s="173">
        <f t="shared" si="195"/>
        <v>0</v>
      </c>
      <c r="AQ182" s="173">
        <f t="shared" si="196"/>
        <v>0</v>
      </c>
      <c r="AR182" s="173">
        <f t="shared" si="197"/>
        <v>105799</v>
      </c>
      <c r="AS182" s="186" t="s">
        <v>1361</v>
      </c>
      <c r="AT182" s="300">
        <f t="shared" si="264"/>
        <v>1</v>
      </c>
      <c r="AU182" s="300">
        <f t="shared" si="264"/>
        <v>1</v>
      </c>
      <c r="AV182" s="300">
        <f t="shared" si="264"/>
        <v>1</v>
      </c>
      <c r="AW182" s="300">
        <f t="shared" si="264"/>
        <v>1</v>
      </c>
      <c r="AX182" s="300">
        <f t="shared" si="264"/>
        <v>1</v>
      </c>
      <c r="AY182" s="301">
        <f t="shared" si="263"/>
        <v>1</v>
      </c>
      <c r="AZ182" s="301">
        <f t="shared" si="263"/>
        <v>1</v>
      </c>
      <c r="BA182" s="301">
        <f t="shared" si="263"/>
        <v>1</v>
      </c>
      <c r="BB182" s="301">
        <f t="shared" si="263"/>
        <v>1</v>
      </c>
      <c r="BC182" s="301">
        <f t="shared" si="263"/>
        <v>1</v>
      </c>
      <c r="BD182" s="187">
        <f>ROUND(IF(OR(M182=0,AT182="DATO NO DISPONIBLE"),"",AT182*M182*($BD$7+1)),0)</f>
        <v>107</v>
      </c>
      <c r="BE182" s="187">
        <f t="shared" si="246"/>
        <v>107</v>
      </c>
      <c r="BF182" s="187">
        <f t="shared" si="247"/>
        <v>107</v>
      </c>
      <c r="BG182" s="187"/>
      <c r="BH182" s="187"/>
      <c r="BI182" s="187">
        <f>ROUND(IF(OR(M182=0,AY182="DATO NO DISPONIBLE"),0,AY182*M182*($BD$7+1)),0)</f>
        <v>107</v>
      </c>
      <c r="BJ182" s="187">
        <f t="shared" si="222"/>
        <v>107</v>
      </c>
      <c r="BK182" s="187">
        <f t="shared" si="223"/>
        <v>107</v>
      </c>
      <c r="BL182" s="187"/>
      <c r="BM182" s="187"/>
      <c r="BN182" s="188">
        <f>BD182*AM182</f>
        <v>3001671</v>
      </c>
      <c r="BO182" s="188">
        <f t="shared" si="224"/>
        <v>3346639</v>
      </c>
      <c r="BP182" s="188">
        <f t="shared" si="225"/>
        <v>4972183</v>
      </c>
      <c r="BQ182" s="188">
        <f t="shared" si="226"/>
        <v>0</v>
      </c>
      <c r="BR182" s="188">
        <f t="shared" si="227"/>
        <v>0</v>
      </c>
      <c r="BS182" s="188">
        <f t="shared" si="198"/>
        <v>11320493</v>
      </c>
      <c r="BT182" s="188">
        <f t="shared" si="199"/>
        <v>3001671</v>
      </c>
      <c r="BU182" s="188">
        <f t="shared" si="200"/>
        <v>3346639</v>
      </c>
      <c r="BV182" s="188">
        <f t="shared" si="201"/>
        <v>4972183</v>
      </c>
      <c r="BW182" s="188">
        <f t="shared" si="202"/>
        <v>0</v>
      </c>
      <c r="BX182" s="188">
        <f t="shared" si="203"/>
        <v>0</v>
      </c>
      <c r="BY182" s="188">
        <f t="shared" si="204"/>
        <v>11320493</v>
      </c>
      <c r="BZ182" s="305">
        <f>IF(COT_PRECALCULOS!$D$24="Precios Iva Incluído",BI182,BD182)</f>
        <v>107</v>
      </c>
      <c r="CA182" s="305">
        <f>IF(COT_PRECALCULOS!$D$24="Precios Iva Incluído",BJ182,BE182)</f>
        <v>107</v>
      </c>
      <c r="CB182" s="305">
        <f>IF(COT_PRECALCULOS!$D$24="Precios Iva Incluído",BK182,BF182)</f>
        <v>107</v>
      </c>
      <c r="CC182" s="305">
        <f>IF(COT_PRECALCULOS!$D$24="Precios Iva Incluído",BL182,BG182)</f>
        <v>0</v>
      </c>
      <c r="CD182" s="305">
        <f>IF(COT_PRECALCULOS!$D$24="Precios Iva Incluído",BM182,BH182)</f>
        <v>0</v>
      </c>
      <c r="CE182" s="305">
        <f>IF(COT_PRECALCULOS!$D$24="Precios Iva Incluído",BT182,BN182)</f>
        <v>3001671</v>
      </c>
      <c r="CF182" s="305">
        <f>IF(COT_PRECALCULOS!$D$24="Precios Iva Incluído",BU182,BO182)</f>
        <v>3346639</v>
      </c>
      <c r="CG182" s="305">
        <f>IF(COT_PRECALCULOS!$D$24="Precios Iva Incluído",BV182,BP182)</f>
        <v>4972183</v>
      </c>
      <c r="CH182" s="305">
        <f>IF(COT_PRECALCULOS!$D$24="Precios Iva Incluído",BW182,BQ182)</f>
        <v>0</v>
      </c>
      <c r="CI182" s="305">
        <f>IF(COT_PRECALCULOS!$D$24="Precios Iva Incluído",BX182,BR182)</f>
        <v>0</v>
      </c>
    </row>
    <row r="183" spans="1:87">
      <c r="A183" s="182" t="s">
        <v>102</v>
      </c>
      <c r="B183" s="182" t="s">
        <v>126</v>
      </c>
      <c r="C183" s="189" t="str">
        <f t="shared" si="193"/>
        <v>F_SE2</v>
      </c>
      <c r="D183" s="189" t="str">
        <f t="shared" si="194"/>
        <v>17_S_</v>
      </c>
      <c r="E183" s="211" t="s">
        <v>1</v>
      </c>
      <c r="F183" s="211" t="s">
        <v>1</v>
      </c>
      <c r="G183" s="189" t="s">
        <v>31</v>
      </c>
      <c r="H183" s="211"/>
      <c r="I183" s="211" t="s">
        <v>52</v>
      </c>
      <c r="J183" s="211">
        <v>17</v>
      </c>
      <c r="K183" s="211" t="s">
        <v>53</v>
      </c>
      <c r="L183" s="189" t="s">
        <v>9</v>
      </c>
      <c r="M183" s="386">
        <v>0</v>
      </c>
      <c r="N183" s="211">
        <v>100</v>
      </c>
      <c r="O183" s="211">
        <v>100</v>
      </c>
      <c r="P183" s="211"/>
      <c r="Q183" s="211"/>
      <c r="R183" s="211" t="s">
        <v>73</v>
      </c>
      <c r="S183" s="183">
        <f t="shared" si="255"/>
        <v>3</v>
      </c>
      <c r="T183" s="386">
        <v>0</v>
      </c>
      <c r="U183" s="385">
        <f t="shared" si="256"/>
        <v>3</v>
      </c>
      <c r="V183" s="385">
        <f t="shared" si="256"/>
        <v>3</v>
      </c>
      <c r="W183" s="387"/>
      <c r="X183" s="387"/>
      <c r="Y183" s="184">
        <f t="shared" si="207"/>
        <v>0</v>
      </c>
      <c r="Z183" s="184">
        <f t="shared" si="257"/>
        <v>31277</v>
      </c>
      <c r="AA183" s="184">
        <f t="shared" si="258"/>
        <v>46469</v>
      </c>
      <c r="AB183" s="184">
        <f t="shared" si="237"/>
        <v>0</v>
      </c>
      <c r="AC183" s="184">
        <f t="shared" si="238"/>
        <v>0</v>
      </c>
      <c r="AD183" s="184">
        <f t="shared" si="212"/>
        <v>77746</v>
      </c>
      <c r="AE183" s="183">
        <f t="shared" si="259"/>
        <v>0</v>
      </c>
      <c r="AF183" s="386">
        <v>0</v>
      </c>
      <c r="AG183" s="385">
        <f t="shared" si="260"/>
        <v>0</v>
      </c>
      <c r="AH183" s="385">
        <f t="shared" si="260"/>
        <v>0</v>
      </c>
      <c r="AI183" s="185">
        <f t="shared" si="213"/>
        <v>0</v>
      </c>
      <c r="AJ183" s="185">
        <f t="shared" si="261"/>
        <v>433</v>
      </c>
      <c r="AK183" s="185">
        <f t="shared" si="262"/>
        <v>683</v>
      </c>
      <c r="AL183" s="185">
        <f t="shared" si="216"/>
        <v>1116</v>
      </c>
      <c r="AM183" s="173">
        <v>0</v>
      </c>
      <c r="AN183" s="173">
        <f t="shared" si="244"/>
        <v>93831</v>
      </c>
      <c r="AO183" s="173">
        <f t="shared" si="245"/>
        <v>139407</v>
      </c>
      <c r="AP183" s="173">
        <f t="shared" si="195"/>
        <v>0</v>
      </c>
      <c r="AQ183" s="173">
        <f t="shared" si="196"/>
        <v>0</v>
      </c>
      <c r="AR183" s="173">
        <f t="shared" si="197"/>
        <v>233238</v>
      </c>
      <c r="AS183" s="186" t="s">
        <v>1361</v>
      </c>
      <c r="AT183" s="300">
        <f t="shared" si="264"/>
        <v>2.11</v>
      </c>
      <c r="AU183" s="300">
        <f t="shared" si="264"/>
        <v>2.11</v>
      </c>
      <c r="AV183" s="300">
        <f t="shared" si="264"/>
        <v>2.11</v>
      </c>
      <c r="AW183" s="300">
        <f t="shared" si="264"/>
        <v>2.11</v>
      </c>
      <c r="AX183" s="300">
        <f t="shared" si="264"/>
        <v>2.11</v>
      </c>
      <c r="AY183" s="301">
        <f t="shared" si="263"/>
        <v>2.11</v>
      </c>
      <c r="AZ183" s="301">
        <f t="shared" si="263"/>
        <v>2.11</v>
      </c>
      <c r="BA183" s="301">
        <f t="shared" si="263"/>
        <v>2.11</v>
      </c>
      <c r="BB183" s="301">
        <f t="shared" si="263"/>
        <v>2.11</v>
      </c>
      <c r="BC183" s="301">
        <f t="shared" si="263"/>
        <v>2.11</v>
      </c>
      <c r="BD183" s="187"/>
      <c r="BE183" s="187">
        <f t="shared" si="246"/>
        <v>226</v>
      </c>
      <c r="BF183" s="187">
        <f t="shared" si="247"/>
        <v>226</v>
      </c>
      <c r="BG183" s="187"/>
      <c r="BH183" s="187"/>
      <c r="BI183" s="187"/>
      <c r="BJ183" s="187">
        <f t="shared" si="222"/>
        <v>226</v>
      </c>
      <c r="BK183" s="187">
        <f t="shared" si="223"/>
        <v>226</v>
      </c>
      <c r="BL183" s="187"/>
      <c r="BM183" s="187"/>
      <c r="BN183" s="188"/>
      <c r="BO183" s="188">
        <f t="shared" si="224"/>
        <v>21205806</v>
      </c>
      <c r="BP183" s="188">
        <f t="shared" si="225"/>
        <v>31505982</v>
      </c>
      <c r="BQ183" s="188">
        <f t="shared" si="226"/>
        <v>0</v>
      </c>
      <c r="BR183" s="188">
        <f t="shared" si="227"/>
        <v>0</v>
      </c>
      <c r="BS183" s="188">
        <f t="shared" si="198"/>
        <v>52711788</v>
      </c>
      <c r="BT183" s="188">
        <f t="shared" si="199"/>
        <v>0</v>
      </c>
      <c r="BU183" s="188">
        <f t="shared" si="200"/>
        <v>21205806</v>
      </c>
      <c r="BV183" s="188">
        <f t="shared" si="201"/>
        <v>31505982</v>
      </c>
      <c r="BW183" s="188">
        <f t="shared" si="202"/>
        <v>0</v>
      </c>
      <c r="BX183" s="188">
        <f t="shared" si="203"/>
        <v>0</v>
      </c>
      <c r="BY183" s="188">
        <f t="shared" si="204"/>
        <v>52711788</v>
      </c>
      <c r="BZ183" s="305">
        <f>IF(COT_PRECALCULOS!$D$24="Precios Iva Incluído",BI183,BD183)</f>
        <v>0</v>
      </c>
      <c r="CA183" s="305">
        <f>IF(COT_PRECALCULOS!$D$24="Precios Iva Incluído",BJ183,BE183)</f>
        <v>226</v>
      </c>
      <c r="CB183" s="305">
        <f>IF(COT_PRECALCULOS!$D$24="Precios Iva Incluído",BK183,BF183)</f>
        <v>226</v>
      </c>
      <c r="CC183" s="305">
        <f>IF(COT_PRECALCULOS!$D$24="Precios Iva Incluído",BL183,BG183)</f>
        <v>0</v>
      </c>
      <c r="CD183" s="305">
        <f>IF(COT_PRECALCULOS!$D$24="Precios Iva Incluído",BM183,BH183)</f>
        <v>0</v>
      </c>
      <c r="CE183" s="305">
        <f>IF(COT_PRECALCULOS!$D$24="Precios Iva Incluído",BT183,BN183)</f>
        <v>0</v>
      </c>
      <c r="CF183" s="305">
        <f>IF(COT_PRECALCULOS!$D$24="Precios Iva Incluído",BU183,BO183)</f>
        <v>21205806</v>
      </c>
      <c r="CG183" s="305">
        <f>IF(COT_PRECALCULOS!$D$24="Precios Iva Incluído",BV183,BP183)</f>
        <v>31505982</v>
      </c>
      <c r="CH183" s="305">
        <f>IF(COT_PRECALCULOS!$D$24="Precios Iva Incluído",BW183,BQ183)</f>
        <v>0</v>
      </c>
      <c r="CI183" s="305">
        <f>IF(COT_PRECALCULOS!$D$24="Precios Iva Incluído",BX183,BR183)</f>
        <v>0</v>
      </c>
    </row>
    <row r="184" spans="1:87">
      <c r="A184" s="182" t="s">
        <v>102</v>
      </c>
      <c r="B184" s="182" t="s">
        <v>126</v>
      </c>
      <c r="C184" s="189" t="str">
        <f t="shared" si="193"/>
        <v>F_SE2</v>
      </c>
      <c r="D184" s="189" t="str">
        <f t="shared" si="194"/>
        <v>22_S_</v>
      </c>
      <c r="E184" s="190" t="s">
        <v>1</v>
      </c>
      <c r="F184" s="190" t="s">
        <v>1</v>
      </c>
      <c r="G184" s="189" t="s">
        <v>31</v>
      </c>
      <c r="H184" s="190"/>
      <c r="I184" s="190" t="s">
        <v>50</v>
      </c>
      <c r="J184" s="190">
        <v>22</v>
      </c>
      <c r="K184" s="190" t="s">
        <v>51</v>
      </c>
      <c r="L184" s="189" t="s">
        <v>9</v>
      </c>
      <c r="M184" s="386">
        <v>0</v>
      </c>
      <c r="N184" s="211">
        <v>100</v>
      </c>
      <c r="O184" s="211">
        <v>100</v>
      </c>
      <c r="P184" s="190"/>
      <c r="Q184" s="190"/>
      <c r="R184" s="190" t="s">
        <v>73</v>
      </c>
      <c r="S184" s="183">
        <f t="shared" si="255"/>
        <v>1</v>
      </c>
      <c r="T184" s="386">
        <v>0</v>
      </c>
      <c r="U184" s="385">
        <f t="shared" si="256"/>
        <v>1</v>
      </c>
      <c r="V184" s="385">
        <f t="shared" si="256"/>
        <v>1</v>
      </c>
      <c r="W184" s="387"/>
      <c r="X184" s="387"/>
      <c r="Y184" s="184">
        <f t="shared" si="207"/>
        <v>0</v>
      </c>
      <c r="Z184" s="184">
        <f t="shared" si="257"/>
        <v>31277</v>
      </c>
      <c r="AA184" s="184">
        <f t="shared" si="258"/>
        <v>46469</v>
      </c>
      <c r="AB184" s="184">
        <f t="shared" ref="AB184:AB215" si="265">IF(P184&lt;&gt;0,VLOOKUP(A184,FRE_CANTIDADES_DIARIAS_SUMINISTROS,7,FALSE),0)</f>
        <v>0</v>
      </c>
      <c r="AC184" s="184">
        <f t="shared" ref="AC184:AC215" si="266">IF(Q184&lt;&gt;0,VLOOKUP(A184,FRE_CANTIDADES_DIARIAS_SUMINISTROS,8,FALSE),0)</f>
        <v>0</v>
      </c>
      <c r="AD184" s="184">
        <f t="shared" si="212"/>
        <v>77746</v>
      </c>
      <c r="AE184" s="183">
        <f t="shared" si="259"/>
        <v>0</v>
      </c>
      <c r="AF184" s="386">
        <v>0</v>
      </c>
      <c r="AG184" s="385">
        <f t="shared" si="260"/>
        <v>0</v>
      </c>
      <c r="AH184" s="385">
        <f t="shared" si="260"/>
        <v>0</v>
      </c>
      <c r="AI184" s="185">
        <f t="shared" si="213"/>
        <v>0</v>
      </c>
      <c r="AJ184" s="185">
        <f t="shared" si="261"/>
        <v>433</v>
      </c>
      <c r="AK184" s="185">
        <f t="shared" si="262"/>
        <v>683</v>
      </c>
      <c r="AL184" s="185">
        <f t="shared" si="216"/>
        <v>1116</v>
      </c>
      <c r="AM184" s="173">
        <v>0</v>
      </c>
      <c r="AN184" s="173">
        <f t="shared" si="244"/>
        <v>31277</v>
      </c>
      <c r="AO184" s="173">
        <f t="shared" si="245"/>
        <v>46469</v>
      </c>
      <c r="AP184" s="173">
        <f t="shared" si="195"/>
        <v>0</v>
      </c>
      <c r="AQ184" s="173">
        <f t="shared" si="196"/>
        <v>0</v>
      </c>
      <c r="AR184" s="173">
        <f t="shared" si="197"/>
        <v>77746</v>
      </c>
      <c r="AS184" s="186" t="s">
        <v>1361</v>
      </c>
      <c r="AT184" s="300">
        <f t="shared" si="264"/>
        <v>4.9124999999999996</v>
      </c>
      <c r="AU184" s="300">
        <f t="shared" si="264"/>
        <v>4.9124999999999996</v>
      </c>
      <c r="AV184" s="300">
        <f t="shared" si="264"/>
        <v>4.9124999999999996</v>
      </c>
      <c r="AW184" s="300">
        <f t="shared" si="264"/>
        <v>4.9124999999999996</v>
      </c>
      <c r="AX184" s="300">
        <f t="shared" si="264"/>
        <v>4.9124999999999996</v>
      </c>
      <c r="AY184" s="301">
        <f t="shared" si="263"/>
        <v>4.9124999999999996</v>
      </c>
      <c r="AZ184" s="301">
        <f t="shared" si="263"/>
        <v>4.9124999999999996</v>
      </c>
      <c r="BA184" s="301">
        <f t="shared" si="263"/>
        <v>4.9124999999999996</v>
      </c>
      <c r="BB184" s="301">
        <f t="shared" si="263"/>
        <v>4.9124999999999996</v>
      </c>
      <c r="BC184" s="301">
        <f t="shared" si="263"/>
        <v>4.9124999999999996</v>
      </c>
      <c r="BD184" s="187"/>
      <c r="BE184" s="187">
        <f t="shared" si="246"/>
        <v>525</v>
      </c>
      <c r="BF184" s="187">
        <f t="shared" si="247"/>
        <v>525</v>
      </c>
      <c r="BG184" s="187"/>
      <c r="BH184" s="187"/>
      <c r="BI184" s="187"/>
      <c r="BJ184" s="187">
        <f t="shared" si="222"/>
        <v>525</v>
      </c>
      <c r="BK184" s="187">
        <f t="shared" si="223"/>
        <v>525</v>
      </c>
      <c r="BL184" s="187"/>
      <c r="BM184" s="187"/>
      <c r="BN184" s="188"/>
      <c r="BO184" s="188">
        <f t="shared" si="224"/>
        <v>16420425</v>
      </c>
      <c r="BP184" s="188">
        <f t="shared" si="225"/>
        <v>24396225</v>
      </c>
      <c r="BQ184" s="188">
        <f t="shared" si="226"/>
        <v>0</v>
      </c>
      <c r="BR184" s="188">
        <f t="shared" si="227"/>
        <v>0</v>
      </c>
      <c r="BS184" s="188">
        <f t="shared" si="198"/>
        <v>40816650</v>
      </c>
      <c r="BT184" s="188">
        <f t="shared" si="199"/>
        <v>0</v>
      </c>
      <c r="BU184" s="188">
        <f t="shared" si="200"/>
        <v>16420425</v>
      </c>
      <c r="BV184" s="188">
        <f t="shared" si="201"/>
        <v>24396225</v>
      </c>
      <c r="BW184" s="188">
        <f t="shared" si="202"/>
        <v>0</v>
      </c>
      <c r="BX184" s="188">
        <f t="shared" si="203"/>
        <v>0</v>
      </c>
      <c r="BY184" s="188">
        <f t="shared" si="204"/>
        <v>40816650</v>
      </c>
      <c r="BZ184" s="305">
        <f>IF(COT_PRECALCULOS!$D$24="Precios Iva Incluído",BI184,BD184)</f>
        <v>0</v>
      </c>
      <c r="CA184" s="305">
        <f>IF(COT_PRECALCULOS!$D$24="Precios Iva Incluído",BJ184,BE184)</f>
        <v>525</v>
      </c>
      <c r="CB184" s="305">
        <f>IF(COT_PRECALCULOS!$D$24="Precios Iva Incluído",BK184,BF184)</f>
        <v>525</v>
      </c>
      <c r="CC184" s="305">
        <f>IF(COT_PRECALCULOS!$D$24="Precios Iva Incluído",BL184,BG184)</f>
        <v>0</v>
      </c>
      <c r="CD184" s="305">
        <f>IF(COT_PRECALCULOS!$D$24="Precios Iva Incluído",BM184,BH184)</f>
        <v>0</v>
      </c>
      <c r="CE184" s="305">
        <f>IF(COT_PRECALCULOS!$D$24="Precios Iva Incluído",BT184,BN184)</f>
        <v>0</v>
      </c>
      <c r="CF184" s="305">
        <f>IF(COT_PRECALCULOS!$D$24="Precios Iva Incluído",BU184,BO184)</f>
        <v>16420425</v>
      </c>
      <c r="CG184" s="305">
        <f>IF(COT_PRECALCULOS!$D$24="Precios Iva Incluído",BV184,BP184)</f>
        <v>24396225</v>
      </c>
      <c r="CH184" s="305">
        <f>IF(COT_PRECALCULOS!$D$24="Precios Iva Incluído",BW184,BQ184)</f>
        <v>0</v>
      </c>
      <c r="CI184" s="305">
        <f>IF(COT_PRECALCULOS!$D$24="Precios Iva Incluído",BX184,BR184)</f>
        <v>0</v>
      </c>
    </row>
    <row r="185" spans="1:87">
      <c r="A185" s="182" t="s">
        <v>102</v>
      </c>
      <c r="B185" s="182" t="s">
        <v>126</v>
      </c>
      <c r="C185" s="189" t="str">
        <f t="shared" si="193"/>
        <v>F_SE2</v>
      </c>
      <c r="D185" s="189" t="str">
        <f t="shared" si="194"/>
        <v>33_S_</v>
      </c>
      <c r="E185" s="190" t="s">
        <v>1</v>
      </c>
      <c r="F185" s="190" t="s">
        <v>1</v>
      </c>
      <c r="G185" s="189" t="s">
        <v>31</v>
      </c>
      <c r="H185" s="190"/>
      <c r="I185" s="190" t="s">
        <v>58</v>
      </c>
      <c r="J185" s="190">
        <v>33</v>
      </c>
      <c r="K185" s="190" t="s">
        <v>59</v>
      </c>
      <c r="L185" s="189" t="s">
        <v>48</v>
      </c>
      <c r="M185" s="310">
        <v>90</v>
      </c>
      <c r="N185" s="310">
        <v>90</v>
      </c>
      <c r="O185" s="310">
        <v>90</v>
      </c>
      <c r="P185" s="190"/>
      <c r="Q185" s="190"/>
      <c r="R185" s="190"/>
      <c r="S185" s="183">
        <f t="shared" si="255"/>
        <v>3</v>
      </c>
      <c r="T185" s="385">
        <f>$S185</f>
        <v>3</v>
      </c>
      <c r="U185" s="385">
        <f t="shared" si="256"/>
        <v>3</v>
      </c>
      <c r="V185" s="385">
        <f t="shared" si="256"/>
        <v>3</v>
      </c>
      <c r="W185" s="387"/>
      <c r="X185" s="387"/>
      <c r="Y185" s="184">
        <f t="shared" si="207"/>
        <v>28053</v>
      </c>
      <c r="Z185" s="184">
        <f t="shared" si="257"/>
        <v>31277</v>
      </c>
      <c r="AA185" s="184">
        <f t="shared" si="258"/>
        <v>46469</v>
      </c>
      <c r="AB185" s="184">
        <f t="shared" si="265"/>
        <v>0</v>
      </c>
      <c r="AC185" s="184">
        <f t="shared" si="266"/>
        <v>0</v>
      </c>
      <c r="AD185" s="184">
        <f t="shared" si="212"/>
        <v>105799</v>
      </c>
      <c r="AE185" s="183">
        <f t="shared" si="259"/>
        <v>0</v>
      </c>
      <c r="AF185" s="385">
        <f>$AE185</f>
        <v>0</v>
      </c>
      <c r="AG185" s="385">
        <f t="shared" si="260"/>
        <v>0</v>
      </c>
      <c r="AH185" s="385">
        <f t="shared" si="260"/>
        <v>0</v>
      </c>
      <c r="AI185" s="185">
        <f t="shared" si="213"/>
        <v>74</v>
      </c>
      <c r="AJ185" s="185">
        <f t="shared" si="261"/>
        <v>433</v>
      </c>
      <c r="AK185" s="185">
        <f t="shared" si="262"/>
        <v>683</v>
      </c>
      <c r="AL185" s="185">
        <f t="shared" si="216"/>
        <v>1190</v>
      </c>
      <c r="AM185" s="173">
        <f t="shared" ref="AM185:AM191" si="267">($S185*Y185)+($AE185*AI185)</f>
        <v>84159</v>
      </c>
      <c r="AN185" s="173">
        <f t="shared" si="244"/>
        <v>93831</v>
      </c>
      <c r="AO185" s="173">
        <f t="shared" si="245"/>
        <v>139407</v>
      </c>
      <c r="AP185" s="173">
        <f t="shared" si="195"/>
        <v>0</v>
      </c>
      <c r="AQ185" s="173">
        <f t="shared" si="196"/>
        <v>0</v>
      </c>
      <c r="AR185" s="173">
        <f t="shared" si="197"/>
        <v>317397</v>
      </c>
      <c r="AS185" s="186" t="s">
        <v>1361</v>
      </c>
      <c r="AT185" s="300">
        <f t="shared" si="264"/>
        <v>2.8014999999999999</v>
      </c>
      <c r="AU185" s="300">
        <f t="shared" si="264"/>
        <v>2.8014999999999999</v>
      </c>
      <c r="AV185" s="300">
        <f t="shared" si="264"/>
        <v>2.8014999999999999</v>
      </c>
      <c r="AW185" s="300">
        <f t="shared" si="264"/>
        <v>2.8014999999999999</v>
      </c>
      <c r="AX185" s="300">
        <f t="shared" si="264"/>
        <v>2.8014999999999999</v>
      </c>
      <c r="AY185" s="301">
        <f t="shared" si="263"/>
        <v>2.8014999999999999</v>
      </c>
      <c r="AZ185" s="301">
        <f t="shared" si="263"/>
        <v>2.8014999999999999</v>
      </c>
      <c r="BA185" s="301">
        <f t="shared" si="263"/>
        <v>2.8014999999999999</v>
      </c>
      <c r="BB185" s="301">
        <f t="shared" si="263"/>
        <v>2.8014999999999999</v>
      </c>
      <c r="BC185" s="301">
        <f t="shared" si="263"/>
        <v>2.8014999999999999</v>
      </c>
      <c r="BD185" s="187">
        <f>ROUND(IF(OR(M185=0,AT185="DATO NO DISPONIBLE"),"",AT185*M185*($BD$7+1)),0)</f>
        <v>270</v>
      </c>
      <c r="BE185" s="187">
        <f t="shared" si="246"/>
        <v>270</v>
      </c>
      <c r="BF185" s="187">
        <f t="shared" si="247"/>
        <v>270</v>
      </c>
      <c r="BG185" s="187"/>
      <c r="BH185" s="187"/>
      <c r="BI185" s="187">
        <f>ROUND(IF(OR(M185=0,AY185="DATO NO DISPONIBLE"),0,AY185*M185*($BD$7+1)),0)</f>
        <v>270</v>
      </c>
      <c r="BJ185" s="187">
        <f t="shared" si="222"/>
        <v>270</v>
      </c>
      <c r="BK185" s="187">
        <f t="shared" si="223"/>
        <v>270</v>
      </c>
      <c r="BL185" s="187"/>
      <c r="BM185" s="187"/>
      <c r="BN185" s="188">
        <f>BD185*AM185</f>
        <v>22722930</v>
      </c>
      <c r="BO185" s="188">
        <f t="shared" si="224"/>
        <v>25334370</v>
      </c>
      <c r="BP185" s="188">
        <f t="shared" si="225"/>
        <v>37639890</v>
      </c>
      <c r="BQ185" s="188">
        <f t="shared" si="226"/>
        <v>0</v>
      </c>
      <c r="BR185" s="188">
        <f t="shared" si="227"/>
        <v>0</v>
      </c>
      <c r="BS185" s="188">
        <f t="shared" si="198"/>
        <v>85697190</v>
      </c>
      <c r="BT185" s="188">
        <f t="shared" si="199"/>
        <v>22722930</v>
      </c>
      <c r="BU185" s="188">
        <f t="shared" si="200"/>
        <v>25334370</v>
      </c>
      <c r="BV185" s="188">
        <f t="shared" si="201"/>
        <v>37639890</v>
      </c>
      <c r="BW185" s="188">
        <f t="shared" si="202"/>
        <v>0</v>
      </c>
      <c r="BX185" s="188">
        <f t="shared" si="203"/>
        <v>0</v>
      </c>
      <c r="BY185" s="188">
        <f t="shared" si="204"/>
        <v>85697190</v>
      </c>
      <c r="BZ185" s="305">
        <f>IF(COT_PRECALCULOS!$D$24="Precios Iva Incluído",BI185,BD185)</f>
        <v>270</v>
      </c>
      <c r="CA185" s="305">
        <f>IF(COT_PRECALCULOS!$D$24="Precios Iva Incluído",BJ185,BE185)</f>
        <v>270</v>
      </c>
      <c r="CB185" s="305">
        <f>IF(COT_PRECALCULOS!$D$24="Precios Iva Incluído",BK185,BF185)</f>
        <v>270</v>
      </c>
      <c r="CC185" s="305">
        <f>IF(COT_PRECALCULOS!$D$24="Precios Iva Incluído",BL185,BG185)</f>
        <v>0</v>
      </c>
      <c r="CD185" s="305">
        <f>IF(COT_PRECALCULOS!$D$24="Precios Iva Incluído",BM185,BH185)</f>
        <v>0</v>
      </c>
      <c r="CE185" s="305">
        <f>IF(COT_PRECALCULOS!$D$24="Precios Iva Incluído",BT185,BN185)</f>
        <v>22722930</v>
      </c>
      <c r="CF185" s="305">
        <f>IF(COT_PRECALCULOS!$D$24="Precios Iva Incluído",BU185,BO185)</f>
        <v>25334370</v>
      </c>
      <c r="CG185" s="305">
        <f>IF(COT_PRECALCULOS!$D$24="Precios Iva Incluído",BV185,BP185)</f>
        <v>37639890</v>
      </c>
      <c r="CH185" s="305">
        <f>IF(COT_PRECALCULOS!$D$24="Precios Iva Incluído",BW185,BQ185)</f>
        <v>0</v>
      </c>
      <c r="CI185" s="305">
        <f>IF(COT_PRECALCULOS!$D$24="Precios Iva Incluído",BX185,BR185)</f>
        <v>0</v>
      </c>
    </row>
    <row r="186" spans="1:87">
      <c r="A186" s="182" t="s">
        <v>102</v>
      </c>
      <c r="B186" s="182" t="s">
        <v>126</v>
      </c>
      <c r="C186" s="189" t="str">
        <f t="shared" si="193"/>
        <v>F_SE2</v>
      </c>
      <c r="D186" s="189" t="str">
        <f t="shared" si="194"/>
        <v>42_S_</v>
      </c>
      <c r="E186" s="190" t="s">
        <v>1</v>
      </c>
      <c r="F186" s="190" t="s">
        <v>1</v>
      </c>
      <c r="G186" s="189" t="s">
        <v>31</v>
      </c>
      <c r="H186" s="190"/>
      <c r="I186" s="190" t="s">
        <v>49</v>
      </c>
      <c r="J186" s="190">
        <v>42</v>
      </c>
      <c r="K186" s="190" t="s">
        <v>61</v>
      </c>
      <c r="L186" s="189" t="s">
        <v>9</v>
      </c>
      <c r="M186" s="211">
        <v>100</v>
      </c>
      <c r="N186" s="211">
        <v>100</v>
      </c>
      <c r="O186" s="211">
        <v>100</v>
      </c>
      <c r="P186" s="190"/>
      <c r="Q186" s="190"/>
      <c r="R186" s="190"/>
      <c r="S186" s="388">
        <v>6</v>
      </c>
      <c r="T186" s="388">
        <f>$S186</f>
        <v>6</v>
      </c>
      <c r="U186" s="388">
        <v>0</v>
      </c>
      <c r="V186" s="388">
        <v>0</v>
      </c>
      <c r="W186" s="387"/>
      <c r="X186" s="387"/>
      <c r="Y186" s="184">
        <f t="shared" si="207"/>
        <v>28053</v>
      </c>
      <c r="Z186" s="184">
        <v>0</v>
      </c>
      <c r="AA186" s="184">
        <v>0</v>
      </c>
      <c r="AB186" s="184">
        <f t="shared" si="265"/>
        <v>0</v>
      </c>
      <c r="AC186" s="184">
        <f t="shared" si="266"/>
        <v>0</v>
      </c>
      <c r="AD186" s="184">
        <f t="shared" si="212"/>
        <v>28053</v>
      </c>
      <c r="AE186" s="183">
        <f t="shared" si="259"/>
        <v>0</v>
      </c>
      <c r="AF186" s="385">
        <f>$AE186</f>
        <v>0</v>
      </c>
      <c r="AG186" s="385">
        <f t="shared" si="260"/>
        <v>0</v>
      </c>
      <c r="AH186" s="385">
        <f t="shared" si="260"/>
        <v>0</v>
      </c>
      <c r="AI186" s="185">
        <f t="shared" si="213"/>
        <v>74</v>
      </c>
      <c r="AJ186" s="185">
        <f t="shared" si="261"/>
        <v>433</v>
      </c>
      <c r="AK186" s="185">
        <f t="shared" si="262"/>
        <v>683</v>
      </c>
      <c r="AL186" s="185">
        <f t="shared" si="216"/>
        <v>1190</v>
      </c>
      <c r="AM186" s="173">
        <f t="shared" si="267"/>
        <v>168318</v>
      </c>
      <c r="AN186" s="173">
        <f t="shared" si="244"/>
        <v>0</v>
      </c>
      <c r="AO186" s="173">
        <f t="shared" si="245"/>
        <v>0</v>
      </c>
      <c r="AP186" s="173">
        <f t="shared" si="195"/>
        <v>0</v>
      </c>
      <c r="AQ186" s="173">
        <f t="shared" si="196"/>
        <v>0</v>
      </c>
      <c r="AR186" s="173">
        <f t="shared" si="197"/>
        <v>168318</v>
      </c>
      <c r="AS186" s="186" t="s">
        <v>1361</v>
      </c>
      <c r="AT186" s="300">
        <f t="shared" si="264"/>
        <v>1.8169999999999999</v>
      </c>
      <c r="AU186" s="300">
        <f t="shared" si="264"/>
        <v>1.8169999999999999</v>
      </c>
      <c r="AV186" s="300">
        <f t="shared" si="264"/>
        <v>1.8169999999999999</v>
      </c>
      <c r="AW186" s="300">
        <f t="shared" si="264"/>
        <v>1.8169999999999999</v>
      </c>
      <c r="AX186" s="300">
        <f t="shared" si="264"/>
        <v>1.8169999999999999</v>
      </c>
      <c r="AY186" s="301">
        <f t="shared" si="263"/>
        <v>1.8169999999999999</v>
      </c>
      <c r="AZ186" s="301">
        <f t="shared" si="263"/>
        <v>1.8169999999999999</v>
      </c>
      <c r="BA186" s="301">
        <f t="shared" si="263"/>
        <v>1.8169999999999999</v>
      </c>
      <c r="BB186" s="301">
        <f t="shared" si="263"/>
        <v>1.8169999999999999</v>
      </c>
      <c r="BC186" s="301">
        <f t="shared" si="263"/>
        <v>1.8169999999999999</v>
      </c>
      <c r="BD186" s="187">
        <f>ROUND(IF(OR(M186=0,AT186="DATO NO DISPONIBLE"),"",AT186*M186*($BD$7+1)),0)</f>
        <v>194</v>
      </c>
      <c r="BE186" s="187">
        <f t="shared" si="246"/>
        <v>194</v>
      </c>
      <c r="BF186" s="187">
        <f t="shared" si="247"/>
        <v>194</v>
      </c>
      <c r="BG186" s="187"/>
      <c r="BH186" s="187"/>
      <c r="BI186" s="187">
        <f>ROUND(IF(OR(M186=0,AY186="DATO NO DISPONIBLE"),0,AY186*M186*($BD$7+1)),0)</f>
        <v>194</v>
      </c>
      <c r="BJ186" s="187">
        <f t="shared" si="222"/>
        <v>194</v>
      </c>
      <c r="BK186" s="187">
        <f t="shared" si="223"/>
        <v>194</v>
      </c>
      <c r="BL186" s="187"/>
      <c r="BM186" s="187"/>
      <c r="BN186" s="188">
        <f>BD186*AM186</f>
        <v>32653692</v>
      </c>
      <c r="BO186" s="188">
        <f t="shared" si="224"/>
        <v>0</v>
      </c>
      <c r="BP186" s="188">
        <f t="shared" si="225"/>
        <v>0</v>
      </c>
      <c r="BQ186" s="188">
        <f t="shared" si="226"/>
        <v>0</v>
      </c>
      <c r="BR186" s="188">
        <f t="shared" si="227"/>
        <v>0</v>
      </c>
      <c r="BS186" s="188">
        <f t="shared" si="198"/>
        <v>32653692</v>
      </c>
      <c r="BT186" s="188">
        <f t="shared" si="199"/>
        <v>32653692</v>
      </c>
      <c r="BU186" s="188">
        <f t="shared" si="200"/>
        <v>0</v>
      </c>
      <c r="BV186" s="188">
        <f t="shared" si="201"/>
        <v>0</v>
      </c>
      <c r="BW186" s="188">
        <f t="shared" si="202"/>
        <v>0</v>
      </c>
      <c r="BX186" s="188">
        <f t="shared" si="203"/>
        <v>0</v>
      </c>
      <c r="BY186" s="188">
        <f t="shared" si="204"/>
        <v>32653692</v>
      </c>
      <c r="BZ186" s="305">
        <f>IF(COT_PRECALCULOS!$D$24="Precios Iva Incluído",BI186,BD186)</f>
        <v>194</v>
      </c>
      <c r="CA186" s="305">
        <f>IF(COT_PRECALCULOS!$D$24="Precios Iva Incluído",BJ186,BE186)</f>
        <v>194</v>
      </c>
      <c r="CB186" s="305">
        <f>IF(COT_PRECALCULOS!$D$24="Precios Iva Incluído",BK186,BF186)</f>
        <v>194</v>
      </c>
      <c r="CC186" s="305">
        <f>IF(COT_PRECALCULOS!$D$24="Precios Iva Incluído",BL186,BG186)</f>
        <v>0</v>
      </c>
      <c r="CD186" s="305">
        <f>IF(COT_PRECALCULOS!$D$24="Precios Iva Incluído",BM186,BH186)</f>
        <v>0</v>
      </c>
      <c r="CE186" s="305">
        <f>IF(COT_PRECALCULOS!$D$24="Precios Iva Incluído",BT186,BN186)</f>
        <v>32653692</v>
      </c>
      <c r="CF186" s="305">
        <f>IF(COT_PRECALCULOS!$D$24="Precios Iva Incluído",BU186,BO186)</f>
        <v>0</v>
      </c>
      <c r="CG186" s="305">
        <f>IF(COT_PRECALCULOS!$D$24="Precios Iva Incluído",BV186,BP186)</f>
        <v>0</v>
      </c>
      <c r="CH186" s="305">
        <f>IF(COT_PRECALCULOS!$D$24="Precios Iva Incluído",BW186,BQ186)</f>
        <v>0</v>
      </c>
      <c r="CI186" s="305">
        <f>IF(COT_PRECALCULOS!$D$24="Precios Iva Incluído",BX186,BR186)</f>
        <v>0</v>
      </c>
    </row>
    <row r="187" spans="1:87">
      <c r="A187" s="182" t="s">
        <v>102</v>
      </c>
      <c r="B187" s="182" t="s">
        <v>126</v>
      </c>
      <c r="C187" s="189" t="str">
        <f t="shared" si="193"/>
        <v>F_SE2</v>
      </c>
      <c r="D187" s="189" t="str">
        <f t="shared" si="194"/>
        <v>43_S_</v>
      </c>
      <c r="E187" s="190" t="s">
        <v>1</v>
      </c>
      <c r="F187" s="190" t="s">
        <v>1</v>
      </c>
      <c r="G187" s="189" t="s">
        <v>31</v>
      </c>
      <c r="H187" s="190"/>
      <c r="I187" s="190" t="s">
        <v>60</v>
      </c>
      <c r="J187" s="190">
        <v>43</v>
      </c>
      <c r="K187" s="190" t="s">
        <v>62</v>
      </c>
      <c r="L187" s="189" t="s">
        <v>9</v>
      </c>
      <c r="M187" s="211">
        <v>100</v>
      </c>
      <c r="N187" s="211">
        <v>100</v>
      </c>
      <c r="O187" s="211">
        <v>100</v>
      </c>
      <c r="P187" s="190"/>
      <c r="Q187" s="190"/>
      <c r="R187" s="190"/>
      <c r="S187" s="183">
        <f t="shared" ref="S187:S200" si="268">COUNTIF(CAL_SEGUNDA_ENTREGA_LAV_FRUTA,CONCATENATE(G187,"_",J187))</f>
        <v>1</v>
      </c>
      <c r="T187" s="385">
        <f>$S187</f>
        <v>1</v>
      </c>
      <c r="U187" s="385">
        <f t="shared" ref="U187:V200" si="269">$S187</f>
        <v>1</v>
      </c>
      <c r="V187" s="385">
        <f t="shared" si="269"/>
        <v>1</v>
      </c>
      <c r="W187" s="387"/>
      <c r="X187" s="387"/>
      <c r="Y187" s="184">
        <f t="shared" si="207"/>
        <v>28053</v>
      </c>
      <c r="Z187" s="184">
        <f t="shared" ref="Z187:Z200" si="270">IF(N187&lt;&gt;0,VLOOKUP(A187,FRE_CANTIDADES_DIARIAS_SUMINISTROS,5,FALSE),0)</f>
        <v>31277</v>
      </c>
      <c r="AA187" s="184">
        <f t="shared" ref="AA187:AA200" si="271">IF(O187&lt;&gt;0,VLOOKUP(A187,FRE_CANTIDADES_DIARIAS_SUMINISTROS,6,FALSE),0)</f>
        <v>46469</v>
      </c>
      <c r="AB187" s="184">
        <f t="shared" si="265"/>
        <v>0</v>
      </c>
      <c r="AC187" s="184">
        <f t="shared" si="266"/>
        <v>0</v>
      </c>
      <c r="AD187" s="184">
        <f t="shared" si="212"/>
        <v>105799</v>
      </c>
      <c r="AE187" s="183">
        <f t="shared" si="259"/>
        <v>0</v>
      </c>
      <c r="AF187" s="385">
        <f>$AE187</f>
        <v>0</v>
      </c>
      <c r="AG187" s="385">
        <f t="shared" si="260"/>
        <v>0</v>
      </c>
      <c r="AH187" s="385">
        <f t="shared" si="260"/>
        <v>0</v>
      </c>
      <c r="AI187" s="185">
        <f t="shared" si="213"/>
        <v>74</v>
      </c>
      <c r="AJ187" s="185">
        <f t="shared" si="261"/>
        <v>433</v>
      </c>
      <c r="AK187" s="185">
        <f t="shared" si="262"/>
        <v>683</v>
      </c>
      <c r="AL187" s="185">
        <f t="shared" si="216"/>
        <v>1190</v>
      </c>
      <c r="AM187" s="173">
        <f t="shared" si="267"/>
        <v>28053</v>
      </c>
      <c r="AN187" s="173">
        <f t="shared" si="244"/>
        <v>31277</v>
      </c>
      <c r="AO187" s="173">
        <f t="shared" si="245"/>
        <v>46469</v>
      </c>
      <c r="AP187" s="173">
        <f t="shared" si="195"/>
        <v>0</v>
      </c>
      <c r="AQ187" s="173">
        <f t="shared" si="196"/>
        <v>0</v>
      </c>
      <c r="AR187" s="173">
        <f t="shared" si="197"/>
        <v>105799</v>
      </c>
      <c r="AS187" s="186" t="s">
        <v>1361</v>
      </c>
      <c r="AT187" s="300">
        <f t="shared" si="264"/>
        <v>1.5892500000000001</v>
      </c>
      <c r="AU187" s="300">
        <f t="shared" si="264"/>
        <v>1.5892500000000001</v>
      </c>
      <c r="AV187" s="300">
        <f t="shared" si="264"/>
        <v>1.5892500000000001</v>
      </c>
      <c r="AW187" s="300">
        <f t="shared" si="264"/>
        <v>1.5892500000000001</v>
      </c>
      <c r="AX187" s="300">
        <f t="shared" si="264"/>
        <v>1.5892500000000001</v>
      </c>
      <c r="AY187" s="301">
        <f t="shared" si="263"/>
        <v>1.5892500000000001</v>
      </c>
      <c r="AZ187" s="301">
        <f t="shared" si="263"/>
        <v>1.5892500000000001</v>
      </c>
      <c r="BA187" s="301">
        <f t="shared" si="263"/>
        <v>1.5892500000000001</v>
      </c>
      <c r="BB187" s="301">
        <f t="shared" si="263"/>
        <v>1.5892500000000001</v>
      </c>
      <c r="BC187" s="301">
        <f t="shared" si="263"/>
        <v>1.5892500000000001</v>
      </c>
      <c r="BD187" s="187">
        <f>ROUND(IF(OR(M187=0,AT187="DATO NO DISPONIBLE"),"",AT187*M187*($BD$7+1)),0)</f>
        <v>170</v>
      </c>
      <c r="BE187" s="187">
        <f t="shared" si="246"/>
        <v>170</v>
      </c>
      <c r="BF187" s="187">
        <f t="shared" si="247"/>
        <v>170</v>
      </c>
      <c r="BG187" s="187"/>
      <c r="BH187" s="187"/>
      <c r="BI187" s="187">
        <f>ROUND(IF(OR(M187=0,AY187="DATO NO DISPONIBLE"),0,AY187*M187*($BD$7+1)),0)</f>
        <v>170</v>
      </c>
      <c r="BJ187" s="187">
        <f t="shared" si="222"/>
        <v>170</v>
      </c>
      <c r="BK187" s="187">
        <f t="shared" si="223"/>
        <v>170</v>
      </c>
      <c r="BL187" s="187"/>
      <c r="BM187" s="187"/>
      <c r="BN187" s="188">
        <f>BD187*AM187</f>
        <v>4769010</v>
      </c>
      <c r="BO187" s="188">
        <f t="shared" si="224"/>
        <v>5317090</v>
      </c>
      <c r="BP187" s="188">
        <f t="shared" si="225"/>
        <v>7899730</v>
      </c>
      <c r="BQ187" s="188">
        <f t="shared" si="226"/>
        <v>0</v>
      </c>
      <c r="BR187" s="188">
        <f t="shared" si="227"/>
        <v>0</v>
      </c>
      <c r="BS187" s="188">
        <f t="shared" si="198"/>
        <v>17985830</v>
      </c>
      <c r="BT187" s="188">
        <f t="shared" si="199"/>
        <v>4769010</v>
      </c>
      <c r="BU187" s="188">
        <f t="shared" si="200"/>
        <v>5317090</v>
      </c>
      <c r="BV187" s="188">
        <f t="shared" si="201"/>
        <v>7899730</v>
      </c>
      <c r="BW187" s="188">
        <f t="shared" si="202"/>
        <v>0</v>
      </c>
      <c r="BX187" s="188">
        <f t="shared" si="203"/>
        <v>0</v>
      </c>
      <c r="BY187" s="188">
        <f t="shared" si="204"/>
        <v>17985830</v>
      </c>
      <c r="BZ187" s="305">
        <f>IF(COT_PRECALCULOS!$D$24="Precios Iva Incluído",BI187,BD187)</f>
        <v>170</v>
      </c>
      <c r="CA187" s="305">
        <f>IF(COT_PRECALCULOS!$D$24="Precios Iva Incluído",BJ187,BE187)</f>
        <v>170</v>
      </c>
      <c r="CB187" s="305">
        <f>IF(COT_PRECALCULOS!$D$24="Precios Iva Incluído",BK187,BF187)</f>
        <v>170</v>
      </c>
      <c r="CC187" s="305">
        <f>IF(COT_PRECALCULOS!$D$24="Precios Iva Incluído",BL187,BG187)</f>
        <v>0</v>
      </c>
      <c r="CD187" s="305">
        <f>IF(COT_PRECALCULOS!$D$24="Precios Iva Incluído",BM187,BH187)</f>
        <v>0</v>
      </c>
      <c r="CE187" s="305">
        <f>IF(COT_PRECALCULOS!$D$24="Precios Iva Incluído",BT187,BN187)</f>
        <v>4769010</v>
      </c>
      <c r="CF187" s="305">
        <f>IF(COT_PRECALCULOS!$D$24="Precios Iva Incluído",BU187,BO187)</f>
        <v>5317090</v>
      </c>
      <c r="CG187" s="305">
        <f>IF(COT_PRECALCULOS!$D$24="Precios Iva Incluído",BV187,BP187)</f>
        <v>7899730</v>
      </c>
      <c r="CH187" s="305">
        <f>IF(COT_PRECALCULOS!$D$24="Precios Iva Incluído",BW187,BQ187)</f>
        <v>0</v>
      </c>
      <c r="CI187" s="305">
        <f>IF(COT_PRECALCULOS!$D$24="Precios Iva Incluído",BX187,BR187)</f>
        <v>0</v>
      </c>
    </row>
    <row r="188" spans="1:87">
      <c r="A188" s="182" t="s">
        <v>102</v>
      </c>
      <c r="B188" s="182" t="s">
        <v>126</v>
      </c>
      <c r="C188" s="189" t="str">
        <f t="shared" si="193"/>
        <v>F_SE2</v>
      </c>
      <c r="D188" s="189" t="str">
        <f t="shared" si="194"/>
        <v>46_S_</v>
      </c>
      <c r="E188" s="190" t="s">
        <v>1</v>
      </c>
      <c r="F188" s="190" t="s">
        <v>1</v>
      </c>
      <c r="G188" s="189" t="s">
        <v>31</v>
      </c>
      <c r="H188" s="190"/>
      <c r="I188" s="190" t="s">
        <v>63</v>
      </c>
      <c r="J188" s="190">
        <v>46</v>
      </c>
      <c r="K188" s="190" t="s">
        <v>64</v>
      </c>
      <c r="L188" s="189" t="s">
        <v>9</v>
      </c>
      <c r="M188" s="211">
        <v>100</v>
      </c>
      <c r="N188" s="211">
        <v>100</v>
      </c>
      <c r="O188" s="211">
        <v>100</v>
      </c>
      <c r="P188" s="190"/>
      <c r="Q188" s="190"/>
      <c r="R188" s="190"/>
      <c r="S188" s="183">
        <f t="shared" si="268"/>
        <v>4</v>
      </c>
      <c r="T188" s="385">
        <f>$S188</f>
        <v>4</v>
      </c>
      <c r="U188" s="385">
        <f t="shared" si="269"/>
        <v>4</v>
      </c>
      <c r="V188" s="385">
        <f t="shared" si="269"/>
        <v>4</v>
      </c>
      <c r="W188" s="387"/>
      <c r="X188" s="387"/>
      <c r="Y188" s="184">
        <f t="shared" si="207"/>
        <v>28053</v>
      </c>
      <c r="Z188" s="184">
        <f t="shared" si="270"/>
        <v>31277</v>
      </c>
      <c r="AA188" s="184">
        <f t="shared" si="271"/>
        <v>46469</v>
      </c>
      <c r="AB188" s="184">
        <f t="shared" si="265"/>
        <v>0</v>
      </c>
      <c r="AC188" s="184">
        <f t="shared" si="266"/>
        <v>0</v>
      </c>
      <c r="AD188" s="184">
        <f t="shared" si="212"/>
        <v>105799</v>
      </c>
      <c r="AE188" s="385">
        <f t="shared" si="259"/>
        <v>0</v>
      </c>
      <c r="AF188" s="385">
        <f>$AE188</f>
        <v>0</v>
      </c>
      <c r="AG188" s="385">
        <f t="shared" si="260"/>
        <v>0</v>
      </c>
      <c r="AH188" s="385">
        <f t="shared" si="260"/>
        <v>0</v>
      </c>
      <c r="AI188" s="185">
        <f t="shared" si="213"/>
        <v>74</v>
      </c>
      <c r="AJ188" s="185">
        <f t="shared" si="261"/>
        <v>433</v>
      </c>
      <c r="AK188" s="185">
        <f t="shared" si="262"/>
        <v>683</v>
      </c>
      <c r="AL188" s="185">
        <f t="shared" si="216"/>
        <v>1190</v>
      </c>
      <c r="AM188" s="173">
        <f t="shared" si="267"/>
        <v>112212</v>
      </c>
      <c r="AN188" s="173">
        <f t="shared" si="244"/>
        <v>125108</v>
      </c>
      <c r="AO188" s="173">
        <f t="shared" si="245"/>
        <v>185876</v>
      </c>
      <c r="AP188" s="173">
        <f t="shared" si="195"/>
        <v>0</v>
      </c>
      <c r="AQ188" s="173">
        <f t="shared" si="196"/>
        <v>0</v>
      </c>
      <c r="AR188" s="173">
        <f t="shared" si="197"/>
        <v>423196</v>
      </c>
      <c r="AS188" s="186" t="s">
        <v>1361</v>
      </c>
      <c r="AT188" s="300">
        <f t="shared" si="264"/>
        <v>3.7214999999999998</v>
      </c>
      <c r="AU188" s="300">
        <f t="shared" si="264"/>
        <v>3.7214999999999998</v>
      </c>
      <c r="AV188" s="300">
        <f t="shared" si="264"/>
        <v>3.7214999999999998</v>
      </c>
      <c r="AW188" s="300">
        <f t="shared" si="264"/>
        <v>3.7214999999999998</v>
      </c>
      <c r="AX188" s="300">
        <f t="shared" si="264"/>
        <v>3.7214999999999998</v>
      </c>
      <c r="AY188" s="301">
        <f t="shared" ref="AY188:BC197" si="272">IF(ISERROR(MATCH(CONCATENATE($J188,"_",AY$1),COT_PRE_CODIGO_ALIMENTOS,0)),IF(ISERROR(MATCH(CONCATENATE($J188,"_",AY$2),COT_PRE_CODIGO_ALIMENTOS,0)),IF(ISERROR(MATCH(CONCATENATE($J188,"_",AY$3),COT_PRE_CODIGO_ALIMENTOS,0)),IF(ISERROR(MATCH(CONCATENATE($J188,"_",AY$4),COT_PRE_CODIGO_ALIMENTOS,0)),IF(ISERROR(MATCH(CONCATENATE($J188,"_",AY$5),COT_PRE_CODIGO_ALIMENTOS,0)),IF(ISERROR(MATCH(CONCATENATE($J188,"_",AY$6),COT_PRE_CODIGO_ALIMENTOS,0)),IF(ISERROR(MATCH(CONCATENATE($J188,"_",AY$7),COT_PRE_CODIGO_ALIMENTOS,0)),IF(ISERROR(VLOOKUP($J188,COT_PRE_ALIMENTOS,AY$8,FALSE)),"DATO NO DISPONIBLE",VLOOKUP($J188,COT_PRE_ALIMENTOS,AY$8,FALSE)),VLOOKUP(CONCATENATE($J188,"_",AY$7),COT_PRE_ALIMENTOS,AY$8,FALSE)),VLOOKUP(CONCATENATE($J188,"_",AY$6),COT_PRE_ALIMENTOS,AY$8,FALSE)),VLOOKUP(CONCATENATE($J188,"_",AY$5),COT_PRE_ALIMENTOS,AY$8,FALSE)),VLOOKUP(CONCATENATE($J188,"_",AY$4),COT_PRE_ALIMENTOS,AY$8,FALSE)),VLOOKUP(CONCATENATE($J188,"_",AY$3),COT_PRE_ALIMENTOS,AY$8,FALSE)),VLOOKUP(CONCATENATE($J188,"_",AY$2),COT_PRE_ALIMENTOS,AY$8,FALSE)),VLOOKUP(CONCATENATE($J188,"_",AY$1),COT_PRE_ALIMENTOS,AY$8,FALSE))</f>
        <v>3.7214999999999998</v>
      </c>
      <c r="AZ188" s="301">
        <f t="shared" si="272"/>
        <v>3.7214999999999998</v>
      </c>
      <c r="BA188" s="301">
        <f t="shared" si="272"/>
        <v>3.7214999999999998</v>
      </c>
      <c r="BB188" s="301">
        <f t="shared" si="272"/>
        <v>3.7214999999999998</v>
      </c>
      <c r="BC188" s="301">
        <f t="shared" si="272"/>
        <v>3.7214999999999998</v>
      </c>
      <c r="BD188" s="187">
        <f>ROUND(IF(OR(M188=0,AT188="DATO NO DISPONIBLE"),"",AT188*M188*($BD$7+1)),0)</f>
        <v>398</v>
      </c>
      <c r="BE188" s="187">
        <f t="shared" si="246"/>
        <v>398</v>
      </c>
      <c r="BF188" s="187">
        <f t="shared" si="247"/>
        <v>398</v>
      </c>
      <c r="BG188" s="187"/>
      <c r="BH188" s="187"/>
      <c r="BI188" s="187">
        <f>ROUND(IF(OR(M188=0,AY188="DATO NO DISPONIBLE"),0,AY188*M188*($BD$7+1)),0)</f>
        <v>398</v>
      </c>
      <c r="BJ188" s="187">
        <f t="shared" si="222"/>
        <v>398</v>
      </c>
      <c r="BK188" s="187">
        <f t="shared" si="223"/>
        <v>398</v>
      </c>
      <c r="BL188" s="187"/>
      <c r="BM188" s="187"/>
      <c r="BN188" s="188">
        <f>BD188*AM188</f>
        <v>44660376</v>
      </c>
      <c r="BO188" s="188">
        <f t="shared" si="224"/>
        <v>49792984</v>
      </c>
      <c r="BP188" s="188">
        <f t="shared" si="225"/>
        <v>73978648</v>
      </c>
      <c r="BQ188" s="188">
        <f t="shared" si="226"/>
        <v>0</v>
      </c>
      <c r="BR188" s="188">
        <f t="shared" si="227"/>
        <v>0</v>
      </c>
      <c r="BS188" s="188">
        <f t="shared" si="198"/>
        <v>168432008</v>
      </c>
      <c r="BT188" s="188">
        <f t="shared" si="199"/>
        <v>44660376</v>
      </c>
      <c r="BU188" s="188">
        <f t="shared" si="200"/>
        <v>49792984</v>
      </c>
      <c r="BV188" s="188">
        <f t="shared" si="201"/>
        <v>73978648</v>
      </c>
      <c r="BW188" s="188">
        <f t="shared" si="202"/>
        <v>0</v>
      </c>
      <c r="BX188" s="188">
        <f t="shared" si="203"/>
        <v>0</v>
      </c>
      <c r="BY188" s="188">
        <f t="shared" si="204"/>
        <v>168432008</v>
      </c>
      <c r="BZ188" s="305">
        <f>IF(COT_PRECALCULOS!$D$24="Precios Iva Incluído",BI188,BD188)</f>
        <v>398</v>
      </c>
      <c r="CA188" s="305">
        <f>IF(COT_PRECALCULOS!$D$24="Precios Iva Incluído",BJ188,BE188)</f>
        <v>398</v>
      </c>
      <c r="CB188" s="305">
        <f>IF(COT_PRECALCULOS!$D$24="Precios Iva Incluído",BK188,BF188)</f>
        <v>398</v>
      </c>
      <c r="CC188" s="305">
        <f>IF(COT_PRECALCULOS!$D$24="Precios Iva Incluído",BL188,BG188)</f>
        <v>0</v>
      </c>
      <c r="CD188" s="305">
        <f>IF(COT_PRECALCULOS!$D$24="Precios Iva Incluído",BM188,BH188)</f>
        <v>0</v>
      </c>
      <c r="CE188" s="305">
        <f>IF(COT_PRECALCULOS!$D$24="Precios Iva Incluído",BT188,BN188)</f>
        <v>44660376</v>
      </c>
      <c r="CF188" s="305">
        <f>IF(COT_PRECALCULOS!$D$24="Precios Iva Incluído",BU188,BO188)</f>
        <v>49792984</v>
      </c>
      <c r="CG188" s="305">
        <f>IF(COT_PRECALCULOS!$D$24="Precios Iva Incluído",BV188,BP188)</f>
        <v>73978648</v>
      </c>
      <c r="CH188" s="305">
        <f>IF(COT_PRECALCULOS!$D$24="Precios Iva Incluído",BW188,BQ188)</f>
        <v>0</v>
      </c>
      <c r="CI188" s="305">
        <f>IF(COT_PRECALCULOS!$D$24="Precios Iva Incluído",BX188,BR188)</f>
        <v>0</v>
      </c>
    </row>
    <row r="189" spans="1:87">
      <c r="A189" s="182" t="s">
        <v>102</v>
      </c>
      <c r="B189" s="182" t="s">
        <v>126</v>
      </c>
      <c r="C189" s="189" t="str">
        <f t="shared" si="193"/>
        <v>F_SE2</v>
      </c>
      <c r="D189" s="189" t="str">
        <f t="shared" si="194"/>
        <v>58_S_</v>
      </c>
      <c r="E189" s="190" t="s">
        <v>1</v>
      </c>
      <c r="F189" s="190" t="s">
        <v>1</v>
      </c>
      <c r="G189" s="189" t="s">
        <v>31</v>
      </c>
      <c r="H189" s="190"/>
      <c r="I189" s="190" t="s">
        <v>65</v>
      </c>
      <c r="J189" s="190">
        <v>58</v>
      </c>
      <c r="K189" s="190" t="s">
        <v>67</v>
      </c>
      <c r="L189" s="189" t="s">
        <v>9</v>
      </c>
      <c r="M189" s="211">
        <v>100</v>
      </c>
      <c r="N189" s="211">
        <v>100</v>
      </c>
      <c r="O189" s="211">
        <v>100</v>
      </c>
      <c r="P189" s="190"/>
      <c r="Q189" s="190"/>
      <c r="R189" s="190"/>
      <c r="S189" s="385">
        <f t="shared" si="268"/>
        <v>1</v>
      </c>
      <c r="T189" s="385">
        <f>$S189</f>
        <v>1</v>
      </c>
      <c r="U189" s="385">
        <f t="shared" si="269"/>
        <v>1</v>
      </c>
      <c r="V189" s="385">
        <f t="shared" si="269"/>
        <v>1</v>
      </c>
      <c r="W189" s="387"/>
      <c r="X189" s="387"/>
      <c r="Y189" s="184">
        <f t="shared" si="207"/>
        <v>28053</v>
      </c>
      <c r="Z189" s="184">
        <f t="shared" si="270"/>
        <v>31277</v>
      </c>
      <c r="AA189" s="184">
        <f t="shared" si="271"/>
        <v>46469</v>
      </c>
      <c r="AB189" s="184">
        <f t="shared" si="265"/>
        <v>0</v>
      </c>
      <c r="AC189" s="184">
        <f t="shared" si="266"/>
        <v>0</v>
      </c>
      <c r="AD189" s="184">
        <f t="shared" si="212"/>
        <v>105799</v>
      </c>
      <c r="AE189" s="183">
        <f t="shared" si="259"/>
        <v>0</v>
      </c>
      <c r="AF189" s="385">
        <f>$AE189</f>
        <v>0</v>
      </c>
      <c r="AG189" s="385">
        <f t="shared" si="260"/>
        <v>0</v>
      </c>
      <c r="AH189" s="385">
        <f t="shared" si="260"/>
        <v>0</v>
      </c>
      <c r="AI189" s="185">
        <f t="shared" si="213"/>
        <v>74</v>
      </c>
      <c r="AJ189" s="185">
        <f t="shared" si="261"/>
        <v>433</v>
      </c>
      <c r="AK189" s="185">
        <f t="shared" si="262"/>
        <v>683</v>
      </c>
      <c r="AL189" s="185">
        <f t="shared" si="216"/>
        <v>1190</v>
      </c>
      <c r="AM189" s="173">
        <f t="shared" si="267"/>
        <v>28053</v>
      </c>
      <c r="AN189" s="173">
        <f t="shared" si="244"/>
        <v>31277</v>
      </c>
      <c r="AO189" s="173">
        <f t="shared" si="245"/>
        <v>46469</v>
      </c>
      <c r="AP189" s="173">
        <f t="shared" si="195"/>
        <v>0</v>
      </c>
      <c r="AQ189" s="173">
        <f t="shared" si="196"/>
        <v>0</v>
      </c>
      <c r="AR189" s="173">
        <f t="shared" si="197"/>
        <v>105799</v>
      </c>
      <c r="AS189" s="186" t="s">
        <v>1361</v>
      </c>
      <c r="AT189" s="300">
        <f t="shared" si="264"/>
        <v>1.4384999999999999</v>
      </c>
      <c r="AU189" s="300">
        <f t="shared" si="264"/>
        <v>1.4384999999999999</v>
      </c>
      <c r="AV189" s="300">
        <f t="shared" si="264"/>
        <v>1.4384999999999999</v>
      </c>
      <c r="AW189" s="300">
        <f t="shared" si="264"/>
        <v>1.4384999999999999</v>
      </c>
      <c r="AX189" s="300">
        <f t="shared" si="264"/>
        <v>1.4384999999999999</v>
      </c>
      <c r="AY189" s="301">
        <f t="shared" si="272"/>
        <v>1.4384999999999999</v>
      </c>
      <c r="AZ189" s="301">
        <f t="shared" si="272"/>
        <v>1.4384999999999999</v>
      </c>
      <c r="BA189" s="301">
        <f t="shared" si="272"/>
        <v>1.4384999999999999</v>
      </c>
      <c r="BB189" s="301">
        <f t="shared" si="272"/>
        <v>1.4384999999999999</v>
      </c>
      <c r="BC189" s="301">
        <f t="shared" si="272"/>
        <v>1.4384999999999999</v>
      </c>
      <c r="BD189" s="187">
        <f>ROUND(IF(OR(M189=0,AT189="DATO NO DISPONIBLE"),"",AT189*M189*($BD$7+1)),0)</f>
        <v>154</v>
      </c>
      <c r="BE189" s="187">
        <f t="shared" si="246"/>
        <v>154</v>
      </c>
      <c r="BF189" s="187">
        <f t="shared" si="247"/>
        <v>154</v>
      </c>
      <c r="BG189" s="187"/>
      <c r="BH189" s="187"/>
      <c r="BI189" s="187">
        <f>ROUND(IF(OR(M189=0,AY189="DATO NO DISPONIBLE"),0,AY189*M189*($BD$7+1)),0)</f>
        <v>154</v>
      </c>
      <c r="BJ189" s="187">
        <f t="shared" si="222"/>
        <v>154</v>
      </c>
      <c r="BK189" s="187">
        <f t="shared" si="223"/>
        <v>154</v>
      </c>
      <c r="BL189" s="187"/>
      <c r="BM189" s="187"/>
      <c r="BN189" s="188">
        <f>BD189*AM189</f>
        <v>4320162</v>
      </c>
      <c r="BO189" s="188">
        <f t="shared" si="224"/>
        <v>4816658</v>
      </c>
      <c r="BP189" s="188">
        <f t="shared" si="225"/>
        <v>7156226</v>
      </c>
      <c r="BQ189" s="188">
        <f t="shared" si="226"/>
        <v>0</v>
      </c>
      <c r="BR189" s="188">
        <f t="shared" si="227"/>
        <v>0</v>
      </c>
      <c r="BS189" s="188">
        <f t="shared" si="198"/>
        <v>16293046</v>
      </c>
      <c r="BT189" s="188">
        <f t="shared" si="199"/>
        <v>4320162</v>
      </c>
      <c r="BU189" s="188">
        <f t="shared" si="200"/>
        <v>4816658</v>
      </c>
      <c r="BV189" s="188">
        <f t="shared" si="201"/>
        <v>7156226</v>
      </c>
      <c r="BW189" s="188">
        <f t="shared" si="202"/>
        <v>0</v>
      </c>
      <c r="BX189" s="188">
        <f t="shared" si="203"/>
        <v>0</v>
      </c>
      <c r="BY189" s="188">
        <f t="shared" si="204"/>
        <v>16293046</v>
      </c>
      <c r="BZ189" s="305">
        <f>IF(COT_PRECALCULOS!$D$24="Precios Iva Incluído",BI189,BD189)</f>
        <v>154</v>
      </c>
      <c r="CA189" s="305">
        <f>IF(COT_PRECALCULOS!$D$24="Precios Iva Incluído",BJ189,BE189)</f>
        <v>154</v>
      </c>
      <c r="CB189" s="305">
        <f>IF(COT_PRECALCULOS!$D$24="Precios Iva Incluído",BK189,BF189)</f>
        <v>154</v>
      </c>
      <c r="CC189" s="305">
        <f>IF(COT_PRECALCULOS!$D$24="Precios Iva Incluído",BL189,BG189)</f>
        <v>0</v>
      </c>
      <c r="CD189" s="305">
        <f>IF(COT_PRECALCULOS!$D$24="Precios Iva Incluído",BM189,BH189)</f>
        <v>0</v>
      </c>
      <c r="CE189" s="305">
        <f>IF(COT_PRECALCULOS!$D$24="Precios Iva Incluído",BT189,BN189)</f>
        <v>4320162</v>
      </c>
      <c r="CF189" s="305">
        <f>IF(COT_PRECALCULOS!$D$24="Precios Iva Incluído",BU189,BO189)</f>
        <v>4816658</v>
      </c>
      <c r="CG189" s="305">
        <f>IF(COT_PRECALCULOS!$D$24="Precios Iva Incluído",BV189,BP189)</f>
        <v>7156226</v>
      </c>
      <c r="CH189" s="305">
        <f>IF(COT_PRECALCULOS!$D$24="Precios Iva Incluído",BW189,BQ189)</f>
        <v>0</v>
      </c>
      <c r="CI189" s="305">
        <f>IF(COT_PRECALCULOS!$D$24="Precios Iva Incluído",BX189,BR189)</f>
        <v>0</v>
      </c>
    </row>
    <row r="190" spans="1:87">
      <c r="A190" s="182" t="s">
        <v>102</v>
      </c>
      <c r="B190" s="182" t="s">
        <v>126</v>
      </c>
      <c r="C190" s="189" t="str">
        <f t="shared" si="193"/>
        <v>F_SE2</v>
      </c>
      <c r="D190" s="189" t="str">
        <f t="shared" si="194"/>
        <v>59_S_</v>
      </c>
      <c r="E190" s="190" t="s">
        <v>1</v>
      </c>
      <c r="F190" s="190" t="s">
        <v>1</v>
      </c>
      <c r="G190" s="189" t="s">
        <v>31</v>
      </c>
      <c r="H190" s="190"/>
      <c r="I190" s="190" t="s">
        <v>66</v>
      </c>
      <c r="J190" s="190">
        <v>59</v>
      </c>
      <c r="K190" s="190" t="s">
        <v>99</v>
      </c>
      <c r="L190" s="189" t="s">
        <v>9</v>
      </c>
      <c r="M190" s="386">
        <v>0</v>
      </c>
      <c r="N190" s="211">
        <v>100</v>
      </c>
      <c r="O190" s="211">
        <v>100</v>
      </c>
      <c r="P190" s="190"/>
      <c r="Q190" s="190"/>
      <c r="R190" s="190" t="s">
        <v>73</v>
      </c>
      <c r="S190" s="183">
        <f t="shared" si="268"/>
        <v>2</v>
      </c>
      <c r="T190" s="386">
        <v>0</v>
      </c>
      <c r="U190" s="385">
        <f t="shared" si="269"/>
        <v>2</v>
      </c>
      <c r="V190" s="385">
        <f t="shared" si="269"/>
        <v>2</v>
      </c>
      <c r="W190" s="387"/>
      <c r="X190" s="387"/>
      <c r="Y190" s="184">
        <f t="shared" si="207"/>
        <v>0</v>
      </c>
      <c r="Z190" s="184">
        <f t="shared" si="270"/>
        <v>31277</v>
      </c>
      <c r="AA190" s="184">
        <f t="shared" si="271"/>
        <v>46469</v>
      </c>
      <c r="AB190" s="184">
        <f t="shared" si="265"/>
        <v>0</v>
      </c>
      <c r="AC190" s="184">
        <f t="shared" si="266"/>
        <v>0</v>
      </c>
      <c r="AD190" s="184">
        <f t="shared" si="212"/>
        <v>77746</v>
      </c>
      <c r="AE190" s="183">
        <f t="shared" si="259"/>
        <v>0</v>
      </c>
      <c r="AF190" s="386">
        <v>0</v>
      </c>
      <c r="AG190" s="385">
        <f t="shared" si="260"/>
        <v>0</v>
      </c>
      <c r="AH190" s="385">
        <f t="shared" si="260"/>
        <v>0</v>
      </c>
      <c r="AI190" s="185">
        <f t="shared" si="213"/>
        <v>0</v>
      </c>
      <c r="AJ190" s="185">
        <f t="shared" si="261"/>
        <v>433</v>
      </c>
      <c r="AK190" s="185">
        <f t="shared" si="262"/>
        <v>683</v>
      </c>
      <c r="AL190" s="185">
        <f t="shared" si="216"/>
        <v>1116</v>
      </c>
      <c r="AM190" s="173">
        <f t="shared" si="267"/>
        <v>0</v>
      </c>
      <c r="AN190" s="173">
        <f t="shared" si="244"/>
        <v>62554</v>
      </c>
      <c r="AO190" s="173">
        <f t="shared" si="245"/>
        <v>92938</v>
      </c>
      <c r="AP190" s="173">
        <f t="shared" si="195"/>
        <v>0</v>
      </c>
      <c r="AQ190" s="173">
        <f t="shared" si="196"/>
        <v>0</v>
      </c>
      <c r="AR190" s="173">
        <f t="shared" si="197"/>
        <v>155492</v>
      </c>
      <c r="AS190" s="186" t="s">
        <v>1361</v>
      </c>
      <c r="AT190" s="300">
        <f t="shared" si="264"/>
        <v>2.6785000000000001</v>
      </c>
      <c r="AU190" s="300">
        <f t="shared" si="264"/>
        <v>2.6785000000000001</v>
      </c>
      <c r="AV190" s="300">
        <f t="shared" si="264"/>
        <v>2.6785000000000001</v>
      </c>
      <c r="AW190" s="300">
        <f t="shared" si="264"/>
        <v>2.6785000000000001</v>
      </c>
      <c r="AX190" s="300">
        <f t="shared" si="264"/>
        <v>2.6785000000000001</v>
      </c>
      <c r="AY190" s="301">
        <f t="shared" si="272"/>
        <v>2.6785000000000001</v>
      </c>
      <c r="AZ190" s="301">
        <f t="shared" si="272"/>
        <v>2.6785000000000001</v>
      </c>
      <c r="BA190" s="301">
        <f t="shared" si="272"/>
        <v>2.6785000000000001</v>
      </c>
      <c r="BB190" s="301">
        <f t="shared" si="272"/>
        <v>2.6785000000000001</v>
      </c>
      <c r="BC190" s="301">
        <f t="shared" si="272"/>
        <v>2.6785000000000001</v>
      </c>
      <c r="BD190" s="187"/>
      <c r="BE190" s="187">
        <f t="shared" si="246"/>
        <v>286</v>
      </c>
      <c r="BF190" s="187">
        <f t="shared" si="247"/>
        <v>286</v>
      </c>
      <c r="BG190" s="187"/>
      <c r="BH190" s="187"/>
      <c r="BI190" s="187"/>
      <c r="BJ190" s="187">
        <f t="shared" si="222"/>
        <v>286</v>
      </c>
      <c r="BK190" s="187">
        <f t="shared" si="223"/>
        <v>286</v>
      </c>
      <c r="BL190" s="187"/>
      <c r="BM190" s="187"/>
      <c r="BN190" s="188"/>
      <c r="BO190" s="188">
        <f t="shared" si="224"/>
        <v>17890444</v>
      </c>
      <c r="BP190" s="188">
        <f t="shared" si="225"/>
        <v>26580268</v>
      </c>
      <c r="BQ190" s="188">
        <f t="shared" si="226"/>
        <v>0</v>
      </c>
      <c r="BR190" s="188">
        <f t="shared" si="227"/>
        <v>0</v>
      </c>
      <c r="BS190" s="188">
        <f t="shared" si="198"/>
        <v>44470712</v>
      </c>
      <c r="BT190" s="188">
        <f t="shared" si="199"/>
        <v>0</v>
      </c>
      <c r="BU190" s="188">
        <f t="shared" si="200"/>
        <v>17890444</v>
      </c>
      <c r="BV190" s="188">
        <f t="shared" si="201"/>
        <v>26580268</v>
      </c>
      <c r="BW190" s="188">
        <f t="shared" si="202"/>
        <v>0</v>
      </c>
      <c r="BX190" s="188">
        <f t="shared" si="203"/>
        <v>0</v>
      </c>
      <c r="BY190" s="188">
        <f t="shared" si="204"/>
        <v>44470712</v>
      </c>
      <c r="BZ190" s="305">
        <f>IF(COT_PRECALCULOS!$D$24="Precios Iva Incluído",BI190,BD190)</f>
        <v>0</v>
      </c>
      <c r="CA190" s="305">
        <f>IF(COT_PRECALCULOS!$D$24="Precios Iva Incluído",BJ190,BE190)</f>
        <v>286</v>
      </c>
      <c r="CB190" s="305">
        <f>IF(COT_PRECALCULOS!$D$24="Precios Iva Incluído",BK190,BF190)</f>
        <v>286</v>
      </c>
      <c r="CC190" s="305">
        <f>IF(COT_PRECALCULOS!$D$24="Precios Iva Incluído",BL190,BG190)</f>
        <v>0</v>
      </c>
      <c r="CD190" s="305">
        <f>IF(COT_PRECALCULOS!$D$24="Precios Iva Incluído",BM190,BH190)</f>
        <v>0</v>
      </c>
      <c r="CE190" s="305">
        <f>IF(COT_PRECALCULOS!$D$24="Precios Iva Incluído",BT190,BN190)</f>
        <v>0</v>
      </c>
      <c r="CF190" s="305">
        <f>IF(COT_PRECALCULOS!$D$24="Precios Iva Incluído",BU190,BO190)</f>
        <v>17890444</v>
      </c>
      <c r="CG190" s="305">
        <f>IF(COT_PRECALCULOS!$D$24="Precios Iva Incluído",BV190,BP190)</f>
        <v>26580268</v>
      </c>
      <c r="CH190" s="305">
        <f>IF(COT_PRECALCULOS!$D$24="Precios Iva Incluído",BW190,BQ190)</f>
        <v>0</v>
      </c>
      <c r="CI190" s="305">
        <f>IF(COT_PRECALCULOS!$D$24="Precios Iva Incluído",BX190,BR190)</f>
        <v>0</v>
      </c>
    </row>
    <row r="191" spans="1:87">
      <c r="A191" s="182" t="s">
        <v>102</v>
      </c>
      <c r="B191" s="182" t="s">
        <v>126</v>
      </c>
      <c r="C191" s="189" t="str">
        <f t="shared" si="193"/>
        <v>F_SE2</v>
      </c>
      <c r="D191" s="189" t="str">
        <f t="shared" si="194"/>
        <v>69_S_</v>
      </c>
      <c r="E191" s="190" t="s">
        <v>1</v>
      </c>
      <c r="F191" s="190" t="s">
        <v>1</v>
      </c>
      <c r="G191" s="189" t="s">
        <v>31</v>
      </c>
      <c r="H191" s="190"/>
      <c r="I191" s="190" t="s">
        <v>68</v>
      </c>
      <c r="J191" s="190">
        <v>69</v>
      </c>
      <c r="K191" s="190" t="s">
        <v>70</v>
      </c>
      <c r="L191" s="189" t="s">
        <v>9</v>
      </c>
      <c r="M191" s="211">
        <v>100</v>
      </c>
      <c r="N191" s="211">
        <v>100</v>
      </c>
      <c r="O191" s="211">
        <v>100</v>
      </c>
      <c r="P191" s="190"/>
      <c r="Q191" s="190"/>
      <c r="R191" s="190"/>
      <c r="S191" s="385">
        <f t="shared" si="268"/>
        <v>1</v>
      </c>
      <c r="T191" s="385">
        <f>$S191</f>
        <v>1</v>
      </c>
      <c r="U191" s="385">
        <f t="shared" si="269"/>
        <v>1</v>
      </c>
      <c r="V191" s="385">
        <f t="shared" si="269"/>
        <v>1</v>
      </c>
      <c r="W191" s="387"/>
      <c r="X191" s="387"/>
      <c r="Y191" s="184">
        <f t="shared" si="207"/>
        <v>28053</v>
      </c>
      <c r="Z191" s="184">
        <f t="shared" si="270"/>
        <v>31277</v>
      </c>
      <c r="AA191" s="184">
        <f t="shared" si="271"/>
        <v>46469</v>
      </c>
      <c r="AB191" s="184">
        <f t="shared" si="265"/>
        <v>0</v>
      </c>
      <c r="AC191" s="184">
        <f t="shared" si="266"/>
        <v>0</v>
      </c>
      <c r="AD191" s="184">
        <f t="shared" si="212"/>
        <v>105799</v>
      </c>
      <c r="AE191" s="183">
        <f t="shared" si="259"/>
        <v>0</v>
      </c>
      <c r="AF191" s="385">
        <f>$AE191</f>
        <v>0</v>
      </c>
      <c r="AG191" s="385">
        <f t="shared" si="260"/>
        <v>0</v>
      </c>
      <c r="AH191" s="385">
        <f t="shared" si="260"/>
        <v>0</v>
      </c>
      <c r="AI191" s="185">
        <f t="shared" si="213"/>
        <v>74</v>
      </c>
      <c r="AJ191" s="185">
        <f t="shared" si="261"/>
        <v>433</v>
      </c>
      <c r="AK191" s="185">
        <f t="shared" si="262"/>
        <v>683</v>
      </c>
      <c r="AL191" s="185">
        <f t="shared" si="216"/>
        <v>1190</v>
      </c>
      <c r="AM191" s="173">
        <f t="shared" si="267"/>
        <v>28053</v>
      </c>
      <c r="AN191" s="173">
        <f t="shared" si="244"/>
        <v>31277</v>
      </c>
      <c r="AO191" s="173">
        <f t="shared" si="245"/>
        <v>46469</v>
      </c>
      <c r="AP191" s="173">
        <f t="shared" si="195"/>
        <v>0</v>
      </c>
      <c r="AQ191" s="173">
        <f t="shared" si="196"/>
        <v>0</v>
      </c>
      <c r="AR191" s="173">
        <f t="shared" si="197"/>
        <v>105799</v>
      </c>
      <c r="AS191" s="186" t="s">
        <v>1361</v>
      </c>
      <c r="AT191" s="300">
        <f t="shared" ref="AT191:AX200" si="273">IF(ISERROR(IF(ISERROR(MATCH(CONCATENATE($J191,"_",AT$1),COT_PRE_CODIGO_ALIMENTOS,0)),IF(ISERROR(MATCH(CONCATENATE($J191,"_",AT$2),COT_PRE_CODIGO_ALIMENTOS,0)),IF(ISERROR(MATCH(CONCATENATE($J191,"_",AT$3),COT_PRE_CODIGO_ALIMENTOS,0)),IF(ISERROR(MATCH(CONCATENATE($J191,"_",AT$4),COT_PRE_CODIGO_ALIMENTOS,0)),IF(ISERROR(MATCH(CONCATENATE($J191,"_",AT$5),COT_PRE_CODIGO_ALIMENTOS,0)),IF(ISERROR(MATCH(CONCATENATE($J191,"_",AT$6),COT_PRE_CODIGO_ALIMENTOS,0)),IF(ISERROR(MATCH(CONCATENATE($J191,"_",AT$7),COT_PRE_CODIGO_ALIMENTOS,0)),IF(ISERROR(VLOOKUP($J191,COT_PRE_ALIMENTOS,AT$8,FALSE)),"DATO NO DISPONIBLE",VLOOKUP($J191,COT_PRE_ALIMENTOS,AT$8,FALSE)),VLOOKUP(CONCATENATE($J191,"_",AT$7),COT_PRE_ALIMENTOS,AT$8,FALSE)),VLOOKUP(CONCATENATE($J191,"_",AT$6),COT_PRE_ALIMENTOS,AT$8,FALSE)),VLOOKUP(CONCATENATE($J191,"_",AT$5),COT_PRE_ALIMENTOS,AT$8,FALSE)),VLOOKUP(CONCATENATE($J191,"_",AT$4),COT_PRE_ALIMENTOS,AT$8,FALSE)),VLOOKUP(CONCATENATE($J191,"_",AT$3),COT_PRE_ALIMENTOS,AT$8,FALSE)),VLOOKUP(CONCATENATE($J191,"_",AT$2),COT_PRE_ALIMENTOS,AT$8,FALSE)),VLOOKUP(CONCATENATE($J191,"_",AT$1),COT_PRE_ALIMENTOS,AT$8,FALSE))),"DATO NO DISPONIBLE",IF(ISERROR(MATCH(CONCATENATE($J191,"_",AT$1),COT_PRE_CODIGO_ALIMENTOS,0)),IF(ISERROR(MATCH(CONCATENATE($J191,"_",AT$2),COT_PRE_CODIGO_ALIMENTOS,0)),IF(ISERROR(MATCH(CONCATENATE($J191,"_",AT$3),COT_PRE_CODIGO_ALIMENTOS,0)),IF(ISERROR(MATCH(CONCATENATE($J191,"_",AT$4),COT_PRE_CODIGO_ALIMENTOS,0)),IF(ISERROR(MATCH(CONCATENATE($J191,"_",AT$5),COT_PRE_CODIGO_ALIMENTOS,0)),IF(ISERROR(MATCH(CONCATENATE($J191,"_",AT$6),COT_PRE_CODIGO_ALIMENTOS,0)),IF(ISERROR(MATCH(CONCATENATE($J191,"_",AT$7),COT_PRE_CODIGO_ALIMENTOS,0)),IF(ISERROR(VLOOKUP($J191,COT_PRE_ALIMENTOS,AT$8,FALSE)),"DATO NO DISPONIBLE",VLOOKUP($J191,COT_PRE_ALIMENTOS,AT$8,FALSE)),VLOOKUP(CONCATENATE($J191,"_",AT$7),COT_PRE_ALIMENTOS,AT$8,FALSE)),VLOOKUP(CONCATENATE($J191,"_",AT$6),COT_PRE_ALIMENTOS,AT$8,FALSE)),VLOOKUP(CONCATENATE($J191,"_",AT$5),COT_PRE_ALIMENTOS,AT$8,FALSE)),VLOOKUP(CONCATENATE($J191,"_",AT$4),COT_PRE_ALIMENTOS,AT$8,FALSE)),VLOOKUP(CONCATENATE($J191,"_",AT$3),COT_PRE_ALIMENTOS,AT$8,FALSE)),VLOOKUP(CONCATENATE($J191,"_",AT$2),COT_PRE_ALIMENTOS,AT$8,FALSE)),VLOOKUP(CONCATENATE($J191,"_",AT$1),COT_PRE_ALIMENTOS,AT$8,FALSE)))</f>
        <v>2.8519999999999999</v>
      </c>
      <c r="AU191" s="300">
        <f t="shared" si="273"/>
        <v>2.8519999999999999</v>
      </c>
      <c r="AV191" s="300">
        <f t="shared" si="273"/>
        <v>2.8519999999999999</v>
      </c>
      <c r="AW191" s="300">
        <f t="shared" si="273"/>
        <v>2.8519999999999999</v>
      </c>
      <c r="AX191" s="300">
        <f t="shared" si="273"/>
        <v>2.8519999999999999</v>
      </c>
      <c r="AY191" s="301">
        <f t="shared" si="272"/>
        <v>2.8519999999999999</v>
      </c>
      <c r="AZ191" s="301">
        <f t="shared" si="272"/>
        <v>2.8519999999999999</v>
      </c>
      <c r="BA191" s="301">
        <f t="shared" si="272"/>
        <v>2.8519999999999999</v>
      </c>
      <c r="BB191" s="301">
        <f t="shared" si="272"/>
        <v>2.8519999999999999</v>
      </c>
      <c r="BC191" s="301">
        <f t="shared" si="272"/>
        <v>2.8519999999999999</v>
      </c>
      <c r="BD191" s="187">
        <f>ROUND(IF(OR(M191=0,AT191="DATO NO DISPONIBLE"),"",AT191*M191*($BD$7+1)),0)</f>
        <v>305</v>
      </c>
      <c r="BE191" s="187">
        <f t="shared" si="246"/>
        <v>305</v>
      </c>
      <c r="BF191" s="187">
        <f t="shared" si="247"/>
        <v>305</v>
      </c>
      <c r="BG191" s="187"/>
      <c r="BH191" s="187"/>
      <c r="BI191" s="187">
        <f>ROUND(IF(OR(M191=0,AY191="DATO NO DISPONIBLE"),0,AY191*M191*($BD$7+1)),0)</f>
        <v>305</v>
      </c>
      <c r="BJ191" s="187">
        <f t="shared" si="222"/>
        <v>305</v>
      </c>
      <c r="BK191" s="187">
        <f t="shared" si="223"/>
        <v>305</v>
      </c>
      <c r="BL191" s="187"/>
      <c r="BM191" s="187"/>
      <c r="BN191" s="188">
        <f>BD191*AM191</f>
        <v>8556165</v>
      </c>
      <c r="BO191" s="188">
        <f t="shared" si="224"/>
        <v>9539485</v>
      </c>
      <c r="BP191" s="188">
        <f t="shared" si="225"/>
        <v>14173045</v>
      </c>
      <c r="BQ191" s="188">
        <f t="shared" si="226"/>
        <v>0</v>
      </c>
      <c r="BR191" s="188">
        <f t="shared" si="227"/>
        <v>0</v>
      </c>
      <c r="BS191" s="188">
        <f t="shared" si="198"/>
        <v>32268695</v>
      </c>
      <c r="BT191" s="188">
        <f t="shared" si="199"/>
        <v>8556165</v>
      </c>
      <c r="BU191" s="188">
        <f t="shared" si="200"/>
        <v>9539485</v>
      </c>
      <c r="BV191" s="188">
        <f t="shared" si="201"/>
        <v>14173045</v>
      </c>
      <c r="BW191" s="188">
        <f t="shared" si="202"/>
        <v>0</v>
      </c>
      <c r="BX191" s="188">
        <f t="shared" si="203"/>
        <v>0</v>
      </c>
      <c r="BY191" s="188">
        <f t="shared" si="204"/>
        <v>32268695</v>
      </c>
      <c r="BZ191" s="305">
        <f>IF(COT_PRECALCULOS!$D$24="Precios Iva Incluído",BI191,BD191)</f>
        <v>305</v>
      </c>
      <c r="CA191" s="305">
        <f>IF(COT_PRECALCULOS!$D$24="Precios Iva Incluído",BJ191,BE191)</f>
        <v>305</v>
      </c>
      <c r="CB191" s="305">
        <f>IF(COT_PRECALCULOS!$D$24="Precios Iva Incluído",BK191,BF191)</f>
        <v>305</v>
      </c>
      <c r="CC191" s="305">
        <f>IF(COT_PRECALCULOS!$D$24="Precios Iva Incluído",BL191,BG191)</f>
        <v>0</v>
      </c>
      <c r="CD191" s="305">
        <f>IF(COT_PRECALCULOS!$D$24="Precios Iva Incluído",BM191,BH191)</f>
        <v>0</v>
      </c>
      <c r="CE191" s="305">
        <f>IF(COT_PRECALCULOS!$D$24="Precios Iva Incluído",BT191,BN191)</f>
        <v>8556165</v>
      </c>
      <c r="CF191" s="305">
        <f>IF(COT_PRECALCULOS!$D$24="Precios Iva Incluído",BU191,BO191)</f>
        <v>9539485</v>
      </c>
      <c r="CG191" s="305">
        <f>IF(COT_PRECALCULOS!$D$24="Precios Iva Incluído",BV191,BP191)</f>
        <v>14173045</v>
      </c>
      <c r="CH191" s="305">
        <f>IF(COT_PRECALCULOS!$D$24="Precios Iva Incluído",BW191,BQ191)</f>
        <v>0</v>
      </c>
      <c r="CI191" s="305">
        <f>IF(COT_PRECALCULOS!$D$24="Precios Iva Incluído",BX191,BR191)</f>
        <v>0</v>
      </c>
    </row>
    <row r="192" spans="1:87">
      <c r="A192" s="182" t="s">
        <v>102</v>
      </c>
      <c r="B192" s="182" t="s">
        <v>126</v>
      </c>
      <c r="C192" s="189" t="str">
        <f t="shared" si="193"/>
        <v>F_SE2</v>
      </c>
      <c r="D192" s="189" t="str">
        <f t="shared" si="194"/>
        <v>70_S_</v>
      </c>
      <c r="E192" s="190" t="s">
        <v>1</v>
      </c>
      <c r="F192" s="190" t="s">
        <v>1</v>
      </c>
      <c r="G192" s="189" t="s">
        <v>31</v>
      </c>
      <c r="H192" s="190"/>
      <c r="I192" s="190" t="s">
        <v>69</v>
      </c>
      <c r="J192" s="190">
        <v>70</v>
      </c>
      <c r="K192" s="190" t="s">
        <v>71</v>
      </c>
      <c r="L192" s="189" t="s">
        <v>9</v>
      </c>
      <c r="M192" s="386">
        <v>0</v>
      </c>
      <c r="N192" s="211">
        <v>100</v>
      </c>
      <c r="O192" s="211">
        <v>100</v>
      </c>
      <c r="P192" s="190"/>
      <c r="Q192" s="190"/>
      <c r="R192" s="190" t="s">
        <v>73</v>
      </c>
      <c r="S192" s="183">
        <f t="shared" si="268"/>
        <v>0</v>
      </c>
      <c r="T192" s="386">
        <v>0</v>
      </c>
      <c r="U192" s="385">
        <f t="shared" si="269"/>
        <v>0</v>
      </c>
      <c r="V192" s="385">
        <f t="shared" si="269"/>
        <v>0</v>
      </c>
      <c r="W192" s="387"/>
      <c r="X192" s="387"/>
      <c r="Y192" s="184">
        <f t="shared" si="207"/>
        <v>0</v>
      </c>
      <c r="Z192" s="184">
        <f t="shared" si="270"/>
        <v>31277</v>
      </c>
      <c r="AA192" s="184">
        <f t="shared" si="271"/>
        <v>46469</v>
      </c>
      <c r="AB192" s="184">
        <f t="shared" si="265"/>
        <v>0</v>
      </c>
      <c r="AC192" s="184">
        <f t="shared" si="266"/>
        <v>0</v>
      </c>
      <c r="AD192" s="184">
        <f t="shared" si="212"/>
        <v>77746</v>
      </c>
      <c r="AE192" s="385">
        <f t="shared" si="259"/>
        <v>0</v>
      </c>
      <c r="AF192" s="386">
        <v>0</v>
      </c>
      <c r="AG192" s="385">
        <f t="shared" si="260"/>
        <v>0</v>
      </c>
      <c r="AH192" s="385">
        <f t="shared" si="260"/>
        <v>0</v>
      </c>
      <c r="AI192" s="185">
        <f t="shared" si="213"/>
        <v>0</v>
      </c>
      <c r="AJ192" s="185">
        <f t="shared" si="261"/>
        <v>433</v>
      </c>
      <c r="AK192" s="185">
        <f t="shared" si="262"/>
        <v>683</v>
      </c>
      <c r="AL192" s="185">
        <f t="shared" si="216"/>
        <v>1116</v>
      </c>
      <c r="AM192" s="173">
        <v>0</v>
      </c>
      <c r="AN192" s="173">
        <f t="shared" si="244"/>
        <v>0</v>
      </c>
      <c r="AO192" s="173">
        <f t="shared" si="245"/>
        <v>0</v>
      </c>
      <c r="AP192" s="173">
        <f t="shared" si="195"/>
        <v>0</v>
      </c>
      <c r="AQ192" s="173">
        <f t="shared" si="196"/>
        <v>0</v>
      </c>
      <c r="AR192" s="173">
        <f t="shared" si="197"/>
        <v>0</v>
      </c>
      <c r="AS192" s="186" t="s">
        <v>1361</v>
      </c>
      <c r="AT192" s="300">
        <f t="shared" si="273"/>
        <v>4.0575000000000001</v>
      </c>
      <c r="AU192" s="300">
        <f t="shared" si="273"/>
        <v>4.0575000000000001</v>
      </c>
      <c r="AV192" s="300">
        <f t="shared" si="273"/>
        <v>4.0575000000000001</v>
      </c>
      <c r="AW192" s="300">
        <f t="shared" si="273"/>
        <v>4.0575000000000001</v>
      </c>
      <c r="AX192" s="300">
        <f t="shared" si="273"/>
        <v>4.0575000000000001</v>
      </c>
      <c r="AY192" s="301">
        <f t="shared" si="272"/>
        <v>4.0575000000000001</v>
      </c>
      <c r="AZ192" s="301">
        <f t="shared" si="272"/>
        <v>4.0575000000000001</v>
      </c>
      <c r="BA192" s="301">
        <f t="shared" si="272"/>
        <v>4.0575000000000001</v>
      </c>
      <c r="BB192" s="301">
        <f t="shared" si="272"/>
        <v>4.0575000000000001</v>
      </c>
      <c r="BC192" s="301">
        <f t="shared" si="272"/>
        <v>4.0575000000000001</v>
      </c>
      <c r="BD192" s="187"/>
      <c r="BE192" s="187">
        <f t="shared" si="246"/>
        <v>434</v>
      </c>
      <c r="BF192" s="187">
        <f t="shared" si="247"/>
        <v>434</v>
      </c>
      <c r="BG192" s="187"/>
      <c r="BH192" s="187"/>
      <c r="BI192" s="187"/>
      <c r="BJ192" s="187">
        <f t="shared" si="222"/>
        <v>434</v>
      </c>
      <c r="BK192" s="187">
        <f t="shared" si="223"/>
        <v>434</v>
      </c>
      <c r="BL192" s="187"/>
      <c r="BM192" s="187"/>
      <c r="BN192" s="188"/>
      <c r="BO192" s="188">
        <f t="shared" si="224"/>
        <v>0</v>
      </c>
      <c r="BP192" s="188">
        <f t="shared" si="225"/>
        <v>0</v>
      </c>
      <c r="BQ192" s="188">
        <f t="shared" si="226"/>
        <v>0</v>
      </c>
      <c r="BR192" s="188">
        <f t="shared" si="227"/>
        <v>0</v>
      </c>
      <c r="BS192" s="188">
        <f t="shared" si="198"/>
        <v>0</v>
      </c>
      <c r="BT192" s="188">
        <f t="shared" si="199"/>
        <v>0</v>
      </c>
      <c r="BU192" s="188">
        <f t="shared" si="200"/>
        <v>0</v>
      </c>
      <c r="BV192" s="188">
        <f t="shared" si="201"/>
        <v>0</v>
      </c>
      <c r="BW192" s="188">
        <f t="shared" si="202"/>
        <v>0</v>
      </c>
      <c r="BX192" s="188">
        <f t="shared" si="203"/>
        <v>0</v>
      </c>
      <c r="BY192" s="188">
        <f t="shared" si="204"/>
        <v>0</v>
      </c>
      <c r="BZ192" s="305">
        <f>IF(COT_PRECALCULOS!$D$24="Precios Iva Incluído",BI192,BD192)</f>
        <v>0</v>
      </c>
      <c r="CA192" s="305">
        <f>IF(COT_PRECALCULOS!$D$24="Precios Iva Incluído",BJ192,BE192)</f>
        <v>434</v>
      </c>
      <c r="CB192" s="305">
        <f>IF(COT_PRECALCULOS!$D$24="Precios Iva Incluído",BK192,BF192)</f>
        <v>434</v>
      </c>
      <c r="CC192" s="305">
        <f>IF(COT_PRECALCULOS!$D$24="Precios Iva Incluído",BL192,BG192)</f>
        <v>0</v>
      </c>
      <c r="CD192" s="305">
        <f>IF(COT_PRECALCULOS!$D$24="Precios Iva Incluído",BM192,BH192)</f>
        <v>0</v>
      </c>
      <c r="CE192" s="305">
        <f>IF(COT_PRECALCULOS!$D$24="Precios Iva Incluído",BT192,BN192)</f>
        <v>0</v>
      </c>
      <c r="CF192" s="305">
        <f>IF(COT_PRECALCULOS!$D$24="Precios Iva Incluído",BU192,BO192)</f>
        <v>0</v>
      </c>
      <c r="CG192" s="305">
        <f>IF(COT_PRECALCULOS!$D$24="Precios Iva Incluído",BV192,BP192)</f>
        <v>0</v>
      </c>
      <c r="CH192" s="305">
        <f>IF(COT_PRECALCULOS!$D$24="Precios Iva Incluído",BW192,BQ192)</f>
        <v>0</v>
      </c>
      <c r="CI192" s="305">
        <f>IF(COT_PRECALCULOS!$D$24="Precios Iva Incluído",BX192,BR192)</f>
        <v>0</v>
      </c>
    </row>
    <row r="193" spans="1:87">
      <c r="A193" s="182" t="s">
        <v>102</v>
      </c>
      <c r="B193" s="182" t="s">
        <v>126</v>
      </c>
      <c r="C193" s="189" t="str">
        <f t="shared" si="193"/>
        <v>F_SE2</v>
      </c>
      <c r="D193" s="189" t="str">
        <f t="shared" si="194"/>
        <v>36_S_</v>
      </c>
      <c r="E193" s="190" t="s">
        <v>1</v>
      </c>
      <c r="F193" s="190" t="s">
        <v>1</v>
      </c>
      <c r="G193" s="189" t="s">
        <v>31</v>
      </c>
      <c r="H193" s="190"/>
      <c r="I193" s="190" t="s">
        <v>1340</v>
      </c>
      <c r="J193" s="190">
        <v>36</v>
      </c>
      <c r="K193" s="190" t="s">
        <v>1340</v>
      </c>
      <c r="L193" s="189" t="s">
        <v>9</v>
      </c>
      <c r="M193" s="211">
        <v>20</v>
      </c>
      <c r="N193" s="211">
        <v>40</v>
      </c>
      <c r="O193" s="211">
        <v>40</v>
      </c>
      <c r="P193" s="190"/>
      <c r="Q193" s="190"/>
      <c r="R193" s="211"/>
      <c r="S193" s="183">
        <f t="shared" si="268"/>
        <v>0</v>
      </c>
      <c r="T193" s="385">
        <f>$S193</f>
        <v>0</v>
      </c>
      <c r="U193" s="385">
        <f t="shared" si="269"/>
        <v>0</v>
      </c>
      <c r="V193" s="385">
        <f t="shared" si="269"/>
        <v>0</v>
      </c>
      <c r="W193" s="387"/>
      <c r="X193" s="387"/>
      <c r="Y193" s="184">
        <f t="shared" si="207"/>
        <v>28053</v>
      </c>
      <c r="Z193" s="184">
        <f t="shared" si="270"/>
        <v>31277</v>
      </c>
      <c r="AA193" s="184">
        <f t="shared" si="271"/>
        <v>46469</v>
      </c>
      <c r="AB193" s="184">
        <f t="shared" si="265"/>
        <v>0</v>
      </c>
      <c r="AC193" s="184">
        <f t="shared" si="266"/>
        <v>0</v>
      </c>
      <c r="AD193" s="184">
        <f t="shared" si="212"/>
        <v>105799</v>
      </c>
      <c r="AE193" s="183">
        <f t="shared" si="259"/>
        <v>0</v>
      </c>
      <c r="AF193" s="385">
        <f>$AE193</f>
        <v>0</v>
      </c>
      <c r="AG193" s="385">
        <f t="shared" si="260"/>
        <v>0</v>
      </c>
      <c r="AH193" s="385">
        <f t="shared" si="260"/>
        <v>0</v>
      </c>
      <c r="AI193" s="185">
        <f t="shared" si="213"/>
        <v>74</v>
      </c>
      <c r="AJ193" s="185">
        <f t="shared" si="261"/>
        <v>433</v>
      </c>
      <c r="AK193" s="185">
        <f t="shared" si="262"/>
        <v>683</v>
      </c>
      <c r="AL193" s="185">
        <f t="shared" si="216"/>
        <v>1190</v>
      </c>
      <c r="AM193" s="173">
        <f>($S193*Y193)+($AE193*AI193)</f>
        <v>0</v>
      </c>
      <c r="AN193" s="173">
        <f t="shared" si="244"/>
        <v>0</v>
      </c>
      <c r="AO193" s="173">
        <f t="shared" si="245"/>
        <v>0</v>
      </c>
      <c r="AP193" s="173">
        <f t="shared" si="195"/>
        <v>0</v>
      </c>
      <c r="AQ193" s="173">
        <f t="shared" si="196"/>
        <v>0</v>
      </c>
      <c r="AR193" s="173">
        <f t="shared" si="197"/>
        <v>0</v>
      </c>
      <c r="AS193" s="186" t="s">
        <v>1361</v>
      </c>
      <c r="AT193" s="300">
        <f t="shared" si="273"/>
        <v>5.9</v>
      </c>
      <c r="AU193" s="300">
        <f t="shared" si="273"/>
        <v>5.9</v>
      </c>
      <c r="AV193" s="300">
        <f t="shared" si="273"/>
        <v>5.9</v>
      </c>
      <c r="AW193" s="300">
        <f t="shared" si="273"/>
        <v>5.9</v>
      </c>
      <c r="AX193" s="300">
        <f t="shared" si="273"/>
        <v>5.9</v>
      </c>
      <c r="AY193" s="301">
        <f t="shared" si="272"/>
        <v>5.9</v>
      </c>
      <c r="AZ193" s="301">
        <f t="shared" si="272"/>
        <v>5.9</v>
      </c>
      <c r="BA193" s="301">
        <f t="shared" si="272"/>
        <v>5.9</v>
      </c>
      <c r="BB193" s="301">
        <f t="shared" si="272"/>
        <v>5.9</v>
      </c>
      <c r="BC193" s="301">
        <f t="shared" si="272"/>
        <v>5.9</v>
      </c>
      <c r="BD193" s="187">
        <f>ROUND(IF(OR(M193=0,AT193="DATO NO DISPONIBLE"),"",AT193*M193*($BD$7+1)),0)</f>
        <v>126</v>
      </c>
      <c r="BE193" s="187">
        <f t="shared" si="246"/>
        <v>252</v>
      </c>
      <c r="BF193" s="187">
        <f t="shared" si="247"/>
        <v>252</v>
      </c>
      <c r="BG193" s="187"/>
      <c r="BH193" s="187"/>
      <c r="BI193" s="187">
        <f>ROUND(IF(OR(M193=0,AY193="DATO NO DISPONIBLE"),0,AY193*M193*($BD$7+1)),0)</f>
        <v>126</v>
      </c>
      <c r="BJ193" s="187">
        <f t="shared" si="222"/>
        <v>252</v>
      </c>
      <c r="BK193" s="187">
        <f t="shared" si="223"/>
        <v>252</v>
      </c>
      <c r="BL193" s="187"/>
      <c r="BM193" s="187"/>
      <c r="BN193" s="188">
        <f>BD193*AM193</f>
        <v>0</v>
      </c>
      <c r="BO193" s="188">
        <f t="shared" si="224"/>
        <v>0</v>
      </c>
      <c r="BP193" s="188">
        <f t="shared" si="225"/>
        <v>0</v>
      </c>
      <c r="BQ193" s="188">
        <f t="shared" si="226"/>
        <v>0</v>
      </c>
      <c r="BR193" s="188">
        <f t="shared" si="227"/>
        <v>0</v>
      </c>
      <c r="BS193" s="188">
        <f t="shared" si="198"/>
        <v>0</v>
      </c>
      <c r="BT193" s="188">
        <f t="shared" si="199"/>
        <v>0</v>
      </c>
      <c r="BU193" s="188">
        <f t="shared" si="200"/>
        <v>0</v>
      </c>
      <c r="BV193" s="188">
        <f t="shared" si="201"/>
        <v>0</v>
      </c>
      <c r="BW193" s="188">
        <f t="shared" si="202"/>
        <v>0</v>
      </c>
      <c r="BX193" s="188">
        <f t="shared" si="203"/>
        <v>0</v>
      </c>
      <c r="BY193" s="188">
        <f t="shared" si="204"/>
        <v>0</v>
      </c>
      <c r="BZ193" s="305">
        <f>IF(COT_PRECALCULOS!$D$24="Precios Iva Incluído",BI193,BD193)</f>
        <v>126</v>
      </c>
      <c r="CA193" s="305">
        <f>IF(COT_PRECALCULOS!$D$24="Precios Iva Incluído",BJ193,BE193)</f>
        <v>252</v>
      </c>
      <c r="CB193" s="305">
        <f>IF(COT_PRECALCULOS!$D$24="Precios Iva Incluído",BK193,BF193)</f>
        <v>252</v>
      </c>
      <c r="CC193" s="305">
        <f>IF(COT_PRECALCULOS!$D$24="Precios Iva Incluído",BL193,BG193)</f>
        <v>0</v>
      </c>
      <c r="CD193" s="305">
        <f>IF(COT_PRECALCULOS!$D$24="Precios Iva Incluído",BM193,BH193)</f>
        <v>0</v>
      </c>
      <c r="CE193" s="305">
        <f>IF(COT_PRECALCULOS!$D$24="Precios Iva Incluído",BT193,BN193)</f>
        <v>0</v>
      </c>
      <c r="CF193" s="305">
        <f>IF(COT_PRECALCULOS!$D$24="Precios Iva Incluído",BU193,BO193)</f>
        <v>0</v>
      </c>
      <c r="CG193" s="305">
        <f>IF(COT_PRECALCULOS!$D$24="Precios Iva Incluído",BV193,BP193)</f>
        <v>0</v>
      </c>
      <c r="CH193" s="305">
        <f>IF(COT_PRECALCULOS!$D$24="Precios Iva Incluído",BW193,BQ193)</f>
        <v>0</v>
      </c>
      <c r="CI193" s="305">
        <f>IF(COT_PRECALCULOS!$D$24="Precios Iva Incluído",BX193,BR193)</f>
        <v>0</v>
      </c>
    </row>
    <row r="194" spans="1:87">
      <c r="A194" s="182" t="s">
        <v>102</v>
      </c>
      <c r="B194" s="182" t="s">
        <v>126</v>
      </c>
      <c r="C194" s="189" t="str">
        <f t="shared" si="193"/>
        <v>F_SE3</v>
      </c>
      <c r="D194" s="189" t="str">
        <f t="shared" si="194"/>
        <v>8_S_</v>
      </c>
      <c r="E194" s="190" t="s">
        <v>1</v>
      </c>
      <c r="F194" s="190" t="s">
        <v>1</v>
      </c>
      <c r="G194" s="189" t="s">
        <v>32</v>
      </c>
      <c r="H194" s="190" t="s">
        <v>2</v>
      </c>
      <c r="I194" s="190" t="s">
        <v>54</v>
      </c>
      <c r="J194" s="190">
        <v>8</v>
      </c>
      <c r="K194" s="190" t="s">
        <v>55</v>
      </c>
      <c r="L194" s="189" t="s">
        <v>9</v>
      </c>
      <c r="M194" s="211">
        <v>100</v>
      </c>
      <c r="N194" s="211">
        <v>100</v>
      </c>
      <c r="O194" s="211">
        <v>100</v>
      </c>
      <c r="P194" s="190"/>
      <c r="Q194" s="190"/>
      <c r="R194" s="190"/>
      <c r="S194" s="183">
        <f t="shared" si="268"/>
        <v>3</v>
      </c>
      <c r="T194" s="385">
        <f>$S194</f>
        <v>3</v>
      </c>
      <c r="U194" s="385">
        <f t="shared" si="269"/>
        <v>3</v>
      </c>
      <c r="V194" s="385">
        <f t="shared" si="269"/>
        <v>3</v>
      </c>
      <c r="W194" s="387"/>
      <c r="X194" s="387"/>
      <c r="Y194" s="184">
        <f t="shared" si="207"/>
        <v>28053</v>
      </c>
      <c r="Z194" s="184">
        <f t="shared" si="270"/>
        <v>31277</v>
      </c>
      <c r="AA194" s="184">
        <f t="shared" si="271"/>
        <v>46469</v>
      </c>
      <c r="AB194" s="184">
        <f t="shared" si="265"/>
        <v>0</v>
      </c>
      <c r="AC194" s="184">
        <f t="shared" si="266"/>
        <v>0</v>
      </c>
      <c r="AD194" s="184">
        <f t="shared" si="212"/>
        <v>105799</v>
      </c>
      <c r="AE194" s="183">
        <f t="shared" si="259"/>
        <v>0</v>
      </c>
      <c r="AF194" s="385">
        <f>$AE194</f>
        <v>0</v>
      </c>
      <c r="AG194" s="385">
        <f t="shared" si="260"/>
        <v>0</v>
      </c>
      <c r="AH194" s="385">
        <f t="shared" si="260"/>
        <v>0</v>
      </c>
      <c r="AI194" s="185">
        <f t="shared" si="213"/>
        <v>74</v>
      </c>
      <c r="AJ194" s="185">
        <f t="shared" si="261"/>
        <v>433</v>
      </c>
      <c r="AK194" s="185">
        <f t="shared" si="262"/>
        <v>683</v>
      </c>
      <c r="AL194" s="185">
        <f t="shared" si="216"/>
        <v>1190</v>
      </c>
      <c r="AM194" s="173">
        <f>($S194*Y194)+($AE194*AI194)</f>
        <v>84159</v>
      </c>
      <c r="AN194" s="173">
        <f t="shared" si="244"/>
        <v>93831</v>
      </c>
      <c r="AO194" s="173">
        <f t="shared" si="245"/>
        <v>139407</v>
      </c>
      <c r="AP194" s="173">
        <f t="shared" si="195"/>
        <v>0</v>
      </c>
      <c r="AQ194" s="173">
        <f t="shared" si="196"/>
        <v>0</v>
      </c>
      <c r="AR194" s="173">
        <f t="shared" si="197"/>
        <v>317397</v>
      </c>
      <c r="AS194" s="186" t="s">
        <v>1362</v>
      </c>
      <c r="AT194" s="300">
        <f t="shared" si="273"/>
        <v>1.25</v>
      </c>
      <c r="AU194" s="300">
        <f t="shared" si="273"/>
        <v>1.25</v>
      </c>
      <c r="AV194" s="300">
        <f t="shared" si="273"/>
        <v>1.25</v>
      </c>
      <c r="AW194" s="300">
        <f t="shared" si="273"/>
        <v>1.25</v>
      </c>
      <c r="AX194" s="300">
        <f t="shared" si="273"/>
        <v>1.25</v>
      </c>
      <c r="AY194" s="301">
        <f t="shared" si="272"/>
        <v>1.25</v>
      </c>
      <c r="AZ194" s="301">
        <f t="shared" si="272"/>
        <v>1.25</v>
      </c>
      <c r="BA194" s="301">
        <f t="shared" si="272"/>
        <v>1.25</v>
      </c>
      <c r="BB194" s="301">
        <f t="shared" si="272"/>
        <v>1.25</v>
      </c>
      <c r="BC194" s="301">
        <f t="shared" si="272"/>
        <v>1.25</v>
      </c>
      <c r="BD194" s="187">
        <f>ROUND(IF(OR(M194=0,AT194="DATO NO DISPONIBLE"),"",AT194*M194*($BD$7+1)),0)</f>
        <v>134</v>
      </c>
      <c r="BE194" s="187">
        <f t="shared" si="246"/>
        <v>134</v>
      </c>
      <c r="BF194" s="187">
        <f t="shared" si="247"/>
        <v>134</v>
      </c>
      <c r="BG194" s="187"/>
      <c r="BH194" s="187"/>
      <c r="BI194" s="187">
        <f>ROUND(IF(OR(M194=0,AY194="DATO NO DISPONIBLE"),0,AY194*M194*($BD$7+1)),0)</f>
        <v>134</v>
      </c>
      <c r="BJ194" s="187">
        <f t="shared" si="222"/>
        <v>134</v>
      </c>
      <c r="BK194" s="187">
        <f t="shared" si="223"/>
        <v>134</v>
      </c>
      <c r="BL194" s="187"/>
      <c r="BM194" s="187"/>
      <c r="BN194" s="188">
        <f>BD194*AM194</f>
        <v>11277306</v>
      </c>
      <c r="BO194" s="188">
        <f t="shared" si="224"/>
        <v>12573354</v>
      </c>
      <c r="BP194" s="188">
        <f t="shared" si="225"/>
        <v>18680538</v>
      </c>
      <c r="BQ194" s="188">
        <f t="shared" si="226"/>
        <v>0</v>
      </c>
      <c r="BR194" s="188">
        <f t="shared" si="227"/>
        <v>0</v>
      </c>
      <c r="BS194" s="188">
        <f t="shared" si="198"/>
        <v>42531198</v>
      </c>
      <c r="BT194" s="188">
        <f t="shared" si="199"/>
        <v>11277306</v>
      </c>
      <c r="BU194" s="188">
        <f t="shared" si="200"/>
        <v>12573354</v>
      </c>
      <c r="BV194" s="188">
        <f t="shared" si="201"/>
        <v>18680538</v>
      </c>
      <c r="BW194" s="188">
        <f t="shared" si="202"/>
        <v>0</v>
      </c>
      <c r="BX194" s="188">
        <f t="shared" si="203"/>
        <v>0</v>
      </c>
      <c r="BY194" s="188">
        <f t="shared" si="204"/>
        <v>42531198</v>
      </c>
      <c r="BZ194" s="305">
        <f>IF(COT_PRECALCULOS!$D$24="Precios Iva Incluído",BI194,BD194)</f>
        <v>134</v>
      </c>
      <c r="CA194" s="305">
        <f>IF(COT_PRECALCULOS!$D$24="Precios Iva Incluído",BJ194,BE194)</f>
        <v>134</v>
      </c>
      <c r="CB194" s="305">
        <f>IF(COT_PRECALCULOS!$D$24="Precios Iva Incluído",BK194,BF194)</f>
        <v>134</v>
      </c>
      <c r="CC194" s="305">
        <f>IF(COT_PRECALCULOS!$D$24="Precios Iva Incluído",BL194,BG194)</f>
        <v>0</v>
      </c>
      <c r="CD194" s="305">
        <f>IF(COT_PRECALCULOS!$D$24="Precios Iva Incluído",BM194,BH194)</f>
        <v>0</v>
      </c>
      <c r="CE194" s="305">
        <f>IF(COT_PRECALCULOS!$D$24="Precios Iva Incluído",BT194,BN194)</f>
        <v>11277306</v>
      </c>
      <c r="CF194" s="305">
        <f>IF(COT_PRECALCULOS!$D$24="Precios Iva Incluído",BU194,BO194)</f>
        <v>12573354</v>
      </c>
      <c r="CG194" s="305">
        <f>IF(COT_PRECALCULOS!$D$24="Precios Iva Incluído",BV194,BP194)</f>
        <v>18680538</v>
      </c>
      <c r="CH194" s="305">
        <f>IF(COT_PRECALCULOS!$D$24="Precios Iva Incluído",BW194,BQ194)</f>
        <v>0</v>
      </c>
      <c r="CI194" s="305">
        <f>IF(COT_PRECALCULOS!$D$24="Precios Iva Incluído",BX194,BR194)</f>
        <v>0</v>
      </c>
    </row>
    <row r="195" spans="1:87">
      <c r="A195" s="182" t="s">
        <v>102</v>
      </c>
      <c r="B195" s="182" t="s">
        <v>126</v>
      </c>
      <c r="C195" s="189" t="str">
        <f t="shared" si="193"/>
        <v>F_SE3</v>
      </c>
      <c r="D195" s="189" t="str">
        <f t="shared" si="194"/>
        <v>7_S_</v>
      </c>
      <c r="E195" s="190" t="s">
        <v>1</v>
      </c>
      <c r="F195" s="190" t="s">
        <v>1</v>
      </c>
      <c r="G195" s="189" t="s">
        <v>32</v>
      </c>
      <c r="H195" s="190"/>
      <c r="I195" s="190" t="s">
        <v>56</v>
      </c>
      <c r="J195" s="190">
        <v>7</v>
      </c>
      <c r="K195" s="190" t="s">
        <v>57</v>
      </c>
      <c r="L195" s="189" t="s">
        <v>9</v>
      </c>
      <c r="M195" s="211">
        <v>100</v>
      </c>
      <c r="N195" s="211">
        <v>100</v>
      </c>
      <c r="O195" s="211">
        <v>100</v>
      </c>
      <c r="P195" s="190"/>
      <c r="Q195" s="190"/>
      <c r="R195" s="190"/>
      <c r="S195" s="183">
        <f t="shared" si="268"/>
        <v>1</v>
      </c>
      <c r="T195" s="385">
        <f>$S195</f>
        <v>1</v>
      </c>
      <c r="U195" s="385">
        <f t="shared" si="269"/>
        <v>1</v>
      </c>
      <c r="V195" s="385">
        <f t="shared" si="269"/>
        <v>1</v>
      </c>
      <c r="W195" s="387"/>
      <c r="X195" s="387"/>
      <c r="Y195" s="184">
        <f t="shared" si="207"/>
        <v>28053</v>
      </c>
      <c r="Z195" s="184">
        <f t="shared" si="270"/>
        <v>31277</v>
      </c>
      <c r="AA195" s="184">
        <f t="shared" si="271"/>
        <v>46469</v>
      </c>
      <c r="AB195" s="184">
        <f t="shared" si="265"/>
        <v>0</v>
      </c>
      <c r="AC195" s="184">
        <f t="shared" si="266"/>
        <v>0</v>
      </c>
      <c r="AD195" s="184">
        <f t="shared" si="212"/>
        <v>105799</v>
      </c>
      <c r="AE195" s="183">
        <f t="shared" si="259"/>
        <v>0</v>
      </c>
      <c r="AF195" s="385">
        <f>$AE195</f>
        <v>0</v>
      </c>
      <c r="AG195" s="385">
        <f t="shared" si="260"/>
        <v>0</v>
      </c>
      <c r="AH195" s="385">
        <f t="shared" si="260"/>
        <v>0</v>
      </c>
      <c r="AI195" s="185">
        <f t="shared" si="213"/>
        <v>74</v>
      </c>
      <c r="AJ195" s="185">
        <f t="shared" si="261"/>
        <v>433</v>
      </c>
      <c r="AK195" s="185">
        <f t="shared" si="262"/>
        <v>683</v>
      </c>
      <c r="AL195" s="185">
        <f t="shared" si="216"/>
        <v>1190</v>
      </c>
      <c r="AM195" s="173">
        <f>($S195*Y195)+($AE195*AI195)</f>
        <v>28053</v>
      </c>
      <c r="AN195" s="173">
        <f t="shared" si="244"/>
        <v>31277</v>
      </c>
      <c r="AO195" s="173">
        <f t="shared" si="245"/>
        <v>46469</v>
      </c>
      <c r="AP195" s="173">
        <f t="shared" si="195"/>
        <v>0</v>
      </c>
      <c r="AQ195" s="173">
        <f t="shared" si="196"/>
        <v>0</v>
      </c>
      <c r="AR195" s="173">
        <f t="shared" si="197"/>
        <v>105799</v>
      </c>
      <c r="AS195" s="186" t="s">
        <v>1362</v>
      </c>
      <c r="AT195" s="300">
        <f t="shared" si="273"/>
        <v>1</v>
      </c>
      <c r="AU195" s="300">
        <f t="shared" si="273"/>
        <v>1</v>
      </c>
      <c r="AV195" s="300">
        <f t="shared" si="273"/>
        <v>1</v>
      </c>
      <c r="AW195" s="300">
        <f t="shared" si="273"/>
        <v>1</v>
      </c>
      <c r="AX195" s="300">
        <f t="shared" si="273"/>
        <v>1</v>
      </c>
      <c r="AY195" s="301">
        <f t="shared" si="272"/>
        <v>1</v>
      </c>
      <c r="AZ195" s="301">
        <f t="shared" si="272"/>
        <v>1</v>
      </c>
      <c r="BA195" s="301">
        <f t="shared" si="272"/>
        <v>1</v>
      </c>
      <c r="BB195" s="301">
        <f t="shared" si="272"/>
        <v>1</v>
      </c>
      <c r="BC195" s="301">
        <f t="shared" si="272"/>
        <v>1</v>
      </c>
      <c r="BD195" s="187">
        <f>ROUND(IF(OR(M195=0,AT195="DATO NO DISPONIBLE"),"",AT195*M195*($BD$7+1)),0)</f>
        <v>107</v>
      </c>
      <c r="BE195" s="187">
        <f t="shared" si="246"/>
        <v>107</v>
      </c>
      <c r="BF195" s="187">
        <f t="shared" si="247"/>
        <v>107</v>
      </c>
      <c r="BG195" s="187"/>
      <c r="BH195" s="187"/>
      <c r="BI195" s="187">
        <f>ROUND(IF(OR(M195=0,AY195="DATO NO DISPONIBLE"),0,AY195*M195*($BD$7+1)),0)</f>
        <v>107</v>
      </c>
      <c r="BJ195" s="187">
        <f t="shared" si="222"/>
        <v>107</v>
      </c>
      <c r="BK195" s="187">
        <f t="shared" si="223"/>
        <v>107</v>
      </c>
      <c r="BL195" s="187"/>
      <c r="BM195" s="187"/>
      <c r="BN195" s="188">
        <f>BD195*AM195</f>
        <v>3001671</v>
      </c>
      <c r="BO195" s="188">
        <f t="shared" si="224"/>
        <v>3346639</v>
      </c>
      <c r="BP195" s="188">
        <f t="shared" si="225"/>
        <v>4972183</v>
      </c>
      <c r="BQ195" s="188">
        <f t="shared" si="226"/>
        <v>0</v>
      </c>
      <c r="BR195" s="188">
        <f t="shared" si="227"/>
        <v>0</v>
      </c>
      <c r="BS195" s="188">
        <f t="shared" si="198"/>
        <v>11320493</v>
      </c>
      <c r="BT195" s="188">
        <f t="shared" si="199"/>
        <v>3001671</v>
      </c>
      <c r="BU195" s="188">
        <f t="shared" si="200"/>
        <v>3346639</v>
      </c>
      <c r="BV195" s="188">
        <f t="shared" si="201"/>
        <v>4972183</v>
      </c>
      <c r="BW195" s="188">
        <f t="shared" si="202"/>
        <v>0</v>
      </c>
      <c r="BX195" s="188">
        <f t="shared" si="203"/>
        <v>0</v>
      </c>
      <c r="BY195" s="188">
        <f t="shared" si="204"/>
        <v>11320493</v>
      </c>
      <c r="BZ195" s="305">
        <f>IF(COT_PRECALCULOS!$D$24="Precios Iva Incluído",BI195,BD195)</f>
        <v>107</v>
      </c>
      <c r="CA195" s="305">
        <f>IF(COT_PRECALCULOS!$D$24="Precios Iva Incluído",BJ195,BE195)</f>
        <v>107</v>
      </c>
      <c r="CB195" s="305">
        <f>IF(COT_PRECALCULOS!$D$24="Precios Iva Incluído",BK195,BF195)</f>
        <v>107</v>
      </c>
      <c r="CC195" s="305">
        <f>IF(COT_PRECALCULOS!$D$24="Precios Iva Incluído",BL195,BG195)</f>
        <v>0</v>
      </c>
      <c r="CD195" s="305">
        <f>IF(COT_PRECALCULOS!$D$24="Precios Iva Incluído",BM195,BH195)</f>
        <v>0</v>
      </c>
      <c r="CE195" s="305">
        <f>IF(COT_PRECALCULOS!$D$24="Precios Iva Incluído",BT195,BN195)</f>
        <v>3001671</v>
      </c>
      <c r="CF195" s="305">
        <f>IF(COT_PRECALCULOS!$D$24="Precios Iva Incluído",BU195,BO195)</f>
        <v>3346639</v>
      </c>
      <c r="CG195" s="305">
        <f>IF(COT_PRECALCULOS!$D$24="Precios Iva Incluído",BV195,BP195)</f>
        <v>4972183</v>
      </c>
      <c r="CH195" s="305">
        <f>IF(COT_PRECALCULOS!$D$24="Precios Iva Incluído",BW195,BQ195)</f>
        <v>0</v>
      </c>
      <c r="CI195" s="305">
        <f>IF(COT_PRECALCULOS!$D$24="Precios Iva Incluído",BX195,BR195)</f>
        <v>0</v>
      </c>
    </row>
    <row r="196" spans="1:87">
      <c r="A196" s="182" t="s">
        <v>102</v>
      </c>
      <c r="B196" s="182" t="s">
        <v>126</v>
      </c>
      <c r="C196" s="189" t="str">
        <f t="shared" si="193"/>
        <v>F_SE3</v>
      </c>
      <c r="D196" s="189" t="str">
        <f t="shared" si="194"/>
        <v>17_S_</v>
      </c>
      <c r="E196" s="190" t="s">
        <v>1</v>
      </c>
      <c r="F196" s="190" t="s">
        <v>1</v>
      </c>
      <c r="G196" s="189" t="s">
        <v>32</v>
      </c>
      <c r="H196" s="190"/>
      <c r="I196" s="190" t="s">
        <v>52</v>
      </c>
      <c r="J196" s="190">
        <v>17</v>
      </c>
      <c r="K196" s="190" t="s">
        <v>53</v>
      </c>
      <c r="L196" s="189" t="s">
        <v>9</v>
      </c>
      <c r="M196" s="386">
        <v>0</v>
      </c>
      <c r="N196" s="190">
        <v>100</v>
      </c>
      <c r="O196" s="190">
        <v>100</v>
      </c>
      <c r="P196" s="190"/>
      <c r="Q196" s="190"/>
      <c r="R196" s="190" t="s">
        <v>73</v>
      </c>
      <c r="S196" s="183">
        <f t="shared" si="268"/>
        <v>1</v>
      </c>
      <c r="T196" s="386">
        <v>0</v>
      </c>
      <c r="U196" s="385">
        <f t="shared" si="269"/>
        <v>1</v>
      </c>
      <c r="V196" s="385">
        <f t="shared" si="269"/>
        <v>1</v>
      </c>
      <c r="W196" s="387"/>
      <c r="X196" s="387"/>
      <c r="Y196" s="184">
        <f t="shared" si="207"/>
        <v>0</v>
      </c>
      <c r="Z196" s="184">
        <f t="shared" si="270"/>
        <v>31277</v>
      </c>
      <c r="AA196" s="184">
        <f t="shared" si="271"/>
        <v>46469</v>
      </c>
      <c r="AB196" s="184">
        <f t="shared" si="265"/>
        <v>0</v>
      </c>
      <c r="AC196" s="184">
        <f t="shared" si="266"/>
        <v>0</v>
      </c>
      <c r="AD196" s="184">
        <f t="shared" si="212"/>
        <v>77746</v>
      </c>
      <c r="AE196" s="183">
        <f t="shared" si="259"/>
        <v>0</v>
      </c>
      <c r="AF196" s="386">
        <v>0</v>
      </c>
      <c r="AG196" s="385">
        <f t="shared" si="260"/>
        <v>0</v>
      </c>
      <c r="AH196" s="385">
        <f t="shared" si="260"/>
        <v>0</v>
      </c>
      <c r="AI196" s="185">
        <f t="shared" si="213"/>
        <v>0</v>
      </c>
      <c r="AJ196" s="185">
        <f t="shared" si="261"/>
        <v>433</v>
      </c>
      <c r="AK196" s="185">
        <f t="shared" si="262"/>
        <v>683</v>
      </c>
      <c r="AL196" s="185">
        <f t="shared" si="216"/>
        <v>1116</v>
      </c>
      <c r="AM196" s="173">
        <v>0</v>
      </c>
      <c r="AN196" s="173">
        <f t="shared" si="244"/>
        <v>31277</v>
      </c>
      <c r="AO196" s="173">
        <f t="shared" si="245"/>
        <v>46469</v>
      </c>
      <c r="AP196" s="173">
        <f t="shared" si="195"/>
        <v>0</v>
      </c>
      <c r="AQ196" s="173">
        <f t="shared" si="196"/>
        <v>0</v>
      </c>
      <c r="AR196" s="173">
        <f t="shared" si="197"/>
        <v>77746</v>
      </c>
      <c r="AS196" s="186" t="s">
        <v>1362</v>
      </c>
      <c r="AT196" s="300">
        <f t="shared" si="273"/>
        <v>2.11</v>
      </c>
      <c r="AU196" s="300">
        <f t="shared" si="273"/>
        <v>2.11</v>
      </c>
      <c r="AV196" s="300">
        <f t="shared" si="273"/>
        <v>2.11</v>
      </c>
      <c r="AW196" s="300">
        <f t="shared" si="273"/>
        <v>2.11</v>
      </c>
      <c r="AX196" s="300">
        <f t="shared" si="273"/>
        <v>2.11</v>
      </c>
      <c r="AY196" s="301">
        <f t="shared" si="272"/>
        <v>2.11</v>
      </c>
      <c r="AZ196" s="301">
        <f t="shared" si="272"/>
        <v>2.11</v>
      </c>
      <c r="BA196" s="301">
        <f t="shared" si="272"/>
        <v>2.11</v>
      </c>
      <c r="BB196" s="301">
        <f t="shared" si="272"/>
        <v>2.11</v>
      </c>
      <c r="BC196" s="301">
        <f t="shared" si="272"/>
        <v>2.11</v>
      </c>
      <c r="BD196" s="187"/>
      <c r="BE196" s="187">
        <f t="shared" si="246"/>
        <v>226</v>
      </c>
      <c r="BF196" s="187">
        <f t="shared" si="247"/>
        <v>226</v>
      </c>
      <c r="BG196" s="187"/>
      <c r="BH196" s="187"/>
      <c r="BI196" s="187"/>
      <c r="BJ196" s="187">
        <f t="shared" si="222"/>
        <v>226</v>
      </c>
      <c r="BK196" s="187">
        <f t="shared" si="223"/>
        <v>226</v>
      </c>
      <c r="BL196" s="187"/>
      <c r="BM196" s="187"/>
      <c r="BN196" s="188"/>
      <c r="BO196" s="188">
        <f t="shared" si="224"/>
        <v>7068602</v>
      </c>
      <c r="BP196" s="188">
        <f t="shared" si="225"/>
        <v>10501994</v>
      </c>
      <c r="BQ196" s="188">
        <f t="shared" si="226"/>
        <v>0</v>
      </c>
      <c r="BR196" s="188">
        <f t="shared" si="227"/>
        <v>0</v>
      </c>
      <c r="BS196" s="188">
        <f t="shared" si="198"/>
        <v>17570596</v>
      </c>
      <c r="BT196" s="188">
        <f t="shared" si="199"/>
        <v>0</v>
      </c>
      <c r="BU196" s="188">
        <f t="shared" si="200"/>
        <v>7068602</v>
      </c>
      <c r="BV196" s="188">
        <f t="shared" si="201"/>
        <v>10501994</v>
      </c>
      <c r="BW196" s="188">
        <f t="shared" si="202"/>
        <v>0</v>
      </c>
      <c r="BX196" s="188">
        <f t="shared" si="203"/>
        <v>0</v>
      </c>
      <c r="BY196" s="188">
        <f t="shared" si="204"/>
        <v>17570596</v>
      </c>
      <c r="BZ196" s="305">
        <f>IF(COT_PRECALCULOS!$D$24="Precios Iva Incluído",BI196,BD196)</f>
        <v>0</v>
      </c>
      <c r="CA196" s="305">
        <f>IF(COT_PRECALCULOS!$D$24="Precios Iva Incluído",BJ196,BE196)</f>
        <v>226</v>
      </c>
      <c r="CB196" s="305">
        <f>IF(COT_PRECALCULOS!$D$24="Precios Iva Incluído",BK196,BF196)</f>
        <v>226</v>
      </c>
      <c r="CC196" s="305">
        <f>IF(COT_PRECALCULOS!$D$24="Precios Iva Incluído",BL196,BG196)</f>
        <v>0</v>
      </c>
      <c r="CD196" s="305">
        <f>IF(COT_PRECALCULOS!$D$24="Precios Iva Incluído",BM196,BH196)</f>
        <v>0</v>
      </c>
      <c r="CE196" s="305">
        <f>IF(COT_PRECALCULOS!$D$24="Precios Iva Incluído",BT196,BN196)</f>
        <v>0</v>
      </c>
      <c r="CF196" s="305">
        <f>IF(COT_PRECALCULOS!$D$24="Precios Iva Incluído",BU196,BO196)</f>
        <v>7068602</v>
      </c>
      <c r="CG196" s="305">
        <f>IF(COT_PRECALCULOS!$D$24="Precios Iva Incluído",BV196,BP196)</f>
        <v>10501994</v>
      </c>
      <c r="CH196" s="305">
        <f>IF(COT_PRECALCULOS!$D$24="Precios Iva Incluído",BW196,BQ196)</f>
        <v>0</v>
      </c>
      <c r="CI196" s="305">
        <f>IF(COT_PRECALCULOS!$D$24="Precios Iva Incluído",BX196,BR196)</f>
        <v>0</v>
      </c>
    </row>
    <row r="197" spans="1:87">
      <c r="A197" s="182" t="s">
        <v>102</v>
      </c>
      <c r="B197" s="182" t="s">
        <v>126</v>
      </c>
      <c r="C197" s="189" t="str">
        <f t="shared" si="193"/>
        <v>F_SE3</v>
      </c>
      <c r="D197" s="189" t="str">
        <f t="shared" si="194"/>
        <v>22_S_</v>
      </c>
      <c r="E197" s="211" t="s">
        <v>1</v>
      </c>
      <c r="F197" s="211" t="s">
        <v>1</v>
      </c>
      <c r="G197" s="189" t="s">
        <v>32</v>
      </c>
      <c r="H197" s="211"/>
      <c r="I197" s="211" t="s">
        <v>50</v>
      </c>
      <c r="J197" s="211">
        <v>22</v>
      </c>
      <c r="K197" s="211" t="s">
        <v>51</v>
      </c>
      <c r="L197" s="189" t="s">
        <v>9</v>
      </c>
      <c r="M197" s="386">
        <v>0</v>
      </c>
      <c r="N197" s="211">
        <v>100</v>
      </c>
      <c r="O197" s="211">
        <v>100</v>
      </c>
      <c r="P197" s="211"/>
      <c r="Q197" s="211"/>
      <c r="R197" s="211" t="s">
        <v>73</v>
      </c>
      <c r="S197" s="183">
        <f t="shared" si="268"/>
        <v>1</v>
      </c>
      <c r="T197" s="386">
        <v>0</v>
      </c>
      <c r="U197" s="385">
        <f t="shared" si="269"/>
        <v>1</v>
      </c>
      <c r="V197" s="385">
        <f t="shared" si="269"/>
        <v>1</v>
      </c>
      <c r="W197" s="387"/>
      <c r="X197" s="387"/>
      <c r="Y197" s="184">
        <f t="shared" si="207"/>
        <v>0</v>
      </c>
      <c r="Z197" s="184">
        <f t="shared" si="270"/>
        <v>31277</v>
      </c>
      <c r="AA197" s="184">
        <f t="shared" si="271"/>
        <v>46469</v>
      </c>
      <c r="AB197" s="184">
        <f t="shared" si="265"/>
        <v>0</v>
      </c>
      <c r="AC197" s="184">
        <f t="shared" si="266"/>
        <v>0</v>
      </c>
      <c r="AD197" s="184">
        <f t="shared" si="212"/>
        <v>77746</v>
      </c>
      <c r="AE197" s="183">
        <f t="shared" si="259"/>
        <v>0</v>
      </c>
      <c r="AF197" s="386">
        <v>0</v>
      </c>
      <c r="AG197" s="385">
        <f t="shared" ref="AG197:AH212" si="274">$AE197</f>
        <v>0</v>
      </c>
      <c r="AH197" s="385">
        <f t="shared" si="274"/>
        <v>0</v>
      </c>
      <c r="AI197" s="185">
        <f t="shared" si="213"/>
        <v>0</v>
      </c>
      <c r="AJ197" s="185">
        <f t="shared" si="261"/>
        <v>433</v>
      </c>
      <c r="AK197" s="185">
        <f t="shared" si="262"/>
        <v>683</v>
      </c>
      <c r="AL197" s="185">
        <f t="shared" si="216"/>
        <v>1116</v>
      </c>
      <c r="AM197" s="173">
        <v>0</v>
      </c>
      <c r="AN197" s="173">
        <f t="shared" si="244"/>
        <v>31277</v>
      </c>
      <c r="AO197" s="173">
        <f t="shared" si="245"/>
        <v>46469</v>
      </c>
      <c r="AP197" s="173">
        <f t="shared" si="195"/>
        <v>0</v>
      </c>
      <c r="AQ197" s="173">
        <f t="shared" si="196"/>
        <v>0</v>
      </c>
      <c r="AR197" s="173">
        <f t="shared" si="197"/>
        <v>77746</v>
      </c>
      <c r="AS197" s="186" t="s">
        <v>1362</v>
      </c>
      <c r="AT197" s="300">
        <f t="shared" si="273"/>
        <v>4.9124999999999996</v>
      </c>
      <c r="AU197" s="300">
        <f t="shared" si="273"/>
        <v>4.9124999999999996</v>
      </c>
      <c r="AV197" s="300">
        <f t="shared" si="273"/>
        <v>4.9124999999999996</v>
      </c>
      <c r="AW197" s="300">
        <f t="shared" si="273"/>
        <v>4.9124999999999996</v>
      </c>
      <c r="AX197" s="300">
        <f t="shared" si="273"/>
        <v>4.9124999999999996</v>
      </c>
      <c r="AY197" s="301">
        <f t="shared" si="272"/>
        <v>4.9124999999999996</v>
      </c>
      <c r="AZ197" s="301">
        <f t="shared" si="272"/>
        <v>4.9124999999999996</v>
      </c>
      <c r="BA197" s="301">
        <f t="shared" si="272"/>
        <v>4.9124999999999996</v>
      </c>
      <c r="BB197" s="301">
        <f t="shared" si="272"/>
        <v>4.9124999999999996</v>
      </c>
      <c r="BC197" s="301">
        <f t="shared" si="272"/>
        <v>4.9124999999999996</v>
      </c>
      <c r="BD197" s="187"/>
      <c r="BE197" s="187">
        <f t="shared" si="246"/>
        <v>525</v>
      </c>
      <c r="BF197" s="187">
        <f t="shared" si="247"/>
        <v>525</v>
      </c>
      <c r="BG197" s="187"/>
      <c r="BH197" s="187"/>
      <c r="BI197" s="187"/>
      <c r="BJ197" s="187">
        <f t="shared" si="222"/>
        <v>525</v>
      </c>
      <c r="BK197" s="187">
        <f t="shared" si="223"/>
        <v>525</v>
      </c>
      <c r="BL197" s="187"/>
      <c r="BM197" s="187"/>
      <c r="BN197" s="188"/>
      <c r="BO197" s="188">
        <f t="shared" si="224"/>
        <v>16420425</v>
      </c>
      <c r="BP197" s="188">
        <f t="shared" si="225"/>
        <v>24396225</v>
      </c>
      <c r="BQ197" s="188">
        <f t="shared" si="226"/>
        <v>0</v>
      </c>
      <c r="BR197" s="188">
        <f t="shared" si="227"/>
        <v>0</v>
      </c>
      <c r="BS197" s="188">
        <f t="shared" si="198"/>
        <v>40816650</v>
      </c>
      <c r="BT197" s="188">
        <f t="shared" si="199"/>
        <v>0</v>
      </c>
      <c r="BU197" s="188">
        <f t="shared" si="200"/>
        <v>16420425</v>
      </c>
      <c r="BV197" s="188">
        <f t="shared" si="201"/>
        <v>24396225</v>
      </c>
      <c r="BW197" s="188">
        <f t="shared" si="202"/>
        <v>0</v>
      </c>
      <c r="BX197" s="188">
        <f t="shared" si="203"/>
        <v>0</v>
      </c>
      <c r="BY197" s="188">
        <f t="shared" si="204"/>
        <v>40816650</v>
      </c>
      <c r="BZ197" s="305">
        <f>IF(COT_PRECALCULOS!$D$24="Precios Iva Incluído",BI197,BD197)</f>
        <v>0</v>
      </c>
      <c r="CA197" s="305">
        <f>IF(COT_PRECALCULOS!$D$24="Precios Iva Incluído",BJ197,BE197)</f>
        <v>525</v>
      </c>
      <c r="CB197" s="305">
        <f>IF(COT_PRECALCULOS!$D$24="Precios Iva Incluído",BK197,BF197)</f>
        <v>525</v>
      </c>
      <c r="CC197" s="305">
        <f>IF(COT_PRECALCULOS!$D$24="Precios Iva Incluído",BL197,BG197)</f>
        <v>0</v>
      </c>
      <c r="CD197" s="305">
        <f>IF(COT_PRECALCULOS!$D$24="Precios Iva Incluído",BM197,BH197)</f>
        <v>0</v>
      </c>
      <c r="CE197" s="305">
        <f>IF(COT_PRECALCULOS!$D$24="Precios Iva Incluído",BT197,BN197)</f>
        <v>0</v>
      </c>
      <c r="CF197" s="305">
        <f>IF(COT_PRECALCULOS!$D$24="Precios Iva Incluído",BU197,BO197)</f>
        <v>16420425</v>
      </c>
      <c r="CG197" s="305">
        <f>IF(COT_PRECALCULOS!$D$24="Precios Iva Incluído",BV197,BP197)</f>
        <v>24396225</v>
      </c>
      <c r="CH197" s="305">
        <f>IF(COT_PRECALCULOS!$D$24="Precios Iva Incluído",BW197,BQ197)</f>
        <v>0</v>
      </c>
      <c r="CI197" s="305">
        <f>IF(COT_PRECALCULOS!$D$24="Precios Iva Incluído",BX197,BR197)</f>
        <v>0</v>
      </c>
    </row>
    <row r="198" spans="1:87">
      <c r="A198" s="182" t="s">
        <v>102</v>
      </c>
      <c r="B198" s="182" t="s">
        <v>126</v>
      </c>
      <c r="C198" s="189" t="str">
        <f t="shared" si="193"/>
        <v>F_SE3</v>
      </c>
      <c r="D198" s="189" t="str">
        <f t="shared" si="194"/>
        <v>33_S_</v>
      </c>
      <c r="E198" s="211" t="s">
        <v>1</v>
      </c>
      <c r="F198" s="211" t="s">
        <v>1</v>
      </c>
      <c r="G198" s="189" t="s">
        <v>32</v>
      </c>
      <c r="H198" s="211"/>
      <c r="I198" s="211" t="s">
        <v>58</v>
      </c>
      <c r="J198" s="211">
        <v>33</v>
      </c>
      <c r="K198" s="211" t="s">
        <v>59</v>
      </c>
      <c r="L198" s="189" t="s">
        <v>48</v>
      </c>
      <c r="M198" s="310">
        <v>90</v>
      </c>
      <c r="N198" s="310">
        <v>90</v>
      </c>
      <c r="O198" s="310">
        <v>90</v>
      </c>
      <c r="P198" s="211"/>
      <c r="Q198" s="211"/>
      <c r="R198" s="211"/>
      <c r="S198" s="183">
        <f t="shared" si="268"/>
        <v>1</v>
      </c>
      <c r="T198" s="385">
        <f>$S198</f>
        <v>1</v>
      </c>
      <c r="U198" s="385">
        <f t="shared" si="269"/>
        <v>1</v>
      </c>
      <c r="V198" s="385">
        <f t="shared" si="269"/>
        <v>1</v>
      </c>
      <c r="W198" s="387"/>
      <c r="X198" s="387"/>
      <c r="Y198" s="184">
        <f t="shared" si="207"/>
        <v>28053</v>
      </c>
      <c r="Z198" s="184">
        <f t="shared" si="270"/>
        <v>31277</v>
      </c>
      <c r="AA198" s="184">
        <f t="shared" si="271"/>
        <v>46469</v>
      </c>
      <c r="AB198" s="184">
        <f t="shared" si="265"/>
        <v>0</v>
      </c>
      <c r="AC198" s="184">
        <f t="shared" si="266"/>
        <v>0</v>
      </c>
      <c r="AD198" s="184">
        <f t="shared" si="212"/>
        <v>105799</v>
      </c>
      <c r="AE198" s="183">
        <f t="shared" si="259"/>
        <v>0</v>
      </c>
      <c r="AF198" s="385">
        <f>$AE198</f>
        <v>0</v>
      </c>
      <c r="AG198" s="385">
        <f t="shared" si="274"/>
        <v>0</v>
      </c>
      <c r="AH198" s="385">
        <f t="shared" si="274"/>
        <v>0</v>
      </c>
      <c r="AI198" s="185">
        <f t="shared" si="213"/>
        <v>74</v>
      </c>
      <c r="AJ198" s="185">
        <f t="shared" si="261"/>
        <v>433</v>
      </c>
      <c r="AK198" s="185">
        <f t="shared" si="262"/>
        <v>683</v>
      </c>
      <c r="AL198" s="185">
        <f t="shared" si="216"/>
        <v>1190</v>
      </c>
      <c r="AM198" s="173">
        <f t="shared" ref="AM198:AM204" si="275">($S198*Y198)+($AE198*AI198)</f>
        <v>28053</v>
      </c>
      <c r="AN198" s="173">
        <f t="shared" si="244"/>
        <v>31277</v>
      </c>
      <c r="AO198" s="173">
        <f t="shared" si="245"/>
        <v>46469</v>
      </c>
      <c r="AP198" s="173">
        <f t="shared" si="195"/>
        <v>0</v>
      </c>
      <c r="AQ198" s="173">
        <f t="shared" si="196"/>
        <v>0</v>
      </c>
      <c r="AR198" s="173">
        <f t="shared" si="197"/>
        <v>105799</v>
      </c>
      <c r="AS198" s="186" t="s">
        <v>1362</v>
      </c>
      <c r="AT198" s="300">
        <f t="shared" si="273"/>
        <v>2.8014999999999999</v>
      </c>
      <c r="AU198" s="300">
        <f t="shared" si="273"/>
        <v>2.8014999999999999</v>
      </c>
      <c r="AV198" s="300">
        <f t="shared" si="273"/>
        <v>2.8014999999999999</v>
      </c>
      <c r="AW198" s="300">
        <f t="shared" si="273"/>
        <v>2.8014999999999999</v>
      </c>
      <c r="AX198" s="300">
        <f t="shared" si="273"/>
        <v>2.8014999999999999</v>
      </c>
      <c r="AY198" s="301">
        <f t="shared" ref="AY198:BC207" si="276">IF(ISERROR(MATCH(CONCATENATE($J198,"_",AY$1),COT_PRE_CODIGO_ALIMENTOS,0)),IF(ISERROR(MATCH(CONCATENATE($J198,"_",AY$2),COT_PRE_CODIGO_ALIMENTOS,0)),IF(ISERROR(MATCH(CONCATENATE($J198,"_",AY$3),COT_PRE_CODIGO_ALIMENTOS,0)),IF(ISERROR(MATCH(CONCATENATE($J198,"_",AY$4),COT_PRE_CODIGO_ALIMENTOS,0)),IF(ISERROR(MATCH(CONCATENATE($J198,"_",AY$5),COT_PRE_CODIGO_ALIMENTOS,0)),IF(ISERROR(MATCH(CONCATENATE($J198,"_",AY$6),COT_PRE_CODIGO_ALIMENTOS,0)),IF(ISERROR(MATCH(CONCATENATE($J198,"_",AY$7),COT_PRE_CODIGO_ALIMENTOS,0)),IF(ISERROR(VLOOKUP($J198,COT_PRE_ALIMENTOS,AY$8,FALSE)),"DATO NO DISPONIBLE",VLOOKUP($J198,COT_PRE_ALIMENTOS,AY$8,FALSE)),VLOOKUP(CONCATENATE($J198,"_",AY$7),COT_PRE_ALIMENTOS,AY$8,FALSE)),VLOOKUP(CONCATENATE($J198,"_",AY$6),COT_PRE_ALIMENTOS,AY$8,FALSE)),VLOOKUP(CONCATENATE($J198,"_",AY$5),COT_PRE_ALIMENTOS,AY$8,FALSE)),VLOOKUP(CONCATENATE($J198,"_",AY$4),COT_PRE_ALIMENTOS,AY$8,FALSE)),VLOOKUP(CONCATENATE($J198,"_",AY$3),COT_PRE_ALIMENTOS,AY$8,FALSE)),VLOOKUP(CONCATENATE($J198,"_",AY$2),COT_PRE_ALIMENTOS,AY$8,FALSE)),VLOOKUP(CONCATENATE($J198,"_",AY$1),COT_PRE_ALIMENTOS,AY$8,FALSE))</f>
        <v>2.8014999999999999</v>
      </c>
      <c r="AZ198" s="301">
        <f t="shared" si="276"/>
        <v>2.8014999999999999</v>
      </c>
      <c r="BA198" s="301">
        <f t="shared" si="276"/>
        <v>2.8014999999999999</v>
      </c>
      <c r="BB198" s="301">
        <f t="shared" si="276"/>
        <v>2.8014999999999999</v>
      </c>
      <c r="BC198" s="301">
        <f t="shared" si="276"/>
        <v>2.8014999999999999</v>
      </c>
      <c r="BD198" s="187">
        <f>ROUND(IF(OR(M198=0,AT198="DATO NO DISPONIBLE"),"",AT198*M198*($BD$7+1)),0)</f>
        <v>270</v>
      </c>
      <c r="BE198" s="187">
        <f t="shared" si="246"/>
        <v>270</v>
      </c>
      <c r="BF198" s="187">
        <f t="shared" si="247"/>
        <v>270</v>
      </c>
      <c r="BG198" s="187"/>
      <c r="BH198" s="187"/>
      <c r="BI198" s="187">
        <f>ROUND(IF(OR(M198=0,AY198="DATO NO DISPONIBLE"),0,AY198*M198*($BD$7+1)),0)</f>
        <v>270</v>
      </c>
      <c r="BJ198" s="187">
        <f t="shared" si="222"/>
        <v>270</v>
      </c>
      <c r="BK198" s="187">
        <f t="shared" si="223"/>
        <v>270</v>
      </c>
      <c r="BL198" s="187"/>
      <c r="BM198" s="187"/>
      <c r="BN198" s="188">
        <f>BD198*AM198</f>
        <v>7574310</v>
      </c>
      <c r="BO198" s="188">
        <f t="shared" si="224"/>
        <v>8444790</v>
      </c>
      <c r="BP198" s="188">
        <f t="shared" si="225"/>
        <v>12546630</v>
      </c>
      <c r="BQ198" s="188">
        <f t="shared" si="226"/>
        <v>0</v>
      </c>
      <c r="BR198" s="188">
        <f t="shared" si="227"/>
        <v>0</v>
      </c>
      <c r="BS198" s="188">
        <f t="shared" si="198"/>
        <v>28565730</v>
      </c>
      <c r="BT198" s="188">
        <f t="shared" si="199"/>
        <v>7574310</v>
      </c>
      <c r="BU198" s="188">
        <f t="shared" si="200"/>
        <v>8444790</v>
      </c>
      <c r="BV198" s="188">
        <f t="shared" si="201"/>
        <v>12546630</v>
      </c>
      <c r="BW198" s="188">
        <f t="shared" si="202"/>
        <v>0</v>
      </c>
      <c r="BX198" s="188">
        <f t="shared" si="203"/>
        <v>0</v>
      </c>
      <c r="BY198" s="188">
        <f t="shared" si="204"/>
        <v>28565730</v>
      </c>
      <c r="BZ198" s="305">
        <f>IF(COT_PRECALCULOS!$D$24="Precios Iva Incluído",BI198,BD198)</f>
        <v>270</v>
      </c>
      <c r="CA198" s="305">
        <f>IF(COT_PRECALCULOS!$D$24="Precios Iva Incluído",BJ198,BE198)</f>
        <v>270</v>
      </c>
      <c r="CB198" s="305">
        <f>IF(COT_PRECALCULOS!$D$24="Precios Iva Incluído",BK198,BF198)</f>
        <v>270</v>
      </c>
      <c r="CC198" s="305">
        <f>IF(COT_PRECALCULOS!$D$24="Precios Iva Incluído",BL198,BG198)</f>
        <v>0</v>
      </c>
      <c r="CD198" s="305">
        <f>IF(COT_PRECALCULOS!$D$24="Precios Iva Incluído",BM198,BH198)</f>
        <v>0</v>
      </c>
      <c r="CE198" s="305">
        <f>IF(COT_PRECALCULOS!$D$24="Precios Iva Incluído",BT198,BN198)</f>
        <v>7574310</v>
      </c>
      <c r="CF198" s="305">
        <f>IF(COT_PRECALCULOS!$D$24="Precios Iva Incluído",BU198,BO198)</f>
        <v>8444790</v>
      </c>
      <c r="CG198" s="305">
        <f>IF(COT_PRECALCULOS!$D$24="Precios Iva Incluído",BV198,BP198)</f>
        <v>12546630</v>
      </c>
      <c r="CH198" s="305">
        <f>IF(COT_PRECALCULOS!$D$24="Precios Iva Incluído",BW198,BQ198)</f>
        <v>0</v>
      </c>
      <c r="CI198" s="305">
        <f>IF(COT_PRECALCULOS!$D$24="Precios Iva Incluído",BX198,BR198)</f>
        <v>0</v>
      </c>
    </row>
    <row r="199" spans="1:87">
      <c r="A199" s="182" t="s">
        <v>102</v>
      </c>
      <c r="B199" s="182" t="s">
        <v>126</v>
      </c>
      <c r="C199" s="189" t="str">
        <f t="shared" si="193"/>
        <v>F_SE3</v>
      </c>
      <c r="D199" s="189" t="str">
        <f t="shared" si="194"/>
        <v>42_S_</v>
      </c>
      <c r="E199" s="190" t="s">
        <v>1</v>
      </c>
      <c r="F199" s="190" t="s">
        <v>1</v>
      </c>
      <c r="G199" s="189" t="s">
        <v>32</v>
      </c>
      <c r="H199" s="190"/>
      <c r="I199" s="190" t="s">
        <v>49</v>
      </c>
      <c r="J199" s="190">
        <v>42</v>
      </c>
      <c r="K199" s="190" t="s">
        <v>61</v>
      </c>
      <c r="L199" s="189" t="s">
        <v>9</v>
      </c>
      <c r="M199" s="211">
        <v>100</v>
      </c>
      <c r="N199" s="211">
        <v>100</v>
      </c>
      <c r="O199" s="211">
        <v>100</v>
      </c>
      <c r="P199" s="190"/>
      <c r="Q199" s="190"/>
      <c r="R199" s="190"/>
      <c r="S199" s="183">
        <f t="shared" si="268"/>
        <v>4</v>
      </c>
      <c r="T199" s="385">
        <f>$S199</f>
        <v>4</v>
      </c>
      <c r="U199" s="385">
        <f t="shared" si="269"/>
        <v>4</v>
      </c>
      <c r="V199" s="385">
        <f t="shared" si="269"/>
        <v>4</v>
      </c>
      <c r="W199" s="387"/>
      <c r="X199" s="387"/>
      <c r="Y199" s="184">
        <f t="shared" si="207"/>
        <v>28053</v>
      </c>
      <c r="Z199" s="184">
        <f t="shared" si="270"/>
        <v>31277</v>
      </c>
      <c r="AA199" s="184">
        <f t="shared" si="271"/>
        <v>46469</v>
      </c>
      <c r="AB199" s="184">
        <f t="shared" si="265"/>
        <v>0</v>
      </c>
      <c r="AC199" s="184">
        <f t="shared" si="266"/>
        <v>0</v>
      </c>
      <c r="AD199" s="184">
        <f t="shared" si="212"/>
        <v>105799</v>
      </c>
      <c r="AE199" s="183">
        <f t="shared" si="259"/>
        <v>0</v>
      </c>
      <c r="AF199" s="385">
        <f>$AE199</f>
        <v>0</v>
      </c>
      <c r="AG199" s="385">
        <f t="shared" si="274"/>
        <v>0</v>
      </c>
      <c r="AH199" s="385">
        <f t="shared" si="274"/>
        <v>0</v>
      </c>
      <c r="AI199" s="185">
        <f t="shared" si="213"/>
        <v>74</v>
      </c>
      <c r="AJ199" s="185">
        <f t="shared" si="261"/>
        <v>433</v>
      </c>
      <c r="AK199" s="185">
        <f t="shared" si="262"/>
        <v>683</v>
      </c>
      <c r="AL199" s="185">
        <f t="shared" si="216"/>
        <v>1190</v>
      </c>
      <c r="AM199" s="173">
        <f t="shared" si="275"/>
        <v>112212</v>
      </c>
      <c r="AN199" s="173">
        <f t="shared" si="244"/>
        <v>125108</v>
      </c>
      <c r="AO199" s="173">
        <f t="shared" si="245"/>
        <v>185876</v>
      </c>
      <c r="AP199" s="173">
        <f t="shared" si="195"/>
        <v>0</v>
      </c>
      <c r="AQ199" s="173">
        <f t="shared" si="196"/>
        <v>0</v>
      </c>
      <c r="AR199" s="173">
        <f t="shared" si="197"/>
        <v>423196</v>
      </c>
      <c r="AS199" s="186" t="s">
        <v>1362</v>
      </c>
      <c r="AT199" s="300">
        <f t="shared" si="273"/>
        <v>1.8169999999999999</v>
      </c>
      <c r="AU199" s="300">
        <f t="shared" si="273"/>
        <v>1.8169999999999999</v>
      </c>
      <c r="AV199" s="300">
        <f t="shared" si="273"/>
        <v>1.8169999999999999</v>
      </c>
      <c r="AW199" s="300">
        <f t="shared" si="273"/>
        <v>1.8169999999999999</v>
      </c>
      <c r="AX199" s="300">
        <f t="shared" si="273"/>
        <v>1.8169999999999999</v>
      </c>
      <c r="AY199" s="301">
        <f t="shared" si="276"/>
        <v>1.8169999999999999</v>
      </c>
      <c r="AZ199" s="301">
        <f t="shared" si="276"/>
        <v>1.8169999999999999</v>
      </c>
      <c r="BA199" s="301">
        <f t="shared" si="276"/>
        <v>1.8169999999999999</v>
      </c>
      <c r="BB199" s="301">
        <f t="shared" si="276"/>
        <v>1.8169999999999999</v>
      </c>
      <c r="BC199" s="301">
        <f t="shared" si="276"/>
        <v>1.8169999999999999</v>
      </c>
      <c r="BD199" s="187">
        <f>ROUND(IF(OR(M199=0,AT199="DATO NO DISPONIBLE"),"",AT199*M199*($BD$7+1)),0)</f>
        <v>194</v>
      </c>
      <c r="BE199" s="187">
        <f t="shared" si="246"/>
        <v>194</v>
      </c>
      <c r="BF199" s="187">
        <f t="shared" si="247"/>
        <v>194</v>
      </c>
      <c r="BG199" s="187"/>
      <c r="BH199" s="187"/>
      <c r="BI199" s="187">
        <f>ROUND(IF(OR(M199=0,AY199="DATO NO DISPONIBLE"),0,AY199*M199*($BD$7+1)),0)</f>
        <v>194</v>
      </c>
      <c r="BJ199" s="187">
        <f t="shared" si="222"/>
        <v>194</v>
      </c>
      <c r="BK199" s="187">
        <f t="shared" si="223"/>
        <v>194</v>
      </c>
      <c r="BL199" s="187"/>
      <c r="BM199" s="187"/>
      <c r="BN199" s="188">
        <f>BD199*AM199</f>
        <v>21769128</v>
      </c>
      <c r="BO199" s="188">
        <f t="shared" si="224"/>
        <v>24270952</v>
      </c>
      <c r="BP199" s="188">
        <f t="shared" si="225"/>
        <v>36059944</v>
      </c>
      <c r="BQ199" s="188">
        <f t="shared" si="226"/>
        <v>0</v>
      </c>
      <c r="BR199" s="188">
        <f t="shared" si="227"/>
        <v>0</v>
      </c>
      <c r="BS199" s="188">
        <f t="shared" si="198"/>
        <v>82100024</v>
      </c>
      <c r="BT199" s="188">
        <f t="shared" si="199"/>
        <v>21769128</v>
      </c>
      <c r="BU199" s="188">
        <f t="shared" si="200"/>
        <v>24270952</v>
      </c>
      <c r="BV199" s="188">
        <f t="shared" si="201"/>
        <v>36059944</v>
      </c>
      <c r="BW199" s="188">
        <f t="shared" si="202"/>
        <v>0</v>
      </c>
      <c r="BX199" s="188">
        <f t="shared" si="203"/>
        <v>0</v>
      </c>
      <c r="BY199" s="188">
        <f t="shared" si="204"/>
        <v>82100024</v>
      </c>
      <c r="BZ199" s="305">
        <f>IF(COT_PRECALCULOS!$D$24="Precios Iva Incluído",BI199,BD199)</f>
        <v>194</v>
      </c>
      <c r="CA199" s="305">
        <f>IF(COT_PRECALCULOS!$D$24="Precios Iva Incluído",BJ199,BE199)</f>
        <v>194</v>
      </c>
      <c r="CB199" s="305">
        <f>IF(COT_PRECALCULOS!$D$24="Precios Iva Incluído",BK199,BF199)</f>
        <v>194</v>
      </c>
      <c r="CC199" s="305">
        <f>IF(COT_PRECALCULOS!$D$24="Precios Iva Incluído",BL199,BG199)</f>
        <v>0</v>
      </c>
      <c r="CD199" s="305">
        <f>IF(COT_PRECALCULOS!$D$24="Precios Iva Incluído",BM199,BH199)</f>
        <v>0</v>
      </c>
      <c r="CE199" s="305">
        <f>IF(COT_PRECALCULOS!$D$24="Precios Iva Incluído",BT199,BN199)</f>
        <v>21769128</v>
      </c>
      <c r="CF199" s="305">
        <f>IF(COT_PRECALCULOS!$D$24="Precios Iva Incluído",BU199,BO199)</f>
        <v>24270952</v>
      </c>
      <c r="CG199" s="305">
        <f>IF(COT_PRECALCULOS!$D$24="Precios Iva Incluído",BV199,BP199)</f>
        <v>36059944</v>
      </c>
      <c r="CH199" s="305">
        <f>IF(COT_PRECALCULOS!$D$24="Precios Iva Incluído",BW199,BQ199)</f>
        <v>0</v>
      </c>
      <c r="CI199" s="305">
        <f>IF(COT_PRECALCULOS!$D$24="Precios Iva Incluído",BX199,BR199)</f>
        <v>0</v>
      </c>
    </row>
    <row r="200" spans="1:87">
      <c r="A200" s="182" t="s">
        <v>102</v>
      </c>
      <c r="B200" s="182" t="s">
        <v>126</v>
      </c>
      <c r="C200" s="189" t="str">
        <f t="shared" si="193"/>
        <v>F_SE3</v>
      </c>
      <c r="D200" s="189" t="str">
        <f t="shared" si="194"/>
        <v>43_S_</v>
      </c>
      <c r="E200" s="190" t="s">
        <v>1</v>
      </c>
      <c r="F200" s="190" t="s">
        <v>1</v>
      </c>
      <c r="G200" s="189" t="s">
        <v>32</v>
      </c>
      <c r="H200" s="190"/>
      <c r="I200" s="190" t="s">
        <v>60</v>
      </c>
      <c r="J200" s="190">
        <v>43</v>
      </c>
      <c r="K200" s="190" t="s">
        <v>62</v>
      </c>
      <c r="L200" s="189" t="s">
        <v>9</v>
      </c>
      <c r="M200" s="211">
        <v>100</v>
      </c>
      <c r="N200" s="211">
        <v>100</v>
      </c>
      <c r="O200" s="211">
        <v>100</v>
      </c>
      <c r="P200" s="190"/>
      <c r="Q200" s="190"/>
      <c r="R200" s="190"/>
      <c r="S200" s="183">
        <f t="shared" si="268"/>
        <v>1</v>
      </c>
      <c r="T200" s="385">
        <f>$S200</f>
        <v>1</v>
      </c>
      <c r="U200" s="385">
        <f t="shared" si="269"/>
        <v>1</v>
      </c>
      <c r="V200" s="385">
        <f t="shared" si="269"/>
        <v>1</v>
      </c>
      <c r="W200" s="387"/>
      <c r="X200" s="387"/>
      <c r="Y200" s="184">
        <f t="shared" si="207"/>
        <v>28053</v>
      </c>
      <c r="Z200" s="184">
        <f t="shared" si="270"/>
        <v>31277</v>
      </c>
      <c r="AA200" s="184">
        <f t="shared" si="271"/>
        <v>46469</v>
      </c>
      <c r="AB200" s="184">
        <f t="shared" si="265"/>
        <v>0</v>
      </c>
      <c r="AC200" s="184">
        <f t="shared" si="266"/>
        <v>0</v>
      </c>
      <c r="AD200" s="184">
        <f t="shared" si="212"/>
        <v>105799</v>
      </c>
      <c r="AE200" s="183">
        <f t="shared" si="259"/>
        <v>0</v>
      </c>
      <c r="AF200" s="385">
        <f>$AE200</f>
        <v>0</v>
      </c>
      <c r="AG200" s="385">
        <f t="shared" si="274"/>
        <v>0</v>
      </c>
      <c r="AH200" s="385">
        <f t="shared" si="274"/>
        <v>0</v>
      </c>
      <c r="AI200" s="185">
        <f t="shared" si="213"/>
        <v>74</v>
      </c>
      <c r="AJ200" s="185">
        <f t="shared" si="261"/>
        <v>433</v>
      </c>
      <c r="AK200" s="185">
        <f t="shared" si="262"/>
        <v>683</v>
      </c>
      <c r="AL200" s="185">
        <f t="shared" si="216"/>
        <v>1190</v>
      </c>
      <c r="AM200" s="173">
        <f t="shared" si="275"/>
        <v>28053</v>
      </c>
      <c r="AN200" s="173">
        <f t="shared" si="244"/>
        <v>31277</v>
      </c>
      <c r="AO200" s="173">
        <f t="shared" si="245"/>
        <v>46469</v>
      </c>
      <c r="AP200" s="173">
        <f t="shared" si="195"/>
        <v>0</v>
      </c>
      <c r="AQ200" s="173">
        <f t="shared" si="196"/>
        <v>0</v>
      </c>
      <c r="AR200" s="173">
        <f t="shared" si="197"/>
        <v>105799</v>
      </c>
      <c r="AS200" s="186" t="s">
        <v>1362</v>
      </c>
      <c r="AT200" s="300">
        <f t="shared" si="273"/>
        <v>1.5892500000000001</v>
      </c>
      <c r="AU200" s="300">
        <f t="shared" si="273"/>
        <v>1.5892500000000001</v>
      </c>
      <c r="AV200" s="300">
        <f t="shared" si="273"/>
        <v>1.5892500000000001</v>
      </c>
      <c r="AW200" s="300">
        <f t="shared" si="273"/>
        <v>1.5892500000000001</v>
      </c>
      <c r="AX200" s="300">
        <f t="shared" si="273"/>
        <v>1.5892500000000001</v>
      </c>
      <c r="AY200" s="301">
        <f t="shared" si="276"/>
        <v>1.5892500000000001</v>
      </c>
      <c r="AZ200" s="301">
        <f t="shared" si="276"/>
        <v>1.5892500000000001</v>
      </c>
      <c r="BA200" s="301">
        <f t="shared" si="276"/>
        <v>1.5892500000000001</v>
      </c>
      <c r="BB200" s="301">
        <f t="shared" si="276"/>
        <v>1.5892500000000001</v>
      </c>
      <c r="BC200" s="301">
        <f t="shared" si="276"/>
        <v>1.5892500000000001</v>
      </c>
      <c r="BD200" s="187">
        <f>ROUND(IF(OR(M200=0,AT200="DATO NO DISPONIBLE"),"",AT200*M200*($BD$7+1)),0)</f>
        <v>170</v>
      </c>
      <c r="BE200" s="187">
        <f t="shared" si="246"/>
        <v>170</v>
      </c>
      <c r="BF200" s="187">
        <f t="shared" si="247"/>
        <v>170</v>
      </c>
      <c r="BG200" s="187"/>
      <c r="BH200" s="187"/>
      <c r="BI200" s="187">
        <f>ROUND(IF(OR(M200=0,AY200="DATO NO DISPONIBLE"),0,AY200*M200*($BD$7+1)),0)</f>
        <v>170</v>
      </c>
      <c r="BJ200" s="187">
        <f t="shared" si="222"/>
        <v>170</v>
      </c>
      <c r="BK200" s="187">
        <f t="shared" si="223"/>
        <v>170</v>
      </c>
      <c r="BL200" s="187"/>
      <c r="BM200" s="187"/>
      <c r="BN200" s="188">
        <f>BD200*AM200</f>
        <v>4769010</v>
      </c>
      <c r="BO200" s="188">
        <f t="shared" si="224"/>
        <v>5317090</v>
      </c>
      <c r="BP200" s="188">
        <f t="shared" si="225"/>
        <v>7899730</v>
      </c>
      <c r="BQ200" s="188">
        <f t="shared" si="226"/>
        <v>0</v>
      </c>
      <c r="BR200" s="188">
        <f t="shared" si="227"/>
        <v>0</v>
      </c>
      <c r="BS200" s="188">
        <f t="shared" si="198"/>
        <v>17985830</v>
      </c>
      <c r="BT200" s="188">
        <f t="shared" si="199"/>
        <v>4769010</v>
      </c>
      <c r="BU200" s="188">
        <f t="shared" si="200"/>
        <v>5317090</v>
      </c>
      <c r="BV200" s="188">
        <f t="shared" si="201"/>
        <v>7899730</v>
      </c>
      <c r="BW200" s="188">
        <f t="shared" si="202"/>
        <v>0</v>
      </c>
      <c r="BX200" s="188">
        <f t="shared" si="203"/>
        <v>0</v>
      </c>
      <c r="BY200" s="188">
        <f t="shared" si="204"/>
        <v>17985830</v>
      </c>
      <c r="BZ200" s="305">
        <f>IF(COT_PRECALCULOS!$D$24="Precios Iva Incluído",BI200,BD200)</f>
        <v>170</v>
      </c>
      <c r="CA200" s="305">
        <f>IF(COT_PRECALCULOS!$D$24="Precios Iva Incluído",BJ200,BE200)</f>
        <v>170</v>
      </c>
      <c r="CB200" s="305">
        <f>IF(COT_PRECALCULOS!$D$24="Precios Iva Incluído",BK200,BF200)</f>
        <v>170</v>
      </c>
      <c r="CC200" s="305">
        <f>IF(COT_PRECALCULOS!$D$24="Precios Iva Incluído",BL200,BG200)</f>
        <v>0</v>
      </c>
      <c r="CD200" s="305">
        <f>IF(COT_PRECALCULOS!$D$24="Precios Iva Incluído",BM200,BH200)</f>
        <v>0</v>
      </c>
      <c r="CE200" s="305">
        <f>IF(COT_PRECALCULOS!$D$24="Precios Iva Incluído",BT200,BN200)</f>
        <v>4769010</v>
      </c>
      <c r="CF200" s="305">
        <f>IF(COT_PRECALCULOS!$D$24="Precios Iva Incluído",BU200,BO200)</f>
        <v>5317090</v>
      </c>
      <c r="CG200" s="305">
        <f>IF(COT_PRECALCULOS!$D$24="Precios Iva Incluído",BV200,BP200)</f>
        <v>7899730</v>
      </c>
      <c r="CH200" s="305">
        <f>IF(COT_PRECALCULOS!$D$24="Precios Iva Incluído",BW200,BQ200)</f>
        <v>0</v>
      </c>
      <c r="CI200" s="305">
        <f>IF(COT_PRECALCULOS!$D$24="Precios Iva Incluído",BX200,BR200)</f>
        <v>0</v>
      </c>
    </row>
    <row r="201" spans="1:87">
      <c r="A201" s="182" t="s">
        <v>102</v>
      </c>
      <c r="B201" s="182" t="s">
        <v>126</v>
      </c>
      <c r="C201" s="189" t="str">
        <f t="shared" si="193"/>
        <v>F_SE3</v>
      </c>
      <c r="D201" s="189" t="str">
        <f t="shared" si="194"/>
        <v>46_S_</v>
      </c>
      <c r="E201" s="190" t="s">
        <v>1</v>
      </c>
      <c r="F201" s="190" t="s">
        <v>1</v>
      </c>
      <c r="G201" s="189" t="s">
        <v>32</v>
      </c>
      <c r="H201" s="190"/>
      <c r="I201" s="190" t="s">
        <v>63</v>
      </c>
      <c r="J201" s="190">
        <v>46</v>
      </c>
      <c r="K201" s="190" t="s">
        <v>64</v>
      </c>
      <c r="L201" s="189" t="s">
        <v>9</v>
      </c>
      <c r="M201" s="211">
        <v>100</v>
      </c>
      <c r="N201" s="211">
        <v>100</v>
      </c>
      <c r="O201" s="211">
        <v>100</v>
      </c>
      <c r="P201" s="190"/>
      <c r="Q201" s="190"/>
      <c r="R201" s="190"/>
      <c r="S201" s="388">
        <v>3</v>
      </c>
      <c r="T201" s="388">
        <f>$S201</f>
        <v>3</v>
      </c>
      <c r="U201" s="388">
        <v>0</v>
      </c>
      <c r="V201" s="388">
        <v>0</v>
      </c>
      <c r="W201" s="387"/>
      <c r="X201" s="387"/>
      <c r="Y201" s="184">
        <f t="shared" si="207"/>
        <v>28053</v>
      </c>
      <c r="Z201" s="184">
        <v>0</v>
      </c>
      <c r="AA201" s="184">
        <v>0</v>
      </c>
      <c r="AB201" s="184">
        <f t="shared" si="265"/>
        <v>0</v>
      </c>
      <c r="AC201" s="184">
        <f t="shared" si="266"/>
        <v>0</v>
      </c>
      <c r="AD201" s="184">
        <f t="shared" si="212"/>
        <v>28053</v>
      </c>
      <c r="AE201" s="183">
        <f t="shared" si="259"/>
        <v>0</v>
      </c>
      <c r="AF201" s="385">
        <f>$AE201</f>
        <v>0</v>
      </c>
      <c r="AG201" s="385">
        <f t="shared" si="274"/>
        <v>0</v>
      </c>
      <c r="AH201" s="385">
        <f t="shared" si="274"/>
        <v>0</v>
      </c>
      <c r="AI201" s="185">
        <f t="shared" si="213"/>
        <v>74</v>
      </c>
      <c r="AJ201" s="185">
        <f t="shared" si="261"/>
        <v>433</v>
      </c>
      <c r="AK201" s="185">
        <f t="shared" si="262"/>
        <v>683</v>
      </c>
      <c r="AL201" s="185">
        <f t="shared" si="216"/>
        <v>1190</v>
      </c>
      <c r="AM201" s="173">
        <f t="shared" si="275"/>
        <v>84159</v>
      </c>
      <c r="AN201" s="173">
        <f t="shared" si="244"/>
        <v>0</v>
      </c>
      <c r="AO201" s="173">
        <f t="shared" si="245"/>
        <v>0</v>
      </c>
      <c r="AP201" s="173">
        <f t="shared" si="195"/>
        <v>0</v>
      </c>
      <c r="AQ201" s="173">
        <f t="shared" si="196"/>
        <v>0</v>
      </c>
      <c r="AR201" s="173">
        <f t="shared" si="197"/>
        <v>84159</v>
      </c>
      <c r="AS201" s="186" t="s">
        <v>1362</v>
      </c>
      <c r="AT201" s="300">
        <f t="shared" ref="AT201:AX210" si="277">IF(ISERROR(IF(ISERROR(MATCH(CONCATENATE($J201,"_",AT$1),COT_PRE_CODIGO_ALIMENTOS,0)),IF(ISERROR(MATCH(CONCATENATE($J201,"_",AT$2),COT_PRE_CODIGO_ALIMENTOS,0)),IF(ISERROR(MATCH(CONCATENATE($J201,"_",AT$3),COT_PRE_CODIGO_ALIMENTOS,0)),IF(ISERROR(MATCH(CONCATENATE($J201,"_",AT$4),COT_PRE_CODIGO_ALIMENTOS,0)),IF(ISERROR(MATCH(CONCATENATE($J201,"_",AT$5),COT_PRE_CODIGO_ALIMENTOS,0)),IF(ISERROR(MATCH(CONCATENATE($J201,"_",AT$6),COT_PRE_CODIGO_ALIMENTOS,0)),IF(ISERROR(MATCH(CONCATENATE($J201,"_",AT$7),COT_PRE_CODIGO_ALIMENTOS,0)),IF(ISERROR(VLOOKUP($J201,COT_PRE_ALIMENTOS,AT$8,FALSE)),"DATO NO DISPONIBLE",VLOOKUP($J201,COT_PRE_ALIMENTOS,AT$8,FALSE)),VLOOKUP(CONCATENATE($J201,"_",AT$7),COT_PRE_ALIMENTOS,AT$8,FALSE)),VLOOKUP(CONCATENATE($J201,"_",AT$6),COT_PRE_ALIMENTOS,AT$8,FALSE)),VLOOKUP(CONCATENATE($J201,"_",AT$5),COT_PRE_ALIMENTOS,AT$8,FALSE)),VLOOKUP(CONCATENATE($J201,"_",AT$4),COT_PRE_ALIMENTOS,AT$8,FALSE)),VLOOKUP(CONCATENATE($J201,"_",AT$3),COT_PRE_ALIMENTOS,AT$8,FALSE)),VLOOKUP(CONCATENATE($J201,"_",AT$2),COT_PRE_ALIMENTOS,AT$8,FALSE)),VLOOKUP(CONCATENATE($J201,"_",AT$1),COT_PRE_ALIMENTOS,AT$8,FALSE))),"DATO NO DISPONIBLE",IF(ISERROR(MATCH(CONCATENATE($J201,"_",AT$1),COT_PRE_CODIGO_ALIMENTOS,0)),IF(ISERROR(MATCH(CONCATENATE($J201,"_",AT$2),COT_PRE_CODIGO_ALIMENTOS,0)),IF(ISERROR(MATCH(CONCATENATE($J201,"_",AT$3),COT_PRE_CODIGO_ALIMENTOS,0)),IF(ISERROR(MATCH(CONCATENATE($J201,"_",AT$4),COT_PRE_CODIGO_ALIMENTOS,0)),IF(ISERROR(MATCH(CONCATENATE($J201,"_",AT$5),COT_PRE_CODIGO_ALIMENTOS,0)),IF(ISERROR(MATCH(CONCATENATE($J201,"_",AT$6),COT_PRE_CODIGO_ALIMENTOS,0)),IF(ISERROR(MATCH(CONCATENATE($J201,"_",AT$7),COT_PRE_CODIGO_ALIMENTOS,0)),IF(ISERROR(VLOOKUP($J201,COT_PRE_ALIMENTOS,AT$8,FALSE)),"DATO NO DISPONIBLE",VLOOKUP($J201,COT_PRE_ALIMENTOS,AT$8,FALSE)),VLOOKUP(CONCATENATE($J201,"_",AT$7),COT_PRE_ALIMENTOS,AT$8,FALSE)),VLOOKUP(CONCATENATE($J201,"_",AT$6),COT_PRE_ALIMENTOS,AT$8,FALSE)),VLOOKUP(CONCATENATE($J201,"_",AT$5),COT_PRE_ALIMENTOS,AT$8,FALSE)),VLOOKUP(CONCATENATE($J201,"_",AT$4),COT_PRE_ALIMENTOS,AT$8,FALSE)),VLOOKUP(CONCATENATE($J201,"_",AT$3),COT_PRE_ALIMENTOS,AT$8,FALSE)),VLOOKUP(CONCATENATE($J201,"_",AT$2),COT_PRE_ALIMENTOS,AT$8,FALSE)),VLOOKUP(CONCATENATE($J201,"_",AT$1),COT_PRE_ALIMENTOS,AT$8,FALSE)))</f>
        <v>3.7214999999999998</v>
      </c>
      <c r="AU201" s="300">
        <f t="shared" si="277"/>
        <v>3.7214999999999998</v>
      </c>
      <c r="AV201" s="300">
        <f t="shared" si="277"/>
        <v>3.7214999999999998</v>
      </c>
      <c r="AW201" s="300">
        <f t="shared" si="277"/>
        <v>3.7214999999999998</v>
      </c>
      <c r="AX201" s="300">
        <f t="shared" si="277"/>
        <v>3.7214999999999998</v>
      </c>
      <c r="AY201" s="301">
        <f t="shared" si="276"/>
        <v>3.7214999999999998</v>
      </c>
      <c r="AZ201" s="301">
        <f t="shared" si="276"/>
        <v>3.7214999999999998</v>
      </c>
      <c r="BA201" s="301">
        <f t="shared" si="276"/>
        <v>3.7214999999999998</v>
      </c>
      <c r="BB201" s="301">
        <f t="shared" si="276"/>
        <v>3.7214999999999998</v>
      </c>
      <c r="BC201" s="301">
        <f t="shared" si="276"/>
        <v>3.7214999999999998</v>
      </c>
      <c r="BD201" s="187">
        <f>ROUND(IF(OR(M201=0,AT201="DATO NO DISPONIBLE"),"",AT201*M201*($BD$7+1)),0)</f>
        <v>398</v>
      </c>
      <c r="BE201" s="187">
        <f t="shared" si="246"/>
        <v>398</v>
      </c>
      <c r="BF201" s="187">
        <f t="shared" si="247"/>
        <v>398</v>
      </c>
      <c r="BG201" s="187"/>
      <c r="BH201" s="187"/>
      <c r="BI201" s="187">
        <f>ROUND(IF(OR(M201=0,AY201="DATO NO DISPONIBLE"),0,AY201*M201*($BD$7+1)),0)</f>
        <v>398</v>
      </c>
      <c r="BJ201" s="187">
        <f t="shared" si="222"/>
        <v>398</v>
      </c>
      <c r="BK201" s="187">
        <f t="shared" si="223"/>
        <v>398</v>
      </c>
      <c r="BL201" s="187"/>
      <c r="BM201" s="187"/>
      <c r="BN201" s="188">
        <f>BD201*AM201</f>
        <v>33495282</v>
      </c>
      <c r="BO201" s="188">
        <f t="shared" si="224"/>
        <v>0</v>
      </c>
      <c r="BP201" s="188">
        <f t="shared" si="225"/>
        <v>0</v>
      </c>
      <c r="BQ201" s="188">
        <f t="shared" si="226"/>
        <v>0</v>
      </c>
      <c r="BR201" s="188">
        <f t="shared" si="227"/>
        <v>0</v>
      </c>
      <c r="BS201" s="188">
        <f t="shared" si="198"/>
        <v>33495282</v>
      </c>
      <c r="BT201" s="188">
        <f t="shared" si="199"/>
        <v>33495282</v>
      </c>
      <c r="BU201" s="188">
        <f t="shared" si="200"/>
        <v>0</v>
      </c>
      <c r="BV201" s="188">
        <f t="shared" si="201"/>
        <v>0</v>
      </c>
      <c r="BW201" s="188">
        <f t="shared" si="202"/>
        <v>0</v>
      </c>
      <c r="BX201" s="188">
        <f t="shared" si="203"/>
        <v>0</v>
      </c>
      <c r="BY201" s="188">
        <f t="shared" si="204"/>
        <v>33495282</v>
      </c>
      <c r="BZ201" s="305">
        <f>IF(COT_PRECALCULOS!$D$24="Precios Iva Incluído",BI201,BD201)</f>
        <v>398</v>
      </c>
      <c r="CA201" s="305">
        <f>IF(COT_PRECALCULOS!$D$24="Precios Iva Incluído",BJ201,BE201)</f>
        <v>398</v>
      </c>
      <c r="CB201" s="305">
        <f>IF(COT_PRECALCULOS!$D$24="Precios Iva Incluído",BK201,BF201)</f>
        <v>398</v>
      </c>
      <c r="CC201" s="305">
        <f>IF(COT_PRECALCULOS!$D$24="Precios Iva Incluído",BL201,BG201)</f>
        <v>0</v>
      </c>
      <c r="CD201" s="305">
        <f>IF(COT_PRECALCULOS!$D$24="Precios Iva Incluído",BM201,BH201)</f>
        <v>0</v>
      </c>
      <c r="CE201" s="305">
        <f>IF(COT_PRECALCULOS!$D$24="Precios Iva Incluído",BT201,BN201)</f>
        <v>33495282</v>
      </c>
      <c r="CF201" s="305">
        <f>IF(COT_PRECALCULOS!$D$24="Precios Iva Incluído",BU201,BO201)</f>
        <v>0</v>
      </c>
      <c r="CG201" s="305">
        <f>IF(COT_PRECALCULOS!$D$24="Precios Iva Incluído",BV201,BP201)</f>
        <v>0</v>
      </c>
      <c r="CH201" s="305">
        <f>IF(COT_PRECALCULOS!$D$24="Precios Iva Incluído",BW201,BQ201)</f>
        <v>0</v>
      </c>
      <c r="CI201" s="305">
        <f>IF(COT_PRECALCULOS!$D$24="Precios Iva Incluído",BX201,BR201)</f>
        <v>0</v>
      </c>
    </row>
    <row r="202" spans="1:87">
      <c r="A202" s="182" t="s">
        <v>102</v>
      </c>
      <c r="B202" s="182" t="s">
        <v>126</v>
      </c>
      <c r="C202" s="189" t="str">
        <f t="shared" si="193"/>
        <v>F_SE3</v>
      </c>
      <c r="D202" s="189" t="str">
        <f t="shared" si="194"/>
        <v>58_S_</v>
      </c>
      <c r="E202" s="190" t="s">
        <v>1</v>
      </c>
      <c r="F202" s="190" t="s">
        <v>1</v>
      </c>
      <c r="G202" s="189" t="s">
        <v>32</v>
      </c>
      <c r="H202" s="190"/>
      <c r="I202" s="190" t="s">
        <v>65</v>
      </c>
      <c r="J202" s="190">
        <v>58</v>
      </c>
      <c r="K202" s="190" t="s">
        <v>67</v>
      </c>
      <c r="L202" s="189" t="s">
        <v>9</v>
      </c>
      <c r="M202" s="211">
        <v>100</v>
      </c>
      <c r="N202" s="211">
        <v>100</v>
      </c>
      <c r="O202" s="211">
        <v>100</v>
      </c>
      <c r="P202" s="190"/>
      <c r="Q202" s="190"/>
      <c r="R202" s="190"/>
      <c r="S202" s="183">
        <f t="shared" ref="S202:S211" si="278">COUNTIF(CAL_SEGUNDA_ENTREGA_LAV_FRUTA,CONCATENATE(G202,"_",J202))</f>
        <v>6</v>
      </c>
      <c r="T202" s="385">
        <f>$S202</f>
        <v>6</v>
      </c>
      <c r="U202" s="385">
        <f t="shared" ref="U202:V211" si="279">$S202</f>
        <v>6</v>
      </c>
      <c r="V202" s="385">
        <f t="shared" si="279"/>
        <v>6</v>
      </c>
      <c r="W202" s="387"/>
      <c r="X202" s="387"/>
      <c r="Y202" s="184">
        <f t="shared" si="207"/>
        <v>28053</v>
      </c>
      <c r="Z202" s="184">
        <f t="shared" ref="Z202:Z211" si="280">IF(N202&lt;&gt;0,VLOOKUP(A202,FRE_CANTIDADES_DIARIAS_SUMINISTROS,5,FALSE),0)</f>
        <v>31277</v>
      </c>
      <c r="AA202" s="184">
        <f t="shared" ref="AA202:AA211" si="281">IF(O202&lt;&gt;0,VLOOKUP(A202,FRE_CANTIDADES_DIARIAS_SUMINISTROS,6,FALSE),0)</f>
        <v>46469</v>
      </c>
      <c r="AB202" s="184">
        <f t="shared" si="265"/>
        <v>0</v>
      </c>
      <c r="AC202" s="184">
        <f t="shared" si="266"/>
        <v>0</v>
      </c>
      <c r="AD202" s="184">
        <f t="shared" si="212"/>
        <v>105799</v>
      </c>
      <c r="AE202" s="183">
        <f t="shared" si="259"/>
        <v>0</v>
      </c>
      <c r="AF202" s="385">
        <f>$AE202</f>
        <v>0</v>
      </c>
      <c r="AG202" s="385">
        <f t="shared" si="274"/>
        <v>0</v>
      </c>
      <c r="AH202" s="385">
        <f t="shared" si="274"/>
        <v>0</v>
      </c>
      <c r="AI202" s="185">
        <f t="shared" si="213"/>
        <v>74</v>
      </c>
      <c r="AJ202" s="185">
        <f t="shared" si="261"/>
        <v>433</v>
      </c>
      <c r="AK202" s="185">
        <f t="shared" si="262"/>
        <v>683</v>
      </c>
      <c r="AL202" s="185">
        <f t="shared" si="216"/>
        <v>1190</v>
      </c>
      <c r="AM202" s="173">
        <f t="shared" si="275"/>
        <v>168318</v>
      </c>
      <c r="AN202" s="173">
        <f t="shared" si="244"/>
        <v>187662</v>
      </c>
      <c r="AO202" s="173">
        <f t="shared" si="245"/>
        <v>278814</v>
      </c>
      <c r="AP202" s="173">
        <f t="shared" si="195"/>
        <v>0</v>
      </c>
      <c r="AQ202" s="173">
        <f t="shared" si="196"/>
        <v>0</v>
      </c>
      <c r="AR202" s="173">
        <f t="shared" si="197"/>
        <v>634794</v>
      </c>
      <c r="AS202" s="186" t="s">
        <v>1362</v>
      </c>
      <c r="AT202" s="300">
        <f t="shared" si="277"/>
        <v>1.4384999999999999</v>
      </c>
      <c r="AU202" s="300">
        <f t="shared" si="277"/>
        <v>1.4384999999999999</v>
      </c>
      <c r="AV202" s="300">
        <f t="shared" si="277"/>
        <v>1.4384999999999999</v>
      </c>
      <c r="AW202" s="300">
        <f t="shared" si="277"/>
        <v>1.4384999999999999</v>
      </c>
      <c r="AX202" s="300">
        <f t="shared" si="277"/>
        <v>1.4384999999999999</v>
      </c>
      <c r="AY202" s="301">
        <f t="shared" si="276"/>
        <v>1.4384999999999999</v>
      </c>
      <c r="AZ202" s="301">
        <f t="shared" si="276"/>
        <v>1.4384999999999999</v>
      </c>
      <c r="BA202" s="301">
        <f t="shared" si="276"/>
        <v>1.4384999999999999</v>
      </c>
      <c r="BB202" s="301">
        <f t="shared" si="276"/>
        <v>1.4384999999999999</v>
      </c>
      <c r="BC202" s="301">
        <f t="shared" si="276"/>
        <v>1.4384999999999999</v>
      </c>
      <c r="BD202" s="187">
        <f>ROUND(IF(OR(M202=0,AT202="DATO NO DISPONIBLE"),"",AT202*M202*($BD$7+1)),0)</f>
        <v>154</v>
      </c>
      <c r="BE202" s="187">
        <f t="shared" si="246"/>
        <v>154</v>
      </c>
      <c r="BF202" s="187">
        <f t="shared" si="247"/>
        <v>154</v>
      </c>
      <c r="BG202" s="187"/>
      <c r="BH202" s="187"/>
      <c r="BI202" s="187">
        <f>ROUND(IF(OR(M202=0,AY202="DATO NO DISPONIBLE"),0,AY202*M202*($BD$7+1)),0)</f>
        <v>154</v>
      </c>
      <c r="BJ202" s="187">
        <f t="shared" si="222"/>
        <v>154</v>
      </c>
      <c r="BK202" s="187">
        <f t="shared" si="223"/>
        <v>154</v>
      </c>
      <c r="BL202" s="187"/>
      <c r="BM202" s="187"/>
      <c r="BN202" s="188">
        <f>BD202*AM202</f>
        <v>25920972</v>
      </c>
      <c r="BO202" s="188">
        <f t="shared" si="224"/>
        <v>28899948</v>
      </c>
      <c r="BP202" s="188">
        <f t="shared" si="225"/>
        <v>42937356</v>
      </c>
      <c r="BQ202" s="188">
        <f t="shared" si="226"/>
        <v>0</v>
      </c>
      <c r="BR202" s="188">
        <f t="shared" si="227"/>
        <v>0</v>
      </c>
      <c r="BS202" s="188">
        <f t="shared" si="198"/>
        <v>97758276</v>
      </c>
      <c r="BT202" s="188">
        <f t="shared" si="199"/>
        <v>25920972</v>
      </c>
      <c r="BU202" s="188">
        <f t="shared" si="200"/>
        <v>28899948</v>
      </c>
      <c r="BV202" s="188">
        <f t="shared" si="201"/>
        <v>42937356</v>
      </c>
      <c r="BW202" s="188">
        <f t="shared" si="202"/>
        <v>0</v>
      </c>
      <c r="BX202" s="188">
        <f t="shared" si="203"/>
        <v>0</v>
      </c>
      <c r="BY202" s="188">
        <f t="shared" si="204"/>
        <v>97758276</v>
      </c>
      <c r="BZ202" s="305">
        <f>IF(COT_PRECALCULOS!$D$24="Precios Iva Incluído",BI202,BD202)</f>
        <v>154</v>
      </c>
      <c r="CA202" s="305">
        <f>IF(COT_PRECALCULOS!$D$24="Precios Iva Incluído",BJ202,BE202)</f>
        <v>154</v>
      </c>
      <c r="CB202" s="305">
        <f>IF(COT_PRECALCULOS!$D$24="Precios Iva Incluído",BK202,BF202)</f>
        <v>154</v>
      </c>
      <c r="CC202" s="305">
        <f>IF(COT_PRECALCULOS!$D$24="Precios Iva Incluído",BL202,BG202)</f>
        <v>0</v>
      </c>
      <c r="CD202" s="305">
        <f>IF(COT_PRECALCULOS!$D$24="Precios Iva Incluído",BM202,BH202)</f>
        <v>0</v>
      </c>
      <c r="CE202" s="305">
        <f>IF(COT_PRECALCULOS!$D$24="Precios Iva Incluído",BT202,BN202)</f>
        <v>25920972</v>
      </c>
      <c r="CF202" s="305">
        <f>IF(COT_PRECALCULOS!$D$24="Precios Iva Incluído",BU202,BO202)</f>
        <v>28899948</v>
      </c>
      <c r="CG202" s="305">
        <f>IF(COT_PRECALCULOS!$D$24="Precios Iva Incluído",BV202,BP202)</f>
        <v>42937356</v>
      </c>
      <c r="CH202" s="305">
        <f>IF(COT_PRECALCULOS!$D$24="Precios Iva Incluído",BW202,BQ202)</f>
        <v>0</v>
      </c>
      <c r="CI202" s="305">
        <f>IF(COT_PRECALCULOS!$D$24="Precios Iva Incluído",BX202,BR202)</f>
        <v>0</v>
      </c>
    </row>
    <row r="203" spans="1:87">
      <c r="A203" s="182" t="s">
        <v>102</v>
      </c>
      <c r="B203" s="182" t="s">
        <v>126</v>
      </c>
      <c r="C203" s="189" t="str">
        <f t="shared" si="193"/>
        <v>F_SE3</v>
      </c>
      <c r="D203" s="189" t="str">
        <f t="shared" si="194"/>
        <v>59_S_</v>
      </c>
      <c r="E203" s="190" t="s">
        <v>1</v>
      </c>
      <c r="F203" s="190" t="s">
        <v>1</v>
      </c>
      <c r="G203" s="189" t="s">
        <v>32</v>
      </c>
      <c r="H203" s="190"/>
      <c r="I203" s="190" t="s">
        <v>66</v>
      </c>
      <c r="J203" s="190">
        <v>59</v>
      </c>
      <c r="K203" s="190" t="s">
        <v>99</v>
      </c>
      <c r="L203" s="189" t="s">
        <v>9</v>
      </c>
      <c r="M203" s="386">
        <v>0</v>
      </c>
      <c r="N203" s="211">
        <v>100</v>
      </c>
      <c r="O203" s="211">
        <v>100</v>
      </c>
      <c r="P203" s="190"/>
      <c r="Q203" s="190"/>
      <c r="R203" s="190" t="s">
        <v>73</v>
      </c>
      <c r="S203" s="183">
        <f t="shared" si="278"/>
        <v>0</v>
      </c>
      <c r="T203" s="386">
        <v>0</v>
      </c>
      <c r="U203" s="385">
        <f t="shared" si="279"/>
        <v>0</v>
      </c>
      <c r="V203" s="385">
        <f t="shared" si="279"/>
        <v>0</v>
      </c>
      <c r="W203" s="387"/>
      <c r="X203" s="387"/>
      <c r="Y203" s="184">
        <f t="shared" si="207"/>
        <v>0</v>
      </c>
      <c r="Z203" s="184">
        <f t="shared" si="280"/>
        <v>31277</v>
      </c>
      <c r="AA203" s="184">
        <f t="shared" si="281"/>
        <v>46469</v>
      </c>
      <c r="AB203" s="184">
        <f t="shared" si="265"/>
        <v>0</v>
      </c>
      <c r="AC203" s="184">
        <f t="shared" si="266"/>
        <v>0</v>
      </c>
      <c r="AD203" s="184">
        <f t="shared" si="212"/>
        <v>77746</v>
      </c>
      <c r="AE203" s="183">
        <f t="shared" si="259"/>
        <v>0</v>
      </c>
      <c r="AF203" s="386">
        <v>0</v>
      </c>
      <c r="AG203" s="385">
        <f t="shared" si="274"/>
        <v>0</v>
      </c>
      <c r="AH203" s="385">
        <f t="shared" si="274"/>
        <v>0</v>
      </c>
      <c r="AI203" s="185">
        <f t="shared" si="213"/>
        <v>0</v>
      </c>
      <c r="AJ203" s="185">
        <f t="shared" si="261"/>
        <v>433</v>
      </c>
      <c r="AK203" s="185">
        <f t="shared" si="262"/>
        <v>683</v>
      </c>
      <c r="AL203" s="185">
        <f t="shared" si="216"/>
        <v>1116</v>
      </c>
      <c r="AM203" s="173">
        <f t="shared" si="275"/>
        <v>0</v>
      </c>
      <c r="AN203" s="173">
        <f t="shared" si="244"/>
        <v>0</v>
      </c>
      <c r="AO203" s="173">
        <f t="shared" si="245"/>
        <v>0</v>
      </c>
      <c r="AP203" s="173">
        <f t="shared" si="195"/>
        <v>0</v>
      </c>
      <c r="AQ203" s="173">
        <f t="shared" si="196"/>
        <v>0</v>
      </c>
      <c r="AR203" s="173">
        <f t="shared" si="197"/>
        <v>0</v>
      </c>
      <c r="AS203" s="186" t="s">
        <v>1362</v>
      </c>
      <c r="AT203" s="300">
        <f t="shared" si="277"/>
        <v>2.6785000000000001</v>
      </c>
      <c r="AU203" s="300">
        <f t="shared" si="277"/>
        <v>2.6785000000000001</v>
      </c>
      <c r="AV203" s="300">
        <f t="shared" si="277"/>
        <v>2.6785000000000001</v>
      </c>
      <c r="AW203" s="300">
        <f t="shared" si="277"/>
        <v>2.6785000000000001</v>
      </c>
      <c r="AX203" s="300">
        <f t="shared" si="277"/>
        <v>2.6785000000000001</v>
      </c>
      <c r="AY203" s="301">
        <f t="shared" si="276"/>
        <v>2.6785000000000001</v>
      </c>
      <c r="AZ203" s="301">
        <f t="shared" si="276"/>
        <v>2.6785000000000001</v>
      </c>
      <c r="BA203" s="301">
        <f t="shared" si="276"/>
        <v>2.6785000000000001</v>
      </c>
      <c r="BB203" s="301">
        <f t="shared" si="276"/>
        <v>2.6785000000000001</v>
      </c>
      <c r="BC203" s="301">
        <f t="shared" si="276"/>
        <v>2.6785000000000001</v>
      </c>
      <c r="BD203" s="187"/>
      <c r="BE203" s="187">
        <f t="shared" si="246"/>
        <v>286</v>
      </c>
      <c r="BF203" s="187">
        <f t="shared" si="247"/>
        <v>286</v>
      </c>
      <c r="BG203" s="187"/>
      <c r="BH203" s="187"/>
      <c r="BI203" s="187"/>
      <c r="BJ203" s="187">
        <f t="shared" si="222"/>
        <v>286</v>
      </c>
      <c r="BK203" s="187">
        <f t="shared" si="223"/>
        <v>286</v>
      </c>
      <c r="BL203" s="187"/>
      <c r="BM203" s="187"/>
      <c r="BN203" s="188"/>
      <c r="BO203" s="188">
        <f t="shared" si="224"/>
        <v>0</v>
      </c>
      <c r="BP203" s="188">
        <f t="shared" si="225"/>
        <v>0</v>
      </c>
      <c r="BQ203" s="188">
        <f t="shared" si="226"/>
        <v>0</v>
      </c>
      <c r="BR203" s="188">
        <f t="shared" si="227"/>
        <v>0</v>
      </c>
      <c r="BS203" s="188">
        <f t="shared" si="198"/>
        <v>0</v>
      </c>
      <c r="BT203" s="188">
        <f t="shared" si="199"/>
        <v>0</v>
      </c>
      <c r="BU203" s="188">
        <f t="shared" si="200"/>
        <v>0</v>
      </c>
      <c r="BV203" s="188">
        <f t="shared" si="201"/>
        <v>0</v>
      </c>
      <c r="BW203" s="188">
        <f t="shared" si="202"/>
        <v>0</v>
      </c>
      <c r="BX203" s="188">
        <f t="shared" si="203"/>
        <v>0</v>
      </c>
      <c r="BY203" s="188">
        <f t="shared" si="204"/>
        <v>0</v>
      </c>
      <c r="BZ203" s="305">
        <f>IF(COT_PRECALCULOS!$D$24="Precios Iva Incluído",BI203,BD203)</f>
        <v>0</v>
      </c>
      <c r="CA203" s="305">
        <f>IF(COT_PRECALCULOS!$D$24="Precios Iva Incluído",BJ203,BE203)</f>
        <v>286</v>
      </c>
      <c r="CB203" s="305">
        <f>IF(COT_PRECALCULOS!$D$24="Precios Iva Incluído",BK203,BF203)</f>
        <v>286</v>
      </c>
      <c r="CC203" s="305">
        <f>IF(COT_PRECALCULOS!$D$24="Precios Iva Incluído",BL203,BG203)</f>
        <v>0</v>
      </c>
      <c r="CD203" s="305">
        <f>IF(COT_PRECALCULOS!$D$24="Precios Iva Incluído",BM203,BH203)</f>
        <v>0</v>
      </c>
      <c r="CE203" s="305">
        <f>IF(COT_PRECALCULOS!$D$24="Precios Iva Incluído",BT203,BN203)</f>
        <v>0</v>
      </c>
      <c r="CF203" s="305">
        <f>IF(COT_PRECALCULOS!$D$24="Precios Iva Incluído",BU203,BO203)</f>
        <v>0</v>
      </c>
      <c r="CG203" s="305">
        <f>IF(COT_PRECALCULOS!$D$24="Precios Iva Incluído",BV203,BP203)</f>
        <v>0</v>
      </c>
      <c r="CH203" s="305">
        <f>IF(COT_PRECALCULOS!$D$24="Precios Iva Incluído",BW203,BQ203)</f>
        <v>0</v>
      </c>
      <c r="CI203" s="305">
        <f>IF(COT_PRECALCULOS!$D$24="Precios Iva Incluído",BX203,BR203)</f>
        <v>0</v>
      </c>
    </row>
    <row r="204" spans="1:87">
      <c r="A204" s="182" t="s">
        <v>102</v>
      </c>
      <c r="B204" s="182" t="s">
        <v>126</v>
      </c>
      <c r="C204" s="189" t="str">
        <f t="shared" ref="C204:C267" si="282">CONCATENATE(MID(E204,1,1),"_",G204)</f>
        <v>F_SE3</v>
      </c>
      <c r="D204" s="189" t="str">
        <f t="shared" ref="D204:D267" si="283">CONCATENATE(J204,"_",A204)</f>
        <v>69_S_</v>
      </c>
      <c r="E204" s="190" t="s">
        <v>1</v>
      </c>
      <c r="F204" s="190" t="s">
        <v>1</v>
      </c>
      <c r="G204" s="189" t="s">
        <v>32</v>
      </c>
      <c r="H204" s="190"/>
      <c r="I204" s="190" t="s">
        <v>68</v>
      </c>
      <c r="J204" s="190">
        <v>69</v>
      </c>
      <c r="K204" s="190" t="s">
        <v>70</v>
      </c>
      <c r="L204" s="189" t="s">
        <v>9</v>
      </c>
      <c r="M204" s="211">
        <v>100</v>
      </c>
      <c r="N204" s="211">
        <v>100</v>
      </c>
      <c r="O204" s="211">
        <v>100</v>
      </c>
      <c r="P204" s="190"/>
      <c r="Q204" s="190"/>
      <c r="R204" s="190"/>
      <c r="S204" s="385">
        <f t="shared" si="278"/>
        <v>3</v>
      </c>
      <c r="T204" s="385">
        <f>$S204</f>
        <v>3</v>
      </c>
      <c r="U204" s="385">
        <f t="shared" si="279"/>
        <v>3</v>
      </c>
      <c r="V204" s="385">
        <f t="shared" si="279"/>
        <v>3</v>
      </c>
      <c r="W204" s="387"/>
      <c r="X204" s="387"/>
      <c r="Y204" s="184">
        <f t="shared" si="207"/>
        <v>28053</v>
      </c>
      <c r="Z204" s="184">
        <f t="shared" si="280"/>
        <v>31277</v>
      </c>
      <c r="AA204" s="184">
        <f t="shared" si="281"/>
        <v>46469</v>
      </c>
      <c r="AB204" s="184">
        <f t="shared" si="265"/>
        <v>0</v>
      </c>
      <c r="AC204" s="184">
        <f t="shared" si="266"/>
        <v>0</v>
      </c>
      <c r="AD204" s="184">
        <f t="shared" si="212"/>
        <v>105799</v>
      </c>
      <c r="AE204" s="183">
        <f t="shared" si="259"/>
        <v>0</v>
      </c>
      <c r="AF204" s="385">
        <f>$AE204</f>
        <v>0</v>
      </c>
      <c r="AG204" s="385">
        <f t="shared" si="274"/>
        <v>0</v>
      </c>
      <c r="AH204" s="385">
        <f t="shared" si="274"/>
        <v>0</v>
      </c>
      <c r="AI204" s="185">
        <f t="shared" si="213"/>
        <v>74</v>
      </c>
      <c r="AJ204" s="185">
        <f t="shared" si="261"/>
        <v>433</v>
      </c>
      <c r="AK204" s="185">
        <f t="shared" si="262"/>
        <v>683</v>
      </c>
      <c r="AL204" s="185">
        <f t="shared" si="216"/>
        <v>1190</v>
      </c>
      <c r="AM204" s="173">
        <f t="shared" si="275"/>
        <v>84159</v>
      </c>
      <c r="AN204" s="173">
        <f t="shared" si="244"/>
        <v>93831</v>
      </c>
      <c r="AO204" s="173">
        <f t="shared" si="245"/>
        <v>139407</v>
      </c>
      <c r="AP204" s="173">
        <f t="shared" ref="AP204:AP267" si="284">($S204*AB204)</f>
        <v>0</v>
      </c>
      <c r="AQ204" s="173">
        <f t="shared" ref="AQ204:AQ267" si="285">($S204*AC204)</f>
        <v>0</v>
      </c>
      <c r="AR204" s="173">
        <f t="shared" ref="AR204:AR267" si="286">AM204+AN204+AO204+AP204+AQ204</f>
        <v>317397</v>
      </c>
      <c r="AS204" s="186" t="s">
        <v>1362</v>
      </c>
      <c r="AT204" s="300">
        <f t="shared" si="277"/>
        <v>2.8519999999999999</v>
      </c>
      <c r="AU204" s="300">
        <f t="shared" si="277"/>
        <v>2.8519999999999999</v>
      </c>
      <c r="AV204" s="300">
        <f t="shared" si="277"/>
        <v>2.8519999999999999</v>
      </c>
      <c r="AW204" s="300">
        <f t="shared" si="277"/>
        <v>2.8519999999999999</v>
      </c>
      <c r="AX204" s="300">
        <f t="shared" si="277"/>
        <v>2.8519999999999999</v>
      </c>
      <c r="AY204" s="301">
        <f t="shared" si="276"/>
        <v>2.8519999999999999</v>
      </c>
      <c r="AZ204" s="301">
        <f t="shared" si="276"/>
        <v>2.8519999999999999</v>
      </c>
      <c r="BA204" s="301">
        <f t="shared" si="276"/>
        <v>2.8519999999999999</v>
      </c>
      <c r="BB204" s="301">
        <f t="shared" si="276"/>
        <v>2.8519999999999999</v>
      </c>
      <c r="BC204" s="301">
        <f t="shared" si="276"/>
        <v>2.8519999999999999</v>
      </c>
      <c r="BD204" s="187">
        <f>ROUND(IF(OR(M204=0,AT204="DATO NO DISPONIBLE"),"",AT204*M204*($BD$7+1)),0)</f>
        <v>305</v>
      </c>
      <c r="BE204" s="187">
        <f t="shared" si="246"/>
        <v>305</v>
      </c>
      <c r="BF204" s="187">
        <f t="shared" si="247"/>
        <v>305</v>
      </c>
      <c r="BG204" s="187"/>
      <c r="BH204" s="187"/>
      <c r="BI204" s="187">
        <f>ROUND(IF(OR(M204=0,AY204="DATO NO DISPONIBLE"),0,AY204*M204*($BD$7+1)),0)</f>
        <v>305</v>
      </c>
      <c r="BJ204" s="187">
        <f t="shared" si="222"/>
        <v>305</v>
      </c>
      <c r="BK204" s="187">
        <f t="shared" si="223"/>
        <v>305</v>
      </c>
      <c r="BL204" s="187"/>
      <c r="BM204" s="187"/>
      <c r="BN204" s="188">
        <f>BD204*AM204</f>
        <v>25668495</v>
      </c>
      <c r="BO204" s="188">
        <f t="shared" si="224"/>
        <v>28618455</v>
      </c>
      <c r="BP204" s="188">
        <f t="shared" si="225"/>
        <v>42519135</v>
      </c>
      <c r="BQ204" s="188">
        <f t="shared" si="226"/>
        <v>0</v>
      </c>
      <c r="BR204" s="188">
        <f t="shared" si="227"/>
        <v>0</v>
      </c>
      <c r="BS204" s="188">
        <f t="shared" ref="BS204:BS267" si="287">SUM(BN204:BR204)</f>
        <v>96806085</v>
      </c>
      <c r="BT204" s="188">
        <f t="shared" ref="BT204:BT267" si="288">BI204*AM204</f>
        <v>25668495</v>
      </c>
      <c r="BU204" s="188">
        <f t="shared" ref="BU204:BU267" si="289">BJ204*AN204</f>
        <v>28618455</v>
      </c>
      <c r="BV204" s="188">
        <f t="shared" ref="BV204:BV267" si="290">BK204*AO204</f>
        <v>42519135</v>
      </c>
      <c r="BW204" s="188">
        <f t="shared" ref="BW204:BW267" si="291">BL204*AP204</f>
        <v>0</v>
      </c>
      <c r="BX204" s="188">
        <f t="shared" ref="BX204:BX267" si="292">BM204*AQ204</f>
        <v>0</v>
      </c>
      <c r="BY204" s="188">
        <f t="shared" ref="BY204:BY267" si="293">SUM(BT204:BX204)</f>
        <v>96806085</v>
      </c>
      <c r="BZ204" s="305">
        <f>IF(COT_PRECALCULOS!$D$24="Precios Iva Incluído",BI204,BD204)</f>
        <v>305</v>
      </c>
      <c r="CA204" s="305">
        <f>IF(COT_PRECALCULOS!$D$24="Precios Iva Incluído",BJ204,BE204)</f>
        <v>305</v>
      </c>
      <c r="CB204" s="305">
        <f>IF(COT_PRECALCULOS!$D$24="Precios Iva Incluído",BK204,BF204)</f>
        <v>305</v>
      </c>
      <c r="CC204" s="305">
        <f>IF(COT_PRECALCULOS!$D$24="Precios Iva Incluído",BL204,BG204)</f>
        <v>0</v>
      </c>
      <c r="CD204" s="305">
        <f>IF(COT_PRECALCULOS!$D$24="Precios Iva Incluído",BM204,BH204)</f>
        <v>0</v>
      </c>
      <c r="CE204" s="305">
        <f>IF(COT_PRECALCULOS!$D$24="Precios Iva Incluído",BT204,BN204)</f>
        <v>25668495</v>
      </c>
      <c r="CF204" s="305">
        <f>IF(COT_PRECALCULOS!$D$24="Precios Iva Incluído",BU204,BO204)</f>
        <v>28618455</v>
      </c>
      <c r="CG204" s="305">
        <f>IF(COT_PRECALCULOS!$D$24="Precios Iva Incluído",BV204,BP204)</f>
        <v>42519135</v>
      </c>
      <c r="CH204" s="305">
        <f>IF(COT_PRECALCULOS!$D$24="Precios Iva Incluído",BW204,BQ204)</f>
        <v>0</v>
      </c>
      <c r="CI204" s="305">
        <f>IF(COT_PRECALCULOS!$D$24="Precios Iva Incluído",BX204,BR204)</f>
        <v>0</v>
      </c>
    </row>
    <row r="205" spans="1:87">
      <c r="A205" s="182" t="s">
        <v>102</v>
      </c>
      <c r="B205" s="182" t="s">
        <v>126</v>
      </c>
      <c r="C205" s="189" t="str">
        <f t="shared" si="282"/>
        <v>F_SE3</v>
      </c>
      <c r="D205" s="189" t="str">
        <f t="shared" si="283"/>
        <v>70_S_</v>
      </c>
      <c r="E205" s="190" t="s">
        <v>1</v>
      </c>
      <c r="F205" s="190" t="s">
        <v>1</v>
      </c>
      <c r="G205" s="189" t="s">
        <v>32</v>
      </c>
      <c r="H205" s="190"/>
      <c r="I205" s="190" t="s">
        <v>69</v>
      </c>
      <c r="J205" s="190">
        <v>70</v>
      </c>
      <c r="K205" s="190" t="s">
        <v>71</v>
      </c>
      <c r="L205" s="189" t="s">
        <v>9</v>
      </c>
      <c r="M205" s="386">
        <v>0</v>
      </c>
      <c r="N205" s="211">
        <v>100</v>
      </c>
      <c r="O205" s="211">
        <v>100</v>
      </c>
      <c r="P205" s="190"/>
      <c r="Q205" s="190"/>
      <c r="R205" s="190" t="s">
        <v>73</v>
      </c>
      <c r="S205" s="183">
        <f t="shared" si="278"/>
        <v>1</v>
      </c>
      <c r="T205" s="386">
        <v>0</v>
      </c>
      <c r="U205" s="385">
        <f t="shared" si="279"/>
        <v>1</v>
      </c>
      <c r="V205" s="385">
        <f t="shared" si="279"/>
        <v>1</v>
      </c>
      <c r="W205" s="387"/>
      <c r="X205" s="387"/>
      <c r="Y205" s="184">
        <f t="shared" ref="Y205:Y268" si="294">IF(M205&lt;&gt;0,VLOOKUP(A205,FRE_CANTIDADES_DIARIAS_SUMINISTROS,4,FALSE),0)</f>
        <v>0</v>
      </c>
      <c r="Z205" s="184">
        <f t="shared" si="280"/>
        <v>31277</v>
      </c>
      <c r="AA205" s="184">
        <f t="shared" si="281"/>
        <v>46469</v>
      </c>
      <c r="AB205" s="184">
        <f t="shared" si="265"/>
        <v>0</v>
      </c>
      <c r="AC205" s="184">
        <f t="shared" si="266"/>
        <v>0</v>
      </c>
      <c r="AD205" s="184">
        <f t="shared" ref="AD205:AD268" si="295">SUM(Y205:AC205)</f>
        <v>77746</v>
      </c>
      <c r="AE205" s="183">
        <f t="shared" si="259"/>
        <v>0</v>
      </c>
      <c r="AF205" s="386">
        <v>0</v>
      </c>
      <c r="AG205" s="385">
        <f t="shared" si="274"/>
        <v>0</v>
      </c>
      <c r="AH205" s="385">
        <f t="shared" si="274"/>
        <v>0</v>
      </c>
      <c r="AI205" s="185">
        <f t="shared" ref="AI205:AI268" si="296">IF(OR(B205="NA",M205=0),0,VLOOKUP(B205,FRE_CANTIDADES_DIARIAS_SUMINISTROS,4,FALSE))</f>
        <v>0</v>
      </c>
      <c r="AJ205" s="185">
        <f t="shared" si="261"/>
        <v>433</v>
      </c>
      <c r="AK205" s="185">
        <f t="shared" si="262"/>
        <v>683</v>
      </c>
      <c r="AL205" s="185">
        <f t="shared" ref="AL205:AL268" si="297">AI205+AJ205+AK205</f>
        <v>1116</v>
      </c>
      <c r="AM205" s="173">
        <v>0</v>
      </c>
      <c r="AN205" s="173">
        <f t="shared" si="244"/>
        <v>31277</v>
      </c>
      <c r="AO205" s="173">
        <f t="shared" si="245"/>
        <v>46469</v>
      </c>
      <c r="AP205" s="173">
        <f t="shared" si="284"/>
        <v>0</v>
      </c>
      <c r="AQ205" s="173">
        <f t="shared" si="285"/>
        <v>0</v>
      </c>
      <c r="AR205" s="173">
        <f t="shared" si="286"/>
        <v>77746</v>
      </c>
      <c r="AS205" s="186" t="s">
        <v>1362</v>
      </c>
      <c r="AT205" s="300">
        <f t="shared" si="277"/>
        <v>4.0575000000000001</v>
      </c>
      <c r="AU205" s="300">
        <f t="shared" si="277"/>
        <v>4.0575000000000001</v>
      </c>
      <c r="AV205" s="300">
        <f t="shared" si="277"/>
        <v>4.0575000000000001</v>
      </c>
      <c r="AW205" s="300">
        <f t="shared" si="277"/>
        <v>4.0575000000000001</v>
      </c>
      <c r="AX205" s="300">
        <f t="shared" si="277"/>
        <v>4.0575000000000001</v>
      </c>
      <c r="AY205" s="301">
        <f t="shared" si="276"/>
        <v>4.0575000000000001</v>
      </c>
      <c r="AZ205" s="301">
        <f t="shared" si="276"/>
        <v>4.0575000000000001</v>
      </c>
      <c r="BA205" s="301">
        <f t="shared" si="276"/>
        <v>4.0575000000000001</v>
      </c>
      <c r="BB205" s="301">
        <f t="shared" si="276"/>
        <v>4.0575000000000001</v>
      </c>
      <c r="BC205" s="301">
        <f t="shared" si="276"/>
        <v>4.0575000000000001</v>
      </c>
      <c r="BD205" s="187"/>
      <c r="BE205" s="187">
        <f t="shared" si="246"/>
        <v>434</v>
      </c>
      <c r="BF205" s="187">
        <f t="shared" si="247"/>
        <v>434</v>
      </c>
      <c r="BG205" s="187"/>
      <c r="BH205" s="187"/>
      <c r="BI205" s="187"/>
      <c r="BJ205" s="187">
        <f t="shared" si="222"/>
        <v>434</v>
      </c>
      <c r="BK205" s="187">
        <f t="shared" si="223"/>
        <v>434</v>
      </c>
      <c r="BL205" s="187"/>
      <c r="BM205" s="187"/>
      <c r="BN205" s="188"/>
      <c r="BO205" s="188">
        <f t="shared" si="224"/>
        <v>13574218</v>
      </c>
      <c r="BP205" s="188">
        <f t="shared" si="225"/>
        <v>20167546</v>
      </c>
      <c r="BQ205" s="188">
        <f t="shared" si="226"/>
        <v>0</v>
      </c>
      <c r="BR205" s="188">
        <f t="shared" si="227"/>
        <v>0</v>
      </c>
      <c r="BS205" s="188">
        <f t="shared" si="287"/>
        <v>33741764</v>
      </c>
      <c r="BT205" s="188">
        <f t="shared" si="288"/>
        <v>0</v>
      </c>
      <c r="BU205" s="188">
        <f t="shared" si="289"/>
        <v>13574218</v>
      </c>
      <c r="BV205" s="188">
        <f t="shared" si="290"/>
        <v>20167546</v>
      </c>
      <c r="BW205" s="188">
        <f t="shared" si="291"/>
        <v>0</v>
      </c>
      <c r="BX205" s="188">
        <f t="shared" si="292"/>
        <v>0</v>
      </c>
      <c r="BY205" s="188">
        <f t="shared" si="293"/>
        <v>33741764</v>
      </c>
      <c r="BZ205" s="305">
        <f>IF(COT_PRECALCULOS!$D$24="Precios Iva Incluído",BI205,BD205)</f>
        <v>0</v>
      </c>
      <c r="CA205" s="305">
        <f>IF(COT_PRECALCULOS!$D$24="Precios Iva Incluído",BJ205,BE205)</f>
        <v>434</v>
      </c>
      <c r="CB205" s="305">
        <f>IF(COT_PRECALCULOS!$D$24="Precios Iva Incluído",BK205,BF205)</f>
        <v>434</v>
      </c>
      <c r="CC205" s="305">
        <f>IF(COT_PRECALCULOS!$D$24="Precios Iva Incluído",BL205,BG205)</f>
        <v>0</v>
      </c>
      <c r="CD205" s="305">
        <f>IF(COT_PRECALCULOS!$D$24="Precios Iva Incluído",BM205,BH205)</f>
        <v>0</v>
      </c>
      <c r="CE205" s="305">
        <f>IF(COT_PRECALCULOS!$D$24="Precios Iva Incluído",BT205,BN205)</f>
        <v>0</v>
      </c>
      <c r="CF205" s="305">
        <f>IF(COT_PRECALCULOS!$D$24="Precios Iva Incluído",BU205,BO205)</f>
        <v>13574218</v>
      </c>
      <c r="CG205" s="305">
        <f>IF(COT_PRECALCULOS!$D$24="Precios Iva Incluído",BV205,BP205)</f>
        <v>20167546</v>
      </c>
      <c r="CH205" s="305">
        <f>IF(COT_PRECALCULOS!$D$24="Precios Iva Incluído",BW205,BQ205)</f>
        <v>0</v>
      </c>
      <c r="CI205" s="305">
        <f>IF(COT_PRECALCULOS!$D$24="Precios Iva Incluído",BX205,BR205)</f>
        <v>0</v>
      </c>
    </row>
    <row r="206" spans="1:87">
      <c r="A206" s="182" t="s">
        <v>102</v>
      </c>
      <c r="B206" s="182" t="s">
        <v>126</v>
      </c>
      <c r="C206" s="189" t="str">
        <f t="shared" si="282"/>
        <v>F_SE3</v>
      </c>
      <c r="D206" s="189" t="str">
        <f t="shared" si="283"/>
        <v>36_S_</v>
      </c>
      <c r="E206" s="190" t="s">
        <v>1</v>
      </c>
      <c r="F206" s="190" t="s">
        <v>1</v>
      </c>
      <c r="G206" s="189" t="s">
        <v>32</v>
      </c>
      <c r="H206" s="190"/>
      <c r="I206" s="190" t="s">
        <v>1340</v>
      </c>
      <c r="J206" s="190">
        <v>36</v>
      </c>
      <c r="K206" s="190" t="s">
        <v>1340</v>
      </c>
      <c r="L206" s="189" t="s">
        <v>9</v>
      </c>
      <c r="M206" s="211">
        <v>20</v>
      </c>
      <c r="N206" s="211">
        <v>40</v>
      </c>
      <c r="O206" s="211">
        <v>40</v>
      </c>
      <c r="P206" s="190"/>
      <c r="Q206" s="190"/>
      <c r="R206" s="190"/>
      <c r="S206" s="183">
        <f t="shared" si="278"/>
        <v>0</v>
      </c>
      <c r="T206" s="385">
        <f>$S206</f>
        <v>0</v>
      </c>
      <c r="U206" s="385">
        <f t="shared" si="279"/>
        <v>0</v>
      </c>
      <c r="V206" s="385">
        <f t="shared" si="279"/>
        <v>0</v>
      </c>
      <c r="W206" s="387"/>
      <c r="X206" s="387"/>
      <c r="Y206" s="184">
        <f t="shared" si="294"/>
        <v>28053</v>
      </c>
      <c r="Z206" s="184">
        <f t="shared" si="280"/>
        <v>31277</v>
      </c>
      <c r="AA206" s="184">
        <f t="shared" si="281"/>
        <v>46469</v>
      </c>
      <c r="AB206" s="184">
        <f t="shared" si="265"/>
        <v>0</v>
      </c>
      <c r="AC206" s="184">
        <f t="shared" si="266"/>
        <v>0</v>
      </c>
      <c r="AD206" s="184">
        <f t="shared" si="295"/>
        <v>105799</v>
      </c>
      <c r="AE206" s="183">
        <f t="shared" si="259"/>
        <v>0</v>
      </c>
      <c r="AF206" s="385">
        <f>$AE206</f>
        <v>0</v>
      </c>
      <c r="AG206" s="385">
        <f t="shared" si="274"/>
        <v>0</v>
      </c>
      <c r="AH206" s="385">
        <f t="shared" si="274"/>
        <v>0</v>
      </c>
      <c r="AI206" s="185">
        <f t="shared" si="296"/>
        <v>74</v>
      </c>
      <c r="AJ206" s="185">
        <f t="shared" si="261"/>
        <v>433</v>
      </c>
      <c r="AK206" s="185">
        <f t="shared" si="262"/>
        <v>683</v>
      </c>
      <c r="AL206" s="185">
        <f t="shared" si="297"/>
        <v>1190</v>
      </c>
      <c r="AM206" s="173">
        <f>($S206*Y206)+($AE206*AI206)</f>
        <v>0</v>
      </c>
      <c r="AN206" s="173">
        <f t="shared" si="244"/>
        <v>0</v>
      </c>
      <c r="AO206" s="173">
        <f t="shared" si="245"/>
        <v>0</v>
      </c>
      <c r="AP206" s="173">
        <f t="shared" si="284"/>
        <v>0</v>
      </c>
      <c r="AQ206" s="173">
        <f t="shared" si="285"/>
        <v>0</v>
      </c>
      <c r="AR206" s="173">
        <f t="shared" si="286"/>
        <v>0</v>
      </c>
      <c r="AS206" s="186" t="s">
        <v>1362</v>
      </c>
      <c r="AT206" s="300">
        <f t="shared" si="277"/>
        <v>5.9</v>
      </c>
      <c r="AU206" s="300">
        <f t="shared" si="277"/>
        <v>5.9</v>
      </c>
      <c r="AV206" s="300">
        <f t="shared" si="277"/>
        <v>5.9</v>
      </c>
      <c r="AW206" s="300">
        <f t="shared" si="277"/>
        <v>5.9</v>
      </c>
      <c r="AX206" s="300">
        <f t="shared" si="277"/>
        <v>5.9</v>
      </c>
      <c r="AY206" s="301">
        <f t="shared" si="276"/>
        <v>5.9</v>
      </c>
      <c r="AZ206" s="301">
        <f t="shared" si="276"/>
        <v>5.9</v>
      </c>
      <c r="BA206" s="301">
        <f t="shared" si="276"/>
        <v>5.9</v>
      </c>
      <c r="BB206" s="301">
        <f t="shared" si="276"/>
        <v>5.9</v>
      </c>
      <c r="BC206" s="301">
        <f t="shared" si="276"/>
        <v>5.9</v>
      </c>
      <c r="BD206" s="187">
        <f>ROUND(IF(OR(M206=0,AT206="DATO NO DISPONIBLE"),"",AT206*M206*($BD$7+1)),0)</f>
        <v>126</v>
      </c>
      <c r="BE206" s="187">
        <f t="shared" si="246"/>
        <v>252</v>
      </c>
      <c r="BF206" s="187">
        <f t="shared" si="247"/>
        <v>252</v>
      </c>
      <c r="BG206" s="187"/>
      <c r="BH206" s="187"/>
      <c r="BI206" s="187">
        <f>ROUND(IF(OR(M206=0,AY206="DATO NO DISPONIBLE"),0,AY206*M206*($BD$7+1)),0)</f>
        <v>126</v>
      </c>
      <c r="BJ206" s="187">
        <f t="shared" si="222"/>
        <v>252</v>
      </c>
      <c r="BK206" s="187">
        <f t="shared" si="223"/>
        <v>252</v>
      </c>
      <c r="BL206" s="187"/>
      <c r="BM206" s="187"/>
      <c r="BN206" s="188">
        <f>BD206*AM206</f>
        <v>0</v>
      </c>
      <c r="BO206" s="188">
        <f t="shared" si="224"/>
        <v>0</v>
      </c>
      <c r="BP206" s="188">
        <f t="shared" si="225"/>
        <v>0</v>
      </c>
      <c r="BQ206" s="188">
        <f t="shared" si="226"/>
        <v>0</v>
      </c>
      <c r="BR206" s="188">
        <f t="shared" si="227"/>
        <v>0</v>
      </c>
      <c r="BS206" s="188">
        <f t="shared" si="287"/>
        <v>0</v>
      </c>
      <c r="BT206" s="188">
        <f t="shared" si="288"/>
        <v>0</v>
      </c>
      <c r="BU206" s="188">
        <f t="shared" si="289"/>
        <v>0</v>
      </c>
      <c r="BV206" s="188">
        <f t="shared" si="290"/>
        <v>0</v>
      </c>
      <c r="BW206" s="188">
        <f t="shared" si="291"/>
        <v>0</v>
      </c>
      <c r="BX206" s="188">
        <f t="shared" si="292"/>
        <v>0</v>
      </c>
      <c r="BY206" s="188">
        <f t="shared" si="293"/>
        <v>0</v>
      </c>
      <c r="BZ206" s="305">
        <f>IF(COT_PRECALCULOS!$D$24="Precios Iva Incluído",BI206,BD206)</f>
        <v>126</v>
      </c>
      <c r="CA206" s="305">
        <f>IF(COT_PRECALCULOS!$D$24="Precios Iva Incluído",BJ206,BE206)</f>
        <v>252</v>
      </c>
      <c r="CB206" s="305">
        <f>IF(COT_PRECALCULOS!$D$24="Precios Iva Incluído",BK206,BF206)</f>
        <v>252</v>
      </c>
      <c r="CC206" s="305">
        <f>IF(COT_PRECALCULOS!$D$24="Precios Iva Incluído",BL206,BG206)</f>
        <v>0</v>
      </c>
      <c r="CD206" s="305">
        <f>IF(COT_PRECALCULOS!$D$24="Precios Iva Incluído",BM206,BH206)</f>
        <v>0</v>
      </c>
      <c r="CE206" s="305">
        <f>IF(COT_PRECALCULOS!$D$24="Precios Iva Incluído",BT206,BN206)</f>
        <v>0</v>
      </c>
      <c r="CF206" s="305">
        <f>IF(COT_PRECALCULOS!$D$24="Precios Iva Incluído",BU206,BO206)</f>
        <v>0</v>
      </c>
      <c r="CG206" s="305">
        <f>IF(COT_PRECALCULOS!$D$24="Precios Iva Incluído",BV206,BP206)</f>
        <v>0</v>
      </c>
      <c r="CH206" s="305">
        <f>IF(COT_PRECALCULOS!$D$24="Precios Iva Incluído",BW206,BQ206)</f>
        <v>0</v>
      </c>
      <c r="CI206" s="305">
        <f>IF(COT_PRECALCULOS!$D$24="Precios Iva Incluído",BX206,BR206)</f>
        <v>0</v>
      </c>
    </row>
    <row r="207" spans="1:87">
      <c r="A207" s="182" t="s">
        <v>102</v>
      </c>
      <c r="B207" s="182" t="s">
        <v>126</v>
      </c>
      <c r="C207" s="189" t="str">
        <f t="shared" si="282"/>
        <v>F_SE4</v>
      </c>
      <c r="D207" s="189" t="str">
        <f t="shared" si="283"/>
        <v>8_S_</v>
      </c>
      <c r="E207" s="190" t="s">
        <v>1</v>
      </c>
      <c r="F207" s="190" t="s">
        <v>1</v>
      </c>
      <c r="G207" s="189" t="s">
        <v>33</v>
      </c>
      <c r="H207" s="190" t="s">
        <v>2</v>
      </c>
      <c r="I207" s="190" t="s">
        <v>54</v>
      </c>
      <c r="J207" s="190">
        <v>8</v>
      </c>
      <c r="K207" s="190" t="s">
        <v>55</v>
      </c>
      <c r="L207" s="189" t="s">
        <v>9</v>
      </c>
      <c r="M207" s="211">
        <v>100</v>
      </c>
      <c r="N207" s="211">
        <v>100</v>
      </c>
      <c r="O207" s="211">
        <v>100</v>
      </c>
      <c r="P207" s="190"/>
      <c r="Q207" s="190"/>
      <c r="R207" s="190"/>
      <c r="S207" s="183">
        <f t="shared" si="278"/>
        <v>1</v>
      </c>
      <c r="T207" s="385">
        <f>$S207</f>
        <v>1</v>
      </c>
      <c r="U207" s="385">
        <f t="shared" si="279"/>
        <v>1</v>
      </c>
      <c r="V207" s="385">
        <f t="shared" si="279"/>
        <v>1</v>
      </c>
      <c r="W207" s="387"/>
      <c r="X207" s="387"/>
      <c r="Y207" s="184">
        <f t="shared" si="294"/>
        <v>28053</v>
      </c>
      <c r="Z207" s="184">
        <f t="shared" si="280"/>
        <v>31277</v>
      </c>
      <c r="AA207" s="184">
        <f t="shared" si="281"/>
        <v>46469</v>
      </c>
      <c r="AB207" s="184">
        <f t="shared" si="265"/>
        <v>0</v>
      </c>
      <c r="AC207" s="184">
        <f t="shared" si="266"/>
        <v>0</v>
      </c>
      <c r="AD207" s="184">
        <f t="shared" si="295"/>
        <v>105799</v>
      </c>
      <c r="AE207" s="183">
        <f t="shared" si="259"/>
        <v>0</v>
      </c>
      <c r="AF207" s="385">
        <f>$AE207</f>
        <v>0</v>
      </c>
      <c r="AG207" s="385">
        <f t="shared" si="274"/>
        <v>0</v>
      </c>
      <c r="AH207" s="385">
        <f t="shared" si="274"/>
        <v>0</v>
      </c>
      <c r="AI207" s="185">
        <f t="shared" si="296"/>
        <v>74</v>
      </c>
      <c r="AJ207" s="185">
        <f t="shared" si="261"/>
        <v>433</v>
      </c>
      <c r="AK207" s="185">
        <f t="shared" si="262"/>
        <v>683</v>
      </c>
      <c r="AL207" s="185">
        <f t="shared" si="297"/>
        <v>1190</v>
      </c>
      <c r="AM207" s="173">
        <f>($S207*Y207)+($AE207*AI207)</f>
        <v>28053</v>
      </c>
      <c r="AN207" s="173">
        <f t="shared" si="244"/>
        <v>31277</v>
      </c>
      <c r="AO207" s="173">
        <f t="shared" si="245"/>
        <v>46469</v>
      </c>
      <c r="AP207" s="173">
        <f t="shared" si="284"/>
        <v>0</v>
      </c>
      <c r="AQ207" s="173">
        <f t="shared" si="285"/>
        <v>0</v>
      </c>
      <c r="AR207" s="173">
        <f t="shared" si="286"/>
        <v>105799</v>
      </c>
      <c r="AS207" s="186" t="s">
        <v>1363</v>
      </c>
      <c r="AT207" s="300">
        <f t="shared" si="277"/>
        <v>1.25</v>
      </c>
      <c r="AU207" s="300">
        <f t="shared" si="277"/>
        <v>1.25</v>
      </c>
      <c r="AV207" s="300">
        <f t="shared" si="277"/>
        <v>1.25</v>
      </c>
      <c r="AW207" s="300">
        <f t="shared" si="277"/>
        <v>1.25</v>
      </c>
      <c r="AX207" s="300">
        <f t="shared" si="277"/>
        <v>1.25</v>
      </c>
      <c r="AY207" s="301">
        <f t="shared" si="276"/>
        <v>1.25</v>
      </c>
      <c r="AZ207" s="301">
        <f t="shared" si="276"/>
        <v>1.25</v>
      </c>
      <c r="BA207" s="301">
        <f t="shared" si="276"/>
        <v>1.25</v>
      </c>
      <c r="BB207" s="301">
        <f t="shared" si="276"/>
        <v>1.25</v>
      </c>
      <c r="BC207" s="301">
        <f t="shared" si="276"/>
        <v>1.25</v>
      </c>
      <c r="BD207" s="187">
        <f>ROUND(IF(OR(M207=0,AT207="DATO NO DISPONIBLE"),"",AT207*M207*($BD$7+1)),0)</f>
        <v>134</v>
      </c>
      <c r="BE207" s="187">
        <f t="shared" si="246"/>
        <v>134</v>
      </c>
      <c r="BF207" s="187">
        <f t="shared" si="247"/>
        <v>134</v>
      </c>
      <c r="BG207" s="187"/>
      <c r="BH207" s="187"/>
      <c r="BI207" s="187">
        <f>ROUND(IF(OR(M207=0,AY207="DATO NO DISPONIBLE"),0,AY207*M207*($BD$7+1)),0)</f>
        <v>134</v>
      </c>
      <c r="BJ207" s="187">
        <f t="shared" ref="BJ207:BJ270" si="298">ROUND(IF(OR(N207=0,AZ207="DATO NO DISPONIBLE"),0,AZ207*N207*($BD$7+1)),0)</f>
        <v>134</v>
      </c>
      <c r="BK207" s="187">
        <f t="shared" ref="BK207:BK270" si="299">ROUND(IF(OR(O207=0,BA207="DATO NO DISPONIBLE"),0,BA207*O207*($BD$7+1)),0)</f>
        <v>134</v>
      </c>
      <c r="BL207" s="187"/>
      <c r="BM207" s="187"/>
      <c r="BN207" s="188">
        <f>BD207*AM207</f>
        <v>3759102</v>
      </c>
      <c r="BO207" s="188">
        <f t="shared" ref="BO207:BO270" si="300">BE207*AN207</f>
        <v>4191118</v>
      </c>
      <c r="BP207" s="188">
        <f t="shared" ref="BP207:BP270" si="301">BF207*AO207</f>
        <v>6226846</v>
      </c>
      <c r="BQ207" s="188">
        <f t="shared" ref="BQ207:BQ270" si="302">BG207*AP207</f>
        <v>0</v>
      </c>
      <c r="BR207" s="188">
        <f t="shared" ref="BR207:BR270" si="303">BH207*AQ207</f>
        <v>0</v>
      </c>
      <c r="BS207" s="188">
        <f t="shared" si="287"/>
        <v>14177066</v>
      </c>
      <c r="BT207" s="188">
        <f t="shared" si="288"/>
        <v>3759102</v>
      </c>
      <c r="BU207" s="188">
        <f t="shared" si="289"/>
        <v>4191118</v>
      </c>
      <c r="BV207" s="188">
        <f t="shared" si="290"/>
        <v>6226846</v>
      </c>
      <c r="BW207" s="188">
        <f t="shared" si="291"/>
        <v>0</v>
      </c>
      <c r="BX207" s="188">
        <f t="shared" si="292"/>
        <v>0</v>
      </c>
      <c r="BY207" s="188">
        <f t="shared" si="293"/>
        <v>14177066</v>
      </c>
      <c r="BZ207" s="305">
        <f>IF(COT_PRECALCULOS!$D$24="Precios Iva Incluído",BI207,BD207)</f>
        <v>134</v>
      </c>
      <c r="CA207" s="305">
        <f>IF(COT_PRECALCULOS!$D$24="Precios Iva Incluído",BJ207,BE207)</f>
        <v>134</v>
      </c>
      <c r="CB207" s="305">
        <f>IF(COT_PRECALCULOS!$D$24="Precios Iva Incluído",BK207,BF207)</f>
        <v>134</v>
      </c>
      <c r="CC207" s="305">
        <f>IF(COT_PRECALCULOS!$D$24="Precios Iva Incluído",BL207,BG207)</f>
        <v>0</v>
      </c>
      <c r="CD207" s="305">
        <f>IF(COT_PRECALCULOS!$D$24="Precios Iva Incluído",BM207,BH207)</f>
        <v>0</v>
      </c>
      <c r="CE207" s="305">
        <f>IF(COT_PRECALCULOS!$D$24="Precios Iva Incluído",BT207,BN207)</f>
        <v>3759102</v>
      </c>
      <c r="CF207" s="305">
        <f>IF(COT_PRECALCULOS!$D$24="Precios Iva Incluído",BU207,BO207)</f>
        <v>4191118</v>
      </c>
      <c r="CG207" s="305">
        <f>IF(COT_PRECALCULOS!$D$24="Precios Iva Incluído",BV207,BP207)</f>
        <v>6226846</v>
      </c>
      <c r="CH207" s="305">
        <f>IF(COT_PRECALCULOS!$D$24="Precios Iva Incluído",BW207,BQ207)</f>
        <v>0</v>
      </c>
      <c r="CI207" s="305">
        <f>IF(COT_PRECALCULOS!$D$24="Precios Iva Incluído",BX207,BR207)</f>
        <v>0</v>
      </c>
    </row>
    <row r="208" spans="1:87">
      <c r="A208" s="182" t="s">
        <v>102</v>
      </c>
      <c r="B208" s="182" t="s">
        <v>126</v>
      </c>
      <c r="C208" s="189" t="str">
        <f t="shared" si="282"/>
        <v>F_SE4</v>
      </c>
      <c r="D208" s="189" t="str">
        <f t="shared" si="283"/>
        <v>7_S_</v>
      </c>
      <c r="E208" s="190" t="s">
        <v>1</v>
      </c>
      <c r="F208" s="190" t="s">
        <v>1</v>
      </c>
      <c r="G208" s="189" t="s">
        <v>33</v>
      </c>
      <c r="H208" s="190"/>
      <c r="I208" s="190" t="s">
        <v>56</v>
      </c>
      <c r="J208" s="190">
        <v>7</v>
      </c>
      <c r="K208" s="190" t="s">
        <v>57</v>
      </c>
      <c r="L208" s="189" t="s">
        <v>9</v>
      </c>
      <c r="M208" s="211">
        <v>100</v>
      </c>
      <c r="N208" s="211">
        <v>100</v>
      </c>
      <c r="O208" s="211">
        <v>100</v>
      </c>
      <c r="P208" s="190"/>
      <c r="Q208" s="190"/>
      <c r="R208" s="211"/>
      <c r="S208" s="183">
        <f t="shared" si="278"/>
        <v>0</v>
      </c>
      <c r="T208" s="385">
        <f>$S208</f>
        <v>0</v>
      </c>
      <c r="U208" s="385">
        <f t="shared" si="279"/>
        <v>0</v>
      </c>
      <c r="V208" s="385">
        <f t="shared" si="279"/>
        <v>0</v>
      </c>
      <c r="W208" s="387"/>
      <c r="X208" s="387"/>
      <c r="Y208" s="184">
        <f t="shared" si="294"/>
        <v>28053</v>
      </c>
      <c r="Z208" s="184">
        <f t="shared" si="280"/>
        <v>31277</v>
      </c>
      <c r="AA208" s="184">
        <f t="shared" si="281"/>
        <v>46469</v>
      </c>
      <c r="AB208" s="184">
        <f t="shared" si="265"/>
        <v>0</v>
      </c>
      <c r="AC208" s="184">
        <f t="shared" si="266"/>
        <v>0</v>
      </c>
      <c r="AD208" s="184">
        <f t="shared" si="295"/>
        <v>105799</v>
      </c>
      <c r="AE208" s="183">
        <f t="shared" si="259"/>
        <v>0</v>
      </c>
      <c r="AF208" s="385">
        <f>$AE208</f>
        <v>0</v>
      </c>
      <c r="AG208" s="385">
        <f t="shared" si="274"/>
        <v>0</v>
      </c>
      <c r="AH208" s="385">
        <f t="shared" si="274"/>
        <v>0</v>
      </c>
      <c r="AI208" s="185">
        <f t="shared" si="296"/>
        <v>74</v>
      </c>
      <c r="AJ208" s="185">
        <f t="shared" si="261"/>
        <v>433</v>
      </c>
      <c r="AK208" s="185">
        <f t="shared" si="262"/>
        <v>683</v>
      </c>
      <c r="AL208" s="185">
        <f t="shared" si="297"/>
        <v>1190</v>
      </c>
      <c r="AM208" s="173">
        <f>($S208*Y208)+($AE208*AI208)</f>
        <v>0</v>
      </c>
      <c r="AN208" s="173">
        <f t="shared" si="244"/>
        <v>0</v>
      </c>
      <c r="AO208" s="173">
        <f t="shared" si="245"/>
        <v>0</v>
      </c>
      <c r="AP208" s="173">
        <f t="shared" si="284"/>
        <v>0</v>
      </c>
      <c r="AQ208" s="173">
        <f t="shared" si="285"/>
        <v>0</v>
      </c>
      <c r="AR208" s="173">
        <f t="shared" si="286"/>
        <v>0</v>
      </c>
      <c r="AS208" s="186" t="s">
        <v>1363</v>
      </c>
      <c r="AT208" s="300">
        <f t="shared" si="277"/>
        <v>1</v>
      </c>
      <c r="AU208" s="300">
        <f t="shared" si="277"/>
        <v>1</v>
      </c>
      <c r="AV208" s="300">
        <f t="shared" si="277"/>
        <v>1</v>
      </c>
      <c r="AW208" s="300">
        <f t="shared" si="277"/>
        <v>1</v>
      </c>
      <c r="AX208" s="300">
        <f t="shared" si="277"/>
        <v>1</v>
      </c>
      <c r="AY208" s="301">
        <f t="shared" ref="AY208:BC217" si="304">IF(ISERROR(MATCH(CONCATENATE($J208,"_",AY$1),COT_PRE_CODIGO_ALIMENTOS,0)),IF(ISERROR(MATCH(CONCATENATE($J208,"_",AY$2),COT_PRE_CODIGO_ALIMENTOS,0)),IF(ISERROR(MATCH(CONCATENATE($J208,"_",AY$3),COT_PRE_CODIGO_ALIMENTOS,0)),IF(ISERROR(MATCH(CONCATENATE($J208,"_",AY$4),COT_PRE_CODIGO_ALIMENTOS,0)),IF(ISERROR(MATCH(CONCATENATE($J208,"_",AY$5),COT_PRE_CODIGO_ALIMENTOS,0)),IF(ISERROR(MATCH(CONCATENATE($J208,"_",AY$6),COT_PRE_CODIGO_ALIMENTOS,0)),IF(ISERROR(MATCH(CONCATENATE($J208,"_",AY$7),COT_PRE_CODIGO_ALIMENTOS,0)),IF(ISERROR(VLOOKUP($J208,COT_PRE_ALIMENTOS,AY$8,FALSE)),"DATO NO DISPONIBLE",VLOOKUP($J208,COT_PRE_ALIMENTOS,AY$8,FALSE)),VLOOKUP(CONCATENATE($J208,"_",AY$7),COT_PRE_ALIMENTOS,AY$8,FALSE)),VLOOKUP(CONCATENATE($J208,"_",AY$6),COT_PRE_ALIMENTOS,AY$8,FALSE)),VLOOKUP(CONCATENATE($J208,"_",AY$5),COT_PRE_ALIMENTOS,AY$8,FALSE)),VLOOKUP(CONCATENATE($J208,"_",AY$4),COT_PRE_ALIMENTOS,AY$8,FALSE)),VLOOKUP(CONCATENATE($J208,"_",AY$3),COT_PRE_ALIMENTOS,AY$8,FALSE)),VLOOKUP(CONCATENATE($J208,"_",AY$2),COT_PRE_ALIMENTOS,AY$8,FALSE)),VLOOKUP(CONCATENATE($J208,"_",AY$1),COT_PRE_ALIMENTOS,AY$8,FALSE))</f>
        <v>1</v>
      </c>
      <c r="AZ208" s="301">
        <f t="shared" si="304"/>
        <v>1</v>
      </c>
      <c r="BA208" s="301">
        <f t="shared" si="304"/>
        <v>1</v>
      </c>
      <c r="BB208" s="301">
        <f t="shared" si="304"/>
        <v>1</v>
      </c>
      <c r="BC208" s="301">
        <f t="shared" si="304"/>
        <v>1</v>
      </c>
      <c r="BD208" s="187">
        <f>ROUND(IF(OR(M208=0,AT208="DATO NO DISPONIBLE"),"",AT208*M208*($BD$7+1)),0)</f>
        <v>107</v>
      </c>
      <c r="BE208" s="187">
        <f t="shared" si="246"/>
        <v>107</v>
      </c>
      <c r="BF208" s="187">
        <f t="shared" si="247"/>
        <v>107</v>
      </c>
      <c r="BG208" s="187"/>
      <c r="BH208" s="187"/>
      <c r="BI208" s="187">
        <f>ROUND(IF(OR(M208=0,AY208="DATO NO DISPONIBLE"),0,AY208*M208*($BD$7+1)),0)</f>
        <v>107</v>
      </c>
      <c r="BJ208" s="187">
        <f t="shared" si="298"/>
        <v>107</v>
      </c>
      <c r="BK208" s="187">
        <f t="shared" si="299"/>
        <v>107</v>
      </c>
      <c r="BL208" s="187"/>
      <c r="BM208" s="187"/>
      <c r="BN208" s="188">
        <f>BD208*AM208</f>
        <v>0</v>
      </c>
      <c r="BO208" s="188">
        <f t="shared" si="300"/>
        <v>0</v>
      </c>
      <c r="BP208" s="188">
        <f t="shared" si="301"/>
        <v>0</v>
      </c>
      <c r="BQ208" s="188">
        <f t="shared" si="302"/>
        <v>0</v>
      </c>
      <c r="BR208" s="188">
        <f t="shared" si="303"/>
        <v>0</v>
      </c>
      <c r="BS208" s="188">
        <f t="shared" si="287"/>
        <v>0</v>
      </c>
      <c r="BT208" s="188">
        <f t="shared" si="288"/>
        <v>0</v>
      </c>
      <c r="BU208" s="188">
        <f t="shared" si="289"/>
        <v>0</v>
      </c>
      <c r="BV208" s="188">
        <f t="shared" si="290"/>
        <v>0</v>
      </c>
      <c r="BW208" s="188">
        <f t="shared" si="291"/>
        <v>0</v>
      </c>
      <c r="BX208" s="188">
        <f t="shared" si="292"/>
        <v>0</v>
      </c>
      <c r="BY208" s="188">
        <f t="shared" si="293"/>
        <v>0</v>
      </c>
      <c r="BZ208" s="305">
        <f>IF(COT_PRECALCULOS!$D$24="Precios Iva Incluído",BI208,BD208)</f>
        <v>107</v>
      </c>
      <c r="CA208" s="305">
        <f>IF(COT_PRECALCULOS!$D$24="Precios Iva Incluído",BJ208,BE208)</f>
        <v>107</v>
      </c>
      <c r="CB208" s="305">
        <f>IF(COT_PRECALCULOS!$D$24="Precios Iva Incluído",BK208,BF208)</f>
        <v>107</v>
      </c>
      <c r="CC208" s="305">
        <f>IF(COT_PRECALCULOS!$D$24="Precios Iva Incluído",BL208,BG208)</f>
        <v>0</v>
      </c>
      <c r="CD208" s="305">
        <f>IF(COT_PRECALCULOS!$D$24="Precios Iva Incluído",BM208,BH208)</f>
        <v>0</v>
      </c>
      <c r="CE208" s="305">
        <f>IF(COT_PRECALCULOS!$D$24="Precios Iva Incluído",BT208,BN208)</f>
        <v>0</v>
      </c>
      <c r="CF208" s="305">
        <f>IF(COT_PRECALCULOS!$D$24="Precios Iva Incluído",BU208,BO208)</f>
        <v>0</v>
      </c>
      <c r="CG208" s="305">
        <f>IF(COT_PRECALCULOS!$D$24="Precios Iva Incluído",BV208,BP208)</f>
        <v>0</v>
      </c>
      <c r="CH208" s="305">
        <f>IF(COT_PRECALCULOS!$D$24="Precios Iva Incluído",BW208,BQ208)</f>
        <v>0</v>
      </c>
      <c r="CI208" s="305">
        <f>IF(COT_PRECALCULOS!$D$24="Precios Iva Incluído",BX208,BR208)</f>
        <v>0</v>
      </c>
    </row>
    <row r="209" spans="1:87">
      <c r="A209" s="182" t="s">
        <v>102</v>
      </c>
      <c r="B209" s="182" t="s">
        <v>126</v>
      </c>
      <c r="C209" s="189" t="str">
        <f t="shared" si="282"/>
        <v>F_SE4</v>
      </c>
      <c r="D209" s="189" t="str">
        <f t="shared" si="283"/>
        <v>17_S_</v>
      </c>
      <c r="E209" s="190" t="s">
        <v>1</v>
      </c>
      <c r="F209" s="190" t="s">
        <v>1</v>
      </c>
      <c r="G209" s="189" t="s">
        <v>33</v>
      </c>
      <c r="H209" s="190"/>
      <c r="I209" s="190" t="s">
        <v>52</v>
      </c>
      <c r="J209" s="190">
        <v>17</v>
      </c>
      <c r="K209" s="190" t="s">
        <v>53</v>
      </c>
      <c r="L209" s="189" t="s">
        <v>9</v>
      </c>
      <c r="M209" s="386">
        <v>0</v>
      </c>
      <c r="N209" s="211">
        <v>100</v>
      </c>
      <c r="O209" s="211">
        <v>100</v>
      </c>
      <c r="P209" s="190"/>
      <c r="Q209" s="190"/>
      <c r="R209" s="190" t="s">
        <v>73</v>
      </c>
      <c r="S209" s="385">
        <f t="shared" si="278"/>
        <v>1</v>
      </c>
      <c r="T209" s="386">
        <v>0</v>
      </c>
      <c r="U209" s="385">
        <f t="shared" si="279"/>
        <v>1</v>
      </c>
      <c r="V209" s="385">
        <f t="shared" si="279"/>
        <v>1</v>
      </c>
      <c r="W209" s="387"/>
      <c r="X209" s="387"/>
      <c r="Y209" s="184">
        <f t="shared" si="294"/>
        <v>0</v>
      </c>
      <c r="Z209" s="184">
        <f t="shared" si="280"/>
        <v>31277</v>
      </c>
      <c r="AA209" s="184">
        <f t="shared" si="281"/>
        <v>46469</v>
      </c>
      <c r="AB209" s="184">
        <f t="shared" si="265"/>
        <v>0</v>
      </c>
      <c r="AC209" s="184">
        <f t="shared" si="266"/>
        <v>0</v>
      </c>
      <c r="AD209" s="184">
        <f t="shared" si="295"/>
        <v>77746</v>
      </c>
      <c r="AE209" s="183">
        <f t="shared" si="259"/>
        <v>1</v>
      </c>
      <c r="AF209" s="386">
        <v>0</v>
      </c>
      <c r="AG209" s="385">
        <f t="shared" si="274"/>
        <v>1</v>
      </c>
      <c r="AH209" s="385">
        <f t="shared" si="274"/>
        <v>1</v>
      </c>
      <c r="AI209" s="185">
        <f t="shared" si="296"/>
        <v>0</v>
      </c>
      <c r="AJ209" s="185">
        <f t="shared" si="261"/>
        <v>433</v>
      </c>
      <c r="AK209" s="185">
        <f t="shared" si="262"/>
        <v>683</v>
      </c>
      <c r="AL209" s="185">
        <f t="shared" si="297"/>
        <v>1116</v>
      </c>
      <c r="AM209" s="173">
        <v>0</v>
      </c>
      <c r="AN209" s="173">
        <f t="shared" si="244"/>
        <v>31710</v>
      </c>
      <c r="AO209" s="173">
        <f t="shared" si="245"/>
        <v>47152</v>
      </c>
      <c r="AP209" s="173">
        <f t="shared" si="284"/>
        <v>0</v>
      </c>
      <c r="AQ209" s="173">
        <f t="shared" si="285"/>
        <v>0</v>
      </c>
      <c r="AR209" s="173">
        <f t="shared" si="286"/>
        <v>78862</v>
      </c>
      <c r="AS209" s="186" t="s">
        <v>1363</v>
      </c>
      <c r="AT209" s="300">
        <f t="shared" si="277"/>
        <v>2.11</v>
      </c>
      <c r="AU209" s="300">
        <f t="shared" si="277"/>
        <v>2.11</v>
      </c>
      <c r="AV209" s="300">
        <f t="shared" si="277"/>
        <v>2.11</v>
      </c>
      <c r="AW209" s="300">
        <f t="shared" si="277"/>
        <v>2.11</v>
      </c>
      <c r="AX209" s="300">
        <f t="shared" si="277"/>
        <v>2.11</v>
      </c>
      <c r="AY209" s="301">
        <f t="shared" si="304"/>
        <v>2.11</v>
      </c>
      <c r="AZ209" s="301">
        <f t="shared" si="304"/>
        <v>2.11</v>
      </c>
      <c r="BA209" s="301">
        <f t="shared" si="304"/>
        <v>2.11</v>
      </c>
      <c r="BB209" s="301">
        <f t="shared" si="304"/>
        <v>2.11</v>
      </c>
      <c r="BC209" s="301">
        <f t="shared" si="304"/>
        <v>2.11</v>
      </c>
      <c r="BD209" s="187"/>
      <c r="BE209" s="187">
        <f t="shared" si="246"/>
        <v>226</v>
      </c>
      <c r="BF209" s="187">
        <f t="shared" si="247"/>
        <v>226</v>
      </c>
      <c r="BG209" s="187"/>
      <c r="BH209" s="187"/>
      <c r="BI209" s="187"/>
      <c r="BJ209" s="187">
        <f t="shared" si="298"/>
        <v>226</v>
      </c>
      <c r="BK209" s="187">
        <f t="shared" si="299"/>
        <v>226</v>
      </c>
      <c r="BL209" s="187"/>
      <c r="BM209" s="187"/>
      <c r="BN209" s="188"/>
      <c r="BO209" s="188">
        <f t="shared" si="300"/>
        <v>7166460</v>
      </c>
      <c r="BP209" s="188">
        <f t="shared" si="301"/>
        <v>10656352</v>
      </c>
      <c r="BQ209" s="188">
        <f t="shared" si="302"/>
        <v>0</v>
      </c>
      <c r="BR209" s="188">
        <f t="shared" si="303"/>
        <v>0</v>
      </c>
      <c r="BS209" s="188">
        <f t="shared" si="287"/>
        <v>17822812</v>
      </c>
      <c r="BT209" s="188">
        <f t="shared" si="288"/>
        <v>0</v>
      </c>
      <c r="BU209" s="188">
        <f t="shared" si="289"/>
        <v>7166460</v>
      </c>
      <c r="BV209" s="188">
        <f t="shared" si="290"/>
        <v>10656352</v>
      </c>
      <c r="BW209" s="188">
        <f t="shared" si="291"/>
        <v>0</v>
      </c>
      <c r="BX209" s="188">
        <f t="shared" si="292"/>
        <v>0</v>
      </c>
      <c r="BY209" s="188">
        <f t="shared" si="293"/>
        <v>17822812</v>
      </c>
      <c r="BZ209" s="305">
        <f>IF(COT_PRECALCULOS!$D$24="Precios Iva Incluído",BI209,BD209)</f>
        <v>0</v>
      </c>
      <c r="CA209" s="305">
        <f>IF(COT_PRECALCULOS!$D$24="Precios Iva Incluído",BJ209,BE209)</f>
        <v>226</v>
      </c>
      <c r="CB209" s="305">
        <f>IF(COT_PRECALCULOS!$D$24="Precios Iva Incluído",BK209,BF209)</f>
        <v>226</v>
      </c>
      <c r="CC209" s="305">
        <f>IF(COT_PRECALCULOS!$D$24="Precios Iva Incluído",BL209,BG209)</f>
        <v>0</v>
      </c>
      <c r="CD209" s="305">
        <f>IF(COT_PRECALCULOS!$D$24="Precios Iva Incluído",BM209,BH209)</f>
        <v>0</v>
      </c>
      <c r="CE209" s="305">
        <f>IF(COT_PRECALCULOS!$D$24="Precios Iva Incluído",BT209,BN209)</f>
        <v>0</v>
      </c>
      <c r="CF209" s="305">
        <f>IF(COT_PRECALCULOS!$D$24="Precios Iva Incluído",BU209,BO209)</f>
        <v>7166460</v>
      </c>
      <c r="CG209" s="305">
        <f>IF(COT_PRECALCULOS!$D$24="Precios Iva Incluído",BV209,BP209)</f>
        <v>10656352</v>
      </c>
      <c r="CH209" s="305">
        <f>IF(COT_PRECALCULOS!$D$24="Precios Iva Incluído",BW209,BQ209)</f>
        <v>0</v>
      </c>
      <c r="CI209" s="305">
        <f>IF(COT_PRECALCULOS!$D$24="Precios Iva Incluído",BX209,BR209)</f>
        <v>0</v>
      </c>
    </row>
    <row r="210" spans="1:87">
      <c r="A210" s="182" t="s">
        <v>102</v>
      </c>
      <c r="B210" s="182" t="s">
        <v>126</v>
      </c>
      <c r="C210" s="189" t="str">
        <f t="shared" si="282"/>
        <v>F_SE4</v>
      </c>
      <c r="D210" s="189" t="str">
        <f t="shared" si="283"/>
        <v>22_S_</v>
      </c>
      <c r="E210" s="190" t="s">
        <v>1</v>
      </c>
      <c r="F210" s="190" t="s">
        <v>1</v>
      </c>
      <c r="G210" s="189" t="s">
        <v>33</v>
      </c>
      <c r="H210" s="190"/>
      <c r="I210" s="190" t="s">
        <v>50</v>
      </c>
      <c r="J210" s="190">
        <v>22</v>
      </c>
      <c r="K210" s="190" t="s">
        <v>51</v>
      </c>
      <c r="L210" s="189" t="s">
        <v>9</v>
      </c>
      <c r="M210" s="191">
        <v>0</v>
      </c>
      <c r="N210" s="211">
        <v>100</v>
      </c>
      <c r="O210" s="211">
        <v>100</v>
      </c>
      <c r="P210" s="190"/>
      <c r="Q210" s="190"/>
      <c r="R210" s="190" t="s">
        <v>73</v>
      </c>
      <c r="S210" s="183">
        <f t="shared" si="278"/>
        <v>4</v>
      </c>
      <c r="T210" s="386">
        <v>0</v>
      </c>
      <c r="U210" s="385">
        <f t="shared" si="279"/>
        <v>4</v>
      </c>
      <c r="V210" s="385">
        <f t="shared" si="279"/>
        <v>4</v>
      </c>
      <c r="W210" s="387"/>
      <c r="X210" s="387"/>
      <c r="Y210" s="184">
        <f t="shared" si="294"/>
        <v>0</v>
      </c>
      <c r="Z210" s="184">
        <f t="shared" si="280"/>
        <v>31277</v>
      </c>
      <c r="AA210" s="184">
        <f t="shared" si="281"/>
        <v>46469</v>
      </c>
      <c r="AB210" s="184">
        <f t="shared" si="265"/>
        <v>0</v>
      </c>
      <c r="AC210" s="184">
        <f t="shared" si="266"/>
        <v>0</v>
      </c>
      <c r="AD210" s="184">
        <f t="shared" si="295"/>
        <v>77746</v>
      </c>
      <c r="AE210" s="183">
        <f t="shared" si="259"/>
        <v>1</v>
      </c>
      <c r="AF210" s="386">
        <v>0</v>
      </c>
      <c r="AG210" s="385">
        <f t="shared" si="274"/>
        <v>1</v>
      </c>
      <c r="AH210" s="385">
        <f t="shared" si="274"/>
        <v>1</v>
      </c>
      <c r="AI210" s="185">
        <f t="shared" si="296"/>
        <v>0</v>
      </c>
      <c r="AJ210" s="185">
        <f t="shared" si="261"/>
        <v>433</v>
      </c>
      <c r="AK210" s="185">
        <f t="shared" si="262"/>
        <v>683</v>
      </c>
      <c r="AL210" s="185">
        <f t="shared" si="297"/>
        <v>1116</v>
      </c>
      <c r="AM210" s="173">
        <v>0</v>
      </c>
      <c r="AN210" s="173">
        <f t="shared" si="244"/>
        <v>125541</v>
      </c>
      <c r="AO210" s="173">
        <f t="shared" si="245"/>
        <v>186559</v>
      </c>
      <c r="AP210" s="173">
        <f t="shared" si="284"/>
        <v>0</v>
      </c>
      <c r="AQ210" s="173">
        <f t="shared" si="285"/>
        <v>0</v>
      </c>
      <c r="AR210" s="173">
        <f t="shared" si="286"/>
        <v>312100</v>
      </c>
      <c r="AS210" s="186" t="s">
        <v>1363</v>
      </c>
      <c r="AT210" s="300">
        <f t="shared" si="277"/>
        <v>4.9124999999999996</v>
      </c>
      <c r="AU210" s="300">
        <f t="shared" si="277"/>
        <v>4.9124999999999996</v>
      </c>
      <c r="AV210" s="300">
        <f t="shared" si="277"/>
        <v>4.9124999999999996</v>
      </c>
      <c r="AW210" s="300">
        <f t="shared" si="277"/>
        <v>4.9124999999999996</v>
      </c>
      <c r="AX210" s="300">
        <f t="shared" si="277"/>
        <v>4.9124999999999996</v>
      </c>
      <c r="AY210" s="301">
        <f t="shared" si="304"/>
        <v>4.9124999999999996</v>
      </c>
      <c r="AZ210" s="301">
        <f t="shared" si="304"/>
        <v>4.9124999999999996</v>
      </c>
      <c r="BA210" s="301">
        <f t="shared" si="304"/>
        <v>4.9124999999999996</v>
      </c>
      <c r="BB210" s="301">
        <f t="shared" si="304"/>
        <v>4.9124999999999996</v>
      </c>
      <c r="BC210" s="301">
        <f t="shared" si="304"/>
        <v>4.9124999999999996</v>
      </c>
      <c r="BD210" s="187"/>
      <c r="BE210" s="187">
        <f t="shared" si="246"/>
        <v>525</v>
      </c>
      <c r="BF210" s="187">
        <f t="shared" si="247"/>
        <v>525</v>
      </c>
      <c r="BG210" s="187"/>
      <c r="BH210" s="187"/>
      <c r="BI210" s="187"/>
      <c r="BJ210" s="187">
        <f t="shared" si="298"/>
        <v>525</v>
      </c>
      <c r="BK210" s="187">
        <f t="shared" si="299"/>
        <v>525</v>
      </c>
      <c r="BL210" s="187"/>
      <c r="BM210" s="187"/>
      <c r="BN210" s="188"/>
      <c r="BO210" s="188">
        <f t="shared" si="300"/>
        <v>65909025</v>
      </c>
      <c r="BP210" s="188">
        <f t="shared" si="301"/>
        <v>97943475</v>
      </c>
      <c r="BQ210" s="188">
        <f t="shared" si="302"/>
        <v>0</v>
      </c>
      <c r="BR210" s="188">
        <f t="shared" si="303"/>
        <v>0</v>
      </c>
      <c r="BS210" s="188">
        <f t="shared" si="287"/>
        <v>163852500</v>
      </c>
      <c r="BT210" s="188">
        <f t="shared" si="288"/>
        <v>0</v>
      </c>
      <c r="BU210" s="188">
        <f t="shared" si="289"/>
        <v>65909025</v>
      </c>
      <c r="BV210" s="188">
        <f t="shared" si="290"/>
        <v>97943475</v>
      </c>
      <c r="BW210" s="188">
        <f t="shared" si="291"/>
        <v>0</v>
      </c>
      <c r="BX210" s="188">
        <f t="shared" si="292"/>
        <v>0</v>
      </c>
      <c r="BY210" s="188">
        <f t="shared" si="293"/>
        <v>163852500</v>
      </c>
      <c r="BZ210" s="305">
        <f>IF(COT_PRECALCULOS!$D$24="Precios Iva Incluído",BI210,BD210)</f>
        <v>0</v>
      </c>
      <c r="CA210" s="305">
        <f>IF(COT_PRECALCULOS!$D$24="Precios Iva Incluído",BJ210,BE210)</f>
        <v>525</v>
      </c>
      <c r="CB210" s="305">
        <f>IF(COT_PRECALCULOS!$D$24="Precios Iva Incluído",BK210,BF210)</f>
        <v>525</v>
      </c>
      <c r="CC210" s="305">
        <f>IF(COT_PRECALCULOS!$D$24="Precios Iva Incluído",BL210,BG210)</f>
        <v>0</v>
      </c>
      <c r="CD210" s="305">
        <f>IF(COT_PRECALCULOS!$D$24="Precios Iva Incluído",BM210,BH210)</f>
        <v>0</v>
      </c>
      <c r="CE210" s="305">
        <f>IF(COT_PRECALCULOS!$D$24="Precios Iva Incluído",BT210,BN210)</f>
        <v>0</v>
      </c>
      <c r="CF210" s="305">
        <f>IF(COT_PRECALCULOS!$D$24="Precios Iva Incluído",BU210,BO210)</f>
        <v>65909025</v>
      </c>
      <c r="CG210" s="305">
        <f>IF(COT_PRECALCULOS!$D$24="Precios Iva Incluído",BV210,BP210)</f>
        <v>97943475</v>
      </c>
      <c r="CH210" s="305">
        <f>IF(COT_PRECALCULOS!$D$24="Precios Iva Incluído",BW210,BQ210)</f>
        <v>0</v>
      </c>
      <c r="CI210" s="305">
        <f>IF(COT_PRECALCULOS!$D$24="Precios Iva Incluído",BX210,BR210)</f>
        <v>0</v>
      </c>
    </row>
    <row r="211" spans="1:87">
      <c r="A211" s="182" t="s">
        <v>102</v>
      </c>
      <c r="B211" s="182" t="s">
        <v>126</v>
      </c>
      <c r="C211" s="189" t="str">
        <f t="shared" si="282"/>
        <v>F_SE4</v>
      </c>
      <c r="D211" s="189" t="str">
        <f t="shared" si="283"/>
        <v>33_S_</v>
      </c>
      <c r="E211" s="190" t="s">
        <v>1</v>
      </c>
      <c r="F211" s="190" t="s">
        <v>1</v>
      </c>
      <c r="G211" s="189" t="s">
        <v>33</v>
      </c>
      <c r="H211" s="190"/>
      <c r="I211" s="190" t="s">
        <v>58</v>
      </c>
      <c r="J211" s="190">
        <v>33</v>
      </c>
      <c r="K211" s="190" t="s">
        <v>59</v>
      </c>
      <c r="L211" s="189" t="s">
        <v>48</v>
      </c>
      <c r="M211" s="310">
        <v>90</v>
      </c>
      <c r="N211" s="310">
        <v>90</v>
      </c>
      <c r="O211" s="310">
        <v>90</v>
      </c>
      <c r="P211" s="190"/>
      <c r="Q211" s="190"/>
      <c r="R211" s="190"/>
      <c r="S211" s="183">
        <f t="shared" si="278"/>
        <v>1</v>
      </c>
      <c r="T211" s="385">
        <f>$S211</f>
        <v>1</v>
      </c>
      <c r="U211" s="385">
        <f t="shared" si="279"/>
        <v>1</v>
      </c>
      <c r="V211" s="385">
        <f t="shared" si="279"/>
        <v>1</v>
      </c>
      <c r="W211" s="387"/>
      <c r="X211" s="387"/>
      <c r="Y211" s="184">
        <f t="shared" si="294"/>
        <v>28053</v>
      </c>
      <c r="Z211" s="184">
        <f t="shared" si="280"/>
        <v>31277</v>
      </c>
      <c r="AA211" s="184">
        <f t="shared" si="281"/>
        <v>46469</v>
      </c>
      <c r="AB211" s="184">
        <f t="shared" si="265"/>
        <v>0</v>
      </c>
      <c r="AC211" s="184">
        <f t="shared" si="266"/>
        <v>0</v>
      </c>
      <c r="AD211" s="184">
        <f t="shared" si="295"/>
        <v>105799</v>
      </c>
      <c r="AE211" s="183">
        <f t="shared" si="259"/>
        <v>2</v>
      </c>
      <c r="AF211" s="385">
        <f>$AE211</f>
        <v>2</v>
      </c>
      <c r="AG211" s="385">
        <f t="shared" si="274"/>
        <v>2</v>
      </c>
      <c r="AH211" s="385">
        <f t="shared" si="274"/>
        <v>2</v>
      </c>
      <c r="AI211" s="185">
        <f t="shared" si="296"/>
        <v>74</v>
      </c>
      <c r="AJ211" s="185">
        <f t="shared" si="261"/>
        <v>433</v>
      </c>
      <c r="AK211" s="185">
        <f t="shared" si="262"/>
        <v>683</v>
      </c>
      <c r="AL211" s="185">
        <f t="shared" si="297"/>
        <v>1190</v>
      </c>
      <c r="AM211" s="173">
        <f t="shared" ref="AM211:AM217" si="305">($S211*Y211)+($AE211*AI211)</f>
        <v>28201</v>
      </c>
      <c r="AN211" s="173">
        <f t="shared" si="244"/>
        <v>32143</v>
      </c>
      <c r="AO211" s="173">
        <f t="shared" si="245"/>
        <v>47835</v>
      </c>
      <c r="AP211" s="173">
        <f t="shared" si="284"/>
        <v>0</v>
      </c>
      <c r="AQ211" s="173">
        <f t="shared" si="285"/>
        <v>0</v>
      </c>
      <c r="AR211" s="173">
        <f t="shared" si="286"/>
        <v>108179</v>
      </c>
      <c r="AS211" s="186" t="s">
        <v>1363</v>
      </c>
      <c r="AT211" s="300">
        <f t="shared" ref="AT211:AX220" si="306">IF(ISERROR(IF(ISERROR(MATCH(CONCATENATE($J211,"_",AT$1),COT_PRE_CODIGO_ALIMENTOS,0)),IF(ISERROR(MATCH(CONCATENATE($J211,"_",AT$2),COT_PRE_CODIGO_ALIMENTOS,0)),IF(ISERROR(MATCH(CONCATENATE($J211,"_",AT$3),COT_PRE_CODIGO_ALIMENTOS,0)),IF(ISERROR(MATCH(CONCATENATE($J211,"_",AT$4),COT_PRE_CODIGO_ALIMENTOS,0)),IF(ISERROR(MATCH(CONCATENATE($J211,"_",AT$5),COT_PRE_CODIGO_ALIMENTOS,0)),IF(ISERROR(MATCH(CONCATENATE($J211,"_",AT$6),COT_PRE_CODIGO_ALIMENTOS,0)),IF(ISERROR(MATCH(CONCATENATE($J211,"_",AT$7),COT_PRE_CODIGO_ALIMENTOS,0)),IF(ISERROR(VLOOKUP($J211,COT_PRE_ALIMENTOS,AT$8,FALSE)),"DATO NO DISPONIBLE",VLOOKUP($J211,COT_PRE_ALIMENTOS,AT$8,FALSE)),VLOOKUP(CONCATENATE($J211,"_",AT$7),COT_PRE_ALIMENTOS,AT$8,FALSE)),VLOOKUP(CONCATENATE($J211,"_",AT$6),COT_PRE_ALIMENTOS,AT$8,FALSE)),VLOOKUP(CONCATENATE($J211,"_",AT$5),COT_PRE_ALIMENTOS,AT$8,FALSE)),VLOOKUP(CONCATENATE($J211,"_",AT$4),COT_PRE_ALIMENTOS,AT$8,FALSE)),VLOOKUP(CONCATENATE($J211,"_",AT$3),COT_PRE_ALIMENTOS,AT$8,FALSE)),VLOOKUP(CONCATENATE($J211,"_",AT$2),COT_PRE_ALIMENTOS,AT$8,FALSE)),VLOOKUP(CONCATENATE($J211,"_",AT$1),COT_PRE_ALIMENTOS,AT$8,FALSE))),"DATO NO DISPONIBLE",IF(ISERROR(MATCH(CONCATENATE($J211,"_",AT$1),COT_PRE_CODIGO_ALIMENTOS,0)),IF(ISERROR(MATCH(CONCATENATE($J211,"_",AT$2),COT_PRE_CODIGO_ALIMENTOS,0)),IF(ISERROR(MATCH(CONCATENATE($J211,"_",AT$3),COT_PRE_CODIGO_ALIMENTOS,0)),IF(ISERROR(MATCH(CONCATENATE($J211,"_",AT$4),COT_PRE_CODIGO_ALIMENTOS,0)),IF(ISERROR(MATCH(CONCATENATE($J211,"_",AT$5),COT_PRE_CODIGO_ALIMENTOS,0)),IF(ISERROR(MATCH(CONCATENATE($J211,"_",AT$6),COT_PRE_CODIGO_ALIMENTOS,0)),IF(ISERROR(MATCH(CONCATENATE($J211,"_",AT$7),COT_PRE_CODIGO_ALIMENTOS,0)),IF(ISERROR(VLOOKUP($J211,COT_PRE_ALIMENTOS,AT$8,FALSE)),"DATO NO DISPONIBLE",VLOOKUP($J211,COT_PRE_ALIMENTOS,AT$8,FALSE)),VLOOKUP(CONCATENATE($J211,"_",AT$7),COT_PRE_ALIMENTOS,AT$8,FALSE)),VLOOKUP(CONCATENATE($J211,"_",AT$6),COT_PRE_ALIMENTOS,AT$8,FALSE)),VLOOKUP(CONCATENATE($J211,"_",AT$5),COT_PRE_ALIMENTOS,AT$8,FALSE)),VLOOKUP(CONCATENATE($J211,"_",AT$4),COT_PRE_ALIMENTOS,AT$8,FALSE)),VLOOKUP(CONCATENATE($J211,"_",AT$3),COT_PRE_ALIMENTOS,AT$8,FALSE)),VLOOKUP(CONCATENATE($J211,"_",AT$2),COT_PRE_ALIMENTOS,AT$8,FALSE)),VLOOKUP(CONCATENATE($J211,"_",AT$1),COT_PRE_ALIMENTOS,AT$8,FALSE)))</f>
        <v>2.8014999999999999</v>
      </c>
      <c r="AU211" s="300">
        <f t="shared" si="306"/>
        <v>2.8014999999999999</v>
      </c>
      <c r="AV211" s="300">
        <f t="shared" si="306"/>
        <v>2.8014999999999999</v>
      </c>
      <c r="AW211" s="300">
        <f t="shared" si="306"/>
        <v>2.8014999999999999</v>
      </c>
      <c r="AX211" s="300">
        <f t="shared" si="306"/>
        <v>2.8014999999999999</v>
      </c>
      <c r="AY211" s="301">
        <f t="shared" si="304"/>
        <v>2.8014999999999999</v>
      </c>
      <c r="AZ211" s="301">
        <f t="shared" si="304"/>
        <v>2.8014999999999999</v>
      </c>
      <c r="BA211" s="301">
        <f t="shared" si="304"/>
        <v>2.8014999999999999</v>
      </c>
      <c r="BB211" s="301">
        <f t="shared" si="304"/>
        <v>2.8014999999999999</v>
      </c>
      <c r="BC211" s="301">
        <f t="shared" si="304"/>
        <v>2.8014999999999999</v>
      </c>
      <c r="BD211" s="187">
        <f>ROUND(IF(OR(M211=0,AT211="DATO NO DISPONIBLE"),"",AT211*M211*($BD$7+1)),0)</f>
        <v>270</v>
      </c>
      <c r="BE211" s="187">
        <f t="shared" si="246"/>
        <v>270</v>
      </c>
      <c r="BF211" s="187">
        <f t="shared" si="247"/>
        <v>270</v>
      </c>
      <c r="BG211" s="187"/>
      <c r="BH211" s="187"/>
      <c r="BI211" s="187">
        <f>ROUND(IF(OR(M211=0,AY211="DATO NO DISPONIBLE"),0,AY211*M211*($BD$7+1)),0)</f>
        <v>270</v>
      </c>
      <c r="BJ211" s="187">
        <f t="shared" si="298"/>
        <v>270</v>
      </c>
      <c r="BK211" s="187">
        <f t="shared" si="299"/>
        <v>270</v>
      </c>
      <c r="BL211" s="187"/>
      <c r="BM211" s="187"/>
      <c r="BN211" s="188">
        <f>BD211*AM211</f>
        <v>7614270</v>
      </c>
      <c r="BO211" s="188">
        <f t="shared" si="300"/>
        <v>8678610</v>
      </c>
      <c r="BP211" s="188">
        <f t="shared" si="301"/>
        <v>12915450</v>
      </c>
      <c r="BQ211" s="188">
        <f t="shared" si="302"/>
        <v>0</v>
      </c>
      <c r="BR211" s="188">
        <f t="shared" si="303"/>
        <v>0</v>
      </c>
      <c r="BS211" s="188">
        <f t="shared" si="287"/>
        <v>29208330</v>
      </c>
      <c r="BT211" s="188">
        <f t="shared" si="288"/>
        <v>7614270</v>
      </c>
      <c r="BU211" s="188">
        <f t="shared" si="289"/>
        <v>8678610</v>
      </c>
      <c r="BV211" s="188">
        <f t="shared" si="290"/>
        <v>12915450</v>
      </c>
      <c r="BW211" s="188">
        <f t="shared" si="291"/>
        <v>0</v>
      </c>
      <c r="BX211" s="188">
        <f t="shared" si="292"/>
        <v>0</v>
      </c>
      <c r="BY211" s="188">
        <f t="shared" si="293"/>
        <v>29208330</v>
      </c>
      <c r="BZ211" s="305">
        <f>IF(COT_PRECALCULOS!$D$24="Precios Iva Incluído",BI211,BD211)</f>
        <v>270</v>
      </c>
      <c r="CA211" s="305">
        <f>IF(COT_PRECALCULOS!$D$24="Precios Iva Incluído",BJ211,BE211)</f>
        <v>270</v>
      </c>
      <c r="CB211" s="305">
        <f>IF(COT_PRECALCULOS!$D$24="Precios Iva Incluído",BK211,BF211)</f>
        <v>270</v>
      </c>
      <c r="CC211" s="305">
        <f>IF(COT_PRECALCULOS!$D$24="Precios Iva Incluído",BL211,BG211)</f>
        <v>0</v>
      </c>
      <c r="CD211" s="305">
        <f>IF(COT_PRECALCULOS!$D$24="Precios Iva Incluído",BM211,BH211)</f>
        <v>0</v>
      </c>
      <c r="CE211" s="305">
        <f>IF(COT_PRECALCULOS!$D$24="Precios Iva Incluído",BT211,BN211)</f>
        <v>7614270</v>
      </c>
      <c r="CF211" s="305">
        <f>IF(COT_PRECALCULOS!$D$24="Precios Iva Incluído",BU211,BO211)</f>
        <v>8678610</v>
      </c>
      <c r="CG211" s="305">
        <f>IF(COT_PRECALCULOS!$D$24="Precios Iva Incluído",BV211,BP211)</f>
        <v>12915450</v>
      </c>
      <c r="CH211" s="305">
        <f>IF(COT_PRECALCULOS!$D$24="Precios Iva Incluído",BW211,BQ211)</f>
        <v>0</v>
      </c>
      <c r="CI211" s="305">
        <f>IF(COT_PRECALCULOS!$D$24="Precios Iva Incluído",BX211,BR211)</f>
        <v>0</v>
      </c>
    </row>
    <row r="212" spans="1:87">
      <c r="A212" s="182" t="s">
        <v>102</v>
      </c>
      <c r="B212" s="182" t="s">
        <v>126</v>
      </c>
      <c r="C212" s="189" t="str">
        <f t="shared" si="282"/>
        <v>F_SE4</v>
      </c>
      <c r="D212" s="189" t="str">
        <f t="shared" si="283"/>
        <v>42_S_</v>
      </c>
      <c r="E212" s="211" t="s">
        <v>1</v>
      </c>
      <c r="F212" s="211" t="s">
        <v>1</v>
      </c>
      <c r="G212" s="189" t="s">
        <v>33</v>
      </c>
      <c r="H212" s="211"/>
      <c r="I212" s="211" t="s">
        <v>49</v>
      </c>
      <c r="J212" s="211">
        <v>42</v>
      </c>
      <c r="K212" s="211" t="s">
        <v>61</v>
      </c>
      <c r="L212" s="189" t="s">
        <v>9</v>
      </c>
      <c r="M212" s="211">
        <v>100</v>
      </c>
      <c r="N212" s="211">
        <v>100</v>
      </c>
      <c r="O212" s="211">
        <v>100</v>
      </c>
      <c r="P212" s="211"/>
      <c r="Q212" s="211"/>
      <c r="R212" s="211"/>
      <c r="S212" s="388">
        <v>4</v>
      </c>
      <c r="T212" s="388">
        <f>$S212</f>
        <v>4</v>
      </c>
      <c r="U212" s="388">
        <v>0</v>
      </c>
      <c r="V212" s="388">
        <v>0</v>
      </c>
      <c r="W212" s="387"/>
      <c r="X212" s="387"/>
      <c r="Y212" s="184">
        <f t="shared" si="294"/>
        <v>28053</v>
      </c>
      <c r="Z212" s="184">
        <v>0</v>
      </c>
      <c r="AA212" s="184">
        <v>0</v>
      </c>
      <c r="AB212" s="184">
        <f t="shared" si="265"/>
        <v>0</v>
      </c>
      <c r="AC212" s="184">
        <f t="shared" si="266"/>
        <v>0</v>
      </c>
      <c r="AD212" s="184">
        <f t="shared" si="295"/>
        <v>28053</v>
      </c>
      <c r="AE212" s="183">
        <f t="shared" si="259"/>
        <v>3</v>
      </c>
      <c r="AF212" s="385">
        <f>$AE212</f>
        <v>3</v>
      </c>
      <c r="AG212" s="385">
        <f t="shared" si="274"/>
        <v>3</v>
      </c>
      <c r="AH212" s="385">
        <f t="shared" si="274"/>
        <v>3</v>
      </c>
      <c r="AI212" s="185">
        <f t="shared" si="296"/>
        <v>74</v>
      </c>
      <c r="AJ212" s="185">
        <f t="shared" si="261"/>
        <v>433</v>
      </c>
      <c r="AK212" s="185">
        <f t="shared" si="262"/>
        <v>683</v>
      </c>
      <c r="AL212" s="185">
        <f t="shared" si="297"/>
        <v>1190</v>
      </c>
      <c r="AM212" s="173">
        <f t="shared" si="305"/>
        <v>112434</v>
      </c>
      <c r="AN212" s="173">
        <f t="shared" si="244"/>
        <v>1299</v>
      </c>
      <c r="AO212" s="173">
        <f t="shared" si="245"/>
        <v>2049</v>
      </c>
      <c r="AP212" s="173">
        <f t="shared" si="284"/>
        <v>0</v>
      </c>
      <c r="AQ212" s="173">
        <f t="shared" si="285"/>
        <v>0</v>
      </c>
      <c r="AR212" s="173">
        <f t="shared" si="286"/>
        <v>115782</v>
      </c>
      <c r="AS212" s="186" t="s">
        <v>1363</v>
      </c>
      <c r="AT212" s="300">
        <f t="shared" si="306"/>
        <v>1.8169999999999999</v>
      </c>
      <c r="AU212" s="300">
        <f t="shared" si="306"/>
        <v>1.8169999999999999</v>
      </c>
      <c r="AV212" s="300">
        <f t="shared" si="306"/>
        <v>1.8169999999999999</v>
      </c>
      <c r="AW212" s="300">
        <f t="shared" si="306"/>
        <v>1.8169999999999999</v>
      </c>
      <c r="AX212" s="300">
        <f t="shared" si="306"/>
        <v>1.8169999999999999</v>
      </c>
      <c r="AY212" s="301">
        <f t="shared" si="304"/>
        <v>1.8169999999999999</v>
      </c>
      <c r="AZ212" s="301">
        <f t="shared" si="304"/>
        <v>1.8169999999999999</v>
      </c>
      <c r="BA212" s="301">
        <f t="shared" si="304"/>
        <v>1.8169999999999999</v>
      </c>
      <c r="BB212" s="301">
        <f t="shared" si="304"/>
        <v>1.8169999999999999</v>
      </c>
      <c r="BC212" s="301">
        <f t="shared" si="304"/>
        <v>1.8169999999999999</v>
      </c>
      <c r="BD212" s="187">
        <f>ROUND(IF(OR(M212=0,AT212="DATO NO DISPONIBLE"),"",AT212*M212*($BD$7+1)),0)</f>
        <v>194</v>
      </c>
      <c r="BE212" s="187">
        <f t="shared" si="246"/>
        <v>194</v>
      </c>
      <c r="BF212" s="187">
        <f t="shared" si="247"/>
        <v>194</v>
      </c>
      <c r="BG212" s="187"/>
      <c r="BH212" s="187"/>
      <c r="BI212" s="187">
        <f>ROUND(IF(OR(M212=0,AY212="DATO NO DISPONIBLE"),0,AY212*M212*($BD$7+1)),0)</f>
        <v>194</v>
      </c>
      <c r="BJ212" s="187">
        <f t="shared" si="298"/>
        <v>194</v>
      </c>
      <c r="BK212" s="187">
        <f t="shared" si="299"/>
        <v>194</v>
      </c>
      <c r="BL212" s="187"/>
      <c r="BM212" s="187"/>
      <c r="BN212" s="188">
        <f>BD212*AM212</f>
        <v>21812196</v>
      </c>
      <c r="BO212" s="188">
        <f t="shared" si="300"/>
        <v>252006</v>
      </c>
      <c r="BP212" s="188">
        <f t="shared" si="301"/>
        <v>397506</v>
      </c>
      <c r="BQ212" s="188">
        <f t="shared" si="302"/>
        <v>0</v>
      </c>
      <c r="BR212" s="188">
        <f t="shared" si="303"/>
        <v>0</v>
      </c>
      <c r="BS212" s="188">
        <f t="shared" si="287"/>
        <v>22461708</v>
      </c>
      <c r="BT212" s="188">
        <f t="shared" si="288"/>
        <v>21812196</v>
      </c>
      <c r="BU212" s="188">
        <f t="shared" si="289"/>
        <v>252006</v>
      </c>
      <c r="BV212" s="188">
        <f t="shared" si="290"/>
        <v>397506</v>
      </c>
      <c r="BW212" s="188">
        <f t="shared" si="291"/>
        <v>0</v>
      </c>
      <c r="BX212" s="188">
        <f t="shared" si="292"/>
        <v>0</v>
      </c>
      <c r="BY212" s="188">
        <f t="shared" si="293"/>
        <v>22461708</v>
      </c>
      <c r="BZ212" s="305">
        <f>IF(COT_PRECALCULOS!$D$24="Precios Iva Incluído",BI212,BD212)</f>
        <v>194</v>
      </c>
      <c r="CA212" s="305">
        <f>IF(COT_PRECALCULOS!$D$24="Precios Iva Incluído",BJ212,BE212)</f>
        <v>194</v>
      </c>
      <c r="CB212" s="305">
        <f>IF(COT_PRECALCULOS!$D$24="Precios Iva Incluído",BK212,BF212)</f>
        <v>194</v>
      </c>
      <c r="CC212" s="305">
        <f>IF(COT_PRECALCULOS!$D$24="Precios Iva Incluído",BL212,BG212)</f>
        <v>0</v>
      </c>
      <c r="CD212" s="305">
        <f>IF(COT_PRECALCULOS!$D$24="Precios Iva Incluído",BM212,BH212)</f>
        <v>0</v>
      </c>
      <c r="CE212" s="305">
        <f>IF(COT_PRECALCULOS!$D$24="Precios Iva Incluído",BT212,BN212)</f>
        <v>21812196</v>
      </c>
      <c r="CF212" s="305">
        <f>IF(COT_PRECALCULOS!$D$24="Precios Iva Incluído",BU212,BO212)</f>
        <v>252006</v>
      </c>
      <c r="CG212" s="305">
        <f>IF(COT_PRECALCULOS!$D$24="Precios Iva Incluído",BV212,BP212)</f>
        <v>397506</v>
      </c>
      <c r="CH212" s="305">
        <f>IF(COT_PRECALCULOS!$D$24="Precios Iva Incluído",BW212,BQ212)</f>
        <v>0</v>
      </c>
      <c r="CI212" s="305">
        <f>IF(COT_PRECALCULOS!$D$24="Precios Iva Incluído",BX212,BR212)</f>
        <v>0</v>
      </c>
    </row>
    <row r="213" spans="1:87">
      <c r="A213" s="182" t="s">
        <v>102</v>
      </c>
      <c r="B213" s="182" t="s">
        <v>126</v>
      </c>
      <c r="C213" s="189" t="str">
        <f t="shared" si="282"/>
        <v>F_SE4</v>
      </c>
      <c r="D213" s="189" t="str">
        <f t="shared" si="283"/>
        <v>43_S_</v>
      </c>
      <c r="E213" s="211" t="s">
        <v>1</v>
      </c>
      <c r="F213" s="211" t="s">
        <v>1</v>
      </c>
      <c r="G213" s="189" t="s">
        <v>33</v>
      </c>
      <c r="H213" s="211"/>
      <c r="I213" s="211" t="s">
        <v>60</v>
      </c>
      <c r="J213" s="211">
        <v>43</v>
      </c>
      <c r="K213" s="211" t="s">
        <v>62</v>
      </c>
      <c r="L213" s="189" t="s">
        <v>9</v>
      </c>
      <c r="M213" s="211">
        <v>100</v>
      </c>
      <c r="N213" s="211">
        <v>100</v>
      </c>
      <c r="O213" s="211">
        <v>100</v>
      </c>
      <c r="P213" s="211"/>
      <c r="Q213" s="211"/>
      <c r="R213" s="211"/>
      <c r="S213" s="183">
        <f>COUNTIF(CAL_SEGUNDA_ENTREGA_LAV_FRUTA,CONCATENATE(G213,"_",J213))</f>
        <v>1</v>
      </c>
      <c r="T213" s="385">
        <f>$S213</f>
        <v>1</v>
      </c>
      <c r="U213" s="385">
        <f>$S213</f>
        <v>1</v>
      </c>
      <c r="V213" s="385">
        <f>$S213</f>
        <v>1</v>
      </c>
      <c r="W213" s="387"/>
      <c r="X213" s="387"/>
      <c r="Y213" s="184">
        <f t="shared" si="294"/>
        <v>28053</v>
      </c>
      <c r="Z213" s="184">
        <f>IF(N213&lt;&gt;0,VLOOKUP(A213,FRE_CANTIDADES_DIARIAS_SUMINISTROS,5,FALSE),0)</f>
        <v>31277</v>
      </c>
      <c r="AA213" s="184">
        <f>IF(O213&lt;&gt;0,VLOOKUP(A213,FRE_CANTIDADES_DIARIAS_SUMINISTROS,6,FALSE),0)</f>
        <v>46469</v>
      </c>
      <c r="AB213" s="184">
        <f t="shared" si="265"/>
        <v>0</v>
      </c>
      <c r="AC213" s="184">
        <f t="shared" si="266"/>
        <v>0</v>
      </c>
      <c r="AD213" s="184">
        <f t="shared" si="295"/>
        <v>105799</v>
      </c>
      <c r="AE213" s="388">
        <v>2</v>
      </c>
      <c r="AF213" s="388">
        <f>$AE213</f>
        <v>2</v>
      </c>
      <c r="AG213" s="388">
        <v>0</v>
      </c>
      <c r="AH213" s="388">
        <v>0</v>
      </c>
      <c r="AI213" s="185">
        <f t="shared" si="296"/>
        <v>74</v>
      </c>
      <c r="AJ213" s="185">
        <v>0</v>
      </c>
      <c r="AK213" s="185">
        <v>0</v>
      </c>
      <c r="AL213" s="185">
        <f t="shared" si="297"/>
        <v>74</v>
      </c>
      <c r="AM213" s="173">
        <f t="shared" si="305"/>
        <v>28201</v>
      </c>
      <c r="AN213" s="173">
        <f t="shared" si="244"/>
        <v>31277</v>
      </c>
      <c r="AO213" s="173">
        <f t="shared" si="245"/>
        <v>46469</v>
      </c>
      <c r="AP213" s="173">
        <f t="shared" si="284"/>
        <v>0</v>
      </c>
      <c r="AQ213" s="173">
        <f t="shared" si="285"/>
        <v>0</v>
      </c>
      <c r="AR213" s="173">
        <f t="shared" si="286"/>
        <v>105947</v>
      </c>
      <c r="AS213" s="186" t="s">
        <v>1363</v>
      </c>
      <c r="AT213" s="300">
        <f t="shared" si="306"/>
        <v>1.5892500000000001</v>
      </c>
      <c r="AU213" s="300">
        <f t="shared" si="306"/>
        <v>1.5892500000000001</v>
      </c>
      <c r="AV213" s="300">
        <f t="shared" si="306"/>
        <v>1.5892500000000001</v>
      </c>
      <c r="AW213" s="300">
        <f t="shared" si="306"/>
        <v>1.5892500000000001</v>
      </c>
      <c r="AX213" s="300">
        <f t="shared" si="306"/>
        <v>1.5892500000000001</v>
      </c>
      <c r="AY213" s="301">
        <f t="shared" si="304"/>
        <v>1.5892500000000001</v>
      </c>
      <c r="AZ213" s="301">
        <f t="shared" si="304"/>
        <v>1.5892500000000001</v>
      </c>
      <c r="BA213" s="301">
        <f t="shared" si="304"/>
        <v>1.5892500000000001</v>
      </c>
      <c r="BB213" s="301">
        <f t="shared" si="304"/>
        <v>1.5892500000000001</v>
      </c>
      <c r="BC213" s="301">
        <f t="shared" si="304"/>
        <v>1.5892500000000001</v>
      </c>
      <c r="BD213" s="187">
        <f>ROUND(IF(OR(M213=0,AT213="DATO NO DISPONIBLE"),"",AT213*M213*($BD$7+1)),0)</f>
        <v>170</v>
      </c>
      <c r="BE213" s="187">
        <f t="shared" si="246"/>
        <v>170</v>
      </c>
      <c r="BF213" s="187">
        <f t="shared" si="247"/>
        <v>170</v>
      </c>
      <c r="BG213" s="187"/>
      <c r="BH213" s="187"/>
      <c r="BI213" s="187">
        <f>ROUND(IF(OR(M213=0,AY213="DATO NO DISPONIBLE"),0,AY213*M213*($BD$7+1)),0)</f>
        <v>170</v>
      </c>
      <c r="BJ213" s="187">
        <f t="shared" si="298"/>
        <v>170</v>
      </c>
      <c r="BK213" s="187">
        <f t="shared" si="299"/>
        <v>170</v>
      </c>
      <c r="BL213" s="187"/>
      <c r="BM213" s="187"/>
      <c r="BN213" s="188">
        <f>BD213*AM213</f>
        <v>4794170</v>
      </c>
      <c r="BO213" s="188">
        <f t="shared" si="300"/>
        <v>5317090</v>
      </c>
      <c r="BP213" s="188">
        <f t="shared" si="301"/>
        <v>7899730</v>
      </c>
      <c r="BQ213" s="188">
        <f t="shared" si="302"/>
        <v>0</v>
      </c>
      <c r="BR213" s="188">
        <f t="shared" si="303"/>
        <v>0</v>
      </c>
      <c r="BS213" s="188">
        <f t="shared" si="287"/>
        <v>18010990</v>
      </c>
      <c r="BT213" s="188">
        <f t="shared" si="288"/>
        <v>4794170</v>
      </c>
      <c r="BU213" s="188">
        <f t="shared" si="289"/>
        <v>5317090</v>
      </c>
      <c r="BV213" s="188">
        <f t="shared" si="290"/>
        <v>7899730</v>
      </c>
      <c r="BW213" s="188">
        <f t="shared" si="291"/>
        <v>0</v>
      </c>
      <c r="BX213" s="188">
        <f t="shared" si="292"/>
        <v>0</v>
      </c>
      <c r="BY213" s="188">
        <f t="shared" si="293"/>
        <v>18010990</v>
      </c>
      <c r="BZ213" s="305">
        <f>IF(COT_PRECALCULOS!$D$24="Precios Iva Incluído",BI213,BD213)</f>
        <v>170</v>
      </c>
      <c r="CA213" s="305">
        <f>IF(COT_PRECALCULOS!$D$24="Precios Iva Incluído",BJ213,BE213)</f>
        <v>170</v>
      </c>
      <c r="CB213" s="305">
        <f>IF(COT_PRECALCULOS!$D$24="Precios Iva Incluído",BK213,BF213)</f>
        <v>170</v>
      </c>
      <c r="CC213" s="305">
        <f>IF(COT_PRECALCULOS!$D$24="Precios Iva Incluído",BL213,BG213)</f>
        <v>0</v>
      </c>
      <c r="CD213" s="305">
        <f>IF(COT_PRECALCULOS!$D$24="Precios Iva Incluído",BM213,BH213)</f>
        <v>0</v>
      </c>
      <c r="CE213" s="305">
        <f>IF(COT_PRECALCULOS!$D$24="Precios Iva Incluído",BT213,BN213)</f>
        <v>4794170</v>
      </c>
      <c r="CF213" s="305">
        <f>IF(COT_PRECALCULOS!$D$24="Precios Iva Incluído",BU213,BO213)</f>
        <v>5317090</v>
      </c>
      <c r="CG213" s="305">
        <f>IF(COT_PRECALCULOS!$D$24="Precios Iva Incluído",BV213,BP213)</f>
        <v>7899730</v>
      </c>
      <c r="CH213" s="305">
        <f>IF(COT_PRECALCULOS!$D$24="Precios Iva Incluído",BW213,BQ213)</f>
        <v>0</v>
      </c>
      <c r="CI213" s="305">
        <f>IF(COT_PRECALCULOS!$D$24="Precios Iva Incluído",BX213,BR213)</f>
        <v>0</v>
      </c>
    </row>
    <row r="214" spans="1:87">
      <c r="A214" s="182" t="s">
        <v>102</v>
      </c>
      <c r="B214" s="182" t="s">
        <v>126</v>
      </c>
      <c r="C214" s="189" t="str">
        <f t="shared" si="282"/>
        <v>F_SE4</v>
      </c>
      <c r="D214" s="189" t="str">
        <f t="shared" si="283"/>
        <v>46_S_</v>
      </c>
      <c r="E214" s="211" t="s">
        <v>1</v>
      </c>
      <c r="F214" s="211" t="s">
        <v>1</v>
      </c>
      <c r="G214" s="189" t="s">
        <v>33</v>
      </c>
      <c r="H214" s="211"/>
      <c r="I214" s="211" t="s">
        <v>63</v>
      </c>
      <c r="J214" s="211">
        <v>46</v>
      </c>
      <c r="K214" s="211" t="s">
        <v>64</v>
      </c>
      <c r="L214" s="189" t="s">
        <v>9</v>
      </c>
      <c r="M214" s="211">
        <v>100</v>
      </c>
      <c r="N214" s="211">
        <v>100</v>
      </c>
      <c r="O214" s="211">
        <v>100</v>
      </c>
      <c r="P214" s="211"/>
      <c r="Q214" s="211"/>
      <c r="R214" s="211"/>
      <c r="S214" s="183">
        <f>COUNTIF(CAL_SEGUNDA_ENTREGA_LAV_FRUTA,CONCATENATE(G214,"_",J214))</f>
        <v>2</v>
      </c>
      <c r="T214" s="385">
        <f>$S214</f>
        <v>2</v>
      </c>
      <c r="U214" s="385">
        <f>$S214</f>
        <v>2</v>
      </c>
      <c r="V214" s="385">
        <f>$S214</f>
        <v>2</v>
      </c>
      <c r="W214" s="387"/>
      <c r="X214" s="387"/>
      <c r="Y214" s="184">
        <f t="shared" si="294"/>
        <v>28053</v>
      </c>
      <c r="Z214" s="184">
        <f>IF(N214&lt;&gt;0,VLOOKUP(A214,FRE_CANTIDADES_DIARIAS_SUMINISTROS,5,FALSE),0)</f>
        <v>31277</v>
      </c>
      <c r="AA214" s="184">
        <f>IF(O214&lt;&gt;0,VLOOKUP(A214,FRE_CANTIDADES_DIARIAS_SUMINISTROS,6,FALSE),0)</f>
        <v>46469</v>
      </c>
      <c r="AB214" s="184">
        <f t="shared" si="265"/>
        <v>0</v>
      </c>
      <c r="AC214" s="184">
        <f t="shared" si="266"/>
        <v>0</v>
      </c>
      <c r="AD214" s="184">
        <f t="shared" si="295"/>
        <v>105799</v>
      </c>
      <c r="AE214" s="388">
        <v>1</v>
      </c>
      <c r="AF214" s="388">
        <f>$AE214</f>
        <v>1</v>
      </c>
      <c r="AG214" s="388">
        <v>0</v>
      </c>
      <c r="AH214" s="388">
        <v>0</v>
      </c>
      <c r="AI214" s="185">
        <f t="shared" si="296"/>
        <v>74</v>
      </c>
      <c r="AJ214" s="185">
        <v>0</v>
      </c>
      <c r="AK214" s="185">
        <v>0</v>
      </c>
      <c r="AL214" s="185">
        <f t="shared" si="297"/>
        <v>74</v>
      </c>
      <c r="AM214" s="173">
        <f t="shared" si="305"/>
        <v>56180</v>
      </c>
      <c r="AN214" s="173">
        <f t="shared" si="244"/>
        <v>62554</v>
      </c>
      <c r="AO214" s="173">
        <f t="shared" si="245"/>
        <v>92938</v>
      </c>
      <c r="AP214" s="173">
        <f t="shared" si="284"/>
        <v>0</v>
      </c>
      <c r="AQ214" s="173">
        <f t="shared" si="285"/>
        <v>0</v>
      </c>
      <c r="AR214" s="173">
        <f t="shared" si="286"/>
        <v>211672</v>
      </c>
      <c r="AS214" s="186" t="s">
        <v>1363</v>
      </c>
      <c r="AT214" s="300">
        <f t="shared" si="306"/>
        <v>3.7214999999999998</v>
      </c>
      <c r="AU214" s="300">
        <f t="shared" si="306"/>
        <v>3.7214999999999998</v>
      </c>
      <c r="AV214" s="300">
        <f t="shared" si="306"/>
        <v>3.7214999999999998</v>
      </c>
      <c r="AW214" s="300">
        <f t="shared" si="306"/>
        <v>3.7214999999999998</v>
      </c>
      <c r="AX214" s="300">
        <f t="shared" si="306"/>
        <v>3.7214999999999998</v>
      </c>
      <c r="AY214" s="301">
        <f t="shared" si="304"/>
        <v>3.7214999999999998</v>
      </c>
      <c r="AZ214" s="301">
        <f t="shared" si="304"/>
        <v>3.7214999999999998</v>
      </c>
      <c r="BA214" s="301">
        <f t="shared" si="304"/>
        <v>3.7214999999999998</v>
      </c>
      <c r="BB214" s="301">
        <f t="shared" si="304"/>
        <v>3.7214999999999998</v>
      </c>
      <c r="BC214" s="301">
        <f t="shared" si="304"/>
        <v>3.7214999999999998</v>
      </c>
      <c r="BD214" s="187">
        <f>ROUND(IF(OR(M214=0,AT214="DATO NO DISPONIBLE"),"",AT214*M214*($BD$7+1)),0)</f>
        <v>398</v>
      </c>
      <c r="BE214" s="187">
        <f t="shared" si="246"/>
        <v>398</v>
      </c>
      <c r="BF214" s="187">
        <f t="shared" si="247"/>
        <v>398</v>
      </c>
      <c r="BG214" s="187"/>
      <c r="BH214" s="187"/>
      <c r="BI214" s="187">
        <f>ROUND(IF(OR(M214=0,AY214="DATO NO DISPONIBLE"),0,AY214*M214*($BD$7+1)),0)</f>
        <v>398</v>
      </c>
      <c r="BJ214" s="187">
        <f t="shared" si="298"/>
        <v>398</v>
      </c>
      <c r="BK214" s="187">
        <f t="shared" si="299"/>
        <v>398</v>
      </c>
      <c r="BL214" s="187"/>
      <c r="BM214" s="187"/>
      <c r="BN214" s="188">
        <f>BD214*AM214</f>
        <v>22359640</v>
      </c>
      <c r="BO214" s="188">
        <f t="shared" si="300"/>
        <v>24896492</v>
      </c>
      <c r="BP214" s="188">
        <f t="shared" si="301"/>
        <v>36989324</v>
      </c>
      <c r="BQ214" s="188">
        <f t="shared" si="302"/>
        <v>0</v>
      </c>
      <c r="BR214" s="188">
        <f t="shared" si="303"/>
        <v>0</v>
      </c>
      <c r="BS214" s="188">
        <f t="shared" si="287"/>
        <v>84245456</v>
      </c>
      <c r="BT214" s="188">
        <f t="shared" si="288"/>
        <v>22359640</v>
      </c>
      <c r="BU214" s="188">
        <f t="shared" si="289"/>
        <v>24896492</v>
      </c>
      <c r="BV214" s="188">
        <f t="shared" si="290"/>
        <v>36989324</v>
      </c>
      <c r="BW214" s="188">
        <f t="shared" si="291"/>
        <v>0</v>
      </c>
      <c r="BX214" s="188">
        <f t="shared" si="292"/>
        <v>0</v>
      </c>
      <c r="BY214" s="188">
        <f t="shared" si="293"/>
        <v>84245456</v>
      </c>
      <c r="BZ214" s="305">
        <f>IF(COT_PRECALCULOS!$D$24="Precios Iva Incluído",BI214,BD214)</f>
        <v>398</v>
      </c>
      <c r="CA214" s="305">
        <f>IF(COT_PRECALCULOS!$D$24="Precios Iva Incluído",BJ214,BE214)</f>
        <v>398</v>
      </c>
      <c r="CB214" s="305">
        <f>IF(COT_PRECALCULOS!$D$24="Precios Iva Incluído",BK214,BF214)</f>
        <v>398</v>
      </c>
      <c r="CC214" s="305">
        <f>IF(COT_PRECALCULOS!$D$24="Precios Iva Incluído",BL214,BG214)</f>
        <v>0</v>
      </c>
      <c r="CD214" s="305">
        <f>IF(COT_PRECALCULOS!$D$24="Precios Iva Incluído",BM214,BH214)</f>
        <v>0</v>
      </c>
      <c r="CE214" s="305">
        <f>IF(COT_PRECALCULOS!$D$24="Precios Iva Incluído",BT214,BN214)</f>
        <v>22359640</v>
      </c>
      <c r="CF214" s="305">
        <f>IF(COT_PRECALCULOS!$D$24="Precios Iva Incluído",BU214,BO214)</f>
        <v>24896492</v>
      </c>
      <c r="CG214" s="305">
        <f>IF(COT_PRECALCULOS!$D$24="Precios Iva Incluído",BV214,BP214)</f>
        <v>36989324</v>
      </c>
      <c r="CH214" s="305">
        <f>IF(COT_PRECALCULOS!$D$24="Precios Iva Incluído",BW214,BQ214)</f>
        <v>0</v>
      </c>
      <c r="CI214" s="305">
        <f>IF(COT_PRECALCULOS!$D$24="Precios Iva Incluído",BX214,BR214)</f>
        <v>0</v>
      </c>
    </row>
    <row r="215" spans="1:87">
      <c r="A215" s="182" t="s">
        <v>102</v>
      </c>
      <c r="B215" s="182" t="s">
        <v>126</v>
      </c>
      <c r="C215" s="189" t="str">
        <f t="shared" si="282"/>
        <v>F_SE4</v>
      </c>
      <c r="D215" s="189" t="str">
        <f t="shared" si="283"/>
        <v>58_S_</v>
      </c>
      <c r="E215" s="190" t="s">
        <v>1</v>
      </c>
      <c r="F215" s="190" t="s">
        <v>1</v>
      </c>
      <c r="G215" s="189" t="s">
        <v>33</v>
      </c>
      <c r="H215" s="190"/>
      <c r="I215" s="190" t="s">
        <v>65</v>
      </c>
      <c r="J215" s="190">
        <v>58</v>
      </c>
      <c r="K215" s="190" t="s">
        <v>67</v>
      </c>
      <c r="L215" s="189" t="s">
        <v>9</v>
      </c>
      <c r="M215" s="211">
        <v>100</v>
      </c>
      <c r="N215" s="211">
        <v>100</v>
      </c>
      <c r="O215" s="211">
        <v>100</v>
      </c>
      <c r="P215" s="190"/>
      <c r="Q215" s="190"/>
      <c r="R215" s="190"/>
      <c r="S215" s="388">
        <v>1</v>
      </c>
      <c r="T215" s="388">
        <f>$S215</f>
        <v>1</v>
      </c>
      <c r="U215" s="388">
        <v>0</v>
      </c>
      <c r="V215" s="388">
        <v>0</v>
      </c>
      <c r="W215" s="387"/>
      <c r="X215" s="387"/>
      <c r="Y215" s="184">
        <f t="shared" si="294"/>
        <v>28053</v>
      </c>
      <c r="Z215" s="184">
        <v>0</v>
      </c>
      <c r="AA215" s="184">
        <v>0</v>
      </c>
      <c r="AB215" s="184">
        <f t="shared" si="265"/>
        <v>0</v>
      </c>
      <c r="AC215" s="184">
        <f t="shared" si="266"/>
        <v>0</v>
      </c>
      <c r="AD215" s="184">
        <f t="shared" si="295"/>
        <v>28053</v>
      </c>
      <c r="AE215" s="183">
        <f t="shared" ref="AE215:AE246" si="307">COUNTIF(CAL_SEGUNDA_ENTREGA_FDS_FRUTA,CONCATENATE(G215,"_",J215))</f>
        <v>2</v>
      </c>
      <c r="AF215" s="385">
        <f>$AE215</f>
        <v>2</v>
      </c>
      <c r="AG215" s="385">
        <f t="shared" ref="AG215:AH234" si="308">$AE215</f>
        <v>2</v>
      </c>
      <c r="AH215" s="385">
        <f t="shared" si="308"/>
        <v>2</v>
      </c>
      <c r="AI215" s="185">
        <f t="shared" si="296"/>
        <v>74</v>
      </c>
      <c r="AJ215" s="185">
        <f t="shared" ref="AJ215:AJ246" si="309">IF(OR(B215="NA",N215=0),0,VLOOKUP(B215,FRE_CANTIDADES_DIARIAS_SUMINISTROS,5,FALSE))</f>
        <v>433</v>
      </c>
      <c r="AK215" s="185">
        <f t="shared" ref="AK215:AK246" si="310">IF(OR(B215="NA",O215=0),0,VLOOKUP(B215,FRE_CANTIDADES_DIARIAS_SUMINISTROS,6,FALSE))</f>
        <v>683</v>
      </c>
      <c r="AL215" s="185">
        <f t="shared" si="297"/>
        <v>1190</v>
      </c>
      <c r="AM215" s="173">
        <f t="shared" si="305"/>
        <v>28201</v>
      </c>
      <c r="AN215" s="173">
        <f t="shared" si="244"/>
        <v>866</v>
      </c>
      <c r="AO215" s="173">
        <f t="shared" si="245"/>
        <v>1366</v>
      </c>
      <c r="AP215" s="173">
        <f t="shared" si="284"/>
        <v>0</v>
      </c>
      <c r="AQ215" s="173">
        <f t="shared" si="285"/>
        <v>0</v>
      </c>
      <c r="AR215" s="173">
        <f t="shared" si="286"/>
        <v>30433</v>
      </c>
      <c r="AS215" s="186" t="s">
        <v>1363</v>
      </c>
      <c r="AT215" s="300">
        <f t="shared" si="306"/>
        <v>1.4384999999999999</v>
      </c>
      <c r="AU215" s="300">
        <f t="shared" si="306"/>
        <v>1.4384999999999999</v>
      </c>
      <c r="AV215" s="300">
        <f t="shared" si="306"/>
        <v>1.4384999999999999</v>
      </c>
      <c r="AW215" s="300">
        <f t="shared" si="306"/>
        <v>1.4384999999999999</v>
      </c>
      <c r="AX215" s="300">
        <f t="shared" si="306"/>
        <v>1.4384999999999999</v>
      </c>
      <c r="AY215" s="301">
        <f t="shared" si="304"/>
        <v>1.4384999999999999</v>
      </c>
      <c r="AZ215" s="301">
        <f t="shared" si="304"/>
        <v>1.4384999999999999</v>
      </c>
      <c r="BA215" s="301">
        <f t="shared" si="304"/>
        <v>1.4384999999999999</v>
      </c>
      <c r="BB215" s="301">
        <f t="shared" si="304"/>
        <v>1.4384999999999999</v>
      </c>
      <c r="BC215" s="301">
        <f t="shared" si="304"/>
        <v>1.4384999999999999</v>
      </c>
      <c r="BD215" s="187">
        <f>ROUND(IF(OR(M215=0,AT215="DATO NO DISPONIBLE"),"",AT215*M215*($BD$7+1)),0)</f>
        <v>154</v>
      </c>
      <c r="BE215" s="187">
        <f t="shared" si="246"/>
        <v>154</v>
      </c>
      <c r="BF215" s="187">
        <f t="shared" si="247"/>
        <v>154</v>
      </c>
      <c r="BG215" s="187"/>
      <c r="BH215" s="187"/>
      <c r="BI215" s="187">
        <f>ROUND(IF(OR(M215=0,AY215="DATO NO DISPONIBLE"),0,AY215*M215*($BD$7+1)),0)</f>
        <v>154</v>
      </c>
      <c r="BJ215" s="187">
        <f t="shared" si="298"/>
        <v>154</v>
      </c>
      <c r="BK215" s="187">
        <f t="shared" si="299"/>
        <v>154</v>
      </c>
      <c r="BL215" s="187"/>
      <c r="BM215" s="187"/>
      <c r="BN215" s="188">
        <f>BD215*AM215</f>
        <v>4342954</v>
      </c>
      <c r="BO215" s="188">
        <f t="shared" si="300"/>
        <v>133364</v>
      </c>
      <c r="BP215" s="188">
        <f t="shared" si="301"/>
        <v>210364</v>
      </c>
      <c r="BQ215" s="188">
        <f t="shared" si="302"/>
        <v>0</v>
      </c>
      <c r="BR215" s="188">
        <f t="shared" si="303"/>
        <v>0</v>
      </c>
      <c r="BS215" s="188">
        <f t="shared" si="287"/>
        <v>4686682</v>
      </c>
      <c r="BT215" s="188">
        <f t="shared" si="288"/>
        <v>4342954</v>
      </c>
      <c r="BU215" s="188">
        <f t="shared" si="289"/>
        <v>133364</v>
      </c>
      <c r="BV215" s="188">
        <f t="shared" si="290"/>
        <v>210364</v>
      </c>
      <c r="BW215" s="188">
        <f t="shared" si="291"/>
        <v>0</v>
      </c>
      <c r="BX215" s="188">
        <f t="shared" si="292"/>
        <v>0</v>
      </c>
      <c r="BY215" s="188">
        <f t="shared" si="293"/>
        <v>4686682</v>
      </c>
      <c r="BZ215" s="305">
        <f>IF(COT_PRECALCULOS!$D$24="Precios Iva Incluído",BI215,BD215)</f>
        <v>154</v>
      </c>
      <c r="CA215" s="305">
        <f>IF(COT_PRECALCULOS!$D$24="Precios Iva Incluído",BJ215,BE215)</f>
        <v>154</v>
      </c>
      <c r="CB215" s="305">
        <f>IF(COT_PRECALCULOS!$D$24="Precios Iva Incluído",BK215,BF215)</f>
        <v>154</v>
      </c>
      <c r="CC215" s="305">
        <f>IF(COT_PRECALCULOS!$D$24="Precios Iva Incluído",BL215,BG215)</f>
        <v>0</v>
      </c>
      <c r="CD215" s="305">
        <f>IF(COT_PRECALCULOS!$D$24="Precios Iva Incluído",BM215,BH215)</f>
        <v>0</v>
      </c>
      <c r="CE215" s="305">
        <f>IF(COT_PRECALCULOS!$D$24="Precios Iva Incluído",BT215,BN215)</f>
        <v>4342954</v>
      </c>
      <c r="CF215" s="305">
        <f>IF(COT_PRECALCULOS!$D$24="Precios Iva Incluído",BU215,BO215)</f>
        <v>133364</v>
      </c>
      <c r="CG215" s="305">
        <f>IF(COT_PRECALCULOS!$D$24="Precios Iva Incluído",BV215,BP215)</f>
        <v>210364</v>
      </c>
      <c r="CH215" s="305">
        <f>IF(COT_PRECALCULOS!$D$24="Precios Iva Incluído",BW215,BQ215)</f>
        <v>0</v>
      </c>
      <c r="CI215" s="305">
        <f>IF(COT_PRECALCULOS!$D$24="Precios Iva Incluído",BX215,BR215)</f>
        <v>0</v>
      </c>
    </row>
    <row r="216" spans="1:87">
      <c r="A216" s="182" t="s">
        <v>102</v>
      </c>
      <c r="B216" s="182" t="s">
        <v>126</v>
      </c>
      <c r="C216" s="189" t="str">
        <f t="shared" si="282"/>
        <v>F_SE4</v>
      </c>
      <c r="D216" s="189" t="str">
        <f t="shared" si="283"/>
        <v>59_S_</v>
      </c>
      <c r="E216" s="190" t="s">
        <v>1</v>
      </c>
      <c r="F216" s="190" t="s">
        <v>1</v>
      </c>
      <c r="G216" s="189" t="s">
        <v>33</v>
      </c>
      <c r="H216" s="190"/>
      <c r="I216" s="190" t="s">
        <v>66</v>
      </c>
      <c r="J216" s="190">
        <v>59</v>
      </c>
      <c r="K216" s="190" t="s">
        <v>99</v>
      </c>
      <c r="L216" s="189" t="s">
        <v>9</v>
      </c>
      <c r="M216" s="386">
        <v>0</v>
      </c>
      <c r="N216" s="211">
        <v>100</v>
      </c>
      <c r="O216" s="211">
        <v>100</v>
      </c>
      <c r="P216" s="190"/>
      <c r="Q216" s="190"/>
      <c r="R216" s="190" t="s">
        <v>73</v>
      </c>
      <c r="S216" s="183">
        <f t="shared" ref="S216:S227" si="311">COUNTIF(CAL_SEGUNDA_ENTREGA_LAV_FRUTA,CONCATENATE(G216,"_",J216))</f>
        <v>0</v>
      </c>
      <c r="T216" s="386">
        <v>0</v>
      </c>
      <c r="U216" s="385">
        <f t="shared" ref="U216:V227" si="312">$S216</f>
        <v>0</v>
      </c>
      <c r="V216" s="385">
        <f t="shared" si="312"/>
        <v>0</v>
      </c>
      <c r="W216" s="387"/>
      <c r="X216" s="387"/>
      <c r="Y216" s="184">
        <f t="shared" si="294"/>
        <v>0</v>
      </c>
      <c r="Z216" s="184">
        <f t="shared" ref="Z216:Z227" si="313">IF(N216&lt;&gt;0,VLOOKUP(A216,FRE_CANTIDADES_DIARIAS_SUMINISTROS,5,FALSE),0)</f>
        <v>31277</v>
      </c>
      <c r="AA216" s="184">
        <f t="shared" ref="AA216:AA227" si="314">IF(O216&lt;&gt;0,VLOOKUP(A216,FRE_CANTIDADES_DIARIAS_SUMINISTROS,6,FALSE),0)</f>
        <v>46469</v>
      </c>
      <c r="AB216" s="184">
        <f t="shared" ref="AB216:AB247" si="315">IF(P216&lt;&gt;0,VLOOKUP(A216,FRE_CANTIDADES_DIARIAS_SUMINISTROS,7,FALSE),0)</f>
        <v>0</v>
      </c>
      <c r="AC216" s="184">
        <f t="shared" ref="AC216:AC247" si="316">IF(Q216&lt;&gt;0,VLOOKUP(A216,FRE_CANTIDADES_DIARIAS_SUMINISTROS,8,FALSE),0)</f>
        <v>0</v>
      </c>
      <c r="AD216" s="184">
        <f t="shared" si="295"/>
        <v>77746</v>
      </c>
      <c r="AE216" s="183">
        <f t="shared" si="307"/>
        <v>0</v>
      </c>
      <c r="AF216" s="386">
        <v>0</v>
      </c>
      <c r="AG216" s="385">
        <f t="shared" si="308"/>
        <v>0</v>
      </c>
      <c r="AH216" s="385">
        <f t="shared" si="308"/>
        <v>0</v>
      </c>
      <c r="AI216" s="185">
        <f t="shared" si="296"/>
        <v>0</v>
      </c>
      <c r="AJ216" s="185">
        <f t="shared" si="309"/>
        <v>433</v>
      </c>
      <c r="AK216" s="185">
        <f t="shared" si="310"/>
        <v>683</v>
      </c>
      <c r="AL216" s="185">
        <f t="shared" si="297"/>
        <v>1116</v>
      </c>
      <c r="AM216" s="173">
        <f t="shared" si="305"/>
        <v>0</v>
      </c>
      <c r="AN216" s="173">
        <f t="shared" si="244"/>
        <v>0</v>
      </c>
      <c r="AO216" s="173">
        <f t="shared" si="245"/>
        <v>0</v>
      </c>
      <c r="AP216" s="173">
        <f t="shared" si="284"/>
        <v>0</v>
      </c>
      <c r="AQ216" s="173">
        <f t="shared" si="285"/>
        <v>0</v>
      </c>
      <c r="AR216" s="173">
        <f t="shared" si="286"/>
        <v>0</v>
      </c>
      <c r="AS216" s="186" t="s">
        <v>1363</v>
      </c>
      <c r="AT216" s="300">
        <f t="shared" si="306"/>
        <v>2.6785000000000001</v>
      </c>
      <c r="AU216" s="300">
        <f t="shared" si="306"/>
        <v>2.6785000000000001</v>
      </c>
      <c r="AV216" s="300">
        <f t="shared" si="306"/>
        <v>2.6785000000000001</v>
      </c>
      <c r="AW216" s="300">
        <f t="shared" si="306"/>
        <v>2.6785000000000001</v>
      </c>
      <c r="AX216" s="300">
        <f t="shared" si="306"/>
        <v>2.6785000000000001</v>
      </c>
      <c r="AY216" s="301">
        <f t="shared" si="304"/>
        <v>2.6785000000000001</v>
      </c>
      <c r="AZ216" s="301">
        <f t="shared" si="304"/>
        <v>2.6785000000000001</v>
      </c>
      <c r="BA216" s="301">
        <f t="shared" si="304"/>
        <v>2.6785000000000001</v>
      </c>
      <c r="BB216" s="301">
        <f t="shared" si="304"/>
        <v>2.6785000000000001</v>
      </c>
      <c r="BC216" s="301">
        <f t="shared" si="304"/>
        <v>2.6785000000000001</v>
      </c>
      <c r="BD216" s="187"/>
      <c r="BE216" s="187">
        <f t="shared" si="246"/>
        <v>286</v>
      </c>
      <c r="BF216" s="187">
        <f t="shared" si="247"/>
        <v>286</v>
      </c>
      <c r="BG216" s="187"/>
      <c r="BH216" s="187"/>
      <c r="BI216" s="187"/>
      <c r="BJ216" s="187">
        <f t="shared" si="298"/>
        <v>286</v>
      </c>
      <c r="BK216" s="187">
        <f t="shared" si="299"/>
        <v>286</v>
      </c>
      <c r="BL216" s="187"/>
      <c r="BM216" s="187"/>
      <c r="BN216" s="188"/>
      <c r="BO216" s="188">
        <f t="shared" si="300"/>
        <v>0</v>
      </c>
      <c r="BP216" s="188">
        <f t="shared" si="301"/>
        <v>0</v>
      </c>
      <c r="BQ216" s="188">
        <f t="shared" si="302"/>
        <v>0</v>
      </c>
      <c r="BR216" s="188">
        <f t="shared" si="303"/>
        <v>0</v>
      </c>
      <c r="BS216" s="188">
        <f t="shared" si="287"/>
        <v>0</v>
      </c>
      <c r="BT216" s="188">
        <f t="shared" si="288"/>
        <v>0</v>
      </c>
      <c r="BU216" s="188">
        <f t="shared" si="289"/>
        <v>0</v>
      </c>
      <c r="BV216" s="188">
        <f t="shared" si="290"/>
        <v>0</v>
      </c>
      <c r="BW216" s="188">
        <f t="shared" si="291"/>
        <v>0</v>
      </c>
      <c r="BX216" s="188">
        <f t="shared" si="292"/>
        <v>0</v>
      </c>
      <c r="BY216" s="188">
        <f t="shared" si="293"/>
        <v>0</v>
      </c>
      <c r="BZ216" s="305">
        <f>IF(COT_PRECALCULOS!$D$24="Precios Iva Incluído",BI216,BD216)</f>
        <v>0</v>
      </c>
      <c r="CA216" s="305">
        <f>IF(COT_PRECALCULOS!$D$24="Precios Iva Incluído",BJ216,BE216)</f>
        <v>286</v>
      </c>
      <c r="CB216" s="305">
        <f>IF(COT_PRECALCULOS!$D$24="Precios Iva Incluído",BK216,BF216)</f>
        <v>286</v>
      </c>
      <c r="CC216" s="305">
        <f>IF(COT_PRECALCULOS!$D$24="Precios Iva Incluído",BL216,BG216)</f>
        <v>0</v>
      </c>
      <c r="CD216" s="305">
        <f>IF(COT_PRECALCULOS!$D$24="Precios Iva Incluído",BM216,BH216)</f>
        <v>0</v>
      </c>
      <c r="CE216" s="305">
        <f>IF(COT_PRECALCULOS!$D$24="Precios Iva Incluído",BT216,BN216)</f>
        <v>0</v>
      </c>
      <c r="CF216" s="305">
        <f>IF(COT_PRECALCULOS!$D$24="Precios Iva Incluído",BU216,BO216)</f>
        <v>0</v>
      </c>
      <c r="CG216" s="305">
        <f>IF(COT_PRECALCULOS!$D$24="Precios Iva Incluído",BV216,BP216)</f>
        <v>0</v>
      </c>
      <c r="CH216" s="305">
        <f>IF(COT_PRECALCULOS!$D$24="Precios Iva Incluído",BW216,BQ216)</f>
        <v>0</v>
      </c>
      <c r="CI216" s="305">
        <f>IF(COT_PRECALCULOS!$D$24="Precios Iva Incluído",BX216,BR216)</f>
        <v>0</v>
      </c>
    </row>
    <row r="217" spans="1:87">
      <c r="A217" s="182" t="s">
        <v>102</v>
      </c>
      <c r="B217" s="182" t="s">
        <v>126</v>
      </c>
      <c r="C217" s="189" t="str">
        <f t="shared" si="282"/>
        <v>F_SE4</v>
      </c>
      <c r="D217" s="189" t="str">
        <f t="shared" si="283"/>
        <v>69_S_</v>
      </c>
      <c r="E217" s="190" t="s">
        <v>1</v>
      </c>
      <c r="F217" s="190" t="s">
        <v>1</v>
      </c>
      <c r="G217" s="189" t="s">
        <v>33</v>
      </c>
      <c r="H217" s="190"/>
      <c r="I217" s="190" t="s">
        <v>68</v>
      </c>
      <c r="J217" s="190">
        <v>69</v>
      </c>
      <c r="K217" s="190" t="s">
        <v>70</v>
      </c>
      <c r="L217" s="189" t="s">
        <v>9</v>
      </c>
      <c r="M217" s="211">
        <v>100</v>
      </c>
      <c r="N217" s="211">
        <v>100</v>
      </c>
      <c r="O217" s="211">
        <v>100</v>
      </c>
      <c r="P217" s="190"/>
      <c r="Q217" s="190"/>
      <c r="R217" s="190"/>
      <c r="S217" s="183">
        <f t="shared" si="311"/>
        <v>0</v>
      </c>
      <c r="T217" s="385">
        <f>$S217</f>
        <v>0</v>
      </c>
      <c r="U217" s="385">
        <f t="shared" si="312"/>
        <v>0</v>
      </c>
      <c r="V217" s="385">
        <f t="shared" si="312"/>
        <v>0</v>
      </c>
      <c r="W217" s="387"/>
      <c r="X217" s="387"/>
      <c r="Y217" s="184">
        <f t="shared" si="294"/>
        <v>28053</v>
      </c>
      <c r="Z217" s="184">
        <f t="shared" si="313"/>
        <v>31277</v>
      </c>
      <c r="AA217" s="184">
        <f t="shared" si="314"/>
        <v>46469</v>
      </c>
      <c r="AB217" s="184">
        <f t="shared" si="315"/>
        <v>0</v>
      </c>
      <c r="AC217" s="184">
        <f t="shared" si="316"/>
        <v>0</v>
      </c>
      <c r="AD217" s="184">
        <f t="shared" si="295"/>
        <v>105799</v>
      </c>
      <c r="AE217" s="183">
        <f t="shared" si="307"/>
        <v>1</v>
      </c>
      <c r="AF217" s="385">
        <f>$AE217</f>
        <v>1</v>
      </c>
      <c r="AG217" s="385">
        <f t="shared" si="308"/>
        <v>1</v>
      </c>
      <c r="AH217" s="385">
        <f t="shared" si="308"/>
        <v>1</v>
      </c>
      <c r="AI217" s="185">
        <f t="shared" si="296"/>
        <v>74</v>
      </c>
      <c r="AJ217" s="185">
        <f t="shared" si="309"/>
        <v>433</v>
      </c>
      <c r="AK217" s="185">
        <f t="shared" si="310"/>
        <v>683</v>
      </c>
      <c r="AL217" s="185">
        <f t="shared" si="297"/>
        <v>1190</v>
      </c>
      <c r="AM217" s="173">
        <f t="shared" si="305"/>
        <v>74</v>
      </c>
      <c r="AN217" s="173">
        <f t="shared" si="244"/>
        <v>433</v>
      </c>
      <c r="AO217" s="173">
        <f t="shared" si="245"/>
        <v>683</v>
      </c>
      <c r="AP217" s="173">
        <f t="shared" si="284"/>
        <v>0</v>
      </c>
      <c r="AQ217" s="173">
        <f t="shared" si="285"/>
        <v>0</v>
      </c>
      <c r="AR217" s="173">
        <f t="shared" si="286"/>
        <v>1190</v>
      </c>
      <c r="AS217" s="186" t="s">
        <v>1363</v>
      </c>
      <c r="AT217" s="300">
        <f t="shared" si="306"/>
        <v>2.8519999999999999</v>
      </c>
      <c r="AU217" s="300">
        <f t="shared" si="306"/>
        <v>2.8519999999999999</v>
      </c>
      <c r="AV217" s="300">
        <f t="shared" si="306"/>
        <v>2.8519999999999999</v>
      </c>
      <c r="AW217" s="300">
        <f t="shared" si="306"/>
        <v>2.8519999999999999</v>
      </c>
      <c r="AX217" s="300">
        <f t="shared" si="306"/>
        <v>2.8519999999999999</v>
      </c>
      <c r="AY217" s="301">
        <f t="shared" si="304"/>
        <v>2.8519999999999999</v>
      </c>
      <c r="AZ217" s="301">
        <f t="shared" si="304"/>
        <v>2.8519999999999999</v>
      </c>
      <c r="BA217" s="301">
        <f t="shared" si="304"/>
        <v>2.8519999999999999</v>
      </c>
      <c r="BB217" s="301">
        <f t="shared" si="304"/>
        <v>2.8519999999999999</v>
      </c>
      <c r="BC217" s="301">
        <f t="shared" si="304"/>
        <v>2.8519999999999999</v>
      </c>
      <c r="BD217" s="187">
        <f>ROUND(IF(OR(M217=0,AT217="DATO NO DISPONIBLE"),"",AT217*M217*($BD$7+1)),0)</f>
        <v>305</v>
      </c>
      <c r="BE217" s="187">
        <f t="shared" si="246"/>
        <v>305</v>
      </c>
      <c r="BF217" s="187">
        <f t="shared" si="247"/>
        <v>305</v>
      </c>
      <c r="BG217" s="187"/>
      <c r="BH217" s="187"/>
      <c r="BI217" s="187">
        <f>ROUND(IF(OR(M217=0,AY217="DATO NO DISPONIBLE"),0,AY217*M217*($BD$7+1)),0)</f>
        <v>305</v>
      </c>
      <c r="BJ217" s="187">
        <f t="shared" si="298"/>
        <v>305</v>
      </c>
      <c r="BK217" s="187">
        <f t="shared" si="299"/>
        <v>305</v>
      </c>
      <c r="BL217" s="187"/>
      <c r="BM217" s="187"/>
      <c r="BN217" s="188">
        <f>BD217*AM217</f>
        <v>22570</v>
      </c>
      <c r="BO217" s="188">
        <f t="shared" si="300"/>
        <v>132065</v>
      </c>
      <c r="BP217" s="188">
        <f t="shared" si="301"/>
        <v>208315</v>
      </c>
      <c r="BQ217" s="188">
        <f t="shared" si="302"/>
        <v>0</v>
      </c>
      <c r="BR217" s="188">
        <f t="shared" si="303"/>
        <v>0</v>
      </c>
      <c r="BS217" s="188">
        <f t="shared" si="287"/>
        <v>362950</v>
      </c>
      <c r="BT217" s="188">
        <f t="shared" si="288"/>
        <v>22570</v>
      </c>
      <c r="BU217" s="188">
        <f t="shared" si="289"/>
        <v>132065</v>
      </c>
      <c r="BV217" s="188">
        <f t="shared" si="290"/>
        <v>208315</v>
      </c>
      <c r="BW217" s="188">
        <f t="shared" si="291"/>
        <v>0</v>
      </c>
      <c r="BX217" s="188">
        <f t="shared" si="292"/>
        <v>0</v>
      </c>
      <c r="BY217" s="188">
        <f t="shared" si="293"/>
        <v>362950</v>
      </c>
      <c r="BZ217" s="305">
        <f>IF(COT_PRECALCULOS!$D$24="Precios Iva Incluído",BI217,BD217)</f>
        <v>305</v>
      </c>
      <c r="CA217" s="305">
        <f>IF(COT_PRECALCULOS!$D$24="Precios Iva Incluído",BJ217,BE217)</f>
        <v>305</v>
      </c>
      <c r="CB217" s="305">
        <f>IF(COT_PRECALCULOS!$D$24="Precios Iva Incluído",BK217,BF217)</f>
        <v>305</v>
      </c>
      <c r="CC217" s="305">
        <f>IF(COT_PRECALCULOS!$D$24="Precios Iva Incluído",BL217,BG217)</f>
        <v>0</v>
      </c>
      <c r="CD217" s="305">
        <f>IF(COT_PRECALCULOS!$D$24="Precios Iva Incluído",BM217,BH217)</f>
        <v>0</v>
      </c>
      <c r="CE217" s="305">
        <f>IF(COT_PRECALCULOS!$D$24="Precios Iva Incluído",BT217,BN217)</f>
        <v>22570</v>
      </c>
      <c r="CF217" s="305">
        <f>IF(COT_PRECALCULOS!$D$24="Precios Iva Incluído",BU217,BO217)</f>
        <v>132065</v>
      </c>
      <c r="CG217" s="305">
        <f>IF(COT_PRECALCULOS!$D$24="Precios Iva Incluído",BV217,BP217)</f>
        <v>208315</v>
      </c>
      <c r="CH217" s="305">
        <f>IF(COT_PRECALCULOS!$D$24="Precios Iva Incluído",BW217,BQ217)</f>
        <v>0</v>
      </c>
      <c r="CI217" s="305">
        <f>IF(COT_PRECALCULOS!$D$24="Precios Iva Incluído",BX217,BR217)</f>
        <v>0</v>
      </c>
    </row>
    <row r="218" spans="1:87">
      <c r="A218" s="182" t="s">
        <v>102</v>
      </c>
      <c r="B218" s="182" t="s">
        <v>126</v>
      </c>
      <c r="C218" s="189" t="str">
        <f t="shared" si="282"/>
        <v>F_SE4</v>
      </c>
      <c r="D218" s="189" t="str">
        <f t="shared" si="283"/>
        <v>70_S_</v>
      </c>
      <c r="E218" s="190" t="s">
        <v>1</v>
      </c>
      <c r="F218" s="190" t="s">
        <v>1</v>
      </c>
      <c r="G218" s="189" t="s">
        <v>33</v>
      </c>
      <c r="H218" s="190"/>
      <c r="I218" s="190" t="s">
        <v>69</v>
      </c>
      <c r="J218" s="190">
        <v>70</v>
      </c>
      <c r="K218" s="190" t="s">
        <v>71</v>
      </c>
      <c r="L218" s="189" t="s">
        <v>9</v>
      </c>
      <c r="M218" s="191">
        <v>0</v>
      </c>
      <c r="N218" s="211">
        <v>100</v>
      </c>
      <c r="O218" s="211">
        <v>100</v>
      </c>
      <c r="P218" s="190"/>
      <c r="Q218" s="190"/>
      <c r="R218" s="190" t="s">
        <v>73</v>
      </c>
      <c r="S218" s="183">
        <f t="shared" si="311"/>
        <v>0</v>
      </c>
      <c r="T218" s="386">
        <v>0</v>
      </c>
      <c r="U218" s="385">
        <f t="shared" si="312"/>
        <v>0</v>
      </c>
      <c r="V218" s="385">
        <f t="shared" si="312"/>
        <v>0</v>
      </c>
      <c r="W218" s="387"/>
      <c r="X218" s="387"/>
      <c r="Y218" s="184">
        <f t="shared" si="294"/>
        <v>0</v>
      </c>
      <c r="Z218" s="184">
        <f t="shared" si="313"/>
        <v>31277</v>
      </c>
      <c r="AA218" s="184">
        <f t="shared" si="314"/>
        <v>46469</v>
      </c>
      <c r="AB218" s="184">
        <f t="shared" si="315"/>
        <v>0</v>
      </c>
      <c r="AC218" s="184">
        <f t="shared" si="316"/>
        <v>0</v>
      </c>
      <c r="AD218" s="184">
        <f t="shared" si="295"/>
        <v>77746</v>
      </c>
      <c r="AE218" s="183">
        <f t="shared" si="307"/>
        <v>1</v>
      </c>
      <c r="AF218" s="386">
        <v>0</v>
      </c>
      <c r="AG218" s="385">
        <f t="shared" si="308"/>
        <v>1</v>
      </c>
      <c r="AH218" s="385">
        <f t="shared" si="308"/>
        <v>1</v>
      </c>
      <c r="AI218" s="185">
        <f t="shared" si="296"/>
        <v>0</v>
      </c>
      <c r="AJ218" s="185">
        <f t="shared" si="309"/>
        <v>433</v>
      </c>
      <c r="AK218" s="185">
        <f t="shared" si="310"/>
        <v>683</v>
      </c>
      <c r="AL218" s="185">
        <f t="shared" si="297"/>
        <v>1116</v>
      </c>
      <c r="AM218" s="173">
        <v>0</v>
      </c>
      <c r="AN218" s="173">
        <f t="shared" si="244"/>
        <v>433</v>
      </c>
      <c r="AO218" s="173">
        <f t="shared" si="245"/>
        <v>683</v>
      </c>
      <c r="AP218" s="173">
        <f t="shared" si="284"/>
        <v>0</v>
      </c>
      <c r="AQ218" s="173">
        <f t="shared" si="285"/>
        <v>0</v>
      </c>
      <c r="AR218" s="173">
        <f t="shared" si="286"/>
        <v>1116</v>
      </c>
      <c r="AS218" s="186" t="s">
        <v>1363</v>
      </c>
      <c r="AT218" s="300">
        <f t="shared" si="306"/>
        <v>4.0575000000000001</v>
      </c>
      <c r="AU218" s="300">
        <f t="shared" si="306"/>
        <v>4.0575000000000001</v>
      </c>
      <c r="AV218" s="300">
        <f t="shared" si="306"/>
        <v>4.0575000000000001</v>
      </c>
      <c r="AW218" s="300">
        <f t="shared" si="306"/>
        <v>4.0575000000000001</v>
      </c>
      <c r="AX218" s="300">
        <f t="shared" si="306"/>
        <v>4.0575000000000001</v>
      </c>
      <c r="AY218" s="301">
        <f t="shared" ref="AY218:BC227" si="317">IF(ISERROR(MATCH(CONCATENATE($J218,"_",AY$1),COT_PRE_CODIGO_ALIMENTOS,0)),IF(ISERROR(MATCH(CONCATENATE($J218,"_",AY$2),COT_PRE_CODIGO_ALIMENTOS,0)),IF(ISERROR(MATCH(CONCATENATE($J218,"_",AY$3),COT_PRE_CODIGO_ALIMENTOS,0)),IF(ISERROR(MATCH(CONCATENATE($J218,"_",AY$4),COT_PRE_CODIGO_ALIMENTOS,0)),IF(ISERROR(MATCH(CONCATENATE($J218,"_",AY$5),COT_PRE_CODIGO_ALIMENTOS,0)),IF(ISERROR(MATCH(CONCATENATE($J218,"_",AY$6),COT_PRE_CODIGO_ALIMENTOS,0)),IF(ISERROR(MATCH(CONCATENATE($J218,"_",AY$7),COT_PRE_CODIGO_ALIMENTOS,0)),IF(ISERROR(VLOOKUP($J218,COT_PRE_ALIMENTOS,AY$8,FALSE)),"DATO NO DISPONIBLE",VLOOKUP($J218,COT_PRE_ALIMENTOS,AY$8,FALSE)),VLOOKUP(CONCATENATE($J218,"_",AY$7),COT_PRE_ALIMENTOS,AY$8,FALSE)),VLOOKUP(CONCATENATE($J218,"_",AY$6),COT_PRE_ALIMENTOS,AY$8,FALSE)),VLOOKUP(CONCATENATE($J218,"_",AY$5),COT_PRE_ALIMENTOS,AY$8,FALSE)),VLOOKUP(CONCATENATE($J218,"_",AY$4),COT_PRE_ALIMENTOS,AY$8,FALSE)),VLOOKUP(CONCATENATE($J218,"_",AY$3),COT_PRE_ALIMENTOS,AY$8,FALSE)),VLOOKUP(CONCATENATE($J218,"_",AY$2),COT_PRE_ALIMENTOS,AY$8,FALSE)),VLOOKUP(CONCATENATE($J218,"_",AY$1),COT_PRE_ALIMENTOS,AY$8,FALSE))</f>
        <v>4.0575000000000001</v>
      </c>
      <c r="AZ218" s="301">
        <f t="shared" si="317"/>
        <v>4.0575000000000001</v>
      </c>
      <c r="BA218" s="301">
        <f t="shared" si="317"/>
        <v>4.0575000000000001</v>
      </c>
      <c r="BB218" s="301">
        <f t="shared" si="317"/>
        <v>4.0575000000000001</v>
      </c>
      <c r="BC218" s="301">
        <f t="shared" si="317"/>
        <v>4.0575000000000001</v>
      </c>
      <c r="BD218" s="187"/>
      <c r="BE218" s="187">
        <f t="shared" si="246"/>
        <v>434</v>
      </c>
      <c r="BF218" s="187">
        <f t="shared" si="247"/>
        <v>434</v>
      </c>
      <c r="BG218" s="187"/>
      <c r="BH218" s="187"/>
      <c r="BI218" s="187"/>
      <c r="BJ218" s="187">
        <f t="shared" si="298"/>
        <v>434</v>
      </c>
      <c r="BK218" s="187">
        <f t="shared" si="299"/>
        <v>434</v>
      </c>
      <c r="BL218" s="187"/>
      <c r="BM218" s="187"/>
      <c r="BN218" s="188"/>
      <c r="BO218" s="188">
        <f t="shared" si="300"/>
        <v>187922</v>
      </c>
      <c r="BP218" s="188">
        <f t="shared" si="301"/>
        <v>296422</v>
      </c>
      <c r="BQ218" s="188">
        <f t="shared" si="302"/>
        <v>0</v>
      </c>
      <c r="BR218" s="188">
        <f t="shared" si="303"/>
        <v>0</v>
      </c>
      <c r="BS218" s="188">
        <f t="shared" si="287"/>
        <v>484344</v>
      </c>
      <c r="BT218" s="188">
        <f t="shared" si="288"/>
        <v>0</v>
      </c>
      <c r="BU218" s="188">
        <f t="shared" si="289"/>
        <v>187922</v>
      </c>
      <c r="BV218" s="188">
        <f t="shared" si="290"/>
        <v>296422</v>
      </c>
      <c r="BW218" s="188">
        <f t="shared" si="291"/>
        <v>0</v>
      </c>
      <c r="BX218" s="188">
        <f t="shared" si="292"/>
        <v>0</v>
      </c>
      <c r="BY218" s="188">
        <f t="shared" si="293"/>
        <v>484344</v>
      </c>
      <c r="BZ218" s="305">
        <f>IF(COT_PRECALCULOS!$D$24="Precios Iva Incluído",BI218,BD218)</f>
        <v>0</v>
      </c>
      <c r="CA218" s="305">
        <f>IF(COT_PRECALCULOS!$D$24="Precios Iva Incluído",BJ218,BE218)</f>
        <v>434</v>
      </c>
      <c r="CB218" s="305">
        <f>IF(COT_PRECALCULOS!$D$24="Precios Iva Incluído",BK218,BF218)</f>
        <v>434</v>
      </c>
      <c r="CC218" s="305">
        <f>IF(COT_PRECALCULOS!$D$24="Precios Iva Incluído",BL218,BG218)</f>
        <v>0</v>
      </c>
      <c r="CD218" s="305">
        <f>IF(COT_PRECALCULOS!$D$24="Precios Iva Incluído",BM218,BH218)</f>
        <v>0</v>
      </c>
      <c r="CE218" s="305">
        <f>IF(COT_PRECALCULOS!$D$24="Precios Iva Incluído",BT218,BN218)</f>
        <v>0</v>
      </c>
      <c r="CF218" s="305">
        <f>IF(COT_PRECALCULOS!$D$24="Precios Iva Incluído",BU218,BO218)</f>
        <v>187922</v>
      </c>
      <c r="CG218" s="305">
        <f>IF(COT_PRECALCULOS!$D$24="Precios Iva Incluído",BV218,BP218)</f>
        <v>296422</v>
      </c>
      <c r="CH218" s="305">
        <f>IF(COT_PRECALCULOS!$D$24="Precios Iva Incluído",BW218,BQ218)</f>
        <v>0</v>
      </c>
      <c r="CI218" s="305">
        <f>IF(COT_PRECALCULOS!$D$24="Precios Iva Incluído",BX218,BR218)</f>
        <v>0</v>
      </c>
    </row>
    <row r="219" spans="1:87">
      <c r="A219" s="182" t="s">
        <v>102</v>
      </c>
      <c r="B219" s="182" t="s">
        <v>126</v>
      </c>
      <c r="C219" s="189" t="str">
        <f t="shared" si="282"/>
        <v>F_SE4</v>
      </c>
      <c r="D219" s="189" t="str">
        <f t="shared" si="283"/>
        <v>36_S_</v>
      </c>
      <c r="E219" s="190" t="s">
        <v>1</v>
      </c>
      <c r="F219" s="190" t="s">
        <v>1</v>
      </c>
      <c r="G219" s="189" t="s">
        <v>33</v>
      </c>
      <c r="H219" s="190"/>
      <c r="I219" s="190" t="s">
        <v>1340</v>
      </c>
      <c r="J219" s="190">
        <v>36</v>
      </c>
      <c r="K219" s="190" t="s">
        <v>1340</v>
      </c>
      <c r="L219" s="189" t="s">
        <v>9</v>
      </c>
      <c r="M219" s="211">
        <v>20</v>
      </c>
      <c r="N219" s="211">
        <v>40</v>
      </c>
      <c r="O219" s="211">
        <v>40</v>
      </c>
      <c r="P219" s="190"/>
      <c r="Q219" s="190"/>
      <c r="R219" s="190"/>
      <c r="S219" s="183">
        <f t="shared" si="311"/>
        <v>1</v>
      </c>
      <c r="T219" s="385">
        <f>$S219</f>
        <v>1</v>
      </c>
      <c r="U219" s="385">
        <f t="shared" si="312"/>
        <v>1</v>
      </c>
      <c r="V219" s="385">
        <f t="shared" si="312"/>
        <v>1</v>
      </c>
      <c r="W219" s="387"/>
      <c r="X219" s="387"/>
      <c r="Y219" s="184">
        <f t="shared" si="294"/>
        <v>28053</v>
      </c>
      <c r="Z219" s="184">
        <f t="shared" si="313"/>
        <v>31277</v>
      </c>
      <c r="AA219" s="184">
        <f t="shared" si="314"/>
        <v>46469</v>
      </c>
      <c r="AB219" s="184">
        <f t="shared" si="315"/>
        <v>0</v>
      </c>
      <c r="AC219" s="184">
        <f t="shared" si="316"/>
        <v>0</v>
      </c>
      <c r="AD219" s="184">
        <f t="shared" si="295"/>
        <v>105799</v>
      </c>
      <c r="AE219" s="183">
        <f t="shared" si="307"/>
        <v>0</v>
      </c>
      <c r="AF219" s="385">
        <f>$AE219</f>
        <v>0</v>
      </c>
      <c r="AG219" s="385">
        <f t="shared" si="308"/>
        <v>0</v>
      </c>
      <c r="AH219" s="385">
        <f t="shared" si="308"/>
        <v>0</v>
      </c>
      <c r="AI219" s="185">
        <f t="shared" si="296"/>
        <v>74</v>
      </c>
      <c r="AJ219" s="185">
        <f t="shared" si="309"/>
        <v>433</v>
      </c>
      <c r="AK219" s="185">
        <f t="shared" si="310"/>
        <v>683</v>
      </c>
      <c r="AL219" s="185">
        <f t="shared" si="297"/>
        <v>1190</v>
      </c>
      <c r="AM219" s="173">
        <f>($S219*Y219)+($AE219*AI219)</f>
        <v>28053</v>
      </c>
      <c r="AN219" s="173">
        <f t="shared" si="244"/>
        <v>31277</v>
      </c>
      <c r="AO219" s="173">
        <f t="shared" si="245"/>
        <v>46469</v>
      </c>
      <c r="AP219" s="173">
        <f t="shared" si="284"/>
        <v>0</v>
      </c>
      <c r="AQ219" s="173">
        <f t="shared" si="285"/>
        <v>0</v>
      </c>
      <c r="AR219" s="173">
        <f t="shared" si="286"/>
        <v>105799</v>
      </c>
      <c r="AS219" s="186" t="s">
        <v>1363</v>
      </c>
      <c r="AT219" s="300">
        <f t="shared" si="306"/>
        <v>5.9</v>
      </c>
      <c r="AU219" s="300">
        <f t="shared" si="306"/>
        <v>5.9</v>
      </c>
      <c r="AV219" s="300">
        <f t="shared" si="306"/>
        <v>5.9</v>
      </c>
      <c r="AW219" s="300">
        <f t="shared" si="306"/>
        <v>5.9</v>
      </c>
      <c r="AX219" s="300">
        <f t="shared" si="306"/>
        <v>5.9</v>
      </c>
      <c r="AY219" s="301">
        <f t="shared" si="317"/>
        <v>5.9</v>
      </c>
      <c r="AZ219" s="301">
        <f t="shared" si="317"/>
        <v>5.9</v>
      </c>
      <c r="BA219" s="301">
        <f t="shared" si="317"/>
        <v>5.9</v>
      </c>
      <c r="BB219" s="301">
        <f t="shared" si="317"/>
        <v>5.9</v>
      </c>
      <c r="BC219" s="301">
        <f t="shared" si="317"/>
        <v>5.9</v>
      </c>
      <c r="BD219" s="187">
        <f>ROUND(IF(OR(M219=0,AT219="DATO NO DISPONIBLE"),"",AT219*M219*($BD$7+1)),0)</f>
        <v>126</v>
      </c>
      <c r="BE219" s="187">
        <f t="shared" si="246"/>
        <v>252</v>
      </c>
      <c r="BF219" s="187">
        <f t="shared" si="247"/>
        <v>252</v>
      </c>
      <c r="BG219" s="187"/>
      <c r="BH219" s="187"/>
      <c r="BI219" s="187">
        <f>ROUND(IF(OR(M219=0,AY219="DATO NO DISPONIBLE"),0,AY219*M219*($BD$7+1)),0)</f>
        <v>126</v>
      </c>
      <c r="BJ219" s="187">
        <f t="shared" si="298"/>
        <v>252</v>
      </c>
      <c r="BK219" s="187">
        <f t="shared" si="299"/>
        <v>252</v>
      </c>
      <c r="BL219" s="187"/>
      <c r="BM219" s="187"/>
      <c r="BN219" s="188">
        <f>BD219*AM219</f>
        <v>3534678</v>
      </c>
      <c r="BO219" s="188">
        <f t="shared" si="300"/>
        <v>7881804</v>
      </c>
      <c r="BP219" s="188">
        <f t="shared" si="301"/>
        <v>11710188</v>
      </c>
      <c r="BQ219" s="188">
        <f t="shared" si="302"/>
        <v>0</v>
      </c>
      <c r="BR219" s="188">
        <f t="shared" si="303"/>
        <v>0</v>
      </c>
      <c r="BS219" s="188">
        <f t="shared" si="287"/>
        <v>23126670</v>
      </c>
      <c r="BT219" s="188">
        <f t="shared" si="288"/>
        <v>3534678</v>
      </c>
      <c r="BU219" s="188">
        <f t="shared" si="289"/>
        <v>7881804</v>
      </c>
      <c r="BV219" s="188">
        <f t="shared" si="290"/>
        <v>11710188</v>
      </c>
      <c r="BW219" s="188">
        <f t="shared" si="291"/>
        <v>0</v>
      </c>
      <c r="BX219" s="188">
        <f t="shared" si="292"/>
        <v>0</v>
      </c>
      <c r="BY219" s="188">
        <f t="shared" si="293"/>
        <v>23126670</v>
      </c>
      <c r="BZ219" s="305">
        <f>IF(COT_PRECALCULOS!$D$24="Precios Iva Incluído",BI219,BD219)</f>
        <v>126</v>
      </c>
      <c r="CA219" s="305">
        <f>IF(COT_PRECALCULOS!$D$24="Precios Iva Incluído",BJ219,BE219)</f>
        <v>252</v>
      </c>
      <c r="CB219" s="305">
        <f>IF(COT_PRECALCULOS!$D$24="Precios Iva Incluído",BK219,BF219)</f>
        <v>252</v>
      </c>
      <c r="CC219" s="305">
        <f>IF(COT_PRECALCULOS!$D$24="Precios Iva Incluído",BL219,BG219)</f>
        <v>0</v>
      </c>
      <c r="CD219" s="305">
        <f>IF(COT_PRECALCULOS!$D$24="Precios Iva Incluído",BM219,BH219)</f>
        <v>0</v>
      </c>
      <c r="CE219" s="305">
        <f>IF(COT_PRECALCULOS!$D$24="Precios Iva Incluído",BT219,BN219)</f>
        <v>3534678</v>
      </c>
      <c r="CF219" s="305">
        <f>IF(COT_PRECALCULOS!$D$24="Precios Iva Incluído",BU219,BO219)</f>
        <v>7881804</v>
      </c>
      <c r="CG219" s="305">
        <f>IF(COT_PRECALCULOS!$D$24="Precios Iva Incluído",BV219,BP219)</f>
        <v>11710188</v>
      </c>
      <c r="CH219" s="305">
        <f>IF(COT_PRECALCULOS!$D$24="Precios Iva Incluído",BW219,BQ219)</f>
        <v>0</v>
      </c>
      <c r="CI219" s="305">
        <f>IF(COT_PRECALCULOS!$D$24="Precios Iva Incluído",BX219,BR219)</f>
        <v>0</v>
      </c>
    </row>
    <row r="220" spans="1:87">
      <c r="A220" s="182" t="s">
        <v>102</v>
      </c>
      <c r="B220" s="182" t="s">
        <v>126</v>
      </c>
      <c r="C220" s="189" t="str">
        <f t="shared" si="282"/>
        <v>F_SE5</v>
      </c>
      <c r="D220" s="189" t="str">
        <f t="shared" si="283"/>
        <v>8_S_</v>
      </c>
      <c r="E220" s="190" t="s">
        <v>1</v>
      </c>
      <c r="F220" s="190" t="s">
        <v>1</v>
      </c>
      <c r="G220" s="189" t="s">
        <v>34</v>
      </c>
      <c r="H220" s="190" t="s">
        <v>2</v>
      </c>
      <c r="I220" s="190" t="s">
        <v>54</v>
      </c>
      <c r="J220" s="190">
        <v>8</v>
      </c>
      <c r="K220" s="190" t="s">
        <v>55</v>
      </c>
      <c r="L220" s="189" t="s">
        <v>9</v>
      </c>
      <c r="M220" s="211">
        <v>100</v>
      </c>
      <c r="N220" s="211">
        <v>100</v>
      </c>
      <c r="O220" s="211">
        <v>100</v>
      </c>
      <c r="P220" s="190"/>
      <c r="Q220" s="190"/>
      <c r="R220" s="190"/>
      <c r="S220" s="183">
        <f t="shared" si="311"/>
        <v>0</v>
      </c>
      <c r="T220" s="385">
        <f>$S220</f>
        <v>0</v>
      </c>
      <c r="U220" s="385">
        <f t="shared" si="312"/>
        <v>0</v>
      </c>
      <c r="V220" s="385">
        <f t="shared" si="312"/>
        <v>0</v>
      </c>
      <c r="W220" s="387"/>
      <c r="X220" s="387"/>
      <c r="Y220" s="184">
        <f t="shared" si="294"/>
        <v>28053</v>
      </c>
      <c r="Z220" s="184">
        <f t="shared" si="313"/>
        <v>31277</v>
      </c>
      <c r="AA220" s="184">
        <f t="shared" si="314"/>
        <v>46469</v>
      </c>
      <c r="AB220" s="184">
        <f t="shared" si="315"/>
        <v>0</v>
      </c>
      <c r="AC220" s="184">
        <f t="shared" si="316"/>
        <v>0</v>
      </c>
      <c r="AD220" s="184">
        <f t="shared" si="295"/>
        <v>105799</v>
      </c>
      <c r="AE220" s="183">
        <f t="shared" si="307"/>
        <v>0</v>
      </c>
      <c r="AF220" s="385">
        <f>$AE220</f>
        <v>0</v>
      </c>
      <c r="AG220" s="385">
        <f t="shared" si="308"/>
        <v>0</v>
      </c>
      <c r="AH220" s="385">
        <f t="shared" si="308"/>
        <v>0</v>
      </c>
      <c r="AI220" s="185">
        <f t="shared" si="296"/>
        <v>74</v>
      </c>
      <c r="AJ220" s="185">
        <f t="shared" si="309"/>
        <v>433</v>
      </c>
      <c r="AK220" s="185">
        <f t="shared" si="310"/>
        <v>683</v>
      </c>
      <c r="AL220" s="185">
        <f t="shared" si="297"/>
        <v>1190</v>
      </c>
      <c r="AM220" s="173">
        <f>($S220*Y220)+($AE220*AI220)</f>
        <v>0</v>
      </c>
      <c r="AN220" s="173">
        <f t="shared" ref="AN220:AN283" si="318">($S220*Z220)+($AE220*AJ220)</f>
        <v>0</v>
      </c>
      <c r="AO220" s="173">
        <f t="shared" ref="AO220:AO283" si="319">($S220*AA220)+($AE220*AK220)</f>
        <v>0</v>
      </c>
      <c r="AP220" s="173">
        <f t="shared" si="284"/>
        <v>0</v>
      </c>
      <c r="AQ220" s="173">
        <f t="shared" si="285"/>
        <v>0</v>
      </c>
      <c r="AR220" s="173">
        <f t="shared" si="286"/>
        <v>0</v>
      </c>
      <c r="AS220" s="186" t="s">
        <v>1364</v>
      </c>
      <c r="AT220" s="300">
        <f t="shared" si="306"/>
        <v>1.25</v>
      </c>
      <c r="AU220" s="300">
        <f t="shared" si="306"/>
        <v>1.25</v>
      </c>
      <c r="AV220" s="300">
        <f t="shared" si="306"/>
        <v>1.25</v>
      </c>
      <c r="AW220" s="300">
        <f t="shared" si="306"/>
        <v>1.25</v>
      </c>
      <c r="AX220" s="300">
        <f t="shared" si="306"/>
        <v>1.25</v>
      </c>
      <c r="AY220" s="301">
        <f t="shared" si="317"/>
        <v>1.25</v>
      </c>
      <c r="AZ220" s="301">
        <f t="shared" si="317"/>
        <v>1.25</v>
      </c>
      <c r="BA220" s="301">
        <f t="shared" si="317"/>
        <v>1.25</v>
      </c>
      <c r="BB220" s="301">
        <f t="shared" si="317"/>
        <v>1.25</v>
      </c>
      <c r="BC220" s="301">
        <f t="shared" si="317"/>
        <v>1.25</v>
      </c>
      <c r="BD220" s="187">
        <f>ROUND(IF(OR(M220=0,AT220="DATO NO DISPONIBLE"),"",AT220*M220*($BD$7+1)),0)</f>
        <v>134</v>
      </c>
      <c r="BE220" s="187">
        <f t="shared" si="246"/>
        <v>134</v>
      </c>
      <c r="BF220" s="187">
        <f t="shared" si="247"/>
        <v>134</v>
      </c>
      <c r="BG220" s="187"/>
      <c r="BH220" s="187"/>
      <c r="BI220" s="187">
        <f>ROUND(IF(OR(M220=0,AY220="DATO NO DISPONIBLE"),0,AY220*M220*($BD$7+1)),0)</f>
        <v>134</v>
      </c>
      <c r="BJ220" s="187">
        <f t="shared" si="298"/>
        <v>134</v>
      </c>
      <c r="BK220" s="187">
        <f t="shared" si="299"/>
        <v>134</v>
      </c>
      <c r="BL220" s="187"/>
      <c r="BM220" s="187"/>
      <c r="BN220" s="188">
        <f>BD220*AM220</f>
        <v>0</v>
      </c>
      <c r="BO220" s="188">
        <f t="shared" si="300"/>
        <v>0</v>
      </c>
      <c r="BP220" s="188">
        <f t="shared" si="301"/>
        <v>0</v>
      </c>
      <c r="BQ220" s="188">
        <f t="shared" si="302"/>
        <v>0</v>
      </c>
      <c r="BR220" s="188">
        <f t="shared" si="303"/>
        <v>0</v>
      </c>
      <c r="BS220" s="188">
        <f t="shared" si="287"/>
        <v>0</v>
      </c>
      <c r="BT220" s="188">
        <f t="shared" si="288"/>
        <v>0</v>
      </c>
      <c r="BU220" s="188">
        <f t="shared" si="289"/>
        <v>0</v>
      </c>
      <c r="BV220" s="188">
        <f t="shared" si="290"/>
        <v>0</v>
      </c>
      <c r="BW220" s="188">
        <f t="shared" si="291"/>
        <v>0</v>
      </c>
      <c r="BX220" s="188">
        <f t="shared" si="292"/>
        <v>0</v>
      </c>
      <c r="BY220" s="188">
        <f t="shared" si="293"/>
        <v>0</v>
      </c>
      <c r="BZ220" s="305">
        <f>IF(COT_PRECALCULOS!$D$24="Precios Iva Incluído",BI220,BD220)</f>
        <v>134</v>
      </c>
      <c r="CA220" s="305">
        <f>IF(COT_PRECALCULOS!$D$24="Precios Iva Incluído",BJ220,BE220)</f>
        <v>134</v>
      </c>
      <c r="CB220" s="305">
        <f>IF(COT_PRECALCULOS!$D$24="Precios Iva Incluído",BK220,BF220)</f>
        <v>134</v>
      </c>
      <c r="CC220" s="305">
        <f>IF(COT_PRECALCULOS!$D$24="Precios Iva Incluído",BL220,BG220)</f>
        <v>0</v>
      </c>
      <c r="CD220" s="305">
        <f>IF(COT_PRECALCULOS!$D$24="Precios Iva Incluído",BM220,BH220)</f>
        <v>0</v>
      </c>
      <c r="CE220" s="305">
        <f>IF(COT_PRECALCULOS!$D$24="Precios Iva Incluído",BT220,BN220)</f>
        <v>0</v>
      </c>
      <c r="CF220" s="305">
        <f>IF(COT_PRECALCULOS!$D$24="Precios Iva Incluído",BU220,BO220)</f>
        <v>0</v>
      </c>
      <c r="CG220" s="305">
        <f>IF(COT_PRECALCULOS!$D$24="Precios Iva Incluído",BV220,BP220)</f>
        <v>0</v>
      </c>
      <c r="CH220" s="305">
        <f>IF(COT_PRECALCULOS!$D$24="Precios Iva Incluído",BW220,BQ220)</f>
        <v>0</v>
      </c>
      <c r="CI220" s="305">
        <f>IF(COT_PRECALCULOS!$D$24="Precios Iva Incluído",BX220,BR220)</f>
        <v>0</v>
      </c>
    </row>
    <row r="221" spans="1:87">
      <c r="A221" s="182" t="s">
        <v>102</v>
      </c>
      <c r="B221" s="182" t="s">
        <v>126</v>
      </c>
      <c r="C221" s="189" t="str">
        <f t="shared" si="282"/>
        <v>F_SE5</v>
      </c>
      <c r="D221" s="189" t="str">
        <f t="shared" si="283"/>
        <v>7_S_</v>
      </c>
      <c r="E221" s="190" t="s">
        <v>1</v>
      </c>
      <c r="F221" s="190" t="s">
        <v>1</v>
      </c>
      <c r="G221" s="189" t="s">
        <v>34</v>
      </c>
      <c r="H221" s="190"/>
      <c r="I221" s="190" t="s">
        <v>56</v>
      </c>
      <c r="J221" s="190">
        <v>7</v>
      </c>
      <c r="K221" s="190" t="s">
        <v>57</v>
      </c>
      <c r="L221" s="189" t="s">
        <v>9</v>
      </c>
      <c r="M221" s="211">
        <v>100</v>
      </c>
      <c r="N221" s="211">
        <v>100</v>
      </c>
      <c r="O221" s="211">
        <v>100</v>
      </c>
      <c r="P221" s="190"/>
      <c r="Q221" s="190"/>
      <c r="R221" s="190"/>
      <c r="S221" s="385">
        <f t="shared" si="311"/>
        <v>1</v>
      </c>
      <c r="T221" s="385">
        <f>$S221</f>
        <v>1</v>
      </c>
      <c r="U221" s="385">
        <f t="shared" si="312"/>
        <v>1</v>
      </c>
      <c r="V221" s="385">
        <f t="shared" si="312"/>
        <v>1</v>
      </c>
      <c r="W221" s="387"/>
      <c r="X221" s="387"/>
      <c r="Y221" s="184">
        <f t="shared" si="294"/>
        <v>28053</v>
      </c>
      <c r="Z221" s="184">
        <f t="shared" si="313"/>
        <v>31277</v>
      </c>
      <c r="AA221" s="184">
        <f t="shared" si="314"/>
        <v>46469</v>
      </c>
      <c r="AB221" s="184">
        <f t="shared" si="315"/>
        <v>0</v>
      </c>
      <c r="AC221" s="184">
        <f t="shared" si="316"/>
        <v>0</v>
      </c>
      <c r="AD221" s="184">
        <f t="shared" si="295"/>
        <v>105799</v>
      </c>
      <c r="AE221" s="183">
        <f t="shared" si="307"/>
        <v>0</v>
      </c>
      <c r="AF221" s="385">
        <f>$AE221</f>
        <v>0</v>
      </c>
      <c r="AG221" s="385">
        <f t="shared" si="308"/>
        <v>0</v>
      </c>
      <c r="AH221" s="385">
        <f t="shared" si="308"/>
        <v>0</v>
      </c>
      <c r="AI221" s="185">
        <f t="shared" si="296"/>
        <v>74</v>
      </c>
      <c r="AJ221" s="185">
        <f t="shared" si="309"/>
        <v>433</v>
      </c>
      <c r="AK221" s="185">
        <f t="shared" si="310"/>
        <v>683</v>
      </c>
      <c r="AL221" s="185">
        <f t="shared" si="297"/>
        <v>1190</v>
      </c>
      <c r="AM221" s="173">
        <f>($S221*Y221)+($AE221*AI221)</f>
        <v>28053</v>
      </c>
      <c r="AN221" s="173">
        <f t="shared" si="318"/>
        <v>31277</v>
      </c>
      <c r="AO221" s="173">
        <f t="shared" si="319"/>
        <v>46469</v>
      </c>
      <c r="AP221" s="173">
        <f t="shared" si="284"/>
        <v>0</v>
      </c>
      <c r="AQ221" s="173">
        <f t="shared" si="285"/>
        <v>0</v>
      </c>
      <c r="AR221" s="173">
        <f t="shared" si="286"/>
        <v>105799</v>
      </c>
      <c r="AS221" s="186" t="s">
        <v>1364</v>
      </c>
      <c r="AT221" s="300">
        <f t="shared" ref="AT221:AX230" si="320">IF(ISERROR(IF(ISERROR(MATCH(CONCATENATE($J221,"_",AT$1),COT_PRE_CODIGO_ALIMENTOS,0)),IF(ISERROR(MATCH(CONCATENATE($J221,"_",AT$2),COT_PRE_CODIGO_ALIMENTOS,0)),IF(ISERROR(MATCH(CONCATENATE($J221,"_",AT$3),COT_PRE_CODIGO_ALIMENTOS,0)),IF(ISERROR(MATCH(CONCATENATE($J221,"_",AT$4),COT_PRE_CODIGO_ALIMENTOS,0)),IF(ISERROR(MATCH(CONCATENATE($J221,"_",AT$5),COT_PRE_CODIGO_ALIMENTOS,0)),IF(ISERROR(MATCH(CONCATENATE($J221,"_",AT$6),COT_PRE_CODIGO_ALIMENTOS,0)),IF(ISERROR(MATCH(CONCATENATE($J221,"_",AT$7),COT_PRE_CODIGO_ALIMENTOS,0)),IF(ISERROR(VLOOKUP($J221,COT_PRE_ALIMENTOS,AT$8,FALSE)),"DATO NO DISPONIBLE",VLOOKUP($J221,COT_PRE_ALIMENTOS,AT$8,FALSE)),VLOOKUP(CONCATENATE($J221,"_",AT$7),COT_PRE_ALIMENTOS,AT$8,FALSE)),VLOOKUP(CONCATENATE($J221,"_",AT$6),COT_PRE_ALIMENTOS,AT$8,FALSE)),VLOOKUP(CONCATENATE($J221,"_",AT$5),COT_PRE_ALIMENTOS,AT$8,FALSE)),VLOOKUP(CONCATENATE($J221,"_",AT$4),COT_PRE_ALIMENTOS,AT$8,FALSE)),VLOOKUP(CONCATENATE($J221,"_",AT$3),COT_PRE_ALIMENTOS,AT$8,FALSE)),VLOOKUP(CONCATENATE($J221,"_",AT$2),COT_PRE_ALIMENTOS,AT$8,FALSE)),VLOOKUP(CONCATENATE($J221,"_",AT$1),COT_PRE_ALIMENTOS,AT$8,FALSE))),"DATO NO DISPONIBLE",IF(ISERROR(MATCH(CONCATENATE($J221,"_",AT$1),COT_PRE_CODIGO_ALIMENTOS,0)),IF(ISERROR(MATCH(CONCATENATE($J221,"_",AT$2),COT_PRE_CODIGO_ALIMENTOS,0)),IF(ISERROR(MATCH(CONCATENATE($J221,"_",AT$3),COT_PRE_CODIGO_ALIMENTOS,0)),IF(ISERROR(MATCH(CONCATENATE($J221,"_",AT$4),COT_PRE_CODIGO_ALIMENTOS,0)),IF(ISERROR(MATCH(CONCATENATE($J221,"_",AT$5),COT_PRE_CODIGO_ALIMENTOS,0)),IF(ISERROR(MATCH(CONCATENATE($J221,"_",AT$6),COT_PRE_CODIGO_ALIMENTOS,0)),IF(ISERROR(MATCH(CONCATENATE($J221,"_",AT$7),COT_PRE_CODIGO_ALIMENTOS,0)),IF(ISERROR(VLOOKUP($J221,COT_PRE_ALIMENTOS,AT$8,FALSE)),"DATO NO DISPONIBLE",VLOOKUP($J221,COT_PRE_ALIMENTOS,AT$8,FALSE)),VLOOKUP(CONCATENATE($J221,"_",AT$7),COT_PRE_ALIMENTOS,AT$8,FALSE)),VLOOKUP(CONCATENATE($J221,"_",AT$6),COT_PRE_ALIMENTOS,AT$8,FALSE)),VLOOKUP(CONCATENATE($J221,"_",AT$5),COT_PRE_ALIMENTOS,AT$8,FALSE)),VLOOKUP(CONCATENATE($J221,"_",AT$4),COT_PRE_ALIMENTOS,AT$8,FALSE)),VLOOKUP(CONCATENATE($J221,"_",AT$3),COT_PRE_ALIMENTOS,AT$8,FALSE)),VLOOKUP(CONCATENATE($J221,"_",AT$2),COT_PRE_ALIMENTOS,AT$8,FALSE)),VLOOKUP(CONCATENATE($J221,"_",AT$1),COT_PRE_ALIMENTOS,AT$8,FALSE)))</f>
        <v>1</v>
      </c>
      <c r="AU221" s="300">
        <f t="shared" si="320"/>
        <v>1</v>
      </c>
      <c r="AV221" s="300">
        <f t="shared" si="320"/>
        <v>1</v>
      </c>
      <c r="AW221" s="300">
        <f t="shared" si="320"/>
        <v>1</v>
      </c>
      <c r="AX221" s="300">
        <f t="shared" si="320"/>
        <v>1</v>
      </c>
      <c r="AY221" s="301">
        <f t="shared" si="317"/>
        <v>1</v>
      </c>
      <c r="AZ221" s="301">
        <f t="shared" si="317"/>
        <v>1</v>
      </c>
      <c r="BA221" s="301">
        <f t="shared" si="317"/>
        <v>1</v>
      </c>
      <c r="BB221" s="301">
        <f t="shared" si="317"/>
        <v>1</v>
      </c>
      <c r="BC221" s="301">
        <f t="shared" si="317"/>
        <v>1</v>
      </c>
      <c r="BD221" s="187">
        <f>ROUND(IF(OR(M221=0,AT221="DATO NO DISPONIBLE"),"",AT221*M221*($BD$7+1)),0)</f>
        <v>107</v>
      </c>
      <c r="BE221" s="187">
        <f t="shared" ref="BE221:BE284" si="321">ROUND(IF(OR(N221=0,AU221="DATO NO DISPONIBLE"),0,AU221*N221*($BD$7+1)),0)</f>
        <v>107</v>
      </c>
      <c r="BF221" s="187">
        <f t="shared" ref="BF221:BF284" si="322">ROUND(IF(OR(O221=0,AV221="DATO NO DISPONIBLE"),0,AV221*O221*($BD$7+1)),0)</f>
        <v>107</v>
      </c>
      <c r="BG221" s="187"/>
      <c r="BH221" s="187"/>
      <c r="BI221" s="187">
        <f>ROUND(IF(OR(M221=0,AY221="DATO NO DISPONIBLE"),0,AY221*M221*($BD$7+1)),0)</f>
        <v>107</v>
      </c>
      <c r="BJ221" s="187">
        <f t="shared" si="298"/>
        <v>107</v>
      </c>
      <c r="BK221" s="187">
        <f t="shared" si="299"/>
        <v>107</v>
      </c>
      <c r="BL221" s="187"/>
      <c r="BM221" s="187"/>
      <c r="BN221" s="188">
        <f>BD221*AM221</f>
        <v>3001671</v>
      </c>
      <c r="BO221" s="188">
        <f t="shared" si="300"/>
        <v>3346639</v>
      </c>
      <c r="BP221" s="188">
        <f t="shared" si="301"/>
        <v>4972183</v>
      </c>
      <c r="BQ221" s="188">
        <f t="shared" si="302"/>
        <v>0</v>
      </c>
      <c r="BR221" s="188">
        <f t="shared" si="303"/>
        <v>0</v>
      </c>
      <c r="BS221" s="188">
        <f t="shared" si="287"/>
        <v>11320493</v>
      </c>
      <c r="BT221" s="188">
        <f t="shared" si="288"/>
        <v>3001671</v>
      </c>
      <c r="BU221" s="188">
        <f t="shared" si="289"/>
        <v>3346639</v>
      </c>
      <c r="BV221" s="188">
        <f t="shared" si="290"/>
        <v>4972183</v>
      </c>
      <c r="BW221" s="188">
        <f t="shared" si="291"/>
        <v>0</v>
      </c>
      <c r="BX221" s="188">
        <f t="shared" si="292"/>
        <v>0</v>
      </c>
      <c r="BY221" s="188">
        <f t="shared" si="293"/>
        <v>11320493</v>
      </c>
      <c r="BZ221" s="305">
        <f>IF(COT_PRECALCULOS!$D$24="Precios Iva Incluído",BI221,BD221)</f>
        <v>107</v>
      </c>
      <c r="CA221" s="305">
        <f>IF(COT_PRECALCULOS!$D$24="Precios Iva Incluído",BJ221,BE221)</f>
        <v>107</v>
      </c>
      <c r="CB221" s="305">
        <f>IF(COT_PRECALCULOS!$D$24="Precios Iva Incluído",BK221,BF221)</f>
        <v>107</v>
      </c>
      <c r="CC221" s="305">
        <f>IF(COT_PRECALCULOS!$D$24="Precios Iva Incluído",BL221,BG221)</f>
        <v>0</v>
      </c>
      <c r="CD221" s="305">
        <f>IF(COT_PRECALCULOS!$D$24="Precios Iva Incluído",BM221,BH221)</f>
        <v>0</v>
      </c>
      <c r="CE221" s="305">
        <f>IF(COT_PRECALCULOS!$D$24="Precios Iva Incluído",BT221,BN221)</f>
        <v>3001671</v>
      </c>
      <c r="CF221" s="305">
        <f>IF(COT_PRECALCULOS!$D$24="Precios Iva Incluído",BU221,BO221)</f>
        <v>3346639</v>
      </c>
      <c r="CG221" s="305">
        <f>IF(COT_PRECALCULOS!$D$24="Precios Iva Incluído",BV221,BP221)</f>
        <v>4972183</v>
      </c>
      <c r="CH221" s="305">
        <f>IF(COT_PRECALCULOS!$D$24="Precios Iva Incluído",BW221,BQ221)</f>
        <v>0</v>
      </c>
      <c r="CI221" s="305">
        <f>IF(COT_PRECALCULOS!$D$24="Precios Iva Incluído",BX221,BR221)</f>
        <v>0</v>
      </c>
    </row>
    <row r="222" spans="1:87">
      <c r="A222" s="182" t="s">
        <v>102</v>
      </c>
      <c r="B222" s="182" t="s">
        <v>126</v>
      </c>
      <c r="C222" s="189" t="str">
        <f t="shared" si="282"/>
        <v>F_SE5</v>
      </c>
      <c r="D222" s="189" t="str">
        <f t="shared" si="283"/>
        <v>17_S_</v>
      </c>
      <c r="E222" s="190" t="s">
        <v>1</v>
      </c>
      <c r="F222" s="190" t="s">
        <v>1</v>
      </c>
      <c r="G222" s="189" t="s">
        <v>34</v>
      </c>
      <c r="H222" s="190"/>
      <c r="I222" s="190" t="s">
        <v>52</v>
      </c>
      <c r="J222" s="190">
        <v>17</v>
      </c>
      <c r="K222" s="190" t="s">
        <v>53</v>
      </c>
      <c r="L222" s="189" t="s">
        <v>9</v>
      </c>
      <c r="M222" s="386">
        <v>0</v>
      </c>
      <c r="N222" s="211">
        <v>100</v>
      </c>
      <c r="O222" s="211">
        <v>100</v>
      </c>
      <c r="P222" s="190"/>
      <c r="Q222" s="190"/>
      <c r="R222" s="190" t="s">
        <v>73</v>
      </c>
      <c r="S222" s="385">
        <f t="shared" si="311"/>
        <v>4</v>
      </c>
      <c r="T222" s="386">
        <v>0</v>
      </c>
      <c r="U222" s="385">
        <f t="shared" si="312"/>
        <v>4</v>
      </c>
      <c r="V222" s="385">
        <f t="shared" si="312"/>
        <v>4</v>
      </c>
      <c r="W222" s="387"/>
      <c r="X222" s="387"/>
      <c r="Y222" s="184">
        <f t="shared" si="294"/>
        <v>0</v>
      </c>
      <c r="Z222" s="184">
        <f t="shared" si="313"/>
        <v>31277</v>
      </c>
      <c r="AA222" s="184">
        <f t="shared" si="314"/>
        <v>46469</v>
      </c>
      <c r="AB222" s="184">
        <f t="shared" si="315"/>
        <v>0</v>
      </c>
      <c r="AC222" s="184">
        <f t="shared" si="316"/>
        <v>0</v>
      </c>
      <c r="AD222" s="184">
        <f t="shared" si="295"/>
        <v>77746</v>
      </c>
      <c r="AE222" s="183">
        <f t="shared" si="307"/>
        <v>0</v>
      </c>
      <c r="AF222" s="386">
        <v>0</v>
      </c>
      <c r="AG222" s="385">
        <f t="shared" si="308"/>
        <v>0</v>
      </c>
      <c r="AH222" s="385">
        <f t="shared" si="308"/>
        <v>0</v>
      </c>
      <c r="AI222" s="185">
        <f t="shared" si="296"/>
        <v>0</v>
      </c>
      <c r="AJ222" s="185">
        <f t="shared" si="309"/>
        <v>433</v>
      </c>
      <c r="AK222" s="185">
        <f t="shared" si="310"/>
        <v>683</v>
      </c>
      <c r="AL222" s="185">
        <f t="shared" si="297"/>
        <v>1116</v>
      </c>
      <c r="AM222" s="173">
        <v>0</v>
      </c>
      <c r="AN222" s="173">
        <f t="shared" si="318"/>
        <v>125108</v>
      </c>
      <c r="AO222" s="173">
        <f t="shared" si="319"/>
        <v>185876</v>
      </c>
      <c r="AP222" s="173">
        <f t="shared" si="284"/>
        <v>0</v>
      </c>
      <c r="AQ222" s="173">
        <f t="shared" si="285"/>
        <v>0</v>
      </c>
      <c r="AR222" s="173">
        <f t="shared" si="286"/>
        <v>310984</v>
      </c>
      <c r="AS222" s="186" t="s">
        <v>1364</v>
      </c>
      <c r="AT222" s="300">
        <f t="shared" si="320"/>
        <v>2.11</v>
      </c>
      <c r="AU222" s="300">
        <f t="shared" si="320"/>
        <v>2.11</v>
      </c>
      <c r="AV222" s="300">
        <f t="shared" si="320"/>
        <v>2.11</v>
      </c>
      <c r="AW222" s="300">
        <f t="shared" si="320"/>
        <v>2.11</v>
      </c>
      <c r="AX222" s="300">
        <f t="shared" si="320"/>
        <v>2.11</v>
      </c>
      <c r="AY222" s="301">
        <f t="shared" si="317"/>
        <v>2.11</v>
      </c>
      <c r="AZ222" s="301">
        <f t="shared" si="317"/>
        <v>2.11</v>
      </c>
      <c r="BA222" s="301">
        <f t="shared" si="317"/>
        <v>2.11</v>
      </c>
      <c r="BB222" s="301">
        <f t="shared" si="317"/>
        <v>2.11</v>
      </c>
      <c r="BC222" s="301">
        <f t="shared" si="317"/>
        <v>2.11</v>
      </c>
      <c r="BD222" s="187"/>
      <c r="BE222" s="187">
        <f t="shared" si="321"/>
        <v>226</v>
      </c>
      <c r="BF222" s="187">
        <f t="shared" si="322"/>
        <v>226</v>
      </c>
      <c r="BG222" s="187"/>
      <c r="BH222" s="187"/>
      <c r="BI222" s="187"/>
      <c r="BJ222" s="187">
        <f t="shared" si="298"/>
        <v>226</v>
      </c>
      <c r="BK222" s="187">
        <f t="shared" si="299"/>
        <v>226</v>
      </c>
      <c r="BL222" s="187"/>
      <c r="BM222" s="187"/>
      <c r="BN222" s="188"/>
      <c r="BO222" s="188">
        <f t="shared" si="300"/>
        <v>28274408</v>
      </c>
      <c r="BP222" s="188">
        <f t="shared" si="301"/>
        <v>42007976</v>
      </c>
      <c r="BQ222" s="188">
        <f t="shared" si="302"/>
        <v>0</v>
      </c>
      <c r="BR222" s="188">
        <f t="shared" si="303"/>
        <v>0</v>
      </c>
      <c r="BS222" s="188">
        <f t="shared" si="287"/>
        <v>70282384</v>
      </c>
      <c r="BT222" s="188">
        <f t="shared" si="288"/>
        <v>0</v>
      </c>
      <c r="BU222" s="188">
        <f t="shared" si="289"/>
        <v>28274408</v>
      </c>
      <c r="BV222" s="188">
        <f t="shared" si="290"/>
        <v>42007976</v>
      </c>
      <c r="BW222" s="188">
        <f t="shared" si="291"/>
        <v>0</v>
      </c>
      <c r="BX222" s="188">
        <f t="shared" si="292"/>
        <v>0</v>
      </c>
      <c r="BY222" s="188">
        <f t="shared" si="293"/>
        <v>70282384</v>
      </c>
      <c r="BZ222" s="305">
        <f>IF(COT_PRECALCULOS!$D$24="Precios Iva Incluído",BI222,BD222)</f>
        <v>0</v>
      </c>
      <c r="CA222" s="305">
        <f>IF(COT_PRECALCULOS!$D$24="Precios Iva Incluído",BJ222,BE222)</f>
        <v>226</v>
      </c>
      <c r="CB222" s="305">
        <f>IF(COT_PRECALCULOS!$D$24="Precios Iva Incluído",BK222,BF222)</f>
        <v>226</v>
      </c>
      <c r="CC222" s="305">
        <f>IF(COT_PRECALCULOS!$D$24="Precios Iva Incluído",BL222,BG222)</f>
        <v>0</v>
      </c>
      <c r="CD222" s="305">
        <f>IF(COT_PRECALCULOS!$D$24="Precios Iva Incluído",BM222,BH222)</f>
        <v>0</v>
      </c>
      <c r="CE222" s="305">
        <f>IF(COT_PRECALCULOS!$D$24="Precios Iva Incluído",BT222,BN222)</f>
        <v>0</v>
      </c>
      <c r="CF222" s="305">
        <f>IF(COT_PRECALCULOS!$D$24="Precios Iva Incluído",BU222,BO222)</f>
        <v>28274408</v>
      </c>
      <c r="CG222" s="305">
        <f>IF(COT_PRECALCULOS!$D$24="Precios Iva Incluído",BV222,BP222)</f>
        <v>42007976</v>
      </c>
      <c r="CH222" s="305">
        <f>IF(COT_PRECALCULOS!$D$24="Precios Iva Incluído",BW222,BQ222)</f>
        <v>0</v>
      </c>
      <c r="CI222" s="305">
        <f>IF(COT_PRECALCULOS!$D$24="Precios Iva Incluído",BX222,BR222)</f>
        <v>0</v>
      </c>
    </row>
    <row r="223" spans="1:87">
      <c r="A223" s="182" t="s">
        <v>102</v>
      </c>
      <c r="B223" s="182" t="s">
        <v>126</v>
      </c>
      <c r="C223" s="189" t="str">
        <f t="shared" si="282"/>
        <v>F_SE5</v>
      </c>
      <c r="D223" s="189" t="str">
        <f t="shared" si="283"/>
        <v>22_S_</v>
      </c>
      <c r="E223" s="190" t="s">
        <v>1</v>
      </c>
      <c r="F223" s="190" t="s">
        <v>1</v>
      </c>
      <c r="G223" s="189" t="s">
        <v>34</v>
      </c>
      <c r="H223" s="190"/>
      <c r="I223" s="190" t="s">
        <v>50</v>
      </c>
      <c r="J223" s="190">
        <v>22</v>
      </c>
      <c r="K223" s="190" t="s">
        <v>51</v>
      </c>
      <c r="L223" s="189" t="s">
        <v>9</v>
      </c>
      <c r="M223" s="386">
        <v>0</v>
      </c>
      <c r="N223" s="211">
        <v>100</v>
      </c>
      <c r="O223" s="211">
        <v>100</v>
      </c>
      <c r="P223" s="190"/>
      <c r="Q223" s="190"/>
      <c r="R223" s="190" t="s">
        <v>73</v>
      </c>
      <c r="S223" s="183">
        <f t="shared" si="311"/>
        <v>2</v>
      </c>
      <c r="T223" s="386">
        <v>0</v>
      </c>
      <c r="U223" s="385">
        <f t="shared" si="312"/>
        <v>2</v>
      </c>
      <c r="V223" s="385">
        <f t="shared" si="312"/>
        <v>2</v>
      </c>
      <c r="W223" s="387"/>
      <c r="X223" s="387"/>
      <c r="Y223" s="184">
        <f t="shared" si="294"/>
        <v>0</v>
      </c>
      <c r="Z223" s="184">
        <f t="shared" si="313"/>
        <v>31277</v>
      </c>
      <c r="AA223" s="184">
        <f t="shared" si="314"/>
        <v>46469</v>
      </c>
      <c r="AB223" s="184">
        <f t="shared" si="315"/>
        <v>0</v>
      </c>
      <c r="AC223" s="184">
        <f t="shared" si="316"/>
        <v>0</v>
      </c>
      <c r="AD223" s="184">
        <f t="shared" si="295"/>
        <v>77746</v>
      </c>
      <c r="AE223" s="183">
        <f t="shared" si="307"/>
        <v>0</v>
      </c>
      <c r="AF223" s="386">
        <v>0</v>
      </c>
      <c r="AG223" s="385">
        <f t="shared" si="308"/>
        <v>0</v>
      </c>
      <c r="AH223" s="385">
        <f t="shared" si="308"/>
        <v>0</v>
      </c>
      <c r="AI223" s="185">
        <f t="shared" si="296"/>
        <v>0</v>
      </c>
      <c r="AJ223" s="185">
        <f t="shared" si="309"/>
        <v>433</v>
      </c>
      <c r="AK223" s="185">
        <f t="shared" si="310"/>
        <v>683</v>
      </c>
      <c r="AL223" s="185">
        <f t="shared" si="297"/>
        <v>1116</v>
      </c>
      <c r="AM223" s="173">
        <v>0</v>
      </c>
      <c r="AN223" s="173">
        <f t="shared" si="318"/>
        <v>62554</v>
      </c>
      <c r="AO223" s="173">
        <f t="shared" si="319"/>
        <v>92938</v>
      </c>
      <c r="AP223" s="173">
        <f t="shared" si="284"/>
        <v>0</v>
      </c>
      <c r="AQ223" s="173">
        <f t="shared" si="285"/>
        <v>0</v>
      </c>
      <c r="AR223" s="173">
        <f t="shared" si="286"/>
        <v>155492</v>
      </c>
      <c r="AS223" s="186" t="s">
        <v>1364</v>
      </c>
      <c r="AT223" s="300">
        <f t="shared" si="320"/>
        <v>4.9124999999999996</v>
      </c>
      <c r="AU223" s="300">
        <f t="shared" si="320"/>
        <v>4.9124999999999996</v>
      </c>
      <c r="AV223" s="300">
        <f t="shared" si="320"/>
        <v>4.9124999999999996</v>
      </c>
      <c r="AW223" s="300">
        <f t="shared" si="320"/>
        <v>4.9124999999999996</v>
      </c>
      <c r="AX223" s="300">
        <f t="shared" si="320"/>
        <v>4.9124999999999996</v>
      </c>
      <c r="AY223" s="301">
        <f t="shared" si="317"/>
        <v>4.9124999999999996</v>
      </c>
      <c r="AZ223" s="301">
        <f t="shared" si="317"/>
        <v>4.9124999999999996</v>
      </c>
      <c r="BA223" s="301">
        <f t="shared" si="317"/>
        <v>4.9124999999999996</v>
      </c>
      <c r="BB223" s="301">
        <f t="shared" si="317"/>
        <v>4.9124999999999996</v>
      </c>
      <c r="BC223" s="301">
        <f t="shared" si="317"/>
        <v>4.9124999999999996</v>
      </c>
      <c r="BD223" s="187"/>
      <c r="BE223" s="187">
        <f t="shared" si="321"/>
        <v>525</v>
      </c>
      <c r="BF223" s="187">
        <f t="shared" si="322"/>
        <v>525</v>
      </c>
      <c r="BG223" s="187"/>
      <c r="BH223" s="187"/>
      <c r="BI223" s="187"/>
      <c r="BJ223" s="187">
        <f t="shared" si="298"/>
        <v>525</v>
      </c>
      <c r="BK223" s="187">
        <f t="shared" si="299"/>
        <v>525</v>
      </c>
      <c r="BL223" s="187"/>
      <c r="BM223" s="187"/>
      <c r="BN223" s="188"/>
      <c r="BO223" s="188">
        <f t="shared" si="300"/>
        <v>32840850</v>
      </c>
      <c r="BP223" s="188">
        <f t="shared" si="301"/>
        <v>48792450</v>
      </c>
      <c r="BQ223" s="188">
        <f t="shared" si="302"/>
        <v>0</v>
      </c>
      <c r="BR223" s="188">
        <f t="shared" si="303"/>
        <v>0</v>
      </c>
      <c r="BS223" s="188">
        <f t="shared" si="287"/>
        <v>81633300</v>
      </c>
      <c r="BT223" s="188">
        <f t="shared" si="288"/>
        <v>0</v>
      </c>
      <c r="BU223" s="188">
        <f t="shared" si="289"/>
        <v>32840850</v>
      </c>
      <c r="BV223" s="188">
        <f t="shared" si="290"/>
        <v>48792450</v>
      </c>
      <c r="BW223" s="188">
        <f t="shared" si="291"/>
        <v>0</v>
      </c>
      <c r="BX223" s="188">
        <f t="shared" si="292"/>
        <v>0</v>
      </c>
      <c r="BY223" s="188">
        <f t="shared" si="293"/>
        <v>81633300</v>
      </c>
      <c r="BZ223" s="305">
        <f>IF(COT_PRECALCULOS!$D$24="Precios Iva Incluído",BI223,BD223)</f>
        <v>0</v>
      </c>
      <c r="CA223" s="305">
        <f>IF(COT_PRECALCULOS!$D$24="Precios Iva Incluído",BJ223,BE223)</f>
        <v>525</v>
      </c>
      <c r="CB223" s="305">
        <f>IF(COT_PRECALCULOS!$D$24="Precios Iva Incluído",BK223,BF223)</f>
        <v>525</v>
      </c>
      <c r="CC223" s="305">
        <f>IF(COT_PRECALCULOS!$D$24="Precios Iva Incluído",BL223,BG223)</f>
        <v>0</v>
      </c>
      <c r="CD223" s="305">
        <f>IF(COT_PRECALCULOS!$D$24="Precios Iva Incluído",BM223,BH223)</f>
        <v>0</v>
      </c>
      <c r="CE223" s="305">
        <f>IF(COT_PRECALCULOS!$D$24="Precios Iva Incluído",BT223,BN223)</f>
        <v>0</v>
      </c>
      <c r="CF223" s="305">
        <f>IF(COT_PRECALCULOS!$D$24="Precios Iva Incluído",BU223,BO223)</f>
        <v>32840850</v>
      </c>
      <c r="CG223" s="305">
        <f>IF(COT_PRECALCULOS!$D$24="Precios Iva Incluído",BV223,BP223)</f>
        <v>48792450</v>
      </c>
      <c r="CH223" s="305">
        <f>IF(COT_PRECALCULOS!$D$24="Precios Iva Incluído",BW223,BQ223)</f>
        <v>0</v>
      </c>
      <c r="CI223" s="305">
        <f>IF(COT_PRECALCULOS!$D$24="Precios Iva Incluído",BX223,BR223)</f>
        <v>0</v>
      </c>
    </row>
    <row r="224" spans="1:87">
      <c r="A224" s="182" t="s">
        <v>102</v>
      </c>
      <c r="B224" s="182" t="s">
        <v>126</v>
      </c>
      <c r="C224" s="189" t="str">
        <f t="shared" si="282"/>
        <v>F_SE5</v>
      </c>
      <c r="D224" s="189" t="str">
        <f t="shared" si="283"/>
        <v>33_S_</v>
      </c>
      <c r="E224" s="190" t="s">
        <v>1</v>
      </c>
      <c r="F224" s="190" t="s">
        <v>1</v>
      </c>
      <c r="G224" s="189" t="s">
        <v>34</v>
      </c>
      <c r="H224" s="190"/>
      <c r="I224" s="190" t="s">
        <v>58</v>
      </c>
      <c r="J224" s="190">
        <v>33</v>
      </c>
      <c r="K224" s="190" t="s">
        <v>59</v>
      </c>
      <c r="L224" s="189" t="s">
        <v>48</v>
      </c>
      <c r="M224" s="310">
        <v>90</v>
      </c>
      <c r="N224" s="310">
        <v>90</v>
      </c>
      <c r="O224" s="310">
        <v>90</v>
      </c>
      <c r="P224" s="190"/>
      <c r="Q224" s="190"/>
      <c r="R224" s="211"/>
      <c r="S224" s="183">
        <f t="shared" si="311"/>
        <v>1</v>
      </c>
      <c r="T224" s="385">
        <f>$S224</f>
        <v>1</v>
      </c>
      <c r="U224" s="385">
        <f t="shared" si="312"/>
        <v>1</v>
      </c>
      <c r="V224" s="385">
        <f t="shared" si="312"/>
        <v>1</v>
      </c>
      <c r="W224" s="387"/>
      <c r="X224" s="387"/>
      <c r="Y224" s="184">
        <f t="shared" si="294"/>
        <v>28053</v>
      </c>
      <c r="Z224" s="184">
        <f t="shared" si="313"/>
        <v>31277</v>
      </c>
      <c r="AA224" s="184">
        <f t="shared" si="314"/>
        <v>46469</v>
      </c>
      <c r="AB224" s="184">
        <f t="shared" si="315"/>
        <v>0</v>
      </c>
      <c r="AC224" s="184">
        <f t="shared" si="316"/>
        <v>0</v>
      </c>
      <c r="AD224" s="184">
        <f t="shared" si="295"/>
        <v>105799</v>
      </c>
      <c r="AE224" s="183">
        <f t="shared" si="307"/>
        <v>0</v>
      </c>
      <c r="AF224" s="385">
        <f>$AE224</f>
        <v>0</v>
      </c>
      <c r="AG224" s="385">
        <f t="shared" si="308"/>
        <v>0</v>
      </c>
      <c r="AH224" s="385">
        <f t="shared" si="308"/>
        <v>0</v>
      </c>
      <c r="AI224" s="185">
        <f t="shared" si="296"/>
        <v>74</v>
      </c>
      <c r="AJ224" s="185">
        <f t="shared" si="309"/>
        <v>433</v>
      </c>
      <c r="AK224" s="185">
        <f t="shared" si="310"/>
        <v>683</v>
      </c>
      <c r="AL224" s="185">
        <f t="shared" si="297"/>
        <v>1190</v>
      </c>
      <c r="AM224" s="173">
        <f t="shared" ref="AM224:AM230" si="323">($S224*Y224)+($AE224*AI224)</f>
        <v>28053</v>
      </c>
      <c r="AN224" s="173">
        <f t="shared" si="318"/>
        <v>31277</v>
      </c>
      <c r="AO224" s="173">
        <f t="shared" si="319"/>
        <v>46469</v>
      </c>
      <c r="AP224" s="173">
        <f t="shared" si="284"/>
        <v>0</v>
      </c>
      <c r="AQ224" s="173">
        <f t="shared" si="285"/>
        <v>0</v>
      </c>
      <c r="AR224" s="173">
        <f t="shared" si="286"/>
        <v>105799</v>
      </c>
      <c r="AS224" s="186" t="s">
        <v>1364</v>
      </c>
      <c r="AT224" s="300">
        <f t="shared" si="320"/>
        <v>2.8014999999999999</v>
      </c>
      <c r="AU224" s="300">
        <f t="shared" si="320"/>
        <v>2.8014999999999999</v>
      </c>
      <c r="AV224" s="300">
        <f t="shared" si="320"/>
        <v>2.8014999999999999</v>
      </c>
      <c r="AW224" s="300">
        <f t="shared" si="320"/>
        <v>2.8014999999999999</v>
      </c>
      <c r="AX224" s="300">
        <f t="shared" si="320"/>
        <v>2.8014999999999999</v>
      </c>
      <c r="AY224" s="301">
        <f t="shared" si="317"/>
        <v>2.8014999999999999</v>
      </c>
      <c r="AZ224" s="301">
        <f t="shared" si="317"/>
        <v>2.8014999999999999</v>
      </c>
      <c r="BA224" s="301">
        <f t="shared" si="317"/>
        <v>2.8014999999999999</v>
      </c>
      <c r="BB224" s="301">
        <f t="shared" si="317"/>
        <v>2.8014999999999999</v>
      </c>
      <c r="BC224" s="301">
        <f t="shared" si="317"/>
        <v>2.8014999999999999</v>
      </c>
      <c r="BD224" s="187">
        <f>ROUND(IF(OR(M224=0,AT224="DATO NO DISPONIBLE"),"",AT224*M224*($BD$7+1)),0)</f>
        <v>270</v>
      </c>
      <c r="BE224" s="187">
        <f t="shared" si="321"/>
        <v>270</v>
      </c>
      <c r="BF224" s="187">
        <f t="shared" si="322"/>
        <v>270</v>
      </c>
      <c r="BG224" s="187"/>
      <c r="BH224" s="187"/>
      <c r="BI224" s="187">
        <f>ROUND(IF(OR(M224=0,AY224="DATO NO DISPONIBLE"),0,AY224*M224*($BD$7+1)),0)</f>
        <v>270</v>
      </c>
      <c r="BJ224" s="187">
        <f t="shared" si="298"/>
        <v>270</v>
      </c>
      <c r="BK224" s="187">
        <f t="shared" si="299"/>
        <v>270</v>
      </c>
      <c r="BL224" s="187"/>
      <c r="BM224" s="187"/>
      <c r="BN224" s="188">
        <f>BD224*AM224</f>
        <v>7574310</v>
      </c>
      <c r="BO224" s="188">
        <f t="shared" si="300"/>
        <v>8444790</v>
      </c>
      <c r="BP224" s="188">
        <f t="shared" si="301"/>
        <v>12546630</v>
      </c>
      <c r="BQ224" s="188">
        <f t="shared" si="302"/>
        <v>0</v>
      </c>
      <c r="BR224" s="188">
        <f t="shared" si="303"/>
        <v>0</v>
      </c>
      <c r="BS224" s="188">
        <f t="shared" si="287"/>
        <v>28565730</v>
      </c>
      <c r="BT224" s="188">
        <f t="shared" si="288"/>
        <v>7574310</v>
      </c>
      <c r="BU224" s="188">
        <f t="shared" si="289"/>
        <v>8444790</v>
      </c>
      <c r="BV224" s="188">
        <f t="shared" si="290"/>
        <v>12546630</v>
      </c>
      <c r="BW224" s="188">
        <f t="shared" si="291"/>
        <v>0</v>
      </c>
      <c r="BX224" s="188">
        <f t="shared" si="292"/>
        <v>0</v>
      </c>
      <c r="BY224" s="188">
        <f t="shared" si="293"/>
        <v>28565730</v>
      </c>
      <c r="BZ224" s="305">
        <f>IF(COT_PRECALCULOS!$D$24="Precios Iva Incluído",BI224,BD224)</f>
        <v>270</v>
      </c>
      <c r="CA224" s="305">
        <f>IF(COT_PRECALCULOS!$D$24="Precios Iva Incluído",BJ224,BE224)</f>
        <v>270</v>
      </c>
      <c r="CB224" s="305">
        <f>IF(COT_PRECALCULOS!$D$24="Precios Iva Incluído",BK224,BF224)</f>
        <v>270</v>
      </c>
      <c r="CC224" s="305">
        <f>IF(COT_PRECALCULOS!$D$24="Precios Iva Incluído",BL224,BG224)</f>
        <v>0</v>
      </c>
      <c r="CD224" s="305">
        <f>IF(COT_PRECALCULOS!$D$24="Precios Iva Incluído",BM224,BH224)</f>
        <v>0</v>
      </c>
      <c r="CE224" s="305">
        <f>IF(COT_PRECALCULOS!$D$24="Precios Iva Incluído",BT224,BN224)</f>
        <v>7574310</v>
      </c>
      <c r="CF224" s="305">
        <f>IF(COT_PRECALCULOS!$D$24="Precios Iva Incluído",BU224,BO224)</f>
        <v>8444790</v>
      </c>
      <c r="CG224" s="305">
        <f>IF(COT_PRECALCULOS!$D$24="Precios Iva Incluído",BV224,BP224)</f>
        <v>12546630</v>
      </c>
      <c r="CH224" s="305">
        <f>IF(COT_PRECALCULOS!$D$24="Precios Iva Incluído",BW224,BQ224)</f>
        <v>0</v>
      </c>
      <c r="CI224" s="305">
        <f>IF(COT_PRECALCULOS!$D$24="Precios Iva Incluído",BX224,BR224)</f>
        <v>0</v>
      </c>
    </row>
    <row r="225" spans="1:87">
      <c r="A225" s="182" t="s">
        <v>102</v>
      </c>
      <c r="B225" s="182" t="s">
        <v>126</v>
      </c>
      <c r="C225" s="189" t="str">
        <f t="shared" si="282"/>
        <v>F_SE5</v>
      </c>
      <c r="D225" s="189" t="str">
        <f t="shared" si="283"/>
        <v>42_S_</v>
      </c>
      <c r="E225" s="190" t="s">
        <v>1</v>
      </c>
      <c r="F225" s="190" t="s">
        <v>1</v>
      </c>
      <c r="G225" s="189" t="s">
        <v>34</v>
      </c>
      <c r="H225" s="190"/>
      <c r="I225" s="190" t="s">
        <v>49</v>
      </c>
      <c r="J225" s="190">
        <v>42</v>
      </c>
      <c r="K225" s="190" t="s">
        <v>61</v>
      </c>
      <c r="L225" s="189" t="s">
        <v>9</v>
      </c>
      <c r="M225" s="211">
        <v>100</v>
      </c>
      <c r="N225" s="211">
        <v>100</v>
      </c>
      <c r="O225" s="211">
        <v>100</v>
      </c>
      <c r="P225" s="190"/>
      <c r="Q225" s="190"/>
      <c r="R225" s="190"/>
      <c r="S225" s="183">
        <f t="shared" si="311"/>
        <v>1</v>
      </c>
      <c r="T225" s="385">
        <f>$S225</f>
        <v>1</v>
      </c>
      <c r="U225" s="385">
        <f t="shared" si="312"/>
        <v>1</v>
      </c>
      <c r="V225" s="385">
        <f t="shared" si="312"/>
        <v>1</v>
      </c>
      <c r="W225" s="387"/>
      <c r="X225" s="387"/>
      <c r="Y225" s="184">
        <f t="shared" si="294"/>
        <v>28053</v>
      </c>
      <c r="Z225" s="184">
        <f t="shared" si="313"/>
        <v>31277</v>
      </c>
      <c r="AA225" s="184">
        <f t="shared" si="314"/>
        <v>46469</v>
      </c>
      <c r="AB225" s="184">
        <f t="shared" si="315"/>
        <v>0</v>
      </c>
      <c r="AC225" s="184">
        <f t="shared" si="316"/>
        <v>0</v>
      </c>
      <c r="AD225" s="184">
        <f t="shared" si="295"/>
        <v>105799</v>
      </c>
      <c r="AE225" s="183">
        <f t="shared" si="307"/>
        <v>0</v>
      </c>
      <c r="AF225" s="385">
        <f>$AE225</f>
        <v>0</v>
      </c>
      <c r="AG225" s="385">
        <f t="shared" si="308"/>
        <v>0</v>
      </c>
      <c r="AH225" s="385">
        <f t="shared" si="308"/>
        <v>0</v>
      </c>
      <c r="AI225" s="185">
        <f t="shared" si="296"/>
        <v>74</v>
      </c>
      <c r="AJ225" s="185">
        <f t="shared" si="309"/>
        <v>433</v>
      </c>
      <c r="AK225" s="185">
        <f t="shared" si="310"/>
        <v>683</v>
      </c>
      <c r="AL225" s="185">
        <f t="shared" si="297"/>
        <v>1190</v>
      </c>
      <c r="AM225" s="173">
        <f t="shared" si="323"/>
        <v>28053</v>
      </c>
      <c r="AN225" s="173">
        <f t="shared" si="318"/>
        <v>31277</v>
      </c>
      <c r="AO225" s="173">
        <f t="shared" si="319"/>
        <v>46469</v>
      </c>
      <c r="AP225" s="173">
        <f t="shared" si="284"/>
        <v>0</v>
      </c>
      <c r="AQ225" s="173">
        <f t="shared" si="285"/>
        <v>0</v>
      </c>
      <c r="AR225" s="173">
        <f t="shared" si="286"/>
        <v>105799</v>
      </c>
      <c r="AS225" s="186" t="s">
        <v>1364</v>
      </c>
      <c r="AT225" s="300">
        <f t="shared" si="320"/>
        <v>1.8169999999999999</v>
      </c>
      <c r="AU225" s="300">
        <f t="shared" si="320"/>
        <v>1.8169999999999999</v>
      </c>
      <c r="AV225" s="300">
        <f t="shared" si="320"/>
        <v>1.8169999999999999</v>
      </c>
      <c r="AW225" s="300">
        <f t="shared" si="320"/>
        <v>1.8169999999999999</v>
      </c>
      <c r="AX225" s="300">
        <f t="shared" si="320"/>
        <v>1.8169999999999999</v>
      </c>
      <c r="AY225" s="301">
        <f t="shared" si="317"/>
        <v>1.8169999999999999</v>
      </c>
      <c r="AZ225" s="301">
        <f t="shared" si="317"/>
        <v>1.8169999999999999</v>
      </c>
      <c r="BA225" s="301">
        <f t="shared" si="317"/>
        <v>1.8169999999999999</v>
      </c>
      <c r="BB225" s="301">
        <f t="shared" si="317"/>
        <v>1.8169999999999999</v>
      </c>
      <c r="BC225" s="301">
        <f t="shared" si="317"/>
        <v>1.8169999999999999</v>
      </c>
      <c r="BD225" s="187">
        <f>ROUND(IF(OR(M225=0,AT225="DATO NO DISPONIBLE"),"",AT225*M225*($BD$7+1)),0)</f>
        <v>194</v>
      </c>
      <c r="BE225" s="187">
        <f t="shared" si="321"/>
        <v>194</v>
      </c>
      <c r="BF225" s="187">
        <f t="shared" si="322"/>
        <v>194</v>
      </c>
      <c r="BG225" s="187"/>
      <c r="BH225" s="187"/>
      <c r="BI225" s="187">
        <f>ROUND(IF(OR(M225=0,AY225="DATO NO DISPONIBLE"),0,AY225*M225*($BD$7+1)),0)</f>
        <v>194</v>
      </c>
      <c r="BJ225" s="187">
        <f t="shared" si="298"/>
        <v>194</v>
      </c>
      <c r="BK225" s="187">
        <f t="shared" si="299"/>
        <v>194</v>
      </c>
      <c r="BL225" s="187"/>
      <c r="BM225" s="187"/>
      <c r="BN225" s="188">
        <f>BD225*AM225</f>
        <v>5442282</v>
      </c>
      <c r="BO225" s="188">
        <f t="shared" si="300"/>
        <v>6067738</v>
      </c>
      <c r="BP225" s="188">
        <f t="shared" si="301"/>
        <v>9014986</v>
      </c>
      <c r="BQ225" s="188">
        <f t="shared" si="302"/>
        <v>0</v>
      </c>
      <c r="BR225" s="188">
        <f t="shared" si="303"/>
        <v>0</v>
      </c>
      <c r="BS225" s="188">
        <f t="shared" si="287"/>
        <v>20525006</v>
      </c>
      <c r="BT225" s="188">
        <f t="shared" si="288"/>
        <v>5442282</v>
      </c>
      <c r="BU225" s="188">
        <f t="shared" si="289"/>
        <v>6067738</v>
      </c>
      <c r="BV225" s="188">
        <f t="shared" si="290"/>
        <v>9014986</v>
      </c>
      <c r="BW225" s="188">
        <f t="shared" si="291"/>
        <v>0</v>
      </c>
      <c r="BX225" s="188">
        <f t="shared" si="292"/>
        <v>0</v>
      </c>
      <c r="BY225" s="188">
        <f t="shared" si="293"/>
        <v>20525006</v>
      </c>
      <c r="BZ225" s="305">
        <f>IF(COT_PRECALCULOS!$D$24="Precios Iva Incluído",BI225,BD225)</f>
        <v>194</v>
      </c>
      <c r="CA225" s="305">
        <f>IF(COT_PRECALCULOS!$D$24="Precios Iva Incluído",BJ225,BE225)</f>
        <v>194</v>
      </c>
      <c r="CB225" s="305">
        <f>IF(COT_PRECALCULOS!$D$24="Precios Iva Incluído",BK225,BF225)</f>
        <v>194</v>
      </c>
      <c r="CC225" s="305">
        <f>IF(COT_PRECALCULOS!$D$24="Precios Iva Incluído",BL225,BG225)</f>
        <v>0</v>
      </c>
      <c r="CD225" s="305">
        <f>IF(COT_PRECALCULOS!$D$24="Precios Iva Incluído",BM225,BH225)</f>
        <v>0</v>
      </c>
      <c r="CE225" s="305">
        <f>IF(COT_PRECALCULOS!$D$24="Precios Iva Incluído",BT225,BN225)</f>
        <v>5442282</v>
      </c>
      <c r="CF225" s="305">
        <f>IF(COT_PRECALCULOS!$D$24="Precios Iva Incluído",BU225,BO225)</f>
        <v>6067738</v>
      </c>
      <c r="CG225" s="305">
        <f>IF(COT_PRECALCULOS!$D$24="Precios Iva Incluído",BV225,BP225)</f>
        <v>9014986</v>
      </c>
      <c r="CH225" s="305">
        <f>IF(COT_PRECALCULOS!$D$24="Precios Iva Incluído",BW225,BQ225)</f>
        <v>0</v>
      </c>
      <c r="CI225" s="305">
        <f>IF(COT_PRECALCULOS!$D$24="Precios Iva Incluído",BX225,BR225)</f>
        <v>0</v>
      </c>
    </row>
    <row r="226" spans="1:87">
      <c r="A226" s="182" t="s">
        <v>102</v>
      </c>
      <c r="B226" s="182" t="s">
        <v>126</v>
      </c>
      <c r="C226" s="189" t="str">
        <f t="shared" si="282"/>
        <v>F_SE5</v>
      </c>
      <c r="D226" s="189" t="str">
        <f t="shared" si="283"/>
        <v>43_S_</v>
      </c>
      <c r="E226" s="190" t="s">
        <v>1</v>
      </c>
      <c r="F226" s="190" t="s">
        <v>1</v>
      </c>
      <c r="G226" s="189" t="s">
        <v>34</v>
      </c>
      <c r="H226" s="190"/>
      <c r="I226" s="190" t="s">
        <v>60</v>
      </c>
      <c r="J226" s="190">
        <v>43</v>
      </c>
      <c r="K226" s="190" t="s">
        <v>62</v>
      </c>
      <c r="L226" s="189" t="s">
        <v>9</v>
      </c>
      <c r="M226" s="211">
        <v>100</v>
      </c>
      <c r="N226" s="211">
        <v>100</v>
      </c>
      <c r="O226" s="211">
        <v>100</v>
      </c>
      <c r="P226" s="190"/>
      <c r="Q226" s="190"/>
      <c r="R226" s="190"/>
      <c r="S226" s="183">
        <f t="shared" si="311"/>
        <v>5</v>
      </c>
      <c r="T226" s="385">
        <f>$S226</f>
        <v>5</v>
      </c>
      <c r="U226" s="385">
        <f t="shared" si="312"/>
        <v>5</v>
      </c>
      <c r="V226" s="385">
        <f t="shared" si="312"/>
        <v>5</v>
      </c>
      <c r="W226" s="387"/>
      <c r="X226" s="387"/>
      <c r="Y226" s="184">
        <f t="shared" si="294"/>
        <v>28053</v>
      </c>
      <c r="Z226" s="184">
        <f t="shared" si="313"/>
        <v>31277</v>
      </c>
      <c r="AA226" s="184">
        <f t="shared" si="314"/>
        <v>46469</v>
      </c>
      <c r="AB226" s="184">
        <f t="shared" si="315"/>
        <v>0</v>
      </c>
      <c r="AC226" s="184">
        <f t="shared" si="316"/>
        <v>0</v>
      </c>
      <c r="AD226" s="184">
        <f t="shared" si="295"/>
        <v>105799</v>
      </c>
      <c r="AE226" s="183">
        <f t="shared" si="307"/>
        <v>0</v>
      </c>
      <c r="AF226" s="385">
        <f>$AE226</f>
        <v>0</v>
      </c>
      <c r="AG226" s="385">
        <f t="shared" si="308"/>
        <v>0</v>
      </c>
      <c r="AH226" s="385">
        <f t="shared" si="308"/>
        <v>0</v>
      </c>
      <c r="AI226" s="185">
        <f t="shared" si="296"/>
        <v>74</v>
      </c>
      <c r="AJ226" s="185">
        <f t="shared" si="309"/>
        <v>433</v>
      </c>
      <c r="AK226" s="185">
        <f t="shared" si="310"/>
        <v>683</v>
      </c>
      <c r="AL226" s="185">
        <f t="shared" si="297"/>
        <v>1190</v>
      </c>
      <c r="AM226" s="173">
        <f t="shared" si="323"/>
        <v>140265</v>
      </c>
      <c r="AN226" s="173">
        <f t="shared" si="318"/>
        <v>156385</v>
      </c>
      <c r="AO226" s="173">
        <f t="shared" si="319"/>
        <v>232345</v>
      </c>
      <c r="AP226" s="173">
        <f t="shared" si="284"/>
        <v>0</v>
      </c>
      <c r="AQ226" s="173">
        <f t="shared" si="285"/>
        <v>0</v>
      </c>
      <c r="AR226" s="173">
        <f t="shared" si="286"/>
        <v>528995</v>
      </c>
      <c r="AS226" s="186" t="s">
        <v>1364</v>
      </c>
      <c r="AT226" s="300">
        <f t="shared" si="320"/>
        <v>1.5892500000000001</v>
      </c>
      <c r="AU226" s="300">
        <f t="shared" si="320"/>
        <v>1.5892500000000001</v>
      </c>
      <c r="AV226" s="300">
        <f t="shared" si="320"/>
        <v>1.5892500000000001</v>
      </c>
      <c r="AW226" s="300">
        <f t="shared" si="320"/>
        <v>1.5892500000000001</v>
      </c>
      <c r="AX226" s="300">
        <f t="shared" si="320"/>
        <v>1.5892500000000001</v>
      </c>
      <c r="AY226" s="301">
        <f t="shared" si="317"/>
        <v>1.5892500000000001</v>
      </c>
      <c r="AZ226" s="301">
        <f t="shared" si="317"/>
        <v>1.5892500000000001</v>
      </c>
      <c r="BA226" s="301">
        <f t="shared" si="317"/>
        <v>1.5892500000000001</v>
      </c>
      <c r="BB226" s="301">
        <f t="shared" si="317"/>
        <v>1.5892500000000001</v>
      </c>
      <c r="BC226" s="301">
        <f t="shared" si="317"/>
        <v>1.5892500000000001</v>
      </c>
      <c r="BD226" s="187">
        <f>ROUND(IF(OR(M226=0,AT226="DATO NO DISPONIBLE"),"",AT226*M226*($BD$7+1)),0)</f>
        <v>170</v>
      </c>
      <c r="BE226" s="187">
        <f t="shared" si="321"/>
        <v>170</v>
      </c>
      <c r="BF226" s="187">
        <f t="shared" si="322"/>
        <v>170</v>
      </c>
      <c r="BG226" s="187"/>
      <c r="BH226" s="187"/>
      <c r="BI226" s="187">
        <f>ROUND(IF(OR(M226=0,AY226="DATO NO DISPONIBLE"),0,AY226*M226*($BD$7+1)),0)</f>
        <v>170</v>
      </c>
      <c r="BJ226" s="187">
        <f t="shared" si="298"/>
        <v>170</v>
      </c>
      <c r="BK226" s="187">
        <f t="shared" si="299"/>
        <v>170</v>
      </c>
      <c r="BL226" s="187"/>
      <c r="BM226" s="187"/>
      <c r="BN226" s="188">
        <f>BD226*AM226</f>
        <v>23845050</v>
      </c>
      <c r="BO226" s="188">
        <f t="shared" si="300"/>
        <v>26585450</v>
      </c>
      <c r="BP226" s="188">
        <f t="shared" si="301"/>
        <v>39498650</v>
      </c>
      <c r="BQ226" s="188">
        <f t="shared" si="302"/>
        <v>0</v>
      </c>
      <c r="BR226" s="188">
        <f t="shared" si="303"/>
        <v>0</v>
      </c>
      <c r="BS226" s="188">
        <f t="shared" si="287"/>
        <v>89929150</v>
      </c>
      <c r="BT226" s="188">
        <f t="shared" si="288"/>
        <v>23845050</v>
      </c>
      <c r="BU226" s="188">
        <f t="shared" si="289"/>
        <v>26585450</v>
      </c>
      <c r="BV226" s="188">
        <f t="shared" si="290"/>
        <v>39498650</v>
      </c>
      <c r="BW226" s="188">
        <f t="shared" si="291"/>
        <v>0</v>
      </c>
      <c r="BX226" s="188">
        <f t="shared" si="292"/>
        <v>0</v>
      </c>
      <c r="BY226" s="188">
        <f t="shared" si="293"/>
        <v>89929150</v>
      </c>
      <c r="BZ226" s="305">
        <f>IF(COT_PRECALCULOS!$D$24="Precios Iva Incluído",BI226,BD226)</f>
        <v>170</v>
      </c>
      <c r="CA226" s="305">
        <f>IF(COT_PRECALCULOS!$D$24="Precios Iva Incluído",BJ226,BE226)</f>
        <v>170</v>
      </c>
      <c r="CB226" s="305">
        <f>IF(COT_PRECALCULOS!$D$24="Precios Iva Incluído",BK226,BF226)</f>
        <v>170</v>
      </c>
      <c r="CC226" s="305">
        <f>IF(COT_PRECALCULOS!$D$24="Precios Iva Incluído",BL226,BG226)</f>
        <v>0</v>
      </c>
      <c r="CD226" s="305">
        <f>IF(COT_PRECALCULOS!$D$24="Precios Iva Incluído",BM226,BH226)</f>
        <v>0</v>
      </c>
      <c r="CE226" s="305">
        <f>IF(COT_PRECALCULOS!$D$24="Precios Iva Incluído",BT226,BN226)</f>
        <v>23845050</v>
      </c>
      <c r="CF226" s="305">
        <f>IF(COT_PRECALCULOS!$D$24="Precios Iva Incluído",BU226,BO226)</f>
        <v>26585450</v>
      </c>
      <c r="CG226" s="305">
        <f>IF(COT_PRECALCULOS!$D$24="Precios Iva Incluído",BV226,BP226)</f>
        <v>39498650</v>
      </c>
      <c r="CH226" s="305">
        <f>IF(COT_PRECALCULOS!$D$24="Precios Iva Incluído",BW226,BQ226)</f>
        <v>0</v>
      </c>
      <c r="CI226" s="305">
        <f>IF(COT_PRECALCULOS!$D$24="Precios Iva Incluído",BX226,BR226)</f>
        <v>0</v>
      </c>
    </row>
    <row r="227" spans="1:87">
      <c r="A227" s="182" t="s">
        <v>102</v>
      </c>
      <c r="B227" s="182" t="s">
        <v>126</v>
      </c>
      <c r="C227" s="189" t="str">
        <f t="shared" si="282"/>
        <v>F_SE5</v>
      </c>
      <c r="D227" s="189" t="str">
        <f t="shared" si="283"/>
        <v>46_S_</v>
      </c>
      <c r="E227" s="190" t="s">
        <v>1</v>
      </c>
      <c r="F227" s="190" t="s">
        <v>1</v>
      </c>
      <c r="G227" s="189" t="s">
        <v>34</v>
      </c>
      <c r="H227" s="190"/>
      <c r="I227" s="190" t="s">
        <v>63</v>
      </c>
      <c r="J227" s="190">
        <v>46</v>
      </c>
      <c r="K227" s="190" t="s">
        <v>64</v>
      </c>
      <c r="L227" s="189" t="s">
        <v>9</v>
      </c>
      <c r="M227" s="190">
        <v>100</v>
      </c>
      <c r="N227" s="190">
        <v>100</v>
      </c>
      <c r="O227" s="190">
        <v>100</v>
      </c>
      <c r="P227" s="190"/>
      <c r="Q227" s="190"/>
      <c r="R227" s="190"/>
      <c r="S227" s="183">
        <f t="shared" si="311"/>
        <v>3</v>
      </c>
      <c r="T227" s="385">
        <f>$S227</f>
        <v>3</v>
      </c>
      <c r="U227" s="385">
        <f t="shared" si="312"/>
        <v>3</v>
      </c>
      <c r="V227" s="385">
        <f t="shared" si="312"/>
        <v>3</v>
      </c>
      <c r="W227" s="387"/>
      <c r="X227" s="387"/>
      <c r="Y227" s="184">
        <f t="shared" si="294"/>
        <v>28053</v>
      </c>
      <c r="Z227" s="184">
        <f t="shared" si="313"/>
        <v>31277</v>
      </c>
      <c r="AA227" s="184">
        <f t="shared" si="314"/>
        <v>46469</v>
      </c>
      <c r="AB227" s="184">
        <f t="shared" si="315"/>
        <v>0</v>
      </c>
      <c r="AC227" s="184">
        <f t="shared" si="316"/>
        <v>0</v>
      </c>
      <c r="AD227" s="184">
        <f t="shared" si="295"/>
        <v>105799</v>
      </c>
      <c r="AE227" s="183">
        <f t="shared" si="307"/>
        <v>0</v>
      </c>
      <c r="AF227" s="385">
        <f>$AE227</f>
        <v>0</v>
      </c>
      <c r="AG227" s="385">
        <f t="shared" si="308"/>
        <v>0</v>
      </c>
      <c r="AH227" s="385">
        <f t="shared" si="308"/>
        <v>0</v>
      </c>
      <c r="AI227" s="185">
        <f t="shared" si="296"/>
        <v>74</v>
      </c>
      <c r="AJ227" s="185">
        <f t="shared" si="309"/>
        <v>433</v>
      </c>
      <c r="AK227" s="185">
        <f t="shared" si="310"/>
        <v>683</v>
      </c>
      <c r="AL227" s="185">
        <f t="shared" si="297"/>
        <v>1190</v>
      </c>
      <c r="AM227" s="173">
        <f t="shared" si="323"/>
        <v>84159</v>
      </c>
      <c r="AN227" s="173">
        <f t="shared" si="318"/>
        <v>93831</v>
      </c>
      <c r="AO227" s="173">
        <f t="shared" si="319"/>
        <v>139407</v>
      </c>
      <c r="AP227" s="173">
        <f t="shared" si="284"/>
        <v>0</v>
      </c>
      <c r="AQ227" s="173">
        <f t="shared" si="285"/>
        <v>0</v>
      </c>
      <c r="AR227" s="173">
        <f t="shared" si="286"/>
        <v>317397</v>
      </c>
      <c r="AS227" s="186" t="s">
        <v>1364</v>
      </c>
      <c r="AT227" s="300">
        <f t="shared" si="320"/>
        <v>3.7214999999999998</v>
      </c>
      <c r="AU227" s="300">
        <f t="shared" si="320"/>
        <v>3.7214999999999998</v>
      </c>
      <c r="AV227" s="300">
        <f t="shared" si="320"/>
        <v>3.7214999999999998</v>
      </c>
      <c r="AW227" s="300">
        <f t="shared" si="320"/>
        <v>3.7214999999999998</v>
      </c>
      <c r="AX227" s="300">
        <f t="shared" si="320"/>
        <v>3.7214999999999998</v>
      </c>
      <c r="AY227" s="301">
        <f t="shared" si="317"/>
        <v>3.7214999999999998</v>
      </c>
      <c r="AZ227" s="301">
        <f t="shared" si="317"/>
        <v>3.7214999999999998</v>
      </c>
      <c r="BA227" s="301">
        <f t="shared" si="317"/>
        <v>3.7214999999999998</v>
      </c>
      <c r="BB227" s="301">
        <f t="shared" si="317"/>
        <v>3.7214999999999998</v>
      </c>
      <c r="BC227" s="301">
        <f t="shared" si="317"/>
        <v>3.7214999999999998</v>
      </c>
      <c r="BD227" s="187">
        <f>ROUND(IF(OR(M227=0,AT227="DATO NO DISPONIBLE"),"",AT227*M227*($BD$7+1)),0)</f>
        <v>398</v>
      </c>
      <c r="BE227" s="187">
        <f t="shared" si="321"/>
        <v>398</v>
      </c>
      <c r="BF227" s="187">
        <f t="shared" si="322"/>
        <v>398</v>
      </c>
      <c r="BG227" s="187"/>
      <c r="BH227" s="187"/>
      <c r="BI227" s="187">
        <f>ROUND(IF(OR(M227=0,AY227="DATO NO DISPONIBLE"),0,AY227*M227*($BD$7+1)),0)</f>
        <v>398</v>
      </c>
      <c r="BJ227" s="187">
        <f t="shared" si="298"/>
        <v>398</v>
      </c>
      <c r="BK227" s="187">
        <f t="shared" si="299"/>
        <v>398</v>
      </c>
      <c r="BL227" s="187"/>
      <c r="BM227" s="187"/>
      <c r="BN227" s="188">
        <f>BD227*AM227</f>
        <v>33495282</v>
      </c>
      <c r="BO227" s="188">
        <f t="shared" si="300"/>
        <v>37344738</v>
      </c>
      <c r="BP227" s="188">
        <f t="shared" si="301"/>
        <v>55483986</v>
      </c>
      <c r="BQ227" s="188">
        <f t="shared" si="302"/>
        <v>0</v>
      </c>
      <c r="BR227" s="188">
        <f t="shared" si="303"/>
        <v>0</v>
      </c>
      <c r="BS227" s="188">
        <f t="shared" si="287"/>
        <v>126324006</v>
      </c>
      <c r="BT227" s="188">
        <f t="shared" si="288"/>
        <v>33495282</v>
      </c>
      <c r="BU227" s="188">
        <f t="shared" si="289"/>
        <v>37344738</v>
      </c>
      <c r="BV227" s="188">
        <f t="shared" si="290"/>
        <v>55483986</v>
      </c>
      <c r="BW227" s="188">
        <f t="shared" si="291"/>
        <v>0</v>
      </c>
      <c r="BX227" s="188">
        <f t="shared" si="292"/>
        <v>0</v>
      </c>
      <c r="BY227" s="188">
        <f t="shared" si="293"/>
        <v>126324006</v>
      </c>
      <c r="BZ227" s="305">
        <f>IF(COT_PRECALCULOS!$D$24="Precios Iva Incluído",BI227,BD227)</f>
        <v>398</v>
      </c>
      <c r="CA227" s="305">
        <f>IF(COT_PRECALCULOS!$D$24="Precios Iva Incluído",BJ227,BE227)</f>
        <v>398</v>
      </c>
      <c r="CB227" s="305">
        <f>IF(COT_PRECALCULOS!$D$24="Precios Iva Incluído",BK227,BF227)</f>
        <v>398</v>
      </c>
      <c r="CC227" s="305">
        <f>IF(COT_PRECALCULOS!$D$24="Precios Iva Incluído",BL227,BG227)</f>
        <v>0</v>
      </c>
      <c r="CD227" s="305">
        <f>IF(COT_PRECALCULOS!$D$24="Precios Iva Incluído",BM227,BH227)</f>
        <v>0</v>
      </c>
      <c r="CE227" s="305">
        <f>IF(COT_PRECALCULOS!$D$24="Precios Iva Incluído",BT227,BN227)</f>
        <v>33495282</v>
      </c>
      <c r="CF227" s="305">
        <f>IF(COT_PRECALCULOS!$D$24="Precios Iva Incluído",BU227,BO227)</f>
        <v>37344738</v>
      </c>
      <c r="CG227" s="305">
        <f>IF(COT_PRECALCULOS!$D$24="Precios Iva Incluído",BV227,BP227)</f>
        <v>55483986</v>
      </c>
      <c r="CH227" s="305">
        <f>IF(COT_PRECALCULOS!$D$24="Precios Iva Incluído",BW227,BQ227)</f>
        <v>0</v>
      </c>
      <c r="CI227" s="305">
        <f>IF(COT_PRECALCULOS!$D$24="Precios Iva Incluído",BX227,BR227)</f>
        <v>0</v>
      </c>
    </row>
    <row r="228" spans="1:87">
      <c r="A228" s="182" t="s">
        <v>102</v>
      </c>
      <c r="B228" s="182" t="s">
        <v>126</v>
      </c>
      <c r="C228" s="189" t="str">
        <f t="shared" si="282"/>
        <v>F_SE5</v>
      </c>
      <c r="D228" s="189" t="str">
        <f t="shared" si="283"/>
        <v>58_S_</v>
      </c>
      <c r="E228" s="211" t="s">
        <v>1</v>
      </c>
      <c r="F228" s="211" t="s">
        <v>1</v>
      </c>
      <c r="G228" s="189" t="s">
        <v>34</v>
      </c>
      <c r="H228" s="211"/>
      <c r="I228" s="211" t="s">
        <v>65</v>
      </c>
      <c r="J228" s="211">
        <v>58</v>
      </c>
      <c r="K228" s="211" t="s">
        <v>67</v>
      </c>
      <c r="L228" s="189" t="s">
        <v>9</v>
      </c>
      <c r="M228" s="211">
        <v>100</v>
      </c>
      <c r="N228" s="211">
        <v>100</v>
      </c>
      <c r="O228" s="211">
        <v>100</v>
      </c>
      <c r="P228" s="211"/>
      <c r="Q228" s="211"/>
      <c r="R228" s="211"/>
      <c r="S228" s="388">
        <v>4</v>
      </c>
      <c r="T228" s="388">
        <f>$S228</f>
        <v>4</v>
      </c>
      <c r="U228" s="388">
        <v>0</v>
      </c>
      <c r="V228" s="388">
        <v>0</v>
      </c>
      <c r="W228" s="387"/>
      <c r="X228" s="387"/>
      <c r="Y228" s="184">
        <f t="shared" si="294"/>
        <v>28053</v>
      </c>
      <c r="Z228" s="184">
        <v>0</v>
      </c>
      <c r="AA228" s="184">
        <v>0</v>
      </c>
      <c r="AB228" s="184">
        <f t="shared" si="315"/>
        <v>0</v>
      </c>
      <c r="AC228" s="184">
        <f t="shared" si="316"/>
        <v>0</v>
      </c>
      <c r="AD228" s="184">
        <f t="shared" si="295"/>
        <v>28053</v>
      </c>
      <c r="AE228" s="183">
        <f t="shared" si="307"/>
        <v>0</v>
      </c>
      <c r="AF228" s="385">
        <f>$AE228</f>
        <v>0</v>
      </c>
      <c r="AG228" s="385">
        <f t="shared" si="308"/>
        <v>0</v>
      </c>
      <c r="AH228" s="385">
        <f t="shared" si="308"/>
        <v>0</v>
      </c>
      <c r="AI228" s="185">
        <f t="shared" si="296"/>
        <v>74</v>
      </c>
      <c r="AJ228" s="185">
        <f t="shared" si="309"/>
        <v>433</v>
      </c>
      <c r="AK228" s="185">
        <f t="shared" si="310"/>
        <v>683</v>
      </c>
      <c r="AL228" s="185">
        <f t="shared" si="297"/>
        <v>1190</v>
      </c>
      <c r="AM228" s="173">
        <f t="shared" si="323"/>
        <v>112212</v>
      </c>
      <c r="AN228" s="173">
        <f t="shared" si="318"/>
        <v>0</v>
      </c>
      <c r="AO228" s="173">
        <f t="shared" si="319"/>
        <v>0</v>
      </c>
      <c r="AP228" s="173">
        <f t="shared" si="284"/>
        <v>0</v>
      </c>
      <c r="AQ228" s="173">
        <f t="shared" si="285"/>
        <v>0</v>
      </c>
      <c r="AR228" s="173">
        <f t="shared" si="286"/>
        <v>112212</v>
      </c>
      <c r="AS228" s="186" t="s">
        <v>1364</v>
      </c>
      <c r="AT228" s="300">
        <f t="shared" si="320"/>
        <v>1.4384999999999999</v>
      </c>
      <c r="AU228" s="300">
        <f t="shared" si="320"/>
        <v>1.4384999999999999</v>
      </c>
      <c r="AV228" s="300">
        <f t="shared" si="320"/>
        <v>1.4384999999999999</v>
      </c>
      <c r="AW228" s="300">
        <f t="shared" si="320"/>
        <v>1.4384999999999999</v>
      </c>
      <c r="AX228" s="300">
        <f t="shared" si="320"/>
        <v>1.4384999999999999</v>
      </c>
      <c r="AY228" s="301">
        <f t="shared" ref="AY228:BC237" si="324">IF(ISERROR(MATCH(CONCATENATE($J228,"_",AY$1),COT_PRE_CODIGO_ALIMENTOS,0)),IF(ISERROR(MATCH(CONCATENATE($J228,"_",AY$2),COT_PRE_CODIGO_ALIMENTOS,0)),IF(ISERROR(MATCH(CONCATENATE($J228,"_",AY$3),COT_PRE_CODIGO_ALIMENTOS,0)),IF(ISERROR(MATCH(CONCATENATE($J228,"_",AY$4),COT_PRE_CODIGO_ALIMENTOS,0)),IF(ISERROR(MATCH(CONCATENATE($J228,"_",AY$5),COT_PRE_CODIGO_ALIMENTOS,0)),IF(ISERROR(MATCH(CONCATENATE($J228,"_",AY$6),COT_PRE_CODIGO_ALIMENTOS,0)),IF(ISERROR(MATCH(CONCATENATE($J228,"_",AY$7),COT_PRE_CODIGO_ALIMENTOS,0)),IF(ISERROR(VLOOKUP($J228,COT_PRE_ALIMENTOS,AY$8,FALSE)),"DATO NO DISPONIBLE",VLOOKUP($J228,COT_PRE_ALIMENTOS,AY$8,FALSE)),VLOOKUP(CONCATENATE($J228,"_",AY$7),COT_PRE_ALIMENTOS,AY$8,FALSE)),VLOOKUP(CONCATENATE($J228,"_",AY$6),COT_PRE_ALIMENTOS,AY$8,FALSE)),VLOOKUP(CONCATENATE($J228,"_",AY$5),COT_PRE_ALIMENTOS,AY$8,FALSE)),VLOOKUP(CONCATENATE($J228,"_",AY$4),COT_PRE_ALIMENTOS,AY$8,FALSE)),VLOOKUP(CONCATENATE($J228,"_",AY$3),COT_PRE_ALIMENTOS,AY$8,FALSE)),VLOOKUP(CONCATENATE($J228,"_",AY$2),COT_PRE_ALIMENTOS,AY$8,FALSE)),VLOOKUP(CONCATENATE($J228,"_",AY$1),COT_PRE_ALIMENTOS,AY$8,FALSE))</f>
        <v>1.4384999999999999</v>
      </c>
      <c r="AZ228" s="301">
        <f t="shared" si="324"/>
        <v>1.4384999999999999</v>
      </c>
      <c r="BA228" s="301">
        <f t="shared" si="324"/>
        <v>1.4384999999999999</v>
      </c>
      <c r="BB228" s="301">
        <f t="shared" si="324"/>
        <v>1.4384999999999999</v>
      </c>
      <c r="BC228" s="301">
        <f t="shared" si="324"/>
        <v>1.4384999999999999</v>
      </c>
      <c r="BD228" s="187">
        <f>ROUND(IF(OR(M228=0,AT228="DATO NO DISPONIBLE"),"",AT228*M228*($BD$7+1)),0)</f>
        <v>154</v>
      </c>
      <c r="BE228" s="187">
        <f t="shared" si="321"/>
        <v>154</v>
      </c>
      <c r="BF228" s="187">
        <f t="shared" si="322"/>
        <v>154</v>
      </c>
      <c r="BG228" s="187"/>
      <c r="BH228" s="187"/>
      <c r="BI228" s="187">
        <f>ROUND(IF(OR(M228=0,AY228="DATO NO DISPONIBLE"),0,AY228*M228*($BD$7+1)),0)</f>
        <v>154</v>
      </c>
      <c r="BJ228" s="187">
        <f t="shared" si="298"/>
        <v>154</v>
      </c>
      <c r="BK228" s="187">
        <f t="shared" si="299"/>
        <v>154</v>
      </c>
      <c r="BL228" s="187"/>
      <c r="BM228" s="187"/>
      <c r="BN228" s="188">
        <f>BD228*AM228</f>
        <v>17280648</v>
      </c>
      <c r="BO228" s="188">
        <f t="shared" si="300"/>
        <v>0</v>
      </c>
      <c r="BP228" s="188">
        <f t="shared" si="301"/>
        <v>0</v>
      </c>
      <c r="BQ228" s="188">
        <f t="shared" si="302"/>
        <v>0</v>
      </c>
      <c r="BR228" s="188">
        <f t="shared" si="303"/>
        <v>0</v>
      </c>
      <c r="BS228" s="188">
        <f t="shared" si="287"/>
        <v>17280648</v>
      </c>
      <c r="BT228" s="188">
        <f t="shared" si="288"/>
        <v>17280648</v>
      </c>
      <c r="BU228" s="188">
        <f t="shared" si="289"/>
        <v>0</v>
      </c>
      <c r="BV228" s="188">
        <f t="shared" si="290"/>
        <v>0</v>
      </c>
      <c r="BW228" s="188">
        <f t="shared" si="291"/>
        <v>0</v>
      </c>
      <c r="BX228" s="188">
        <f t="shared" si="292"/>
        <v>0</v>
      </c>
      <c r="BY228" s="188">
        <f t="shared" si="293"/>
        <v>17280648</v>
      </c>
      <c r="BZ228" s="305">
        <f>IF(COT_PRECALCULOS!$D$24="Precios Iva Incluído",BI228,BD228)</f>
        <v>154</v>
      </c>
      <c r="CA228" s="305">
        <f>IF(COT_PRECALCULOS!$D$24="Precios Iva Incluído",BJ228,BE228)</f>
        <v>154</v>
      </c>
      <c r="CB228" s="305">
        <f>IF(COT_PRECALCULOS!$D$24="Precios Iva Incluído",BK228,BF228)</f>
        <v>154</v>
      </c>
      <c r="CC228" s="305">
        <f>IF(COT_PRECALCULOS!$D$24="Precios Iva Incluído",BL228,BG228)</f>
        <v>0</v>
      </c>
      <c r="CD228" s="305">
        <f>IF(COT_PRECALCULOS!$D$24="Precios Iva Incluído",BM228,BH228)</f>
        <v>0</v>
      </c>
      <c r="CE228" s="305">
        <f>IF(COT_PRECALCULOS!$D$24="Precios Iva Incluído",BT228,BN228)</f>
        <v>17280648</v>
      </c>
      <c r="CF228" s="305">
        <f>IF(COT_PRECALCULOS!$D$24="Precios Iva Incluído",BU228,BO228)</f>
        <v>0</v>
      </c>
      <c r="CG228" s="305">
        <f>IF(COT_PRECALCULOS!$D$24="Precios Iva Incluído",BV228,BP228)</f>
        <v>0</v>
      </c>
      <c r="CH228" s="305">
        <f>IF(COT_PRECALCULOS!$D$24="Precios Iva Incluído",BW228,BQ228)</f>
        <v>0</v>
      </c>
      <c r="CI228" s="305">
        <f>IF(COT_PRECALCULOS!$D$24="Precios Iva Incluído",BX228,BR228)</f>
        <v>0</v>
      </c>
    </row>
    <row r="229" spans="1:87">
      <c r="A229" s="182" t="s">
        <v>102</v>
      </c>
      <c r="B229" s="182" t="s">
        <v>126</v>
      </c>
      <c r="C229" s="189" t="str">
        <f t="shared" si="282"/>
        <v>F_SE5</v>
      </c>
      <c r="D229" s="189" t="str">
        <f t="shared" si="283"/>
        <v>59_S_</v>
      </c>
      <c r="E229" s="211" t="s">
        <v>1</v>
      </c>
      <c r="F229" s="211" t="s">
        <v>1</v>
      </c>
      <c r="G229" s="189" t="s">
        <v>34</v>
      </c>
      <c r="H229" s="211"/>
      <c r="I229" s="211" t="s">
        <v>66</v>
      </c>
      <c r="J229" s="211">
        <v>59</v>
      </c>
      <c r="K229" s="211" t="s">
        <v>99</v>
      </c>
      <c r="L229" s="189" t="s">
        <v>9</v>
      </c>
      <c r="M229" s="386">
        <v>0</v>
      </c>
      <c r="N229" s="211">
        <v>100</v>
      </c>
      <c r="O229" s="211">
        <v>100</v>
      </c>
      <c r="P229" s="211"/>
      <c r="Q229" s="211"/>
      <c r="R229" s="211" t="s">
        <v>73</v>
      </c>
      <c r="S229" s="183">
        <f>COUNTIF(CAL_SEGUNDA_ENTREGA_LAV_FRUTA,CONCATENATE(G229,"_",J229))</f>
        <v>0</v>
      </c>
      <c r="T229" s="386">
        <v>0</v>
      </c>
      <c r="U229" s="385">
        <f>$S229</f>
        <v>0</v>
      </c>
      <c r="V229" s="385">
        <f>$S229</f>
        <v>0</v>
      </c>
      <c r="W229" s="387"/>
      <c r="X229" s="387"/>
      <c r="Y229" s="184">
        <f t="shared" si="294"/>
        <v>0</v>
      </c>
      <c r="Z229" s="184">
        <f>IF(N229&lt;&gt;0,VLOOKUP(A229,FRE_CANTIDADES_DIARIAS_SUMINISTROS,5,FALSE),0)</f>
        <v>31277</v>
      </c>
      <c r="AA229" s="184">
        <f>IF(O229&lt;&gt;0,VLOOKUP(A229,FRE_CANTIDADES_DIARIAS_SUMINISTROS,6,FALSE),0)</f>
        <v>46469</v>
      </c>
      <c r="AB229" s="184">
        <f t="shared" si="315"/>
        <v>0</v>
      </c>
      <c r="AC229" s="184">
        <f t="shared" si="316"/>
        <v>0</v>
      </c>
      <c r="AD229" s="184">
        <f t="shared" si="295"/>
        <v>77746</v>
      </c>
      <c r="AE229" s="183">
        <f t="shared" si="307"/>
        <v>0</v>
      </c>
      <c r="AF229" s="386">
        <v>0</v>
      </c>
      <c r="AG229" s="385">
        <f t="shared" si="308"/>
        <v>0</v>
      </c>
      <c r="AH229" s="385">
        <f t="shared" si="308"/>
        <v>0</v>
      </c>
      <c r="AI229" s="185">
        <f t="shared" si="296"/>
        <v>0</v>
      </c>
      <c r="AJ229" s="185">
        <f t="shared" si="309"/>
        <v>433</v>
      </c>
      <c r="AK229" s="185">
        <f t="shared" si="310"/>
        <v>683</v>
      </c>
      <c r="AL229" s="185">
        <f t="shared" si="297"/>
        <v>1116</v>
      </c>
      <c r="AM229" s="173">
        <f t="shared" si="323"/>
        <v>0</v>
      </c>
      <c r="AN229" s="173">
        <f t="shared" si="318"/>
        <v>0</v>
      </c>
      <c r="AO229" s="173">
        <f t="shared" si="319"/>
        <v>0</v>
      </c>
      <c r="AP229" s="173">
        <f t="shared" si="284"/>
        <v>0</v>
      </c>
      <c r="AQ229" s="173">
        <f t="shared" si="285"/>
        <v>0</v>
      </c>
      <c r="AR229" s="173">
        <f t="shared" si="286"/>
        <v>0</v>
      </c>
      <c r="AS229" s="186" t="s">
        <v>1364</v>
      </c>
      <c r="AT229" s="300">
        <f t="shared" si="320"/>
        <v>2.6785000000000001</v>
      </c>
      <c r="AU229" s="300">
        <f t="shared" si="320"/>
        <v>2.6785000000000001</v>
      </c>
      <c r="AV229" s="300">
        <f t="shared" si="320"/>
        <v>2.6785000000000001</v>
      </c>
      <c r="AW229" s="300">
        <f t="shared" si="320"/>
        <v>2.6785000000000001</v>
      </c>
      <c r="AX229" s="300">
        <f t="shared" si="320"/>
        <v>2.6785000000000001</v>
      </c>
      <c r="AY229" s="301">
        <f t="shared" si="324"/>
        <v>2.6785000000000001</v>
      </c>
      <c r="AZ229" s="301">
        <f t="shared" si="324"/>
        <v>2.6785000000000001</v>
      </c>
      <c r="BA229" s="301">
        <f t="shared" si="324"/>
        <v>2.6785000000000001</v>
      </c>
      <c r="BB229" s="301">
        <f t="shared" si="324"/>
        <v>2.6785000000000001</v>
      </c>
      <c r="BC229" s="301">
        <f t="shared" si="324"/>
        <v>2.6785000000000001</v>
      </c>
      <c r="BD229" s="187"/>
      <c r="BE229" s="187">
        <f t="shared" si="321"/>
        <v>286</v>
      </c>
      <c r="BF229" s="187">
        <f t="shared" si="322"/>
        <v>286</v>
      </c>
      <c r="BG229" s="187"/>
      <c r="BH229" s="187"/>
      <c r="BI229" s="187"/>
      <c r="BJ229" s="187">
        <f t="shared" si="298"/>
        <v>286</v>
      </c>
      <c r="BK229" s="187">
        <f t="shared" si="299"/>
        <v>286</v>
      </c>
      <c r="BL229" s="187"/>
      <c r="BM229" s="187"/>
      <c r="BN229" s="188"/>
      <c r="BO229" s="188">
        <f t="shared" si="300"/>
        <v>0</v>
      </c>
      <c r="BP229" s="188">
        <f t="shared" si="301"/>
        <v>0</v>
      </c>
      <c r="BQ229" s="188">
        <f t="shared" si="302"/>
        <v>0</v>
      </c>
      <c r="BR229" s="188">
        <f t="shared" si="303"/>
        <v>0</v>
      </c>
      <c r="BS229" s="188">
        <f t="shared" si="287"/>
        <v>0</v>
      </c>
      <c r="BT229" s="188">
        <f t="shared" si="288"/>
        <v>0</v>
      </c>
      <c r="BU229" s="188">
        <f t="shared" si="289"/>
        <v>0</v>
      </c>
      <c r="BV229" s="188">
        <f t="shared" si="290"/>
        <v>0</v>
      </c>
      <c r="BW229" s="188">
        <f t="shared" si="291"/>
        <v>0</v>
      </c>
      <c r="BX229" s="188">
        <f t="shared" si="292"/>
        <v>0</v>
      </c>
      <c r="BY229" s="188">
        <f t="shared" si="293"/>
        <v>0</v>
      </c>
      <c r="BZ229" s="305">
        <f>IF(COT_PRECALCULOS!$D$24="Precios Iva Incluído",BI229,BD229)</f>
        <v>0</v>
      </c>
      <c r="CA229" s="305">
        <f>IF(COT_PRECALCULOS!$D$24="Precios Iva Incluído",BJ229,BE229)</f>
        <v>286</v>
      </c>
      <c r="CB229" s="305">
        <f>IF(COT_PRECALCULOS!$D$24="Precios Iva Incluído",BK229,BF229)</f>
        <v>286</v>
      </c>
      <c r="CC229" s="305">
        <f>IF(COT_PRECALCULOS!$D$24="Precios Iva Incluído",BL229,BG229)</f>
        <v>0</v>
      </c>
      <c r="CD229" s="305">
        <f>IF(COT_PRECALCULOS!$D$24="Precios Iva Incluído",BM229,BH229)</f>
        <v>0</v>
      </c>
      <c r="CE229" s="305">
        <f>IF(COT_PRECALCULOS!$D$24="Precios Iva Incluído",BT229,BN229)</f>
        <v>0</v>
      </c>
      <c r="CF229" s="305">
        <f>IF(COT_PRECALCULOS!$D$24="Precios Iva Incluído",BU229,BO229)</f>
        <v>0</v>
      </c>
      <c r="CG229" s="305">
        <f>IF(COT_PRECALCULOS!$D$24="Precios Iva Incluído",BV229,BP229)</f>
        <v>0</v>
      </c>
      <c r="CH229" s="305">
        <f>IF(COT_PRECALCULOS!$D$24="Precios Iva Incluído",BW229,BQ229)</f>
        <v>0</v>
      </c>
      <c r="CI229" s="305">
        <f>IF(COT_PRECALCULOS!$D$24="Precios Iva Incluído",BX229,BR229)</f>
        <v>0</v>
      </c>
    </row>
    <row r="230" spans="1:87">
      <c r="A230" s="182" t="s">
        <v>102</v>
      </c>
      <c r="B230" s="182" t="s">
        <v>126</v>
      </c>
      <c r="C230" s="189" t="str">
        <f t="shared" si="282"/>
        <v>F_SE5</v>
      </c>
      <c r="D230" s="189" t="str">
        <f t="shared" si="283"/>
        <v>69_S_</v>
      </c>
      <c r="E230" s="211" t="s">
        <v>1</v>
      </c>
      <c r="F230" s="211" t="s">
        <v>1</v>
      </c>
      <c r="G230" s="189" t="s">
        <v>34</v>
      </c>
      <c r="H230" s="211"/>
      <c r="I230" s="211" t="s">
        <v>68</v>
      </c>
      <c r="J230" s="211">
        <v>69</v>
      </c>
      <c r="K230" s="211" t="s">
        <v>70</v>
      </c>
      <c r="L230" s="189" t="s">
        <v>9</v>
      </c>
      <c r="M230" s="211">
        <v>100</v>
      </c>
      <c r="N230" s="211">
        <v>100</v>
      </c>
      <c r="O230" s="211">
        <v>100</v>
      </c>
      <c r="P230" s="211"/>
      <c r="Q230" s="211"/>
      <c r="R230" s="211"/>
      <c r="S230" s="388">
        <v>3</v>
      </c>
      <c r="T230" s="388">
        <f>$S230</f>
        <v>3</v>
      </c>
      <c r="U230" s="388">
        <v>0</v>
      </c>
      <c r="V230" s="388">
        <v>0</v>
      </c>
      <c r="W230" s="387"/>
      <c r="X230" s="387"/>
      <c r="Y230" s="184">
        <f t="shared" si="294"/>
        <v>28053</v>
      </c>
      <c r="Z230" s="184">
        <v>0</v>
      </c>
      <c r="AA230" s="184">
        <v>0</v>
      </c>
      <c r="AB230" s="184">
        <f t="shared" si="315"/>
        <v>0</v>
      </c>
      <c r="AC230" s="184">
        <f t="shared" si="316"/>
        <v>0</v>
      </c>
      <c r="AD230" s="184">
        <f t="shared" si="295"/>
        <v>28053</v>
      </c>
      <c r="AE230" s="183">
        <f t="shared" si="307"/>
        <v>0</v>
      </c>
      <c r="AF230" s="385">
        <f>$AE230</f>
        <v>0</v>
      </c>
      <c r="AG230" s="385">
        <f t="shared" si="308"/>
        <v>0</v>
      </c>
      <c r="AH230" s="385">
        <f t="shared" si="308"/>
        <v>0</v>
      </c>
      <c r="AI230" s="185">
        <f t="shared" si="296"/>
        <v>74</v>
      </c>
      <c r="AJ230" s="185">
        <f t="shared" si="309"/>
        <v>433</v>
      </c>
      <c r="AK230" s="185">
        <f t="shared" si="310"/>
        <v>683</v>
      </c>
      <c r="AL230" s="185">
        <f t="shared" si="297"/>
        <v>1190</v>
      </c>
      <c r="AM230" s="173">
        <f t="shared" si="323"/>
        <v>84159</v>
      </c>
      <c r="AN230" s="173">
        <f t="shared" si="318"/>
        <v>0</v>
      </c>
      <c r="AO230" s="173">
        <f t="shared" si="319"/>
        <v>0</v>
      </c>
      <c r="AP230" s="173">
        <f t="shared" si="284"/>
        <v>0</v>
      </c>
      <c r="AQ230" s="173">
        <f t="shared" si="285"/>
        <v>0</v>
      </c>
      <c r="AR230" s="173">
        <f t="shared" si="286"/>
        <v>84159</v>
      </c>
      <c r="AS230" s="186" t="s">
        <v>1364</v>
      </c>
      <c r="AT230" s="300">
        <f t="shared" si="320"/>
        <v>2.8519999999999999</v>
      </c>
      <c r="AU230" s="300">
        <f t="shared" si="320"/>
        <v>2.8519999999999999</v>
      </c>
      <c r="AV230" s="300">
        <f t="shared" si="320"/>
        <v>2.8519999999999999</v>
      </c>
      <c r="AW230" s="300">
        <f t="shared" si="320"/>
        <v>2.8519999999999999</v>
      </c>
      <c r="AX230" s="300">
        <f t="shared" si="320"/>
        <v>2.8519999999999999</v>
      </c>
      <c r="AY230" s="301">
        <f t="shared" si="324"/>
        <v>2.8519999999999999</v>
      </c>
      <c r="AZ230" s="301">
        <f t="shared" si="324"/>
        <v>2.8519999999999999</v>
      </c>
      <c r="BA230" s="301">
        <f t="shared" si="324"/>
        <v>2.8519999999999999</v>
      </c>
      <c r="BB230" s="301">
        <f t="shared" si="324"/>
        <v>2.8519999999999999</v>
      </c>
      <c r="BC230" s="301">
        <f t="shared" si="324"/>
        <v>2.8519999999999999</v>
      </c>
      <c r="BD230" s="187">
        <f>ROUND(IF(OR(M230=0,AT230="DATO NO DISPONIBLE"),"",AT230*M230*($BD$7+1)),0)</f>
        <v>305</v>
      </c>
      <c r="BE230" s="187">
        <f t="shared" si="321"/>
        <v>305</v>
      </c>
      <c r="BF230" s="187">
        <f t="shared" si="322"/>
        <v>305</v>
      </c>
      <c r="BG230" s="187"/>
      <c r="BH230" s="187"/>
      <c r="BI230" s="187">
        <f>ROUND(IF(OR(M230=0,AY230="DATO NO DISPONIBLE"),0,AY230*M230*($BD$7+1)),0)</f>
        <v>305</v>
      </c>
      <c r="BJ230" s="187">
        <f t="shared" si="298"/>
        <v>305</v>
      </c>
      <c r="BK230" s="187">
        <f t="shared" si="299"/>
        <v>305</v>
      </c>
      <c r="BL230" s="187"/>
      <c r="BM230" s="187"/>
      <c r="BN230" s="188">
        <f>BD230*AM230</f>
        <v>25668495</v>
      </c>
      <c r="BO230" s="188">
        <f t="shared" si="300"/>
        <v>0</v>
      </c>
      <c r="BP230" s="188">
        <f t="shared" si="301"/>
        <v>0</v>
      </c>
      <c r="BQ230" s="188">
        <f t="shared" si="302"/>
        <v>0</v>
      </c>
      <c r="BR230" s="188">
        <f t="shared" si="303"/>
        <v>0</v>
      </c>
      <c r="BS230" s="188">
        <f t="shared" si="287"/>
        <v>25668495</v>
      </c>
      <c r="BT230" s="188">
        <f t="shared" si="288"/>
        <v>25668495</v>
      </c>
      <c r="BU230" s="188">
        <f t="shared" si="289"/>
        <v>0</v>
      </c>
      <c r="BV230" s="188">
        <f t="shared" si="290"/>
        <v>0</v>
      </c>
      <c r="BW230" s="188">
        <f t="shared" si="291"/>
        <v>0</v>
      </c>
      <c r="BX230" s="188">
        <f t="shared" si="292"/>
        <v>0</v>
      </c>
      <c r="BY230" s="188">
        <f t="shared" si="293"/>
        <v>25668495</v>
      </c>
      <c r="BZ230" s="305">
        <f>IF(COT_PRECALCULOS!$D$24="Precios Iva Incluído",BI230,BD230)</f>
        <v>305</v>
      </c>
      <c r="CA230" s="305">
        <f>IF(COT_PRECALCULOS!$D$24="Precios Iva Incluído",BJ230,BE230)</f>
        <v>305</v>
      </c>
      <c r="CB230" s="305">
        <f>IF(COT_PRECALCULOS!$D$24="Precios Iva Incluído",BK230,BF230)</f>
        <v>305</v>
      </c>
      <c r="CC230" s="305">
        <f>IF(COT_PRECALCULOS!$D$24="Precios Iva Incluído",BL230,BG230)</f>
        <v>0</v>
      </c>
      <c r="CD230" s="305">
        <f>IF(COT_PRECALCULOS!$D$24="Precios Iva Incluído",BM230,BH230)</f>
        <v>0</v>
      </c>
      <c r="CE230" s="305">
        <f>IF(COT_PRECALCULOS!$D$24="Precios Iva Incluído",BT230,BN230)</f>
        <v>25668495</v>
      </c>
      <c r="CF230" s="305">
        <f>IF(COT_PRECALCULOS!$D$24="Precios Iva Incluído",BU230,BO230)</f>
        <v>0</v>
      </c>
      <c r="CG230" s="305">
        <f>IF(COT_PRECALCULOS!$D$24="Precios Iva Incluído",BV230,BP230)</f>
        <v>0</v>
      </c>
      <c r="CH230" s="305">
        <f>IF(COT_PRECALCULOS!$D$24="Precios Iva Incluído",BW230,BQ230)</f>
        <v>0</v>
      </c>
      <c r="CI230" s="305">
        <f>IF(COT_PRECALCULOS!$D$24="Precios Iva Incluído",BX230,BR230)</f>
        <v>0</v>
      </c>
    </row>
    <row r="231" spans="1:87">
      <c r="A231" s="182" t="s">
        <v>102</v>
      </c>
      <c r="B231" s="182" t="s">
        <v>126</v>
      </c>
      <c r="C231" s="189" t="str">
        <f t="shared" si="282"/>
        <v>F_SE5</v>
      </c>
      <c r="D231" s="189" t="str">
        <f t="shared" si="283"/>
        <v>70_S_</v>
      </c>
      <c r="E231" s="211" t="s">
        <v>1</v>
      </c>
      <c r="F231" s="211" t="s">
        <v>1</v>
      </c>
      <c r="G231" s="189" t="s">
        <v>34</v>
      </c>
      <c r="H231" s="211"/>
      <c r="I231" s="211" t="s">
        <v>69</v>
      </c>
      <c r="J231" s="211">
        <v>70</v>
      </c>
      <c r="K231" s="211" t="s">
        <v>71</v>
      </c>
      <c r="L231" s="189" t="s">
        <v>9</v>
      </c>
      <c r="M231" s="386">
        <v>0</v>
      </c>
      <c r="N231" s="211">
        <v>100</v>
      </c>
      <c r="O231" s="211">
        <v>100</v>
      </c>
      <c r="P231" s="211"/>
      <c r="Q231" s="211"/>
      <c r="R231" s="211" t="s">
        <v>73</v>
      </c>
      <c r="S231" s="183">
        <f t="shared" ref="S231:S238" si="325">COUNTIF(CAL_SEGUNDA_ENTREGA_LAV_FRUTA,CONCATENATE(G231,"_",J231))</f>
        <v>1</v>
      </c>
      <c r="T231" s="386">
        <v>0</v>
      </c>
      <c r="U231" s="385">
        <f t="shared" ref="U231:V238" si="326">$S231</f>
        <v>1</v>
      </c>
      <c r="V231" s="385">
        <f t="shared" si="326"/>
        <v>1</v>
      </c>
      <c r="W231" s="387"/>
      <c r="X231" s="387"/>
      <c r="Y231" s="184">
        <f t="shared" si="294"/>
        <v>0</v>
      </c>
      <c r="Z231" s="184">
        <f t="shared" ref="Z231:Z238" si="327">IF(N231&lt;&gt;0,VLOOKUP(A231,FRE_CANTIDADES_DIARIAS_SUMINISTROS,5,FALSE),0)</f>
        <v>31277</v>
      </c>
      <c r="AA231" s="184">
        <f t="shared" ref="AA231:AA238" si="328">IF(O231&lt;&gt;0,VLOOKUP(A231,FRE_CANTIDADES_DIARIAS_SUMINISTROS,6,FALSE),0)</f>
        <v>46469</v>
      </c>
      <c r="AB231" s="184">
        <f t="shared" si="315"/>
        <v>0</v>
      </c>
      <c r="AC231" s="184">
        <f t="shared" si="316"/>
        <v>0</v>
      </c>
      <c r="AD231" s="184">
        <f t="shared" si="295"/>
        <v>77746</v>
      </c>
      <c r="AE231" s="183">
        <f t="shared" si="307"/>
        <v>0</v>
      </c>
      <c r="AF231" s="386">
        <v>0</v>
      </c>
      <c r="AG231" s="385">
        <f t="shared" si="308"/>
        <v>0</v>
      </c>
      <c r="AH231" s="385">
        <f t="shared" si="308"/>
        <v>0</v>
      </c>
      <c r="AI231" s="185">
        <f t="shared" si="296"/>
        <v>0</v>
      </c>
      <c r="AJ231" s="185">
        <f t="shared" si="309"/>
        <v>433</v>
      </c>
      <c r="AK231" s="185">
        <f t="shared" si="310"/>
        <v>683</v>
      </c>
      <c r="AL231" s="185">
        <f t="shared" si="297"/>
        <v>1116</v>
      </c>
      <c r="AM231" s="173">
        <v>0</v>
      </c>
      <c r="AN231" s="173">
        <f t="shared" si="318"/>
        <v>31277</v>
      </c>
      <c r="AO231" s="173">
        <f t="shared" si="319"/>
        <v>46469</v>
      </c>
      <c r="AP231" s="173">
        <f t="shared" si="284"/>
        <v>0</v>
      </c>
      <c r="AQ231" s="173">
        <f t="shared" si="285"/>
        <v>0</v>
      </c>
      <c r="AR231" s="173">
        <f t="shared" si="286"/>
        <v>77746</v>
      </c>
      <c r="AS231" s="186" t="s">
        <v>1364</v>
      </c>
      <c r="AT231" s="300">
        <f t="shared" ref="AT231:AX240" si="329">IF(ISERROR(IF(ISERROR(MATCH(CONCATENATE($J231,"_",AT$1),COT_PRE_CODIGO_ALIMENTOS,0)),IF(ISERROR(MATCH(CONCATENATE($J231,"_",AT$2),COT_PRE_CODIGO_ALIMENTOS,0)),IF(ISERROR(MATCH(CONCATENATE($J231,"_",AT$3),COT_PRE_CODIGO_ALIMENTOS,0)),IF(ISERROR(MATCH(CONCATENATE($J231,"_",AT$4),COT_PRE_CODIGO_ALIMENTOS,0)),IF(ISERROR(MATCH(CONCATENATE($J231,"_",AT$5),COT_PRE_CODIGO_ALIMENTOS,0)),IF(ISERROR(MATCH(CONCATENATE($J231,"_",AT$6),COT_PRE_CODIGO_ALIMENTOS,0)),IF(ISERROR(MATCH(CONCATENATE($J231,"_",AT$7),COT_PRE_CODIGO_ALIMENTOS,0)),IF(ISERROR(VLOOKUP($J231,COT_PRE_ALIMENTOS,AT$8,FALSE)),"DATO NO DISPONIBLE",VLOOKUP($J231,COT_PRE_ALIMENTOS,AT$8,FALSE)),VLOOKUP(CONCATENATE($J231,"_",AT$7),COT_PRE_ALIMENTOS,AT$8,FALSE)),VLOOKUP(CONCATENATE($J231,"_",AT$6),COT_PRE_ALIMENTOS,AT$8,FALSE)),VLOOKUP(CONCATENATE($J231,"_",AT$5),COT_PRE_ALIMENTOS,AT$8,FALSE)),VLOOKUP(CONCATENATE($J231,"_",AT$4),COT_PRE_ALIMENTOS,AT$8,FALSE)),VLOOKUP(CONCATENATE($J231,"_",AT$3),COT_PRE_ALIMENTOS,AT$8,FALSE)),VLOOKUP(CONCATENATE($J231,"_",AT$2),COT_PRE_ALIMENTOS,AT$8,FALSE)),VLOOKUP(CONCATENATE($J231,"_",AT$1),COT_PRE_ALIMENTOS,AT$8,FALSE))),"DATO NO DISPONIBLE",IF(ISERROR(MATCH(CONCATENATE($J231,"_",AT$1),COT_PRE_CODIGO_ALIMENTOS,0)),IF(ISERROR(MATCH(CONCATENATE($J231,"_",AT$2),COT_PRE_CODIGO_ALIMENTOS,0)),IF(ISERROR(MATCH(CONCATENATE($J231,"_",AT$3),COT_PRE_CODIGO_ALIMENTOS,0)),IF(ISERROR(MATCH(CONCATENATE($J231,"_",AT$4),COT_PRE_CODIGO_ALIMENTOS,0)),IF(ISERROR(MATCH(CONCATENATE($J231,"_",AT$5),COT_PRE_CODIGO_ALIMENTOS,0)),IF(ISERROR(MATCH(CONCATENATE($J231,"_",AT$6),COT_PRE_CODIGO_ALIMENTOS,0)),IF(ISERROR(MATCH(CONCATENATE($J231,"_",AT$7),COT_PRE_CODIGO_ALIMENTOS,0)),IF(ISERROR(VLOOKUP($J231,COT_PRE_ALIMENTOS,AT$8,FALSE)),"DATO NO DISPONIBLE",VLOOKUP($J231,COT_PRE_ALIMENTOS,AT$8,FALSE)),VLOOKUP(CONCATENATE($J231,"_",AT$7),COT_PRE_ALIMENTOS,AT$8,FALSE)),VLOOKUP(CONCATENATE($J231,"_",AT$6),COT_PRE_ALIMENTOS,AT$8,FALSE)),VLOOKUP(CONCATENATE($J231,"_",AT$5),COT_PRE_ALIMENTOS,AT$8,FALSE)),VLOOKUP(CONCATENATE($J231,"_",AT$4),COT_PRE_ALIMENTOS,AT$8,FALSE)),VLOOKUP(CONCATENATE($J231,"_",AT$3),COT_PRE_ALIMENTOS,AT$8,FALSE)),VLOOKUP(CONCATENATE($J231,"_",AT$2),COT_PRE_ALIMENTOS,AT$8,FALSE)),VLOOKUP(CONCATENATE($J231,"_",AT$1),COT_PRE_ALIMENTOS,AT$8,FALSE)))</f>
        <v>4.0575000000000001</v>
      </c>
      <c r="AU231" s="300">
        <f t="shared" si="329"/>
        <v>4.0575000000000001</v>
      </c>
      <c r="AV231" s="300">
        <f t="shared" si="329"/>
        <v>4.0575000000000001</v>
      </c>
      <c r="AW231" s="300">
        <f t="shared" si="329"/>
        <v>4.0575000000000001</v>
      </c>
      <c r="AX231" s="300">
        <f t="shared" si="329"/>
        <v>4.0575000000000001</v>
      </c>
      <c r="AY231" s="301">
        <f t="shared" si="324"/>
        <v>4.0575000000000001</v>
      </c>
      <c r="AZ231" s="301">
        <f t="shared" si="324"/>
        <v>4.0575000000000001</v>
      </c>
      <c r="BA231" s="301">
        <f t="shared" si="324"/>
        <v>4.0575000000000001</v>
      </c>
      <c r="BB231" s="301">
        <f t="shared" si="324"/>
        <v>4.0575000000000001</v>
      </c>
      <c r="BC231" s="301">
        <f t="shared" si="324"/>
        <v>4.0575000000000001</v>
      </c>
      <c r="BD231" s="187"/>
      <c r="BE231" s="187">
        <f t="shared" si="321"/>
        <v>434</v>
      </c>
      <c r="BF231" s="187">
        <f t="shared" si="322"/>
        <v>434</v>
      </c>
      <c r="BG231" s="187"/>
      <c r="BH231" s="187"/>
      <c r="BI231" s="187"/>
      <c r="BJ231" s="187">
        <f t="shared" si="298"/>
        <v>434</v>
      </c>
      <c r="BK231" s="187">
        <f t="shared" si="299"/>
        <v>434</v>
      </c>
      <c r="BL231" s="187"/>
      <c r="BM231" s="187"/>
      <c r="BN231" s="188"/>
      <c r="BO231" s="188">
        <f t="shared" si="300"/>
        <v>13574218</v>
      </c>
      <c r="BP231" s="188">
        <f t="shared" si="301"/>
        <v>20167546</v>
      </c>
      <c r="BQ231" s="188">
        <f t="shared" si="302"/>
        <v>0</v>
      </c>
      <c r="BR231" s="188">
        <f t="shared" si="303"/>
        <v>0</v>
      </c>
      <c r="BS231" s="188">
        <f t="shared" si="287"/>
        <v>33741764</v>
      </c>
      <c r="BT231" s="188">
        <f t="shared" si="288"/>
        <v>0</v>
      </c>
      <c r="BU231" s="188">
        <f t="shared" si="289"/>
        <v>13574218</v>
      </c>
      <c r="BV231" s="188">
        <f t="shared" si="290"/>
        <v>20167546</v>
      </c>
      <c r="BW231" s="188">
        <f t="shared" si="291"/>
        <v>0</v>
      </c>
      <c r="BX231" s="188">
        <f t="shared" si="292"/>
        <v>0</v>
      </c>
      <c r="BY231" s="188">
        <f t="shared" si="293"/>
        <v>33741764</v>
      </c>
      <c r="BZ231" s="305">
        <f>IF(COT_PRECALCULOS!$D$24="Precios Iva Incluído",BI231,BD231)</f>
        <v>0</v>
      </c>
      <c r="CA231" s="305">
        <f>IF(COT_PRECALCULOS!$D$24="Precios Iva Incluído",BJ231,BE231)</f>
        <v>434</v>
      </c>
      <c r="CB231" s="305">
        <f>IF(COT_PRECALCULOS!$D$24="Precios Iva Incluído",BK231,BF231)</f>
        <v>434</v>
      </c>
      <c r="CC231" s="305">
        <f>IF(COT_PRECALCULOS!$D$24="Precios Iva Incluído",BL231,BG231)</f>
        <v>0</v>
      </c>
      <c r="CD231" s="305">
        <f>IF(COT_PRECALCULOS!$D$24="Precios Iva Incluído",BM231,BH231)</f>
        <v>0</v>
      </c>
      <c r="CE231" s="305">
        <f>IF(COT_PRECALCULOS!$D$24="Precios Iva Incluído",BT231,BN231)</f>
        <v>0</v>
      </c>
      <c r="CF231" s="305">
        <f>IF(COT_PRECALCULOS!$D$24="Precios Iva Incluído",BU231,BO231)</f>
        <v>13574218</v>
      </c>
      <c r="CG231" s="305">
        <f>IF(COT_PRECALCULOS!$D$24="Precios Iva Incluído",BV231,BP231)</f>
        <v>20167546</v>
      </c>
      <c r="CH231" s="305">
        <f>IF(COT_PRECALCULOS!$D$24="Precios Iva Incluído",BW231,BQ231)</f>
        <v>0</v>
      </c>
      <c r="CI231" s="305">
        <f>IF(COT_PRECALCULOS!$D$24="Precios Iva Incluído",BX231,BR231)</f>
        <v>0</v>
      </c>
    </row>
    <row r="232" spans="1:87">
      <c r="A232" s="182" t="s">
        <v>102</v>
      </c>
      <c r="B232" s="182" t="s">
        <v>126</v>
      </c>
      <c r="C232" s="189" t="str">
        <f t="shared" si="282"/>
        <v>F_SE5</v>
      </c>
      <c r="D232" s="189" t="str">
        <f t="shared" si="283"/>
        <v>36_S_</v>
      </c>
      <c r="E232" s="190" t="s">
        <v>1</v>
      </c>
      <c r="F232" s="190" t="s">
        <v>1</v>
      </c>
      <c r="G232" s="189" t="s">
        <v>34</v>
      </c>
      <c r="H232" s="190"/>
      <c r="I232" s="190" t="s">
        <v>1340</v>
      </c>
      <c r="J232" s="190">
        <v>36</v>
      </c>
      <c r="K232" s="190" t="s">
        <v>1340</v>
      </c>
      <c r="L232" s="189" t="s">
        <v>9</v>
      </c>
      <c r="M232" s="211">
        <v>20</v>
      </c>
      <c r="N232" s="211">
        <v>40</v>
      </c>
      <c r="O232" s="211">
        <v>40</v>
      </c>
      <c r="P232" s="190"/>
      <c r="Q232" s="190"/>
      <c r="R232" s="190"/>
      <c r="S232" s="183">
        <f t="shared" si="325"/>
        <v>2</v>
      </c>
      <c r="T232" s="385">
        <f>$S232</f>
        <v>2</v>
      </c>
      <c r="U232" s="385">
        <f t="shared" si="326"/>
        <v>2</v>
      </c>
      <c r="V232" s="385">
        <f t="shared" si="326"/>
        <v>2</v>
      </c>
      <c r="W232" s="387"/>
      <c r="X232" s="387"/>
      <c r="Y232" s="184">
        <f t="shared" si="294"/>
        <v>28053</v>
      </c>
      <c r="Z232" s="184">
        <f t="shared" si="327"/>
        <v>31277</v>
      </c>
      <c r="AA232" s="184">
        <f t="shared" si="328"/>
        <v>46469</v>
      </c>
      <c r="AB232" s="184">
        <f t="shared" si="315"/>
        <v>0</v>
      </c>
      <c r="AC232" s="184">
        <f t="shared" si="316"/>
        <v>0</v>
      </c>
      <c r="AD232" s="184">
        <f t="shared" si="295"/>
        <v>105799</v>
      </c>
      <c r="AE232" s="183">
        <f t="shared" si="307"/>
        <v>0</v>
      </c>
      <c r="AF232" s="385">
        <f>$AE232</f>
        <v>0</v>
      </c>
      <c r="AG232" s="385">
        <f t="shared" si="308"/>
        <v>0</v>
      </c>
      <c r="AH232" s="385">
        <f t="shared" si="308"/>
        <v>0</v>
      </c>
      <c r="AI232" s="185">
        <f t="shared" si="296"/>
        <v>74</v>
      </c>
      <c r="AJ232" s="185">
        <f t="shared" si="309"/>
        <v>433</v>
      </c>
      <c r="AK232" s="185">
        <f t="shared" si="310"/>
        <v>683</v>
      </c>
      <c r="AL232" s="185">
        <f t="shared" si="297"/>
        <v>1190</v>
      </c>
      <c r="AM232" s="173">
        <f>($S232*Y232)+($AE232*AI232)</f>
        <v>56106</v>
      </c>
      <c r="AN232" s="173">
        <f t="shared" si="318"/>
        <v>62554</v>
      </c>
      <c r="AO232" s="173">
        <f t="shared" si="319"/>
        <v>92938</v>
      </c>
      <c r="AP232" s="173">
        <f t="shared" si="284"/>
        <v>0</v>
      </c>
      <c r="AQ232" s="173">
        <f t="shared" si="285"/>
        <v>0</v>
      </c>
      <c r="AR232" s="173">
        <f t="shared" si="286"/>
        <v>211598</v>
      </c>
      <c r="AS232" s="186" t="s">
        <v>1364</v>
      </c>
      <c r="AT232" s="300">
        <f t="shared" si="329"/>
        <v>5.9</v>
      </c>
      <c r="AU232" s="300">
        <f t="shared" si="329"/>
        <v>5.9</v>
      </c>
      <c r="AV232" s="300">
        <f t="shared" si="329"/>
        <v>5.9</v>
      </c>
      <c r="AW232" s="300">
        <f t="shared" si="329"/>
        <v>5.9</v>
      </c>
      <c r="AX232" s="300">
        <f t="shared" si="329"/>
        <v>5.9</v>
      </c>
      <c r="AY232" s="301">
        <f t="shared" si="324"/>
        <v>5.9</v>
      </c>
      <c r="AZ232" s="301">
        <f t="shared" si="324"/>
        <v>5.9</v>
      </c>
      <c r="BA232" s="301">
        <f t="shared" si="324"/>
        <v>5.9</v>
      </c>
      <c r="BB232" s="301">
        <f t="shared" si="324"/>
        <v>5.9</v>
      </c>
      <c r="BC232" s="301">
        <f t="shared" si="324"/>
        <v>5.9</v>
      </c>
      <c r="BD232" s="187">
        <f>ROUND(IF(OR(M232=0,AT232="DATO NO DISPONIBLE"),"",AT232*M232*($BD$7+1)),0)</f>
        <v>126</v>
      </c>
      <c r="BE232" s="187">
        <f t="shared" si="321"/>
        <v>252</v>
      </c>
      <c r="BF232" s="187">
        <f t="shared" si="322"/>
        <v>252</v>
      </c>
      <c r="BG232" s="187"/>
      <c r="BH232" s="187"/>
      <c r="BI232" s="187">
        <f>ROUND(IF(OR(M232=0,AY232="DATO NO DISPONIBLE"),0,AY232*M232*($BD$7+1)),0)</f>
        <v>126</v>
      </c>
      <c r="BJ232" s="187">
        <f t="shared" si="298"/>
        <v>252</v>
      </c>
      <c r="BK232" s="187">
        <f t="shared" si="299"/>
        <v>252</v>
      </c>
      <c r="BL232" s="187"/>
      <c r="BM232" s="187"/>
      <c r="BN232" s="188">
        <f>BD232*AM232</f>
        <v>7069356</v>
      </c>
      <c r="BO232" s="188">
        <f t="shared" si="300"/>
        <v>15763608</v>
      </c>
      <c r="BP232" s="188">
        <f t="shared" si="301"/>
        <v>23420376</v>
      </c>
      <c r="BQ232" s="188">
        <f t="shared" si="302"/>
        <v>0</v>
      </c>
      <c r="BR232" s="188">
        <f t="shared" si="303"/>
        <v>0</v>
      </c>
      <c r="BS232" s="188">
        <f t="shared" si="287"/>
        <v>46253340</v>
      </c>
      <c r="BT232" s="188">
        <f t="shared" si="288"/>
        <v>7069356</v>
      </c>
      <c r="BU232" s="188">
        <f t="shared" si="289"/>
        <v>15763608</v>
      </c>
      <c r="BV232" s="188">
        <f t="shared" si="290"/>
        <v>23420376</v>
      </c>
      <c r="BW232" s="188">
        <f t="shared" si="291"/>
        <v>0</v>
      </c>
      <c r="BX232" s="188">
        <f t="shared" si="292"/>
        <v>0</v>
      </c>
      <c r="BY232" s="188">
        <f t="shared" si="293"/>
        <v>46253340</v>
      </c>
      <c r="BZ232" s="305">
        <f>IF(COT_PRECALCULOS!$D$24="Precios Iva Incluído",BI232,BD232)</f>
        <v>126</v>
      </c>
      <c r="CA232" s="305">
        <f>IF(COT_PRECALCULOS!$D$24="Precios Iva Incluído",BJ232,BE232)</f>
        <v>252</v>
      </c>
      <c r="CB232" s="305">
        <f>IF(COT_PRECALCULOS!$D$24="Precios Iva Incluído",BK232,BF232)</f>
        <v>252</v>
      </c>
      <c r="CC232" s="305">
        <f>IF(COT_PRECALCULOS!$D$24="Precios Iva Incluído",BL232,BG232)</f>
        <v>0</v>
      </c>
      <c r="CD232" s="305">
        <f>IF(COT_PRECALCULOS!$D$24="Precios Iva Incluído",BM232,BH232)</f>
        <v>0</v>
      </c>
      <c r="CE232" s="305">
        <f>IF(COT_PRECALCULOS!$D$24="Precios Iva Incluído",BT232,BN232)</f>
        <v>7069356</v>
      </c>
      <c r="CF232" s="305">
        <f>IF(COT_PRECALCULOS!$D$24="Precios Iva Incluído",BU232,BO232)</f>
        <v>15763608</v>
      </c>
      <c r="CG232" s="305">
        <f>IF(COT_PRECALCULOS!$D$24="Precios Iva Incluído",BV232,BP232)</f>
        <v>23420376</v>
      </c>
      <c r="CH232" s="305">
        <f>IF(COT_PRECALCULOS!$D$24="Precios Iva Incluído",BW232,BQ232)</f>
        <v>0</v>
      </c>
      <c r="CI232" s="305">
        <f>IF(COT_PRECALCULOS!$D$24="Precios Iva Incluído",BX232,BR232)</f>
        <v>0</v>
      </c>
    </row>
    <row r="233" spans="1:87">
      <c r="A233" s="182" t="s">
        <v>102</v>
      </c>
      <c r="B233" s="182" t="s">
        <v>126</v>
      </c>
      <c r="C233" s="189" t="str">
        <f t="shared" si="282"/>
        <v>F_SE6</v>
      </c>
      <c r="D233" s="189" t="str">
        <f t="shared" si="283"/>
        <v>8_S_</v>
      </c>
      <c r="E233" s="190" t="s">
        <v>1</v>
      </c>
      <c r="F233" s="190" t="s">
        <v>1</v>
      </c>
      <c r="G233" s="189" t="s">
        <v>35</v>
      </c>
      <c r="H233" s="190" t="s">
        <v>2</v>
      </c>
      <c r="I233" s="190" t="s">
        <v>54</v>
      </c>
      <c r="J233" s="190">
        <v>8</v>
      </c>
      <c r="K233" s="190" t="s">
        <v>55</v>
      </c>
      <c r="L233" s="189" t="s">
        <v>9</v>
      </c>
      <c r="M233" s="211">
        <v>100</v>
      </c>
      <c r="N233" s="211">
        <v>100</v>
      </c>
      <c r="O233" s="211">
        <v>100</v>
      </c>
      <c r="P233" s="190"/>
      <c r="Q233" s="190"/>
      <c r="R233" s="190"/>
      <c r="S233" s="183">
        <f t="shared" si="325"/>
        <v>1</v>
      </c>
      <c r="T233" s="385">
        <f>$S233</f>
        <v>1</v>
      </c>
      <c r="U233" s="385">
        <f t="shared" si="326"/>
        <v>1</v>
      </c>
      <c r="V233" s="385">
        <f t="shared" si="326"/>
        <v>1</v>
      </c>
      <c r="W233" s="387"/>
      <c r="X233" s="387"/>
      <c r="Y233" s="184">
        <f t="shared" si="294"/>
        <v>28053</v>
      </c>
      <c r="Z233" s="184">
        <f t="shared" si="327"/>
        <v>31277</v>
      </c>
      <c r="AA233" s="184">
        <f t="shared" si="328"/>
        <v>46469</v>
      </c>
      <c r="AB233" s="184">
        <f t="shared" si="315"/>
        <v>0</v>
      </c>
      <c r="AC233" s="184">
        <f t="shared" si="316"/>
        <v>0</v>
      </c>
      <c r="AD233" s="184">
        <f t="shared" si="295"/>
        <v>105799</v>
      </c>
      <c r="AE233" s="183">
        <f t="shared" si="307"/>
        <v>0</v>
      </c>
      <c r="AF233" s="385">
        <f>$AE233</f>
        <v>0</v>
      </c>
      <c r="AG233" s="385">
        <f t="shared" si="308"/>
        <v>0</v>
      </c>
      <c r="AH233" s="385">
        <f t="shared" si="308"/>
        <v>0</v>
      </c>
      <c r="AI233" s="185">
        <f t="shared" si="296"/>
        <v>74</v>
      </c>
      <c r="AJ233" s="185">
        <f t="shared" si="309"/>
        <v>433</v>
      </c>
      <c r="AK233" s="185">
        <f t="shared" si="310"/>
        <v>683</v>
      </c>
      <c r="AL233" s="185">
        <f t="shared" si="297"/>
        <v>1190</v>
      </c>
      <c r="AM233" s="173">
        <f>($S233*Y233)+($AE233*AI233)</f>
        <v>28053</v>
      </c>
      <c r="AN233" s="173">
        <f t="shared" si="318"/>
        <v>31277</v>
      </c>
      <c r="AO233" s="173">
        <f t="shared" si="319"/>
        <v>46469</v>
      </c>
      <c r="AP233" s="173">
        <f t="shared" si="284"/>
        <v>0</v>
      </c>
      <c r="AQ233" s="173">
        <f t="shared" si="285"/>
        <v>0</v>
      </c>
      <c r="AR233" s="173">
        <f t="shared" si="286"/>
        <v>105799</v>
      </c>
      <c r="AS233" s="186" t="s">
        <v>1365</v>
      </c>
      <c r="AT233" s="300">
        <f t="shared" si="329"/>
        <v>1.25</v>
      </c>
      <c r="AU233" s="300">
        <f t="shared" si="329"/>
        <v>1.25</v>
      </c>
      <c r="AV233" s="300">
        <f t="shared" si="329"/>
        <v>1.25</v>
      </c>
      <c r="AW233" s="300">
        <f t="shared" si="329"/>
        <v>1.25</v>
      </c>
      <c r="AX233" s="300">
        <f t="shared" si="329"/>
        <v>1.25</v>
      </c>
      <c r="AY233" s="301">
        <f t="shared" si="324"/>
        <v>1.25</v>
      </c>
      <c r="AZ233" s="301">
        <f t="shared" si="324"/>
        <v>1.25</v>
      </c>
      <c r="BA233" s="301">
        <f t="shared" si="324"/>
        <v>1.25</v>
      </c>
      <c r="BB233" s="301">
        <f t="shared" si="324"/>
        <v>1.25</v>
      </c>
      <c r="BC233" s="301">
        <f t="shared" si="324"/>
        <v>1.25</v>
      </c>
      <c r="BD233" s="187">
        <f>ROUND(IF(OR(M233=0,AT233="DATO NO DISPONIBLE"),"",AT233*M233*($BD$7+1)),0)</f>
        <v>134</v>
      </c>
      <c r="BE233" s="187">
        <f t="shared" si="321"/>
        <v>134</v>
      </c>
      <c r="BF233" s="187">
        <f t="shared" si="322"/>
        <v>134</v>
      </c>
      <c r="BG233" s="187"/>
      <c r="BH233" s="187"/>
      <c r="BI233" s="187">
        <f>ROUND(IF(OR(M233=0,AY233="DATO NO DISPONIBLE"),0,AY233*M233*($BD$7+1)),0)</f>
        <v>134</v>
      </c>
      <c r="BJ233" s="187">
        <f t="shared" si="298"/>
        <v>134</v>
      </c>
      <c r="BK233" s="187">
        <f t="shared" si="299"/>
        <v>134</v>
      </c>
      <c r="BL233" s="187"/>
      <c r="BM233" s="187"/>
      <c r="BN233" s="188">
        <f>BD233*AM233</f>
        <v>3759102</v>
      </c>
      <c r="BO233" s="188">
        <f t="shared" si="300"/>
        <v>4191118</v>
      </c>
      <c r="BP233" s="188">
        <f t="shared" si="301"/>
        <v>6226846</v>
      </c>
      <c r="BQ233" s="188">
        <f t="shared" si="302"/>
        <v>0</v>
      </c>
      <c r="BR233" s="188">
        <f t="shared" si="303"/>
        <v>0</v>
      </c>
      <c r="BS233" s="188">
        <f t="shared" si="287"/>
        <v>14177066</v>
      </c>
      <c r="BT233" s="188">
        <f t="shared" si="288"/>
        <v>3759102</v>
      </c>
      <c r="BU233" s="188">
        <f t="shared" si="289"/>
        <v>4191118</v>
      </c>
      <c r="BV233" s="188">
        <f t="shared" si="290"/>
        <v>6226846</v>
      </c>
      <c r="BW233" s="188">
        <f t="shared" si="291"/>
        <v>0</v>
      </c>
      <c r="BX233" s="188">
        <f t="shared" si="292"/>
        <v>0</v>
      </c>
      <c r="BY233" s="188">
        <f t="shared" si="293"/>
        <v>14177066</v>
      </c>
      <c r="BZ233" s="305">
        <f>IF(COT_PRECALCULOS!$D$24="Precios Iva Incluído",BI233,BD233)</f>
        <v>134</v>
      </c>
      <c r="CA233" s="305">
        <f>IF(COT_PRECALCULOS!$D$24="Precios Iva Incluído",BJ233,BE233)</f>
        <v>134</v>
      </c>
      <c r="CB233" s="305">
        <f>IF(COT_PRECALCULOS!$D$24="Precios Iva Incluído",BK233,BF233)</f>
        <v>134</v>
      </c>
      <c r="CC233" s="305">
        <f>IF(COT_PRECALCULOS!$D$24="Precios Iva Incluído",BL233,BG233)</f>
        <v>0</v>
      </c>
      <c r="CD233" s="305">
        <f>IF(COT_PRECALCULOS!$D$24="Precios Iva Incluído",BM233,BH233)</f>
        <v>0</v>
      </c>
      <c r="CE233" s="305">
        <f>IF(COT_PRECALCULOS!$D$24="Precios Iva Incluído",BT233,BN233)</f>
        <v>3759102</v>
      </c>
      <c r="CF233" s="305">
        <f>IF(COT_PRECALCULOS!$D$24="Precios Iva Incluído",BU233,BO233)</f>
        <v>4191118</v>
      </c>
      <c r="CG233" s="305">
        <f>IF(COT_PRECALCULOS!$D$24="Precios Iva Incluído",BV233,BP233)</f>
        <v>6226846</v>
      </c>
      <c r="CH233" s="305">
        <f>IF(COT_PRECALCULOS!$D$24="Precios Iva Incluído",BW233,BQ233)</f>
        <v>0</v>
      </c>
      <c r="CI233" s="305">
        <f>IF(COT_PRECALCULOS!$D$24="Precios Iva Incluído",BX233,BR233)</f>
        <v>0</v>
      </c>
    </row>
    <row r="234" spans="1:87">
      <c r="A234" s="182" t="s">
        <v>102</v>
      </c>
      <c r="B234" s="182" t="s">
        <v>126</v>
      </c>
      <c r="C234" s="189" t="str">
        <f t="shared" si="282"/>
        <v>F_SE6</v>
      </c>
      <c r="D234" s="189" t="str">
        <f t="shared" si="283"/>
        <v>7_S_</v>
      </c>
      <c r="E234" s="190" t="s">
        <v>1</v>
      </c>
      <c r="F234" s="190" t="s">
        <v>1</v>
      </c>
      <c r="G234" s="189" t="s">
        <v>35</v>
      </c>
      <c r="H234" s="190"/>
      <c r="I234" s="190" t="s">
        <v>56</v>
      </c>
      <c r="J234" s="190">
        <v>7</v>
      </c>
      <c r="K234" s="190" t="s">
        <v>57</v>
      </c>
      <c r="L234" s="189" t="s">
        <v>9</v>
      </c>
      <c r="M234" s="211">
        <v>100</v>
      </c>
      <c r="N234" s="211">
        <v>100</v>
      </c>
      <c r="O234" s="211">
        <v>100</v>
      </c>
      <c r="P234" s="190"/>
      <c r="Q234" s="190"/>
      <c r="R234" s="190"/>
      <c r="S234" s="183">
        <f t="shared" si="325"/>
        <v>4</v>
      </c>
      <c r="T234" s="385">
        <f>$S234</f>
        <v>4</v>
      </c>
      <c r="U234" s="385">
        <f t="shared" si="326"/>
        <v>4</v>
      </c>
      <c r="V234" s="385">
        <f t="shared" si="326"/>
        <v>4</v>
      </c>
      <c r="W234" s="387"/>
      <c r="X234" s="387"/>
      <c r="Y234" s="184">
        <f t="shared" si="294"/>
        <v>28053</v>
      </c>
      <c r="Z234" s="184">
        <f t="shared" si="327"/>
        <v>31277</v>
      </c>
      <c r="AA234" s="184">
        <f t="shared" si="328"/>
        <v>46469</v>
      </c>
      <c r="AB234" s="184">
        <f t="shared" si="315"/>
        <v>0</v>
      </c>
      <c r="AC234" s="184">
        <f t="shared" si="316"/>
        <v>0</v>
      </c>
      <c r="AD234" s="184">
        <f t="shared" si="295"/>
        <v>105799</v>
      </c>
      <c r="AE234" s="183">
        <f t="shared" si="307"/>
        <v>0</v>
      </c>
      <c r="AF234" s="385">
        <f>$AE234</f>
        <v>0</v>
      </c>
      <c r="AG234" s="385">
        <f t="shared" si="308"/>
        <v>0</v>
      </c>
      <c r="AH234" s="385">
        <f t="shared" si="308"/>
        <v>0</v>
      </c>
      <c r="AI234" s="185">
        <f t="shared" si="296"/>
        <v>74</v>
      </c>
      <c r="AJ234" s="185">
        <f t="shared" si="309"/>
        <v>433</v>
      </c>
      <c r="AK234" s="185">
        <f t="shared" si="310"/>
        <v>683</v>
      </c>
      <c r="AL234" s="185">
        <f t="shared" si="297"/>
        <v>1190</v>
      </c>
      <c r="AM234" s="173">
        <f>($S234*Y234)+($AE234*AI234)</f>
        <v>112212</v>
      </c>
      <c r="AN234" s="173">
        <f t="shared" si="318"/>
        <v>125108</v>
      </c>
      <c r="AO234" s="173">
        <f t="shared" si="319"/>
        <v>185876</v>
      </c>
      <c r="AP234" s="173">
        <f t="shared" si="284"/>
        <v>0</v>
      </c>
      <c r="AQ234" s="173">
        <f t="shared" si="285"/>
        <v>0</v>
      </c>
      <c r="AR234" s="173">
        <f t="shared" si="286"/>
        <v>423196</v>
      </c>
      <c r="AS234" s="186" t="s">
        <v>1365</v>
      </c>
      <c r="AT234" s="300">
        <f t="shared" si="329"/>
        <v>1</v>
      </c>
      <c r="AU234" s="300">
        <f t="shared" si="329"/>
        <v>1</v>
      </c>
      <c r="AV234" s="300">
        <f t="shared" si="329"/>
        <v>1</v>
      </c>
      <c r="AW234" s="300">
        <f t="shared" si="329"/>
        <v>1</v>
      </c>
      <c r="AX234" s="300">
        <f t="shared" si="329"/>
        <v>1</v>
      </c>
      <c r="AY234" s="301">
        <f t="shared" si="324"/>
        <v>1</v>
      </c>
      <c r="AZ234" s="301">
        <f t="shared" si="324"/>
        <v>1</v>
      </c>
      <c r="BA234" s="301">
        <f t="shared" si="324"/>
        <v>1</v>
      </c>
      <c r="BB234" s="301">
        <f t="shared" si="324"/>
        <v>1</v>
      </c>
      <c r="BC234" s="301">
        <f t="shared" si="324"/>
        <v>1</v>
      </c>
      <c r="BD234" s="187">
        <f>ROUND(IF(OR(M234=0,AT234="DATO NO DISPONIBLE"),"",AT234*M234*($BD$7+1)),0)</f>
        <v>107</v>
      </c>
      <c r="BE234" s="187">
        <f t="shared" si="321"/>
        <v>107</v>
      </c>
      <c r="BF234" s="187">
        <f t="shared" si="322"/>
        <v>107</v>
      </c>
      <c r="BG234" s="187"/>
      <c r="BH234" s="187"/>
      <c r="BI234" s="187">
        <f>ROUND(IF(OR(M234=0,AY234="DATO NO DISPONIBLE"),0,AY234*M234*($BD$7+1)),0)</f>
        <v>107</v>
      </c>
      <c r="BJ234" s="187">
        <f t="shared" si="298"/>
        <v>107</v>
      </c>
      <c r="BK234" s="187">
        <f t="shared" si="299"/>
        <v>107</v>
      </c>
      <c r="BL234" s="187"/>
      <c r="BM234" s="187"/>
      <c r="BN234" s="188">
        <f>BD234*AM234</f>
        <v>12006684</v>
      </c>
      <c r="BO234" s="188">
        <f t="shared" si="300"/>
        <v>13386556</v>
      </c>
      <c r="BP234" s="188">
        <f t="shared" si="301"/>
        <v>19888732</v>
      </c>
      <c r="BQ234" s="188">
        <f t="shared" si="302"/>
        <v>0</v>
      </c>
      <c r="BR234" s="188">
        <f t="shared" si="303"/>
        <v>0</v>
      </c>
      <c r="BS234" s="188">
        <f t="shared" si="287"/>
        <v>45281972</v>
      </c>
      <c r="BT234" s="188">
        <f t="shared" si="288"/>
        <v>12006684</v>
      </c>
      <c r="BU234" s="188">
        <f t="shared" si="289"/>
        <v>13386556</v>
      </c>
      <c r="BV234" s="188">
        <f t="shared" si="290"/>
        <v>19888732</v>
      </c>
      <c r="BW234" s="188">
        <f t="shared" si="291"/>
        <v>0</v>
      </c>
      <c r="BX234" s="188">
        <f t="shared" si="292"/>
        <v>0</v>
      </c>
      <c r="BY234" s="188">
        <f t="shared" si="293"/>
        <v>45281972</v>
      </c>
      <c r="BZ234" s="305">
        <f>IF(COT_PRECALCULOS!$D$24="Precios Iva Incluído",BI234,BD234)</f>
        <v>107</v>
      </c>
      <c r="CA234" s="305">
        <f>IF(COT_PRECALCULOS!$D$24="Precios Iva Incluído",BJ234,BE234)</f>
        <v>107</v>
      </c>
      <c r="CB234" s="305">
        <f>IF(COT_PRECALCULOS!$D$24="Precios Iva Incluído",BK234,BF234)</f>
        <v>107</v>
      </c>
      <c r="CC234" s="305">
        <f>IF(COT_PRECALCULOS!$D$24="Precios Iva Incluído",BL234,BG234)</f>
        <v>0</v>
      </c>
      <c r="CD234" s="305">
        <f>IF(COT_PRECALCULOS!$D$24="Precios Iva Incluído",BM234,BH234)</f>
        <v>0</v>
      </c>
      <c r="CE234" s="305">
        <f>IF(COT_PRECALCULOS!$D$24="Precios Iva Incluído",BT234,BN234)</f>
        <v>12006684</v>
      </c>
      <c r="CF234" s="305">
        <f>IF(COT_PRECALCULOS!$D$24="Precios Iva Incluído",BU234,BO234)</f>
        <v>13386556</v>
      </c>
      <c r="CG234" s="305">
        <f>IF(COT_PRECALCULOS!$D$24="Precios Iva Incluído",BV234,BP234)</f>
        <v>19888732</v>
      </c>
      <c r="CH234" s="305">
        <f>IF(COT_PRECALCULOS!$D$24="Precios Iva Incluído",BW234,BQ234)</f>
        <v>0</v>
      </c>
      <c r="CI234" s="305">
        <f>IF(COT_PRECALCULOS!$D$24="Precios Iva Incluído",BX234,BR234)</f>
        <v>0</v>
      </c>
    </row>
    <row r="235" spans="1:87">
      <c r="A235" s="182" t="s">
        <v>102</v>
      </c>
      <c r="B235" s="182" t="s">
        <v>126</v>
      </c>
      <c r="C235" s="189" t="str">
        <f t="shared" si="282"/>
        <v>F_SE6</v>
      </c>
      <c r="D235" s="189" t="str">
        <f t="shared" si="283"/>
        <v>17_S_</v>
      </c>
      <c r="E235" s="190" t="s">
        <v>1</v>
      </c>
      <c r="F235" s="190" t="s">
        <v>1</v>
      </c>
      <c r="G235" s="189" t="s">
        <v>35</v>
      </c>
      <c r="H235" s="190"/>
      <c r="I235" s="190" t="s">
        <v>52</v>
      </c>
      <c r="J235" s="190">
        <v>17</v>
      </c>
      <c r="K235" s="190" t="s">
        <v>53</v>
      </c>
      <c r="L235" s="189" t="s">
        <v>9</v>
      </c>
      <c r="M235" s="191">
        <v>0</v>
      </c>
      <c r="N235" s="211">
        <v>100</v>
      </c>
      <c r="O235" s="211">
        <v>100</v>
      </c>
      <c r="P235" s="190"/>
      <c r="Q235" s="190"/>
      <c r="R235" s="190" t="s">
        <v>73</v>
      </c>
      <c r="S235" s="183">
        <f t="shared" si="325"/>
        <v>0</v>
      </c>
      <c r="T235" s="386">
        <v>0</v>
      </c>
      <c r="U235" s="385">
        <f t="shared" si="326"/>
        <v>0</v>
      </c>
      <c r="V235" s="385">
        <f t="shared" si="326"/>
        <v>0</v>
      </c>
      <c r="W235" s="387"/>
      <c r="X235" s="387"/>
      <c r="Y235" s="184">
        <f t="shared" si="294"/>
        <v>0</v>
      </c>
      <c r="Z235" s="184">
        <f t="shared" si="327"/>
        <v>31277</v>
      </c>
      <c r="AA235" s="184">
        <f t="shared" si="328"/>
        <v>46469</v>
      </c>
      <c r="AB235" s="184">
        <f t="shared" si="315"/>
        <v>0</v>
      </c>
      <c r="AC235" s="184">
        <f t="shared" si="316"/>
        <v>0</v>
      </c>
      <c r="AD235" s="184">
        <f t="shared" si="295"/>
        <v>77746</v>
      </c>
      <c r="AE235" s="183">
        <f t="shared" si="307"/>
        <v>0</v>
      </c>
      <c r="AF235" s="386">
        <v>0</v>
      </c>
      <c r="AG235" s="385">
        <f t="shared" ref="AG235:AH254" si="330">$AE235</f>
        <v>0</v>
      </c>
      <c r="AH235" s="385">
        <f t="shared" si="330"/>
        <v>0</v>
      </c>
      <c r="AI235" s="185">
        <f t="shared" si="296"/>
        <v>0</v>
      </c>
      <c r="AJ235" s="185">
        <f t="shared" si="309"/>
        <v>433</v>
      </c>
      <c r="AK235" s="185">
        <f t="shared" si="310"/>
        <v>683</v>
      </c>
      <c r="AL235" s="185">
        <f t="shared" si="297"/>
        <v>1116</v>
      </c>
      <c r="AM235" s="173">
        <v>0</v>
      </c>
      <c r="AN235" s="173">
        <f t="shared" si="318"/>
        <v>0</v>
      </c>
      <c r="AO235" s="173">
        <f t="shared" si="319"/>
        <v>0</v>
      </c>
      <c r="AP235" s="173">
        <f t="shared" si="284"/>
        <v>0</v>
      </c>
      <c r="AQ235" s="173">
        <f t="shared" si="285"/>
        <v>0</v>
      </c>
      <c r="AR235" s="173">
        <f t="shared" si="286"/>
        <v>0</v>
      </c>
      <c r="AS235" s="186" t="s">
        <v>1365</v>
      </c>
      <c r="AT235" s="300">
        <f t="shared" si="329"/>
        <v>2.11</v>
      </c>
      <c r="AU235" s="300">
        <f t="shared" si="329"/>
        <v>2.11</v>
      </c>
      <c r="AV235" s="300">
        <f t="shared" si="329"/>
        <v>2.11</v>
      </c>
      <c r="AW235" s="300">
        <f t="shared" si="329"/>
        <v>2.11</v>
      </c>
      <c r="AX235" s="300">
        <f t="shared" si="329"/>
        <v>2.11</v>
      </c>
      <c r="AY235" s="301">
        <f t="shared" si="324"/>
        <v>2.11</v>
      </c>
      <c r="AZ235" s="301">
        <f t="shared" si="324"/>
        <v>2.11</v>
      </c>
      <c r="BA235" s="301">
        <f t="shared" si="324"/>
        <v>2.11</v>
      </c>
      <c r="BB235" s="301">
        <f t="shared" si="324"/>
        <v>2.11</v>
      </c>
      <c r="BC235" s="301">
        <f t="shared" si="324"/>
        <v>2.11</v>
      </c>
      <c r="BD235" s="187"/>
      <c r="BE235" s="187">
        <f t="shared" si="321"/>
        <v>226</v>
      </c>
      <c r="BF235" s="187">
        <f t="shared" si="322"/>
        <v>226</v>
      </c>
      <c r="BG235" s="187"/>
      <c r="BH235" s="187"/>
      <c r="BI235" s="187"/>
      <c r="BJ235" s="187">
        <f t="shared" si="298"/>
        <v>226</v>
      </c>
      <c r="BK235" s="187">
        <f t="shared" si="299"/>
        <v>226</v>
      </c>
      <c r="BL235" s="187"/>
      <c r="BM235" s="187"/>
      <c r="BN235" s="188"/>
      <c r="BO235" s="188">
        <f t="shared" si="300"/>
        <v>0</v>
      </c>
      <c r="BP235" s="188">
        <f t="shared" si="301"/>
        <v>0</v>
      </c>
      <c r="BQ235" s="188">
        <f t="shared" si="302"/>
        <v>0</v>
      </c>
      <c r="BR235" s="188">
        <f t="shared" si="303"/>
        <v>0</v>
      </c>
      <c r="BS235" s="188">
        <f t="shared" si="287"/>
        <v>0</v>
      </c>
      <c r="BT235" s="188">
        <f t="shared" si="288"/>
        <v>0</v>
      </c>
      <c r="BU235" s="188">
        <f t="shared" si="289"/>
        <v>0</v>
      </c>
      <c r="BV235" s="188">
        <f t="shared" si="290"/>
        <v>0</v>
      </c>
      <c r="BW235" s="188">
        <f t="shared" si="291"/>
        <v>0</v>
      </c>
      <c r="BX235" s="188">
        <f t="shared" si="292"/>
        <v>0</v>
      </c>
      <c r="BY235" s="188">
        <f t="shared" si="293"/>
        <v>0</v>
      </c>
      <c r="BZ235" s="305">
        <f>IF(COT_PRECALCULOS!$D$24="Precios Iva Incluído",BI235,BD235)</f>
        <v>0</v>
      </c>
      <c r="CA235" s="305">
        <f>IF(COT_PRECALCULOS!$D$24="Precios Iva Incluído",BJ235,BE235)</f>
        <v>226</v>
      </c>
      <c r="CB235" s="305">
        <f>IF(COT_PRECALCULOS!$D$24="Precios Iva Incluído",BK235,BF235)</f>
        <v>226</v>
      </c>
      <c r="CC235" s="305">
        <f>IF(COT_PRECALCULOS!$D$24="Precios Iva Incluído",BL235,BG235)</f>
        <v>0</v>
      </c>
      <c r="CD235" s="305">
        <f>IF(COT_PRECALCULOS!$D$24="Precios Iva Incluído",BM235,BH235)</f>
        <v>0</v>
      </c>
      <c r="CE235" s="305">
        <f>IF(COT_PRECALCULOS!$D$24="Precios Iva Incluído",BT235,BN235)</f>
        <v>0</v>
      </c>
      <c r="CF235" s="305">
        <f>IF(COT_PRECALCULOS!$D$24="Precios Iva Incluído",BU235,BO235)</f>
        <v>0</v>
      </c>
      <c r="CG235" s="305">
        <f>IF(COT_PRECALCULOS!$D$24="Precios Iva Incluído",BV235,BP235)</f>
        <v>0</v>
      </c>
      <c r="CH235" s="305">
        <f>IF(COT_PRECALCULOS!$D$24="Precios Iva Incluído",BW235,BQ235)</f>
        <v>0</v>
      </c>
      <c r="CI235" s="305">
        <f>IF(COT_PRECALCULOS!$D$24="Precios Iva Incluído",BX235,BR235)</f>
        <v>0</v>
      </c>
    </row>
    <row r="236" spans="1:87">
      <c r="A236" s="182" t="s">
        <v>102</v>
      </c>
      <c r="B236" s="182" t="s">
        <v>126</v>
      </c>
      <c r="C236" s="189" t="str">
        <f t="shared" si="282"/>
        <v>F_SE6</v>
      </c>
      <c r="D236" s="189" t="str">
        <f t="shared" si="283"/>
        <v>22_S_</v>
      </c>
      <c r="E236" s="190" t="s">
        <v>1</v>
      </c>
      <c r="F236" s="190" t="s">
        <v>1</v>
      </c>
      <c r="G236" s="189" t="s">
        <v>35</v>
      </c>
      <c r="H236" s="190"/>
      <c r="I236" s="190" t="s">
        <v>50</v>
      </c>
      <c r="J236" s="190">
        <v>22</v>
      </c>
      <c r="K236" s="190" t="s">
        <v>51</v>
      </c>
      <c r="L236" s="189" t="s">
        <v>9</v>
      </c>
      <c r="M236" s="386">
        <v>0</v>
      </c>
      <c r="N236" s="211">
        <v>100</v>
      </c>
      <c r="O236" s="211">
        <v>100</v>
      </c>
      <c r="P236" s="190"/>
      <c r="Q236" s="190"/>
      <c r="R236" s="190" t="s">
        <v>73</v>
      </c>
      <c r="S236" s="183">
        <f t="shared" si="325"/>
        <v>2</v>
      </c>
      <c r="T236" s="386">
        <v>0</v>
      </c>
      <c r="U236" s="385">
        <f t="shared" si="326"/>
        <v>2</v>
      </c>
      <c r="V236" s="385">
        <f t="shared" si="326"/>
        <v>2</v>
      </c>
      <c r="W236" s="387"/>
      <c r="X236" s="387"/>
      <c r="Y236" s="184">
        <f t="shared" si="294"/>
        <v>0</v>
      </c>
      <c r="Z236" s="184">
        <f t="shared" si="327"/>
        <v>31277</v>
      </c>
      <c r="AA236" s="184">
        <f t="shared" si="328"/>
        <v>46469</v>
      </c>
      <c r="AB236" s="184">
        <f t="shared" si="315"/>
        <v>0</v>
      </c>
      <c r="AC236" s="184">
        <f t="shared" si="316"/>
        <v>0</v>
      </c>
      <c r="AD236" s="184">
        <f t="shared" si="295"/>
        <v>77746</v>
      </c>
      <c r="AE236" s="183">
        <f t="shared" si="307"/>
        <v>0</v>
      </c>
      <c r="AF236" s="386">
        <v>0</v>
      </c>
      <c r="AG236" s="385">
        <f t="shared" si="330"/>
        <v>0</v>
      </c>
      <c r="AH236" s="385">
        <f t="shared" si="330"/>
        <v>0</v>
      </c>
      <c r="AI236" s="185">
        <f t="shared" si="296"/>
        <v>0</v>
      </c>
      <c r="AJ236" s="185">
        <f t="shared" si="309"/>
        <v>433</v>
      </c>
      <c r="AK236" s="185">
        <f t="shared" si="310"/>
        <v>683</v>
      </c>
      <c r="AL236" s="185">
        <f t="shared" si="297"/>
        <v>1116</v>
      </c>
      <c r="AM236" s="173">
        <v>0</v>
      </c>
      <c r="AN236" s="173">
        <f t="shared" si="318"/>
        <v>62554</v>
      </c>
      <c r="AO236" s="173">
        <f t="shared" si="319"/>
        <v>92938</v>
      </c>
      <c r="AP236" s="173">
        <f t="shared" si="284"/>
        <v>0</v>
      </c>
      <c r="AQ236" s="173">
        <f t="shared" si="285"/>
        <v>0</v>
      </c>
      <c r="AR236" s="173">
        <f t="shared" si="286"/>
        <v>155492</v>
      </c>
      <c r="AS236" s="186" t="s">
        <v>1365</v>
      </c>
      <c r="AT236" s="300">
        <f t="shared" si="329"/>
        <v>4.9124999999999996</v>
      </c>
      <c r="AU236" s="300">
        <f t="shared" si="329"/>
        <v>4.9124999999999996</v>
      </c>
      <c r="AV236" s="300">
        <f t="shared" si="329"/>
        <v>4.9124999999999996</v>
      </c>
      <c r="AW236" s="300">
        <f t="shared" si="329"/>
        <v>4.9124999999999996</v>
      </c>
      <c r="AX236" s="300">
        <f t="shared" si="329"/>
        <v>4.9124999999999996</v>
      </c>
      <c r="AY236" s="301">
        <f t="shared" si="324"/>
        <v>4.9124999999999996</v>
      </c>
      <c r="AZ236" s="301">
        <f t="shared" si="324"/>
        <v>4.9124999999999996</v>
      </c>
      <c r="BA236" s="301">
        <f t="shared" si="324"/>
        <v>4.9124999999999996</v>
      </c>
      <c r="BB236" s="301">
        <f t="shared" si="324"/>
        <v>4.9124999999999996</v>
      </c>
      <c r="BC236" s="301">
        <f t="shared" si="324"/>
        <v>4.9124999999999996</v>
      </c>
      <c r="BD236" s="187"/>
      <c r="BE236" s="187">
        <f t="shared" si="321"/>
        <v>525</v>
      </c>
      <c r="BF236" s="187">
        <f t="shared" si="322"/>
        <v>525</v>
      </c>
      <c r="BG236" s="187"/>
      <c r="BH236" s="187"/>
      <c r="BI236" s="187"/>
      <c r="BJ236" s="187">
        <f t="shared" si="298"/>
        <v>525</v>
      </c>
      <c r="BK236" s="187">
        <f t="shared" si="299"/>
        <v>525</v>
      </c>
      <c r="BL236" s="187"/>
      <c r="BM236" s="187"/>
      <c r="BN236" s="188"/>
      <c r="BO236" s="188">
        <f t="shared" si="300"/>
        <v>32840850</v>
      </c>
      <c r="BP236" s="188">
        <f t="shared" si="301"/>
        <v>48792450</v>
      </c>
      <c r="BQ236" s="188">
        <f t="shared" si="302"/>
        <v>0</v>
      </c>
      <c r="BR236" s="188">
        <f t="shared" si="303"/>
        <v>0</v>
      </c>
      <c r="BS236" s="188">
        <f t="shared" si="287"/>
        <v>81633300</v>
      </c>
      <c r="BT236" s="188">
        <f t="shared" si="288"/>
        <v>0</v>
      </c>
      <c r="BU236" s="188">
        <f t="shared" si="289"/>
        <v>32840850</v>
      </c>
      <c r="BV236" s="188">
        <f t="shared" si="290"/>
        <v>48792450</v>
      </c>
      <c r="BW236" s="188">
        <f t="shared" si="291"/>
        <v>0</v>
      </c>
      <c r="BX236" s="188">
        <f t="shared" si="292"/>
        <v>0</v>
      </c>
      <c r="BY236" s="188">
        <f t="shared" si="293"/>
        <v>81633300</v>
      </c>
      <c r="BZ236" s="305">
        <f>IF(COT_PRECALCULOS!$D$24="Precios Iva Incluído",BI236,BD236)</f>
        <v>0</v>
      </c>
      <c r="CA236" s="305">
        <f>IF(COT_PRECALCULOS!$D$24="Precios Iva Incluído",BJ236,BE236)</f>
        <v>525</v>
      </c>
      <c r="CB236" s="305">
        <f>IF(COT_PRECALCULOS!$D$24="Precios Iva Incluído",BK236,BF236)</f>
        <v>525</v>
      </c>
      <c r="CC236" s="305">
        <f>IF(COT_PRECALCULOS!$D$24="Precios Iva Incluído",BL236,BG236)</f>
        <v>0</v>
      </c>
      <c r="CD236" s="305">
        <f>IF(COT_PRECALCULOS!$D$24="Precios Iva Incluído",BM236,BH236)</f>
        <v>0</v>
      </c>
      <c r="CE236" s="305">
        <f>IF(COT_PRECALCULOS!$D$24="Precios Iva Incluído",BT236,BN236)</f>
        <v>0</v>
      </c>
      <c r="CF236" s="305">
        <f>IF(COT_PRECALCULOS!$D$24="Precios Iva Incluído",BU236,BO236)</f>
        <v>32840850</v>
      </c>
      <c r="CG236" s="305">
        <f>IF(COT_PRECALCULOS!$D$24="Precios Iva Incluído",BV236,BP236)</f>
        <v>48792450</v>
      </c>
      <c r="CH236" s="305">
        <f>IF(COT_PRECALCULOS!$D$24="Precios Iva Incluído",BW236,BQ236)</f>
        <v>0</v>
      </c>
      <c r="CI236" s="305">
        <f>IF(COT_PRECALCULOS!$D$24="Precios Iva Incluído",BX236,BR236)</f>
        <v>0</v>
      </c>
    </row>
    <row r="237" spans="1:87">
      <c r="A237" s="182" t="s">
        <v>102</v>
      </c>
      <c r="B237" s="182" t="s">
        <v>126</v>
      </c>
      <c r="C237" s="189" t="str">
        <f t="shared" si="282"/>
        <v>F_SE6</v>
      </c>
      <c r="D237" s="189" t="str">
        <f t="shared" si="283"/>
        <v>33_S_</v>
      </c>
      <c r="E237" s="190" t="s">
        <v>1</v>
      </c>
      <c r="F237" s="190" t="s">
        <v>1</v>
      </c>
      <c r="G237" s="189" t="s">
        <v>35</v>
      </c>
      <c r="H237" s="190"/>
      <c r="I237" s="190" t="s">
        <v>58</v>
      </c>
      <c r="J237" s="190">
        <v>33</v>
      </c>
      <c r="K237" s="190" t="s">
        <v>59</v>
      </c>
      <c r="L237" s="189" t="s">
        <v>48</v>
      </c>
      <c r="M237" s="310">
        <v>90</v>
      </c>
      <c r="N237" s="310">
        <v>90</v>
      </c>
      <c r="O237" s="310">
        <v>90</v>
      </c>
      <c r="P237" s="190"/>
      <c r="Q237" s="190"/>
      <c r="R237" s="190"/>
      <c r="S237" s="385">
        <f t="shared" si="325"/>
        <v>2</v>
      </c>
      <c r="T237" s="385">
        <f>$S237</f>
        <v>2</v>
      </c>
      <c r="U237" s="385">
        <f t="shared" si="326"/>
        <v>2</v>
      </c>
      <c r="V237" s="385">
        <f t="shared" si="326"/>
        <v>2</v>
      </c>
      <c r="W237" s="387"/>
      <c r="X237" s="387"/>
      <c r="Y237" s="184">
        <f t="shared" si="294"/>
        <v>28053</v>
      </c>
      <c r="Z237" s="184">
        <f t="shared" si="327"/>
        <v>31277</v>
      </c>
      <c r="AA237" s="184">
        <f t="shared" si="328"/>
        <v>46469</v>
      </c>
      <c r="AB237" s="184">
        <f t="shared" si="315"/>
        <v>0</v>
      </c>
      <c r="AC237" s="184">
        <f t="shared" si="316"/>
        <v>0</v>
      </c>
      <c r="AD237" s="184">
        <f t="shared" si="295"/>
        <v>105799</v>
      </c>
      <c r="AE237" s="183">
        <f t="shared" si="307"/>
        <v>0</v>
      </c>
      <c r="AF237" s="385">
        <f>$AE237</f>
        <v>0</v>
      </c>
      <c r="AG237" s="385">
        <f t="shared" si="330"/>
        <v>0</v>
      </c>
      <c r="AH237" s="385">
        <f t="shared" si="330"/>
        <v>0</v>
      </c>
      <c r="AI237" s="185">
        <f t="shared" si="296"/>
        <v>74</v>
      </c>
      <c r="AJ237" s="185">
        <f t="shared" si="309"/>
        <v>433</v>
      </c>
      <c r="AK237" s="185">
        <f t="shared" si="310"/>
        <v>683</v>
      </c>
      <c r="AL237" s="185">
        <f t="shared" si="297"/>
        <v>1190</v>
      </c>
      <c r="AM237" s="173">
        <f t="shared" ref="AM237:AM243" si="331">($S237*Y237)+($AE237*AI237)</f>
        <v>56106</v>
      </c>
      <c r="AN237" s="173">
        <f t="shared" si="318"/>
        <v>62554</v>
      </c>
      <c r="AO237" s="173">
        <f t="shared" si="319"/>
        <v>92938</v>
      </c>
      <c r="AP237" s="173">
        <f t="shared" si="284"/>
        <v>0</v>
      </c>
      <c r="AQ237" s="173">
        <f t="shared" si="285"/>
        <v>0</v>
      </c>
      <c r="AR237" s="173">
        <f t="shared" si="286"/>
        <v>211598</v>
      </c>
      <c r="AS237" s="186" t="s">
        <v>1365</v>
      </c>
      <c r="AT237" s="300">
        <f t="shared" si="329"/>
        <v>2.8014999999999999</v>
      </c>
      <c r="AU237" s="300">
        <f t="shared" si="329"/>
        <v>2.8014999999999999</v>
      </c>
      <c r="AV237" s="300">
        <f t="shared" si="329"/>
        <v>2.8014999999999999</v>
      </c>
      <c r="AW237" s="300">
        <f t="shared" si="329"/>
        <v>2.8014999999999999</v>
      </c>
      <c r="AX237" s="300">
        <f t="shared" si="329"/>
        <v>2.8014999999999999</v>
      </c>
      <c r="AY237" s="301">
        <f t="shared" si="324"/>
        <v>2.8014999999999999</v>
      </c>
      <c r="AZ237" s="301">
        <f t="shared" si="324"/>
        <v>2.8014999999999999</v>
      </c>
      <c r="BA237" s="301">
        <f t="shared" si="324"/>
        <v>2.8014999999999999</v>
      </c>
      <c r="BB237" s="301">
        <f t="shared" si="324"/>
        <v>2.8014999999999999</v>
      </c>
      <c r="BC237" s="301">
        <f t="shared" si="324"/>
        <v>2.8014999999999999</v>
      </c>
      <c r="BD237" s="187">
        <f>ROUND(IF(OR(M237=0,AT237="DATO NO DISPONIBLE"),"",AT237*M237*($BD$7+1)),0)</f>
        <v>270</v>
      </c>
      <c r="BE237" s="187">
        <f t="shared" si="321"/>
        <v>270</v>
      </c>
      <c r="BF237" s="187">
        <f t="shared" si="322"/>
        <v>270</v>
      </c>
      <c r="BG237" s="187"/>
      <c r="BH237" s="187"/>
      <c r="BI237" s="187">
        <f>ROUND(IF(OR(M237=0,AY237="DATO NO DISPONIBLE"),0,AY237*M237*($BD$7+1)),0)</f>
        <v>270</v>
      </c>
      <c r="BJ237" s="187">
        <f t="shared" si="298"/>
        <v>270</v>
      </c>
      <c r="BK237" s="187">
        <f t="shared" si="299"/>
        <v>270</v>
      </c>
      <c r="BL237" s="187"/>
      <c r="BM237" s="187"/>
      <c r="BN237" s="188">
        <f>BD237*AM237</f>
        <v>15148620</v>
      </c>
      <c r="BO237" s="188">
        <f t="shared" si="300"/>
        <v>16889580</v>
      </c>
      <c r="BP237" s="188">
        <f t="shared" si="301"/>
        <v>25093260</v>
      </c>
      <c r="BQ237" s="188">
        <f t="shared" si="302"/>
        <v>0</v>
      </c>
      <c r="BR237" s="188">
        <f t="shared" si="303"/>
        <v>0</v>
      </c>
      <c r="BS237" s="188">
        <f t="shared" si="287"/>
        <v>57131460</v>
      </c>
      <c r="BT237" s="188">
        <f t="shared" si="288"/>
        <v>15148620</v>
      </c>
      <c r="BU237" s="188">
        <f t="shared" si="289"/>
        <v>16889580</v>
      </c>
      <c r="BV237" s="188">
        <f t="shared" si="290"/>
        <v>25093260</v>
      </c>
      <c r="BW237" s="188">
        <f t="shared" si="291"/>
        <v>0</v>
      </c>
      <c r="BX237" s="188">
        <f t="shared" si="292"/>
        <v>0</v>
      </c>
      <c r="BY237" s="188">
        <f t="shared" si="293"/>
        <v>57131460</v>
      </c>
      <c r="BZ237" s="305">
        <f>IF(COT_PRECALCULOS!$D$24="Precios Iva Incluído",BI237,BD237)</f>
        <v>270</v>
      </c>
      <c r="CA237" s="305">
        <f>IF(COT_PRECALCULOS!$D$24="Precios Iva Incluído",BJ237,BE237)</f>
        <v>270</v>
      </c>
      <c r="CB237" s="305">
        <f>IF(COT_PRECALCULOS!$D$24="Precios Iva Incluído",BK237,BF237)</f>
        <v>270</v>
      </c>
      <c r="CC237" s="305">
        <f>IF(COT_PRECALCULOS!$D$24="Precios Iva Incluído",BL237,BG237)</f>
        <v>0</v>
      </c>
      <c r="CD237" s="305">
        <f>IF(COT_PRECALCULOS!$D$24="Precios Iva Incluído",BM237,BH237)</f>
        <v>0</v>
      </c>
      <c r="CE237" s="305">
        <f>IF(COT_PRECALCULOS!$D$24="Precios Iva Incluído",BT237,BN237)</f>
        <v>15148620</v>
      </c>
      <c r="CF237" s="305">
        <f>IF(COT_PRECALCULOS!$D$24="Precios Iva Incluído",BU237,BO237)</f>
        <v>16889580</v>
      </c>
      <c r="CG237" s="305">
        <f>IF(COT_PRECALCULOS!$D$24="Precios Iva Incluído",BV237,BP237)</f>
        <v>25093260</v>
      </c>
      <c r="CH237" s="305">
        <f>IF(COT_PRECALCULOS!$D$24="Precios Iva Incluído",BW237,BQ237)</f>
        <v>0</v>
      </c>
      <c r="CI237" s="305">
        <f>IF(COT_PRECALCULOS!$D$24="Precios Iva Incluído",BX237,BR237)</f>
        <v>0</v>
      </c>
    </row>
    <row r="238" spans="1:87">
      <c r="A238" s="182" t="s">
        <v>102</v>
      </c>
      <c r="B238" s="182" t="s">
        <v>126</v>
      </c>
      <c r="C238" s="189" t="str">
        <f t="shared" si="282"/>
        <v>F_SE6</v>
      </c>
      <c r="D238" s="189" t="str">
        <f t="shared" si="283"/>
        <v>42_S_</v>
      </c>
      <c r="E238" s="190" t="s">
        <v>1</v>
      </c>
      <c r="F238" s="190" t="s">
        <v>1</v>
      </c>
      <c r="G238" s="189" t="s">
        <v>35</v>
      </c>
      <c r="H238" s="190"/>
      <c r="I238" s="190" t="s">
        <v>49</v>
      </c>
      <c r="J238" s="190">
        <v>42</v>
      </c>
      <c r="K238" s="190" t="s">
        <v>61</v>
      </c>
      <c r="L238" s="189" t="s">
        <v>9</v>
      </c>
      <c r="M238" s="211">
        <v>100</v>
      </c>
      <c r="N238" s="211">
        <v>100</v>
      </c>
      <c r="O238" s="211">
        <v>100</v>
      </c>
      <c r="P238" s="190"/>
      <c r="Q238" s="190"/>
      <c r="R238" s="190"/>
      <c r="S238" s="183">
        <f t="shared" si="325"/>
        <v>2</v>
      </c>
      <c r="T238" s="385">
        <f>$S238</f>
        <v>2</v>
      </c>
      <c r="U238" s="385">
        <f t="shared" si="326"/>
        <v>2</v>
      </c>
      <c r="V238" s="385">
        <f t="shared" si="326"/>
        <v>2</v>
      </c>
      <c r="W238" s="387"/>
      <c r="X238" s="387"/>
      <c r="Y238" s="184">
        <f t="shared" si="294"/>
        <v>28053</v>
      </c>
      <c r="Z238" s="184">
        <f t="shared" si="327"/>
        <v>31277</v>
      </c>
      <c r="AA238" s="184">
        <f t="shared" si="328"/>
        <v>46469</v>
      </c>
      <c r="AB238" s="184">
        <f t="shared" si="315"/>
        <v>0</v>
      </c>
      <c r="AC238" s="184">
        <f t="shared" si="316"/>
        <v>0</v>
      </c>
      <c r="AD238" s="184">
        <f t="shared" si="295"/>
        <v>105799</v>
      </c>
      <c r="AE238" s="385">
        <f t="shared" si="307"/>
        <v>0</v>
      </c>
      <c r="AF238" s="385">
        <f>$AE238</f>
        <v>0</v>
      </c>
      <c r="AG238" s="385">
        <f t="shared" si="330"/>
        <v>0</v>
      </c>
      <c r="AH238" s="385">
        <f t="shared" si="330"/>
        <v>0</v>
      </c>
      <c r="AI238" s="185">
        <f t="shared" si="296"/>
        <v>74</v>
      </c>
      <c r="AJ238" s="185">
        <f t="shared" si="309"/>
        <v>433</v>
      </c>
      <c r="AK238" s="185">
        <f t="shared" si="310"/>
        <v>683</v>
      </c>
      <c r="AL238" s="185">
        <f t="shared" si="297"/>
        <v>1190</v>
      </c>
      <c r="AM238" s="173">
        <f t="shared" si="331"/>
        <v>56106</v>
      </c>
      <c r="AN238" s="173">
        <f t="shared" si="318"/>
        <v>62554</v>
      </c>
      <c r="AO238" s="173">
        <f t="shared" si="319"/>
        <v>92938</v>
      </c>
      <c r="AP238" s="173">
        <f t="shared" si="284"/>
        <v>0</v>
      </c>
      <c r="AQ238" s="173">
        <f t="shared" si="285"/>
        <v>0</v>
      </c>
      <c r="AR238" s="173">
        <f t="shared" si="286"/>
        <v>211598</v>
      </c>
      <c r="AS238" s="186" t="s">
        <v>1365</v>
      </c>
      <c r="AT238" s="300">
        <f t="shared" si="329"/>
        <v>1.8169999999999999</v>
      </c>
      <c r="AU238" s="300">
        <f t="shared" si="329"/>
        <v>1.8169999999999999</v>
      </c>
      <c r="AV238" s="300">
        <f t="shared" si="329"/>
        <v>1.8169999999999999</v>
      </c>
      <c r="AW238" s="300">
        <f t="shared" si="329"/>
        <v>1.8169999999999999</v>
      </c>
      <c r="AX238" s="300">
        <f t="shared" si="329"/>
        <v>1.8169999999999999</v>
      </c>
      <c r="AY238" s="301">
        <f t="shared" ref="AY238:BC247" si="332">IF(ISERROR(MATCH(CONCATENATE($J238,"_",AY$1),COT_PRE_CODIGO_ALIMENTOS,0)),IF(ISERROR(MATCH(CONCATENATE($J238,"_",AY$2),COT_PRE_CODIGO_ALIMENTOS,0)),IF(ISERROR(MATCH(CONCATENATE($J238,"_",AY$3),COT_PRE_CODIGO_ALIMENTOS,0)),IF(ISERROR(MATCH(CONCATENATE($J238,"_",AY$4),COT_PRE_CODIGO_ALIMENTOS,0)),IF(ISERROR(MATCH(CONCATENATE($J238,"_",AY$5),COT_PRE_CODIGO_ALIMENTOS,0)),IF(ISERROR(MATCH(CONCATENATE($J238,"_",AY$6),COT_PRE_CODIGO_ALIMENTOS,0)),IF(ISERROR(MATCH(CONCATENATE($J238,"_",AY$7),COT_PRE_CODIGO_ALIMENTOS,0)),IF(ISERROR(VLOOKUP($J238,COT_PRE_ALIMENTOS,AY$8,FALSE)),"DATO NO DISPONIBLE",VLOOKUP($J238,COT_PRE_ALIMENTOS,AY$8,FALSE)),VLOOKUP(CONCATENATE($J238,"_",AY$7),COT_PRE_ALIMENTOS,AY$8,FALSE)),VLOOKUP(CONCATENATE($J238,"_",AY$6),COT_PRE_ALIMENTOS,AY$8,FALSE)),VLOOKUP(CONCATENATE($J238,"_",AY$5),COT_PRE_ALIMENTOS,AY$8,FALSE)),VLOOKUP(CONCATENATE($J238,"_",AY$4),COT_PRE_ALIMENTOS,AY$8,FALSE)),VLOOKUP(CONCATENATE($J238,"_",AY$3),COT_PRE_ALIMENTOS,AY$8,FALSE)),VLOOKUP(CONCATENATE($J238,"_",AY$2),COT_PRE_ALIMENTOS,AY$8,FALSE)),VLOOKUP(CONCATENATE($J238,"_",AY$1),COT_PRE_ALIMENTOS,AY$8,FALSE))</f>
        <v>1.8169999999999999</v>
      </c>
      <c r="AZ238" s="301">
        <f t="shared" si="332"/>
        <v>1.8169999999999999</v>
      </c>
      <c r="BA238" s="301">
        <f t="shared" si="332"/>
        <v>1.8169999999999999</v>
      </c>
      <c r="BB238" s="301">
        <f t="shared" si="332"/>
        <v>1.8169999999999999</v>
      </c>
      <c r="BC238" s="301">
        <f t="shared" si="332"/>
        <v>1.8169999999999999</v>
      </c>
      <c r="BD238" s="187">
        <f>ROUND(IF(OR(M238=0,AT238="DATO NO DISPONIBLE"),"",AT238*M238*($BD$7+1)),0)</f>
        <v>194</v>
      </c>
      <c r="BE238" s="187">
        <f t="shared" si="321"/>
        <v>194</v>
      </c>
      <c r="BF238" s="187">
        <f t="shared" si="322"/>
        <v>194</v>
      </c>
      <c r="BG238" s="187"/>
      <c r="BH238" s="187"/>
      <c r="BI238" s="187">
        <f>ROUND(IF(OR(M238=0,AY238="DATO NO DISPONIBLE"),0,AY238*M238*($BD$7+1)),0)</f>
        <v>194</v>
      </c>
      <c r="BJ238" s="187">
        <f t="shared" si="298"/>
        <v>194</v>
      </c>
      <c r="BK238" s="187">
        <f t="shared" si="299"/>
        <v>194</v>
      </c>
      <c r="BL238" s="187"/>
      <c r="BM238" s="187"/>
      <c r="BN238" s="188">
        <f>BD238*AM238</f>
        <v>10884564</v>
      </c>
      <c r="BO238" s="188">
        <f t="shared" si="300"/>
        <v>12135476</v>
      </c>
      <c r="BP238" s="188">
        <f t="shared" si="301"/>
        <v>18029972</v>
      </c>
      <c r="BQ238" s="188">
        <f t="shared" si="302"/>
        <v>0</v>
      </c>
      <c r="BR238" s="188">
        <f t="shared" si="303"/>
        <v>0</v>
      </c>
      <c r="BS238" s="188">
        <f t="shared" si="287"/>
        <v>41050012</v>
      </c>
      <c r="BT238" s="188">
        <f t="shared" si="288"/>
        <v>10884564</v>
      </c>
      <c r="BU238" s="188">
        <f t="shared" si="289"/>
        <v>12135476</v>
      </c>
      <c r="BV238" s="188">
        <f t="shared" si="290"/>
        <v>18029972</v>
      </c>
      <c r="BW238" s="188">
        <f t="shared" si="291"/>
        <v>0</v>
      </c>
      <c r="BX238" s="188">
        <f t="shared" si="292"/>
        <v>0</v>
      </c>
      <c r="BY238" s="188">
        <f t="shared" si="293"/>
        <v>41050012</v>
      </c>
      <c r="BZ238" s="305">
        <f>IF(COT_PRECALCULOS!$D$24="Precios Iva Incluído",BI238,BD238)</f>
        <v>194</v>
      </c>
      <c r="CA238" s="305">
        <f>IF(COT_PRECALCULOS!$D$24="Precios Iva Incluído",BJ238,BE238)</f>
        <v>194</v>
      </c>
      <c r="CB238" s="305">
        <f>IF(COT_PRECALCULOS!$D$24="Precios Iva Incluído",BK238,BF238)</f>
        <v>194</v>
      </c>
      <c r="CC238" s="305">
        <f>IF(COT_PRECALCULOS!$D$24="Precios Iva Incluído",BL238,BG238)</f>
        <v>0</v>
      </c>
      <c r="CD238" s="305">
        <f>IF(COT_PRECALCULOS!$D$24="Precios Iva Incluído",BM238,BH238)</f>
        <v>0</v>
      </c>
      <c r="CE238" s="305">
        <f>IF(COT_PRECALCULOS!$D$24="Precios Iva Incluído",BT238,BN238)</f>
        <v>10884564</v>
      </c>
      <c r="CF238" s="305">
        <f>IF(COT_PRECALCULOS!$D$24="Precios Iva Incluído",BU238,BO238)</f>
        <v>12135476</v>
      </c>
      <c r="CG238" s="305">
        <f>IF(COT_PRECALCULOS!$D$24="Precios Iva Incluído",BV238,BP238)</f>
        <v>18029972</v>
      </c>
      <c r="CH238" s="305">
        <f>IF(COT_PRECALCULOS!$D$24="Precios Iva Incluído",BW238,BQ238)</f>
        <v>0</v>
      </c>
      <c r="CI238" s="305">
        <f>IF(COT_PRECALCULOS!$D$24="Precios Iva Incluído",BX238,BR238)</f>
        <v>0</v>
      </c>
    </row>
    <row r="239" spans="1:87">
      <c r="A239" s="182" t="s">
        <v>102</v>
      </c>
      <c r="B239" s="182" t="s">
        <v>126</v>
      </c>
      <c r="C239" s="189" t="str">
        <f t="shared" si="282"/>
        <v>F_SE6</v>
      </c>
      <c r="D239" s="189" t="str">
        <f t="shared" si="283"/>
        <v>43_S_</v>
      </c>
      <c r="E239" s="190" t="s">
        <v>1</v>
      </c>
      <c r="F239" s="190" t="s">
        <v>1</v>
      </c>
      <c r="G239" s="189" t="s">
        <v>35</v>
      </c>
      <c r="H239" s="190"/>
      <c r="I239" s="190" t="s">
        <v>60</v>
      </c>
      <c r="J239" s="190">
        <v>43</v>
      </c>
      <c r="K239" s="190" t="s">
        <v>62</v>
      </c>
      <c r="L239" s="189" t="s">
        <v>9</v>
      </c>
      <c r="M239" s="211">
        <v>100</v>
      </c>
      <c r="N239" s="211">
        <v>100</v>
      </c>
      <c r="O239" s="211">
        <v>100</v>
      </c>
      <c r="P239" s="190"/>
      <c r="Q239" s="190"/>
      <c r="R239" s="190"/>
      <c r="S239" s="388">
        <v>5</v>
      </c>
      <c r="T239" s="388">
        <f>$S239</f>
        <v>5</v>
      </c>
      <c r="U239" s="388">
        <v>0</v>
      </c>
      <c r="V239" s="388">
        <v>0</v>
      </c>
      <c r="W239" s="387"/>
      <c r="X239" s="387"/>
      <c r="Y239" s="184">
        <f t="shared" si="294"/>
        <v>28053</v>
      </c>
      <c r="Z239" s="184">
        <v>0</v>
      </c>
      <c r="AA239" s="184">
        <v>0</v>
      </c>
      <c r="AB239" s="184">
        <f t="shared" si="315"/>
        <v>0</v>
      </c>
      <c r="AC239" s="184">
        <f t="shared" si="316"/>
        <v>0</v>
      </c>
      <c r="AD239" s="184">
        <f t="shared" si="295"/>
        <v>28053</v>
      </c>
      <c r="AE239" s="385">
        <f t="shared" si="307"/>
        <v>0</v>
      </c>
      <c r="AF239" s="385">
        <f>$AE239</f>
        <v>0</v>
      </c>
      <c r="AG239" s="385">
        <f t="shared" si="330"/>
        <v>0</v>
      </c>
      <c r="AH239" s="385">
        <f t="shared" si="330"/>
        <v>0</v>
      </c>
      <c r="AI239" s="185">
        <f t="shared" si="296"/>
        <v>74</v>
      </c>
      <c r="AJ239" s="185">
        <f t="shared" si="309"/>
        <v>433</v>
      </c>
      <c r="AK239" s="185">
        <f t="shared" si="310"/>
        <v>683</v>
      </c>
      <c r="AL239" s="185">
        <f t="shared" si="297"/>
        <v>1190</v>
      </c>
      <c r="AM239" s="173">
        <f t="shared" si="331"/>
        <v>140265</v>
      </c>
      <c r="AN239" s="173">
        <f t="shared" si="318"/>
        <v>0</v>
      </c>
      <c r="AO239" s="173">
        <f t="shared" si="319"/>
        <v>0</v>
      </c>
      <c r="AP239" s="173">
        <f t="shared" si="284"/>
        <v>0</v>
      </c>
      <c r="AQ239" s="173">
        <f t="shared" si="285"/>
        <v>0</v>
      </c>
      <c r="AR239" s="173">
        <f t="shared" si="286"/>
        <v>140265</v>
      </c>
      <c r="AS239" s="186" t="s">
        <v>1365</v>
      </c>
      <c r="AT239" s="300">
        <f t="shared" si="329"/>
        <v>1.5892500000000001</v>
      </c>
      <c r="AU239" s="300">
        <f t="shared" si="329"/>
        <v>1.5892500000000001</v>
      </c>
      <c r="AV239" s="300">
        <f t="shared" si="329"/>
        <v>1.5892500000000001</v>
      </c>
      <c r="AW239" s="300">
        <f t="shared" si="329"/>
        <v>1.5892500000000001</v>
      </c>
      <c r="AX239" s="300">
        <f t="shared" si="329"/>
        <v>1.5892500000000001</v>
      </c>
      <c r="AY239" s="301">
        <f t="shared" si="332"/>
        <v>1.5892500000000001</v>
      </c>
      <c r="AZ239" s="301">
        <f t="shared" si="332"/>
        <v>1.5892500000000001</v>
      </c>
      <c r="BA239" s="301">
        <f t="shared" si="332"/>
        <v>1.5892500000000001</v>
      </c>
      <c r="BB239" s="301">
        <f t="shared" si="332"/>
        <v>1.5892500000000001</v>
      </c>
      <c r="BC239" s="301">
        <f t="shared" si="332"/>
        <v>1.5892500000000001</v>
      </c>
      <c r="BD239" s="187">
        <f>ROUND(IF(OR(M239=0,AT239="DATO NO DISPONIBLE"),"",AT239*M239*($BD$7+1)),0)</f>
        <v>170</v>
      </c>
      <c r="BE239" s="187">
        <f t="shared" si="321"/>
        <v>170</v>
      </c>
      <c r="BF239" s="187">
        <f t="shared" si="322"/>
        <v>170</v>
      </c>
      <c r="BG239" s="187"/>
      <c r="BH239" s="187"/>
      <c r="BI239" s="187">
        <f>ROUND(IF(OR(M239=0,AY239="DATO NO DISPONIBLE"),0,AY239*M239*($BD$7+1)),0)</f>
        <v>170</v>
      </c>
      <c r="BJ239" s="187">
        <f t="shared" si="298"/>
        <v>170</v>
      </c>
      <c r="BK239" s="187">
        <f t="shared" si="299"/>
        <v>170</v>
      </c>
      <c r="BL239" s="187"/>
      <c r="BM239" s="187"/>
      <c r="BN239" s="188">
        <f>BD239*AM239</f>
        <v>23845050</v>
      </c>
      <c r="BO239" s="188">
        <f t="shared" si="300"/>
        <v>0</v>
      </c>
      <c r="BP239" s="188">
        <f t="shared" si="301"/>
        <v>0</v>
      </c>
      <c r="BQ239" s="188">
        <f t="shared" si="302"/>
        <v>0</v>
      </c>
      <c r="BR239" s="188">
        <f t="shared" si="303"/>
        <v>0</v>
      </c>
      <c r="BS239" s="188">
        <f t="shared" si="287"/>
        <v>23845050</v>
      </c>
      <c r="BT239" s="188">
        <f t="shared" si="288"/>
        <v>23845050</v>
      </c>
      <c r="BU239" s="188">
        <f t="shared" si="289"/>
        <v>0</v>
      </c>
      <c r="BV239" s="188">
        <f t="shared" si="290"/>
        <v>0</v>
      </c>
      <c r="BW239" s="188">
        <f t="shared" si="291"/>
        <v>0</v>
      </c>
      <c r="BX239" s="188">
        <f t="shared" si="292"/>
        <v>0</v>
      </c>
      <c r="BY239" s="188">
        <f t="shared" si="293"/>
        <v>23845050</v>
      </c>
      <c r="BZ239" s="305">
        <f>IF(COT_PRECALCULOS!$D$24="Precios Iva Incluído",BI239,BD239)</f>
        <v>170</v>
      </c>
      <c r="CA239" s="305">
        <f>IF(COT_PRECALCULOS!$D$24="Precios Iva Incluído",BJ239,BE239)</f>
        <v>170</v>
      </c>
      <c r="CB239" s="305">
        <f>IF(COT_PRECALCULOS!$D$24="Precios Iva Incluído",BK239,BF239)</f>
        <v>170</v>
      </c>
      <c r="CC239" s="305">
        <f>IF(COT_PRECALCULOS!$D$24="Precios Iva Incluído",BL239,BG239)</f>
        <v>0</v>
      </c>
      <c r="CD239" s="305">
        <f>IF(COT_PRECALCULOS!$D$24="Precios Iva Incluído",BM239,BH239)</f>
        <v>0</v>
      </c>
      <c r="CE239" s="305">
        <f>IF(COT_PRECALCULOS!$D$24="Precios Iva Incluído",BT239,BN239)</f>
        <v>23845050</v>
      </c>
      <c r="CF239" s="305">
        <f>IF(COT_PRECALCULOS!$D$24="Precios Iva Incluído",BU239,BO239)</f>
        <v>0</v>
      </c>
      <c r="CG239" s="305">
        <f>IF(COT_PRECALCULOS!$D$24="Precios Iva Incluído",BV239,BP239)</f>
        <v>0</v>
      </c>
      <c r="CH239" s="305">
        <f>IF(COT_PRECALCULOS!$D$24="Precios Iva Incluído",BW239,BQ239)</f>
        <v>0</v>
      </c>
      <c r="CI239" s="305">
        <f>IF(COT_PRECALCULOS!$D$24="Precios Iva Incluído",BX239,BR239)</f>
        <v>0</v>
      </c>
    </row>
    <row r="240" spans="1:87">
      <c r="A240" s="182" t="s">
        <v>102</v>
      </c>
      <c r="B240" s="182" t="s">
        <v>126</v>
      </c>
      <c r="C240" s="189" t="str">
        <f t="shared" si="282"/>
        <v>F_SE6</v>
      </c>
      <c r="D240" s="189" t="str">
        <f t="shared" si="283"/>
        <v>46_S_</v>
      </c>
      <c r="E240" s="190" t="s">
        <v>1</v>
      </c>
      <c r="F240" s="190" t="s">
        <v>1</v>
      </c>
      <c r="G240" s="189" t="s">
        <v>35</v>
      </c>
      <c r="H240" s="190"/>
      <c r="I240" s="190" t="s">
        <v>63</v>
      </c>
      <c r="J240" s="190">
        <v>46</v>
      </c>
      <c r="K240" s="190" t="s">
        <v>64</v>
      </c>
      <c r="L240" s="189" t="s">
        <v>9</v>
      </c>
      <c r="M240" s="211">
        <v>100</v>
      </c>
      <c r="N240" s="211">
        <v>100</v>
      </c>
      <c r="O240" s="211">
        <v>100</v>
      </c>
      <c r="P240" s="190"/>
      <c r="Q240" s="190"/>
      <c r="R240" s="190"/>
      <c r="S240" s="385">
        <f t="shared" ref="S240:S246" si="333">COUNTIF(CAL_SEGUNDA_ENTREGA_LAV_FRUTA,CONCATENATE(G240,"_",J240))</f>
        <v>2</v>
      </c>
      <c r="T240" s="385">
        <f>$S240</f>
        <v>2</v>
      </c>
      <c r="U240" s="385">
        <f t="shared" ref="U240:V246" si="334">$S240</f>
        <v>2</v>
      </c>
      <c r="V240" s="385">
        <f t="shared" si="334"/>
        <v>2</v>
      </c>
      <c r="W240" s="387"/>
      <c r="X240" s="387"/>
      <c r="Y240" s="184">
        <f t="shared" si="294"/>
        <v>28053</v>
      </c>
      <c r="Z240" s="184">
        <f t="shared" ref="Z240:Z246" si="335">IF(N240&lt;&gt;0,VLOOKUP(A240,FRE_CANTIDADES_DIARIAS_SUMINISTROS,5,FALSE),0)</f>
        <v>31277</v>
      </c>
      <c r="AA240" s="184">
        <f t="shared" ref="AA240:AA246" si="336">IF(O240&lt;&gt;0,VLOOKUP(A240,FRE_CANTIDADES_DIARIAS_SUMINISTROS,6,FALSE),0)</f>
        <v>46469</v>
      </c>
      <c r="AB240" s="184">
        <f t="shared" si="315"/>
        <v>0</v>
      </c>
      <c r="AC240" s="184">
        <f t="shared" si="316"/>
        <v>0</v>
      </c>
      <c r="AD240" s="184">
        <f t="shared" si="295"/>
        <v>105799</v>
      </c>
      <c r="AE240" s="183">
        <f t="shared" si="307"/>
        <v>0</v>
      </c>
      <c r="AF240" s="385">
        <f>$AE240</f>
        <v>0</v>
      </c>
      <c r="AG240" s="385">
        <f t="shared" si="330"/>
        <v>0</v>
      </c>
      <c r="AH240" s="385">
        <f t="shared" si="330"/>
        <v>0</v>
      </c>
      <c r="AI240" s="185">
        <f t="shared" si="296"/>
        <v>74</v>
      </c>
      <c r="AJ240" s="185">
        <f t="shared" si="309"/>
        <v>433</v>
      </c>
      <c r="AK240" s="185">
        <f t="shared" si="310"/>
        <v>683</v>
      </c>
      <c r="AL240" s="185">
        <f t="shared" si="297"/>
        <v>1190</v>
      </c>
      <c r="AM240" s="173">
        <f t="shared" si="331"/>
        <v>56106</v>
      </c>
      <c r="AN240" s="173">
        <f t="shared" si="318"/>
        <v>62554</v>
      </c>
      <c r="AO240" s="173">
        <f t="shared" si="319"/>
        <v>92938</v>
      </c>
      <c r="AP240" s="173">
        <f t="shared" si="284"/>
        <v>0</v>
      </c>
      <c r="AQ240" s="173">
        <f t="shared" si="285"/>
        <v>0</v>
      </c>
      <c r="AR240" s="173">
        <f t="shared" si="286"/>
        <v>211598</v>
      </c>
      <c r="AS240" s="186" t="s">
        <v>1365</v>
      </c>
      <c r="AT240" s="300">
        <f t="shared" si="329"/>
        <v>3.7214999999999998</v>
      </c>
      <c r="AU240" s="300">
        <f t="shared" si="329"/>
        <v>3.7214999999999998</v>
      </c>
      <c r="AV240" s="300">
        <f t="shared" si="329"/>
        <v>3.7214999999999998</v>
      </c>
      <c r="AW240" s="300">
        <f t="shared" si="329"/>
        <v>3.7214999999999998</v>
      </c>
      <c r="AX240" s="300">
        <f t="shared" si="329"/>
        <v>3.7214999999999998</v>
      </c>
      <c r="AY240" s="301">
        <f t="shared" si="332"/>
        <v>3.7214999999999998</v>
      </c>
      <c r="AZ240" s="301">
        <f t="shared" si="332"/>
        <v>3.7214999999999998</v>
      </c>
      <c r="BA240" s="301">
        <f t="shared" si="332"/>
        <v>3.7214999999999998</v>
      </c>
      <c r="BB240" s="301">
        <f t="shared" si="332"/>
        <v>3.7214999999999998</v>
      </c>
      <c r="BC240" s="301">
        <f t="shared" si="332"/>
        <v>3.7214999999999998</v>
      </c>
      <c r="BD240" s="187">
        <f>ROUND(IF(OR(M240=0,AT240="DATO NO DISPONIBLE"),"",AT240*M240*($BD$7+1)),0)</f>
        <v>398</v>
      </c>
      <c r="BE240" s="187">
        <f t="shared" si="321"/>
        <v>398</v>
      </c>
      <c r="BF240" s="187">
        <f t="shared" si="322"/>
        <v>398</v>
      </c>
      <c r="BG240" s="187"/>
      <c r="BH240" s="187"/>
      <c r="BI240" s="187">
        <f>ROUND(IF(OR(M240=0,AY240="DATO NO DISPONIBLE"),0,AY240*M240*($BD$7+1)),0)</f>
        <v>398</v>
      </c>
      <c r="BJ240" s="187">
        <f t="shared" si="298"/>
        <v>398</v>
      </c>
      <c r="BK240" s="187">
        <f t="shared" si="299"/>
        <v>398</v>
      </c>
      <c r="BL240" s="187"/>
      <c r="BM240" s="187"/>
      <c r="BN240" s="188">
        <f>BD240*AM240</f>
        <v>22330188</v>
      </c>
      <c r="BO240" s="188">
        <f t="shared" si="300"/>
        <v>24896492</v>
      </c>
      <c r="BP240" s="188">
        <f t="shared" si="301"/>
        <v>36989324</v>
      </c>
      <c r="BQ240" s="188">
        <f t="shared" si="302"/>
        <v>0</v>
      </c>
      <c r="BR240" s="188">
        <f t="shared" si="303"/>
        <v>0</v>
      </c>
      <c r="BS240" s="188">
        <f t="shared" si="287"/>
        <v>84216004</v>
      </c>
      <c r="BT240" s="188">
        <f t="shared" si="288"/>
        <v>22330188</v>
      </c>
      <c r="BU240" s="188">
        <f t="shared" si="289"/>
        <v>24896492</v>
      </c>
      <c r="BV240" s="188">
        <f t="shared" si="290"/>
        <v>36989324</v>
      </c>
      <c r="BW240" s="188">
        <f t="shared" si="291"/>
        <v>0</v>
      </c>
      <c r="BX240" s="188">
        <f t="shared" si="292"/>
        <v>0</v>
      </c>
      <c r="BY240" s="188">
        <f t="shared" si="293"/>
        <v>84216004</v>
      </c>
      <c r="BZ240" s="305">
        <f>IF(COT_PRECALCULOS!$D$24="Precios Iva Incluído",BI240,BD240)</f>
        <v>398</v>
      </c>
      <c r="CA240" s="305">
        <f>IF(COT_PRECALCULOS!$D$24="Precios Iva Incluído",BJ240,BE240)</f>
        <v>398</v>
      </c>
      <c r="CB240" s="305">
        <f>IF(COT_PRECALCULOS!$D$24="Precios Iva Incluído",BK240,BF240)</f>
        <v>398</v>
      </c>
      <c r="CC240" s="305">
        <f>IF(COT_PRECALCULOS!$D$24="Precios Iva Incluído",BL240,BG240)</f>
        <v>0</v>
      </c>
      <c r="CD240" s="305">
        <f>IF(COT_PRECALCULOS!$D$24="Precios Iva Incluído",BM240,BH240)</f>
        <v>0</v>
      </c>
      <c r="CE240" s="305">
        <f>IF(COT_PRECALCULOS!$D$24="Precios Iva Incluído",BT240,BN240)</f>
        <v>22330188</v>
      </c>
      <c r="CF240" s="305">
        <f>IF(COT_PRECALCULOS!$D$24="Precios Iva Incluído",BU240,BO240)</f>
        <v>24896492</v>
      </c>
      <c r="CG240" s="305">
        <f>IF(COT_PRECALCULOS!$D$24="Precios Iva Incluído",BV240,BP240)</f>
        <v>36989324</v>
      </c>
      <c r="CH240" s="305">
        <f>IF(COT_PRECALCULOS!$D$24="Precios Iva Incluído",BW240,BQ240)</f>
        <v>0</v>
      </c>
      <c r="CI240" s="305">
        <f>IF(COT_PRECALCULOS!$D$24="Precios Iva Incluído",BX240,BR240)</f>
        <v>0</v>
      </c>
    </row>
    <row r="241" spans="1:87">
      <c r="A241" s="182" t="s">
        <v>102</v>
      </c>
      <c r="B241" s="182" t="s">
        <v>126</v>
      </c>
      <c r="C241" s="189" t="str">
        <f t="shared" si="282"/>
        <v>F_SE6</v>
      </c>
      <c r="D241" s="189" t="str">
        <f t="shared" si="283"/>
        <v>58_S_</v>
      </c>
      <c r="E241" s="190" t="s">
        <v>1</v>
      </c>
      <c r="F241" s="190" t="s">
        <v>1</v>
      </c>
      <c r="G241" s="189" t="s">
        <v>35</v>
      </c>
      <c r="H241" s="190"/>
      <c r="I241" s="190" t="s">
        <v>65</v>
      </c>
      <c r="J241" s="190">
        <v>58</v>
      </c>
      <c r="K241" s="190" t="s">
        <v>67</v>
      </c>
      <c r="L241" s="189" t="s">
        <v>9</v>
      </c>
      <c r="M241" s="211">
        <v>100</v>
      </c>
      <c r="N241" s="211">
        <v>100</v>
      </c>
      <c r="O241" s="211">
        <v>100</v>
      </c>
      <c r="P241" s="190"/>
      <c r="Q241" s="190"/>
      <c r="R241" s="211"/>
      <c r="S241" s="183">
        <f t="shared" si="333"/>
        <v>3</v>
      </c>
      <c r="T241" s="385">
        <f>$S241</f>
        <v>3</v>
      </c>
      <c r="U241" s="385">
        <f t="shared" si="334"/>
        <v>3</v>
      </c>
      <c r="V241" s="385">
        <f t="shared" si="334"/>
        <v>3</v>
      </c>
      <c r="W241" s="387"/>
      <c r="X241" s="387"/>
      <c r="Y241" s="184">
        <f t="shared" si="294"/>
        <v>28053</v>
      </c>
      <c r="Z241" s="184">
        <f t="shared" si="335"/>
        <v>31277</v>
      </c>
      <c r="AA241" s="184">
        <f t="shared" si="336"/>
        <v>46469</v>
      </c>
      <c r="AB241" s="184">
        <f t="shared" si="315"/>
        <v>0</v>
      </c>
      <c r="AC241" s="184">
        <f t="shared" si="316"/>
        <v>0</v>
      </c>
      <c r="AD241" s="184">
        <f t="shared" si="295"/>
        <v>105799</v>
      </c>
      <c r="AE241" s="183">
        <f t="shared" si="307"/>
        <v>0</v>
      </c>
      <c r="AF241" s="385">
        <f>$AE241</f>
        <v>0</v>
      </c>
      <c r="AG241" s="385">
        <f t="shared" si="330"/>
        <v>0</v>
      </c>
      <c r="AH241" s="385">
        <f t="shared" si="330"/>
        <v>0</v>
      </c>
      <c r="AI241" s="185">
        <f t="shared" si="296"/>
        <v>74</v>
      </c>
      <c r="AJ241" s="185">
        <f t="shared" si="309"/>
        <v>433</v>
      </c>
      <c r="AK241" s="185">
        <f t="shared" si="310"/>
        <v>683</v>
      </c>
      <c r="AL241" s="185">
        <f t="shared" si="297"/>
        <v>1190</v>
      </c>
      <c r="AM241" s="173">
        <f t="shared" si="331"/>
        <v>84159</v>
      </c>
      <c r="AN241" s="173">
        <f t="shared" si="318"/>
        <v>93831</v>
      </c>
      <c r="AO241" s="173">
        <f t="shared" si="319"/>
        <v>139407</v>
      </c>
      <c r="AP241" s="173">
        <f t="shared" si="284"/>
        <v>0</v>
      </c>
      <c r="AQ241" s="173">
        <f t="shared" si="285"/>
        <v>0</v>
      </c>
      <c r="AR241" s="173">
        <f t="shared" si="286"/>
        <v>317397</v>
      </c>
      <c r="AS241" s="186" t="s">
        <v>1365</v>
      </c>
      <c r="AT241" s="300">
        <f t="shared" ref="AT241:AX250" si="337">IF(ISERROR(IF(ISERROR(MATCH(CONCATENATE($J241,"_",AT$1),COT_PRE_CODIGO_ALIMENTOS,0)),IF(ISERROR(MATCH(CONCATENATE($J241,"_",AT$2),COT_PRE_CODIGO_ALIMENTOS,0)),IF(ISERROR(MATCH(CONCATENATE($J241,"_",AT$3),COT_PRE_CODIGO_ALIMENTOS,0)),IF(ISERROR(MATCH(CONCATENATE($J241,"_",AT$4),COT_PRE_CODIGO_ALIMENTOS,0)),IF(ISERROR(MATCH(CONCATENATE($J241,"_",AT$5),COT_PRE_CODIGO_ALIMENTOS,0)),IF(ISERROR(MATCH(CONCATENATE($J241,"_",AT$6),COT_PRE_CODIGO_ALIMENTOS,0)),IF(ISERROR(MATCH(CONCATENATE($J241,"_",AT$7),COT_PRE_CODIGO_ALIMENTOS,0)),IF(ISERROR(VLOOKUP($J241,COT_PRE_ALIMENTOS,AT$8,FALSE)),"DATO NO DISPONIBLE",VLOOKUP($J241,COT_PRE_ALIMENTOS,AT$8,FALSE)),VLOOKUP(CONCATENATE($J241,"_",AT$7),COT_PRE_ALIMENTOS,AT$8,FALSE)),VLOOKUP(CONCATENATE($J241,"_",AT$6),COT_PRE_ALIMENTOS,AT$8,FALSE)),VLOOKUP(CONCATENATE($J241,"_",AT$5),COT_PRE_ALIMENTOS,AT$8,FALSE)),VLOOKUP(CONCATENATE($J241,"_",AT$4),COT_PRE_ALIMENTOS,AT$8,FALSE)),VLOOKUP(CONCATENATE($J241,"_",AT$3),COT_PRE_ALIMENTOS,AT$8,FALSE)),VLOOKUP(CONCATENATE($J241,"_",AT$2),COT_PRE_ALIMENTOS,AT$8,FALSE)),VLOOKUP(CONCATENATE($J241,"_",AT$1),COT_PRE_ALIMENTOS,AT$8,FALSE))),"DATO NO DISPONIBLE",IF(ISERROR(MATCH(CONCATENATE($J241,"_",AT$1),COT_PRE_CODIGO_ALIMENTOS,0)),IF(ISERROR(MATCH(CONCATENATE($J241,"_",AT$2),COT_PRE_CODIGO_ALIMENTOS,0)),IF(ISERROR(MATCH(CONCATENATE($J241,"_",AT$3),COT_PRE_CODIGO_ALIMENTOS,0)),IF(ISERROR(MATCH(CONCATENATE($J241,"_",AT$4),COT_PRE_CODIGO_ALIMENTOS,0)),IF(ISERROR(MATCH(CONCATENATE($J241,"_",AT$5),COT_PRE_CODIGO_ALIMENTOS,0)),IF(ISERROR(MATCH(CONCATENATE($J241,"_",AT$6),COT_PRE_CODIGO_ALIMENTOS,0)),IF(ISERROR(MATCH(CONCATENATE($J241,"_",AT$7),COT_PRE_CODIGO_ALIMENTOS,0)),IF(ISERROR(VLOOKUP($J241,COT_PRE_ALIMENTOS,AT$8,FALSE)),"DATO NO DISPONIBLE",VLOOKUP($J241,COT_PRE_ALIMENTOS,AT$8,FALSE)),VLOOKUP(CONCATENATE($J241,"_",AT$7),COT_PRE_ALIMENTOS,AT$8,FALSE)),VLOOKUP(CONCATENATE($J241,"_",AT$6),COT_PRE_ALIMENTOS,AT$8,FALSE)),VLOOKUP(CONCATENATE($J241,"_",AT$5),COT_PRE_ALIMENTOS,AT$8,FALSE)),VLOOKUP(CONCATENATE($J241,"_",AT$4),COT_PRE_ALIMENTOS,AT$8,FALSE)),VLOOKUP(CONCATENATE($J241,"_",AT$3),COT_PRE_ALIMENTOS,AT$8,FALSE)),VLOOKUP(CONCATENATE($J241,"_",AT$2),COT_PRE_ALIMENTOS,AT$8,FALSE)),VLOOKUP(CONCATENATE($J241,"_",AT$1),COT_PRE_ALIMENTOS,AT$8,FALSE)))</f>
        <v>1.4384999999999999</v>
      </c>
      <c r="AU241" s="300">
        <f t="shared" si="337"/>
        <v>1.4384999999999999</v>
      </c>
      <c r="AV241" s="300">
        <f t="shared" si="337"/>
        <v>1.4384999999999999</v>
      </c>
      <c r="AW241" s="300">
        <f t="shared" si="337"/>
        <v>1.4384999999999999</v>
      </c>
      <c r="AX241" s="300">
        <f t="shared" si="337"/>
        <v>1.4384999999999999</v>
      </c>
      <c r="AY241" s="301">
        <f t="shared" si="332"/>
        <v>1.4384999999999999</v>
      </c>
      <c r="AZ241" s="301">
        <f t="shared" si="332"/>
        <v>1.4384999999999999</v>
      </c>
      <c r="BA241" s="301">
        <f t="shared" si="332"/>
        <v>1.4384999999999999</v>
      </c>
      <c r="BB241" s="301">
        <f t="shared" si="332"/>
        <v>1.4384999999999999</v>
      </c>
      <c r="BC241" s="301">
        <f t="shared" si="332"/>
        <v>1.4384999999999999</v>
      </c>
      <c r="BD241" s="187">
        <f>ROUND(IF(OR(M241=0,AT241="DATO NO DISPONIBLE"),"",AT241*M241*($BD$7+1)),0)</f>
        <v>154</v>
      </c>
      <c r="BE241" s="187">
        <f t="shared" si="321"/>
        <v>154</v>
      </c>
      <c r="BF241" s="187">
        <f t="shared" si="322"/>
        <v>154</v>
      </c>
      <c r="BG241" s="187"/>
      <c r="BH241" s="187"/>
      <c r="BI241" s="187">
        <f>ROUND(IF(OR(M241=0,AY241="DATO NO DISPONIBLE"),0,AY241*M241*($BD$7+1)),0)</f>
        <v>154</v>
      </c>
      <c r="BJ241" s="187">
        <f t="shared" si="298"/>
        <v>154</v>
      </c>
      <c r="BK241" s="187">
        <f t="shared" si="299"/>
        <v>154</v>
      </c>
      <c r="BL241" s="187"/>
      <c r="BM241" s="187"/>
      <c r="BN241" s="188">
        <f>BD241*AM241</f>
        <v>12960486</v>
      </c>
      <c r="BO241" s="188">
        <f t="shared" si="300"/>
        <v>14449974</v>
      </c>
      <c r="BP241" s="188">
        <f t="shared" si="301"/>
        <v>21468678</v>
      </c>
      <c r="BQ241" s="188">
        <f t="shared" si="302"/>
        <v>0</v>
      </c>
      <c r="BR241" s="188">
        <f t="shared" si="303"/>
        <v>0</v>
      </c>
      <c r="BS241" s="188">
        <f t="shared" si="287"/>
        <v>48879138</v>
      </c>
      <c r="BT241" s="188">
        <f t="shared" si="288"/>
        <v>12960486</v>
      </c>
      <c r="BU241" s="188">
        <f t="shared" si="289"/>
        <v>14449974</v>
      </c>
      <c r="BV241" s="188">
        <f t="shared" si="290"/>
        <v>21468678</v>
      </c>
      <c r="BW241" s="188">
        <f t="shared" si="291"/>
        <v>0</v>
      </c>
      <c r="BX241" s="188">
        <f t="shared" si="292"/>
        <v>0</v>
      </c>
      <c r="BY241" s="188">
        <f t="shared" si="293"/>
        <v>48879138</v>
      </c>
      <c r="BZ241" s="305">
        <f>IF(COT_PRECALCULOS!$D$24="Precios Iva Incluído",BI241,BD241)</f>
        <v>154</v>
      </c>
      <c r="CA241" s="305">
        <f>IF(COT_PRECALCULOS!$D$24="Precios Iva Incluído",BJ241,BE241)</f>
        <v>154</v>
      </c>
      <c r="CB241" s="305">
        <f>IF(COT_PRECALCULOS!$D$24="Precios Iva Incluído",BK241,BF241)</f>
        <v>154</v>
      </c>
      <c r="CC241" s="305">
        <f>IF(COT_PRECALCULOS!$D$24="Precios Iva Incluído",BL241,BG241)</f>
        <v>0</v>
      </c>
      <c r="CD241" s="305">
        <f>IF(COT_PRECALCULOS!$D$24="Precios Iva Incluído",BM241,BH241)</f>
        <v>0</v>
      </c>
      <c r="CE241" s="305">
        <f>IF(COT_PRECALCULOS!$D$24="Precios Iva Incluído",BT241,BN241)</f>
        <v>12960486</v>
      </c>
      <c r="CF241" s="305">
        <f>IF(COT_PRECALCULOS!$D$24="Precios Iva Incluído",BU241,BO241)</f>
        <v>14449974</v>
      </c>
      <c r="CG241" s="305">
        <f>IF(COT_PRECALCULOS!$D$24="Precios Iva Incluído",BV241,BP241)</f>
        <v>21468678</v>
      </c>
      <c r="CH241" s="305">
        <f>IF(COT_PRECALCULOS!$D$24="Precios Iva Incluído",BW241,BQ241)</f>
        <v>0</v>
      </c>
      <c r="CI241" s="305">
        <f>IF(COT_PRECALCULOS!$D$24="Precios Iva Incluído",BX241,BR241)</f>
        <v>0</v>
      </c>
    </row>
    <row r="242" spans="1:87">
      <c r="A242" s="182" t="s">
        <v>102</v>
      </c>
      <c r="B242" s="182" t="s">
        <v>126</v>
      </c>
      <c r="C242" s="189" t="str">
        <f t="shared" si="282"/>
        <v>F_SE6</v>
      </c>
      <c r="D242" s="189" t="str">
        <f t="shared" si="283"/>
        <v>59_S_</v>
      </c>
      <c r="E242" s="190" t="s">
        <v>1</v>
      </c>
      <c r="F242" s="190" t="s">
        <v>1</v>
      </c>
      <c r="G242" s="189" t="s">
        <v>35</v>
      </c>
      <c r="H242" s="190"/>
      <c r="I242" s="190" t="s">
        <v>66</v>
      </c>
      <c r="J242" s="190">
        <v>59</v>
      </c>
      <c r="K242" s="190" t="s">
        <v>99</v>
      </c>
      <c r="L242" s="189" t="s">
        <v>9</v>
      </c>
      <c r="M242" s="386">
        <v>0</v>
      </c>
      <c r="N242" s="211">
        <v>100</v>
      </c>
      <c r="O242" s="211">
        <v>100</v>
      </c>
      <c r="P242" s="190"/>
      <c r="Q242" s="190"/>
      <c r="R242" s="190" t="s">
        <v>73</v>
      </c>
      <c r="S242" s="183">
        <f t="shared" si="333"/>
        <v>2</v>
      </c>
      <c r="T242" s="386">
        <v>0</v>
      </c>
      <c r="U242" s="385">
        <f t="shared" si="334"/>
        <v>2</v>
      </c>
      <c r="V242" s="385">
        <f t="shared" si="334"/>
        <v>2</v>
      </c>
      <c r="W242" s="387"/>
      <c r="X242" s="387"/>
      <c r="Y242" s="184">
        <f t="shared" si="294"/>
        <v>0</v>
      </c>
      <c r="Z242" s="184">
        <f t="shared" si="335"/>
        <v>31277</v>
      </c>
      <c r="AA242" s="184">
        <f t="shared" si="336"/>
        <v>46469</v>
      </c>
      <c r="AB242" s="184">
        <f t="shared" si="315"/>
        <v>0</v>
      </c>
      <c r="AC242" s="184">
        <f t="shared" si="316"/>
        <v>0</v>
      </c>
      <c r="AD242" s="184">
        <f t="shared" si="295"/>
        <v>77746</v>
      </c>
      <c r="AE242" s="183">
        <f t="shared" si="307"/>
        <v>0</v>
      </c>
      <c r="AF242" s="386">
        <v>0</v>
      </c>
      <c r="AG242" s="385">
        <f t="shared" si="330"/>
        <v>0</v>
      </c>
      <c r="AH242" s="385">
        <f t="shared" si="330"/>
        <v>0</v>
      </c>
      <c r="AI242" s="185">
        <f t="shared" si="296"/>
        <v>0</v>
      </c>
      <c r="AJ242" s="185">
        <f t="shared" si="309"/>
        <v>433</v>
      </c>
      <c r="AK242" s="185">
        <f t="shared" si="310"/>
        <v>683</v>
      </c>
      <c r="AL242" s="185">
        <f t="shared" si="297"/>
        <v>1116</v>
      </c>
      <c r="AM242" s="173">
        <f t="shared" si="331"/>
        <v>0</v>
      </c>
      <c r="AN242" s="173">
        <f t="shared" si="318"/>
        <v>62554</v>
      </c>
      <c r="AO242" s="173">
        <f t="shared" si="319"/>
        <v>92938</v>
      </c>
      <c r="AP242" s="173">
        <f t="shared" si="284"/>
        <v>0</v>
      </c>
      <c r="AQ242" s="173">
        <f t="shared" si="285"/>
        <v>0</v>
      </c>
      <c r="AR242" s="173">
        <f t="shared" si="286"/>
        <v>155492</v>
      </c>
      <c r="AS242" s="186" t="s">
        <v>1365</v>
      </c>
      <c r="AT242" s="300">
        <f t="shared" si="337"/>
        <v>2.6785000000000001</v>
      </c>
      <c r="AU242" s="300">
        <f t="shared" si="337"/>
        <v>2.6785000000000001</v>
      </c>
      <c r="AV242" s="300">
        <f t="shared" si="337"/>
        <v>2.6785000000000001</v>
      </c>
      <c r="AW242" s="300">
        <f t="shared" si="337"/>
        <v>2.6785000000000001</v>
      </c>
      <c r="AX242" s="300">
        <f t="shared" si="337"/>
        <v>2.6785000000000001</v>
      </c>
      <c r="AY242" s="301">
        <f t="shared" si="332"/>
        <v>2.6785000000000001</v>
      </c>
      <c r="AZ242" s="301">
        <f t="shared" si="332"/>
        <v>2.6785000000000001</v>
      </c>
      <c r="BA242" s="301">
        <f t="shared" si="332"/>
        <v>2.6785000000000001</v>
      </c>
      <c r="BB242" s="301">
        <f t="shared" si="332"/>
        <v>2.6785000000000001</v>
      </c>
      <c r="BC242" s="301">
        <f t="shared" si="332"/>
        <v>2.6785000000000001</v>
      </c>
      <c r="BD242" s="187"/>
      <c r="BE242" s="187">
        <f t="shared" si="321"/>
        <v>286</v>
      </c>
      <c r="BF242" s="187">
        <f t="shared" si="322"/>
        <v>286</v>
      </c>
      <c r="BG242" s="187"/>
      <c r="BH242" s="187"/>
      <c r="BI242" s="187"/>
      <c r="BJ242" s="187">
        <f t="shared" si="298"/>
        <v>286</v>
      </c>
      <c r="BK242" s="187">
        <f t="shared" si="299"/>
        <v>286</v>
      </c>
      <c r="BL242" s="187"/>
      <c r="BM242" s="187"/>
      <c r="BN242" s="188"/>
      <c r="BO242" s="188">
        <f t="shared" si="300"/>
        <v>17890444</v>
      </c>
      <c r="BP242" s="188">
        <f t="shared" si="301"/>
        <v>26580268</v>
      </c>
      <c r="BQ242" s="188">
        <f t="shared" si="302"/>
        <v>0</v>
      </c>
      <c r="BR242" s="188">
        <f t="shared" si="303"/>
        <v>0</v>
      </c>
      <c r="BS242" s="188">
        <f t="shared" si="287"/>
        <v>44470712</v>
      </c>
      <c r="BT242" s="188">
        <f t="shared" si="288"/>
        <v>0</v>
      </c>
      <c r="BU242" s="188">
        <f t="shared" si="289"/>
        <v>17890444</v>
      </c>
      <c r="BV242" s="188">
        <f t="shared" si="290"/>
        <v>26580268</v>
      </c>
      <c r="BW242" s="188">
        <f t="shared" si="291"/>
        <v>0</v>
      </c>
      <c r="BX242" s="188">
        <f t="shared" si="292"/>
        <v>0</v>
      </c>
      <c r="BY242" s="188">
        <f t="shared" si="293"/>
        <v>44470712</v>
      </c>
      <c r="BZ242" s="305">
        <f>IF(COT_PRECALCULOS!$D$24="Precios Iva Incluído",BI242,BD242)</f>
        <v>0</v>
      </c>
      <c r="CA242" s="305">
        <f>IF(COT_PRECALCULOS!$D$24="Precios Iva Incluído",BJ242,BE242)</f>
        <v>286</v>
      </c>
      <c r="CB242" s="305">
        <f>IF(COT_PRECALCULOS!$D$24="Precios Iva Incluído",BK242,BF242)</f>
        <v>286</v>
      </c>
      <c r="CC242" s="305">
        <f>IF(COT_PRECALCULOS!$D$24="Precios Iva Incluído",BL242,BG242)</f>
        <v>0</v>
      </c>
      <c r="CD242" s="305">
        <f>IF(COT_PRECALCULOS!$D$24="Precios Iva Incluído",BM242,BH242)</f>
        <v>0</v>
      </c>
      <c r="CE242" s="305">
        <f>IF(COT_PRECALCULOS!$D$24="Precios Iva Incluído",BT242,BN242)</f>
        <v>0</v>
      </c>
      <c r="CF242" s="305">
        <f>IF(COT_PRECALCULOS!$D$24="Precios Iva Incluído",BU242,BO242)</f>
        <v>17890444</v>
      </c>
      <c r="CG242" s="305">
        <f>IF(COT_PRECALCULOS!$D$24="Precios Iva Incluído",BV242,BP242)</f>
        <v>26580268</v>
      </c>
      <c r="CH242" s="305">
        <f>IF(COT_PRECALCULOS!$D$24="Precios Iva Incluído",BW242,BQ242)</f>
        <v>0</v>
      </c>
      <c r="CI242" s="305">
        <f>IF(COT_PRECALCULOS!$D$24="Precios Iva Incluído",BX242,BR242)</f>
        <v>0</v>
      </c>
    </row>
    <row r="243" spans="1:87">
      <c r="A243" s="182" t="s">
        <v>102</v>
      </c>
      <c r="B243" s="182" t="s">
        <v>126</v>
      </c>
      <c r="C243" s="189" t="str">
        <f t="shared" si="282"/>
        <v>F_SE6</v>
      </c>
      <c r="D243" s="189" t="str">
        <f t="shared" si="283"/>
        <v>69_S_</v>
      </c>
      <c r="E243" s="190" t="s">
        <v>1</v>
      </c>
      <c r="F243" s="190" t="s">
        <v>1</v>
      </c>
      <c r="G243" s="189" t="s">
        <v>35</v>
      </c>
      <c r="H243" s="190"/>
      <c r="I243" s="190" t="s">
        <v>68</v>
      </c>
      <c r="J243" s="190">
        <v>69</v>
      </c>
      <c r="K243" s="190" t="s">
        <v>70</v>
      </c>
      <c r="L243" s="189" t="s">
        <v>9</v>
      </c>
      <c r="M243" s="211">
        <v>100</v>
      </c>
      <c r="N243" s="211">
        <v>100</v>
      </c>
      <c r="O243" s="211">
        <v>100</v>
      </c>
      <c r="P243" s="190"/>
      <c r="Q243" s="190"/>
      <c r="R243" s="190"/>
      <c r="S243" s="183">
        <f t="shared" si="333"/>
        <v>2</v>
      </c>
      <c r="T243" s="385">
        <f>$S243</f>
        <v>2</v>
      </c>
      <c r="U243" s="385">
        <f t="shared" si="334"/>
        <v>2</v>
      </c>
      <c r="V243" s="385">
        <f t="shared" si="334"/>
        <v>2</v>
      </c>
      <c r="W243" s="387"/>
      <c r="X243" s="387"/>
      <c r="Y243" s="184">
        <f t="shared" si="294"/>
        <v>28053</v>
      </c>
      <c r="Z243" s="184">
        <f t="shared" si="335"/>
        <v>31277</v>
      </c>
      <c r="AA243" s="184">
        <f t="shared" si="336"/>
        <v>46469</v>
      </c>
      <c r="AB243" s="184">
        <f t="shared" si="315"/>
        <v>0</v>
      </c>
      <c r="AC243" s="184">
        <f t="shared" si="316"/>
        <v>0</v>
      </c>
      <c r="AD243" s="184">
        <f t="shared" si="295"/>
        <v>105799</v>
      </c>
      <c r="AE243" s="183">
        <f t="shared" si="307"/>
        <v>0</v>
      </c>
      <c r="AF243" s="385">
        <f>$AE243</f>
        <v>0</v>
      </c>
      <c r="AG243" s="385">
        <f t="shared" si="330"/>
        <v>0</v>
      </c>
      <c r="AH243" s="385">
        <f t="shared" si="330"/>
        <v>0</v>
      </c>
      <c r="AI243" s="185">
        <f t="shared" si="296"/>
        <v>74</v>
      </c>
      <c r="AJ243" s="185">
        <f t="shared" si="309"/>
        <v>433</v>
      </c>
      <c r="AK243" s="185">
        <f t="shared" si="310"/>
        <v>683</v>
      </c>
      <c r="AL243" s="185">
        <f t="shared" si="297"/>
        <v>1190</v>
      </c>
      <c r="AM243" s="173">
        <f t="shared" si="331"/>
        <v>56106</v>
      </c>
      <c r="AN243" s="173">
        <f t="shared" si="318"/>
        <v>62554</v>
      </c>
      <c r="AO243" s="173">
        <f t="shared" si="319"/>
        <v>92938</v>
      </c>
      <c r="AP243" s="173">
        <f t="shared" si="284"/>
        <v>0</v>
      </c>
      <c r="AQ243" s="173">
        <f t="shared" si="285"/>
        <v>0</v>
      </c>
      <c r="AR243" s="173">
        <f t="shared" si="286"/>
        <v>211598</v>
      </c>
      <c r="AS243" s="186" t="s">
        <v>1365</v>
      </c>
      <c r="AT243" s="300">
        <f t="shared" si="337"/>
        <v>2.8519999999999999</v>
      </c>
      <c r="AU243" s="300">
        <f t="shared" si="337"/>
        <v>2.8519999999999999</v>
      </c>
      <c r="AV243" s="300">
        <f t="shared" si="337"/>
        <v>2.8519999999999999</v>
      </c>
      <c r="AW243" s="300">
        <f t="shared" si="337"/>
        <v>2.8519999999999999</v>
      </c>
      <c r="AX243" s="300">
        <f t="shared" si="337"/>
        <v>2.8519999999999999</v>
      </c>
      <c r="AY243" s="301">
        <f t="shared" si="332"/>
        <v>2.8519999999999999</v>
      </c>
      <c r="AZ243" s="301">
        <f t="shared" si="332"/>
        <v>2.8519999999999999</v>
      </c>
      <c r="BA243" s="301">
        <f t="shared" si="332"/>
        <v>2.8519999999999999</v>
      </c>
      <c r="BB243" s="301">
        <f t="shared" si="332"/>
        <v>2.8519999999999999</v>
      </c>
      <c r="BC243" s="301">
        <f t="shared" si="332"/>
        <v>2.8519999999999999</v>
      </c>
      <c r="BD243" s="187">
        <f>ROUND(IF(OR(M243=0,AT243="DATO NO DISPONIBLE"),"",AT243*M243*($BD$7+1)),0)</f>
        <v>305</v>
      </c>
      <c r="BE243" s="187">
        <f t="shared" si="321"/>
        <v>305</v>
      </c>
      <c r="BF243" s="187">
        <f t="shared" si="322"/>
        <v>305</v>
      </c>
      <c r="BG243" s="187"/>
      <c r="BH243" s="187"/>
      <c r="BI243" s="187">
        <f>ROUND(IF(OR(M243=0,AY243="DATO NO DISPONIBLE"),0,AY243*M243*($BD$7+1)),0)</f>
        <v>305</v>
      </c>
      <c r="BJ243" s="187">
        <f t="shared" si="298"/>
        <v>305</v>
      </c>
      <c r="BK243" s="187">
        <f t="shared" si="299"/>
        <v>305</v>
      </c>
      <c r="BL243" s="187"/>
      <c r="BM243" s="187"/>
      <c r="BN243" s="188">
        <f>BD243*AM243</f>
        <v>17112330</v>
      </c>
      <c r="BO243" s="188">
        <f t="shared" si="300"/>
        <v>19078970</v>
      </c>
      <c r="BP243" s="188">
        <f t="shared" si="301"/>
        <v>28346090</v>
      </c>
      <c r="BQ243" s="188">
        <f t="shared" si="302"/>
        <v>0</v>
      </c>
      <c r="BR243" s="188">
        <f t="shared" si="303"/>
        <v>0</v>
      </c>
      <c r="BS243" s="188">
        <f t="shared" si="287"/>
        <v>64537390</v>
      </c>
      <c r="BT243" s="188">
        <f t="shared" si="288"/>
        <v>17112330</v>
      </c>
      <c r="BU243" s="188">
        <f t="shared" si="289"/>
        <v>19078970</v>
      </c>
      <c r="BV243" s="188">
        <f t="shared" si="290"/>
        <v>28346090</v>
      </c>
      <c r="BW243" s="188">
        <f t="shared" si="291"/>
        <v>0</v>
      </c>
      <c r="BX243" s="188">
        <f t="shared" si="292"/>
        <v>0</v>
      </c>
      <c r="BY243" s="188">
        <f t="shared" si="293"/>
        <v>64537390</v>
      </c>
      <c r="BZ243" s="305">
        <f>IF(COT_PRECALCULOS!$D$24="Precios Iva Incluído",BI243,BD243)</f>
        <v>305</v>
      </c>
      <c r="CA243" s="305">
        <f>IF(COT_PRECALCULOS!$D$24="Precios Iva Incluído",BJ243,BE243)</f>
        <v>305</v>
      </c>
      <c r="CB243" s="305">
        <f>IF(COT_PRECALCULOS!$D$24="Precios Iva Incluído",BK243,BF243)</f>
        <v>305</v>
      </c>
      <c r="CC243" s="305">
        <f>IF(COT_PRECALCULOS!$D$24="Precios Iva Incluído",BL243,BG243)</f>
        <v>0</v>
      </c>
      <c r="CD243" s="305">
        <f>IF(COT_PRECALCULOS!$D$24="Precios Iva Incluído",BM243,BH243)</f>
        <v>0</v>
      </c>
      <c r="CE243" s="305">
        <f>IF(COT_PRECALCULOS!$D$24="Precios Iva Incluído",BT243,BN243)</f>
        <v>17112330</v>
      </c>
      <c r="CF243" s="305">
        <f>IF(COT_PRECALCULOS!$D$24="Precios Iva Incluído",BU243,BO243)</f>
        <v>19078970</v>
      </c>
      <c r="CG243" s="305">
        <f>IF(COT_PRECALCULOS!$D$24="Precios Iva Incluído",BV243,BP243)</f>
        <v>28346090</v>
      </c>
      <c r="CH243" s="305">
        <f>IF(COT_PRECALCULOS!$D$24="Precios Iva Incluído",BW243,BQ243)</f>
        <v>0</v>
      </c>
      <c r="CI243" s="305">
        <f>IF(COT_PRECALCULOS!$D$24="Precios Iva Incluído",BX243,BR243)</f>
        <v>0</v>
      </c>
    </row>
    <row r="244" spans="1:87">
      <c r="A244" s="182" t="s">
        <v>102</v>
      </c>
      <c r="B244" s="182" t="s">
        <v>126</v>
      </c>
      <c r="C244" s="189" t="str">
        <f t="shared" si="282"/>
        <v>F_SE6</v>
      </c>
      <c r="D244" s="189" t="str">
        <f t="shared" si="283"/>
        <v>70_S_</v>
      </c>
      <c r="E244" s="190" t="s">
        <v>1</v>
      </c>
      <c r="F244" s="190" t="s">
        <v>1</v>
      </c>
      <c r="G244" s="189" t="s">
        <v>35</v>
      </c>
      <c r="H244" s="190"/>
      <c r="I244" s="190" t="s">
        <v>69</v>
      </c>
      <c r="J244" s="190">
        <v>70</v>
      </c>
      <c r="K244" s="190" t="s">
        <v>71</v>
      </c>
      <c r="L244" s="189" t="s">
        <v>9</v>
      </c>
      <c r="M244" s="386">
        <v>0</v>
      </c>
      <c r="N244" s="190">
        <v>100</v>
      </c>
      <c r="O244" s="190">
        <v>100</v>
      </c>
      <c r="P244" s="190"/>
      <c r="Q244" s="190"/>
      <c r="R244" s="190" t="s">
        <v>73</v>
      </c>
      <c r="S244" s="183">
        <f t="shared" si="333"/>
        <v>1</v>
      </c>
      <c r="T244" s="386">
        <v>0</v>
      </c>
      <c r="U244" s="385">
        <f t="shared" si="334"/>
        <v>1</v>
      </c>
      <c r="V244" s="385">
        <f t="shared" si="334"/>
        <v>1</v>
      </c>
      <c r="W244" s="387"/>
      <c r="X244" s="387"/>
      <c r="Y244" s="184">
        <f t="shared" si="294"/>
        <v>0</v>
      </c>
      <c r="Z244" s="184">
        <f t="shared" si="335"/>
        <v>31277</v>
      </c>
      <c r="AA244" s="184">
        <f t="shared" si="336"/>
        <v>46469</v>
      </c>
      <c r="AB244" s="184">
        <f t="shared" si="315"/>
        <v>0</v>
      </c>
      <c r="AC244" s="184">
        <f t="shared" si="316"/>
        <v>0</v>
      </c>
      <c r="AD244" s="184">
        <f t="shared" si="295"/>
        <v>77746</v>
      </c>
      <c r="AE244" s="183">
        <f t="shared" si="307"/>
        <v>0</v>
      </c>
      <c r="AF244" s="386">
        <v>0</v>
      </c>
      <c r="AG244" s="385">
        <f t="shared" si="330"/>
        <v>0</v>
      </c>
      <c r="AH244" s="385">
        <f t="shared" si="330"/>
        <v>0</v>
      </c>
      <c r="AI244" s="185">
        <f t="shared" si="296"/>
        <v>0</v>
      </c>
      <c r="AJ244" s="185">
        <f t="shared" si="309"/>
        <v>433</v>
      </c>
      <c r="AK244" s="185">
        <f t="shared" si="310"/>
        <v>683</v>
      </c>
      <c r="AL244" s="185">
        <f t="shared" si="297"/>
        <v>1116</v>
      </c>
      <c r="AM244" s="173">
        <v>0</v>
      </c>
      <c r="AN244" s="173">
        <f t="shared" si="318"/>
        <v>31277</v>
      </c>
      <c r="AO244" s="173">
        <f t="shared" si="319"/>
        <v>46469</v>
      </c>
      <c r="AP244" s="173">
        <f t="shared" si="284"/>
        <v>0</v>
      </c>
      <c r="AQ244" s="173">
        <f t="shared" si="285"/>
        <v>0</v>
      </c>
      <c r="AR244" s="173">
        <f t="shared" si="286"/>
        <v>77746</v>
      </c>
      <c r="AS244" s="186" t="s">
        <v>1365</v>
      </c>
      <c r="AT244" s="300">
        <f t="shared" si="337"/>
        <v>4.0575000000000001</v>
      </c>
      <c r="AU244" s="300">
        <f t="shared" si="337"/>
        <v>4.0575000000000001</v>
      </c>
      <c r="AV244" s="300">
        <f t="shared" si="337"/>
        <v>4.0575000000000001</v>
      </c>
      <c r="AW244" s="300">
        <f t="shared" si="337"/>
        <v>4.0575000000000001</v>
      </c>
      <c r="AX244" s="300">
        <f t="shared" si="337"/>
        <v>4.0575000000000001</v>
      </c>
      <c r="AY244" s="301">
        <f t="shared" si="332"/>
        <v>4.0575000000000001</v>
      </c>
      <c r="AZ244" s="301">
        <f t="shared" si="332"/>
        <v>4.0575000000000001</v>
      </c>
      <c r="BA244" s="301">
        <f t="shared" si="332"/>
        <v>4.0575000000000001</v>
      </c>
      <c r="BB244" s="301">
        <f t="shared" si="332"/>
        <v>4.0575000000000001</v>
      </c>
      <c r="BC244" s="301">
        <f t="shared" si="332"/>
        <v>4.0575000000000001</v>
      </c>
      <c r="BD244" s="187"/>
      <c r="BE244" s="187">
        <f t="shared" si="321"/>
        <v>434</v>
      </c>
      <c r="BF244" s="187">
        <f t="shared" si="322"/>
        <v>434</v>
      </c>
      <c r="BG244" s="187"/>
      <c r="BH244" s="187"/>
      <c r="BI244" s="187"/>
      <c r="BJ244" s="187">
        <f t="shared" si="298"/>
        <v>434</v>
      </c>
      <c r="BK244" s="187">
        <f t="shared" si="299"/>
        <v>434</v>
      </c>
      <c r="BL244" s="187"/>
      <c r="BM244" s="187"/>
      <c r="BN244" s="188"/>
      <c r="BO244" s="188">
        <f t="shared" si="300"/>
        <v>13574218</v>
      </c>
      <c r="BP244" s="188">
        <f t="shared" si="301"/>
        <v>20167546</v>
      </c>
      <c r="BQ244" s="188">
        <f t="shared" si="302"/>
        <v>0</v>
      </c>
      <c r="BR244" s="188">
        <f t="shared" si="303"/>
        <v>0</v>
      </c>
      <c r="BS244" s="188">
        <f t="shared" si="287"/>
        <v>33741764</v>
      </c>
      <c r="BT244" s="188">
        <f t="shared" si="288"/>
        <v>0</v>
      </c>
      <c r="BU244" s="188">
        <f t="shared" si="289"/>
        <v>13574218</v>
      </c>
      <c r="BV244" s="188">
        <f t="shared" si="290"/>
        <v>20167546</v>
      </c>
      <c r="BW244" s="188">
        <f t="shared" si="291"/>
        <v>0</v>
      </c>
      <c r="BX244" s="188">
        <f t="shared" si="292"/>
        <v>0</v>
      </c>
      <c r="BY244" s="188">
        <f t="shared" si="293"/>
        <v>33741764</v>
      </c>
      <c r="BZ244" s="305">
        <f>IF(COT_PRECALCULOS!$D$24="Precios Iva Incluído",BI244,BD244)</f>
        <v>0</v>
      </c>
      <c r="CA244" s="305">
        <f>IF(COT_PRECALCULOS!$D$24="Precios Iva Incluído",BJ244,BE244)</f>
        <v>434</v>
      </c>
      <c r="CB244" s="305">
        <f>IF(COT_PRECALCULOS!$D$24="Precios Iva Incluído",BK244,BF244)</f>
        <v>434</v>
      </c>
      <c r="CC244" s="305">
        <f>IF(COT_PRECALCULOS!$D$24="Precios Iva Incluído",BL244,BG244)</f>
        <v>0</v>
      </c>
      <c r="CD244" s="305">
        <f>IF(COT_PRECALCULOS!$D$24="Precios Iva Incluído",BM244,BH244)</f>
        <v>0</v>
      </c>
      <c r="CE244" s="305">
        <f>IF(COT_PRECALCULOS!$D$24="Precios Iva Incluído",BT244,BN244)</f>
        <v>0</v>
      </c>
      <c r="CF244" s="305">
        <f>IF(COT_PRECALCULOS!$D$24="Precios Iva Incluído",BU244,BO244)</f>
        <v>13574218</v>
      </c>
      <c r="CG244" s="305">
        <f>IF(COT_PRECALCULOS!$D$24="Precios Iva Incluído",BV244,BP244)</f>
        <v>20167546</v>
      </c>
      <c r="CH244" s="305">
        <f>IF(COT_PRECALCULOS!$D$24="Precios Iva Incluído",BW244,BQ244)</f>
        <v>0</v>
      </c>
      <c r="CI244" s="305">
        <f>IF(COT_PRECALCULOS!$D$24="Precios Iva Incluído",BX244,BR244)</f>
        <v>0</v>
      </c>
    </row>
    <row r="245" spans="1:87">
      <c r="A245" s="182" t="s">
        <v>102</v>
      </c>
      <c r="B245" s="182" t="s">
        <v>126</v>
      </c>
      <c r="C245" s="189" t="str">
        <f t="shared" si="282"/>
        <v>F_SE6</v>
      </c>
      <c r="D245" s="189" t="str">
        <f t="shared" si="283"/>
        <v>36_S_</v>
      </c>
      <c r="E245" s="211" t="s">
        <v>1</v>
      </c>
      <c r="F245" s="211" t="s">
        <v>1</v>
      </c>
      <c r="G245" s="189" t="s">
        <v>35</v>
      </c>
      <c r="H245" s="211"/>
      <c r="I245" s="211" t="s">
        <v>1340</v>
      </c>
      <c r="J245" s="211">
        <v>36</v>
      </c>
      <c r="K245" s="211" t="s">
        <v>1340</v>
      </c>
      <c r="L245" s="189" t="s">
        <v>9</v>
      </c>
      <c r="M245" s="211">
        <v>20</v>
      </c>
      <c r="N245" s="211">
        <v>40</v>
      </c>
      <c r="O245" s="211">
        <v>40</v>
      </c>
      <c r="P245" s="211"/>
      <c r="Q245" s="211"/>
      <c r="R245" s="211"/>
      <c r="S245" s="183">
        <f t="shared" si="333"/>
        <v>1</v>
      </c>
      <c r="T245" s="385">
        <f>$S245</f>
        <v>1</v>
      </c>
      <c r="U245" s="385">
        <f t="shared" si="334"/>
        <v>1</v>
      </c>
      <c r="V245" s="385">
        <f t="shared" si="334"/>
        <v>1</v>
      </c>
      <c r="W245" s="387"/>
      <c r="X245" s="387"/>
      <c r="Y245" s="184">
        <f t="shared" si="294"/>
        <v>28053</v>
      </c>
      <c r="Z245" s="184">
        <f t="shared" si="335"/>
        <v>31277</v>
      </c>
      <c r="AA245" s="184">
        <f t="shared" si="336"/>
        <v>46469</v>
      </c>
      <c r="AB245" s="184">
        <f t="shared" si="315"/>
        <v>0</v>
      </c>
      <c r="AC245" s="184">
        <f t="shared" si="316"/>
        <v>0</v>
      </c>
      <c r="AD245" s="184">
        <f t="shared" si="295"/>
        <v>105799</v>
      </c>
      <c r="AE245" s="183">
        <f t="shared" si="307"/>
        <v>0</v>
      </c>
      <c r="AF245" s="385">
        <f>$AE245</f>
        <v>0</v>
      </c>
      <c r="AG245" s="385">
        <f t="shared" si="330"/>
        <v>0</v>
      </c>
      <c r="AH245" s="385">
        <f t="shared" si="330"/>
        <v>0</v>
      </c>
      <c r="AI245" s="185">
        <f t="shared" si="296"/>
        <v>74</v>
      </c>
      <c r="AJ245" s="185">
        <f t="shared" si="309"/>
        <v>433</v>
      </c>
      <c r="AK245" s="185">
        <f t="shared" si="310"/>
        <v>683</v>
      </c>
      <c r="AL245" s="185">
        <f t="shared" si="297"/>
        <v>1190</v>
      </c>
      <c r="AM245" s="173">
        <f>($S245*Y245)+($AE245*AI245)</f>
        <v>28053</v>
      </c>
      <c r="AN245" s="173">
        <f t="shared" si="318"/>
        <v>31277</v>
      </c>
      <c r="AO245" s="173">
        <f t="shared" si="319"/>
        <v>46469</v>
      </c>
      <c r="AP245" s="173">
        <f t="shared" si="284"/>
        <v>0</v>
      </c>
      <c r="AQ245" s="173">
        <f t="shared" si="285"/>
        <v>0</v>
      </c>
      <c r="AR245" s="173">
        <f t="shared" si="286"/>
        <v>105799</v>
      </c>
      <c r="AS245" s="186" t="s">
        <v>1365</v>
      </c>
      <c r="AT245" s="300">
        <f t="shared" si="337"/>
        <v>5.9</v>
      </c>
      <c r="AU245" s="300">
        <f t="shared" si="337"/>
        <v>5.9</v>
      </c>
      <c r="AV245" s="300">
        <f t="shared" si="337"/>
        <v>5.9</v>
      </c>
      <c r="AW245" s="300">
        <f t="shared" si="337"/>
        <v>5.9</v>
      </c>
      <c r="AX245" s="300">
        <f t="shared" si="337"/>
        <v>5.9</v>
      </c>
      <c r="AY245" s="301">
        <f t="shared" si="332"/>
        <v>5.9</v>
      </c>
      <c r="AZ245" s="301">
        <f t="shared" si="332"/>
        <v>5.9</v>
      </c>
      <c r="BA245" s="301">
        <f t="shared" si="332"/>
        <v>5.9</v>
      </c>
      <c r="BB245" s="301">
        <f t="shared" si="332"/>
        <v>5.9</v>
      </c>
      <c r="BC245" s="301">
        <f t="shared" si="332"/>
        <v>5.9</v>
      </c>
      <c r="BD245" s="187">
        <f>ROUND(IF(OR(M245=0,AT245="DATO NO DISPONIBLE"),"",AT245*M245*($BD$7+1)),0)</f>
        <v>126</v>
      </c>
      <c r="BE245" s="187">
        <f t="shared" si="321"/>
        <v>252</v>
      </c>
      <c r="BF245" s="187">
        <f t="shared" si="322"/>
        <v>252</v>
      </c>
      <c r="BG245" s="187"/>
      <c r="BH245" s="187"/>
      <c r="BI245" s="187">
        <f>ROUND(IF(OR(M245=0,AY245="DATO NO DISPONIBLE"),0,AY245*M245*($BD$7+1)),0)</f>
        <v>126</v>
      </c>
      <c r="BJ245" s="187">
        <f t="shared" si="298"/>
        <v>252</v>
      </c>
      <c r="BK245" s="187">
        <f t="shared" si="299"/>
        <v>252</v>
      </c>
      <c r="BL245" s="187"/>
      <c r="BM245" s="187"/>
      <c r="BN245" s="188">
        <f>BD245*AM245</f>
        <v>3534678</v>
      </c>
      <c r="BO245" s="188">
        <f t="shared" si="300"/>
        <v>7881804</v>
      </c>
      <c r="BP245" s="188">
        <f t="shared" si="301"/>
        <v>11710188</v>
      </c>
      <c r="BQ245" s="188">
        <f t="shared" si="302"/>
        <v>0</v>
      </c>
      <c r="BR245" s="188">
        <f t="shared" si="303"/>
        <v>0</v>
      </c>
      <c r="BS245" s="188">
        <f t="shared" si="287"/>
        <v>23126670</v>
      </c>
      <c r="BT245" s="188">
        <f t="shared" si="288"/>
        <v>3534678</v>
      </c>
      <c r="BU245" s="188">
        <f t="shared" si="289"/>
        <v>7881804</v>
      </c>
      <c r="BV245" s="188">
        <f t="shared" si="290"/>
        <v>11710188</v>
      </c>
      <c r="BW245" s="188">
        <f t="shared" si="291"/>
        <v>0</v>
      </c>
      <c r="BX245" s="188">
        <f t="shared" si="292"/>
        <v>0</v>
      </c>
      <c r="BY245" s="188">
        <f t="shared" si="293"/>
        <v>23126670</v>
      </c>
      <c r="BZ245" s="305">
        <f>IF(COT_PRECALCULOS!$D$24="Precios Iva Incluído",BI245,BD245)</f>
        <v>126</v>
      </c>
      <c r="CA245" s="305">
        <f>IF(COT_PRECALCULOS!$D$24="Precios Iva Incluído",BJ245,BE245)</f>
        <v>252</v>
      </c>
      <c r="CB245" s="305">
        <f>IF(COT_PRECALCULOS!$D$24="Precios Iva Incluído",BK245,BF245)</f>
        <v>252</v>
      </c>
      <c r="CC245" s="305">
        <f>IF(COT_PRECALCULOS!$D$24="Precios Iva Incluído",BL245,BG245)</f>
        <v>0</v>
      </c>
      <c r="CD245" s="305">
        <f>IF(COT_PRECALCULOS!$D$24="Precios Iva Incluído",BM245,BH245)</f>
        <v>0</v>
      </c>
      <c r="CE245" s="305">
        <f>IF(COT_PRECALCULOS!$D$24="Precios Iva Incluído",BT245,BN245)</f>
        <v>3534678</v>
      </c>
      <c r="CF245" s="305">
        <f>IF(COT_PRECALCULOS!$D$24="Precios Iva Incluído",BU245,BO245)</f>
        <v>7881804</v>
      </c>
      <c r="CG245" s="305">
        <f>IF(COT_PRECALCULOS!$D$24="Precios Iva Incluído",BV245,BP245)</f>
        <v>11710188</v>
      </c>
      <c r="CH245" s="305">
        <f>IF(COT_PRECALCULOS!$D$24="Precios Iva Incluído",BW245,BQ245)</f>
        <v>0</v>
      </c>
      <c r="CI245" s="305">
        <f>IF(COT_PRECALCULOS!$D$24="Precios Iva Incluído",BX245,BR245)</f>
        <v>0</v>
      </c>
    </row>
    <row r="246" spans="1:87">
      <c r="A246" s="182" t="s">
        <v>102</v>
      </c>
      <c r="B246" s="182" t="s">
        <v>126</v>
      </c>
      <c r="C246" s="189" t="str">
        <f t="shared" si="282"/>
        <v>F_SE8</v>
      </c>
      <c r="D246" s="189" t="str">
        <f t="shared" si="283"/>
        <v>8_S_</v>
      </c>
      <c r="E246" s="211" t="s">
        <v>1</v>
      </c>
      <c r="F246" s="211" t="s">
        <v>1</v>
      </c>
      <c r="G246" s="189" t="s">
        <v>37</v>
      </c>
      <c r="H246" s="211" t="s">
        <v>2</v>
      </c>
      <c r="I246" s="211" t="s">
        <v>54</v>
      </c>
      <c r="J246" s="211">
        <v>8</v>
      </c>
      <c r="K246" s="211" t="s">
        <v>55</v>
      </c>
      <c r="L246" s="189" t="s">
        <v>9</v>
      </c>
      <c r="M246" s="211">
        <v>100</v>
      </c>
      <c r="N246" s="211">
        <v>100</v>
      </c>
      <c r="O246" s="211">
        <v>100</v>
      </c>
      <c r="P246" s="211"/>
      <c r="Q246" s="211"/>
      <c r="R246" s="211"/>
      <c r="S246" s="183">
        <f t="shared" si="333"/>
        <v>2</v>
      </c>
      <c r="T246" s="385">
        <f>$S246</f>
        <v>2</v>
      </c>
      <c r="U246" s="385">
        <f t="shared" si="334"/>
        <v>2</v>
      </c>
      <c r="V246" s="385">
        <f t="shared" si="334"/>
        <v>2</v>
      </c>
      <c r="W246" s="387"/>
      <c r="X246" s="387"/>
      <c r="Y246" s="184">
        <f t="shared" si="294"/>
        <v>28053</v>
      </c>
      <c r="Z246" s="184">
        <f t="shared" si="335"/>
        <v>31277</v>
      </c>
      <c r="AA246" s="184">
        <f t="shared" si="336"/>
        <v>46469</v>
      </c>
      <c r="AB246" s="184">
        <f t="shared" si="315"/>
        <v>0</v>
      </c>
      <c r="AC246" s="184">
        <f t="shared" si="316"/>
        <v>0</v>
      </c>
      <c r="AD246" s="184">
        <f t="shared" si="295"/>
        <v>105799</v>
      </c>
      <c r="AE246" s="183">
        <f t="shared" si="307"/>
        <v>0</v>
      </c>
      <c r="AF246" s="385">
        <f>$AE246</f>
        <v>0</v>
      </c>
      <c r="AG246" s="385">
        <f t="shared" si="330"/>
        <v>0</v>
      </c>
      <c r="AH246" s="385">
        <f t="shared" si="330"/>
        <v>0</v>
      </c>
      <c r="AI246" s="185">
        <f t="shared" si="296"/>
        <v>74</v>
      </c>
      <c r="AJ246" s="185">
        <f t="shared" si="309"/>
        <v>433</v>
      </c>
      <c r="AK246" s="185">
        <f t="shared" si="310"/>
        <v>683</v>
      </c>
      <c r="AL246" s="185">
        <f t="shared" si="297"/>
        <v>1190</v>
      </c>
      <c r="AM246" s="173">
        <f>($S246*Y246)+($AE246*AI246)</f>
        <v>56106</v>
      </c>
      <c r="AN246" s="173">
        <f t="shared" si="318"/>
        <v>62554</v>
      </c>
      <c r="AO246" s="173">
        <f t="shared" si="319"/>
        <v>92938</v>
      </c>
      <c r="AP246" s="173">
        <f t="shared" si="284"/>
        <v>0</v>
      </c>
      <c r="AQ246" s="173">
        <f t="shared" si="285"/>
        <v>0</v>
      </c>
      <c r="AR246" s="173">
        <f t="shared" si="286"/>
        <v>211598</v>
      </c>
      <c r="AS246" s="186" t="s">
        <v>1366</v>
      </c>
      <c r="AT246" s="300">
        <f t="shared" si="337"/>
        <v>1.25</v>
      </c>
      <c r="AU246" s="300">
        <f t="shared" si="337"/>
        <v>1.25</v>
      </c>
      <c r="AV246" s="300">
        <f t="shared" si="337"/>
        <v>1.25</v>
      </c>
      <c r="AW246" s="300">
        <f t="shared" si="337"/>
        <v>1.25</v>
      </c>
      <c r="AX246" s="300">
        <f t="shared" si="337"/>
        <v>1.25</v>
      </c>
      <c r="AY246" s="301">
        <f t="shared" si="332"/>
        <v>1.25</v>
      </c>
      <c r="AZ246" s="301">
        <f t="shared" si="332"/>
        <v>1.25</v>
      </c>
      <c r="BA246" s="301">
        <f t="shared" si="332"/>
        <v>1.25</v>
      </c>
      <c r="BB246" s="301">
        <f t="shared" si="332"/>
        <v>1.25</v>
      </c>
      <c r="BC246" s="301">
        <f t="shared" si="332"/>
        <v>1.25</v>
      </c>
      <c r="BD246" s="187">
        <f>ROUND(IF(OR(M246=0,AT246="DATO NO DISPONIBLE"),"",AT246*M246*($BD$7+1)),0)</f>
        <v>134</v>
      </c>
      <c r="BE246" s="187">
        <f t="shared" si="321"/>
        <v>134</v>
      </c>
      <c r="BF246" s="187">
        <f t="shared" si="322"/>
        <v>134</v>
      </c>
      <c r="BG246" s="187"/>
      <c r="BH246" s="187"/>
      <c r="BI246" s="187">
        <f>ROUND(IF(OR(M246=0,AY246="DATO NO DISPONIBLE"),0,AY246*M246*($BD$7+1)),0)</f>
        <v>134</v>
      </c>
      <c r="BJ246" s="187">
        <f t="shared" si="298"/>
        <v>134</v>
      </c>
      <c r="BK246" s="187">
        <f t="shared" si="299"/>
        <v>134</v>
      </c>
      <c r="BL246" s="187"/>
      <c r="BM246" s="187"/>
      <c r="BN246" s="188">
        <f>BD246*AM246</f>
        <v>7518204</v>
      </c>
      <c r="BO246" s="188">
        <f t="shared" si="300"/>
        <v>8382236</v>
      </c>
      <c r="BP246" s="188">
        <f t="shared" si="301"/>
        <v>12453692</v>
      </c>
      <c r="BQ246" s="188">
        <f t="shared" si="302"/>
        <v>0</v>
      </c>
      <c r="BR246" s="188">
        <f t="shared" si="303"/>
        <v>0</v>
      </c>
      <c r="BS246" s="188">
        <f t="shared" si="287"/>
        <v>28354132</v>
      </c>
      <c r="BT246" s="188">
        <f t="shared" si="288"/>
        <v>7518204</v>
      </c>
      <c r="BU246" s="188">
        <f t="shared" si="289"/>
        <v>8382236</v>
      </c>
      <c r="BV246" s="188">
        <f t="shared" si="290"/>
        <v>12453692</v>
      </c>
      <c r="BW246" s="188">
        <f t="shared" si="291"/>
        <v>0</v>
      </c>
      <c r="BX246" s="188">
        <f t="shared" si="292"/>
        <v>0</v>
      </c>
      <c r="BY246" s="188">
        <f t="shared" si="293"/>
        <v>28354132</v>
      </c>
      <c r="BZ246" s="305">
        <f>IF(COT_PRECALCULOS!$D$24="Precios Iva Incluído",BI246,BD246)</f>
        <v>134</v>
      </c>
      <c r="CA246" s="305">
        <f>IF(COT_PRECALCULOS!$D$24="Precios Iva Incluído",BJ246,BE246)</f>
        <v>134</v>
      </c>
      <c r="CB246" s="305">
        <f>IF(COT_PRECALCULOS!$D$24="Precios Iva Incluído",BK246,BF246)</f>
        <v>134</v>
      </c>
      <c r="CC246" s="305">
        <f>IF(COT_PRECALCULOS!$D$24="Precios Iva Incluído",BL246,BG246)</f>
        <v>0</v>
      </c>
      <c r="CD246" s="305">
        <f>IF(COT_PRECALCULOS!$D$24="Precios Iva Incluído",BM246,BH246)</f>
        <v>0</v>
      </c>
      <c r="CE246" s="305">
        <f>IF(COT_PRECALCULOS!$D$24="Precios Iva Incluído",BT246,BN246)</f>
        <v>7518204</v>
      </c>
      <c r="CF246" s="305">
        <f>IF(COT_PRECALCULOS!$D$24="Precios Iva Incluído",BU246,BO246)</f>
        <v>8382236</v>
      </c>
      <c r="CG246" s="305">
        <f>IF(COT_PRECALCULOS!$D$24="Precios Iva Incluído",BV246,BP246)</f>
        <v>12453692</v>
      </c>
      <c r="CH246" s="305">
        <f>IF(COT_PRECALCULOS!$D$24="Precios Iva Incluído",BW246,BQ246)</f>
        <v>0</v>
      </c>
      <c r="CI246" s="305">
        <f>IF(COT_PRECALCULOS!$D$24="Precios Iva Incluído",BX246,BR246)</f>
        <v>0</v>
      </c>
    </row>
    <row r="247" spans="1:87">
      <c r="A247" s="182" t="s">
        <v>102</v>
      </c>
      <c r="B247" s="182" t="s">
        <v>126</v>
      </c>
      <c r="C247" s="189" t="str">
        <f t="shared" si="282"/>
        <v>F_SE8</v>
      </c>
      <c r="D247" s="189" t="str">
        <f t="shared" si="283"/>
        <v>7_S_</v>
      </c>
      <c r="E247" s="211" t="s">
        <v>1</v>
      </c>
      <c r="F247" s="211" t="s">
        <v>1</v>
      </c>
      <c r="G247" s="189" t="s">
        <v>37</v>
      </c>
      <c r="H247" s="211"/>
      <c r="I247" s="211" t="s">
        <v>56</v>
      </c>
      <c r="J247" s="211">
        <v>7</v>
      </c>
      <c r="K247" s="211" t="s">
        <v>57</v>
      </c>
      <c r="L247" s="189" t="s">
        <v>9</v>
      </c>
      <c r="M247" s="211">
        <v>100</v>
      </c>
      <c r="N247" s="211">
        <v>100</v>
      </c>
      <c r="O247" s="211">
        <v>100</v>
      </c>
      <c r="P247" s="211"/>
      <c r="Q247" s="211"/>
      <c r="R247" s="211"/>
      <c r="S247" s="388">
        <v>6</v>
      </c>
      <c r="T247" s="388">
        <f>$S247</f>
        <v>6</v>
      </c>
      <c r="U247" s="388">
        <v>0</v>
      </c>
      <c r="V247" s="388">
        <v>0</v>
      </c>
      <c r="W247" s="387"/>
      <c r="X247" s="387"/>
      <c r="Y247" s="184">
        <f t="shared" si="294"/>
        <v>28053</v>
      </c>
      <c r="Z247" s="184">
        <v>0</v>
      </c>
      <c r="AA247" s="184">
        <v>0</v>
      </c>
      <c r="AB247" s="184">
        <f t="shared" si="315"/>
        <v>0</v>
      </c>
      <c r="AC247" s="184">
        <f t="shared" si="316"/>
        <v>0</v>
      </c>
      <c r="AD247" s="184">
        <f t="shared" si="295"/>
        <v>28053</v>
      </c>
      <c r="AE247" s="183">
        <f t="shared" ref="AE247:AE278" si="338">COUNTIF(CAL_SEGUNDA_ENTREGA_FDS_FRUTA,CONCATENATE(G247,"_",J247))</f>
        <v>0</v>
      </c>
      <c r="AF247" s="385">
        <f>$AE247</f>
        <v>0</v>
      </c>
      <c r="AG247" s="385">
        <f t="shared" si="330"/>
        <v>0</v>
      </c>
      <c r="AH247" s="385">
        <f t="shared" si="330"/>
        <v>0</v>
      </c>
      <c r="AI247" s="185">
        <f t="shared" si="296"/>
        <v>74</v>
      </c>
      <c r="AJ247" s="185">
        <f t="shared" ref="AJ247:AJ278" si="339">IF(OR(B247="NA",N247=0),0,VLOOKUP(B247,FRE_CANTIDADES_DIARIAS_SUMINISTROS,5,FALSE))</f>
        <v>433</v>
      </c>
      <c r="AK247" s="185">
        <f t="shared" ref="AK247:AK278" si="340">IF(OR(B247="NA",O247=0),0,VLOOKUP(B247,FRE_CANTIDADES_DIARIAS_SUMINISTROS,6,FALSE))</f>
        <v>683</v>
      </c>
      <c r="AL247" s="185">
        <f t="shared" si="297"/>
        <v>1190</v>
      </c>
      <c r="AM247" s="173">
        <f>($S247*Y247)+($AE247*AI247)</f>
        <v>168318</v>
      </c>
      <c r="AN247" s="173">
        <f t="shared" si="318"/>
        <v>0</v>
      </c>
      <c r="AO247" s="173">
        <f t="shared" si="319"/>
        <v>0</v>
      </c>
      <c r="AP247" s="173">
        <f t="shared" si="284"/>
        <v>0</v>
      </c>
      <c r="AQ247" s="173">
        <f t="shared" si="285"/>
        <v>0</v>
      </c>
      <c r="AR247" s="173">
        <f t="shared" si="286"/>
        <v>168318</v>
      </c>
      <c r="AS247" s="186" t="s">
        <v>1366</v>
      </c>
      <c r="AT247" s="300">
        <f t="shared" si="337"/>
        <v>1</v>
      </c>
      <c r="AU247" s="300">
        <f t="shared" si="337"/>
        <v>1</v>
      </c>
      <c r="AV247" s="300">
        <f t="shared" si="337"/>
        <v>1</v>
      </c>
      <c r="AW247" s="300">
        <f t="shared" si="337"/>
        <v>1</v>
      </c>
      <c r="AX247" s="300">
        <f t="shared" si="337"/>
        <v>1</v>
      </c>
      <c r="AY247" s="301">
        <f t="shared" si="332"/>
        <v>1</v>
      </c>
      <c r="AZ247" s="301">
        <f t="shared" si="332"/>
        <v>1</v>
      </c>
      <c r="BA247" s="301">
        <f t="shared" si="332"/>
        <v>1</v>
      </c>
      <c r="BB247" s="301">
        <f t="shared" si="332"/>
        <v>1</v>
      </c>
      <c r="BC247" s="301">
        <f t="shared" si="332"/>
        <v>1</v>
      </c>
      <c r="BD247" s="187">
        <f>ROUND(IF(OR(M247=0,AT247="DATO NO DISPONIBLE"),"",AT247*M247*($BD$7+1)),0)</f>
        <v>107</v>
      </c>
      <c r="BE247" s="187">
        <f t="shared" si="321"/>
        <v>107</v>
      </c>
      <c r="BF247" s="187">
        <f t="shared" si="322"/>
        <v>107</v>
      </c>
      <c r="BG247" s="187"/>
      <c r="BH247" s="187"/>
      <c r="BI247" s="187">
        <f>ROUND(IF(OR(M247=0,AY247="DATO NO DISPONIBLE"),0,AY247*M247*($BD$7+1)),0)</f>
        <v>107</v>
      </c>
      <c r="BJ247" s="187">
        <f t="shared" si="298"/>
        <v>107</v>
      </c>
      <c r="BK247" s="187">
        <f t="shared" si="299"/>
        <v>107</v>
      </c>
      <c r="BL247" s="187"/>
      <c r="BM247" s="187"/>
      <c r="BN247" s="188">
        <f>BD247*AM247</f>
        <v>18010026</v>
      </c>
      <c r="BO247" s="188">
        <f t="shared" si="300"/>
        <v>0</v>
      </c>
      <c r="BP247" s="188">
        <f t="shared" si="301"/>
        <v>0</v>
      </c>
      <c r="BQ247" s="188">
        <f t="shared" si="302"/>
        <v>0</v>
      </c>
      <c r="BR247" s="188">
        <f t="shared" si="303"/>
        <v>0</v>
      </c>
      <c r="BS247" s="188">
        <f t="shared" si="287"/>
        <v>18010026</v>
      </c>
      <c r="BT247" s="188">
        <f t="shared" si="288"/>
        <v>18010026</v>
      </c>
      <c r="BU247" s="188">
        <f t="shared" si="289"/>
        <v>0</v>
      </c>
      <c r="BV247" s="188">
        <f t="shared" si="290"/>
        <v>0</v>
      </c>
      <c r="BW247" s="188">
        <f t="shared" si="291"/>
        <v>0</v>
      </c>
      <c r="BX247" s="188">
        <f t="shared" si="292"/>
        <v>0</v>
      </c>
      <c r="BY247" s="188">
        <f t="shared" si="293"/>
        <v>18010026</v>
      </c>
      <c r="BZ247" s="305">
        <f>IF(COT_PRECALCULOS!$D$24="Precios Iva Incluído",BI247,BD247)</f>
        <v>107</v>
      </c>
      <c r="CA247" s="305">
        <f>IF(COT_PRECALCULOS!$D$24="Precios Iva Incluído",BJ247,BE247)</f>
        <v>107</v>
      </c>
      <c r="CB247" s="305">
        <f>IF(COT_PRECALCULOS!$D$24="Precios Iva Incluído",BK247,BF247)</f>
        <v>107</v>
      </c>
      <c r="CC247" s="305">
        <f>IF(COT_PRECALCULOS!$D$24="Precios Iva Incluído",BL247,BG247)</f>
        <v>0</v>
      </c>
      <c r="CD247" s="305">
        <f>IF(COT_PRECALCULOS!$D$24="Precios Iva Incluído",BM247,BH247)</f>
        <v>0</v>
      </c>
      <c r="CE247" s="305">
        <f>IF(COT_PRECALCULOS!$D$24="Precios Iva Incluído",BT247,BN247)</f>
        <v>18010026</v>
      </c>
      <c r="CF247" s="305">
        <f>IF(COT_PRECALCULOS!$D$24="Precios Iva Incluído",BU247,BO247)</f>
        <v>0</v>
      </c>
      <c r="CG247" s="305">
        <f>IF(COT_PRECALCULOS!$D$24="Precios Iva Incluído",BV247,BP247)</f>
        <v>0</v>
      </c>
      <c r="CH247" s="305">
        <f>IF(COT_PRECALCULOS!$D$24="Precios Iva Incluído",BW247,BQ247)</f>
        <v>0</v>
      </c>
      <c r="CI247" s="305">
        <f>IF(COT_PRECALCULOS!$D$24="Precios Iva Incluído",BX247,BR247)</f>
        <v>0</v>
      </c>
    </row>
    <row r="248" spans="1:87">
      <c r="A248" s="182" t="s">
        <v>102</v>
      </c>
      <c r="B248" s="182" t="s">
        <v>126</v>
      </c>
      <c r="C248" s="189" t="str">
        <f t="shared" si="282"/>
        <v>F_SE8</v>
      </c>
      <c r="D248" s="189" t="str">
        <f t="shared" si="283"/>
        <v>17_S_</v>
      </c>
      <c r="E248" s="190" t="s">
        <v>1</v>
      </c>
      <c r="F248" s="190" t="s">
        <v>1</v>
      </c>
      <c r="G248" s="189" t="s">
        <v>37</v>
      </c>
      <c r="H248" s="190"/>
      <c r="I248" s="190" t="s">
        <v>52</v>
      </c>
      <c r="J248" s="190">
        <v>17</v>
      </c>
      <c r="K248" s="190" t="s">
        <v>53</v>
      </c>
      <c r="L248" s="189" t="s">
        <v>9</v>
      </c>
      <c r="M248" s="386">
        <v>0</v>
      </c>
      <c r="N248" s="211">
        <v>100</v>
      </c>
      <c r="O248" s="211">
        <v>100</v>
      </c>
      <c r="P248" s="190"/>
      <c r="Q248" s="190"/>
      <c r="R248" s="190" t="s">
        <v>73</v>
      </c>
      <c r="S248" s="183">
        <f t="shared" ref="S248:S262" si="341">COUNTIF(CAL_SEGUNDA_ENTREGA_LAV_FRUTA,CONCATENATE(G248,"_",J248))</f>
        <v>4</v>
      </c>
      <c r="T248" s="386">
        <v>0</v>
      </c>
      <c r="U248" s="385">
        <f t="shared" ref="U248:V262" si="342">$S248</f>
        <v>4</v>
      </c>
      <c r="V248" s="385">
        <f t="shared" si="342"/>
        <v>4</v>
      </c>
      <c r="W248" s="387"/>
      <c r="X248" s="387"/>
      <c r="Y248" s="184">
        <f t="shared" si="294"/>
        <v>0</v>
      </c>
      <c r="Z248" s="184">
        <f t="shared" ref="Z248:Z262" si="343">IF(N248&lt;&gt;0,VLOOKUP(A248,FRE_CANTIDADES_DIARIAS_SUMINISTROS,5,FALSE),0)</f>
        <v>31277</v>
      </c>
      <c r="AA248" s="184">
        <f t="shared" ref="AA248:AA262" si="344">IF(O248&lt;&gt;0,VLOOKUP(A248,FRE_CANTIDADES_DIARIAS_SUMINISTROS,6,FALSE),0)</f>
        <v>46469</v>
      </c>
      <c r="AB248" s="184">
        <f t="shared" ref="AB248:AB279" si="345">IF(P248&lt;&gt;0,VLOOKUP(A248,FRE_CANTIDADES_DIARIAS_SUMINISTROS,7,FALSE),0)</f>
        <v>0</v>
      </c>
      <c r="AC248" s="184">
        <f t="shared" ref="AC248:AC279" si="346">IF(Q248&lt;&gt;0,VLOOKUP(A248,FRE_CANTIDADES_DIARIAS_SUMINISTROS,8,FALSE),0)</f>
        <v>0</v>
      </c>
      <c r="AD248" s="184">
        <f t="shared" si="295"/>
        <v>77746</v>
      </c>
      <c r="AE248" s="183">
        <f t="shared" si="338"/>
        <v>0</v>
      </c>
      <c r="AF248" s="386">
        <v>0</v>
      </c>
      <c r="AG248" s="385">
        <f t="shared" si="330"/>
        <v>0</v>
      </c>
      <c r="AH248" s="385">
        <f t="shared" si="330"/>
        <v>0</v>
      </c>
      <c r="AI248" s="185">
        <f t="shared" si="296"/>
        <v>0</v>
      </c>
      <c r="AJ248" s="185">
        <f t="shared" si="339"/>
        <v>433</v>
      </c>
      <c r="AK248" s="185">
        <f t="shared" si="340"/>
        <v>683</v>
      </c>
      <c r="AL248" s="185">
        <f t="shared" si="297"/>
        <v>1116</v>
      </c>
      <c r="AM248" s="173">
        <v>0</v>
      </c>
      <c r="AN248" s="173">
        <f t="shared" si="318"/>
        <v>125108</v>
      </c>
      <c r="AO248" s="173">
        <f t="shared" si="319"/>
        <v>185876</v>
      </c>
      <c r="AP248" s="173">
        <f t="shared" si="284"/>
        <v>0</v>
      </c>
      <c r="AQ248" s="173">
        <f t="shared" si="285"/>
        <v>0</v>
      </c>
      <c r="AR248" s="173">
        <f t="shared" si="286"/>
        <v>310984</v>
      </c>
      <c r="AS248" s="186" t="s">
        <v>1366</v>
      </c>
      <c r="AT248" s="300">
        <f t="shared" si="337"/>
        <v>2.11</v>
      </c>
      <c r="AU248" s="300">
        <f t="shared" si="337"/>
        <v>2.11</v>
      </c>
      <c r="AV248" s="300">
        <f t="shared" si="337"/>
        <v>2.11</v>
      </c>
      <c r="AW248" s="300">
        <f t="shared" si="337"/>
        <v>2.11</v>
      </c>
      <c r="AX248" s="300">
        <f t="shared" si="337"/>
        <v>2.11</v>
      </c>
      <c r="AY248" s="301">
        <f t="shared" ref="AY248:BC257" si="347">IF(ISERROR(MATCH(CONCATENATE($J248,"_",AY$1),COT_PRE_CODIGO_ALIMENTOS,0)),IF(ISERROR(MATCH(CONCATENATE($J248,"_",AY$2),COT_PRE_CODIGO_ALIMENTOS,0)),IF(ISERROR(MATCH(CONCATENATE($J248,"_",AY$3),COT_PRE_CODIGO_ALIMENTOS,0)),IF(ISERROR(MATCH(CONCATENATE($J248,"_",AY$4),COT_PRE_CODIGO_ALIMENTOS,0)),IF(ISERROR(MATCH(CONCATENATE($J248,"_",AY$5),COT_PRE_CODIGO_ALIMENTOS,0)),IF(ISERROR(MATCH(CONCATENATE($J248,"_",AY$6),COT_PRE_CODIGO_ALIMENTOS,0)),IF(ISERROR(MATCH(CONCATENATE($J248,"_",AY$7),COT_PRE_CODIGO_ALIMENTOS,0)),IF(ISERROR(VLOOKUP($J248,COT_PRE_ALIMENTOS,AY$8,FALSE)),"DATO NO DISPONIBLE",VLOOKUP($J248,COT_PRE_ALIMENTOS,AY$8,FALSE)),VLOOKUP(CONCATENATE($J248,"_",AY$7),COT_PRE_ALIMENTOS,AY$8,FALSE)),VLOOKUP(CONCATENATE($J248,"_",AY$6),COT_PRE_ALIMENTOS,AY$8,FALSE)),VLOOKUP(CONCATENATE($J248,"_",AY$5),COT_PRE_ALIMENTOS,AY$8,FALSE)),VLOOKUP(CONCATENATE($J248,"_",AY$4),COT_PRE_ALIMENTOS,AY$8,FALSE)),VLOOKUP(CONCATENATE($J248,"_",AY$3),COT_PRE_ALIMENTOS,AY$8,FALSE)),VLOOKUP(CONCATENATE($J248,"_",AY$2),COT_PRE_ALIMENTOS,AY$8,FALSE)),VLOOKUP(CONCATENATE($J248,"_",AY$1),COT_PRE_ALIMENTOS,AY$8,FALSE))</f>
        <v>2.11</v>
      </c>
      <c r="AZ248" s="301">
        <f t="shared" si="347"/>
        <v>2.11</v>
      </c>
      <c r="BA248" s="301">
        <f t="shared" si="347"/>
        <v>2.11</v>
      </c>
      <c r="BB248" s="301">
        <f t="shared" si="347"/>
        <v>2.11</v>
      </c>
      <c r="BC248" s="301">
        <f t="shared" si="347"/>
        <v>2.11</v>
      </c>
      <c r="BD248" s="187"/>
      <c r="BE248" s="187">
        <f t="shared" si="321"/>
        <v>226</v>
      </c>
      <c r="BF248" s="187">
        <f t="shared" si="322"/>
        <v>226</v>
      </c>
      <c r="BG248" s="187"/>
      <c r="BH248" s="187"/>
      <c r="BI248" s="187"/>
      <c r="BJ248" s="187">
        <f t="shared" si="298"/>
        <v>226</v>
      </c>
      <c r="BK248" s="187">
        <f t="shared" si="299"/>
        <v>226</v>
      </c>
      <c r="BL248" s="187"/>
      <c r="BM248" s="187"/>
      <c r="BN248" s="188"/>
      <c r="BO248" s="188">
        <f t="shared" si="300"/>
        <v>28274408</v>
      </c>
      <c r="BP248" s="188">
        <f t="shared" si="301"/>
        <v>42007976</v>
      </c>
      <c r="BQ248" s="188">
        <f t="shared" si="302"/>
        <v>0</v>
      </c>
      <c r="BR248" s="188">
        <f t="shared" si="303"/>
        <v>0</v>
      </c>
      <c r="BS248" s="188">
        <f t="shared" si="287"/>
        <v>70282384</v>
      </c>
      <c r="BT248" s="188">
        <f t="shared" si="288"/>
        <v>0</v>
      </c>
      <c r="BU248" s="188">
        <f t="shared" si="289"/>
        <v>28274408</v>
      </c>
      <c r="BV248" s="188">
        <f t="shared" si="290"/>
        <v>42007976</v>
      </c>
      <c r="BW248" s="188">
        <f t="shared" si="291"/>
        <v>0</v>
      </c>
      <c r="BX248" s="188">
        <f t="shared" si="292"/>
        <v>0</v>
      </c>
      <c r="BY248" s="188">
        <f t="shared" si="293"/>
        <v>70282384</v>
      </c>
      <c r="BZ248" s="305">
        <f>IF(COT_PRECALCULOS!$D$24="Precios Iva Incluído",BI248,BD248)</f>
        <v>0</v>
      </c>
      <c r="CA248" s="305">
        <f>IF(COT_PRECALCULOS!$D$24="Precios Iva Incluído",BJ248,BE248)</f>
        <v>226</v>
      </c>
      <c r="CB248" s="305">
        <f>IF(COT_PRECALCULOS!$D$24="Precios Iva Incluído",BK248,BF248)</f>
        <v>226</v>
      </c>
      <c r="CC248" s="305">
        <f>IF(COT_PRECALCULOS!$D$24="Precios Iva Incluído",BL248,BG248)</f>
        <v>0</v>
      </c>
      <c r="CD248" s="305">
        <f>IF(COT_PRECALCULOS!$D$24="Precios Iva Incluído",BM248,BH248)</f>
        <v>0</v>
      </c>
      <c r="CE248" s="305">
        <f>IF(COT_PRECALCULOS!$D$24="Precios Iva Incluído",BT248,BN248)</f>
        <v>0</v>
      </c>
      <c r="CF248" s="305">
        <f>IF(COT_PRECALCULOS!$D$24="Precios Iva Incluído",BU248,BO248)</f>
        <v>28274408</v>
      </c>
      <c r="CG248" s="305">
        <f>IF(COT_PRECALCULOS!$D$24="Precios Iva Incluído",BV248,BP248)</f>
        <v>42007976</v>
      </c>
      <c r="CH248" s="305">
        <f>IF(COT_PRECALCULOS!$D$24="Precios Iva Incluído",BW248,BQ248)</f>
        <v>0</v>
      </c>
      <c r="CI248" s="305">
        <f>IF(COT_PRECALCULOS!$D$24="Precios Iva Incluído",BX248,BR248)</f>
        <v>0</v>
      </c>
    </row>
    <row r="249" spans="1:87">
      <c r="A249" s="182" t="s">
        <v>102</v>
      </c>
      <c r="B249" s="182" t="s">
        <v>126</v>
      </c>
      <c r="C249" s="189" t="str">
        <f t="shared" si="282"/>
        <v>F_SE8</v>
      </c>
      <c r="D249" s="189" t="str">
        <f t="shared" si="283"/>
        <v>22_S_</v>
      </c>
      <c r="E249" s="190" t="s">
        <v>1</v>
      </c>
      <c r="F249" s="190" t="s">
        <v>1</v>
      </c>
      <c r="G249" s="189" t="s">
        <v>37</v>
      </c>
      <c r="H249" s="190"/>
      <c r="I249" s="190" t="s">
        <v>50</v>
      </c>
      <c r="J249" s="190">
        <v>22</v>
      </c>
      <c r="K249" s="190" t="s">
        <v>51</v>
      </c>
      <c r="L249" s="189" t="s">
        <v>9</v>
      </c>
      <c r="M249" s="386">
        <v>0</v>
      </c>
      <c r="N249" s="211">
        <v>100</v>
      </c>
      <c r="O249" s="211">
        <v>100</v>
      </c>
      <c r="P249" s="190"/>
      <c r="Q249" s="190"/>
      <c r="R249" s="190" t="s">
        <v>73</v>
      </c>
      <c r="S249" s="183">
        <f t="shared" si="341"/>
        <v>2</v>
      </c>
      <c r="T249" s="386">
        <v>0</v>
      </c>
      <c r="U249" s="385">
        <f t="shared" si="342"/>
        <v>2</v>
      </c>
      <c r="V249" s="385">
        <f t="shared" si="342"/>
        <v>2</v>
      </c>
      <c r="W249" s="387"/>
      <c r="X249" s="387"/>
      <c r="Y249" s="184">
        <f t="shared" si="294"/>
        <v>0</v>
      </c>
      <c r="Z249" s="184">
        <f t="shared" si="343"/>
        <v>31277</v>
      </c>
      <c r="AA249" s="184">
        <f t="shared" si="344"/>
        <v>46469</v>
      </c>
      <c r="AB249" s="184">
        <f t="shared" si="345"/>
        <v>0</v>
      </c>
      <c r="AC249" s="184">
        <f t="shared" si="346"/>
        <v>0</v>
      </c>
      <c r="AD249" s="184">
        <f t="shared" si="295"/>
        <v>77746</v>
      </c>
      <c r="AE249" s="183">
        <f t="shared" si="338"/>
        <v>0</v>
      </c>
      <c r="AF249" s="386">
        <v>0</v>
      </c>
      <c r="AG249" s="385">
        <f t="shared" si="330"/>
        <v>0</v>
      </c>
      <c r="AH249" s="385">
        <f t="shared" si="330"/>
        <v>0</v>
      </c>
      <c r="AI249" s="185">
        <f t="shared" si="296"/>
        <v>0</v>
      </c>
      <c r="AJ249" s="185">
        <f t="shared" si="339"/>
        <v>433</v>
      </c>
      <c r="AK249" s="185">
        <f t="shared" si="340"/>
        <v>683</v>
      </c>
      <c r="AL249" s="185">
        <f t="shared" si="297"/>
        <v>1116</v>
      </c>
      <c r="AM249" s="173">
        <v>0</v>
      </c>
      <c r="AN249" s="173">
        <f t="shared" si="318"/>
        <v>62554</v>
      </c>
      <c r="AO249" s="173">
        <f t="shared" si="319"/>
        <v>92938</v>
      </c>
      <c r="AP249" s="173">
        <f t="shared" si="284"/>
        <v>0</v>
      </c>
      <c r="AQ249" s="173">
        <f t="shared" si="285"/>
        <v>0</v>
      </c>
      <c r="AR249" s="173">
        <f t="shared" si="286"/>
        <v>155492</v>
      </c>
      <c r="AS249" s="186" t="s">
        <v>1366</v>
      </c>
      <c r="AT249" s="300">
        <f t="shared" si="337"/>
        <v>4.9124999999999996</v>
      </c>
      <c r="AU249" s="300">
        <f t="shared" si="337"/>
        <v>4.9124999999999996</v>
      </c>
      <c r="AV249" s="300">
        <f t="shared" si="337"/>
        <v>4.9124999999999996</v>
      </c>
      <c r="AW249" s="300">
        <f t="shared" si="337"/>
        <v>4.9124999999999996</v>
      </c>
      <c r="AX249" s="300">
        <f t="shared" si="337"/>
        <v>4.9124999999999996</v>
      </c>
      <c r="AY249" s="301">
        <f t="shared" si="347"/>
        <v>4.9124999999999996</v>
      </c>
      <c r="AZ249" s="301">
        <f t="shared" si="347"/>
        <v>4.9124999999999996</v>
      </c>
      <c r="BA249" s="301">
        <f t="shared" si="347"/>
        <v>4.9124999999999996</v>
      </c>
      <c r="BB249" s="301">
        <f t="shared" si="347"/>
        <v>4.9124999999999996</v>
      </c>
      <c r="BC249" s="301">
        <f t="shared" si="347"/>
        <v>4.9124999999999996</v>
      </c>
      <c r="BD249" s="187"/>
      <c r="BE249" s="187">
        <f t="shared" si="321"/>
        <v>525</v>
      </c>
      <c r="BF249" s="187">
        <f t="shared" si="322"/>
        <v>525</v>
      </c>
      <c r="BG249" s="187"/>
      <c r="BH249" s="187"/>
      <c r="BI249" s="187"/>
      <c r="BJ249" s="187">
        <f t="shared" si="298"/>
        <v>525</v>
      </c>
      <c r="BK249" s="187">
        <f t="shared" si="299"/>
        <v>525</v>
      </c>
      <c r="BL249" s="187"/>
      <c r="BM249" s="187"/>
      <c r="BN249" s="188"/>
      <c r="BO249" s="188">
        <f t="shared" si="300"/>
        <v>32840850</v>
      </c>
      <c r="BP249" s="188">
        <f t="shared" si="301"/>
        <v>48792450</v>
      </c>
      <c r="BQ249" s="188">
        <f t="shared" si="302"/>
        <v>0</v>
      </c>
      <c r="BR249" s="188">
        <f t="shared" si="303"/>
        <v>0</v>
      </c>
      <c r="BS249" s="188">
        <f t="shared" si="287"/>
        <v>81633300</v>
      </c>
      <c r="BT249" s="188">
        <f t="shared" si="288"/>
        <v>0</v>
      </c>
      <c r="BU249" s="188">
        <f t="shared" si="289"/>
        <v>32840850</v>
      </c>
      <c r="BV249" s="188">
        <f t="shared" si="290"/>
        <v>48792450</v>
      </c>
      <c r="BW249" s="188">
        <f t="shared" si="291"/>
        <v>0</v>
      </c>
      <c r="BX249" s="188">
        <f t="shared" si="292"/>
        <v>0</v>
      </c>
      <c r="BY249" s="188">
        <f t="shared" si="293"/>
        <v>81633300</v>
      </c>
      <c r="BZ249" s="305">
        <f>IF(COT_PRECALCULOS!$D$24="Precios Iva Incluído",BI249,BD249)</f>
        <v>0</v>
      </c>
      <c r="CA249" s="305">
        <f>IF(COT_PRECALCULOS!$D$24="Precios Iva Incluído",BJ249,BE249)</f>
        <v>525</v>
      </c>
      <c r="CB249" s="305">
        <f>IF(COT_PRECALCULOS!$D$24="Precios Iva Incluído",BK249,BF249)</f>
        <v>525</v>
      </c>
      <c r="CC249" s="305">
        <f>IF(COT_PRECALCULOS!$D$24="Precios Iva Incluído",BL249,BG249)</f>
        <v>0</v>
      </c>
      <c r="CD249" s="305">
        <f>IF(COT_PRECALCULOS!$D$24="Precios Iva Incluído",BM249,BH249)</f>
        <v>0</v>
      </c>
      <c r="CE249" s="305">
        <f>IF(COT_PRECALCULOS!$D$24="Precios Iva Incluído",BT249,BN249)</f>
        <v>0</v>
      </c>
      <c r="CF249" s="305">
        <f>IF(COT_PRECALCULOS!$D$24="Precios Iva Incluído",BU249,BO249)</f>
        <v>32840850</v>
      </c>
      <c r="CG249" s="305">
        <f>IF(COT_PRECALCULOS!$D$24="Precios Iva Incluído",BV249,BP249)</f>
        <v>48792450</v>
      </c>
      <c r="CH249" s="305">
        <f>IF(COT_PRECALCULOS!$D$24="Precios Iva Incluído",BW249,BQ249)</f>
        <v>0</v>
      </c>
      <c r="CI249" s="305">
        <f>IF(COT_PRECALCULOS!$D$24="Precios Iva Incluído",BX249,BR249)</f>
        <v>0</v>
      </c>
    </row>
    <row r="250" spans="1:87">
      <c r="A250" s="182" t="s">
        <v>102</v>
      </c>
      <c r="B250" s="182" t="s">
        <v>126</v>
      </c>
      <c r="C250" s="189" t="str">
        <f t="shared" si="282"/>
        <v>F_SE8</v>
      </c>
      <c r="D250" s="189" t="str">
        <f t="shared" si="283"/>
        <v>33_S_</v>
      </c>
      <c r="E250" s="190" t="s">
        <v>1</v>
      </c>
      <c r="F250" s="190" t="s">
        <v>1</v>
      </c>
      <c r="G250" s="189" t="s">
        <v>37</v>
      </c>
      <c r="H250" s="190"/>
      <c r="I250" s="190" t="s">
        <v>58</v>
      </c>
      <c r="J250" s="190">
        <v>33</v>
      </c>
      <c r="K250" s="190" t="s">
        <v>59</v>
      </c>
      <c r="L250" s="189" t="s">
        <v>48</v>
      </c>
      <c r="M250" s="310">
        <v>90</v>
      </c>
      <c r="N250" s="310">
        <v>90</v>
      </c>
      <c r="O250" s="310">
        <v>90</v>
      </c>
      <c r="P250" s="190"/>
      <c r="Q250" s="190"/>
      <c r="R250" s="190"/>
      <c r="S250" s="183">
        <f t="shared" si="341"/>
        <v>2</v>
      </c>
      <c r="T250" s="385">
        <f>$S250</f>
        <v>2</v>
      </c>
      <c r="U250" s="385">
        <f t="shared" si="342"/>
        <v>2</v>
      </c>
      <c r="V250" s="385">
        <f t="shared" si="342"/>
        <v>2</v>
      </c>
      <c r="W250" s="387"/>
      <c r="X250" s="387"/>
      <c r="Y250" s="184">
        <f t="shared" si="294"/>
        <v>28053</v>
      </c>
      <c r="Z250" s="184">
        <f t="shared" si="343"/>
        <v>31277</v>
      </c>
      <c r="AA250" s="184">
        <f t="shared" si="344"/>
        <v>46469</v>
      </c>
      <c r="AB250" s="184">
        <f t="shared" si="345"/>
        <v>0</v>
      </c>
      <c r="AC250" s="184">
        <f t="shared" si="346"/>
        <v>0</v>
      </c>
      <c r="AD250" s="184">
        <f t="shared" si="295"/>
        <v>105799</v>
      </c>
      <c r="AE250" s="183">
        <f t="shared" si="338"/>
        <v>0</v>
      </c>
      <c r="AF250" s="385">
        <f>$AE250</f>
        <v>0</v>
      </c>
      <c r="AG250" s="385">
        <f t="shared" si="330"/>
        <v>0</v>
      </c>
      <c r="AH250" s="385">
        <f t="shared" si="330"/>
        <v>0</v>
      </c>
      <c r="AI250" s="185">
        <f t="shared" si="296"/>
        <v>74</v>
      </c>
      <c r="AJ250" s="185">
        <f t="shared" si="339"/>
        <v>433</v>
      </c>
      <c r="AK250" s="185">
        <f t="shared" si="340"/>
        <v>683</v>
      </c>
      <c r="AL250" s="185">
        <f t="shared" si="297"/>
        <v>1190</v>
      </c>
      <c r="AM250" s="173">
        <f t="shared" ref="AM250:AM256" si="348">($S250*Y250)+($AE250*AI250)</f>
        <v>56106</v>
      </c>
      <c r="AN250" s="173">
        <f t="shared" si="318"/>
        <v>62554</v>
      </c>
      <c r="AO250" s="173">
        <f t="shared" si="319"/>
        <v>92938</v>
      </c>
      <c r="AP250" s="173">
        <f t="shared" si="284"/>
        <v>0</v>
      </c>
      <c r="AQ250" s="173">
        <f t="shared" si="285"/>
        <v>0</v>
      </c>
      <c r="AR250" s="173">
        <f t="shared" si="286"/>
        <v>211598</v>
      </c>
      <c r="AS250" s="186" t="s">
        <v>1366</v>
      </c>
      <c r="AT250" s="300">
        <f t="shared" si="337"/>
        <v>2.8014999999999999</v>
      </c>
      <c r="AU250" s="300">
        <f t="shared" si="337"/>
        <v>2.8014999999999999</v>
      </c>
      <c r="AV250" s="300">
        <f t="shared" si="337"/>
        <v>2.8014999999999999</v>
      </c>
      <c r="AW250" s="300">
        <f t="shared" si="337"/>
        <v>2.8014999999999999</v>
      </c>
      <c r="AX250" s="300">
        <f t="shared" si="337"/>
        <v>2.8014999999999999</v>
      </c>
      <c r="AY250" s="301">
        <f t="shared" si="347"/>
        <v>2.8014999999999999</v>
      </c>
      <c r="AZ250" s="301">
        <f t="shared" si="347"/>
        <v>2.8014999999999999</v>
      </c>
      <c r="BA250" s="301">
        <f t="shared" si="347"/>
        <v>2.8014999999999999</v>
      </c>
      <c r="BB250" s="301">
        <f t="shared" si="347"/>
        <v>2.8014999999999999</v>
      </c>
      <c r="BC250" s="301">
        <f t="shared" si="347"/>
        <v>2.8014999999999999</v>
      </c>
      <c r="BD250" s="187">
        <f>ROUND(IF(OR(M250=0,AT250="DATO NO DISPONIBLE"),"",AT250*M250*($BD$7+1)),0)</f>
        <v>270</v>
      </c>
      <c r="BE250" s="187">
        <f t="shared" si="321"/>
        <v>270</v>
      </c>
      <c r="BF250" s="187">
        <f t="shared" si="322"/>
        <v>270</v>
      </c>
      <c r="BG250" s="187"/>
      <c r="BH250" s="187"/>
      <c r="BI250" s="187">
        <f>ROUND(IF(OR(M250=0,AY250="DATO NO DISPONIBLE"),0,AY250*M250*($BD$7+1)),0)</f>
        <v>270</v>
      </c>
      <c r="BJ250" s="187">
        <f t="shared" si="298"/>
        <v>270</v>
      </c>
      <c r="BK250" s="187">
        <f t="shared" si="299"/>
        <v>270</v>
      </c>
      <c r="BL250" s="187"/>
      <c r="BM250" s="187"/>
      <c r="BN250" s="188">
        <f>BD250*AM250</f>
        <v>15148620</v>
      </c>
      <c r="BO250" s="188">
        <f t="shared" si="300"/>
        <v>16889580</v>
      </c>
      <c r="BP250" s="188">
        <f t="shared" si="301"/>
        <v>25093260</v>
      </c>
      <c r="BQ250" s="188">
        <f t="shared" si="302"/>
        <v>0</v>
      </c>
      <c r="BR250" s="188">
        <f t="shared" si="303"/>
        <v>0</v>
      </c>
      <c r="BS250" s="188">
        <f t="shared" si="287"/>
        <v>57131460</v>
      </c>
      <c r="BT250" s="188">
        <f t="shared" si="288"/>
        <v>15148620</v>
      </c>
      <c r="BU250" s="188">
        <f t="shared" si="289"/>
        <v>16889580</v>
      </c>
      <c r="BV250" s="188">
        <f t="shared" si="290"/>
        <v>25093260</v>
      </c>
      <c r="BW250" s="188">
        <f t="shared" si="291"/>
        <v>0</v>
      </c>
      <c r="BX250" s="188">
        <f t="shared" si="292"/>
        <v>0</v>
      </c>
      <c r="BY250" s="188">
        <f t="shared" si="293"/>
        <v>57131460</v>
      </c>
      <c r="BZ250" s="305">
        <f>IF(COT_PRECALCULOS!$D$24="Precios Iva Incluído",BI250,BD250)</f>
        <v>270</v>
      </c>
      <c r="CA250" s="305">
        <f>IF(COT_PRECALCULOS!$D$24="Precios Iva Incluído",BJ250,BE250)</f>
        <v>270</v>
      </c>
      <c r="CB250" s="305">
        <f>IF(COT_PRECALCULOS!$D$24="Precios Iva Incluído",BK250,BF250)</f>
        <v>270</v>
      </c>
      <c r="CC250" s="305">
        <f>IF(COT_PRECALCULOS!$D$24="Precios Iva Incluído",BL250,BG250)</f>
        <v>0</v>
      </c>
      <c r="CD250" s="305">
        <f>IF(COT_PRECALCULOS!$D$24="Precios Iva Incluído",BM250,BH250)</f>
        <v>0</v>
      </c>
      <c r="CE250" s="305">
        <f>IF(COT_PRECALCULOS!$D$24="Precios Iva Incluído",BT250,BN250)</f>
        <v>15148620</v>
      </c>
      <c r="CF250" s="305">
        <f>IF(COT_PRECALCULOS!$D$24="Precios Iva Incluído",BU250,BO250)</f>
        <v>16889580</v>
      </c>
      <c r="CG250" s="305">
        <f>IF(COT_PRECALCULOS!$D$24="Precios Iva Incluído",BV250,BP250)</f>
        <v>25093260</v>
      </c>
      <c r="CH250" s="305">
        <f>IF(COT_PRECALCULOS!$D$24="Precios Iva Incluído",BW250,BQ250)</f>
        <v>0</v>
      </c>
      <c r="CI250" s="305">
        <f>IF(COT_PRECALCULOS!$D$24="Precios Iva Incluído",BX250,BR250)</f>
        <v>0</v>
      </c>
    </row>
    <row r="251" spans="1:87">
      <c r="A251" s="182" t="s">
        <v>102</v>
      </c>
      <c r="B251" s="182" t="s">
        <v>126</v>
      </c>
      <c r="C251" s="189" t="str">
        <f t="shared" si="282"/>
        <v>F_SE8</v>
      </c>
      <c r="D251" s="189" t="str">
        <f t="shared" si="283"/>
        <v>42_S_</v>
      </c>
      <c r="E251" s="190" t="s">
        <v>1</v>
      </c>
      <c r="F251" s="190" t="s">
        <v>1</v>
      </c>
      <c r="G251" s="189" t="s">
        <v>37</v>
      </c>
      <c r="H251" s="190"/>
      <c r="I251" s="190" t="s">
        <v>49</v>
      </c>
      <c r="J251" s="190">
        <v>42</v>
      </c>
      <c r="K251" s="190" t="s">
        <v>61</v>
      </c>
      <c r="L251" s="189" t="s">
        <v>9</v>
      </c>
      <c r="M251" s="211">
        <v>100</v>
      </c>
      <c r="N251" s="211">
        <v>100</v>
      </c>
      <c r="O251" s="211">
        <v>100</v>
      </c>
      <c r="P251" s="190"/>
      <c r="Q251" s="190"/>
      <c r="R251" s="190"/>
      <c r="S251" s="183">
        <f t="shared" si="341"/>
        <v>1</v>
      </c>
      <c r="T251" s="385">
        <f>$S251</f>
        <v>1</v>
      </c>
      <c r="U251" s="385">
        <f t="shared" si="342"/>
        <v>1</v>
      </c>
      <c r="V251" s="385">
        <f t="shared" si="342"/>
        <v>1</v>
      </c>
      <c r="W251" s="387"/>
      <c r="X251" s="387"/>
      <c r="Y251" s="184">
        <f t="shared" si="294"/>
        <v>28053</v>
      </c>
      <c r="Z251" s="184">
        <f t="shared" si="343"/>
        <v>31277</v>
      </c>
      <c r="AA251" s="184">
        <f t="shared" si="344"/>
        <v>46469</v>
      </c>
      <c r="AB251" s="184">
        <f t="shared" si="345"/>
        <v>0</v>
      </c>
      <c r="AC251" s="184">
        <f t="shared" si="346"/>
        <v>0</v>
      </c>
      <c r="AD251" s="184">
        <f t="shared" si="295"/>
        <v>105799</v>
      </c>
      <c r="AE251" s="183">
        <f t="shared" si="338"/>
        <v>0</v>
      </c>
      <c r="AF251" s="385">
        <f>$AE251</f>
        <v>0</v>
      </c>
      <c r="AG251" s="385">
        <f t="shared" si="330"/>
        <v>0</v>
      </c>
      <c r="AH251" s="385">
        <f t="shared" si="330"/>
        <v>0</v>
      </c>
      <c r="AI251" s="185">
        <f t="shared" si="296"/>
        <v>74</v>
      </c>
      <c r="AJ251" s="185">
        <f t="shared" si="339"/>
        <v>433</v>
      </c>
      <c r="AK251" s="185">
        <f t="shared" si="340"/>
        <v>683</v>
      </c>
      <c r="AL251" s="185">
        <f t="shared" si="297"/>
        <v>1190</v>
      </c>
      <c r="AM251" s="173">
        <f t="shared" si="348"/>
        <v>28053</v>
      </c>
      <c r="AN251" s="173">
        <f t="shared" si="318"/>
        <v>31277</v>
      </c>
      <c r="AO251" s="173">
        <f t="shared" si="319"/>
        <v>46469</v>
      </c>
      <c r="AP251" s="173">
        <f t="shared" si="284"/>
        <v>0</v>
      </c>
      <c r="AQ251" s="173">
        <f t="shared" si="285"/>
        <v>0</v>
      </c>
      <c r="AR251" s="173">
        <f t="shared" si="286"/>
        <v>105799</v>
      </c>
      <c r="AS251" s="186" t="s">
        <v>1366</v>
      </c>
      <c r="AT251" s="300">
        <f t="shared" ref="AT251:AX260" si="349">IF(ISERROR(IF(ISERROR(MATCH(CONCATENATE($J251,"_",AT$1),COT_PRE_CODIGO_ALIMENTOS,0)),IF(ISERROR(MATCH(CONCATENATE($J251,"_",AT$2),COT_PRE_CODIGO_ALIMENTOS,0)),IF(ISERROR(MATCH(CONCATENATE($J251,"_",AT$3),COT_PRE_CODIGO_ALIMENTOS,0)),IF(ISERROR(MATCH(CONCATENATE($J251,"_",AT$4),COT_PRE_CODIGO_ALIMENTOS,0)),IF(ISERROR(MATCH(CONCATENATE($J251,"_",AT$5),COT_PRE_CODIGO_ALIMENTOS,0)),IF(ISERROR(MATCH(CONCATENATE($J251,"_",AT$6),COT_PRE_CODIGO_ALIMENTOS,0)),IF(ISERROR(MATCH(CONCATENATE($J251,"_",AT$7),COT_PRE_CODIGO_ALIMENTOS,0)),IF(ISERROR(VLOOKUP($J251,COT_PRE_ALIMENTOS,AT$8,FALSE)),"DATO NO DISPONIBLE",VLOOKUP($J251,COT_PRE_ALIMENTOS,AT$8,FALSE)),VLOOKUP(CONCATENATE($J251,"_",AT$7),COT_PRE_ALIMENTOS,AT$8,FALSE)),VLOOKUP(CONCATENATE($J251,"_",AT$6),COT_PRE_ALIMENTOS,AT$8,FALSE)),VLOOKUP(CONCATENATE($J251,"_",AT$5),COT_PRE_ALIMENTOS,AT$8,FALSE)),VLOOKUP(CONCATENATE($J251,"_",AT$4),COT_PRE_ALIMENTOS,AT$8,FALSE)),VLOOKUP(CONCATENATE($J251,"_",AT$3),COT_PRE_ALIMENTOS,AT$8,FALSE)),VLOOKUP(CONCATENATE($J251,"_",AT$2),COT_PRE_ALIMENTOS,AT$8,FALSE)),VLOOKUP(CONCATENATE($J251,"_",AT$1),COT_PRE_ALIMENTOS,AT$8,FALSE))),"DATO NO DISPONIBLE",IF(ISERROR(MATCH(CONCATENATE($J251,"_",AT$1),COT_PRE_CODIGO_ALIMENTOS,0)),IF(ISERROR(MATCH(CONCATENATE($J251,"_",AT$2),COT_PRE_CODIGO_ALIMENTOS,0)),IF(ISERROR(MATCH(CONCATENATE($J251,"_",AT$3),COT_PRE_CODIGO_ALIMENTOS,0)),IF(ISERROR(MATCH(CONCATENATE($J251,"_",AT$4),COT_PRE_CODIGO_ALIMENTOS,0)),IF(ISERROR(MATCH(CONCATENATE($J251,"_",AT$5),COT_PRE_CODIGO_ALIMENTOS,0)),IF(ISERROR(MATCH(CONCATENATE($J251,"_",AT$6),COT_PRE_CODIGO_ALIMENTOS,0)),IF(ISERROR(MATCH(CONCATENATE($J251,"_",AT$7),COT_PRE_CODIGO_ALIMENTOS,0)),IF(ISERROR(VLOOKUP($J251,COT_PRE_ALIMENTOS,AT$8,FALSE)),"DATO NO DISPONIBLE",VLOOKUP($J251,COT_PRE_ALIMENTOS,AT$8,FALSE)),VLOOKUP(CONCATENATE($J251,"_",AT$7),COT_PRE_ALIMENTOS,AT$8,FALSE)),VLOOKUP(CONCATENATE($J251,"_",AT$6),COT_PRE_ALIMENTOS,AT$8,FALSE)),VLOOKUP(CONCATENATE($J251,"_",AT$5),COT_PRE_ALIMENTOS,AT$8,FALSE)),VLOOKUP(CONCATENATE($J251,"_",AT$4),COT_PRE_ALIMENTOS,AT$8,FALSE)),VLOOKUP(CONCATENATE($J251,"_",AT$3),COT_PRE_ALIMENTOS,AT$8,FALSE)),VLOOKUP(CONCATENATE($J251,"_",AT$2),COT_PRE_ALIMENTOS,AT$8,FALSE)),VLOOKUP(CONCATENATE($J251,"_",AT$1),COT_PRE_ALIMENTOS,AT$8,FALSE)))</f>
        <v>1.8169999999999999</v>
      </c>
      <c r="AU251" s="300">
        <f t="shared" si="349"/>
        <v>1.8169999999999999</v>
      </c>
      <c r="AV251" s="300">
        <f t="shared" si="349"/>
        <v>1.8169999999999999</v>
      </c>
      <c r="AW251" s="300">
        <f t="shared" si="349"/>
        <v>1.8169999999999999</v>
      </c>
      <c r="AX251" s="300">
        <f t="shared" si="349"/>
        <v>1.8169999999999999</v>
      </c>
      <c r="AY251" s="301">
        <f t="shared" si="347"/>
        <v>1.8169999999999999</v>
      </c>
      <c r="AZ251" s="301">
        <f t="shared" si="347"/>
        <v>1.8169999999999999</v>
      </c>
      <c r="BA251" s="301">
        <f t="shared" si="347"/>
        <v>1.8169999999999999</v>
      </c>
      <c r="BB251" s="301">
        <f t="shared" si="347"/>
        <v>1.8169999999999999</v>
      </c>
      <c r="BC251" s="301">
        <f t="shared" si="347"/>
        <v>1.8169999999999999</v>
      </c>
      <c r="BD251" s="187">
        <f>ROUND(IF(OR(M251=0,AT251="DATO NO DISPONIBLE"),"",AT251*M251*($BD$7+1)),0)</f>
        <v>194</v>
      </c>
      <c r="BE251" s="187">
        <f t="shared" si="321"/>
        <v>194</v>
      </c>
      <c r="BF251" s="187">
        <f t="shared" si="322"/>
        <v>194</v>
      </c>
      <c r="BG251" s="187"/>
      <c r="BH251" s="187"/>
      <c r="BI251" s="187">
        <f>ROUND(IF(OR(M251=0,AY251="DATO NO DISPONIBLE"),0,AY251*M251*($BD$7+1)),0)</f>
        <v>194</v>
      </c>
      <c r="BJ251" s="187">
        <f t="shared" si="298"/>
        <v>194</v>
      </c>
      <c r="BK251" s="187">
        <f t="shared" si="299"/>
        <v>194</v>
      </c>
      <c r="BL251" s="187"/>
      <c r="BM251" s="187"/>
      <c r="BN251" s="188">
        <f>BD251*AM251</f>
        <v>5442282</v>
      </c>
      <c r="BO251" s="188">
        <f t="shared" si="300"/>
        <v>6067738</v>
      </c>
      <c r="BP251" s="188">
        <f t="shared" si="301"/>
        <v>9014986</v>
      </c>
      <c r="BQ251" s="188">
        <f t="shared" si="302"/>
        <v>0</v>
      </c>
      <c r="BR251" s="188">
        <f t="shared" si="303"/>
        <v>0</v>
      </c>
      <c r="BS251" s="188">
        <f t="shared" si="287"/>
        <v>20525006</v>
      </c>
      <c r="BT251" s="188">
        <f t="shared" si="288"/>
        <v>5442282</v>
      </c>
      <c r="BU251" s="188">
        <f t="shared" si="289"/>
        <v>6067738</v>
      </c>
      <c r="BV251" s="188">
        <f t="shared" si="290"/>
        <v>9014986</v>
      </c>
      <c r="BW251" s="188">
        <f t="shared" si="291"/>
        <v>0</v>
      </c>
      <c r="BX251" s="188">
        <f t="shared" si="292"/>
        <v>0</v>
      </c>
      <c r="BY251" s="188">
        <f t="shared" si="293"/>
        <v>20525006</v>
      </c>
      <c r="BZ251" s="305">
        <f>IF(COT_PRECALCULOS!$D$24="Precios Iva Incluído",BI251,BD251)</f>
        <v>194</v>
      </c>
      <c r="CA251" s="305">
        <f>IF(COT_PRECALCULOS!$D$24="Precios Iva Incluído",BJ251,BE251)</f>
        <v>194</v>
      </c>
      <c r="CB251" s="305">
        <f>IF(COT_PRECALCULOS!$D$24="Precios Iva Incluído",BK251,BF251)</f>
        <v>194</v>
      </c>
      <c r="CC251" s="305">
        <f>IF(COT_PRECALCULOS!$D$24="Precios Iva Incluído",BL251,BG251)</f>
        <v>0</v>
      </c>
      <c r="CD251" s="305">
        <f>IF(COT_PRECALCULOS!$D$24="Precios Iva Incluído",BM251,BH251)</f>
        <v>0</v>
      </c>
      <c r="CE251" s="305">
        <f>IF(COT_PRECALCULOS!$D$24="Precios Iva Incluído",BT251,BN251)</f>
        <v>5442282</v>
      </c>
      <c r="CF251" s="305">
        <f>IF(COT_PRECALCULOS!$D$24="Precios Iva Incluído",BU251,BO251)</f>
        <v>6067738</v>
      </c>
      <c r="CG251" s="305">
        <f>IF(COT_PRECALCULOS!$D$24="Precios Iva Incluído",BV251,BP251)</f>
        <v>9014986</v>
      </c>
      <c r="CH251" s="305">
        <f>IF(COT_PRECALCULOS!$D$24="Precios Iva Incluído",BW251,BQ251)</f>
        <v>0</v>
      </c>
      <c r="CI251" s="305">
        <f>IF(COT_PRECALCULOS!$D$24="Precios Iva Incluído",BX251,BR251)</f>
        <v>0</v>
      </c>
    </row>
    <row r="252" spans="1:87">
      <c r="A252" s="182" t="s">
        <v>102</v>
      </c>
      <c r="B252" s="182" t="s">
        <v>126</v>
      </c>
      <c r="C252" s="189" t="str">
        <f t="shared" si="282"/>
        <v>F_SE8</v>
      </c>
      <c r="D252" s="189" t="str">
        <f t="shared" si="283"/>
        <v>43_S_</v>
      </c>
      <c r="E252" s="190" t="s">
        <v>1</v>
      </c>
      <c r="F252" s="190" t="s">
        <v>1</v>
      </c>
      <c r="G252" s="189" t="s">
        <v>37</v>
      </c>
      <c r="H252" s="190"/>
      <c r="I252" s="190" t="s">
        <v>60</v>
      </c>
      <c r="J252" s="190">
        <v>43</v>
      </c>
      <c r="K252" s="190" t="s">
        <v>62</v>
      </c>
      <c r="L252" s="189" t="s">
        <v>9</v>
      </c>
      <c r="M252" s="211">
        <v>100</v>
      </c>
      <c r="N252" s="211">
        <v>100</v>
      </c>
      <c r="O252" s="211">
        <v>100</v>
      </c>
      <c r="P252" s="190"/>
      <c r="Q252" s="190"/>
      <c r="R252" s="190"/>
      <c r="S252" s="183">
        <f t="shared" si="341"/>
        <v>2</v>
      </c>
      <c r="T252" s="385">
        <f>$S252</f>
        <v>2</v>
      </c>
      <c r="U252" s="385">
        <f t="shared" si="342"/>
        <v>2</v>
      </c>
      <c r="V252" s="385">
        <f t="shared" si="342"/>
        <v>2</v>
      </c>
      <c r="W252" s="387"/>
      <c r="X252" s="387"/>
      <c r="Y252" s="184">
        <f t="shared" si="294"/>
        <v>28053</v>
      </c>
      <c r="Z252" s="184">
        <f t="shared" si="343"/>
        <v>31277</v>
      </c>
      <c r="AA252" s="184">
        <f t="shared" si="344"/>
        <v>46469</v>
      </c>
      <c r="AB252" s="184">
        <f t="shared" si="345"/>
        <v>0</v>
      </c>
      <c r="AC252" s="184">
        <f t="shared" si="346"/>
        <v>0</v>
      </c>
      <c r="AD252" s="184">
        <f t="shared" si="295"/>
        <v>105799</v>
      </c>
      <c r="AE252" s="183">
        <f t="shared" si="338"/>
        <v>0</v>
      </c>
      <c r="AF252" s="385">
        <f>$AE252</f>
        <v>0</v>
      </c>
      <c r="AG252" s="385">
        <f t="shared" si="330"/>
        <v>0</v>
      </c>
      <c r="AH252" s="385">
        <f t="shared" si="330"/>
        <v>0</v>
      </c>
      <c r="AI252" s="185">
        <f t="shared" si="296"/>
        <v>74</v>
      </c>
      <c r="AJ252" s="185">
        <f t="shared" si="339"/>
        <v>433</v>
      </c>
      <c r="AK252" s="185">
        <f t="shared" si="340"/>
        <v>683</v>
      </c>
      <c r="AL252" s="185">
        <f t="shared" si="297"/>
        <v>1190</v>
      </c>
      <c r="AM252" s="173">
        <f t="shared" si="348"/>
        <v>56106</v>
      </c>
      <c r="AN252" s="173">
        <f t="shared" si="318"/>
        <v>62554</v>
      </c>
      <c r="AO252" s="173">
        <f t="shared" si="319"/>
        <v>92938</v>
      </c>
      <c r="AP252" s="173">
        <f t="shared" si="284"/>
        <v>0</v>
      </c>
      <c r="AQ252" s="173">
        <f t="shared" si="285"/>
        <v>0</v>
      </c>
      <c r="AR252" s="173">
        <f t="shared" si="286"/>
        <v>211598</v>
      </c>
      <c r="AS252" s="186" t="s">
        <v>1366</v>
      </c>
      <c r="AT252" s="300">
        <f t="shared" si="349"/>
        <v>1.5892500000000001</v>
      </c>
      <c r="AU252" s="300">
        <f t="shared" si="349"/>
        <v>1.5892500000000001</v>
      </c>
      <c r="AV252" s="300">
        <f t="shared" si="349"/>
        <v>1.5892500000000001</v>
      </c>
      <c r="AW252" s="300">
        <f t="shared" si="349"/>
        <v>1.5892500000000001</v>
      </c>
      <c r="AX252" s="300">
        <f t="shared" si="349"/>
        <v>1.5892500000000001</v>
      </c>
      <c r="AY252" s="301">
        <f t="shared" si="347"/>
        <v>1.5892500000000001</v>
      </c>
      <c r="AZ252" s="301">
        <f t="shared" si="347"/>
        <v>1.5892500000000001</v>
      </c>
      <c r="BA252" s="301">
        <f t="shared" si="347"/>
        <v>1.5892500000000001</v>
      </c>
      <c r="BB252" s="301">
        <f t="shared" si="347"/>
        <v>1.5892500000000001</v>
      </c>
      <c r="BC252" s="301">
        <f t="shared" si="347"/>
        <v>1.5892500000000001</v>
      </c>
      <c r="BD252" s="187">
        <f>ROUND(IF(OR(M252=0,AT252="DATO NO DISPONIBLE"),"",AT252*M252*($BD$7+1)),0)</f>
        <v>170</v>
      </c>
      <c r="BE252" s="187">
        <f t="shared" si="321"/>
        <v>170</v>
      </c>
      <c r="BF252" s="187">
        <f t="shared" si="322"/>
        <v>170</v>
      </c>
      <c r="BG252" s="187"/>
      <c r="BH252" s="187"/>
      <c r="BI252" s="187">
        <f>ROUND(IF(OR(M252=0,AY252="DATO NO DISPONIBLE"),0,AY252*M252*($BD$7+1)),0)</f>
        <v>170</v>
      </c>
      <c r="BJ252" s="187">
        <f t="shared" si="298"/>
        <v>170</v>
      </c>
      <c r="BK252" s="187">
        <f t="shared" si="299"/>
        <v>170</v>
      </c>
      <c r="BL252" s="187"/>
      <c r="BM252" s="187"/>
      <c r="BN252" s="188">
        <f>BD252*AM252</f>
        <v>9538020</v>
      </c>
      <c r="BO252" s="188">
        <f t="shared" si="300"/>
        <v>10634180</v>
      </c>
      <c r="BP252" s="188">
        <f t="shared" si="301"/>
        <v>15799460</v>
      </c>
      <c r="BQ252" s="188">
        <f t="shared" si="302"/>
        <v>0</v>
      </c>
      <c r="BR252" s="188">
        <f t="shared" si="303"/>
        <v>0</v>
      </c>
      <c r="BS252" s="188">
        <f t="shared" si="287"/>
        <v>35971660</v>
      </c>
      <c r="BT252" s="188">
        <f t="shared" si="288"/>
        <v>9538020</v>
      </c>
      <c r="BU252" s="188">
        <f t="shared" si="289"/>
        <v>10634180</v>
      </c>
      <c r="BV252" s="188">
        <f t="shared" si="290"/>
        <v>15799460</v>
      </c>
      <c r="BW252" s="188">
        <f t="shared" si="291"/>
        <v>0</v>
      </c>
      <c r="BX252" s="188">
        <f t="shared" si="292"/>
        <v>0</v>
      </c>
      <c r="BY252" s="188">
        <f t="shared" si="293"/>
        <v>35971660</v>
      </c>
      <c r="BZ252" s="305">
        <f>IF(COT_PRECALCULOS!$D$24="Precios Iva Incluído",BI252,BD252)</f>
        <v>170</v>
      </c>
      <c r="CA252" s="305">
        <f>IF(COT_PRECALCULOS!$D$24="Precios Iva Incluído",BJ252,BE252)</f>
        <v>170</v>
      </c>
      <c r="CB252" s="305">
        <f>IF(COT_PRECALCULOS!$D$24="Precios Iva Incluído",BK252,BF252)</f>
        <v>170</v>
      </c>
      <c r="CC252" s="305">
        <f>IF(COT_PRECALCULOS!$D$24="Precios Iva Incluído",BL252,BG252)</f>
        <v>0</v>
      </c>
      <c r="CD252" s="305">
        <f>IF(COT_PRECALCULOS!$D$24="Precios Iva Incluído",BM252,BH252)</f>
        <v>0</v>
      </c>
      <c r="CE252" s="305">
        <f>IF(COT_PRECALCULOS!$D$24="Precios Iva Incluído",BT252,BN252)</f>
        <v>9538020</v>
      </c>
      <c r="CF252" s="305">
        <f>IF(COT_PRECALCULOS!$D$24="Precios Iva Incluído",BU252,BO252)</f>
        <v>10634180</v>
      </c>
      <c r="CG252" s="305">
        <f>IF(COT_PRECALCULOS!$D$24="Precios Iva Incluído",BV252,BP252)</f>
        <v>15799460</v>
      </c>
      <c r="CH252" s="305">
        <f>IF(COT_PRECALCULOS!$D$24="Precios Iva Incluído",BW252,BQ252)</f>
        <v>0</v>
      </c>
      <c r="CI252" s="305">
        <f>IF(COT_PRECALCULOS!$D$24="Precios Iva Incluído",BX252,BR252)</f>
        <v>0</v>
      </c>
    </row>
    <row r="253" spans="1:87">
      <c r="A253" s="182" t="s">
        <v>102</v>
      </c>
      <c r="B253" s="182" t="s">
        <v>126</v>
      </c>
      <c r="C253" s="189" t="str">
        <f t="shared" si="282"/>
        <v>F_SE8</v>
      </c>
      <c r="D253" s="189" t="str">
        <f t="shared" si="283"/>
        <v>46_S_</v>
      </c>
      <c r="E253" s="190" t="s">
        <v>1</v>
      </c>
      <c r="F253" s="190" t="s">
        <v>1</v>
      </c>
      <c r="G253" s="189" t="s">
        <v>37</v>
      </c>
      <c r="H253" s="190"/>
      <c r="I253" s="190" t="s">
        <v>63</v>
      </c>
      <c r="J253" s="190">
        <v>46</v>
      </c>
      <c r="K253" s="190" t="s">
        <v>64</v>
      </c>
      <c r="L253" s="189" t="s">
        <v>9</v>
      </c>
      <c r="M253" s="211">
        <v>100</v>
      </c>
      <c r="N253" s="211">
        <v>100</v>
      </c>
      <c r="O253" s="211">
        <v>100</v>
      </c>
      <c r="P253" s="190"/>
      <c r="Q253" s="190"/>
      <c r="R253" s="190"/>
      <c r="S253" s="183">
        <f t="shared" si="341"/>
        <v>2</v>
      </c>
      <c r="T253" s="385">
        <f>$S253</f>
        <v>2</v>
      </c>
      <c r="U253" s="385">
        <f t="shared" si="342"/>
        <v>2</v>
      </c>
      <c r="V253" s="385">
        <f t="shared" si="342"/>
        <v>2</v>
      </c>
      <c r="W253" s="387"/>
      <c r="X253" s="387"/>
      <c r="Y253" s="184">
        <f t="shared" si="294"/>
        <v>28053</v>
      </c>
      <c r="Z253" s="184">
        <f t="shared" si="343"/>
        <v>31277</v>
      </c>
      <c r="AA253" s="184">
        <f t="shared" si="344"/>
        <v>46469</v>
      </c>
      <c r="AB253" s="184">
        <f t="shared" si="345"/>
        <v>0</v>
      </c>
      <c r="AC253" s="184">
        <f t="shared" si="346"/>
        <v>0</v>
      </c>
      <c r="AD253" s="184">
        <f t="shared" si="295"/>
        <v>105799</v>
      </c>
      <c r="AE253" s="183">
        <f t="shared" si="338"/>
        <v>0</v>
      </c>
      <c r="AF253" s="385">
        <f>$AE253</f>
        <v>0</v>
      </c>
      <c r="AG253" s="385">
        <f t="shared" si="330"/>
        <v>0</v>
      </c>
      <c r="AH253" s="385">
        <f t="shared" si="330"/>
        <v>0</v>
      </c>
      <c r="AI253" s="185">
        <f t="shared" si="296"/>
        <v>74</v>
      </c>
      <c r="AJ253" s="185">
        <f t="shared" si="339"/>
        <v>433</v>
      </c>
      <c r="AK253" s="185">
        <f t="shared" si="340"/>
        <v>683</v>
      </c>
      <c r="AL253" s="185">
        <f t="shared" si="297"/>
        <v>1190</v>
      </c>
      <c r="AM253" s="173">
        <f t="shared" si="348"/>
        <v>56106</v>
      </c>
      <c r="AN253" s="173">
        <f t="shared" si="318"/>
        <v>62554</v>
      </c>
      <c r="AO253" s="173">
        <f t="shared" si="319"/>
        <v>92938</v>
      </c>
      <c r="AP253" s="173">
        <f t="shared" si="284"/>
        <v>0</v>
      </c>
      <c r="AQ253" s="173">
        <f t="shared" si="285"/>
        <v>0</v>
      </c>
      <c r="AR253" s="173">
        <f t="shared" si="286"/>
        <v>211598</v>
      </c>
      <c r="AS253" s="186" t="s">
        <v>1366</v>
      </c>
      <c r="AT253" s="300">
        <f t="shared" si="349"/>
        <v>3.7214999999999998</v>
      </c>
      <c r="AU253" s="300">
        <f t="shared" si="349"/>
        <v>3.7214999999999998</v>
      </c>
      <c r="AV253" s="300">
        <f t="shared" si="349"/>
        <v>3.7214999999999998</v>
      </c>
      <c r="AW253" s="300">
        <f t="shared" si="349"/>
        <v>3.7214999999999998</v>
      </c>
      <c r="AX253" s="300">
        <f t="shared" si="349"/>
        <v>3.7214999999999998</v>
      </c>
      <c r="AY253" s="301">
        <f t="shared" si="347"/>
        <v>3.7214999999999998</v>
      </c>
      <c r="AZ253" s="301">
        <f t="shared" si="347"/>
        <v>3.7214999999999998</v>
      </c>
      <c r="BA253" s="301">
        <f t="shared" si="347"/>
        <v>3.7214999999999998</v>
      </c>
      <c r="BB253" s="301">
        <f t="shared" si="347"/>
        <v>3.7214999999999998</v>
      </c>
      <c r="BC253" s="301">
        <f t="shared" si="347"/>
        <v>3.7214999999999998</v>
      </c>
      <c r="BD253" s="187">
        <f>ROUND(IF(OR(M253=0,AT253="DATO NO DISPONIBLE"),"",AT253*M253*($BD$7+1)),0)</f>
        <v>398</v>
      </c>
      <c r="BE253" s="187">
        <f t="shared" si="321"/>
        <v>398</v>
      </c>
      <c r="BF253" s="187">
        <f t="shared" si="322"/>
        <v>398</v>
      </c>
      <c r="BG253" s="187"/>
      <c r="BH253" s="187"/>
      <c r="BI253" s="187">
        <f>ROUND(IF(OR(M253=0,AY253="DATO NO DISPONIBLE"),0,AY253*M253*($BD$7+1)),0)</f>
        <v>398</v>
      </c>
      <c r="BJ253" s="187">
        <f t="shared" si="298"/>
        <v>398</v>
      </c>
      <c r="BK253" s="187">
        <f t="shared" si="299"/>
        <v>398</v>
      </c>
      <c r="BL253" s="187"/>
      <c r="BM253" s="187"/>
      <c r="BN253" s="188">
        <f>BD253*AM253</f>
        <v>22330188</v>
      </c>
      <c r="BO253" s="188">
        <f t="shared" si="300"/>
        <v>24896492</v>
      </c>
      <c r="BP253" s="188">
        <f t="shared" si="301"/>
        <v>36989324</v>
      </c>
      <c r="BQ253" s="188">
        <f t="shared" si="302"/>
        <v>0</v>
      </c>
      <c r="BR253" s="188">
        <f t="shared" si="303"/>
        <v>0</v>
      </c>
      <c r="BS253" s="188">
        <f t="shared" si="287"/>
        <v>84216004</v>
      </c>
      <c r="BT253" s="188">
        <f t="shared" si="288"/>
        <v>22330188</v>
      </c>
      <c r="BU253" s="188">
        <f t="shared" si="289"/>
        <v>24896492</v>
      </c>
      <c r="BV253" s="188">
        <f t="shared" si="290"/>
        <v>36989324</v>
      </c>
      <c r="BW253" s="188">
        <f t="shared" si="291"/>
        <v>0</v>
      </c>
      <c r="BX253" s="188">
        <f t="shared" si="292"/>
        <v>0</v>
      </c>
      <c r="BY253" s="188">
        <f t="shared" si="293"/>
        <v>84216004</v>
      </c>
      <c r="BZ253" s="305">
        <f>IF(COT_PRECALCULOS!$D$24="Precios Iva Incluído",BI253,BD253)</f>
        <v>398</v>
      </c>
      <c r="CA253" s="305">
        <f>IF(COT_PRECALCULOS!$D$24="Precios Iva Incluído",BJ253,BE253)</f>
        <v>398</v>
      </c>
      <c r="CB253" s="305">
        <f>IF(COT_PRECALCULOS!$D$24="Precios Iva Incluído",BK253,BF253)</f>
        <v>398</v>
      </c>
      <c r="CC253" s="305">
        <f>IF(COT_PRECALCULOS!$D$24="Precios Iva Incluído",BL253,BG253)</f>
        <v>0</v>
      </c>
      <c r="CD253" s="305">
        <f>IF(COT_PRECALCULOS!$D$24="Precios Iva Incluído",BM253,BH253)</f>
        <v>0</v>
      </c>
      <c r="CE253" s="305">
        <f>IF(COT_PRECALCULOS!$D$24="Precios Iva Incluído",BT253,BN253)</f>
        <v>22330188</v>
      </c>
      <c r="CF253" s="305">
        <f>IF(COT_PRECALCULOS!$D$24="Precios Iva Incluído",BU253,BO253)</f>
        <v>24896492</v>
      </c>
      <c r="CG253" s="305">
        <f>IF(COT_PRECALCULOS!$D$24="Precios Iva Incluído",BV253,BP253)</f>
        <v>36989324</v>
      </c>
      <c r="CH253" s="305">
        <f>IF(COT_PRECALCULOS!$D$24="Precios Iva Incluído",BW253,BQ253)</f>
        <v>0</v>
      </c>
      <c r="CI253" s="305">
        <f>IF(COT_PRECALCULOS!$D$24="Precios Iva Incluído",BX253,BR253)</f>
        <v>0</v>
      </c>
    </row>
    <row r="254" spans="1:87">
      <c r="A254" s="182" t="s">
        <v>102</v>
      </c>
      <c r="B254" s="182" t="s">
        <v>126</v>
      </c>
      <c r="C254" s="189" t="str">
        <f t="shared" si="282"/>
        <v>F_SE8</v>
      </c>
      <c r="D254" s="189" t="str">
        <f t="shared" si="283"/>
        <v>58_S_</v>
      </c>
      <c r="E254" s="190" t="s">
        <v>1</v>
      </c>
      <c r="F254" s="190" t="s">
        <v>1</v>
      </c>
      <c r="G254" s="189" t="s">
        <v>37</v>
      </c>
      <c r="H254" s="190"/>
      <c r="I254" s="190" t="s">
        <v>65</v>
      </c>
      <c r="J254" s="190">
        <v>58</v>
      </c>
      <c r="K254" s="190" t="s">
        <v>67</v>
      </c>
      <c r="L254" s="189" t="s">
        <v>9</v>
      </c>
      <c r="M254" s="211">
        <v>100</v>
      </c>
      <c r="N254" s="211">
        <v>100</v>
      </c>
      <c r="O254" s="211">
        <v>100</v>
      </c>
      <c r="P254" s="190"/>
      <c r="Q254" s="190"/>
      <c r="R254" s="190"/>
      <c r="S254" s="183">
        <f t="shared" si="341"/>
        <v>2</v>
      </c>
      <c r="T254" s="385">
        <f>$S254</f>
        <v>2</v>
      </c>
      <c r="U254" s="385">
        <f t="shared" si="342"/>
        <v>2</v>
      </c>
      <c r="V254" s="385">
        <f t="shared" si="342"/>
        <v>2</v>
      </c>
      <c r="W254" s="387"/>
      <c r="X254" s="387"/>
      <c r="Y254" s="184">
        <f t="shared" si="294"/>
        <v>28053</v>
      </c>
      <c r="Z254" s="184">
        <f t="shared" si="343"/>
        <v>31277</v>
      </c>
      <c r="AA254" s="184">
        <f t="shared" si="344"/>
        <v>46469</v>
      </c>
      <c r="AB254" s="184">
        <f t="shared" si="345"/>
        <v>0</v>
      </c>
      <c r="AC254" s="184">
        <f t="shared" si="346"/>
        <v>0</v>
      </c>
      <c r="AD254" s="184">
        <f t="shared" si="295"/>
        <v>105799</v>
      </c>
      <c r="AE254" s="183">
        <f t="shared" si="338"/>
        <v>0</v>
      </c>
      <c r="AF254" s="385">
        <f>$AE254</f>
        <v>0</v>
      </c>
      <c r="AG254" s="385">
        <f t="shared" si="330"/>
        <v>0</v>
      </c>
      <c r="AH254" s="385">
        <f t="shared" si="330"/>
        <v>0</v>
      </c>
      <c r="AI254" s="185">
        <f t="shared" si="296"/>
        <v>74</v>
      </c>
      <c r="AJ254" s="185">
        <f t="shared" si="339"/>
        <v>433</v>
      </c>
      <c r="AK254" s="185">
        <f t="shared" si="340"/>
        <v>683</v>
      </c>
      <c r="AL254" s="185">
        <f t="shared" si="297"/>
        <v>1190</v>
      </c>
      <c r="AM254" s="173">
        <f t="shared" si="348"/>
        <v>56106</v>
      </c>
      <c r="AN254" s="173">
        <f t="shared" si="318"/>
        <v>62554</v>
      </c>
      <c r="AO254" s="173">
        <f t="shared" si="319"/>
        <v>92938</v>
      </c>
      <c r="AP254" s="173">
        <f t="shared" si="284"/>
        <v>0</v>
      </c>
      <c r="AQ254" s="173">
        <f t="shared" si="285"/>
        <v>0</v>
      </c>
      <c r="AR254" s="173">
        <f t="shared" si="286"/>
        <v>211598</v>
      </c>
      <c r="AS254" s="186" t="s">
        <v>1366</v>
      </c>
      <c r="AT254" s="300">
        <f t="shared" si="349"/>
        <v>1.4384999999999999</v>
      </c>
      <c r="AU254" s="300">
        <f t="shared" si="349"/>
        <v>1.4384999999999999</v>
      </c>
      <c r="AV254" s="300">
        <f t="shared" si="349"/>
        <v>1.4384999999999999</v>
      </c>
      <c r="AW254" s="300">
        <f t="shared" si="349"/>
        <v>1.4384999999999999</v>
      </c>
      <c r="AX254" s="300">
        <f t="shared" si="349"/>
        <v>1.4384999999999999</v>
      </c>
      <c r="AY254" s="301">
        <f t="shared" si="347"/>
        <v>1.4384999999999999</v>
      </c>
      <c r="AZ254" s="301">
        <f t="shared" si="347"/>
        <v>1.4384999999999999</v>
      </c>
      <c r="BA254" s="301">
        <f t="shared" si="347"/>
        <v>1.4384999999999999</v>
      </c>
      <c r="BB254" s="301">
        <f t="shared" si="347"/>
        <v>1.4384999999999999</v>
      </c>
      <c r="BC254" s="301">
        <f t="shared" si="347"/>
        <v>1.4384999999999999</v>
      </c>
      <c r="BD254" s="187">
        <f>ROUND(IF(OR(M254=0,AT254="DATO NO DISPONIBLE"),"",AT254*M254*($BD$7+1)),0)</f>
        <v>154</v>
      </c>
      <c r="BE254" s="187">
        <f t="shared" si="321"/>
        <v>154</v>
      </c>
      <c r="BF254" s="187">
        <f t="shared" si="322"/>
        <v>154</v>
      </c>
      <c r="BG254" s="187"/>
      <c r="BH254" s="187"/>
      <c r="BI254" s="187">
        <f>ROUND(IF(OR(M254=0,AY254="DATO NO DISPONIBLE"),0,AY254*M254*($BD$7+1)),0)</f>
        <v>154</v>
      </c>
      <c r="BJ254" s="187">
        <f t="shared" si="298"/>
        <v>154</v>
      </c>
      <c r="BK254" s="187">
        <f t="shared" si="299"/>
        <v>154</v>
      </c>
      <c r="BL254" s="187"/>
      <c r="BM254" s="187"/>
      <c r="BN254" s="188">
        <f>BD254*AM254</f>
        <v>8640324</v>
      </c>
      <c r="BO254" s="188">
        <f t="shared" si="300"/>
        <v>9633316</v>
      </c>
      <c r="BP254" s="188">
        <f t="shared" si="301"/>
        <v>14312452</v>
      </c>
      <c r="BQ254" s="188">
        <f t="shared" si="302"/>
        <v>0</v>
      </c>
      <c r="BR254" s="188">
        <f t="shared" si="303"/>
        <v>0</v>
      </c>
      <c r="BS254" s="188">
        <f t="shared" si="287"/>
        <v>32586092</v>
      </c>
      <c r="BT254" s="188">
        <f t="shared" si="288"/>
        <v>8640324</v>
      </c>
      <c r="BU254" s="188">
        <f t="shared" si="289"/>
        <v>9633316</v>
      </c>
      <c r="BV254" s="188">
        <f t="shared" si="290"/>
        <v>14312452</v>
      </c>
      <c r="BW254" s="188">
        <f t="shared" si="291"/>
        <v>0</v>
      </c>
      <c r="BX254" s="188">
        <f t="shared" si="292"/>
        <v>0</v>
      </c>
      <c r="BY254" s="188">
        <f t="shared" si="293"/>
        <v>32586092</v>
      </c>
      <c r="BZ254" s="305">
        <f>IF(COT_PRECALCULOS!$D$24="Precios Iva Incluído",BI254,BD254)</f>
        <v>154</v>
      </c>
      <c r="CA254" s="305">
        <f>IF(COT_PRECALCULOS!$D$24="Precios Iva Incluído",BJ254,BE254)</f>
        <v>154</v>
      </c>
      <c r="CB254" s="305">
        <f>IF(COT_PRECALCULOS!$D$24="Precios Iva Incluído",BK254,BF254)</f>
        <v>154</v>
      </c>
      <c r="CC254" s="305">
        <f>IF(COT_PRECALCULOS!$D$24="Precios Iva Incluído",BL254,BG254)</f>
        <v>0</v>
      </c>
      <c r="CD254" s="305">
        <f>IF(COT_PRECALCULOS!$D$24="Precios Iva Incluído",BM254,BH254)</f>
        <v>0</v>
      </c>
      <c r="CE254" s="305">
        <f>IF(COT_PRECALCULOS!$D$24="Precios Iva Incluído",BT254,BN254)</f>
        <v>8640324</v>
      </c>
      <c r="CF254" s="305">
        <f>IF(COT_PRECALCULOS!$D$24="Precios Iva Incluído",BU254,BO254)</f>
        <v>9633316</v>
      </c>
      <c r="CG254" s="305">
        <f>IF(COT_PRECALCULOS!$D$24="Precios Iva Incluído",BV254,BP254)</f>
        <v>14312452</v>
      </c>
      <c r="CH254" s="305">
        <f>IF(COT_PRECALCULOS!$D$24="Precios Iva Incluído",BW254,BQ254)</f>
        <v>0</v>
      </c>
      <c r="CI254" s="305">
        <f>IF(COT_PRECALCULOS!$D$24="Precios Iva Incluído",BX254,BR254)</f>
        <v>0</v>
      </c>
    </row>
    <row r="255" spans="1:87">
      <c r="A255" s="182" t="s">
        <v>102</v>
      </c>
      <c r="B255" s="182" t="s">
        <v>126</v>
      </c>
      <c r="C255" s="189" t="str">
        <f t="shared" si="282"/>
        <v>F_SE8</v>
      </c>
      <c r="D255" s="189" t="str">
        <f t="shared" si="283"/>
        <v>59_S_</v>
      </c>
      <c r="E255" s="190" t="s">
        <v>1</v>
      </c>
      <c r="F255" s="190" t="s">
        <v>1</v>
      </c>
      <c r="G255" s="189" t="s">
        <v>37</v>
      </c>
      <c r="H255" s="190"/>
      <c r="I255" s="190" t="s">
        <v>66</v>
      </c>
      <c r="J255" s="190">
        <v>59</v>
      </c>
      <c r="K255" s="190" t="s">
        <v>99</v>
      </c>
      <c r="L255" s="189" t="s">
        <v>9</v>
      </c>
      <c r="M255" s="386">
        <v>0</v>
      </c>
      <c r="N255" s="211">
        <v>100</v>
      </c>
      <c r="O255" s="211">
        <v>100</v>
      </c>
      <c r="P255" s="190"/>
      <c r="Q255" s="190"/>
      <c r="R255" s="190" t="s">
        <v>73</v>
      </c>
      <c r="S255" s="183">
        <f t="shared" si="341"/>
        <v>0</v>
      </c>
      <c r="T255" s="386">
        <v>0</v>
      </c>
      <c r="U255" s="385">
        <f t="shared" si="342"/>
        <v>0</v>
      </c>
      <c r="V255" s="385">
        <f t="shared" si="342"/>
        <v>0</v>
      </c>
      <c r="W255" s="387"/>
      <c r="X255" s="387"/>
      <c r="Y255" s="184">
        <f t="shared" si="294"/>
        <v>0</v>
      </c>
      <c r="Z255" s="184">
        <f t="shared" si="343"/>
        <v>31277</v>
      </c>
      <c r="AA255" s="184">
        <f t="shared" si="344"/>
        <v>46469</v>
      </c>
      <c r="AB255" s="184">
        <f t="shared" si="345"/>
        <v>0</v>
      </c>
      <c r="AC255" s="184">
        <f t="shared" si="346"/>
        <v>0</v>
      </c>
      <c r="AD255" s="184">
        <f t="shared" si="295"/>
        <v>77746</v>
      </c>
      <c r="AE255" s="183">
        <f t="shared" si="338"/>
        <v>0</v>
      </c>
      <c r="AF255" s="386">
        <v>0</v>
      </c>
      <c r="AG255" s="385">
        <f t="shared" ref="AG255:AH274" si="350">$AE255</f>
        <v>0</v>
      </c>
      <c r="AH255" s="385">
        <f t="shared" si="350"/>
        <v>0</v>
      </c>
      <c r="AI255" s="185">
        <f t="shared" si="296"/>
        <v>0</v>
      </c>
      <c r="AJ255" s="185">
        <f t="shared" si="339"/>
        <v>433</v>
      </c>
      <c r="AK255" s="185">
        <f t="shared" si="340"/>
        <v>683</v>
      </c>
      <c r="AL255" s="185">
        <f t="shared" si="297"/>
        <v>1116</v>
      </c>
      <c r="AM255" s="173">
        <f t="shared" si="348"/>
        <v>0</v>
      </c>
      <c r="AN255" s="173">
        <f t="shared" si="318"/>
        <v>0</v>
      </c>
      <c r="AO255" s="173">
        <f t="shared" si="319"/>
        <v>0</v>
      </c>
      <c r="AP255" s="173">
        <f t="shared" si="284"/>
        <v>0</v>
      </c>
      <c r="AQ255" s="173">
        <f t="shared" si="285"/>
        <v>0</v>
      </c>
      <c r="AR255" s="173">
        <f t="shared" si="286"/>
        <v>0</v>
      </c>
      <c r="AS255" s="186" t="s">
        <v>1366</v>
      </c>
      <c r="AT255" s="300">
        <f t="shared" si="349"/>
        <v>2.6785000000000001</v>
      </c>
      <c r="AU255" s="300">
        <f t="shared" si="349"/>
        <v>2.6785000000000001</v>
      </c>
      <c r="AV255" s="300">
        <f t="shared" si="349"/>
        <v>2.6785000000000001</v>
      </c>
      <c r="AW255" s="300">
        <f t="shared" si="349"/>
        <v>2.6785000000000001</v>
      </c>
      <c r="AX255" s="300">
        <f t="shared" si="349"/>
        <v>2.6785000000000001</v>
      </c>
      <c r="AY255" s="301">
        <f t="shared" si="347"/>
        <v>2.6785000000000001</v>
      </c>
      <c r="AZ255" s="301">
        <f t="shared" si="347"/>
        <v>2.6785000000000001</v>
      </c>
      <c r="BA255" s="301">
        <f t="shared" si="347"/>
        <v>2.6785000000000001</v>
      </c>
      <c r="BB255" s="301">
        <f t="shared" si="347"/>
        <v>2.6785000000000001</v>
      </c>
      <c r="BC255" s="301">
        <f t="shared" si="347"/>
        <v>2.6785000000000001</v>
      </c>
      <c r="BD255" s="187"/>
      <c r="BE255" s="187">
        <f t="shared" si="321"/>
        <v>286</v>
      </c>
      <c r="BF255" s="187">
        <f t="shared" si="322"/>
        <v>286</v>
      </c>
      <c r="BG255" s="187"/>
      <c r="BH255" s="187"/>
      <c r="BI255" s="187"/>
      <c r="BJ255" s="187">
        <f t="shared" si="298"/>
        <v>286</v>
      </c>
      <c r="BK255" s="187">
        <f t="shared" si="299"/>
        <v>286</v>
      </c>
      <c r="BL255" s="187"/>
      <c r="BM255" s="187"/>
      <c r="BN255" s="188"/>
      <c r="BO255" s="188">
        <f t="shared" si="300"/>
        <v>0</v>
      </c>
      <c r="BP255" s="188">
        <f t="shared" si="301"/>
        <v>0</v>
      </c>
      <c r="BQ255" s="188">
        <f t="shared" si="302"/>
        <v>0</v>
      </c>
      <c r="BR255" s="188">
        <f t="shared" si="303"/>
        <v>0</v>
      </c>
      <c r="BS255" s="188">
        <f t="shared" si="287"/>
        <v>0</v>
      </c>
      <c r="BT255" s="188">
        <f t="shared" si="288"/>
        <v>0</v>
      </c>
      <c r="BU255" s="188">
        <f t="shared" si="289"/>
        <v>0</v>
      </c>
      <c r="BV255" s="188">
        <f t="shared" si="290"/>
        <v>0</v>
      </c>
      <c r="BW255" s="188">
        <f t="shared" si="291"/>
        <v>0</v>
      </c>
      <c r="BX255" s="188">
        <f t="shared" si="292"/>
        <v>0</v>
      </c>
      <c r="BY255" s="188">
        <f t="shared" si="293"/>
        <v>0</v>
      </c>
      <c r="BZ255" s="305">
        <f>IF(COT_PRECALCULOS!$D$24="Precios Iva Incluído",BI255,BD255)</f>
        <v>0</v>
      </c>
      <c r="CA255" s="305">
        <f>IF(COT_PRECALCULOS!$D$24="Precios Iva Incluído",BJ255,BE255)</f>
        <v>286</v>
      </c>
      <c r="CB255" s="305">
        <f>IF(COT_PRECALCULOS!$D$24="Precios Iva Incluído",BK255,BF255)</f>
        <v>286</v>
      </c>
      <c r="CC255" s="305">
        <f>IF(COT_PRECALCULOS!$D$24="Precios Iva Incluído",BL255,BG255)</f>
        <v>0</v>
      </c>
      <c r="CD255" s="305">
        <f>IF(COT_PRECALCULOS!$D$24="Precios Iva Incluído",BM255,BH255)</f>
        <v>0</v>
      </c>
      <c r="CE255" s="305">
        <f>IF(COT_PRECALCULOS!$D$24="Precios Iva Incluído",BT255,BN255)</f>
        <v>0</v>
      </c>
      <c r="CF255" s="305">
        <f>IF(COT_PRECALCULOS!$D$24="Precios Iva Incluído",BU255,BO255)</f>
        <v>0</v>
      </c>
      <c r="CG255" s="305">
        <f>IF(COT_PRECALCULOS!$D$24="Precios Iva Incluído",BV255,BP255)</f>
        <v>0</v>
      </c>
      <c r="CH255" s="305">
        <f>IF(COT_PRECALCULOS!$D$24="Precios Iva Incluído",BW255,BQ255)</f>
        <v>0</v>
      </c>
      <c r="CI255" s="305">
        <f>IF(COT_PRECALCULOS!$D$24="Precios Iva Incluído",BX255,BR255)</f>
        <v>0</v>
      </c>
    </row>
    <row r="256" spans="1:87">
      <c r="A256" s="182" t="s">
        <v>102</v>
      </c>
      <c r="B256" s="182" t="s">
        <v>126</v>
      </c>
      <c r="C256" s="189" t="str">
        <f t="shared" si="282"/>
        <v>F_SE8</v>
      </c>
      <c r="D256" s="189" t="str">
        <f t="shared" si="283"/>
        <v>69_S_</v>
      </c>
      <c r="E256" s="190" t="s">
        <v>1</v>
      </c>
      <c r="F256" s="190" t="s">
        <v>1</v>
      </c>
      <c r="G256" s="189" t="s">
        <v>37</v>
      </c>
      <c r="H256" s="190"/>
      <c r="I256" s="190" t="s">
        <v>68</v>
      </c>
      <c r="J256" s="190">
        <v>69</v>
      </c>
      <c r="K256" s="190" t="s">
        <v>70</v>
      </c>
      <c r="L256" s="189" t="s">
        <v>9</v>
      </c>
      <c r="M256" s="211">
        <v>100</v>
      </c>
      <c r="N256" s="211">
        <v>100</v>
      </c>
      <c r="O256" s="211">
        <v>100</v>
      </c>
      <c r="P256" s="190"/>
      <c r="Q256" s="190"/>
      <c r="R256" s="190"/>
      <c r="S256" s="385">
        <f t="shared" si="341"/>
        <v>1</v>
      </c>
      <c r="T256" s="385">
        <f>$S256</f>
        <v>1</v>
      </c>
      <c r="U256" s="385">
        <f t="shared" si="342"/>
        <v>1</v>
      </c>
      <c r="V256" s="385">
        <f t="shared" si="342"/>
        <v>1</v>
      </c>
      <c r="W256" s="387"/>
      <c r="X256" s="387"/>
      <c r="Y256" s="184">
        <f t="shared" si="294"/>
        <v>28053</v>
      </c>
      <c r="Z256" s="184">
        <f t="shared" si="343"/>
        <v>31277</v>
      </c>
      <c r="AA256" s="184">
        <f t="shared" si="344"/>
        <v>46469</v>
      </c>
      <c r="AB256" s="184">
        <f t="shared" si="345"/>
        <v>0</v>
      </c>
      <c r="AC256" s="184">
        <f t="shared" si="346"/>
        <v>0</v>
      </c>
      <c r="AD256" s="184">
        <f t="shared" si="295"/>
        <v>105799</v>
      </c>
      <c r="AE256" s="183">
        <f t="shared" si="338"/>
        <v>0</v>
      </c>
      <c r="AF256" s="385">
        <f>$AE256</f>
        <v>0</v>
      </c>
      <c r="AG256" s="385">
        <f t="shared" si="350"/>
        <v>0</v>
      </c>
      <c r="AH256" s="385">
        <f t="shared" si="350"/>
        <v>0</v>
      </c>
      <c r="AI256" s="185">
        <f t="shared" si="296"/>
        <v>74</v>
      </c>
      <c r="AJ256" s="185">
        <f t="shared" si="339"/>
        <v>433</v>
      </c>
      <c r="AK256" s="185">
        <f t="shared" si="340"/>
        <v>683</v>
      </c>
      <c r="AL256" s="185">
        <f t="shared" si="297"/>
        <v>1190</v>
      </c>
      <c r="AM256" s="173">
        <f t="shared" si="348"/>
        <v>28053</v>
      </c>
      <c r="AN256" s="173">
        <f t="shared" si="318"/>
        <v>31277</v>
      </c>
      <c r="AO256" s="173">
        <f t="shared" si="319"/>
        <v>46469</v>
      </c>
      <c r="AP256" s="173">
        <f t="shared" si="284"/>
        <v>0</v>
      </c>
      <c r="AQ256" s="173">
        <f t="shared" si="285"/>
        <v>0</v>
      </c>
      <c r="AR256" s="173">
        <f t="shared" si="286"/>
        <v>105799</v>
      </c>
      <c r="AS256" s="186" t="s">
        <v>1366</v>
      </c>
      <c r="AT256" s="300">
        <f t="shared" si="349"/>
        <v>2.8519999999999999</v>
      </c>
      <c r="AU256" s="300">
        <f t="shared" si="349"/>
        <v>2.8519999999999999</v>
      </c>
      <c r="AV256" s="300">
        <f t="shared" si="349"/>
        <v>2.8519999999999999</v>
      </c>
      <c r="AW256" s="300">
        <f t="shared" si="349"/>
        <v>2.8519999999999999</v>
      </c>
      <c r="AX256" s="300">
        <f t="shared" si="349"/>
        <v>2.8519999999999999</v>
      </c>
      <c r="AY256" s="301">
        <f t="shared" si="347"/>
        <v>2.8519999999999999</v>
      </c>
      <c r="AZ256" s="301">
        <f t="shared" si="347"/>
        <v>2.8519999999999999</v>
      </c>
      <c r="BA256" s="301">
        <f t="shared" si="347"/>
        <v>2.8519999999999999</v>
      </c>
      <c r="BB256" s="301">
        <f t="shared" si="347"/>
        <v>2.8519999999999999</v>
      </c>
      <c r="BC256" s="301">
        <f t="shared" si="347"/>
        <v>2.8519999999999999</v>
      </c>
      <c r="BD256" s="187">
        <f>ROUND(IF(OR(M256=0,AT256="DATO NO DISPONIBLE"),"",AT256*M256*($BD$7+1)),0)</f>
        <v>305</v>
      </c>
      <c r="BE256" s="187">
        <f t="shared" si="321"/>
        <v>305</v>
      </c>
      <c r="BF256" s="187">
        <f t="shared" si="322"/>
        <v>305</v>
      </c>
      <c r="BG256" s="187"/>
      <c r="BH256" s="187"/>
      <c r="BI256" s="187">
        <f>ROUND(IF(OR(M256=0,AY256="DATO NO DISPONIBLE"),0,AY256*M256*($BD$7+1)),0)</f>
        <v>305</v>
      </c>
      <c r="BJ256" s="187">
        <f t="shared" si="298"/>
        <v>305</v>
      </c>
      <c r="BK256" s="187">
        <f t="shared" si="299"/>
        <v>305</v>
      </c>
      <c r="BL256" s="187"/>
      <c r="BM256" s="187"/>
      <c r="BN256" s="188">
        <f>BD256*AM256</f>
        <v>8556165</v>
      </c>
      <c r="BO256" s="188">
        <f t="shared" si="300"/>
        <v>9539485</v>
      </c>
      <c r="BP256" s="188">
        <f t="shared" si="301"/>
        <v>14173045</v>
      </c>
      <c r="BQ256" s="188">
        <f t="shared" si="302"/>
        <v>0</v>
      </c>
      <c r="BR256" s="188">
        <f t="shared" si="303"/>
        <v>0</v>
      </c>
      <c r="BS256" s="188">
        <f t="shared" si="287"/>
        <v>32268695</v>
      </c>
      <c r="BT256" s="188">
        <f t="shared" si="288"/>
        <v>8556165</v>
      </c>
      <c r="BU256" s="188">
        <f t="shared" si="289"/>
        <v>9539485</v>
      </c>
      <c r="BV256" s="188">
        <f t="shared" si="290"/>
        <v>14173045</v>
      </c>
      <c r="BW256" s="188">
        <f t="shared" si="291"/>
        <v>0</v>
      </c>
      <c r="BX256" s="188">
        <f t="shared" si="292"/>
        <v>0</v>
      </c>
      <c r="BY256" s="188">
        <f t="shared" si="293"/>
        <v>32268695</v>
      </c>
      <c r="BZ256" s="305">
        <f>IF(COT_PRECALCULOS!$D$24="Precios Iva Incluído",BI256,BD256)</f>
        <v>305</v>
      </c>
      <c r="CA256" s="305">
        <f>IF(COT_PRECALCULOS!$D$24="Precios Iva Incluído",BJ256,BE256)</f>
        <v>305</v>
      </c>
      <c r="CB256" s="305">
        <f>IF(COT_PRECALCULOS!$D$24="Precios Iva Incluído",BK256,BF256)</f>
        <v>305</v>
      </c>
      <c r="CC256" s="305">
        <f>IF(COT_PRECALCULOS!$D$24="Precios Iva Incluído",BL256,BG256)</f>
        <v>0</v>
      </c>
      <c r="CD256" s="305">
        <f>IF(COT_PRECALCULOS!$D$24="Precios Iva Incluído",BM256,BH256)</f>
        <v>0</v>
      </c>
      <c r="CE256" s="305">
        <f>IF(COT_PRECALCULOS!$D$24="Precios Iva Incluído",BT256,BN256)</f>
        <v>8556165</v>
      </c>
      <c r="CF256" s="305">
        <f>IF(COT_PRECALCULOS!$D$24="Precios Iva Incluído",BU256,BO256)</f>
        <v>9539485</v>
      </c>
      <c r="CG256" s="305">
        <f>IF(COT_PRECALCULOS!$D$24="Precios Iva Incluído",BV256,BP256)</f>
        <v>14173045</v>
      </c>
      <c r="CH256" s="305">
        <f>IF(COT_PRECALCULOS!$D$24="Precios Iva Incluído",BW256,BQ256)</f>
        <v>0</v>
      </c>
      <c r="CI256" s="305">
        <f>IF(COT_PRECALCULOS!$D$24="Precios Iva Incluído",BX256,BR256)</f>
        <v>0</v>
      </c>
    </row>
    <row r="257" spans="1:87">
      <c r="A257" s="182" t="s">
        <v>102</v>
      </c>
      <c r="B257" s="182" t="s">
        <v>126</v>
      </c>
      <c r="C257" s="189" t="str">
        <f t="shared" si="282"/>
        <v>F_SE8</v>
      </c>
      <c r="D257" s="189" t="str">
        <f t="shared" si="283"/>
        <v>70_S_</v>
      </c>
      <c r="E257" s="190" t="s">
        <v>1</v>
      </c>
      <c r="F257" s="190" t="s">
        <v>1</v>
      </c>
      <c r="G257" s="189" t="s">
        <v>37</v>
      </c>
      <c r="H257" s="190"/>
      <c r="I257" s="190" t="s">
        <v>69</v>
      </c>
      <c r="J257" s="190">
        <v>70</v>
      </c>
      <c r="K257" s="190" t="s">
        <v>71</v>
      </c>
      <c r="L257" s="189" t="s">
        <v>9</v>
      </c>
      <c r="M257" s="191">
        <v>0</v>
      </c>
      <c r="N257" s="211">
        <v>100</v>
      </c>
      <c r="O257" s="211">
        <v>100</v>
      </c>
      <c r="P257" s="190"/>
      <c r="Q257" s="190"/>
      <c r="R257" s="211" t="s">
        <v>73</v>
      </c>
      <c r="S257" s="183">
        <f t="shared" si="341"/>
        <v>0</v>
      </c>
      <c r="T257" s="386">
        <v>0</v>
      </c>
      <c r="U257" s="385">
        <f t="shared" si="342"/>
        <v>0</v>
      </c>
      <c r="V257" s="385">
        <f t="shared" si="342"/>
        <v>0</v>
      </c>
      <c r="W257" s="387"/>
      <c r="X257" s="387"/>
      <c r="Y257" s="184">
        <f t="shared" si="294"/>
        <v>0</v>
      </c>
      <c r="Z257" s="184">
        <f t="shared" si="343"/>
        <v>31277</v>
      </c>
      <c r="AA257" s="184">
        <f t="shared" si="344"/>
        <v>46469</v>
      </c>
      <c r="AB257" s="184">
        <f t="shared" si="345"/>
        <v>0</v>
      </c>
      <c r="AC257" s="184">
        <f t="shared" si="346"/>
        <v>0</v>
      </c>
      <c r="AD257" s="184">
        <f t="shared" si="295"/>
        <v>77746</v>
      </c>
      <c r="AE257" s="183">
        <f t="shared" si="338"/>
        <v>0</v>
      </c>
      <c r="AF257" s="386">
        <v>0</v>
      </c>
      <c r="AG257" s="385">
        <f t="shared" si="350"/>
        <v>0</v>
      </c>
      <c r="AH257" s="385">
        <f t="shared" si="350"/>
        <v>0</v>
      </c>
      <c r="AI257" s="185">
        <f t="shared" si="296"/>
        <v>0</v>
      </c>
      <c r="AJ257" s="185">
        <f t="shared" si="339"/>
        <v>433</v>
      </c>
      <c r="AK257" s="185">
        <f t="shared" si="340"/>
        <v>683</v>
      </c>
      <c r="AL257" s="185">
        <f t="shared" si="297"/>
        <v>1116</v>
      </c>
      <c r="AM257" s="173">
        <v>0</v>
      </c>
      <c r="AN257" s="173">
        <f t="shared" si="318"/>
        <v>0</v>
      </c>
      <c r="AO257" s="173">
        <f t="shared" si="319"/>
        <v>0</v>
      </c>
      <c r="AP257" s="173">
        <f t="shared" si="284"/>
        <v>0</v>
      </c>
      <c r="AQ257" s="173">
        <f t="shared" si="285"/>
        <v>0</v>
      </c>
      <c r="AR257" s="173">
        <f t="shared" si="286"/>
        <v>0</v>
      </c>
      <c r="AS257" s="186" t="s">
        <v>1366</v>
      </c>
      <c r="AT257" s="300">
        <f t="shared" si="349"/>
        <v>4.0575000000000001</v>
      </c>
      <c r="AU257" s="300">
        <f t="shared" si="349"/>
        <v>4.0575000000000001</v>
      </c>
      <c r="AV257" s="300">
        <f t="shared" si="349"/>
        <v>4.0575000000000001</v>
      </c>
      <c r="AW257" s="300">
        <f t="shared" si="349"/>
        <v>4.0575000000000001</v>
      </c>
      <c r="AX257" s="300">
        <f t="shared" si="349"/>
        <v>4.0575000000000001</v>
      </c>
      <c r="AY257" s="301">
        <f t="shared" si="347"/>
        <v>4.0575000000000001</v>
      </c>
      <c r="AZ257" s="301">
        <f t="shared" si="347"/>
        <v>4.0575000000000001</v>
      </c>
      <c r="BA257" s="301">
        <f t="shared" si="347"/>
        <v>4.0575000000000001</v>
      </c>
      <c r="BB257" s="301">
        <f t="shared" si="347"/>
        <v>4.0575000000000001</v>
      </c>
      <c r="BC257" s="301">
        <f t="shared" si="347"/>
        <v>4.0575000000000001</v>
      </c>
      <c r="BD257" s="187"/>
      <c r="BE257" s="187">
        <f t="shared" si="321"/>
        <v>434</v>
      </c>
      <c r="BF257" s="187">
        <f t="shared" si="322"/>
        <v>434</v>
      </c>
      <c r="BG257" s="187"/>
      <c r="BH257" s="187"/>
      <c r="BI257" s="187"/>
      <c r="BJ257" s="187">
        <f t="shared" si="298"/>
        <v>434</v>
      </c>
      <c r="BK257" s="187">
        <f t="shared" si="299"/>
        <v>434</v>
      </c>
      <c r="BL257" s="187"/>
      <c r="BM257" s="187"/>
      <c r="BN257" s="188"/>
      <c r="BO257" s="188">
        <f t="shared" si="300"/>
        <v>0</v>
      </c>
      <c r="BP257" s="188">
        <f t="shared" si="301"/>
        <v>0</v>
      </c>
      <c r="BQ257" s="188">
        <f t="shared" si="302"/>
        <v>0</v>
      </c>
      <c r="BR257" s="188">
        <f t="shared" si="303"/>
        <v>0</v>
      </c>
      <c r="BS257" s="188">
        <f t="shared" si="287"/>
        <v>0</v>
      </c>
      <c r="BT257" s="188">
        <f t="shared" si="288"/>
        <v>0</v>
      </c>
      <c r="BU257" s="188">
        <f t="shared" si="289"/>
        <v>0</v>
      </c>
      <c r="BV257" s="188">
        <f t="shared" si="290"/>
        <v>0</v>
      </c>
      <c r="BW257" s="188">
        <f t="shared" si="291"/>
        <v>0</v>
      </c>
      <c r="BX257" s="188">
        <f t="shared" si="292"/>
        <v>0</v>
      </c>
      <c r="BY257" s="188">
        <f t="shared" si="293"/>
        <v>0</v>
      </c>
      <c r="BZ257" s="305">
        <f>IF(COT_PRECALCULOS!$D$24="Precios Iva Incluído",BI257,BD257)</f>
        <v>0</v>
      </c>
      <c r="CA257" s="305">
        <f>IF(COT_PRECALCULOS!$D$24="Precios Iva Incluído",BJ257,BE257)</f>
        <v>434</v>
      </c>
      <c r="CB257" s="305">
        <f>IF(COT_PRECALCULOS!$D$24="Precios Iva Incluído",BK257,BF257)</f>
        <v>434</v>
      </c>
      <c r="CC257" s="305">
        <f>IF(COT_PRECALCULOS!$D$24="Precios Iva Incluído",BL257,BG257)</f>
        <v>0</v>
      </c>
      <c r="CD257" s="305">
        <f>IF(COT_PRECALCULOS!$D$24="Precios Iva Incluído",BM257,BH257)</f>
        <v>0</v>
      </c>
      <c r="CE257" s="305">
        <f>IF(COT_PRECALCULOS!$D$24="Precios Iva Incluído",BT257,BN257)</f>
        <v>0</v>
      </c>
      <c r="CF257" s="305">
        <f>IF(COT_PRECALCULOS!$D$24="Precios Iva Incluído",BU257,BO257)</f>
        <v>0</v>
      </c>
      <c r="CG257" s="305">
        <f>IF(COT_PRECALCULOS!$D$24="Precios Iva Incluído",BV257,BP257)</f>
        <v>0</v>
      </c>
      <c r="CH257" s="305">
        <f>IF(COT_PRECALCULOS!$D$24="Precios Iva Incluído",BW257,BQ257)</f>
        <v>0</v>
      </c>
      <c r="CI257" s="305">
        <f>IF(COT_PRECALCULOS!$D$24="Precios Iva Incluído",BX257,BR257)</f>
        <v>0</v>
      </c>
    </row>
    <row r="258" spans="1:87">
      <c r="A258" s="182" t="s">
        <v>102</v>
      </c>
      <c r="B258" s="182" t="s">
        <v>126</v>
      </c>
      <c r="C258" s="189" t="str">
        <f t="shared" si="282"/>
        <v>F_SE8</v>
      </c>
      <c r="D258" s="189" t="str">
        <f t="shared" si="283"/>
        <v>36_S_</v>
      </c>
      <c r="E258" s="190" t="s">
        <v>1</v>
      </c>
      <c r="F258" s="190" t="s">
        <v>1</v>
      </c>
      <c r="G258" s="189" t="s">
        <v>37</v>
      </c>
      <c r="H258" s="190"/>
      <c r="I258" s="190" t="s">
        <v>1340</v>
      </c>
      <c r="J258" s="190">
        <v>36</v>
      </c>
      <c r="K258" s="190" t="s">
        <v>1340</v>
      </c>
      <c r="L258" s="189" t="s">
        <v>9</v>
      </c>
      <c r="M258" s="211">
        <v>20</v>
      </c>
      <c r="N258" s="211">
        <v>40</v>
      </c>
      <c r="O258" s="211">
        <v>40</v>
      </c>
      <c r="P258" s="190"/>
      <c r="Q258" s="190"/>
      <c r="R258" s="190"/>
      <c r="S258" s="385">
        <f t="shared" si="341"/>
        <v>2</v>
      </c>
      <c r="T258" s="385">
        <f>$S258</f>
        <v>2</v>
      </c>
      <c r="U258" s="385">
        <f t="shared" si="342"/>
        <v>2</v>
      </c>
      <c r="V258" s="385">
        <f t="shared" si="342"/>
        <v>2</v>
      </c>
      <c r="W258" s="387"/>
      <c r="X258" s="387"/>
      <c r="Y258" s="184">
        <f t="shared" si="294"/>
        <v>28053</v>
      </c>
      <c r="Z258" s="184">
        <f t="shared" si="343"/>
        <v>31277</v>
      </c>
      <c r="AA258" s="184">
        <f t="shared" si="344"/>
        <v>46469</v>
      </c>
      <c r="AB258" s="184">
        <f t="shared" si="345"/>
        <v>0</v>
      </c>
      <c r="AC258" s="184">
        <f t="shared" si="346"/>
        <v>0</v>
      </c>
      <c r="AD258" s="184">
        <f t="shared" si="295"/>
        <v>105799</v>
      </c>
      <c r="AE258" s="183">
        <f t="shared" si="338"/>
        <v>0</v>
      </c>
      <c r="AF258" s="385">
        <f>$AE258</f>
        <v>0</v>
      </c>
      <c r="AG258" s="385">
        <f t="shared" si="350"/>
        <v>0</v>
      </c>
      <c r="AH258" s="385">
        <f t="shared" si="350"/>
        <v>0</v>
      </c>
      <c r="AI258" s="185">
        <f t="shared" si="296"/>
        <v>74</v>
      </c>
      <c r="AJ258" s="185">
        <f t="shared" si="339"/>
        <v>433</v>
      </c>
      <c r="AK258" s="185">
        <f t="shared" si="340"/>
        <v>683</v>
      </c>
      <c r="AL258" s="185">
        <f t="shared" si="297"/>
        <v>1190</v>
      </c>
      <c r="AM258" s="173">
        <f>($S258*Y258)+($AE258*AI258)</f>
        <v>56106</v>
      </c>
      <c r="AN258" s="173">
        <f t="shared" si="318"/>
        <v>62554</v>
      </c>
      <c r="AO258" s="173">
        <f t="shared" si="319"/>
        <v>92938</v>
      </c>
      <c r="AP258" s="173">
        <f t="shared" si="284"/>
        <v>0</v>
      </c>
      <c r="AQ258" s="173">
        <f t="shared" si="285"/>
        <v>0</v>
      </c>
      <c r="AR258" s="173">
        <f t="shared" si="286"/>
        <v>211598</v>
      </c>
      <c r="AS258" s="186" t="s">
        <v>1366</v>
      </c>
      <c r="AT258" s="300">
        <f t="shared" si="349"/>
        <v>5.9</v>
      </c>
      <c r="AU258" s="300">
        <f t="shared" si="349"/>
        <v>5.9</v>
      </c>
      <c r="AV258" s="300">
        <f t="shared" si="349"/>
        <v>5.9</v>
      </c>
      <c r="AW258" s="300">
        <f t="shared" si="349"/>
        <v>5.9</v>
      </c>
      <c r="AX258" s="300">
        <f t="shared" si="349"/>
        <v>5.9</v>
      </c>
      <c r="AY258" s="301">
        <f t="shared" ref="AY258:BC267" si="351">IF(ISERROR(MATCH(CONCATENATE($J258,"_",AY$1),COT_PRE_CODIGO_ALIMENTOS,0)),IF(ISERROR(MATCH(CONCATENATE($J258,"_",AY$2),COT_PRE_CODIGO_ALIMENTOS,0)),IF(ISERROR(MATCH(CONCATENATE($J258,"_",AY$3),COT_PRE_CODIGO_ALIMENTOS,0)),IF(ISERROR(MATCH(CONCATENATE($J258,"_",AY$4),COT_PRE_CODIGO_ALIMENTOS,0)),IF(ISERROR(MATCH(CONCATENATE($J258,"_",AY$5),COT_PRE_CODIGO_ALIMENTOS,0)),IF(ISERROR(MATCH(CONCATENATE($J258,"_",AY$6),COT_PRE_CODIGO_ALIMENTOS,0)),IF(ISERROR(MATCH(CONCATENATE($J258,"_",AY$7),COT_PRE_CODIGO_ALIMENTOS,0)),IF(ISERROR(VLOOKUP($J258,COT_PRE_ALIMENTOS,AY$8,FALSE)),"DATO NO DISPONIBLE",VLOOKUP($J258,COT_PRE_ALIMENTOS,AY$8,FALSE)),VLOOKUP(CONCATENATE($J258,"_",AY$7),COT_PRE_ALIMENTOS,AY$8,FALSE)),VLOOKUP(CONCATENATE($J258,"_",AY$6),COT_PRE_ALIMENTOS,AY$8,FALSE)),VLOOKUP(CONCATENATE($J258,"_",AY$5),COT_PRE_ALIMENTOS,AY$8,FALSE)),VLOOKUP(CONCATENATE($J258,"_",AY$4),COT_PRE_ALIMENTOS,AY$8,FALSE)),VLOOKUP(CONCATENATE($J258,"_",AY$3),COT_PRE_ALIMENTOS,AY$8,FALSE)),VLOOKUP(CONCATENATE($J258,"_",AY$2),COT_PRE_ALIMENTOS,AY$8,FALSE)),VLOOKUP(CONCATENATE($J258,"_",AY$1),COT_PRE_ALIMENTOS,AY$8,FALSE))</f>
        <v>5.9</v>
      </c>
      <c r="AZ258" s="301">
        <f t="shared" si="351"/>
        <v>5.9</v>
      </c>
      <c r="BA258" s="301">
        <f t="shared" si="351"/>
        <v>5.9</v>
      </c>
      <c r="BB258" s="301">
        <f t="shared" si="351"/>
        <v>5.9</v>
      </c>
      <c r="BC258" s="301">
        <f t="shared" si="351"/>
        <v>5.9</v>
      </c>
      <c r="BD258" s="187">
        <f>ROUND(IF(OR(M258=0,AT258="DATO NO DISPONIBLE"),"",AT258*M258*($BD$7+1)),0)</f>
        <v>126</v>
      </c>
      <c r="BE258" s="187">
        <f t="shared" si="321"/>
        <v>252</v>
      </c>
      <c r="BF258" s="187">
        <f t="shared" si="322"/>
        <v>252</v>
      </c>
      <c r="BG258" s="187"/>
      <c r="BH258" s="187"/>
      <c r="BI258" s="187">
        <f>ROUND(IF(OR(M258=0,AY258="DATO NO DISPONIBLE"),0,AY258*M258*($BD$7+1)),0)</f>
        <v>126</v>
      </c>
      <c r="BJ258" s="187">
        <f t="shared" si="298"/>
        <v>252</v>
      </c>
      <c r="BK258" s="187">
        <f t="shared" si="299"/>
        <v>252</v>
      </c>
      <c r="BL258" s="187"/>
      <c r="BM258" s="187"/>
      <c r="BN258" s="188">
        <f>BD258*AM258</f>
        <v>7069356</v>
      </c>
      <c r="BO258" s="188">
        <f t="shared" si="300"/>
        <v>15763608</v>
      </c>
      <c r="BP258" s="188">
        <f t="shared" si="301"/>
        <v>23420376</v>
      </c>
      <c r="BQ258" s="188">
        <f t="shared" si="302"/>
        <v>0</v>
      </c>
      <c r="BR258" s="188">
        <f t="shared" si="303"/>
        <v>0</v>
      </c>
      <c r="BS258" s="188">
        <f t="shared" si="287"/>
        <v>46253340</v>
      </c>
      <c r="BT258" s="188">
        <f t="shared" si="288"/>
        <v>7069356</v>
      </c>
      <c r="BU258" s="188">
        <f t="shared" si="289"/>
        <v>15763608</v>
      </c>
      <c r="BV258" s="188">
        <f t="shared" si="290"/>
        <v>23420376</v>
      </c>
      <c r="BW258" s="188">
        <f t="shared" si="291"/>
        <v>0</v>
      </c>
      <c r="BX258" s="188">
        <f t="shared" si="292"/>
        <v>0</v>
      </c>
      <c r="BY258" s="188">
        <f t="shared" si="293"/>
        <v>46253340</v>
      </c>
      <c r="BZ258" s="305">
        <f>IF(COT_PRECALCULOS!$D$24="Precios Iva Incluído",BI258,BD258)</f>
        <v>126</v>
      </c>
      <c r="CA258" s="305">
        <f>IF(COT_PRECALCULOS!$D$24="Precios Iva Incluído",BJ258,BE258)</f>
        <v>252</v>
      </c>
      <c r="CB258" s="305">
        <f>IF(COT_PRECALCULOS!$D$24="Precios Iva Incluído",BK258,BF258)</f>
        <v>252</v>
      </c>
      <c r="CC258" s="305">
        <f>IF(COT_PRECALCULOS!$D$24="Precios Iva Incluído",BL258,BG258)</f>
        <v>0</v>
      </c>
      <c r="CD258" s="305">
        <f>IF(COT_PRECALCULOS!$D$24="Precios Iva Incluído",BM258,BH258)</f>
        <v>0</v>
      </c>
      <c r="CE258" s="305">
        <f>IF(COT_PRECALCULOS!$D$24="Precios Iva Incluído",BT258,BN258)</f>
        <v>7069356</v>
      </c>
      <c r="CF258" s="305">
        <f>IF(COT_PRECALCULOS!$D$24="Precios Iva Incluído",BU258,BO258)</f>
        <v>15763608</v>
      </c>
      <c r="CG258" s="305">
        <f>IF(COT_PRECALCULOS!$D$24="Precios Iva Incluído",BV258,BP258)</f>
        <v>23420376</v>
      </c>
      <c r="CH258" s="305">
        <f>IF(COT_PRECALCULOS!$D$24="Precios Iva Incluído",BW258,BQ258)</f>
        <v>0</v>
      </c>
      <c r="CI258" s="305">
        <f>IF(COT_PRECALCULOS!$D$24="Precios Iva Incluído",BX258,BR258)</f>
        <v>0</v>
      </c>
    </row>
    <row r="259" spans="1:87">
      <c r="A259" s="182" t="s">
        <v>102</v>
      </c>
      <c r="B259" s="182" t="s">
        <v>126</v>
      </c>
      <c r="C259" s="189" t="str">
        <f t="shared" si="282"/>
        <v>F_SE9</v>
      </c>
      <c r="D259" s="189" t="str">
        <f t="shared" si="283"/>
        <v>8_S_</v>
      </c>
      <c r="E259" s="190" t="s">
        <v>1</v>
      </c>
      <c r="F259" s="190" t="s">
        <v>1</v>
      </c>
      <c r="G259" s="189" t="s">
        <v>38</v>
      </c>
      <c r="H259" s="190" t="s">
        <v>2</v>
      </c>
      <c r="I259" s="190" t="s">
        <v>54</v>
      </c>
      <c r="J259" s="190">
        <v>8</v>
      </c>
      <c r="K259" s="190" t="s">
        <v>55</v>
      </c>
      <c r="L259" s="189" t="s">
        <v>9</v>
      </c>
      <c r="M259" s="211">
        <v>100</v>
      </c>
      <c r="N259" s="211">
        <v>100</v>
      </c>
      <c r="O259" s="211">
        <v>100</v>
      </c>
      <c r="P259" s="190"/>
      <c r="Q259" s="190"/>
      <c r="R259" s="190"/>
      <c r="S259" s="183">
        <f t="shared" si="341"/>
        <v>1</v>
      </c>
      <c r="T259" s="385">
        <f>$S259</f>
        <v>1</v>
      </c>
      <c r="U259" s="385">
        <f t="shared" si="342"/>
        <v>1</v>
      </c>
      <c r="V259" s="385">
        <f t="shared" si="342"/>
        <v>1</v>
      </c>
      <c r="W259" s="387"/>
      <c r="X259" s="387"/>
      <c r="Y259" s="184">
        <f t="shared" si="294"/>
        <v>28053</v>
      </c>
      <c r="Z259" s="184">
        <f t="shared" si="343"/>
        <v>31277</v>
      </c>
      <c r="AA259" s="184">
        <f t="shared" si="344"/>
        <v>46469</v>
      </c>
      <c r="AB259" s="184">
        <f t="shared" si="345"/>
        <v>0</v>
      </c>
      <c r="AC259" s="184">
        <f t="shared" si="346"/>
        <v>0</v>
      </c>
      <c r="AD259" s="184">
        <f t="shared" si="295"/>
        <v>105799</v>
      </c>
      <c r="AE259" s="183">
        <f t="shared" si="338"/>
        <v>0</v>
      </c>
      <c r="AF259" s="385">
        <f>$AE259</f>
        <v>0</v>
      </c>
      <c r="AG259" s="385">
        <f t="shared" si="350"/>
        <v>0</v>
      </c>
      <c r="AH259" s="385">
        <f t="shared" si="350"/>
        <v>0</v>
      </c>
      <c r="AI259" s="185">
        <f t="shared" si="296"/>
        <v>74</v>
      </c>
      <c r="AJ259" s="185">
        <f t="shared" si="339"/>
        <v>433</v>
      </c>
      <c r="AK259" s="185">
        <f t="shared" si="340"/>
        <v>683</v>
      </c>
      <c r="AL259" s="185">
        <f t="shared" si="297"/>
        <v>1190</v>
      </c>
      <c r="AM259" s="173">
        <f>($S259*Y259)+($AE259*AI259)</f>
        <v>28053</v>
      </c>
      <c r="AN259" s="173">
        <f t="shared" si="318"/>
        <v>31277</v>
      </c>
      <c r="AO259" s="173">
        <f t="shared" si="319"/>
        <v>46469</v>
      </c>
      <c r="AP259" s="173">
        <f t="shared" si="284"/>
        <v>0</v>
      </c>
      <c r="AQ259" s="173">
        <f t="shared" si="285"/>
        <v>0</v>
      </c>
      <c r="AR259" s="173">
        <f t="shared" si="286"/>
        <v>105799</v>
      </c>
      <c r="AS259" s="186" t="s">
        <v>1367</v>
      </c>
      <c r="AT259" s="300">
        <f t="shared" si="349"/>
        <v>1.25</v>
      </c>
      <c r="AU259" s="300">
        <f t="shared" si="349"/>
        <v>1.25</v>
      </c>
      <c r="AV259" s="300">
        <f t="shared" si="349"/>
        <v>1.25</v>
      </c>
      <c r="AW259" s="300">
        <f t="shared" si="349"/>
        <v>1.25</v>
      </c>
      <c r="AX259" s="300">
        <f t="shared" si="349"/>
        <v>1.25</v>
      </c>
      <c r="AY259" s="301">
        <f t="shared" si="351"/>
        <v>1.25</v>
      </c>
      <c r="AZ259" s="301">
        <f t="shared" si="351"/>
        <v>1.25</v>
      </c>
      <c r="BA259" s="301">
        <f t="shared" si="351"/>
        <v>1.25</v>
      </c>
      <c r="BB259" s="301">
        <f t="shared" si="351"/>
        <v>1.25</v>
      </c>
      <c r="BC259" s="301">
        <f t="shared" si="351"/>
        <v>1.25</v>
      </c>
      <c r="BD259" s="187">
        <f>ROUND(IF(OR(M259=0,AT259="DATO NO DISPONIBLE"),"",AT259*M259*($BD$7+1)),0)</f>
        <v>134</v>
      </c>
      <c r="BE259" s="187">
        <f t="shared" si="321"/>
        <v>134</v>
      </c>
      <c r="BF259" s="187">
        <f t="shared" si="322"/>
        <v>134</v>
      </c>
      <c r="BG259" s="187"/>
      <c r="BH259" s="187"/>
      <c r="BI259" s="187">
        <f>ROUND(IF(OR(M259=0,AY259="DATO NO DISPONIBLE"),0,AY259*M259*($BD$7+1)),0)</f>
        <v>134</v>
      </c>
      <c r="BJ259" s="187">
        <f t="shared" si="298"/>
        <v>134</v>
      </c>
      <c r="BK259" s="187">
        <f t="shared" si="299"/>
        <v>134</v>
      </c>
      <c r="BL259" s="187"/>
      <c r="BM259" s="187"/>
      <c r="BN259" s="188">
        <f>BD259*AM259</f>
        <v>3759102</v>
      </c>
      <c r="BO259" s="188">
        <f t="shared" si="300"/>
        <v>4191118</v>
      </c>
      <c r="BP259" s="188">
        <f t="shared" si="301"/>
        <v>6226846</v>
      </c>
      <c r="BQ259" s="188">
        <f t="shared" si="302"/>
        <v>0</v>
      </c>
      <c r="BR259" s="188">
        <f t="shared" si="303"/>
        <v>0</v>
      </c>
      <c r="BS259" s="188">
        <f t="shared" si="287"/>
        <v>14177066</v>
      </c>
      <c r="BT259" s="188">
        <f t="shared" si="288"/>
        <v>3759102</v>
      </c>
      <c r="BU259" s="188">
        <f t="shared" si="289"/>
        <v>4191118</v>
      </c>
      <c r="BV259" s="188">
        <f t="shared" si="290"/>
        <v>6226846</v>
      </c>
      <c r="BW259" s="188">
        <f t="shared" si="291"/>
        <v>0</v>
      </c>
      <c r="BX259" s="188">
        <f t="shared" si="292"/>
        <v>0</v>
      </c>
      <c r="BY259" s="188">
        <f t="shared" si="293"/>
        <v>14177066</v>
      </c>
      <c r="BZ259" s="305">
        <f>IF(COT_PRECALCULOS!$D$24="Precios Iva Incluído",BI259,BD259)</f>
        <v>134</v>
      </c>
      <c r="CA259" s="305">
        <f>IF(COT_PRECALCULOS!$D$24="Precios Iva Incluído",BJ259,BE259)</f>
        <v>134</v>
      </c>
      <c r="CB259" s="305">
        <f>IF(COT_PRECALCULOS!$D$24="Precios Iva Incluído",BK259,BF259)</f>
        <v>134</v>
      </c>
      <c r="CC259" s="305">
        <f>IF(COT_PRECALCULOS!$D$24="Precios Iva Incluído",BL259,BG259)</f>
        <v>0</v>
      </c>
      <c r="CD259" s="305">
        <f>IF(COT_PRECALCULOS!$D$24="Precios Iva Incluído",BM259,BH259)</f>
        <v>0</v>
      </c>
      <c r="CE259" s="305">
        <f>IF(COT_PRECALCULOS!$D$24="Precios Iva Incluído",BT259,BN259)</f>
        <v>3759102</v>
      </c>
      <c r="CF259" s="305">
        <f>IF(COT_PRECALCULOS!$D$24="Precios Iva Incluído",BU259,BO259)</f>
        <v>4191118</v>
      </c>
      <c r="CG259" s="305">
        <f>IF(COT_PRECALCULOS!$D$24="Precios Iva Incluído",BV259,BP259)</f>
        <v>6226846</v>
      </c>
      <c r="CH259" s="305">
        <f>IF(COT_PRECALCULOS!$D$24="Precios Iva Incluído",BW259,BQ259)</f>
        <v>0</v>
      </c>
      <c r="CI259" s="305">
        <f>IF(COT_PRECALCULOS!$D$24="Precios Iva Incluído",BX259,BR259)</f>
        <v>0</v>
      </c>
    </row>
    <row r="260" spans="1:87">
      <c r="A260" s="182" t="s">
        <v>102</v>
      </c>
      <c r="B260" s="182" t="s">
        <v>126</v>
      </c>
      <c r="C260" s="189" t="str">
        <f t="shared" si="282"/>
        <v>F_SE9</v>
      </c>
      <c r="D260" s="189" t="str">
        <f t="shared" si="283"/>
        <v>7_S_</v>
      </c>
      <c r="E260" s="190" t="s">
        <v>1</v>
      </c>
      <c r="F260" s="190" t="s">
        <v>1</v>
      </c>
      <c r="G260" s="189" t="s">
        <v>38</v>
      </c>
      <c r="H260" s="190"/>
      <c r="I260" s="190" t="s">
        <v>56</v>
      </c>
      <c r="J260" s="190">
        <v>7</v>
      </c>
      <c r="K260" s="190" t="s">
        <v>57</v>
      </c>
      <c r="L260" s="189" t="s">
        <v>9</v>
      </c>
      <c r="M260" s="190">
        <v>100</v>
      </c>
      <c r="N260" s="190">
        <v>100</v>
      </c>
      <c r="O260" s="190">
        <v>100</v>
      </c>
      <c r="P260" s="190"/>
      <c r="Q260" s="190"/>
      <c r="R260" s="190"/>
      <c r="S260" s="183">
        <f t="shared" si="341"/>
        <v>3</v>
      </c>
      <c r="T260" s="385">
        <f>$S260</f>
        <v>3</v>
      </c>
      <c r="U260" s="385">
        <f t="shared" si="342"/>
        <v>3</v>
      </c>
      <c r="V260" s="385">
        <f t="shared" si="342"/>
        <v>3</v>
      </c>
      <c r="W260" s="387"/>
      <c r="X260" s="387"/>
      <c r="Y260" s="184">
        <f t="shared" si="294"/>
        <v>28053</v>
      </c>
      <c r="Z260" s="184">
        <f t="shared" si="343"/>
        <v>31277</v>
      </c>
      <c r="AA260" s="184">
        <f t="shared" si="344"/>
        <v>46469</v>
      </c>
      <c r="AB260" s="184">
        <f t="shared" si="345"/>
        <v>0</v>
      </c>
      <c r="AC260" s="184">
        <f t="shared" si="346"/>
        <v>0</v>
      </c>
      <c r="AD260" s="184">
        <f t="shared" si="295"/>
        <v>105799</v>
      </c>
      <c r="AE260" s="183">
        <f t="shared" si="338"/>
        <v>0</v>
      </c>
      <c r="AF260" s="385">
        <f>$AE260</f>
        <v>0</v>
      </c>
      <c r="AG260" s="385">
        <f t="shared" si="350"/>
        <v>0</v>
      </c>
      <c r="AH260" s="385">
        <f t="shared" si="350"/>
        <v>0</v>
      </c>
      <c r="AI260" s="185">
        <f t="shared" si="296"/>
        <v>74</v>
      </c>
      <c r="AJ260" s="185">
        <f t="shared" si="339"/>
        <v>433</v>
      </c>
      <c r="AK260" s="185">
        <f t="shared" si="340"/>
        <v>683</v>
      </c>
      <c r="AL260" s="185">
        <f t="shared" si="297"/>
        <v>1190</v>
      </c>
      <c r="AM260" s="173">
        <f>($S260*Y260)+($AE260*AI260)</f>
        <v>84159</v>
      </c>
      <c r="AN260" s="173">
        <f t="shared" si="318"/>
        <v>93831</v>
      </c>
      <c r="AO260" s="173">
        <f t="shared" si="319"/>
        <v>139407</v>
      </c>
      <c r="AP260" s="173">
        <f t="shared" si="284"/>
        <v>0</v>
      </c>
      <c r="AQ260" s="173">
        <f t="shared" si="285"/>
        <v>0</v>
      </c>
      <c r="AR260" s="173">
        <f t="shared" si="286"/>
        <v>317397</v>
      </c>
      <c r="AS260" s="186" t="s">
        <v>1367</v>
      </c>
      <c r="AT260" s="300">
        <f t="shared" si="349"/>
        <v>1</v>
      </c>
      <c r="AU260" s="300">
        <f t="shared" si="349"/>
        <v>1</v>
      </c>
      <c r="AV260" s="300">
        <f t="shared" si="349"/>
        <v>1</v>
      </c>
      <c r="AW260" s="300">
        <f t="shared" si="349"/>
        <v>1</v>
      </c>
      <c r="AX260" s="300">
        <f t="shared" si="349"/>
        <v>1</v>
      </c>
      <c r="AY260" s="301">
        <f t="shared" si="351"/>
        <v>1</v>
      </c>
      <c r="AZ260" s="301">
        <f t="shared" si="351"/>
        <v>1</v>
      </c>
      <c r="BA260" s="301">
        <f t="shared" si="351"/>
        <v>1</v>
      </c>
      <c r="BB260" s="301">
        <f t="shared" si="351"/>
        <v>1</v>
      </c>
      <c r="BC260" s="301">
        <f t="shared" si="351"/>
        <v>1</v>
      </c>
      <c r="BD260" s="187">
        <f>ROUND(IF(OR(M260=0,AT260="DATO NO DISPONIBLE"),"",AT260*M260*($BD$7+1)),0)</f>
        <v>107</v>
      </c>
      <c r="BE260" s="187">
        <f t="shared" si="321"/>
        <v>107</v>
      </c>
      <c r="BF260" s="187">
        <f t="shared" si="322"/>
        <v>107</v>
      </c>
      <c r="BG260" s="187"/>
      <c r="BH260" s="187"/>
      <c r="BI260" s="187">
        <f>ROUND(IF(OR(M260=0,AY260="DATO NO DISPONIBLE"),0,AY260*M260*($BD$7+1)),0)</f>
        <v>107</v>
      </c>
      <c r="BJ260" s="187">
        <f t="shared" si="298"/>
        <v>107</v>
      </c>
      <c r="BK260" s="187">
        <f t="shared" si="299"/>
        <v>107</v>
      </c>
      <c r="BL260" s="187"/>
      <c r="BM260" s="187"/>
      <c r="BN260" s="188">
        <f>BD260*AM260</f>
        <v>9005013</v>
      </c>
      <c r="BO260" s="188">
        <f t="shared" si="300"/>
        <v>10039917</v>
      </c>
      <c r="BP260" s="188">
        <f t="shared" si="301"/>
        <v>14916549</v>
      </c>
      <c r="BQ260" s="188">
        <f t="shared" si="302"/>
        <v>0</v>
      </c>
      <c r="BR260" s="188">
        <f t="shared" si="303"/>
        <v>0</v>
      </c>
      <c r="BS260" s="188">
        <f t="shared" si="287"/>
        <v>33961479</v>
      </c>
      <c r="BT260" s="188">
        <f t="shared" si="288"/>
        <v>9005013</v>
      </c>
      <c r="BU260" s="188">
        <f t="shared" si="289"/>
        <v>10039917</v>
      </c>
      <c r="BV260" s="188">
        <f t="shared" si="290"/>
        <v>14916549</v>
      </c>
      <c r="BW260" s="188">
        <f t="shared" si="291"/>
        <v>0</v>
      </c>
      <c r="BX260" s="188">
        <f t="shared" si="292"/>
        <v>0</v>
      </c>
      <c r="BY260" s="188">
        <f t="shared" si="293"/>
        <v>33961479</v>
      </c>
      <c r="BZ260" s="305">
        <f>IF(COT_PRECALCULOS!$D$24="Precios Iva Incluído",BI260,BD260)</f>
        <v>107</v>
      </c>
      <c r="CA260" s="305">
        <f>IF(COT_PRECALCULOS!$D$24="Precios Iva Incluído",BJ260,BE260)</f>
        <v>107</v>
      </c>
      <c r="CB260" s="305">
        <f>IF(COT_PRECALCULOS!$D$24="Precios Iva Incluído",BK260,BF260)</f>
        <v>107</v>
      </c>
      <c r="CC260" s="305">
        <f>IF(COT_PRECALCULOS!$D$24="Precios Iva Incluído",BL260,BG260)</f>
        <v>0</v>
      </c>
      <c r="CD260" s="305">
        <f>IF(COT_PRECALCULOS!$D$24="Precios Iva Incluído",BM260,BH260)</f>
        <v>0</v>
      </c>
      <c r="CE260" s="305">
        <f>IF(COT_PRECALCULOS!$D$24="Precios Iva Incluído",BT260,BN260)</f>
        <v>9005013</v>
      </c>
      <c r="CF260" s="305">
        <f>IF(COT_PRECALCULOS!$D$24="Precios Iva Incluído",BU260,BO260)</f>
        <v>10039917</v>
      </c>
      <c r="CG260" s="305">
        <f>IF(COT_PRECALCULOS!$D$24="Precios Iva Incluído",BV260,BP260)</f>
        <v>14916549</v>
      </c>
      <c r="CH260" s="305">
        <f>IF(COT_PRECALCULOS!$D$24="Precios Iva Incluído",BW260,BQ260)</f>
        <v>0</v>
      </c>
      <c r="CI260" s="305">
        <f>IF(COT_PRECALCULOS!$D$24="Precios Iva Incluído",BX260,BR260)</f>
        <v>0</v>
      </c>
    </row>
    <row r="261" spans="1:87">
      <c r="A261" s="182" t="s">
        <v>102</v>
      </c>
      <c r="B261" s="182" t="s">
        <v>126</v>
      </c>
      <c r="C261" s="189" t="str">
        <f t="shared" si="282"/>
        <v>F_SE9</v>
      </c>
      <c r="D261" s="189" t="str">
        <f t="shared" si="283"/>
        <v>17_S_</v>
      </c>
      <c r="E261" s="211" t="s">
        <v>1</v>
      </c>
      <c r="F261" s="211" t="s">
        <v>1</v>
      </c>
      <c r="G261" s="189" t="s">
        <v>38</v>
      </c>
      <c r="H261" s="211"/>
      <c r="I261" s="211" t="s">
        <v>52</v>
      </c>
      <c r="J261" s="211">
        <v>17</v>
      </c>
      <c r="K261" s="211" t="s">
        <v>53</v>
      </c>
      <c r="L261" s="189" t="s">
        <v>9</v>
      </c>
      <c r="M261" s="386">
        <v>0</v>
      </c>
      <c r="N261" s="211">
        <v>100</v>
      </c>
      <c r="O261" s="211">
        <v>100</v>
      </c>
      <c r="P261" s="211"/>
      <c r="Q261" s="211"/>
      <c r="R261" s="211" t="s">
        <v>73</v>
      </c>
      <c r="S261" s="183">
        <f t="shared" si="341"/>
        <v>2</v>
      </c>
      <c r="T261" s="386">
        <v>0</v>
      </c>
      <c r="U261" s="385">
        <f t="shared" si="342"/>
        <v>2</v>
      </c>
      <c r="V261" s="385">
        <f t="shared" si="342"/>
        <v>2</v>
      </c>
      <c r="W261" s="387"/>
      <c r="X261" s="387"/>
      <c r="Y261" s="184">
        <f t="shared" si="294"/>
        <v>0</v>
      </c>
      <c r="Z261" s="184">
        <f t="shared" si="343"/>
        <v>31277</v>
      </c>
      <c r="AA261" s="184">
        <f t="shared" si="344"/>
        <v>46469</v>
      </c>
      <c r="AB261" s="184">
        <f t="shared" si="345"/>
        <v>0</v>
      </c>
      <c r="AC261" s="184">
        <f t="shared" si="346"/>
        <v>0</v>
      </c>
      <c r="AD261" s="184">
        <f t="shared" si="295"/>
        <v>77746</v>
      </c>
      <c r="AE261" s="183">
        <f t="shared" si="338"/>
        <v>0</v>
      </c>
      <c r="AF261" s="386">
        <v>0</v>
      </c>
      <c r="AG261" s="385">
        <f t="shared" si="350"/>
        <v>0</v>
      </c>
      <c r="AH261" s="385">
        <f t="shared" si="350"/>
        <v>0</v>
      </c>
      <c r="AI261" s="185">
        <f t="shared" si="296"/>
        <v>0</v>
      </c>
      <c r="AJ261" s="185">
        <f t="shared" si="339"/>
        <v>433</v>
      </c>
      <c r="AK261" s="185">
        <f t="shared" si="340"/>
        <v>683</v>
      </c>
      <c r="AL261" s="185">
        <f t="shared" si="297"/>
        <v>1116</v>
      </c>
      <c r="AM261" s="173">
        <v>0</v>
      </c>
      <c r="AN261" s="173">
        <f t="shared" si="318"/>
        <v>62554</v>
      </c>
      <c r="AO261" s="173">
        <f t="shared" si="319"/>
        <v>92938</v>
      </c>
      <c r="AP261" s="173">
        <f t="shared" si="284"/>
        <v>0</v>
      </c>
      <c r="AQ261" s="173">
        <f t="shared" si="285"/>
        <v>0</v>
      </c>
      <c r="AR261" s="173">
        <f t="shared" si="286"/>
        <v>155492</v>
      </c>
      <c r="AS261" s="186" t="s">
        <v>1367</v>
      </c>
      <c r="AT261" s="300">
        <f t="shared" ref="AT261:AX270" si="352">IF(ISERROR(IF(ISERROR(MATCH(CONCATENATE($J261,"_",AT$1),COT_PRE_CODIGO_ALIMENTOS,0)),IF(ISERROR(MATCH(CONCATENATE($J261,"_",AT$2),COT_PRE_CODIGO_ALIMENTOS,0)),IF(ISERROR(MATCH(CONCATENATE($J261,"_",AT$3),COT_PRE_CODIGO_ALIMENTOS,0)),IF(ISERROR(MATCH(CONCATENATE($J261,"_",AT$4),COT_PRE_CODIGO_ALIMENTOS,0)),IF(ISERROR(MATCH(CONCATENATE($J261,"_",AT$5),COT_PRE_CODIGO_ALIMENTOS,0)),IF(ISERROR(MATCH(CONCATENATE($J261,"_",AT$6),COT_PRE_CODIGO_ALIMENTOS,0)),IF(ISERROR(MATCH(CONCATENATE($J261,"_",AT$7),COT_PRE_CODIGO_ALIMENTOS,0)),IF(ISERROR(VLOOKUP($J261,COT_PRE_ALIMENTOS,AT$8,FALSE)),"DATO NO DISPONIBLE",VLOOKUP($J261,COT_PRE_ALIMENTOS,AT$8,FALSE)),VLOOKUP(CONCATENATE($J261,"_",AT$7),COT_PRE_ALIMENTOS,AT$8,FALSE)),VLOOKUP(CONCATENATE($J261,"_",AT$6),COT_PRE_ALIMENTOS,AT$8,FALSE)),VLOOKUP(CONCATENATE($J261,"_",AT$5),COT_PRE_ALIMENTOS,AT$8,FALSE)),VLOOKUP(CONCATENATE($J261,"_",AT$4),COT_PRE_ALIMENTOS,AT$8,FALSE)),VLOOKUP(CONCATENATE($J261,"_",AT$3),COT_PRE_ALIMENTOS,AT$8,FALSE)),VLOOKUP(CONCATENATE($J261,"_",AT$2),COT_PRE_ALIMENTOS,AT$8,FALSE)),VLOOKUP(CONCATENATE($J261,"_",AT$1),COT_PRE_ALIMENTOS,AT$8,FALSE))),"DATO NO DISPONIBLE",IF(ISERROR(MATCH(CONCATENATE($J261,"_",AT$1),COT_PRE_CODIGO_ALIMENTOS,0)),IF(ISERROR(MATCH(CONCATENATE($J261,"_",AT$2),COT_PRE_CODIGO_ALIMENTOS,0)),IF(ISERROR(MATCH(CONCATENATE($J261,"_",AT$3),COT_PRE_CODIGO_ALIMENTOS,0)),IF(ISERROR(MATCH(CONCATENATE($J261,"_",AT$4),COT_PRE_CODIGO_ALIMENTOS,0)),IF(ISERROR(MATCH(CONCATENATE($J261,"_",AT$5),COT_PRE_CODIGO_ALIMENTOS,0)),IF(ISERROR(MATCH(CONCATENATE($J261,"_",AT$6),COT_PRE_CODIGO_ALIMENTOS,0)),IF(ISERROR(MATCH(CONCATENATE($J261,"_",AT$7),COT_PRE_CODIGO_ALIMENTOS,0)),IF(ISERROR(VLOOKUP($J261,COT_PRE_ALIMENTOS,AT$8,FALSE)),"DATO NO DISPONIBLE",VLOOKUP($J261,COT_PRE_ALIMENTOS,AT$8,FALSE)),VLOOKUP(CONCATENATE($J261,"_",AT$7),COT_PRE_ALIMENTOS,AT$8,FALSE)),VLOOKUP(CONCATENATE($J261,"_",AT$6),COT_PRE_ALIMENTOS,AT$8,FALSE)),VLOOKUP(CONCATENATE($J261,"_",AT$5),COT_PRE_ALIMENTOS,AT$8,FALSE)),VLOOKUP(CONCATENATE($J261,"_",AT$4),COT_PRE_ALIMENTOS,AT$8,FALSE)),VLOOKUP(CONCATENATE($J261,"_",AT$3),COT_PRE_ALIMENTOS,AT$8,FALSE)),VLOOKUP(CONCATENATE($J261,"_",AT$2),COT_PRE_ALIMENTOS,AT$8,FALSE)),VLOOKUP(CONCATENATE($J261,"_",AT$1),COT_PRE_ALIMENTOS,AT$8,FALSE)))</f>
        <v>2.11</v>
      </c>
      <c r="AU261" s="300">
        <f t="shared" si="352"/>
        <v>2.11</v>
      </c>
      <c r="AV261" s="300">
        <f t="shared" si="352"/>
        <v>2.11</v>
      </c>
      <c r="AW261" s="300">
        <f t="shared" si="352"/>
        <v>2.11</v>
      </c>
      <c r="AX261" s="300">
        <f t="shared" si="352"/>
        <v>2.11</v>
      </c>
      <c r="AY261" s="301">
        <f t="shared" si="351"/>
        <v>2.11</v>
      </c>
      <c r="AZ261" s="301">
        <f t="shared" si="351"/>
        <v>2.11</v>
      </c>
      <c r="BA261" s="301">
        <f t="shared" si="351"/>
        <v>2.11</v>
      </c>
      <c r="BB261" s="301">
        <f t="shared" si="351"/>
        <v>2.11</v>
      </c>
      <c r="BC261" s="301">
        <f t="shared" si="351"/>
        <v>2.11</v>
      </c>
      <c r="BD261" s="187"/>
      <c r="BE261" s="187">
        <f t="shared" si="321"/>
        <v>226</v>
      </c>
      <c r="BF261" s="187">
        <f t="shared" si="322"/>
        <v>226</v>
      </c>
      <c r="BG261" s="187"/>
      <c r="BH261" s="187"/>
      <c r="BI261" s="187"/>
      <c r="BJ261" s="187">
        <f t="shared" si="298"/>
        <v>226</v>
      </c>
      <c r="BK261" s="187">
        <f t="shared" si="299"/>
        <v>226</v>
      </c>
      <c r="BL261" s="187"/>
      <c r="BM261" s="187"/>
      <c r="BN261" s="188"/>
      <c r="BO261" s="188">
        <f t="shared" si="300"/>
        <v>14137204</v>
      </c>
      <c r="BP261" s="188">
        <f t="shared" si="301"/>
        <v>21003988</v>
      </c>
      <c r="BQ261" s="188">
        <f t="shared" si="302"/>
        <v>0</v>
      </c>
      <c r="BR261" s="188">
        <f t="shared" si="303"/>
        <v>0</v>
      </c>
      <c r="BS261" s="188">
        <f t="shared" si="287"/>
        <v>35141192</v>
      </c>
      <c r="BT261" s="188">
        <f t="shared" si="288"/>
        <v>0</v>
      </c>
      <c r="BU261" s="188">
        <f t="shared" si="289"/>
        <v>14137204</v>
      </c>
      <c r="BV261" s="188">
        <f t="shared" si="290"/>
        <v>21003988</v>
      </c>
      <c r="BW261" s="188">
        <f t="shared" si="291"/>
        <v>0</v>
      </c>
      <c r="BX261" s="188">
        <f t="shared" si="292"/>
        <v>0</v>
      </c>
      <c r="BY261" s="188">
        <f t="shared" si="293"/>
        <v>35141192</v>
      </c>
      <c r="BZ261" s="305">
        <f>IF(COT_PRECALCULOS!$D$24="Precios Iva Incluído",BI261,BD261)</f>
        <v>0</v>
      </c>
      <c r="CA261" s="305">
        <f>IF(COT_PRECALCULOS!$D$24="Precios Iva Incluído",BJ261,BE261)</f>
        <v>226</v>
      </c>
      <c r="CB261" s="305">
        <f>IF(COT_PRECALCULOS!$D$24="Precios Iva Incluído",BK261,BF261)</f>
        <v>226</v>
      </c>
      <c r="CC261" s="305">
        <f>IF(COT_PRECALCULOS!$D$24="Precios Iva Incluído",BL261,BG261)</f>
        <v>0</v>
      </c>
      <c r="CD261" s="305">
        <f>IF(COT_PRECALCULOS!$D$24="Precios Iva Incluído",BM261,BH261)</f>
        <v>0</v>
      </c>
      <c r="CE261" s="305">
        <f>IF(COT_PRECALCULOS!$D$24="Precios Iva Incluído",BT261,BN261)</f>
        <v>0</v>
      </c>
      <c r="CF261" s="305">
        <f>IF(COT_PRECALCULOS!$D$24="Precios Iva Incluído",BU261,BO261)</f>
        <v>14137204</v>
      </c>
      <c r="CG261" s="305">
        <f>IF(COT_PRECALCULOS!$D$24="Precios Iva Incluído",BV261,BP261)</f>
        <v>21003988</v>
      </c>
      <c r="CH261" s="305">
        <f>IF(COT_PRECALCULOS!$D$24="Precios Iva Incluído",BW261,BQ261)</f>
        <v>0</v>
      </c>
      <c r="CI261" s="305">
        <f>IF(COT_PRECALCULOS!$D$24="Precios Iva Incluído",BX261,BR261)</f>
        <v>0</v>
      </c>
    </row>
    <row r="262" spans="1:87">
      <c r="A262" s="182" t="s">
        <v>102</v>
      </c>
      <c r="B262" s="182" t="s">
        <v>126</v>
      </c>
      <c r="C262" s="189" t="str">
        <f t="shared" si="282"/>
        <v>F_SE9</v>
      </c>
      <c r="D262" s="189" t="str">
        <f t="shared" si="283"/>
        <v>22_S_</v>
      </c>
      <c r="E262" s="211" t="s">
        <v>1</v>
      </c>
      <c r="F262" s="211" t="s">
        <v>1</v>
      </c>
      <c r="G262" s="189" t="s">
        <v>38</v>
      </c>
      <c r="H262" s="211"/>
      <c r="I262" s="211" t="s">
        <v>50</v>
      </c>
      <c r="J262" s="211">
        <v>22</v>
      </c>
      <c r="K262" s="211" t="s">
        <v>51</v>
      </c>
      <c r="L262" s="189" t="s">
        <v>9</v>
      </c>
      <c r="M262" s="386">
        <v>0</v>
      </c>
      <c r="N262" s="211">
        <v>100</v>
      </c>
      <c r="O262" s="211">
        <v>100</v>
      </c>
      <c r="P262" s="211"/>
      <c r="Q262" s="211"/>
      <c r="R262" s="211" t="s">
        <v>73</v>
      </c>
      <c r="S262" s="183">
        <f t="shared" si="341"/>
        <v>2</v>
      </c>
      <c r="T262" s="386">
        <v>0</v>
      </c>
      <c r="U262" s="385">
        <f t="shared" si="342"/>
        <v>2</v>
      </c>
      <c r="V262" s="385">
        <f t="shared" si="342"/>
        <v>2</v>
      </c>
      <c r="W262" s="387"/>
      <c r="X262" s="387"/>
      <c r="Y262" s="184">
        <f t="shared" si="294"/>
        <v>0</v>
      </c>
      <c r="Z262" s="184">
        <f t="shared" si="343"/>
        <v>31277</v>
      </c>
      <c r="AA262" s="184">
        <f t="shared" si="344"/>
        <v>46469</v>
      </c>
      <c r="AB262" s="184">
        <f t="shared" si="345"/>
        <v>0</v>
      </c>
      <c r="AC262" s="184">
        <f t="shared" si="346"/>
        <v>0</v>
      </c>
      <c r="AD262" s="184">
        <f t="shared" si="295"/>
        <v>77746</v>
      </c>
      <c r="AE262" s="183">
        <f t="shared" si="338"/>
        <v>0</v>
      </c>
      <c r="AF262" s="386">
        <v>0</v>
      </c>
      <c r="AG262" s="385">
        <f t="shared" si="350"/>
        <v>0</v>
      </c>
      <c r="AH262" s="385">
        <f t="shared" si="350"/>
        <v>0</v>
      </c>
      <c r="AI262" s="185">
        <f t="shared" si="296"/>
        <v>0</v>
      </c>
      <c r="AJ262" s="185">
        <f t="shared" si="339"/>
        <v>433</v>
      </c>
      <c r="AK262" s="185">
        <f t="shared" si="340"/>
        <v>683</v>
      </c>
      <c r="AL262" s="185">
        <f t="shared" si="297"/>
        <v>1116</v>
      </c>
      <c r="AM262" s="173">
        <v>0</v>
      </c>
      <c r="AN262" s="173">
        <f t="shared" si="318"/>
        <v>62554</v>
      </c>
      <c r="AO262" s="173">
        <f t="shared" si="319"/>
        <v>92938</v>
      </c>
      <c r="AP262" s="173">
        <f t="shared" si="284"/>
        <v>0</v>
      </c>
      <c r="AQ262" s="173">
        <f t="shared" si="285"/>
        <v>0</v>
      </c>
      <c r="AR262" s="173">
        <f t="shared" si="286"/>
        <v>155492</v>
      </c>
      <c r="AS262" s="186" t="s">
        <v>1367</v>
      </c>
      <c r="AT262" s="300">
        <f t="shared" si="352"/>
        <v>4.9124999999999996</v>
      </c>
      <c r="AU262" s="300">
        <f t="shared" si="352"/>
        <v>4.9124999999999996</v>
      </c>
      <c r="AV262" s="300">
        <f t="shared" si="352"/>
        <v>4.9124999999999996</v>
      </c>
      <c r="AW262" s="300">
        <f t="shared" si="352"/>
        <v>4.9124999999999996</v>
      </c>
      <c r="AX262" s="300">
        <f t="shared" si="352"/>
        <v>4.9124999999999996</v>
      </c>
      <c r="AY262" s="301">
        <f t="shared" si="351"/>
        <v>4.9124999999999996</v>
      </c>
      <c r="AZ262" s="301">
        <f t="shared" si="351"/>
        <v>4.9124999999999996</v>
      </c>
      <c r="BA262" s="301">
        <f t="shared" si="351"/>
        <v>4.9124999999999996</v>
      </c>
      <c r="BB262" s="301">
        <f t="shared" si="351"/>
        <v>4.9124999999999996</v>
      </c>
      <c r="BC262" s="301">
        <f t="shared" si="351"/>
        <v>4.9124999999999996</v>
      </c>
      <c r="BD262" s="187"/>
      <c r="BE262" s="187">
        <f t="shared" si="321"/>
        <v>525</v>
      </c>
      <c r="BF262" s="187">
        <f t="shared" si="322"/>
        <v>525</v>
      </c>
      <c r="BG262" s="187"/>
      <c r="BH262" s="187"/>
      <c r="BI262" s="187"/>
      <c r="BJ262" s="187">
        <f t="shared" si="298"/>
        <v>525</v>
      </c>
      <c r="BK262" s="187">
        <f t="shared" si="299"/>
        <v>525</v>
      </c>
      <c r="BL262" s="187"/>
      <c r="BM262" s="187"/>
      <c r="BN262" s="188"/>
      <c r="BO262" s="188">
        <f t="shared" si="300"/>
        <v>32840850</v>
      </c>
      <c r="BP262" s="188">
        <f t="shared" si="301"/>
        <v>48792450</v>
      </c>
      <c r="BQ262" s="188">
        <f t="shared" si="302"/>
        <v>0</v>
      </c>
      <c r="BR262" s="188">
        <f t="shared" si="303"/>
        <v>0</v>
      </c>
      <c r="BS262" s="188">
        <f t="shared" si="287"/>
        <v>81633300</v>
      </c>
      <c r="BT262" s="188">
        <f t="shared" si="288"/>
        <v>0</v>
      </c>
      <c r="BU262" s="188">
        <f t="shared" si="289"/>
        <v>32840850</v>
      </c>
      <c r="BV262" s="188">
        <f t="shared" si="290"/>
        <v>48792450</v>
      </c>
      <c r="BW262" s="188">
        <f t="shared" si="291"/>
        <v>0</v>
      </c>
      <c r="BX262" s="188">
        <f t="shared" si="292"/>
        <v>0</v>
      </c>
      <c r="BY262" s="188">
        <f t="shared" si="293"/>
        <v>81633300</v>
      </c>
      <c r="BZ262" s="305">
        <f>IF(COT_PRECALCULOS!$D$24="Precios Iva Incluído",BI262,BD262)</f>
        <v>0</v>
      </c>
      <c r="CA262" s="305">
        <f>IF(COT_PRECALCULOS!$D$24="Precios Iva Incluído",BJ262,BE262)</f>
        <v>525</v>
      </c>
      <c r="CB262" s="305">
        <f>IF(COT_PRECALCULOS!$D$24="Precios Iva Incluído",BK262,BF262)</f>
        <v>525</v>
      </c>
      <c r="CC262" s="305">
        <f>IF(COT_PRECALCULOS!$D$24="Precios Iva Incluído",BL262,BG262)</f>
        <v>0</v>
      </c>
      <c r="CD262" s="305">
        <f>IF(COT_PRECALCULOS!$D$24="Precios Iva Incluído",BM262,BH262)</f>
        <v>0</v>
      </c>
      <c r="CE262" s="305">
        <f>IF(COT_PRECALCULOS!$D$24="Precios Iva Incluído",BT262,BN262)</f>
        <v>0</v>
      </c>
      <c r="CF262" s="305">
        <f>IF(COT_PRECALCULOS!$D$24="Precios Iva Incluído",BU262,BO262)</f>
        <v>32840850</v>
      </c>
      <c r="CG262" s="305">
        <f>IF(COT_PRECALCULOS!$D$24="Precios Iva Incluído",BV262,BP262)</f>
        <v>48792450</v>
      </c>
      <c r="CH262" s="305">
        <f>IF(COT_PRECALCULOS!$D$24="Precios Iva Incluído",BW262,BQ262)</f>
        <v>0</v>
      </c>
      <c r="CI262" s="305">
        <f>IF(COT_PRECALCULOS!$D$24="Precios Iva Incluído",BX262,BR262)</f>
        <v>0</v>
      </c>
    </row>
    <row r="263" spans="1:87">
      <c r="A263" s="182" t="s">
        <v>102</v>
      </c>
      <c r="B263" s="182" t="s">
        <v>126</v>
      </c>
      <c r="C263" s="189" t="str">
        <f t="shared" si="282"/>
        <v>F_SE9</v>
      </c>
      <c r="D263" s="189" t="str">
        <f t="shared" si="283"/>
        <v>33_S_</v>
      </c>
      <c r="E263" s="211" t="s">
        <v>1</v>
      </c>
      <c r="F263" s="211" t="s">
        <v>1</v>
      </c>
      <c r="G263" s="189" t="s">
        <v>38</v>
      </c>
      <c r="H263" s="211"/>
      <c r="I263" s="211" t="s">
        <v>58</v>
      </c>
      <c r="J263" s="211">
        <v>33</v>
      </c>
      <c r="K263" s="211" t="s">
        <v>59</v>
      </c>
      <c r="L263" s="189" t="s">
        <v>48</v>
      </c>
      <c r="M263" s="310">
        <v>90</v>
      </c>
      <c r="N263" s="310">
        <v>90</v>
      </c>
      <c r="O263" s="310">
        <v>90</v>
      </c>
      <c r="P263" s="211"/>
      <c r="Q263" s="211"/>
      <c r="R263" s="211"/>
      <c r="S263" s="388">
        <v>6</v>
      </c>
      <c r="T263" s="388">
        <f>$S263</f>
        <v>6</v>
      </c>
      <c r="U263" s="388">
        <v>0</v>
      </c>
      <c r="V263" s="388">
        <v>0</v>
      </c>
      <c r="W263" s="387"/>
      <c r="X263" s="387"/>
      <c r="Y263" s="184">
        <f t="shared" si="294"/>
        <v>28053</v>
      </c>
      <c r="Z263" s="184">
        <v>0</v>
      </c>
      <c r="AA263" s="184">
        <v>0</v>
      </c>
      <c r="AB263" s="184">
        <f t="shared" si="345"/>
        <v>0</v>
      </c>
      <c r="AC263" s="184">
        <f t="shared" si="346"/>
        <v>0</v>
      </c>
      <c r="AD263" s="184">
        <f t="shared" si="295"/>
        <v>28053</v>
      </c>
      <c r="AE263" s="183">
        <f t="shared" si="338"/>
        <v>0</v>
      </c>
      <c r="AF263" s="385">
        <f>$AE263</f>
        <v>0</v>
      </c>
      <c r="AG263" s="385">
        <f t="shared" si="350"/>
        <v>0</v>
      </c>
      <c r="AH263" s="385">
        <f t="shared" si="350"/>
        <v>0</v>
      </c>
      <c r="AI263" s="185">
        <f t="shared" si="296"/>
        <v>74</v>
      </c>
      <c r="AJ263" s="185">
        <f t="shared" si="339"/>
        <v>433</v>
      </c>
      <c r="AK263" s="185">
        <f t="shared" si="340"/>
        <v>683</v>
      </c>
      <c r="AL263" s="185">
        <f t="shared" si="297"/>
        <v>1190</v>
      </c>
      <c r="AM263" s="173">
        <f t="shared" ref="AM263:AM269" si="353">($S263*Y263)+($AE263*AI263)</f>
        <v>168318</v>
      </c>
      <c r="AN263" s="173">
        <f t="shared" si="318"/>
        <v>0</v>
      </c>
      <c r="AO263" s="173">
        <f t="shared" si="319"/>
        <v>0</v>
      </c>
      <c r="AP263" s="173">
        <f t="shared" si="284"/>
        <v>0</v>
      </c>
      <c r="AQ263" s="173">
        <f t="shared" si="285"/>
        <v>0</v>
      </c>
      <c r="AR263" s="173">
        <f t="shared" si="286"/>
        <v>168318</v>
      </c>
      <c r="AS263" s="186" t="s">
        <v>1367</v>
      </c>
      <c r="AT263" s="300">
        <f t="shared" si="352"/>
        <v>2.8014999999999999</v>
      </c>
      <c r="AU263" s="300">
        <f t="shared" si="352"/>
        <v>2.8014999999999999</v>
      </c>
      <c r="AV263" s="300">
        <f t="shared" si="352"/>
        <v>2.8014999999999999</v>
      </c>
      <c r="AW263" s="300">
        <f t="shared" si="352"/>
        <v>2.8014999999999999</v>
      </c>
      <c r="AX263" s="300">
        <f t="shared" si="352"/>
        <v>2.8014999999999999</v>
      </c>
      <c r="AY263" s="301">
        <f t="shared" si="351"/>
        <v>2.8014999999999999</v>
      </c>
      <c r="AZ263" s="301">
        <f t="shared" si="351"/>
        <v>2.8014999999999999</v>
      </c>
      <c r="BA263" s="301">
        <f t="shared" si="351"/>
        <v>2.8014999999999999</v>
      </c>
      <c r="BB263" s="301">
        <f t="shared" si="351"/>
        <v>2.8014999999999999</v>
      </c>
      <c r="BC263" s="301">
        <f t="shared" si="351"/>
        <v>2.8014999999999999</v>
      </c>
      <c r="BD263" s="187">
        <f>ROUND(IF(OR(M263=0,AT263="DATO NO DISPONIBLE"),"",AT263*M263*($BD$7+1)),0)</f>
        <v>270</v>
      </c>
      <c r="BE263" s="187">
        <f t="shared" si="321"/>
        <v>270</v>
      </c>
      <c r="BF263" s="187">
        <f t="shared" si="322"/>
        <v>270</v>
      </c>
      <c r="BG263" s="187"/>
      <c r="BH263" s="187"/>
      <c r="BI263" s="187">
        <f>ROUND(IF(OR(M263=0,AY263="DATO NO DISPONIBLE"),0,AY263*M263*($BD$7+1)),0)</f>
        <v>270</v>
      </c>
      <c r="BJ263" s="187">
        <f t="shared" si="298"/>
        <v>270</v>
      </c>
      <c r="BK263" s="187">
        <f t="shared" si="299"/>
        <v>270</v>
      </c>
      <c r="BL263" s="187"/>
      <c r="BM263" s="187"/>
      <c r="BN263" s="188">
        <f>BD263*AM263</f>
        <v>45445860</v>
      </c>
      <c r="BO263" s="188">
        <f t="shared" si="300"/>
        <v>0</v>
      </c>
      <c r="BP263" s="188">
        <f t="shared" si="301"/>
        <v>0</v>
      </c>
      <c r="BQ263" s="188">
        <f t="shared" si="302"/>
        <v>0</v>
      </c>
      <c r="BR263" s="188">
        <f t="shared" si="303"/>
        <v>0</v>
      </c>
      <c r="BS263" s="188">
        <f t="shared" si="287"/>
        <v>45445860</v>
      </c>
      <c r="BT263" s="188">
        <f t="shared" si="288"/>
        <v>45445860</v>
      </c>
      <c r="BU263" s="188">
        <f t="shared" si="289"/>
        <v>0</v>
      </c>
      <c r="BV263" s="188">
        <f t="shared" si="290"/>
        <v>0</v>
      </c>
      <c r="BW263" s="188">
        <f t="shared" si="291"/>
        <v>0</v>
      </c>
      <c r="BX263" s="188">
        <f t="shared" si="292"/>
        <v>0</v>
      </c>
      <c r="BY263" s="188">
        <f t="shared" si="293"/>
        <v>45445860</v>
      </c>
      <c r="BZ263" s="305">
        <f>IF(COT_PRECALCULOS!$D$24="Precios Iva Incluído",BI263,BD263)</f>
        <v>270</v>
      </c>
      <c r="CA263" s="305">
        <f>IF(COT_PRECALCULOS!$D$24="Precios Iva Incluído",BJ263,BE263)</f>
        <v>270</v>
      </c>
      <c r="CB263" s="305">
        <f>IF(COT_PRECALCULOS!$D$24="Precios Iva Incluído",BK263,BF263)</f>
        <v>270</v>
      </c>
      <c r="CC263" s="305">
        <f>IF(COT_PRECALCULOS!$D$24="Precios Iva Incluído",BL263,BG263)</f>
        <v>0</v>
      </c>
      <c r="CD263" s="305">
        <f>IF(COT_PRECALCULOS!$D$24="Precios Iva Incluído",BM263,BH263)</f>
        <v>0</v>
      </c>
      <c r="CE263" s="305">
        <f>IF(COT_PRECALCULOS!$D$24="Precios Iva Incluído",BT263,BN263)</f>
        <v>45445860</v>
      </c>
      <c r="CF263" s="305">
        <f>IF(COT_PRECALCULOS!$D$24="Precios Iva Incluído",BU263,BO263)</f>
        <v>0</v>
      </c>
      <c r="CG263" s="305">
        <f>IF(COT_PRECALCULOS!$D$24="Precios Iva Incluído",BV263,BP263)</f>
        <v>0</v>
      </c>
      <c r="CH263" s="305">
        <f>IF(COT_PRECALCULOS!$D$24="Precios Iva Incluído",BW263,BQ263)</f>
        <v>0</v>
      </c>
      <c r="CI263" s="305">
        <f>IF(COT_PRECALCULOS!$D$24="Precios Iva Incluído",BX263,BR263)</f>
        <v>0</v>
      </c>
    </row>
    <row r="264" spans="1:87">
      <c r="A264" s="182" t="s">
        <v>102</v>
      </c>
      <c r="B264" s="182" t="s">
        <v>126</v>
      </c>
      <c r="C264" s="189" t="str">
        <f t="shared" si="282"/>
        <v>F_SE9</v>
      </c>
      <c r="D264" s="189" t="str">
        <f t="shared" si="283"/>
        <v>42_S_</v>
      </c>
      <c r="E264" s="190" t="s">
        <v>1</v>
      </c>
      <c r="F264" s="190" t="s">
        <v>1</v>
      </c>
      <c r="G264" s="189" t="s">
        <v>38</v>
      </c>
      <c r="H264" s="190"/>
      <c r="I264" s="190" t="s">
        <v>49</v>
      </c>
      <c r="J264" s="190">
        <v>42</v>
      </c>
      <c r="K264" s="190" t="s">
        <v>61</v>
      </c>
      <c r="L264" s="189" t="s">
        <v>9</v>
      </c>
      <c r="M264" s="211">
        <v>100</v>
      </c>
      <c r="N264" s="211">
        <v>100</v>
      </c>
      <c r="O264" s="211">
        <v>100</v>
      </c>
      <c r="P264" s="190"/>
      <c r="Q264" s="190"/>
      <c r="R264" s="190"/>
      <c r="S264" s="183">
        <f t="shared" ref="S264:S272" si="354">COUNTIF(CAL_SEGUNDA_ENTREGA_LAV_FRUTA,CONCATENATE(G264,"_",J264))</f>
        <v>3</v>
      </c>
      <c r="T264" s="385">
        <f>$S264</f>
        <v>3</v>
      </c>
      <c r="U264" s="385">
        <f t="shared" ref="U264:V272" si="355">$S264</f>
        <v>3</v>
      </c>
      <c r="V264" s="385">
        <f t="shared" si="355"/>
        <v>3</v>
      </c>
      <c r="W264" s="387"/>
      <c r="X264" s="387"/>
      <c r="Y264" s="184">
        <f t="shared" si="294"/>
        <v>28053</v>
      </c>
      <c r="Z264" s="184">
        <f t="shared" ref="Z264:Z272" si="356">IF(N264&lt;&gt;0,VLOOKUP(A264,FRE_CANTIDADES_DIARIAS_SUMINISTROS,5,FALSE),0)</f>
        <v>31277</v>
      </c>
      <c r="AA264" s="184">
        <f t="shared" ref="AA264:AA272" si="357">IF(O264&lt;&gt;0,VLOOKUP(A264,FRE_CANTIDADES_DIARIAS_SUMINISTROS,6,FALSE),0)</f>
        <v>46469</v>
      </c>
      <c r="AB264" s="184">
        <f t="shared" si="345"/>
        <v>0</v>
      </c>
      <c r="AC264" s="184">
        <f t="shared" si="346"/>
        <v>0</v>
      </c>
      <c r="AD264" s="184">
        <f t="shared" si="295"/>
        <v>105799</v>
      </c>
      <c r="AE264" s="183">
        <f t="shared" si="338"/>
        <v>0</v>
      </c>
      <c r="AF264" s="385">
        <f>$AE264</f>
        <v>0</v>
      </c>
      <c r="AG264" s="385">
        <f t="shared" si="350"/>
        <v>0</v>
      </c>
      <c r="AH264" s="385">
        <f t="shared" si="350"/>
        <v>0</v>
      </c>
      <c r="AI264" s="185">
        <f t="shared" si="296"/>
        <v>74</v>
      </c>
      <c r="AJ264" s="185">
        <f t="shared" si="339"/>
        <v>433</v>
      </c>
      <c r="AK264" s="185">
        <f t="shared" si="340"/>
        <v>683</v>
      </c>
      <c r="AL264" s="185">
        <f t="shared" si="297"/>
        <v>1190</v>
      </c>
      <c r="AM264" s="173">
        <f t="shared" si="353"/>
        <v>84159</v>
      </c>
      <c r="AN264" s="173">
        <f t="shared" si="318"/>
        <v>93831</v>
      </c>
      <c r="AO264" s="173">
        <f t="shared" si="319"/>
        <v>139407</v>
      </c>
      <c r="AP264" s="173">
        <f t="shared" si="284"/>
        <v>0</v>
      </c>
      <c r="AQ264" s="173">
        <f t="shared" si="285"/>
        <v>0</v>
      </c>
      <c r="AR264" s="173">
        <f t="shared" si="286"/>
        <v>317397</v>
      </c>
      <c r="AS264" s="186" t="s">
        <v>1367</v>
      </c>
      <c r="AT264" s="300">
        <f t="shared" si="352"/>
        <v>1.8169999999999999</v>
      </c>
      <c r="AU264" s="300">
        <f t="shared" si="352"/>
        <v>1.8169999999999999</v>
      </c>
      <c r="AV264" s="300">
        <f t="shared" si="352"/>
        <v>1.8169999999999999</v>
      </c>
      <c r="AW264" s="300">
        <f t="shared" si="352"/>
        <v>1.8169999999999999</v>
      </c>
      <c r="AX264" s="300">
        <f t="shared" si="352"/>
        <v>1.8169999999999999</v>
      </c>
      <c r="AY264" s="301">
        <f t="shared" si="351"/>
        <v>1.8169999999999999</v>
      </c>
      <c r="AZ264" s="301">
        <f t="shared" si="351"/>
        <v>1.8169999999999999</v>
      </c>
      <c r="BA264" s="301">
        <f t="shared" si="351"/>
        <v>1.8169999999999999</v>
      </c>
      <c r="BB264" s="301">
        <f t="shared" si="351"/>
        <v>1.8169999999999999</v>
      </c>
      <c r="BC264" s="301">
        <f t="shared" si="351"/>
        <v>1.8169999999999999</v>
      </c>
      <c r="BD264" s="187">
        <f>ROUND(IF(OR(M264=0,AT264="DATO NO DISPONIBLE"),"",AT264*M264*($BD$7+1)),0)</f>
        <v>194</v>
      </c>
      <c r="BE264" s="187">
        <f t="shared" si="321"/>
        <v>194</v>
      </c>
      <c r="BF264" s="187">
        <f t="shared" si="322"/>
        <v>194</v>
      </c>
      <c r="BG264" s="187"/>
      <c r="BH264" s="187"/>
      <c r="BI264" s="187">
        <f>ROUND(IF(OR(M264=0,AY264="DATO NO DISPONIBLE"),0,AY264*M264*($BD$7+1)),0)</f>
        <v>194</v>
      </c>
      <c r="BJ264" s="187">
        <f t="shared" si="298"/>
        <v>194</v>
      </c>
      <c r="BK264" s="187">
        <f t="shared" si="299"/>
        <v>194</v>
      </c>
      <c r="BL264" s="187"/>
      <c r="BM264" s="187"/>
      <c r="BN264" s="188">
        <f>BD264*AM264</f>
        <v>16326846</v>
      </c>
      <c r="BO264" s="188">
        <f t="shared" si="300"/>
        <v>18203214</v>
      </c>
      <c r="BP264" s="188">
        <f t="shared" si="301"/>
        <v>27044958</v>
      </c>
      <c r="BQ264" s="188">
        <f t="shared" si="302"/>
        <v>0</v>
      </c>
      <c r="BR264" s="188">
        <f t="shared" si="303"/>
        <v>0</v>
      </c>
      <c r="BS264" s="188">
        <f t="shared" si="287"/>
        <v>61575018</v>
      </c>
      <c r="BT264" s="188">
        <f t="shared" si="288"/>
        <v>16326846</v>
      </c>
      <c r="BU264" s="188">
        <f t="shared" si="289"/>
        <v>18203214</v>
      </c>
      <c r="BV264" s="188">
        <f t="shared" si="290"/>
        <v>27044958</v>
      </c>
      <c r="BW264" s="188">
        <f t="shared" si="291"/>
        <v>0</v>
      </c>
      <c r="BX264" s="188">
        <f t="shared" si="292"/>
        <v>0</v>
      </c>
      <c r="BY264" s="188">
        <f t="shared" si="293"/>
        <v>61575018</v>
      </c>
      <c r="BZ264" s="305">
        <f>IF(COT_PRECALCULOS!$D$24="Precios Iva Incluído",BI264,BD264)</f>
        <v>194</v>
      </c>
      <c r="CA264" s="305">
        <f>IF(COT_PRECALCULOS!$D$24="Precios Iva Incluído",BJ264,BE264)</f>
        <v>194</v>
      </c>
      <c r="CB264" s="305">
        <f>IF(COT_PRECALCULOS!$D$24="Precios Iva Incluído",BK264,BF264)</f>
        <v>194</v>
      </c>
      <c r="CC264" s="305">
        <f>IF(COT_PRECALCULOS!$D$24="Precios Iva Incluído",BL264,BG264)</f>
        <v>0</v>
      </c>
      <c r="CD264" s="305">
        <f>IF(COT_PRECALCULOS!$D$24="Precios Iva Incluído",BM264,BH264)</f>
        <v>0</v>
      </c>
      <c r="CE264" s="305">
        <f>IF(COT_PRECALCULOS!$D$24="Precios Iva Incluído",BT264,BN264)</f>
        <v>16326846</v>
      </c>
      <c r="CF264" s="305">
        <f>IF(COT_PRECALCULOS!$D$24="Precios Iva Incluído",BU264,BO264)</f>
        <v>18203214</v>
      </c>
      <c r="CG264" s="305">
        <f>IF(COT_PRECALCULOS!$D$24="Precios Iva Incluído",BV264,BP264)</f>
        <v>27044958</v>
      </c>
      <c r="CH264" s="305">
        <f>IF(COT_PRECALCULOS!$D$24="Precios Iva Incluído",BW264,BQ264)</f>
        <v>0</v>
      </c>
      <c r="CI264" s="305">
        <f>IF(COT_PRECALCULOS!$D$24="Precios Iva Incluído",BX264,BR264)</f>
        <v>0</v>
      </c>
    </row>
    <row r="265" spans="1:87">
      <c r="A265" s="182" t="s">
        <v>102</v>
      </c>
      <c r="B265" s="182" t="s">
        <v>126</v>
      </c>
      <c r="C265" s="189" t="str">
        <f t="shared" si="282"/>
        <v>F_SE9</v>
      </c>
      <c r="D265" s="189" t="str">
        <f t="shared" si="283"/>
        <v>43_S_</v>
      </c>
      <c r="E265" s="190" t="s">
        <v>1</v>
      </c>
      <c r="F265" s="190" t="s">
        <v>1</v>
      </c>
      <c r="G265" s="189" t="s">
        <v>38</v>
      </c>
      <c r="H265" s="190"/>
      <c r="I265" s="190" t="s">
        <v>60</v>
      </c>
      <c r="J265" s="190">
        <v>43</v>
      </c>
      <c r="K265" s="190" t="s">
        <v>62</v>
      </c>
      <c r="L265" s="189" t="s">
        <v>9</v>
      </c>
      <c r="M265" s="211">
        <v>100</v>
      </c>
      <c r="N265" s="211">
        <v>100</v>
      </c>
      <c r="O265" s="211">
        <v>100</v>
      </c>
      <c r="P265" s="190"/>
      <c r="Q265" s="190"/>
      <c r="R265" s="190"/>
      <c r="S265" s="183">
        <f t="shared" si="354"/>
        <v>2</v>
      </c>
      <c r="T265" s="385">
        <f>$S265</f>
        <v>2</v>
      </c>
      <c r="U265" s="385">
        <f t="shared" si="355"/>
        <v>2</v>
      </c>
      <c r="V265" s="385">
        <f t="shared" si="355"/>
        <v>2</v>
      </c>
      <c r="W265" s="387"/>
      <c r="X265" s="387"/>
      <c r="Y265" s="184">
        <f t="shared" si="294"/>
        <v>28053</v>
      </c>
      <c r="Z265" s="184">
        <f t="shared" si="356"/>
        <v>31277</v>
      </c>
      <c r="AA265" s="184">
        <f t="shared" si="357"/>
        <v>46469</v>
      </c>
      <c r="AB265" s="184">
        <f t="shared" si="345"/>
        <v>0</v>
      </c>
      <c r="AC265" s="184">
        <f t="shared" si="346"/>
        <v>0</v>
      </c>
      <c r="AD265" s="184">
        <f t="shared" si="295"/>
        <v>105799</v>
      </c>
      <c r="AE265" s="183">
        <f t="shared" si="338"/>
        <v>0</v>
      </c>
      <c r="AF265" s="385">
        <f>$AE265</f>
        <v>0</v>
      </c>
      <c r="AG265" s="385">
        <f t="shared" si="350"/>
        <v>0</v>
      </c>
      <c r="AH265" s="385">
        <f t="shared" si="350"/>
        <v>0</v>
      </c>
      <c r="AI265" s="185">
        <f t="shared" si="296"/>
        <v>74</v>
      </c>
      <c r="AJ265" s="185">
        <f t="shared" si="339"/>
        <v>433</v>
      </c>
      <c r="AK265" s="185">
        <f t="shared" si="340"/>
        <v>683</v>
      </c>
      <c r="AL265" s="185">
        <f t="shared" si="297"/>
        <v>1190</v>
      </c>
      <c r="AM265" s="173">
        <f t="shared" si="353"/>
        <v>56106</v>
      </c>
      <c r="AN265" s="173">
        <f t="shared" si="318"/>
        <v>62554</v>
      </c>
      <c r="AO265" s="173">
        <f t="shared" si="319"/>
        <v>92938</v>
      </c>
      <c r="AP265" s="173">
        <f t="shared" si="284"/>
        <v>0</v>
      </c>
      <c r="AQ265" s="173">
        <f t="shared" si="285"/>
        <v>0</v>
      </c>
      <c r="AR265" s="173">
        <f t="shared" si="286"/>
        <v>211598</v>
      </c>
      <c r="AS265" s="186" t="s">
        <v>1367</v>
      </c>
      <c r="AT265" s="300">
        <f t="shared" si="352"/>
        <v>1.5892500000000001</v>
      </c>
      <c r="AU265" s="300">
        <f t="shared" si="352"/>
        <v>1.5892500000000001</v>
      </c>
      <c r="AV265" s="300">
        <f t="shared" si="352"/>
        <v>1.5892500000000001</v>
      </c>
      <c r="AW265" s="300">
        <f t="shared" si="352"/>
        <v>1.5892500000000001</v>
      </c>
      <c r="AX265" s="300">
        <f t="shared" si="352"/>
        <v>1.5892500000000001</v>
      </c>
      <c r="AY265" s="301">
        <f t="shared" si="351"/>
        <v>1.5892500000000001</v>
      </c>
      <c r="AZ265" s="301">
        <f t="shared" si="351"/>
        <v>1.5892500000000001</v>
      </c>
      <c r="BA265" s="301">
        <f t="shared" si="351"/>
        <v>1.5892500000000001</v>
      </c>
      <c r="BB265" s="301">
        <f t="shared" si="351"/>
        <v>1.5892500000000001</v>
      </c>
      <c r="BC265" s="301">
        <f t="shared" si="351"/>
        <v>1.5892500000000001</v>
      </c>
      <c r="BD265" s="187">
        <f>ROUND(IF(OR(M265=0,AT265="DATO NO DISPONIBLE"),"",AT265*M265*($BD$7+1)),0)</f>
        <v>170</v>
      </c>
      <c r="BE265" s="187">
        <f t="shared" si="321"/>
        <v>170</v>
      </c>
      <c r="BF265" s="187">
        <f t="shared" si="322"/>
        <v>170</v>
      </c>
      <c r="BG265" s="187"/>
      <c r="BH265" s="187"/>
      <c r="BI265" s="187">
        <f>ROUND(IF(OR(M265=0,AY265="DATO NO DISPONIBLE"),0,AY265*M265*($BD$7+1)),0)</f>
        <v>170</v>
      </c>
      <c r="BJ265" s="187">
        <f t="shared" si="298"/>
        <v>170</v>
      </c>
      <c r="BK265" s="187">
        <f t="shared" si="299"/>
        <v>170</v>
      </c>
      <c r="BL265" s="187"/>
      <c r="BM265" s="187"/>
      <c r="BN265" s="188">
        <f>BD265*AM265</f>
        <v>9538020</v>
      </c>
      <c r="BO265" s="188">
        <f t="shared" si="300"/>
        <v>10634180</v>
      </c>
      <c r="BP265" s="188">
        <f t="shared" si="301"/>
        <v>15799460</v>
      </c>
      <c r="BQ265" s="188">
        <f t="shared" si="302"/>
        <v>0</v>
      </c>
      <c r="BR265" s="188">
        <f t="shared" si="303"/>
        <v>0</v>
      </c>
      <c r="BS265" s="188">
        <f t="shared" si="287"/>
        <v>35971660</v>
      </c>
      <c r="BT265" s="188">
        <f t="shared" si="288"/>
        <v>9538020</v>
      </c>
      <c r="BU265" s="188">
        <f t="shared" si="289"/>
        <v>10634180</v>
      </c>
      <c r="BV265" s="188">
        <f t="shared" si="290"/>
        <v>15799460</v>
      </c>
      <c r="BW265" s="188">
        <f t="shared" si="291"/>
        <v>0</v>
      </c>
      <c r="BX265" s="188">
        <f t="shared" si="292"/>
        <v>0</v>
      </c>
      <c r="BY265" s="188">
        <f t="shared" si="293"/>
        <v>35971660</v>
      </c>
      <c r="BZ265" s="305">
        <f>IF(COT_PRECALCULOS!$D$24="Precios Iva Incluído",BI265,BD265)</f>
        <v>170</v>
      </c>
      <c r="CA265" s="305">
        <f>IF(COT_PRECALCULOS!$D$24="Precios Iva Incluído",BJ265,BE265)</f>
        <v>170</v>
      </c>
      <c r="CB265" s="305">
        <f>IF(COT_PRECALCULOS!$D$24="Precios Iva Incluído",BK265,BF265)</f>
        <v>170</v>
      </c>
      <c r="CC265" s="305">
        <f>IF(COT_PRECALCULOS!$D$24="Precios Iva Incluído",BL265,BG265)</f>
        <v>0</v>
      </c>
      <c r="CD265" s="305">
        <f>IF(COT_PRECALCULOS!$D$24="Precios Iva Incluído",BM265,BH265)</f>
        <v>0</v>
      </c>
      <c r="CE265" s="305">
        <f>IF(COT_PRECALCULOS!$D$24="Precios Iva Incluído",BT265,BN265)</f>
        <v>9538020</v>
      </c>
      <c r="CF265" s="305">
        <f>IF(COT_PRECALCULOS!$D$24="Precios Iva Incluído",BU265,BO265)</f>
        <v>10634180</v>
      </c>
      <c r="CG265" s="305">
        <f>IF(COT_PRECALCULOS!$D$24="Precios Iva Incluído",BV265,BP265)</f>
        <v>15799460</v>
      </c>
      <c r="CH265" s="305">
        <f>IF(COT_PRECALCULOS!$D$24="Precios Iva Incluído",BW265,BQ265)</f>
        <v>0</v>
      </c>
      <c r="CI265" s="305">
        <f>IF(COT_PRECALCULOS!$D$24="Precios Iva Incluído",BX265,BR265)</f>
        <v>0</v>
      </c>
    </row>
    <row r="266" spans="1:87">
      <c r="A266" s="182" t="s">
        <v>102</v>
      </c>
      <c r="B266" s="182" t="s">
        <v>126</v>
      </c>
      <c r="C266" s="189" t="str">
        <f t="shared" si="282"/>
        <v>F_SE9</v>
      </c>
      <c r="D266" s="189" t="str">
        <f t="shared" si="283"/>
        <v>46_S_</v>
      </c>
      <c r="E266" s="190" t="s">
        <v>1</v>
      </c>
      <c r="F266" s="190" t="s">
        <v>1</v>
      </c>
      <c r="G266" s="189" t="s">
        <v>38</v>
      </c>
      <c r="H266" s="190"/>
      <c r="I266" s="190" t="s">
        <v>63</v>
      </c>
      <c r="J266" s="190">
        <v>46</v>
      </c>
      <c r="K266" s="190" t="s">
        <v>64</v>
      </c>
      <c r="L266" s="189" t="s">
        <v>9</v>
      </c>
      <c r="M266" s="211">
        <v>100</v>
      </c>
      <c r="N266" s="211">
        <v>100</v>
      </c>
      <c r="O266" s="211">
        <v>100</v>
      </c>
      <c r="P266" s="190"/>
      <c r="Q266" s="190"/>
      <c r="R266" s="190"/>
      <c r="S266" s="183">
        <f t="shared" si="354"/>
        <v>4</v>
      </c>
      <c r="T266" s="385">
        <f>$S266</f>
        <v>4</v>
      </c>
      <c r="U266" s="385">
        <f t="shared" si="355"/>
        <v>4</v>
      </c>
      <c r="V266" s="385">
        <f t="shared" si="355"/>
        <v>4</v>
      </c>
      <c r="W266" s="387"/>
      <c r="X266" s="387"/>
      <c r="Y266" s="184">
        <f t="shared" si="294"/>
        <v>28053</v>
      </c>
      <c r="Z266" s="184">
        <f t="shared" si="356"/>
        <v>31277</v>
      </c>
      <c r="AA266" s="184">
        <f t="shared" si="357"/>
        <v>46469</v>
      </c>
      <c r="AB266" s="184">
        <f t="shared" si="345"/>
        <v>0</v>
      </c>
      <c r="AC266" s="184">
        <f t="shared" si="346"/>
        <v>0</v>
      </c>
      <c r="AD266" s="184">
        <f t="shared" si="295"/>
        <v>105799</v>
      </c>
      <c r="AE266" s="183">
        <f t="shared" si="338"/>
        <v>0</v>
      </c>
      <c r="AF266" s="385">
        <f>$AE266</f>
        <v>0</v>
      </c>
      <c r="AG266" s="385">
        <f t="shared" si="350"/>
        <v>0</v>
      </c>
      <c r="AH266" s="385">
        <f t="shared" si="350"/>
        <v>0</v>
      </c>
      <c r="AI266" s="185">
        <f t="shared" si="296"/>
        <v>74</v>
      </c>
      <c r="AJ266" s="185">
        <f t="shared" si="339"/>
        <v>433</v>
      </c>
      <c r="AK266" s="185">
        <f t="shared" si="340"/>
        <v>683</v>
      </c>
      <c r="AL266" s="185">
        <f t="shared" si="297"/>
        <v>1190</v>
      </c>
      <c r="AM266" s="173">
        <f t="shared" si="353"/>
        <v>112212</v>
      </c>
      <c r="AN266" s="173">
        <f t="shared" si="318"/>
        <v>125108</v>
      </c>
      <c r="AO266" s="173">
        <f t="shared" si="319"/>
        <v>185876</v>
      </c>
      <c r="AP266" s="173">
        <f t="shared" si="284"/>
        <v>0</v>
      </c>
      <c r="AQ266" s="173">
        <f t="shared" si="285"/>
        <v>0</v>
      </c>
      <c r="AR266" s="173">
        <f t="shared" si="286"/>
        <v>423196</v>
      </c>
      <c r="AS266" s="186" t="s">
        <v>1367</v>
      </c>
      <c r="AT266" s="300">
        <f t="shared" si="352"/>
        <v>3.7214999999999998</v>
      </c>
      <c r="AU266" s="300">
        <f t="shared" si="352"/>
        <v>3.7214999999999998</v>
      </c>
      <c r="AV266" s="300">
        <f t="shared" si="352"/>
        <v>3.7214999999999998</v>
      </c>
      <c r="AW266" s="300">
        <f t="shared" si="352"/>
        <v>3.7214999999999998</v>
      </c>
      <c r="AX266" s="300">
        <f t="shared" si="352"/>
        <v>3.7214999999999998</v>
      </c>
      <c r="AY266" s="301">
        <f t="shared" si="351"/>
        <v>3.7214999999999998</v>
      </c>
      <c r="AZ266" s="301">
        <f t="shared" si="351"/>
        <v>3.7214999999999998</v>
      </c>
      <c r="BA266" s="301">
        <f t="shared" si="351"/>
        <v>3.7214999999999998</v>
      </c>
      <c r="BB266" s="301">
        <f t="shared" si="351"/>
        <v>3.7214999999999998</v>
      </c>
      <c r="BC266" s="301">
        <f t="shared" si="351"/>
        <v>3.7214999999999998</v>
      </c>
      <c r="BD266" s="187">
        <f>ROUND(IF(OR(M266=0,AT266="DATO NO DISPONIBLE"),"",AT266*M266*($BD$7+1)),0)</f>
        <v>398</v>
      </c>
      <c r="BE266" s="187">
        <f t="shared" si="321"/>
        <v>398</v>
      </c>
      <c r="BF266" s="187">
        <f t="shared" si="322"/>
        <v>398</v>
      </c>
      <c r="BG266" s="187"/>
      <c r="BH266" s="187"/>
      <c r="BI266" s="187">
        <f>ROUND(IF(OR(M266=0,AY266="DATO NO DISPONIBLE"),0,AY266*M266*($BD$7+1)),0)</f>
        <v>398</v>
      </c>
      <c r="BJ266" s="187">
        <f t="shared" si="298"/>
        <v>398</v>
      </c>
      <c r="BK266" s="187">
        <f t="shared" si="299"/>
        <v>398</v>
      </c>
      <c r="BL266" s="187"/>
      <c r="BM266" s="187"/>
      <c r="BN266" s="188">
        <f>BD266*AM266</f>
        <v>44660376</v>
      </c>
      <c r="BO266" s="188">
        <f t="shared" si="300"/>
        <v>49792984</v>
      </c>
      <c r="BP266" s="188">
        <f t="shared" si="301"/>
        <v>73978648</v>
      </c>
      <c r="BQ266" s="188">
        <f t="shared" si="302"/>
        <v>0</v>
      </c>
      <c r="BR266" s="188">
        <f t="shared" si="303"/>
        <v>0</v>
      </c>
      <c r="BS266" s="188">
        <f t="shared" si="287"/>
        <v>168432008</v>
      </c>
      <c r="BT266" s="188">
        <f t="shared" si="288"/>
        <v>44660376</v>
      </c>
      <c r="BU266" s="188">
        <f t="shared" si="289"/>
        <v>49792984</v>
      </c>
      <c r="BV266" s="188">
        <f t="shared" si="290"/>
        <v>73978648</v>
      </c>
      <c r="BW266" s="188">
        <f t="shared" si="291"/>
        <v>0</v>
      </c>
      <c r="BX266" s="188">
        <f t="shared" si="292"/>
        <v>0</v>
      </c>
      <c r="BY266" s="188">
        <f t="shared" si="293"/>
        <v>168432008</v>
      </c>
      <c r="BZ266" s="305">
        <f>IF(COT_PRECALCULOS!$D$24="Precios Iva Incluído",BI266,BD266)</f>
        <v>398</v>
      </c>
      <c r="CA266" s="305">
        <f>IF(COT_PRECALCULOS!$D$24="Precios Iva Incluído",BJ266,BE266)</f>
        <v>398</v>
      </c>
      <c r="CB266" s="305">
        <f>IF(COT_PRECALCULOS!$D$24="Precios Iva Incluído",BK266,BF266)</f>
        <v>398</v>
      </c>
      <c r="CC266" s="305">
        <f>IF(COT_PRECALCULOS!$D$24="Precios Iva Incluído",BL266,BG266)</f>
        <v>0</v>
      </c>
      <c r="CD266" s="305">
        <f>IF(COT_PRECALCULOS!$D$24="Precios Iva Incluído",BM266,BH266)</f>
        <v>0</v>
      </c>
      <c r="CE266" s="305">
        <f>IF(COT_PRECALCULOS!$D$24="Precios Iva Incluído",BT266,BN266)</f>
        <v>44660376</v>
      </c>
      <c r="CF266" s="305">
        <f>IF(COT_PRECALCULOS!$D$24="Precios Iva Incluído",BU266,BO266)</f>
        <v>49792984</v>
      </c>
      <c r="CG266" s="305">
        <f>IF(COT_PRECALCULOS!$D$24="Precios Iva Incluído",BV266,BP266)</f>
        <v>73978648</v>
      </c>
      <c r="CH266" s="305">
        <f>IF(COT_PRECALCULOS!$D$24="Precios Iva Incluído",BW266,BQ266)</f>
        <v>0</v>
      </c>
      <c r="CI266" s="305">
        <f>IF(COT_PRECALCULOS!$D$24="Precios Iva Incluído",BX266,BR266)</f>
        <v>0</v>
      </c>
    </row>
    <row r="267" spans="1:87">
      <c r="A267" s="182" t="s">
        <v>102</v>
      </c>
      <c r="B267" s="182" t="s">
        <v>126</v>
      </c>
      <c r="C267" s="189" t="str">
        <f t="shared" si="282"/>
        <v>F_SE9</v>
      </c>
      <c r="D267" s="189" t="str">
        <f t="shared" si="283"/>
        <v>58_S_</v>
      </c>
      <c r="E267" s="190" t="s">
        <v>1</v>
      </c>
      <c r="F267" s="190" t="s">
        <v>1</v>
      </c>
      <c r="G267" s="189" t="s">
        <v>38</v>
      </c>
      <c r="H267" s="190"/>
      <c r="I267" s="190" t="s">
        <v>65</v>
      </c>
      <c r="J267" s="190">
        <v>58</v>
      </c>
      <c r="K267" s="190" t="s">
        <v>67</v>
      </c>
      <c r="L267" s="189" t="s">
        <v>9</v>
      </c>
      <c r="M267" s="211">
        <v>100</v>
      </c>
      <c r="N267" s="211">
        <v>100</v>
      </c>
      <c r="O267" s="211">
        <v>100</v>
      </c>
      <c r="P267" s="190"/>
      <c r="Q267" s="190"/>
      <c r="R267" s="190"/>
      <c r="S267" s="183">
        <f t="shared" si="354"/>
        <v>1</v>
      </c>
      <c r="T267" s="385">
        <f>$S267</f>
        <v>1</v>
      </c>
      <c r="U267" s="385">
        <f t="shared" si="355"/>
        <v>1</v>
      </c>
      <c r="V267" s="385">
        <f t="shared" si="355"/>
        <v>1</v>
      </c>
      <c r="W267" s="387"/>
      <c r="X267" s="387"/>
      <c r="Y267" s="184">
        <f t="shared" si="294"/>
        <v>28053</v>
      </c>
      <c r="Z267" s="184">
        <f t="shared" si="356"/>
        <v>31277</v>
      </c>
      <c r="AA267" s="184">
        <f t="shared" si="357"/>
        <v>46469</v>
      </c>
      <c r="AB267" s="184">
        <f t="shared" si="345"/>
        <v>0</v>
      </c>
      <c r="AC267" s="184">
        <f t="shared" si="346"/>
        <v>0</v>
      </c>
      <c r="AD267" s="184">
        <f t="shared" si="295"/>
        <v>105799</v>
      </c>
      <c r="AE267" s="183">
        <f t="shared" si="338"/>
        <v>0</v>
      </c>
      <c r="AF267" s="385">
        <f>$AE267</f>
        <v>0</v>
      </c>
      <c r="AG267" s="385">
        <f t="shared" si="350"/>
        <v>0</v>
      </c>
      <c r="AH267" s="385">
        <f t="shared" si="350"/>
        <v>0</v>
      </c>
      <c r="AI267" s="185">
        <f t="shared" si="296"/>
        <v>74</v>
      </c>
      <c r="AJ267" s="185">
        <f t="shared" si="339"/>
        <v>433</v>
      </c>
      <c r="AK267" s="185">
        <f t="shared" si="340"/>
        <v>683</v>
      </c>
      <c r="AL267" s="185">
        <f t="shared" si="297"/>
        <v>1190</v>
      </c>
      <c r="AM267" s="173">
        <f t="shared" si="353"/>
        <v>28053</v>
      </c>
      <c r="AN267" s="173">
        <f t="shared" si="318"/>
        <v>31277</v>
      </c>
      <c r="AO267" s="173">
        <f t="shared" si="319"/>
        <v>46469</v>
      </c>
      <c r="AP267" s="173">
        <f t="shared" si="284"/>
        <v>0</v>
      </c>
      <c r="AQ267" s="173">
        <f t="shared" si="285"/>
        <v>0</v>
      </c>
      <c r="AR267" s="173">
        <f t="shared" si="286"/>
        <v>105799</v>
      </c>
      <c r="AS267" s="186" t="s">
        <v>1367</v>
      </c>
      <c r="AT267" s="300">
        <f t="shared" si="352"/>
        <v>1.4384999999999999</v>
      </c>
      <c r="AU267" s="300">
        <f t="shared" si="352"/>
        <v>1.4384999999999999</v>
      </c>
      <c r="AV267" s="300">
        <f t="shared" si="352"/>
        <v>1.4384999999999999</v>
      </c>
      <c r="AW267" s="300">
        <f t="shared" si="352"/>
        <v>1.4384999999999999</v>
      </c>
      <c r="AX267" s="300">
        <f t="shared" si="352"/>
        <v>1.4384999999999999</v>
      </c>
      <c r="AY267" s="301">
        <f t="shared" si="351"/>
        <v>1.4384999999999999</v>
      </c>
      <c r="AZ267" s="301">
        <f t="shared" si="351"/>
        <v>1.4384999999999999</v>
      </c>
      <c r="BA267" s="301">
        <f t="shared" si="351"/>
        <v>1.4384999999999999</v>
      </c>
      <c r="BB267" s="301">
        <f t="shared" si="351"/>
        <v>1.4384999999999999</v>
      </c>
      <c r="BC267" s="301">
        <f t="shared" si="351"/>
        <v>1.4384999999999999</v>
      </c>
      <c r="BD267" s="187">
        <f>ROUND(IF(OR(M267=0,AT267="DATO NO DISPONIBLE"),"",AT267*M267*($BD$7+1)),0)</f>
        <v>154</v>
      </c>
      <c r="BE267" s="187">
        <f t="shared" si="321"/>
        <v>154</v>
      </c>
      <c r="BF267" s="187">
        <f t="shared" si="322"/>
        <v>154</v>
      </c>
      <c r="BG267" s="187"/>
      <c r="BH267" s="187"/>
      <c r="BI267" s="187">
        <f>ROUND(IF(OR(M267=0,AY267="DATO NO DISPONIBLE"),0,AY267*M267*($BD$7+1)),0)</f>
        <v>154</v>
      </c>
      <c r="BJ267" s="187">
        <f t="shared" si="298"/>
        <v>154</v>
      </c>
      <c r="BK267" s="187">
        <f t="shared" si="299"/>
        <v>154</v>
      </c>
      <c r="BL267" s="187"/>
      <c r="BM267" s="187"/>
      <c r="BN267" s="188">
        <f>BD267*AM267</f>
        <v>4320162</v>
      </c>
      <c r="BO267" s="188">
        <f t="shared" si="300"/>
        <v>4816658</v>
      </c>
      <c r="BP267" s="188">
        <f t="shared" si="301"/>
        <v>7156226</v>
      </c>
      <c r="BQ267" s="188">
        <f t="shared" si="302"/>
        <v>0</v>
      </c>
      <c r="BR267" s="188">
        <f t="shared" si="303"/>
        <v>0</v>
      </c>
      <c r="BS267" s="188">
        <f t="shared" si="287"/>
        <v>16293046</v>
      </c>
      <c r="BT267" s="188">
        <f t="shared" si="288"/>
        <v>4320162</v>
      </c>
      <c r="BU267" s="188">
        <f t="shared" si="289"/>
        <v>4816658</v>
      </c>
      <c r="BV267" s="188">
        <f t="shared" si="290"/>
        <v>7156226</v>
      </c>
      <c r="BW267" s="188">
        <f t="shared" si="291"/>
        <v>0</v>
      </c>
      <c r="BX267" s="188">
        <f t="shared" si="292"/>
        <v>0</v>
      </c>
      <c r="BY267" s="188">
        <f t="shared" si="293"/>
        <v>16293046</v>
      </c>
      <c r="BZ267" s="305">
        <f>IF(COT_PRECALCULOS!$D$24="Precios Iva Incluído",BI267,BD267)</f>
        <v>154</v>
      </c>
      <c r="CA267" s="305">
        <f>IF(COT_PRECALCULOS!$D$24="Precios Iva Incluído",BJ267,BE267)</f>
        <v>154</v>
      </c>
      <c r="CB267" s="305">
        <f>IF(COT_PRECALCULOS!$D$24="Precios Iva Incluído",BK267,BF267)</f>
        <v>154</v>
      </c>
      <c r="CC267" s="305">
        <f>IF(COT_PRECALCULOS!$D$24="Precios Iva Incluído",BL267,BG267)</f>
        <v>0</v>
      </c>
      <c r="CD267" s="305">
        <f>IF(COT_PRECALCULOS!$D$24="Precios Iva Incluído",BM267,BH267)</f>
        <v>0</v>
      </c>
      <c r="CE267" s="305">
        <f>IF(COT_PRECALCULOS!$D$24="Precios Iva Incluído",BT267,BN267)</f>
        <v>4320162</v>
      </c>
      <c r="CF267" s="305">
        <f>IF(COT_PRECALCULOS!$D$24="Precios Iva Incluído",BU267,BO267)</f>
        <v>4816658</v>
      </c>
      <c r="CG267" s="305">
        <f>IF(COT_PRECALCULOS!$D$24="Precios Iva Incluído",BV267,BP267)</f>
        <v>7156226</v>
      </c>
      <c r="CH267" s="305">
        <f>IF(COT_PRECALCULOS!$D$24="Precios Iva Incluído",BW267,BQ267)</f>
        <v>0</v>
      </c>
      <c r="CI267" s="305">
        <f>IF(COT_PRECALCULOS!$D$24="Precios Iva Incluído",BX267,BR267)</f>
        <v>0</v>
      </c>
    </row>
    <row r="268" spans="1:87">
      <c r="A268" s="182" t="s">
        <v>102</v>
      </c>
      <c r="B268" s="182" t="s">
        <v>126</v>
      </c>
      <c r="C268" s="189" t="str">
        <f t="shared" ref="C268:C323" si="358">CONCATENATE(MID(E268,1,1),"_",G268)</f>
        <v>F_SE9</v>
      </c>
      <c r="D268" s="189" t="str">
        <f t="shared" ref="D268:D323" si="359">CONCATENATE(J268,"_",A268)</f>
        <v>59_S_</v>
      </c>
      <c r="E268" s="190" t="s">
        <v>1</v>
      </c>
      <c r="F268" s="190" t="s">
        <v>1</v>
      </c>
      <c r="G268" s="189" t="s">
        <v>38</v>
      </c>
      <c r="H268" s="190"/>
      <c r="I268" s="190" t="s">
        <v>66</v>
      </c>
      <c r="J268" s="190">
        <v>59</v>
      </c>
      <c r="K268" s="190" t="s">
        <v>99</v>
      </c>
      <c r="L268" s="189" t="s">
        <v>9</v>
      </c>
      <c r="M268" s="386">
        <v>0</v>
      </c>
      <c r="N268" s="211">
        <v>100</v>
      </c>
      <c r="O268" s="211">
        <v>100</v>
      </c>
      <c r="P268" s="190"/>
      <c r="Q268" s="190"/>
      <c r="R268" s="190" t="s">
        <v>73</v>
      </c>
      <c r="S268" s="385">
        <f t="shared" si="354"/>
        <v>1</v>
      </c>
      <c r="T268" s="386">
        <v>0</v>
      </c>
      <c r="U268" s="385">
        <f t="shared" si="355"/>
        <v>1</v>
      </c>
      <c r="V268" s="385">
        <f t="shared" si="355"/>
        <v>1</v>
      </c>
      <c r="W268" s="387"/>
      <c r="X268" s="387"/>
      <c r="Y268" s="184">
        <f t="shared" si="294"/>
        <v>0</v>
      </c>
      <c r="Z268" s="184">
        <f t="shared" si="356"/>
        <v>31277</v>
      </c>
      <c r="AA268" s="184">
        <f t="shared" si="357"/>
        <v>46469</v>
      </c>
      <c r="AB268" s="184">
        <f t="shared" si="345"/>
        <v>0</v>
      </c>
      <c r="AC268" s="184">
        <f t="shared" si="346"/>
        <v>0</v>
      </c>
      <c r="AD268" s="184">
        <f t="shared" si="295"/>
        <v>77746</v>
      </c>
      <c r="AE268" s="183">
        <f t="shared" si="338"/>
        <v>0</v>
      </c>
      <c r="AF268" s="386">
        <v>0</v>
      </c>
      <c r="AG268" s="385">
        <f t="shared" si="350"/>
        <v>0</v>
      </c>
      <c r="AH268" s="385">
        <f t="shared" si="350"/>
        <v>0</v>
      </c>
      <c r="AI268" s="185">
        <f t="shared" si="296"/>
        <v>0</v>
      </c>
      <c r="AJ268" s="185">
        <f t="shared" si="339"/>
        <v>433</v>
      </c>
      <c r="AK268" s="185">
        <f t="shared" si="340"/>
        <v>683</v>
      </c>
      <c r="AL268" s="185">
        <f t="shared" si="297"/>
        <v>1116</v>
      </c>
      <c r="AM268" s="173">
        <f t="shared" si="353"/>
        <v>0</v>
      </c>
      <c r="AN268" s="173">
        <f t="shared" si="318"/>
        <v>31277</v>
      </c>
      <c r="AO268" s="173">
        <f t="shared" si="319"/>
        <v>46469</v>
      </c>
      <c r="AP268" s="173">
        <f t="shared" ref="AP268:AP323" si="360">($S268*AB268)</f>
        <v>0</v>
      </c>
      <c r="AQ268" s="173">
        <f t="shared" ref="AQ268:AQ323" si="361">($S268*AC268)</f>
        <v>0</v>
      </c>
      <c r="AR268" s="173">
        <f t="shared" ref="AR268:AR323" si="362">AM268+AN268+AO268+AP268+AQ268</f>
        <v>77746</v>
      </c>
      <c r="AS268" s="186" t="s">
        <v>1367</v>
      </c>
      <c r="AT268" s="300">
        <f t="shared" si="352"/>
        <v>2.6785000000000001</v>
      </c>
      <c r="AU268" s="300">
        <f t="shared" si="352"/>
        <v>2.6785000000000001</v>
      </c>
      <c r="AV268" s="300">
        <f t="shared" si="352"/>
        <v>2.6785000000000001</v>
      </c>
      <c r="AW268" s="300">
        <f t="shared" si="352"/>
        <v>2.6785000000000001</v>
      </c>
      <c r="AX268" s="300">
        <f t="shared" si="352"/>
        <v>2.6785000000000001</v>
      </c>
      <c r="AY268" s="301">
        <f t="shared" ref="AY268:BC277" si="363">IF(ISERROR(MATCH(CONCATENATE($J268,"_",AY$1),COT_PRE_CODIGO_ALIMENTOS,0)),IF(ISERROR(MATCH(CONCATENATE($J268,"_",AY$2),COT_PRE_CODIGO_ALIMENTOS,0)),IF(ISERROR(MATCH(CONCATENATE($J268,"_",AY$3),COT_PRE_CODIGO_ALIMENTOS,0)),IF(ISERROR(MATCH(CONCATENATE($J268,"_",AY$4),COT_PRE_CODIGO_ALIMENTOS,0)),IF(ISERROR(MATCH(CONCATENATE($J268,"_",AY$5),COT_PRE_CODIGO_ALIMENTOS,0)),IF(ISERROR(MATCH(CONCATENATE($J268,"_",AY$6),COT_PRE_CODIGO_ALIMENTOS,0)),IF(ISERROR(MATCH(CONCATENATE($J268,"_",AY$7),COT_PRE_CODIGO_ALIMENTOS,0)),IF(ISERROR(VLOOKUP($J268,COT_PRE_ALIMENTOS,AY$8,FALSE)),"DATO NO DISPONIBLE",VLOOKUP($J268,COT_PRE_ALIMENTOS,AY$8,FALSE)),VLOOKUP(CONCATENATE($J268,"_",AY$7),COT_PRE_ALIMENTOS,AY$8,FALSE)),VLOOKUP(CONCATENATE($J268,"_",AY$6),COT_PRE_ALIMENTOS,AY$8,FALSE)),VLOOKUP(CONCATENATE($J268,"_",AY$5),COT_PRE_ALIMENTOS,AY$8,FALSE)),VLOOKUP(CONCATENATE($J268,"_",AY$4),COT_PRE_ALIMENTOS,AY$8,FALSE)),VLOOKUP(CONCATENATE($J268,"_",AY$3),COT_PRE_ALIMENTOS,AY$8,FALSE)),VLOOKUP(CONCATENATE($J268,"_",AY$2),COT_PRE_ALIMENTOS,AY$8,FALSE)),VLOOKUP(CONCATENATE($J268,"_",AY$1),COT_PRE_ALIMENTOS,AY$8,FALSE))</f>
        <v>2.6785000000000001</v>
      </c>
      <c r="AZ268" s="301">
        <f t="shared" si="363"/>
        <v>2.6785000000000001</v>
      </c>
      <c r="BA268" s="301">
        <f t="shared" si="363"/>
        <v>2.6785000000000001</v>
      </c>
      <c r="BB268" s="301">
        <f t="shared" si="363"/>
        <v>2.6785000000000001</v>
      </c>
      <c r="BC268" s="301">
        <f t="shared" si="363"/>
        <v>2.6785000000000001</v>
      </c>
      <c r="BD268" s="187"/>
      <c r="BE268" s="187">
        <f t="shared" si="321"/>
        <v>286</v>
      </c>
      <c r="BF268" s="187">
        <f t="shared" si="322"/>
        <v>286</v>
      </c>
      <c r="BG268" s="187"/>
      <c r="BH268" s="187"/>
      <c r="BI268" s="187"/>
      <c r="BJ268" s="187">
        <f t="shared" si="298"/>
        <v>286</v>
      </c>
      <c r="BK268" s="187">
        <f t="shared" si="299"/>
        <v>286</v>
      </c>
      <c r="BL268" s="187"/>
      <c r="BM268" s="187"/>
      <c r="BN268" s="188"/>
      <c r="BO268" s="188">
        <f t="shared" si="300"/>
        <v>8945222</v>
      </c>
      <c r="BP268" s="188">
        <f t="shared" si="301"/>
        <v>13290134</v>
      </c>
      <c r="BQ268" s="188">
        <f t="shared" si="302"/>
        <v>0</v>
      </c>
      <c r="BR268" s="188">
        <f t="shared" si="303"/>
        <v>0</v>
      </c>
      <c r="BS268" s="188">
        <f t="shared" ref="BS268:BS323" si="364">SUM(BN268:BR268)</f>
        <v>22235356</v>
      </c>
      <c r="BT268" s="188">
        <f t="shared" ref="BT268:BT323" si="365">BI268*AM268</f>
        <v>0</v>
      </c>
      <c r="BU268" s="188">
        <f t="shared" ref="BU268:BU323" si="366">BJ268*AN268</f>
        <v>8945222</v>
      </c>
      <c r="BV268" s="188">
        <f t="shared" ref="BV268:BV323" si="367">BK268*AO268</f>
        <v>13290134</v>
      </c>
      <c r="BW268" s="188">
        <f t="shared" ref="BW268:BW323" si="368">BL268*AP268</f>
        <v>0</v>
      </c>
      <c r="BX268" s="188">
        <f t="shared" ref="BX268:BX323" si="369">BM268*AQ268</f>
        <v>0</v>
      </c>
      <c r="BY268" s="188">
        <f t="shared" ref="BY268:BY323" si="370">SUM(BT268:BX268)</f>
        <v>22235356</v>
      </c>
      <c r="BZ268" s="305">
        <f>IF(COT_PRECALCULOS!$D$24="Precios Iva Incluído",BI268,BD268)</f>
        <v>0</v>
      </c>
      <c r="CA268" s="305">
        <f>IF(COT_PRECALCULOS!$D$24="Precios Iva Incluído",BJ268,BE268)</f>
        <v>286</v>
      </c>
      <c r="CB268" s="305">
        <f>IF(COT_PRECALCULOS!$D$24="Precios Iva Incluído",BK268,BF268)</f>
        <v>286</v>
      </c>
      <c r="CC268" s="305">
        <f>IF(COT_PRECALCULOS!$D$24="Precios Iva Incluído",BL268,BG268)</f>
        <v>0</v>
      </c>
      <c r="CD268" s="305">
        <f>IF(COT_PRECALCULOS!$D$24="Precios Iva Incluído",BM268,BH268)</f>
        <v>0</v>
      </c>
      <c r="CE268" s="305">
        <f>IF(COT_PRECALCULOS!$D$24="Precios Iva Incluído",BT268,BN268)</f>
        <v>0</v>
      </c>
      <c r="CF268" s="305">
        <f>IF(COT_PRECALCULOS!$D$24="Precios Iva Incluído",BU268,BO268)</f>
        <v>8945222</v>
      </c>
      <c r="CG268" s="305">
        <f>IF(COT_PRECALCULOS!$D$24="Precios Iva Incluído",BV268,BP268)</f>
        <v>13290134</v>
      </c>
      <c r="CH268" s="305">
        <f>IF(COT_PRECALCULOS!$D$24="Precios Iva Incluído",BW268,BQ268)</f>
        <v>0</v>
      </c>
      <c r="CI268" s="305">
        <f>IF(COT_PRECALCULOS!$D$24="Precios Iva Incluído",BX268,BR268)</f>
        <v>0</v>
      </c>
    </row>
    <row r="269" spans="1:87">
      <c r="A269" s="182" t="s">
        <v>102</v>
      </c>
      <c r="B269" s="182" t="s">
        <v>126</v>
      </c>
      <c r="C269" s="189" t="str">
        <f t="shared" si="358"/>
        <v>F_SE9</v>
      </c>
      <c r="D269" s="189" t="str">
        <f t="shared" si="359"/>
        <v>69_S_</v>
      </c>
      <c r="E269" s="190" t="s">
        <v>1</v>
      </c>
      <c r="F269" s="190" t="s">
        <v>1</v>
      </c>
      <c r="G269" s="189" t="s">
        <v>38</v>
      </c>
      <c r="H269" s="190"/>
      <c r="I269" s="190" t="s">
        <v>68</v>
      </c>
      <c r="J269" s="190">
        <v>69</v>
      </c>
      <c r="K269" s="190" t="s">
        <v>70</v>
      </c>
      <c r="L269" s="189" t="s">
        <v>9</v>
      </c>
      <c r="M269" s="211">
        <v>100</v>
      </c>
      <c r="N269" s="211">
        <v>100</v>
      </c>
      <c r="O269" s="211">
        <v>100</v>
      </c>
      <c r="P269" s="190"/>
      <c r="Q269" s="190"/>
      <c r="R269" s="190"/>
      <c r="S269" s="183">
        <f t="shared" si="354"/>
        <v>1</v>
      </c>
      <c r="T269" s="385">
        <f>$S269</f>
        <v>1</v>
      </c>
      <c r="U269" s="385">
        <f t="shared" si="355"/>
        <v>1</v>
      </c>
      <c r="V269" s="385">
        <f t="shared" si="355"/>
        <v>1</v>
      </c>
      <c r="W269" s="387"/>
      <c r="X269" s="387"/>
      <c r="Y269" s="184">
        <f t="shared" ref="Y269:Y323" si="371">IF(M269&lt;&gt;0,VLOOKUP(A269,FRE_CANTIDADES_DIARIAS_SUMINISTROS,4,FALSE),0)</f>
        <v>28053</v>
      </c>
      <c r="Z269" s="184">
        <f t="shared" si="356"/>
        <v>31277</v>
      </c>
      <c r="AA269" s="184">
        <f t="shared" si="357"/>
        <v>46469</v>
      </c>
      <c r="AB269" s="184">
        <f t="shared" si="345"/>
        <v>0</v>
      </c>
      <c r="AC269" s="184">
        <f t="shared" si="346"/>
        <v>0</v>
      </c>
      <c r="AD269" s="184">
        <f t="shared" ref="AD269:AD323" si="372">SUM(Y269:AC269)</f>
        <v>105799</v>
      </c>
      <c r="AE269" s="183">
        <f t="shared" si="338"/>
        <v>0</v>
      </c>
      <c r="AF269" s="385">
        <f>$AE269</f>
        <v>0</v>
      </c>
      <c r="AG269" s="385">
        <f t="shared" si="350"/>
        <v>0</v>
      </c>
      <c r="AH269" s="385">
        <f t="shared" si="350"/>
        <v>0</v>
      </c>
      <c r="AI269" s="185">
        <f t="shared" ref="AI269:AI323" si="373">IF(OR(B269="NA",M269=0),0,VLOOKUP(B269,FRE_CANTIDADES_DIARIAS_SUMINISTROS,4,FALSE))</f>
        <v>74</v>
      </c>
      <c r="AJ269" s="185">
        <f t="shared" si="339"/>
        <v>433</v>
      </c>
      <c r="AK269" s="185">
        <f t="shared" si="340"/>
        <v>683</v>
      </c>
      <c r="AL269" s="185">
        <f t="shared" ref="AL269:AL323" si="374">AI269+AJ269+AK269</f>
        <v>1190</v>
      </c>
      <c r="AM269" s="173">
        <f t="shared" si="353"/>
        <v>28053</v>
      </c>
      <c r="AN269" s="173">
        <f t="shared" si="318"/>
        <v>31277</v>
      </c>
      <c r="AO269" s="173">
        <f t="shared" si="319"/>
        <v>46469</v>
      </c>
      <c r="AP269" s="173">
        <f t="shared" si="360"/>
        <v>0</v>
      </c>
      <c r="AQ269" s="173">
        <f t="shared" si="361"/>
        <v>0</v>
      </c>
      <c r="AR269" s="173">
        <f t="shared" si="362"/>
        <v>105799</v>
      </c>
      <c r="AS269" s="186" t="s">
        <v>1367</v>
      </c>
      <c r="AT269" s="300">
        <f t="shared" si="352"/>
        <v>2.8519999999999999</v>
      </c>
      <c r="AU269" s="300">
        <f t="shared" si="352"/>
        <v>2.8519999999999999</v>
      </c>
      <c r="AV269" s="300">
        <f t="shared" si="352"/>
        <v>2.8519999999999999</v>
      </c>
      <c r="AW269" s="300">
        <f t="shared" si="352"/>
        <v>2.8519999999999999</v>
      </c>
      <c r="AX269" s="300">
        <f t="shared" si="352"/>
        <v>2.8519999999999999</v>
      </c>
      <c r="AY269" s="301">
        <f t="shared" si="363"/>
        <v>2.8519999999999999</v>
      </c>
      <c r="AZ269" s="301">
        <f t="shared" si="363"/>
        <v>2.8519999999999999</v>
      </c>
      <c r="BA269" s="301">
        <f t="shared" si="363"/>
        <v>2.8519999999999999</v>
      </c>
      <c r="BB269" s="301">
        <f t="shared" si="363"/>
        <v>2.8519999999999999</v>
      </c>
      <c r="BC269" s="301">
        <f t="shared" si="363"/>
        <v>2.8519999999999999</v>
      </c>
      <c r="BD269" s="187">
        <f>ROUND(IF(OR(M269=0,AT269="DATO NO DISPONIBLE"),"",AT269*M269*($BD$7+1)),0)</f>
        <v>305</v>
      </c>
      <c r="BE269" s="187">
        <f t="shared" si="321"/>
        <v>305</v>
      </c>
      <c r="BF269" s="187">
        <f t="shared" si="322"/>
        <v>305</v>
      </c>
      <c r="BG269" s="187"/>
      <c r="BH269" s="187"/>
      <c r="BI269" s="187">
        <f>ROUND(IF(OR(M269=0,AY269="DATO NO DISPONIBLE"),0,AY269*M269*($BD$7+1)),0)</f>
        <v>305</v>
      </c>
      <c r="BJ269" s="187">
        <f t="shared" si="298"/>
        <v>305</v>
      </c>
      <c r="BK269" s="187">
        <f t="shared" si="299"/>
        <v>305</v>
      </c>
      <c r="BL269" s="187"/>
      <c r="BM269" s="187"/>
      <c r="BN269" s="188">
        <f>BD269*AM269</f>
        <v>8556165</v>
      </c>
      <c r="BO269" s="188">
        <f t="shared" si="300"/>
        <v>9539485</v>
      </c>
      <c r="BP269" s="188">
        <f t="shared" si="301"/>
        <v>14173045</v>
      </c>
      <c r="BQ269" s="188">
        <f t="shared" si="302"/>
        <v>0</v>
      </c>
      <c r="BR269" s="188">
        <f t="shared" si="303"/>
        <v>0</v>
      </c>
      <c r="BS269" s="188">
        <f t="shared" si="364"/>
        <v>32268695</v>
      </c>
      <c r="BT269" s="188">
        <f t="shared" si="365"/>
        <v>8556165</v>
      </c>
      <c r="BU269" s="188">
        <f t="shared" si="366"/>
        <v>9539485</v>
      </c>
      <c r="BV269" s="188">
        <f t="shared" si="367"/>
        <v>14173045</v>
      </c>
      <c r="BW269" s="188">
        <f t="shared" si="368"/>
        <v>0</v>
      </c>
      <c r="BX269" s="188">
        <f t="shared" si="369"/>
        <v>0</v>
      </c>
      <c r="BY269" s="188">
        <f t="shared" si="370"/>
        <v>32268695</v>
      </c>
      <c r="BZ269" s="305">
        <f>IF(COT_PRECALCULOS!$D$24="Precios Iva Incluído",BI269,BD269)</f>
        <v>305</v>
      </c>
      <c r="CA269" s="305">
        <f>IF(COT_PRECALCULOS!$D$24="Precios Iva Incluído",BJ269,BE269)</f>
        <v>305</v>
      </c>
      <c r="CB269" s="305">
        <f>IF(COT_PRECALCULOS!$D$24="Precios Iva Incluído",BK269,BF269)</f>
        <v>305</v>
      </c>
      <c r="CC269" s="305">
        <f>IF(COT_PRECALCULOS!$D$24="Precios Iva Incluído",BL269,BG269)</f>
        <v>0</v>
      </c>
      <c r="CD269" s="305">
        <f>IF(COT_PRECALCULOS!$D$24="Precios Iva Incluído",BM269,BH269)</f>
        <v>0</v>
      </c>
      <c r="CE269" s="305">
        <f>IF(COT_PRECALCULOS!$D$24="Precios Iva Incluído",BT269,BN269)</f>
        <v>8556165</v>
      </c>
      <c r="CF269" s="305">
        <f>IF(COT_PRECALCULOS!$D$24="Precios Iva Incluído",BU269,BO269)</f>
        <v>9539485</v>
      </c>
      <c r="CG269" s="305">
        <f>IF(COT_PRECALCULOS!$D$24="Precios Iva Incluído",BV269,BP269)</f>
        <v>14173045</v>
      </c>
      <c r="CH269" s="305">
        <f>IF(COT_PRECALCULOS!$D$24="Precios Iva Incluído",BW269,BQ269)</f>
        <v>0</v>
      </c>
      <c r="CI269" s="305">
        <f>IF(COT_PRECALCULOS!$D$24="Precios Iva Incluído",BX269,BR269)</f>
        <v>0</v>
      </c>
    </row>
    <row r="270" spans="1:87">
      <c r="A270" s="182" t="s">
        <v>102</v>
      </c>
      <c r="B270" s="182" t="s">
        <v>126</v>
      </c>
      <c r="C270" s="189" t="str">
        <f t="shared" si="358"/>
        <v>F_SE9</v>
      </c>
      <c r="D270" s="189" t="str">
        <f t="shared" si="359"/>
        <v>70_S_</v>
      </c>
      <c r="E270" s="190" t="s">
        <v>1</v>
      </c>
      <c r="F270" s="190" t="s">
        <v>1</v>
      </c>
      <c r="G270" s="189" t="s">
        <v>38</v>
      </c>
      <c r="H270" s="190"/>
      <c r="I270" s="190" t="s">
        <v>69</v>
      </c>
      <c r="J270" s="190">
        <v>70</v>
      </c>
      <c r="K270" s="190" t="s">
        <v>71</v>
      </c>
      <c r="L270" s="189" t="s">
        <v>9</v>
      </c>
      <c r="M270" s="386">
        <v>0</v>
      </c>
      <c r="N270" s="211">
        <v>100</v>
      </c>
      <c r="O270" s="211">
        <v>100</v>
      </c>
      <c r="P270" s="190"/>
      <c r="Q270" s="190"/>
      <c r="R270" s="190" t="s">
        <v>73</v>
      </c>
      <c r="S270" s="385">
        <f t="shared" si="354"/>
        <v>1</v>
      </c>
      <c r="T270" s="386">
        <v>0</v>
      </c>
      <c r="U270" s="385">
        <f t="shared" si="355"/>
        <v>1</v>
      </c>
      <c r="V270" s="385">
        <f t="shared" si="355"/>
        <v>1</v>
      </c>
      <c r="W270" s="387"/>
      <c r="X270" s="387"/>
      <c r="Y270" s="184">
        <f t="shared" si="371"/>
        <v>0</v>
      </c>
      <c r="Z270" s="184">
        <f t="shared" si="356"/>
        <v>31277</v>
      </c>
      <c r="AA270" s="184">
        <f t="shared" si="357"/>
        <v>46469</v>
      </c>
      <c r="AB270" s="184">
        <f t="shared" si="345"/>
        <v>0</v>
      </c>
      <c r="AC270" s="184">
        <f t="shared" si="346"/>
        <v>0</v>
      </c>
      <c r="AD270" s="184">
        <f t="shared" si="372"/>
        <v>77746</v>
      </c>
      <c r="AE270" s="183">
        <f t="shared" si="338"/>
        <v>0</v>
      </c>
      <c r="AF270" s="386">
        <v>0</v>
      </c>
      <c r="AG270" s="385">
        <f t="shared" si="350"/>
        <v>0</v>
      </c>
      <c r="AH270" s="385">
        <f t="shared" si="350"/>
        <v>0</v>
      </c>
      <c r="AI270" s="185">
        <f t="shared" si="373"/>
        <v>0</v>
      </c>
      <c r="AJ270" s="185">
        <f t="shared" si="339"/>
        <v>433</v>
      </c>
      <c r="AK270" s="185">
        <f t="shared" si="340"/>
        <v>683</v>
      </c>
      <c r="AL270" s="185">
        <f t="shared" si="374"/>
        <v>1116</v>
      </c>
      <c r="AM270" s="173">
        <v>0</v>
      </c>
      <c r="AN270" s="173">
        <f t="shared" si="318"/>
        <v>31277</v>
      </c>
      <c r="AO270" s="173">
        <f t="shared" si="319"/>
        <v>46469</v>
      </c>
      <c r="AP270" s="173">
        <f t="shared" si="360"/>
        <v>0</v>
      </c>
      <c r="AQ270" s="173">
        <f t="shared" si="361"/>
        <v>0</v>
      </c>
      <c r="AR270" s="173">
        <f t="shared" si="362"/>
        <v>77746</v>
      </c>
      <c r="AS270" s="186" t="s">
        <v>1367</v>
      </c>
      <c r="AT270" s="300">
        <f t="shared" si="352"/>
        <v>4.0575000000000001</v>
      </c>
      <c r="AU270" s="300">
        <f t="shared" si="352"/>
        <v>4.0575000000000001</v>
      </c>
      <c r="AV270" s="300">
        <f t="shared" si="352"/>
        <v>4.0575000000000001</v>
      </c>
      <c r="AW270" s="300">
        <f t="shared" si="352"/>
        <v>4.0575000000000001</v>
      </c>
      <c r="AX270" s="300">
        <f t="shared" si="352"/>
        <v>4.0575000000000001</v>
      </c>
      <c r="AY270" s="301">
        <f t="shared" si="363"/>
        <v>4.0575000000000001</v>
      </c>
      <c r="AZ270" s="301">
        <f t="shared" si="363"/>
        <v>4.0575000000000001</v>
      </c>
      <c r="BA270" s="301">
        <f t="shared" si="363"/>
        <v>4.0575000000000001</v>
      </c>
      <c r="BB270" s="301">
        <f t="shared" si="363"/>
        <v>4.0575000000000001</v>
      </c>
      <c r="BC270" s="301">
        <f t="shared" si="363"/>
        <v>4.0575000000000001</v>
      </c>
      <c r="BD270" s="187"/>
      <c r="BE270" s="187">
        <f t="shared" si="321"/>
        <v>434</v>
      </c>
      <c r="BF270" s="187">
        <f t="shared" si="322"/>
        <v>434</v>
      </c>
      <c r="BG270" s="187"/>
      <c r="BH270" s="187"/>
      <c r="BI270" s="187"/>
      <c r="BJ270" s="187">
        <f t="shared" si="298"/>
        <v>434</v>
      </c>
      <c r="BK270" s="187">
        <f t="shared" si="299"/>
        <v>434</v>
      </c>
      <c r="BL270" s="187"/>
      <c r="BM270" s="187"/>
      <c r="BN270" s="188"/>
      <c r="BO270" s="188">
        <f t="shared" si="300"/>
        <v>13574218</v>
      </c>
      <c r="BP270" s="188">
        <f t="shared" si="301"/>
        <v>20167546</v>
      </c>
      <c r="BQ270" s="188">
        <f t="shared" si="302"/>
        <v>0</v>
      </c>
      <c r="BR270" s="188">
        <f t="shared" si="303"/>
        <v>0</v>
      </c>
      <c r="BS270" s="188">
        <f t="shared" si="364"/>
        <v>33741764</v>
      </c>
      <c r="BT270" s="188">
        <f t="shared" si="365"/>
        <v>0</v>
      </c>
      <c r="BU270" s="188">
        <f t="shared" si="366"/>
        <v>13574218</v>
      </c>
      <c r="BV270" s="188">
        <f t="shared" si="367"/>
        <v>20167546</v>
      </c>
      <c r="BW270" s="188">
        <f t="shared" si="368"/>
        <v>0</v>
      </c>
      <c r="BX270" s="188">
        <f t="shared" si="369"/>
        <v>0</v>
      </c>
      <c r="BY270" s="188">
        <f t="shared" si="370"/>
        <v>33741764</v>
      </c>
      <c r="BZ270" s="305">
        <f>IF(COT_PRECALCULOS!$D$24="Precios Iva Incluído",BI270,BD270)</f>
        <v>0</v>
      </c>
      <c r="CA270" s="305">
        <f>IF(COT_PRECALCULOS!$D$24="Precios Iva Incluído",BJ270,BE270)</f>
        <v>434</v>
      </c>
      <c r="CB270" s="305">
        <f>IF(COT_PRECALCULOS!$D$24="Precios Iva Incluído",BK270,BF270)</f>
        <v>434</v>
      </c>
      <c r="CC270" s="305">
        <f>IF(COT_PRECALCULOS!$D$24="Precios Iva Incluído",BL270,BG270)</f>
        <v>0</v>
      </c>
      <c r="CD270" s="305">
        <f>IF(COT_PRECALCULOS!$D$24="Precios Iva Incluído",BM270,BH270)</f>
        <v>0</v>
      </c>
      <c r="CE270" s="305">
        <f>IF(COT_PRECALCULOS!$D$24="Precios Iva Incluído",BT270,BN270)</f>
        <v>0</v>
      </c>
      <c r="CF270" s="305">
        <f>IF(COT_PRECALCULOS!$D$24="Precios Iva Incluído",BU270,BO270)</f>
        <v>13574218</v>
      </c>
      <c r="CG270" s="305">
        <f>IF(COT_PRECALCULOS!$D$24="Precios Iva Incluído",BV270,BP270)</f>
        <v>20167546</v>
      </c>
      <c r="CH270" s="305">
        <f>IF(COT_PRECALCULOS!$D$24="Precios Iva Incluído",BW270,BQ270)</f>
        <v>0</v>
      </c>
      <c r="CI270" s="305">
        <f>IF(COT_PRECALCULOS!$D$24="Precios Iva Incluído",BX270,BR270)</f>
        <v>0</v>
      </c>
    </row>
    <row r="271" spans="1:87">
      <c r="A271" s="182" t="s">
        <v>102</v>
      </c>
      <c r="B271" s="182" t="s">
        <v>126</v>
      </c>
      <c r="C271" s="189" t="str">
        <f t="shared" si="358"/>
        <v>F_SE9</v>
      </c>
      <c r="D271" s="189" t="str">
        <f t="shared" si="359"/>
        <v>36_S_</v>
      </c>
      <c r="E271" s="190" t="s">
        <v>1</v>
      </c>
      <c r="F271" s="190" t="s">
        <v>1</v>
      </c>
      <c r="G271" s="189" t="s">
        <v>38</v>
      </c>
      <c r="H271" s="190"/>
      <c r="I271" s="190" t="s">
        <v>1340</v>
      </c>
      <c r="J271" s="190">
        <v>36</v>
      </c>
      <c r="K271" s="190" t="s">
        <v>1340</v>
      </c>
      <c r="L271" s="189" t="s">
        <v>9</v>
      </c>
      <c r="M271" s="211">
        <v>20</v>
      </c>
      <c r="N271" s="211">
        <v>40</v>
      </c>
      <c r="O271" s="211">
        <v>40</v>
      </c>
      <c r="P271" s="190"/>
      <c r="Q271" s="190"/>
      <c r="R271" s="190"/>
      <c r="S271" s="183">
        <f t="shared" si="354"/>
        <v>1</v>
      </c>
      <c r="T271" s="385">
        <f>$S271</f>
        <v>1</v>
      </c>
      <c r="U271" s="385">
        <f t="shared" si="355"/>
        <v>1</v>
      </c>
      <c r="V271" s="385">
        <f t="shared" si="355"/>
        <v>1</v>
      </c>
      <c r="W271" s="387"/>
      <c r="X271" s="387"/>
      <c r="Y271" s="184">
        <f t="shared" si="371"/>
        <v>28053</v>
      </c>
      <c r="Z271" s="184">
        <f t="shared" si="356"/>
        <v>31277</v>
      </c>
      <c r="AA271" s="184">
        <f t="shared" si="357"/>
        <v>46469</v>
      </c>
      <c r="AB271" s="184">
        <f t="shared" si="345"/>
        <v>0</v>
      </c>
      <c r="AC271" s="184">
        <f t="shared" si="346"/>
        <v>0</v>
      </c>
      <c r="AD271" s="184">
        <f t="shared" si="372"/>
        <v>105799</v>
      </c>
      <c r="AE271" s="183">
        <f t="shared" si="338"/>
        <v>0</v>
      </c>
      <c r="AF271" s="385">
        <f>$AE271</f>
        <v>0</v>
      </c>
      <c r="AG271" s="385">
        <f t="shared" si="350"/>
        <v>0</v>
      </c>
      <c r="AH271" s="385">
        <f t="shared" si="350"/>
        <v>0</v>
      </c>
      <c r="AI271" s="185">
        <f t="shared" si="373"/>
        <v>74</v>
      </c>
      <c r="AJ271" s="185">
        <f t="shared" si="339"/>
        <v>433</v>
      </c>
      <c r="AK271" s="185">
        <f t="shared" si="340"/>
        <v>683</v>
      </c>
      <c r="AL271" s="185">
        <f t="shared" si="374"/>
        <v>1190</v>
      </c>
      <c r="AM271" s="173">
        <f>($S271*Y271)+($AE271*AI271)</f>
        <v>28053</v>
      </c>
      <c r="AN271" s="173">
        <f t="shared" si="318"/>
        <v>31277</v>
      </c>
      <c r="AO271" s="173">
        <f t="shared" si="319"/>
        <v>46469</v>
      </c>
      <c r="AP271" s="173">
        <f t="shared" si="360"/>
        <v>0</v>
      </c>
      <c r="AQ271" s="173">
        <f t="shared" si="361"/>
        <v>0</v>
      </c>
      <c r="AR271" s="173">
        <f t="shared" si="362"/>
        <v>105799</v>
      </c>
      <c r="AS271" s="186" t="s">
        <v>1367</v>
      </c>
      <c r="AT271" s="300">
        <f t="shared" ref="AT271:AX280" si="375">IF(ISERROR(IF(ISERROR(MATCH(CONCATENATE($J271,"_",AT$1),COT_PRE_CODIGO_ALIMENTOS,0)),IF(ISERROR(MATCH(CONCATENATE($J271,"_",AT$2),COT_PRE_CODIGO_ALIMENTOS,0)),IF(ISERROR(MATCH(CONCATENATE($J271,"_",AT$3),COT_PRE_CODIGO_ALIMENTOS,0)),IF(ISERROR(MATCH(CONCATENATE($J271,"_",AT$4),COT_PRE_CODIGO_ALIMENTOS,0)),IF(ISERROR(MATCH(CONCATENATE($J271,"_",AT$5),COT_PRE_CODIGO_ALIMENTOS,0)),IF(ISERROR(MATCH(CONCATENATE($J271,"_",AT$6),COT_PRE_CODIGO_ALIMENTOS,0)),IF(ISERROR(MATCH(CONCATENATE($J271,"_",AT$7),COT_PRE_CODIGO_ALIMENTOS,0)),IF(ISERROR(VLOOKUP($J271,COT_PRE_ALIMENTOS,AT$8,FALSE)),"DATO NO DISPONIBLE",VLOOKUP($J271,COT_PRE_ALIMENTOS,AT$8,FALSE)),VLOOKUP(CONCATENATE($J271,"_",AT$7),COT_PRE_ALIMENTOS,AT$8,FALSE)),VLOOKUP(CONCATENATE($J271,"_",AT$6),COT_PRE_ALIMENTOS,AT$8,FALSE)),VLOOKUP(CONCATENATE($J271,"_",AT$5),COT_PRE_ALIMENTOS,AT$8,FALSE)),VLOOKUP(CONCATENATE($J271,"_",AT$4),COT_PRE_ALIMENTOS,AT$8,FALSE)),VLOOKUP(CONCATENATE($J271,"_",AT$3),COT_PRE_ALIMENTOS,AT$8,FALSE)),VLOOKUP(CONCATENATE($J271,"_",AT$2),COT_PRE_ALIMENTOS,AT$8,FALSE)),VLOOKUP(CONCATENATE($J271,"_",AT$1),COT_PRE_ALIMENTOS,AT$8,FALSE))),"DATO NO DISPONIBLE",IF(ISERROR(MATCH(CONCATENATE($J271,"_",AT$1),COT_PRE_CODIGO_ALIMENTOS,0)),IF(ISERROR(MATCH(CONCATENATE($J271,"_",AT$2),COT_PRE_CODIGO_ALIMENTOS,0)),IF(ISERROR(MATCH(CONCATENATE($J271,"_",AT$3),COT_PRE_CODIGO_ALIMENTOS,0)),IF(ISERROR(MATCH(CONCATENATE($J271,"_",AT$4),COT_PRE_CODIGO_ALIMENTOS,0)),IF(ISERROR(MATCH(CONCATENATE($J271,"_",AT$5),COT_PRE_CODIGO_ALIMENTOS,0)),IF(ISERROR(MATCH(CONCATENATE($J271,"_",AT$6),COT_PRE_CODIGO_ALIMENTOS,0)),IF(ISERROR(MATCH(CONCATENATE($J271,"_",AT$7),COT_PRE_CODIGO_ALIMENTOS,0)),IF(ISERROR(VLOOKUP($J271,COT_PRE_ALIMENTOS,AT$8,FALSE)),"DATO NO DISPONIBLE",VLOOKUP($J271,COT_PRE_ALIMENTOS,AT$8,FALSE)),VLOOKUP(CONCATENATE($J271,"_",AT$7),COT_PRE_ALIMENTOS,AT$8,FALSE)),VLOOKUP(CONCATENATE($J271,"_",AT$6),COT_PRE_ALIMENTOS,AT$8,FALSE)),VLOOKUP(CONCATENATE($J271,"_",AT$5),COT_PRE_ALIMENTOS,AT$8,FALSE)),VLOOKUP(CONCATENATE($J271,"_",AT$4),COT_PRE_ALIMENTOS,AT$8,FALSE)),VLOOKUP(CONCATENATE($J271,"_",AT$3),COT_PRE_ALIMENTOS,AT$8,FALSE)),VLOOKUP(CONCATENATE($J271,"_",AT$2),COT_PRE_ALIMENTOS,AT$8,FALSE)),VLOOKUP(CONCATENATE($J271,"_",AT$1),COT_PRE_ALIMENTOS,AT$8,FALSE)))</f>
        <v>5.9</v>
      </c>
      <c r="AU271" s="300">
        <f t="shared" si="375"/>
        <v>5.9</v>
      </c>
      <c r="AV271" s="300">
        <f t="shared" si="375"/>
        <v>5.9</v>
      </c>
      <c r="AW271" s="300">
        <f t="shared" si="375"/>
        <v>5.9</v>
      </c>
      <c r="AX271" s="300">
        <f t="shared" si="375"/>
        <v>5.9</v>
      </c>
      <c r="AY271" s="301">
        <f t="shared" si="363"/>
        <v>5.9</v>
      </c>
      <c r="AZ271" s="301">
        <f t="shared" si="363"/>
        <v>5.9</v>
      </c>
      <c r="BA271" s="301">
        <f t="shared" si="363"/>
        <v>5.9</v>
      </c>
      <c r="BB271" s="301">
        <f t="shared" si="363"/>
        <v>5.9</v>
      </c>
      <c r="BC271" s="301">
        <f t="shared" si="363"/>
        <v>5.9</v>
      </c>
      <c r="BD271" s="187">
        <f>ROUND(IF(OR(M271=0,AT271="DATO NO DISPONIBLE"),"",AT271*M271*($BD$7+1)),0)</f>
        <v>126</v>
      </c>
      <c r="BE271" s="187">
        <f t="shared" si="321"/>
        <v>252</v>
      </c>
      <c r="BF271" s="187">
        <f t="shared" si="322"/>
        <v>252</v>
      </c>
      <c r="BG271" s="187"/>
      <c r="BH271" s="187"/>
      <c r="BI271" s="187">
        <f>ROUND(IF(OR(M271=0,AY271="DATO NO DISPONIBLE"),0,AY271*M271*($BD$7+1)),0)</f>
        <v>126</v>
      </c>
      <c r="BJ271" s="187">
        <f t="shared" ref="BJ271:BJ323" si="376">ROUND(IF(OR(N271=0,AZ271="DATO NO DISPONIBLE"),0,AZ271*N271*($BD$7+1)),0)</f>
        <v>252</v>
      </c>
      <c r="BK271" s="187">
        <f t="shared" ref="BK271:BK323" si="377">ROUND(IF(OR(O271=0,BA271="DATO NO DISPONIBLE"),0,BA271*O271*($BD$7+1)),0)</f>
        <v>252</v>
      </c>
      <c r="BL271" s="187"/>
      <c r="BM271" s="187"/>
      <c r="BN271" s="188">
        <f>BD271*AM271</f>
        <v>3534678</v>
      </c>
      <c r="BO271" s="188">
        <f t="shared" ref="BO271:BO323" si="378">BE271*AN271</f>
        <v>7881804</v>
      </c>
      <c r="BP271" s="188">
        <f t="shared" ref="BP271:BP323" si="379">BF271*AO271</f>
        <v>11710188</v>
      </c>
      <c r="BQ271" s="188">
        <f t="shared" ref="BQ271:BQ323" si="380">BG271*AP271</f>
        <v>0</v>
      </c>
      <c r="BR271" s="188">
        <f t="shared" ref="BR271:BR323" si="381">BH271*AQ271</f>
        <v>0</v>
      </c>
      <c r="BS271" s="188">
        <f t="shared" si="364"/>
        <v>23126670</v>
      </c>
      <c r="BT271" s="188">
        <f t="shared" si="365"/>
        <v>3534678</v>
      </c>
      <c r="BU271" s="188">
        <f t="shared" si="366"/>
        <v>7881804</v>
      </c>
      <c r="BV271" s="188">
        <f t="shared" si="367"/>
        <v>11710188</v>
      </c>
      <c r="BW271" s="188">
        <f t="shared" si="368"/>
        <v>0</v>
      </c>
      <c r="BX271" s="188">
        <f t="shared" si="369"/>
        <v>0</v>
      </c>
      <c r="BY271" s="188">
        <f t="shared" si="370"/>
        <v>23126670</v>
      </c>
      <c r="BZ271" s="305">
        <f>IF(COT_PRECALCULOS!$D$24="Precios Iva Incluído",BI271,BD271)</f>
        <v>126</v>
      </c>
      <c r="CA271" s="305">
        <f>IF(COT_PRECALCULOS!$D$24="Precios Iva Incluído",BJ271,BE271)</f>
        <v>252</v>
      </c>
      <c r="CB271" s="305">
        <f>IF(COT_PRECALCULOS!$D$24="Precios Iva Incluído",BK271,BF271)</f>
        <v>252</v>
      </c>
      <c r="CC271" s="305">
        <f>IF(COT_PRECALCULOS!$D$24="Precios Iva Incluído",BL271,BG271)</f>
        <v>0</v>
      </c>
      <c r="CD271" s="305">
        <f>IF(COT_PRECALCULOS!$D$24="Precios Iva Incluído",BM271,BH271)</f>
        <v>0</v>
      </c>
      <c r="CE271" s="305">
        <f>IF(COT_PRECALCULOS!$D$24="Precios Iva Incluído",BT271,BN271)</f>
        <v>3534678</v>
      </c>
      <c r="CF271" s="305">
        <f>IF(COT_PRECALCULOS!$D$24="Precios Iva Incluído",BU271,BO271)</f>
        <v>7881804</v>
      </c>
      <c r="CG271" s="305">
        <f>IF(COT_PRECALCULOS!$D$24="Precios Iva Incluído",BV271,BP271)</f>
        <v>11710188</v>
      </c>
      <c r="CH271" s="305">
        <f>IF(COT_PRECALCULOS!$D$24="Precios Iva Incluído",BW271,BQ271)</f>
        <v>0</v>
      </c>
      <c r="CI271" s="305">
        <f>IF(COT_PRECALCULOS!$D$24="Precios Iva Incluído",BX271,BR271)</f>
        <v>0</v>
      </c>
    </row>
    <row r="272" spans="1:87">
      <c r="A272" s="182" t="s">
        <v>102</v>
      </c>
      <c r="B272" s="182" t="s">
        <v>126</v>
      </c>
      <c r="C272" s="189" t="str">
        <f t="shared" si="358"/>
        <v>F_SE12</v>
      </c>
      <c r="D272" s="189" t="str">
        <f t="shared" si="359"/>
        <v>8_S_</v>
      </c>
      <c r="E272" s="190" t="s">
        <v>1</v>
      </c>
      <c r="F272" s="190" t="s">
        <v>1</v>
      </c>
      <c r="G272" s="189" t="s">
        <v>41</v>
      </c>
      <c r="H272" s="190" t="s">
        <v>2</v>
      </c>
      <c r="I272" s="190" t="s">
        <v>54</v>
      </c>
      <c r="J272" s="190">
        <v>8</v>
      </c>
      <c r="K272" s="190" t="s">
        <v>55</v>
      </c>
      <c r="L272" s="189" t="s">
        <v>9</v>
      </c>
      <c r="M272" s="211">
        <v>100</v>
      </c>
      <c r="N272" s="211">
        <v>100</v>
      </c>
      <c r="O272" s="211">
        <v>100</v>
      </c>
      <c r="P272" s="190"/>
      <c r="Q272" s="190"/>
      <c r="R272" s="190"/>
      <c r="S272" s="183">
        <f t="shared" si="354"/>
        <v>1</v>
      </c>
      <c r="T272" s="385">
        <f>$S272</f>
        <v>1</v>
      </c>
      <c r="U272" s="385">
        <f t="shared" si="355"/>
        <v>1</v>
      </c>
      <c r="V272" s="385">
        <f t="shared" si="355"/>
        <v>1</v>
      </c>
      <c r="W272" s="387"/>
      <c r="X272" s="387"/>
      <c r="Y272" s="184">
        <f t="shared" si="371"/>
        <v>28053</v>
      </c>
      <c r="Z272" s="184">
        <f t="shared" si="356"/>
        <v>31277</v>
      </c>
      <c r="AA272" s="184">
        <f t="shared" si="357"/>
        <v>46469</v>
      </c>
      <c r="AB272" s="184">
        <f t="shared" si="345"/>
        <v>0</v>
      </c>
      <c r="AC272" s="184">
        <f t="shared" si="346"/>
        <v>0</v>
      </c>
      <c r="AD272" s="184">
        <f t="shared" si="372"/>
        <v>105799</v>
      </c>
      <c r="AE272" s="183">
        <f t="shared" si="338"/>
        <v>0</v>
      </c>
      <c r="AF272" s="385">
        <f>$AE272</f>
        <v>0</v>
      </c>
      <c r="AG272" s="385">
        <f t="shared" si="350"/>
        <v>0</v>
      </c>
      <c r="AH272" s="385">
        <f t="shared" si="350"/>
        <v>0</v>
      </c>
      <c r="AI272" s="185">
        <f t="shared" si="373"/>
        <v>74</v>
      </c>
      <c r="AJ272" s="185">
        <f t="shared" si="339"/>
        <v>433</v>
      </c>
      <c r="AK272" s="185">
        <f t="shared" si="340"/>
        <v>683</v>
      </c>
      <c r="AL272" s="185">
        <f t="shared" si="374"/>
        <v>1190</v>
      </c>
      <c r="AM272" s="173">
        <f>($S272*Y272)+($AE272*AI272)</f>
        <v>28053</v>
      </c>
      <c r="AN272" s="173">
        <f t="shared" si="318"/>
        <v>31277</v>
      </c>
      <c r="AO272" s="173">
        <f t="shared" si="319"/>
        <v>46469</v>
      </c>
      <c r="AP272" s="173">
        <f t="shared" si="360"/>
        <v>0</v>
      </c>
      <c r="AQ272" s="173">
        <f t="shared" si="361"/>
        <v>0</v>
      </c>
      <c r="AR272" s="173">
        <f t="shared" si="362"/>
        <v>105799</v>
      </c>
      <c r="AS272" s="186" t="s">
        <v>1368</v>
      </c>
      <c r="AT272" s="300">
        <f t="shared" si="375"/>
        <v>1.25</v>
      </c>
      <c r="AU272" s="300">
        <f t="shared" si="375"/>
        <v>1.25</v>
      </c>
      <c r="AV272" s="300">
        <f t="shared" si="375"/>
        <v>1.25</v>
      </c>
      <c r="AW272" s="300">
        <f t="shared" si="375"/>
        <v>1.25</v>
      </c>
      <c r="AX272" s="300">
        <f t="shared" si="375"/>
        <v>1.25</v>
      </c>
      <c r="AY272" s="301">
        <f t="shared" si="363"/>
        <v>1.25</v>
      </c>
      <c r="AZ272" s="301">
        <f t="shared" si="363"/>
        <v>1.25</v>
      </c>
      <c r="BA272" s="301">
        <f t="shared" si="363"/>
        <v>1.25</v>
      </c>
      <c r="BB272" s="301">
        <f t="shared" si="363"/>
        <v>1.25</v>
      </c>
      <c r="BC272" s="301">
        <f t="shared" si="363"/>
        <v>1.25</v>
      </c>
      <c r="BD272" s="187">
        <f>ROUND(IF(OR(M272=0,AT272="DATO NO DISPONIBLE"),"",AT272*M272*($BD$7+1)),0)</f>
        <v>134</v>
      </c>
      <c r="BE272" s="187">
        <f t="shared" si="321"/>
        <v>134</v>
      </c>
      <c r="BF272" s="187">
        <f t="shared" si="322"/>
        <v>134</v>
      </c>
      <c r="BG272" s="187"/>
      <c r="BH272" s="187"/>
      <c r="BI272" s="187">
        <f>ROUND(IF(OR(M272=0,AY272="DATO NO DISPONIBLE"),0,AY272*M272*($BD$7+1)),0)</f>
        <v>134</v>
      </c>
      <c r="BJ272" s="187">
        <f t="shared" si="376"/>
        <v>134</v>
      </c>
      <c r="BK272" s="187">
        <f t="shared" si="377"/>
        <v>134</v>
      </c>
      <c r="BL272" s="187"/>
      <c r="BM272" s="187"/>
      <c r="BN272" s="188">
        <f>BD272*AM272</f>
        <v>3759102</v>
      </c>
      <c r="BO272" s="188">
        <f t="shared" si="378"/>
        <v>4191118</v>
      </c>
      <c r="BP272" s="188">
        <f t="shared" si="379"/>
        <v>6226846</v>
      </c>
      <c r="BQ272" s="188">
        <f t="shared" si="380"/>
        <v>0</v>
      </c>
      <c r="BR272" s="188">
        <f t="shared" si="381"/>
        <v>0</v>
      </c>
      <c r="BS272" s="188">
        <f t="shared" si="364"/>
        <v>14177066</v>
      </c>
      <c r="BT272" s="188">
        <f t="shared" si="365"/>
        <v>3759102</v>
      </c>
      <c r="BU272" s="188">
        <f t="shared" si="366"/>
        <v>4191118</v>
      </c>
      <c r="BV272" s="188">
        <f t="shared" si="367"/>
        <v>6226846</v>
      </c>
      <c r="BW272" s="188">
        <f t="shared" si="368"/>
        <v>0</v>
      </c>
      <c r="BX272" s="188">
        <f t="shared" si="369"/>
        <v>0</v>
      </c>
      <c r="BY272" s="188">
        <f t="shared" si="370"/>
        <v>14177066</v>
      </c>
      <c r="BZ272" s="305">
        <f>IF(COT_PRECALCULOS!$D$24="Precios Iva Incluído",BI272,BD272)</f>
        <v>134</v>
      </c>
      <c r="CA272" s="305">
        <f>IF(COT_PRECALCULOS!$D$24="Precios Iva Incluído",BJ272,BE272)</f>
        <v>134</v>
      </c>
      <c r="CB272" s="305">
        <f>IF(COT_PRECALCULOS!$D$24="Precios Iva Incluído",BK272,BF272)</f>
        <v>134</v>
      </c>
      <c r="CC272" s="305">
        <f>IF(COT_PRECALCULOS!$D$24="Precios Iva Incluído",BL272,BG272)</f>
        <v>0</v>
      </c>
      <c r="CD272" s="305">
        <f>IF(COT_PRECALCULOS!$D$24="Precios Iva Incluído",BM272,BH272)</f>
        <v>0</v>
      </c>
      <c r="CE272" s="305">
        <f>IF(COT_PRECALCULOS!$D$24="Precios Iva Incluído",BT272,BN272)</f>
        <v>3759102</v>
      </c>
      <c r="CF272" s="305">
        <f>IF(COT_PRECALCULOS!$D$24="Precios Iva Incluído",BU272,BO272)</f>
        <v>4191118</v>
      </c>
      <c r="CG272" s="305">
        <f>IF(COT_PRECALCULOS!$D$24="Precios Iva Incluído",BV272,BP272)</f>
        <v>6226846</v>
      </c>
      <c r="CH272" s="305">
        <f>IF(COT_PRECALCULOS!$D$24="Precios Iva Incluído",BW272,BQ272)</f>
        <v>0</v>
      </c>
      <c r="CI272" s="305">
        <f>IF(COT_PRECALCULOS!$D$24="Precios Iva Incluído",BX272,BR272)</f>
        <v>0</v>
      </c>
    </row>
    <row r="273" spans="1:87">
      <c r="A273" s="182" t="s">
        <v>102</v>
      </c>
      <c r="B273" s="182" t="s">
        <v>126</v>
      </c>
      <c r="C273" s="189" t="str">
        <f t="shared" si="358"/>
        <v>F_SE12</v>
      </c>
      <c r="D273" s="189" t="str">
        <f t="shared" si="359"/>
        <v>7_S_</v>
      </c>
      <c r="E273" s="190" t="s">
        <v>1</v>
      </c>
      <c r="F273" s="190" t="s">
        <v>1</v>
      </c>
      <c r="G273" s="189" t="s">
        <v>41</v>
      </c>
      <c r="H273" s="190"/>
      <c r="I273" s="190" t="s">
        <v>56</v>
      </c>
      <c r="J273" s="190">
        <v>7</v>
      </c>
      <c r="K273" s="190" t="s">
        <v>57</v>
      </c>
      <c r="L273" s="189" t="s">
        <v>9</v>
      </c>
      <c r="M273" s="211">
        <v>100</v>
      </c>
      <c r="N273" s="211">
        <v>100</v>
      </c>
      <c r="O273" s="211">
        <v>100</v>
      </c>
      <c r="P273" s="190"/>
      <c r="Q273" s="190"/>
      <c r="R273" s="211"/>
      <c r="S273" s="388">
        <v>3</v>
      </c>
      <c r="T273" s="388">
        <f>$S273</f>
        <v>3</v>
      </c>
      <c r="U273" s="388">
        <v>0</v>
      </c>
      <c r="V273" s="388">
        <v>0</v>
      </c>
      <c r="W273" s="387"/>
      <c r="X273" s="387"/>
      <c r="Y273" s="184">
        <f t="shared" si="371"/>
        <v>28053</v>
      </c>
      <c r="Z273" s="184">
        <v>0</v>
      </c>
      <c r="AA273" s="184">
        <v>0</v>
      </c>
      <c r="AB273" s="184">
        <f t="shared" si="345"/>
        <v>0</v>
      </c>
      <c r="AC273" s="184">
        <f t="shared" si="346"/>
        <v>0</v>
      </c>
      <c r="AD273" s="184">
        <f t="shared" si="372"/>
        <v>28053</v>
      </c>
      <c r="AE273" s="183">
        <f t="shared" si="338"/>
        <v>0</v>
      </c>
      <c r="AF273" s="385">
        <f>$AE273</f>
        <v>0</v>
      </c>
      <c r="AG273" s="385">
        <f t="shared" si="350"/>
        <v>0</v>
      </c>
      <c r="AH273" s="385">
        <f t="shared" si="350"/>
        <v>0</v>
      </c>
      <c r="AI273" s="185">
        <f t="shared" si="373"/>
        <v>74</v>
      </c>
      <c r="AJ273" s="185">
        <f t="shared" si="339"/>
        <v>433</v>
      </c>
      <c r="AK273" s="185">
        <f t="shared" si="340"/>
        <v>683</v>
      </c>
      <c r="AL273" s="185">
        <f t="shared" si="374"/>
        <v>1190</v>
      </c>
      <c r="AM273" s="173">
        <f>($S273*Y273)+($AE273*AI273)</f>
        <v>84159</v>
      </c>
      <c r="AN273" s="173">
        <f t="shared" si="318"/>
        <v>0</v>
      </c>
      <c r="AO273" s="173">
        <f t="shared" si="319"/>
        <v>0</v>
      </c>
      <c r="AP273" s="173">
        <f t="shared" si="360"/>
        <v>0</v>
      </c>
      <c r="AQ273" s="173">
        <f t="shared" si="361"/>
        <v>0</v>
      </c>
      <c r="AR273" s="173">
        <f t="shared" si="362"/>
        <v>84159</v>
      </c>
      <c r="AS273" s="186" t="s">
        <v>1368</v>
      </c>
      <c r="AT273" s="300">
        <f t="shared" si="375"/>
        <v>1</v>
      </c>
      <c r="AU273" s="300">
        <f t="shared" si="375"/>
        <v>1</v>
      </c>
      <c r="AV273" s="300">
        <f t="shared" si="375"/>
        <v>1</v>
      </c>
      <c r="AW273" s="300">
        <f t="shared" si="375"/>
        <v>1</v>
      </c>
      <c r="AX273" s="300">
        <f t="shared" si="375"/>
        <v>1</v>
      </c>
      <c r="AY273" s="301">
        <f t="shared" si="363"/>
        <v>1</v>
      </c>
      <c r="AZ273" s="301">
        <f t="shared" si="363"/>
        <v>1</v>
      </c>
      <c r="BA273" s="301">
        <f t="shared" si="363"/>
        <v>1</v>
      </c>
      <c r="BB273" s="301">
        <f t="shared" si="363"/>
        <v>1</v>
      </c>
      <c r="BC273" s="301">
        <f t="shared" si="363"/>
        <v>1</v>
      </c>
      <c r="BD273" s="187">
        <f>ROUND(IF(OR(M273=0,AT273="DATO NO DISPONIBLE"),"",AT273*M273*($BD$7+1)),0)</f>
        <v>107</v>
      </c>
      <c r="BE273" s="187">
        <f t="shared" si="321"/>
        <v>107</v>
      </c>
      <c r="BF273" s="187">
        <f t="shared" si="322"/>
        <v>107</v>
      </c>
      <c r="BG273" s="187"/>
      <c r="BH273" s="187"/>
      <c r="BI273" s="187">
        <f>ROUND(IF(OR(M273=0,AY273="DATO NO DISPONIBLE"),0,AY273*M273*($BD$7+1)),0)</f>
        <v>107</v>
      </c>
      <c r="BJ273" s="187">
        <f t="shared" si="376"/>
        <v>107</v>
      </c>
      <c r="BK273" s="187">
        <f t="shared" si="377"/>
        <v>107</v>
      </c>
      <c r="BL273" s="187"/>
      <c r="BM273" s="187"/>
      <c r="BN273" s="188">
        <f>BD273*AM273</f>
        <v>9005013</v>
      </c>
      <c r="BO273" s="188">
        <f t="shared" si="378"/>
        <v>0</v>
      </c>
      <c r="BP273" s="188">
        <f t="shared" si="379"/>
        <v>0</v>
      </c>
      <c r="BQ273" s="188">
        <f t="shared" si="380"/>
        <v>0</v>
      </c>
      <c r="BR273" s="188">
        <f t="shared" si="381"/>
        <v>0</v>
      </c>
      <c r="BS273" s="188">
        <f t="shared" si="364"/>
        <v>9005013</v>
      </c>
      <c r="BT273" s="188">
        <f t="shared" si="365"/>
        <v>9005013</v>
      </c>
      <c r="BU273" s="188">
        <f t="shared" si="366"/>
        <v>0</v>
      </c>
      <c r="BV273" s="188">
        <f t="shared" si="367"/>
        <v>0</v>
      </c>
      <c r="BW273" s="188">
        <f t="shared" si="368"/>
        <v>0</v>
      </c>
      <c r="BX273" s="188">
        <f t="shared" si="369"/>
        <v>0</v>
      </c>
      <c r="BY273" s="188">
        <f t="shared" si="370"/>
        <v>9005013</v>
      </c>
      <c r="BZ273" s="305">
        <f>IF(COT_PRECALCULOS!$D$24="Precios Iva Incluído",BI273,BD273)</f>
        <v>107</v>
      </c>
      <c r="CA273" s="305">
        <f>IF(COT_PRECALCULOS!$D$24="Precios Iva Incluído",BJ273,BE273)</f>
        <v>107</v>
      </c>
      <c r="CB273" s="305">
        <f>IF(COT_PRECALCULOS!$D$24="Precios Iva Incluído",BK273,BF273)</f>
        <v>107</v>
      </c>
      <c r="CC273" s="305">
        <f>IF(COT_PRECALCULOS!$D$24="Precios Iva Incluído",BL273,BG273)</f>
        <v>0</v>
      </c>
      <c r="CD273" s="305">
        <f>IF(COT_PRECALCULOS!$D$24="Precios Iva Incluído",BM273,BH273)</f>
        <v>0</v>
      </c>
      <c r="CE273" s="305">
        <f>IF(COT_PRECALCULOS!$D$24="Precios Iva Incluído",BT273,BN273)</f>
        <v>9005013</v>
      </c>
      <c r="CF273" s="305">
        <f>IF(COT_PRECALCULOS!$D$24="Precios Iva Incluído",BU273,BO273)</f>
        <v>0</v>
      </c>
      <c r="CG273" s="305">
        <f>IF(COT_PRECALCULOS!$D$24="Precios Iva Incluído",BV273,BP273)</f>
        <v>0</v>
      </c>
      <c r="CH273" s="305">
        <f>IF(COT_PRECALCULOS!$D$24="Precios Iva Incluído",BW273,BQ273)</f>
        <v>0</v>
      </c>
      <c r="CI273" s="305">
        <f>IF(COT_PRECALCULOS!$D$24="Precios Iva Incluído",BX273,BR273)</f>
        <v>0</v>
      </c>
    </row>
    <row r="274" spans="1:87">
      <c r="A274" s="182" t="s">
        <v>102</v>
      </c>
      <c r="B274" s="182" t="s">
        <v>126</v>
      </c>
      <c r="C274" s="189" t="str">
        <f t="shared" si="358"/>
        <v>F_SE12</v>
      </c>
      <c r="D274" s="189" t="str">
        <f t="shared" si="359"/>
        <v>17_S_</v>
      </c>
      <c r="E274" s="190" t="s">
        <v>1</v>
      </c>
      <c r="F274" s="190" t="s">
        <v>1</v>
      </c>
      <c r="G274" s="189" t="s">
        <v>41</v>
      </c>
      <c r="H274" s="190"/>
      <c r="I274" s="190" t="s">
        <v>52</v>
      </c>
      <c r="J274" s="190">
        <v>17</v>
      </c>
      <c r="K274" s="190" t="s">
        <v>53</v>
      </c>
      <c r="L274" s="189" t="s">
        <v>9</v>
      </c>
      <c r="M274" s="386">
        <v>0</v>
      </c>
      <c r="N274" s="211">
        <v>100</v>
      </c>
      <c r="O274" s="211">
        <v>100</v>
      </c>
      <c r="P274" s="190"/>
      <c r="Q274" s="190"/>
      <c r="R274" s="190" t="s">
        <v>73</v>
      </c>
      <c r="S274" s="183">
        <f t="shared" ref="S274:S281" si="382">COUNTIF(CAL_SEGUNDA_ENTREGA_LAV_FRUTA,CONCATENATE(G274,"_",J274))</f>
        <v>1</v>
      </c>
      <c r="T274" s="386">
        <v>0</v>
      </c>
      <c r="U274" s="385">
        <f t="shared" ref="U274:V281" si="383">$S274</f>
        <v>1</v>
      </c>
      <c r="V274" s="385">
        <f t="shared" si="383"/>
        <v>1</v>
      </c>
      <c r="W274" s="387"/>
      <c r="X274" s="387"/>
      <c r="Y274" s="184">
        <f t="shared" si="371"/>
        <v>0</v>
      </c>
      <c r="Z274" s="184">
        <f t="shared" ref="Z274:Z281" si="384">IF(N274&lt;&gt;0,VLOOKUP(A274,FRE_CANTIDADES_DIARIAS_SUMINISTROS,5,FALSE),0)</f>
        <v>31277</v>
      </c>
      <c r="AA274" s="184">
        <f t="shared" ref="AA274:AA281" si="385">IF(O274&lt;&gt;0,VLOOKUP(A274,FRE_CANTIDADES_DIARIAS_SUMINISTROS,6,FALSE),0)</f>
        <v>46469</v>
      </c>
      <c r="AB274" s="184">
        <f t="shared" si="345"/>
        <v>0</v>
      </c>
      <c r="AC274" s="184">
        <f t="shared" si="346"/>
        <v>0</v>
      </c>
      <c r="AD274" s="184">
        <f t="shared" si="372"/>
        <v>77746</v>
      </c>
      <c r="AE274" s="183">
        <f t="shared" si="338"/>
        <v>0</v>
      </c>
      <c r="AF274" s="386">
        <v>0</v>
      </c>
      <c r="AG274" s="385">
        <f t="shared" si="350"/>
        <v>0</v>
      </c>
      <c r="AH274" s="385">
        <f t="shared" si="350"/>
        <v>0</v>
      </c>
      <c r="AI274" s="185">
        <f t="shared" si="373"/>
        <v>0</v>
      </c>
      <c r="AJ274" s="185">
        <f t="shared" si="339"/>
        <v>433</v>
      </c>
      <c r="AK274" s="185">
        <f t="shared" si="340"/>
        <v>683</v>
      </c>
      <c r="AL274" s="185">
        <f t="shared" si="374"/>
        <v>1116</v>
      </c>
      <c r="AM274" s="173">
        <v>0</v>
      </c>
      <c r="AN274" s="173">
        <f t="shared" si="318"/>
        <v>31277</v>
      </c>
      <c r="AO274" s="173">
        <f t="shared" si="319"/>
        <v>46469</v>
      </c>
      <c r="AP274" s="173">
        <f t="shared" si="360"/>
        <v>0</v>
      </c>
      <c r="AQ274" s="173">
        <f t="shared" si="361"/>
        <v>0</v>
      </c>
      <c r="AR274" s="173">
        <f t="shared" si="362"/>
        <v>77746</v>
      </c>
      <c r="AS274" s="186" t="s">
        <v>1368</v>
      </c>
      <c r="AT274" s="300">
        <f t="shared" si="375"/>
        <v>2.11</v>
      </c>
      <c r="AU274" s="300">
        <f t="shared" si="375"/>
        <v>2.11</v>
      </c>
      <c r="AV274" s="300">
        <f t="shared" si="375"/>
        <v>2.11</v>
      </c>
      <c r="AW274" s="300">
        <f t="shared" si="375"/>
        <v>2.11</v>
      </c>
      <c r="AX274" s="300">
        <f t="shared" si="375"/>
        <v>2.11</v>
      </c>
      <c r="AY274" s="301">
        <f t="shared" si="363"/>
        <v>2.11</v>
      </c>
      <c r="AZ274" s="301">
        <f t="shared" si="363"/>
        <v>2.11</v>
      </c>
      <c r="BA274" s="301">
        <f t="shared" si="363"/>
        <v>2.11</v>
      </c>
      <c r="BB274" s="301">
        <f t="shared" si="363"/>
        <v>2.11</v>
      </c>
      <c r="BC274" s="301">
        <f t="shared" si="363"/>
        <v>2.11</v>
      </c>
      <c r="BD274" s="187"/>
      <c r="BE274" s="187">
        <f t="shared" si="321"/>
        <v>226</v>
      </c>
      <c r="BF274" s="187">
        <f t="shared" si="322"/>
        <v>226</v>
      </c>
      <c r="BG274" s="187"/>
      <c r="BH274" s="187"/>
      <c r="BI274" s="187"/>
      <c r="BJ274" s="187">
        <f t="shared" si="376"/>
        <v>226</v>
      </c>
      <c r="BK274" s="187">
        <f t="shared" si="377"/>
        <v>226</v>
      </c>
      <c r="BL274" s="187"/>
      <c r="BM274" s="187"/>
      <c r="BN274" s="188"/>
      <c r="BO274" s="188">
        <f t="shared" si="378"/>
        <v>7068602</v>
      </c>
      <c r="BP274" s="188">
        <f t="shared" si="379"/>
        <v>10501994</v>
      </c>
      <c r="BQ274" s="188">
        <f t="shared" si="380"/>
        <v>0</v>
      </c>
      <c r="BR274" s="188">
        <f t="shared" si="381"/>
        <v>0</v>
      </c>
      <c r="BS274" s="188">
        <f t="shared" si="364"/>
        <v>17570596</v>
      </c>
      <c r="BT274" s="188">
        <f t="shared" si="365"/>
        <v>0</v>
      </c>
      <c r="BU274" s="188">
        <f t="shared" si="366"/>
        <v>7068602</v>
      </c>
      <c r="BV274" s="188">
        <f t="shared" si="367"/>
        <v>10501994</v>
      </c>
      <c r="BW274" s="188">
        <f t="shared" si="368"/>
        <v>0</v>
      </c>
      <c r="BX274" s="188">
        <f t="shared" si="369"/>
        <v>0</v>
      </c>
      <c r="BY274" s="188">
        <f t="shared" si="370"/>
        <v>17570596</v>
      </c>
      <c r="BZ274" s="305">
        <f>IF(COT_PRECALCULOS!$D$24="Precios Iva Incluído",BI274,BD274)</f>
        <v>0</v>
      </c>
      <c r="CA274" s="305">
        <f>IF(COT_PRECALCULOS!$D$24="Precios Iva Incluído",BJ274,BE274)</f>
        <v>226</v>
      </c>
      <c r="CB274" s="305">
        <f>IF(COT_PRECALCULOS!$D$24="Precios Iva Incluído",BK274,BF274)</f>
        <v>226</v>
      </c>
      <c r="CC274" s="305">
        <f>IF(COT_PRECALCULOS!$D$24="Precios Iva Incluído",BL274,BG274)</f>
        <v>0</v>
      </c>
      <c r="CD274" s="305">
        <f>IF(COT_PRECALCULOS!$D$24="Precios Iva Incluído",BM274,BH274)</f>
        <v>0</v>
      </c>
      <c r="CE274" s="305">
        <f>IF(COT_PRECALCULOS!$D$24="Precios Iva Incluído",BT274,BN274)</f>
        <v>0</v>
      </c>
      <c r="CF274" s="305">
        <f>IF(COT_PRECALCULOS!$D$24="Precios Iva Incluído",BU274,BO274)</f>
        <v>7068602</v>
      </c>
      <c r="CG274" s="305">
        <f>IF(COT_PRECALCULOS!$D$24="Precios Iva Incluído",BV274,BP274)</f>
        <v>10501994</v>
      </c>
      <c r="CH274" s="305">
        <f>IF(COT_PRECALCULOS!$D$24="Precios Iva Incluído",BW274,BQ274)</f>
        <v>0</v>
      </c>
      <c r="CI274" s="305">
        <f>IF(COT_PRECALCULOS!$D$24="Precios Iva Incluído",BX274,BR274)</f>
        <v>0</v>
      </c>
    </row>
    <row r="275" spans="1:87">
      <c r="A275" s="182" t="s">
        <v>102</v>
      </c>
      <c r="B275" s="182" t="s">
        <v>126</v>
      </c>
      <c r="C275" s="189" t="str">
        <f t="shared" si="358"/>
        <v>F_SE12</v>
      </c>
      <c r="D275" s="189" t="str">
        <f t="shared" si="359"/>
        <v>22_S_</v>
      </c>
      <c r="E275" s="190" t="s">
        <v>1</v>
      </c>
      <c r="F275" s="190" t="s">
        <v>1</v>
      </c>
      <c r="G275" s="189" t="s">
        <v>41</v>
      </c>
      <c r="H275" s="190"/>
      <c r="I275" s="190" t="s">
        <v>50</v>
      </c>
      <c r="J275" s="190">
        <v>22</v>
      </c>
      <c r="K275" s="190" t="s">
        <v>51</v>
      </c>
      <c r="L275" s="189" t="s">
        <v>9</v>
      </c>
      <c r="M275" s="191">
        <v>0</v>
      </c>
      <c r="N275" s="211">
        <v>100</v>
      </c>
      <c r="O275" s="211">
        <v>100</v>
      </c>
      <c r="P275" s="190"/>
      <c r="Q275" s="190"/>
      <c r="R275" s="190" t="s">
        <v>73</v>
      </c>
      <c r="S275" s="183">
        <f t="shared" si="382"/>
        <v>0</v>
      </c>
      <c r="T275" s="386">
        <v>0</v>
      </c>
      <c r="U275" s="385">
        <f t="shared" si="383"/>
        <v>0</v>
      </c>
      <c r="V275" s="385">
        <f t="shared" si="383"/>
        <v>0</v>
      </c>
      <c r="W275" s="387"/>
      <c r="X275" s="387"/>
      <c r="Y275" s="184">
        <f t="shared" si="371"/>
        <v>0</v>
      </c>
      <c r="Z275" s="184">
        <f t="shared" si="384"/>
        <v>31277</v>
      </c>
      <c r="AA275" s="184">
        <f t="shared" si="385"/>
        <v>46469</v>
      </c>
      <c r="AB275" s="184">
        <f t="shared" si="345"/>
        <v>0</v>
      </c>
      <c r="AC275" s="184">
        <f t="shared" si="346"/>
        <v>0</v>
      </c>
      <c r="AD275" s="184">
        <f t="shared" si="372"/>
        <v>77746</v>
      </c>
      <c r="AE275" s="183">
        <f t="shared" si="338"/>
        <v>0</v>
      </c>
      <c r="AF275" s="386">
        <v>0</v>
      </c>
      <c r="AG275" s="385">
        <f t="shared" ref="AG275:AH288" si="386">$AE275</f>
        <v>0</v>
      </c>
      <c r="AH275" s="385">
        <f t="shared" si="386"/>
        <v>0</v>
      </c>
      <c r="AI275" s="185">
        <f t="shared" si="373"/>
        <v>0</v>
      </c>
      <c r="AJ275" s="185">
        <f t="shared" si="339"/>
        <v>433</v>
      </c>
      <c r="AK275" s="185">
        <f t="shared" si="340"/>
        <v>683</v>
      </c>
      <c r="AL275" s="185">
        <f t="shared" si="374"/>
        <v>1116</v>
      </c>
      <c r="AM275" s="173">
        <v>0</v>
      </c>
      <c r="AN275" s="173">
        <f t="shared" si="318"/>
        <v>0</v>
      </c>
      <c r="AO275" s="173">
        <f t="shared" si="319"/>
        <v>0</v>
      </c>
      <c r="AP275" s="173">
        <f t="shared" si="360"/>
        <v>0</v>
      </c>
      <c r="AQ275" s="173">
        <f t="shared" si="361"/>
        <v>0</v>
      </c>
      <c r="AR275" s="173">
        <f t="shared" si="362"/>
        <v>0</v>
      </c>
      <c r="AS275" s="186" t="s">
        <v>1368</v>
      </c>
      <c r="AT275" s="300">
        <f t="shared" si="375"/>
        <v>4.9124999999999996</v>
      </c>
      <c r="AU275" s="300">
        <f t="shared" si="375"/>
        <v>4.9124999999999996</v>
      </c>
      <c r="AV275" s="300">
        <f t="shared" si="375"/>
        <v>4.9124999999999996</v>
      </c>
      <c r="AW275" s="300">
        <f t="shared" si="375"/>
        <v>4.9124999999999996</v>
      </c>
      <c r="AX275" s="300">
        <f t="shared" si="375"/>
        <v>4.9124999999999996</v>
      </c>
      <c r="AY275" s="301">
        <f t="shared" si="363"/>
        <v>4.9124999999999996</v>
      </c>
      <c r="AZ275" s="301">
        <f t="shared" si="363"/>
        <v>4.9124999999999996</v>
      </c>
      <c r="BA275" s="301">
        <f t="shared" si="363"/>
        <v>4.9124999999999996</v>
      </c>
      <c r="BB275" s="301">
        <f t="shared" si="363"/>
        <v>4.9124999999999996</v>
      </c>
      <c r="BC275" s="301">
        <f t="shared" si="363"/>
        <v>4.9124999999999996</v>
      </c>
      <c r="BD275" s="187"/>
      <c r="BE275" s="187">
        <f t="shared" si="321"/>
        <v>525</v>
      </c>
      <c r="BF275" s="187">
        <f t="shared" si="322"/>
        <v>525</v>
      </c>
      <c r="BG275" s="187"/>
      <c r="BH275" s="187"/>
      <c r="BI275" s="187"/>
      <c r="BJ275" s="187">
        <f t="shared" si="376"/>
        <v>525</v>
      </c>
      <c r="BK275" s="187">
        <f t="shared" si="377"/>
        <v>525</v>
      </c>
      <c r="BL275" s="187"/>
      <c r="BM275" s="187"/>
      <c r="BN275" s="188"/>
      <c r="BO275" s="188">
        <f t="shared" si="378"/>
        <v>0</v>
      </c>
      <c r="BP275" s="188">
        <f t="shared" si="379"/>
        <v>0</v>
      </c>
      <c r="BQ275" s="188">
        <f t="shared" si="380"/>
        <v>0</v>
      </c>
      <c r="BR275" s="188">
        <f t="shared" si="381"/>
        <v>0</v>
      </c>
      <c r="BS275" s="188">
        <f t="shared" si="364"/>
        <v>0</v>
      </c>
      <c r="BT275" s="188">
        <f t="shared" si="365"/>
        <v>0</v>
      </c>
      <c r="BU275" s="188">
        <f t="shared" si="366"/>
        <v>0</v>
      </c>
      <c r="BV275" s="188">
        <f t="shared" si="367"/>
        <v>0</v>
      </c>
      <c r="BW275" s="188">
        <f t="shared" si="368"/>
        <v>0</v>
      </c>
      <c r="BX275" s="188">
        <f t="shared" si="369"/>
        <v>0</v>
      </c>
      <c r="BY275" s="188">
        <f t="shared" si="370"/>
        <v>0</v>
      </c>
      <c r="BZ275" s="305">
        <f>IF(COT_PRECALCULOS!$D$24="Precios Iva Incluído",BI275,BD275)</f>
        <v>0</v>
      </c>
      <c r="CA275" s="305">
        <f>IF(COT_PRECALCULOS!$D$24="Precios Iva Incluído",BJ275,BE275)</f>
        <v>525</v>
      </c>
      <c r="CB275" s="305">
        <f>IF(COT_PRECALCULOS!$D$24="Precios Iva Incluído",BK275,BF275)</f>
        <v>525</v>
      </c>
      <c r="CC275" s="305">
        <f>IF(COT_PRECALCULOS!$D$24="Precios Iva Incluído",BL275,BG275)</f>
        <v>0</v>
      </c>
      <c r="CD275" s="305">
        <f>IF(COT_PRECALCULOS!$D$24="Precios Iva Incluído",BM275,BH275)</f>
        <v>0</v>
      </c>
      <c r="CE275" s="305">
        <f>IF(COT_PRECALCULOS!$D$24="Precios Iva Incluído",BT275,BN275)</f>
        <v>0</v>
      </c>
      <c r="CF275" s="305">
        <f>IF(COT_PRECALCULOS!$D$24="Precios Iva Incluído",BU275,BO275)</f>
        <v>0</v>
      </c>
      <c r="CG275" s="305">
        <f>IF(COT_PRECALCULOS!$D$24="Precios Iva Incluído",BV275,BP275)</f>
        <v>0</v>
      </c>
      <c r="CH275" s="305">
        <f>IF(COT_PRECALCULOS!$D$24="Precios Iva Incluído",BW275,BQ275)</f>
        <v>0</v>
      </c>
      <c r="CI275" s="305">
        <f>IF(COT_PRECALCULOS!$D$24="Precios Iva Incluído",BX275,BR275)</f>
        <v>0</v>
      </c>
    </row>
    <row r="276" spans="1:87">
      <c r="A276" s="182" t="s">
        <v>102</v>
      </c>
      <c r="B276" s="182" t="s">
        <v>126</v>
      </c>
      <c r="C276" s="189" t="str">
        <f t="shared" si="358"/>
        <v>F_SE12</v>
      </c>
      <c r="D276" s="189" t="str">
        <f t="shared" si="359"/>
        <v>33_S_</v>
      </c>
      <c r="E276" s="190" t="s">
        <v>1</v>
      </c>
      <c r="F276" s="190" t="s">
        <v>1</v>
      </c>
      <c r="G276" s="189" t="s">
        <v>41</v>
      </c>
      <c r="H276" s="190"/>
      <c r="I276" s="190" t="s">
        <v>58</v>
      </c>
      <c r="J276" s="190">
        <v>33</v>
      </c>
      <c r="K276" s="190" t="s">
        <v>59</v>
      </c>
      <c r="L276" s="189" t="s">
        <v>48</v>
      </c>
      <c r="M276" s="310">
        <v>90</v>
      </c>
      <c r="N276" s="310">
        <v>90</v>
      </c>
      <c r="O276" s="310">
        <v>90</v>
      </c>
      <c r="P276" s="190"/>
      <c r="Q276" s="190"/>
      <c r="R276" s="190"/>
      <c r="S276" s="183">
        <f t="shared" si="382"/>
        <v>4</v>
      </c>
      <c r="T276" s="385">
        <f>$S276</f>
        <v>4</v>
      </c>
      <c r="U276" s="385">
        <f t="shared" si="383"/>
        <v>4</v>
      </c>
      <c r="V276" s="385">
        <f t="shared" si="383"/>
        <v>4</v>
      </c>
      <c r="W276" s="387"/>
      <c r="X276" s="387"/>
      <c r="Y276" s="184">
        <f t="shared" si="371"/>
        <v>28053</v>
      </c>
      <c r="Z276" s="184">
        <f t="shared" si="384"/>
        <v>31277</v>
      </c>
      <c r="AA276" s="184">
        <f t="shared" si="385"/>
        <v>46469</v>
      </c>
      <c r="AB276" s="184">
        <f t="shared" si="345"/>
        <v>0</v>
      </c>
      <c r="AC276" s="184">
        <f t="shared" si="346"/>
        <v>0</v>
      </c>
      <c r="AD276" s="184">
        <f t="shared" si="372"/>
        <v>105799</v>
      </c>
      <c r="AE276" s="183">
        <f t="shared" si="338"/>
        <v>0</v>
      </c>
      <c r="AF276" s="385">
        <f>$AE276</f>
        <v>0</v>
      </c>
      <c r="AG276" s="385">
        <f t="shared" si="386"/>
        <v>0</v>
      </c>
      <c r="AH276" s="385">
        <f t="shared" si="386"/>
        <v>0</v>
      </c>
      <c r="AI276" s="185">
        <f t="shared" si="373"/>
        <v>74</v>
      </c>
      <c r="AJ276" s="185">
        <f t="shared" si="339"/>
        <v>433</v>
      </c>
      <c r="AK276" s="185">
        <f t="shared" si="340"/>
        <v>683</v>
      </c>
      <c r="AL276" s="185">
        <f t="shared" si="374"/>
        <v>1190</v>
      </c>
      <c r="AM276" s="173">
        <f t="shared" ref="AM276:AM282" si="387">($S276*Y276)+($AE276*AI276)</f>
        <v>112212</v>
      </c>
      <c r="AN276" s="173">
        <f t="shared" si="318"/>
        <v>125108</v>
      </c>
      <c r="AO276" s="173">
        <f t="shared" si="319"/>
        <v>185876</v>
      </c>
      <c r="AP276" s="173">
        <f t="shared" si="360"/>
        <v>0</v>
      </c>
      <c r="AQ276" s="173">
        <f t="shared" si="361"/>
        <v>0</v>
      </c>
      <c r="AR276" s="173">
        <f t="shared" si="362"/>
        <v>423196</v>
      </c>
      <c r="AS276" s="186" t="s">
        <v>1368</v>
      </c>
      <c r="AT276" s="300">
        <f t="shared" si="375"/>
        <v>2.8014999999999999</v>
      </c>
      <c r="AU276" s="300">
        <f t="shared" si="375"/>
        <v>2.8014999999999999</v>
      </c>
      <c r="AV276" s="300">
        <f t="shared" si="375"/>
        <v>2.8014999999999999</v>
      </c>
      <c r="AW276" s="300">
        <f t="shared" si="375"/>
        <v>2.8014999999999999</v>
      </c>
      <c r="AX276" s="300">
        <f t="shared" si="375"/>
        <v>2.8014999999999999</v>
      </c>
      <c r="AY276" s="301">
        <f t="shared" si="363"/>
        <v>2.8014999999999999</v>
      </c>
      <c r="AZ276" s="301">
        <f t="shared" si="363"/>
        <v>2.8014999999999999</v>
      </c>
      <c r="BA276" s="301">
        <f t="shared" si="363"/>
        <v>2.8014999999999999</v>
      </c>
      <c r="BB276" s="301">
        <f t="shared" si="363"/>
        <v>2.8014999999999999</v>
      </c>
      <c r="BC276" s="301">
        <f t="shared" si="363"/>
        <v>2.8014999999999999</v>
      </c>
      <c r="BD276" s="187">
        <f>ROUND(IF(OR(M276=0,AT276="DATO NO DISPONIBLE"),"",AT276*M276*($BD$7+1)),0)</f>
        <v>270</v>
      </c>
      <c r="BE276" s="187">
        <f t="shared" si="321"/>
        <v>270</v>
      </c>
      <c r="BF276" s="187">
        <f t="shared" si="322"/>
        <v>270</v>
      </c>
      <c r="BG276" s="187"/>
      <c r="BH276" s="187"/>
      <c r="BI276" s="187">
        <f>ROUND(IF(OR(M276=0,AY276="DATO NO DISPONIBLE"),0,AY276*M276*($BD$7+1)),0)</f>
        <v>270</v>
      </c>
      <c r="BJ276" s="187">
        <f t="shared" si="376"/>
        <v>270</v>
      </c>
      <c r="BK276" s="187">
        <f t="shared" si="377"/>
        <v>270</v>
      </c>
      <c r="BL276" s="187"/>
      <c r="BM276" s="187"/>
      <c r="BN276" s="188">
        <f>BD276*AM276</f>
        <v>30297240</v>
      </c>
      <c r="BO276" s="188">
        <f t="shared" si="378"/>
        <v>33779160</v>
      </c>
      <c r="BP276" s="188">
        <f t="shared" si="379"/>
        <v>50186520</v>
      </c>
      <c r="BQ276" s="188">
        <f t="shared" si="380"/>
        <v>0</v>
      </c>
      <c r="BR276" s="188">
        <f t="shared" si="381"/>
        <v>0</v>
      </c>
      <c r="BS276" s="188">
        <f t="shared" si="364"/>
        <v>114262920</v>
      </c>
      <c r="BT276" s="188">
        <f t="shared" si="365"/>
        <v>30297240</v>
      </c>
      <c r="BU276" s="188">
        <f t="shared" si="366"/>
        <v>33779160</v>
      </c>
      <c r="BV276" s="188">
        <f t="shared" si="367"/>
        <v>50186520</v>
      </c>
      <c r="BW276" s="188">
        <f t="shared" si="368"/>
        <v>0</v>
      </c>
      <c r="BX276" s="188">
        <f t="shared" si="369"/>
        <v>0</v>
      </c>
      <c r="BY276" s="188">
        <f t="shared" si="370"/>
        <v>114262920</v>
      </c>
      <c r="BZ276" s="305">
        <f>IF(COT_PRECALCULOS!$D$24="Precios Iva Incluído",BI276,BD276)</f>
        <v>270</v>
      </c>
      <c r="CA276" s="305">
        <f>IF(COT_PRECALCULOS!$D$24="Precios Iva Incluído",BJ276,BE276)</f>
        <v>270</v>
      </c>
      <c r="CB276" s="305">
        <f>IF(COT_PRECALCULOS!$D$24="Precios Iva Incluído",BK276,BF276)</f>
        <v>270</v>
      </c>
      <c r="CC276" s="305">
        <f>IF(COT_PRECALCULOS!$D$24="Precios Iva Incluído",BL276,BG276)</f>
        <v>0</v>
      </c>
      <c r="CD276" s="305">
        <f>IF(COT_PRECALCULOS!$D$24="Precios Iva Incluído",BM276,BH276)</f>
        <v>0</v>
      </c>
      <c r="CE276" s="305">
        <f>IF(COT_PRECALCULOS!$D$24="Precios Iva Incluído",BT276,BN276)</f>
        <v>30297240</v>
      </c>
      <c r="CF276" s="305">
        <f>IF(COT_PRECALCULOS!$D$24="Precios Iva Incluído",BU276,BO276)</f>
        <v>33779160</v>
      </c>
      <c r="CG276" s="305">
        <f>IF(COT_PRECALCULOS!$D$24="Precios Iva Incluído",BV276,BP276)</f>
        <v>50186520</v>
      </c>
      <c r="CH276" s="305">
        <f>IF(COT_PRECALCULOS!$D$24="Precios Iva Incluído",BW276,BQ276)</f>
        <v>0</v>
      </c>
      <c r="CI276" s="305">
        <f>IF(COT_PRECALCULOS!$D$24="Precios Iva Incluído",BX276,BR276)</f>
        <v>0</v>
      </c>
    </row>
    <row r="277" spans="1:87">
      <c r="A277" s="182" t="s">
        <v>102</v>
      </c>
      <c r="B277" s="182" t="s">
        <v>126</v>
      </c>
      <c r="C277" s="189" t="str">
        <f t="shared" si="358"/>
        <v>F_SE12</v>
      </c>
      <c r="D277" s="189" t="str">
        <f t="shared" si="359"/>
        <v>42_S_</v>
      </c>
      <c r="E277" s="211" t="s">
        <v>1</v>
      </c>
      <c r="F277" s="211" t="s">
        <v>1</v>
      </c>
      <c r="G277" s="189" t="s">
        <v>41</v>
      </c>
      <c r="H277" s="211"/>
      <c r="I277" s="211" t="s">
        <v>49</v>
      </c>
      <c r="J277" s="211">
        <v>42</v>
      </c>
      <c r="K277" s="211" t="s">
        <v>61</v>
      </c>
      <c r="L277" s="189" t="s">
        <v>9</v>
      </c>
      <c r="M277" s="211">
        <v>100</v>
      </c>
      <c r="N277" s="211">
        <v>100</v>
      </c>
      <c r="O277" s="211">
        <v>100</v>
      </c>
      <c r="P277" s="211"/>
      <c r="Q277" s="211"/>
      <c r="R277" s="211"/>
      <c r="S277" s="183">
        <f t="shared" si="382"/>
        <v>4</v>
      </c>
      <c r="T277" s="385">
        <f>$S277</f>
        <v>4</v>
      </c>
      <c r="U277" s="385">
        <f t="shared" si="383"/>
        <v>4</v>
      </c>
      <c r="V277" s="385">
        <f t="shared" si="383"/>
        <v>4</v>
      </c>
      <c r="W277" s="387"/>
      <c r="X277" s="387"/>
      <c r="Y277" s="184">
        <f t="shared" si="371"/>
        <v>28053</v>
      </c>
      <c r="Z277" s="184">
        <f t="shared" si="384"/>
        <v>31277</v>
      </c>
      <c r="AA277" s="184">
        <f t="shared" si="385"/>
        <v>46469</v>
      </c>
      <c r="AB277" s="184">
        <f t="shared" si="345"/>
        <v>0</v>
      </c>
      <c r="AC277" s="184">
        <f t="shared" si="346"/>
        <v>0</v>
      </c>
      <c r="AD277" s="184">
        <f t="shared" si="372"/>
        <v>105799</v>
      </c>
      <c r="AE277" s="183">
        <f t="shared" si="338"/>
        <v>0</v>
      </c>
      <c r="AF277" s="385">
        <f>$AE277</f>
        <v>0</v>
      </c>
      <c r="AG277" s="385">
        <f t="shared" si="386"/>
        <v>0</v>
      </c>
      <c r="AH277" s="385">
        <f t="shared" si="386"/>
        <v>0</v>
      </c>
      <c r="AI277" s="185">
        <f t="shared" si="373"/>
        <v>74</v>
      </c>
      <c r="AJ277" s="185">
        <f t="shared" si="339"/>
        <v>433</v>
      </c>
      <c r="AK277" s="185">
        <f t="shared" si="340"/>
        <v>683</v>
      </c>
      <c r="AL277" s="185">
        <f t="shared" si="374"/>
        <v>1190</v>
      </c>
      <c r="AM277" s="173">
        <f t="shared" si="387"/>
        <v>112212</v>
      </c>
      <c r="AN277" s="173">
        <f t="shared" si="318"/>
        <v>125108</v>
      </c>
      <c r="AO277" s="173">
        <f t="shared" si="319"/>
        <v>185876</v>
      </c>
      <c r="AP277" s="173">
        <f t="shared" si="360"/>
        <v>0</v>
      </c>
      <c r="AQ277" s="173">
        <f t="shared" si="361"/>
        <v>0</v>
      </c>
      <c r="AR277" s="173">
        <f t="shared" si="362"/>
        <v>423196</v>
      </c>
      <c r="AS277" s="186" t="s">
        <v>1368</v>
      </c>
      <c r="AT277" s="300">
        <f t="shared" si="375"/>
        <v>1.8169999999999999</v>
      </c>
      <c r="AU277" s="300">
        <f t="shared" si="375"/>
        <v>1.8169999999999999</v>
      </c>
      <c r="AV277" s="300">
        <f t="shared" si="375"/>
        <v>1.8169999999999999</v>
      </c>
      <c r="AW277" s="300">
        <f t="shared" si="375"/>
        <v>1.8169999999999999</v>
      </c>
      <c r="AX277" s="300">
        <f t="shared" si="375"/>
        <v>1.8169999999999999</v>
      </c>
      <c r="AY277" s="301">
        <f t="shared" si="363"/>
        <v>1.8169999999999999</v>
      </c>
      <c r="AZ277" s="301">
        <f t="shared" si="363"/>
        <v>1.8169999999999999</v>
      </c>
      <c r="BA277" s="301">
        <f t="shared" si="363"/>
        <v>1.8169999999999999</v>
      </c>
      <c r="BB277" s="301">
        <f t="shared" si="363"/>
        <v>1.8169999999999999</v>
      </c>
      <c r="BC277" s="301">
        <f t="shared" si="363"/>
        <v>1.8169999999999999</v>
      </c>
      <c r="BD277" s="187">
        <f>ROUND(IF(OR(M277=0,AT277="DATO NO DISPONIBLE"),"",AT277*M277*($BD$7+1)),0)</f>
        <v>194</v>
      </c>
      <c r="BE277" s="187">
        <f t="shared" si="321"/>
        <v>194</v>
      </c>
      <c r="BF277" s="187">
        <f t="shared" si="322"/>
        <v>194</v>
      </c>
      <c r="BG277" s="187"/>
      <c r="BH277" s="187"/>
      <c r="BI277" s="187">
        <f>ROUND(IF(OR(M277=0,AY277="DATO NO DISPONIBLE"),0,AY277*M277*($BD$7+1)),0)</f>
        <v>194</v>
      </c>
      <c r="BJ277" s="187">
        <f t="shared" si="376"/>
        <v>194</v>
      </c>
      <c r="BK277" s="187">
        <f t="shared" si="377"/>
        <v>194</v>
      </c>
      <c r="BL277" s="187"/>
      <c r="BM277" s="187"/>
      <c r="BN277" s="188">
        <f>BD277*AM277</f>
        <v>21769128</v>
      </c>
      <c r="BO277" s="188">
        <f t="shared" si="378"/>
        <v>24270952</v>
      </c>
      <c r="BP277" s="188">
        <f t="shared" si="379"/>
        <v>36059944</v>
      </c>
      <c r="BQ277" s="188">
        <f t="shared" si="380"/>
        <v>0</v>
      </c>
      <c r="BR277" s="188">
        <f t="shared" si="381"/>
        <v>0</v>
      </c>
      <c r="BS277" s="188">
        <f t="shared" si="364"/>
        <v>82100024</v>
      </c>
      <c r="BT277" s="188">
        <f t="shared" si="365"/>
        <v>21769128</v>
      </c>
      <c r="BU277" s="188">
        <f t="shared" si="366"/>
        <v>24270952</v>
      </c>
      <c r="BV277" s="188">
        <f t="shared" si="367"/>
        <v>36059944</v>
      </c>
      <c r="BW277" s="188">
        <f t="shared" si="368"/>
        <v>0</v>
      </c>
      <c r="BX277" s="188">
        <f t="shared" si="369"/>
        <v>0</v>
      </c>
      <c r="BY277" s="188">
        <f t="shared" si="370"/>
        <v>82100024</v>
      </c>
      <c r="BZ277" s="305">
        <f>IF(COT_PRECALCULOS!$D$24="Precios Iva Incluído",BI277,BD277)</f>
        <v>194</v>
      </c>
      <c r="CA277" s="305">
        <f>IF(COT_PRECALCULOS!$D$24="Precios Iva Incluído",BJ277,BE277)</f>
        <v>194</v>
      </c>
      <c r="CB277" s="305">
        <f>IF(COT_PRECALCULOS!$D$24="Precios Iva Incluído",BK277,BF277)</f>
        <v>194</v>
      </c>
      <c r="CC277" s="305">
        <f>IF(COT_PRECALCULOS!$D$24="Precios Iva Incluído",BL277,BG277)</f>
        <v>0</v>
      </c>
      <c r="CD277" s="305">
        <f>IF(COT_PRECALCULOS!$D$24="Precios Iva Incluído",BM277,BH277)</f>
        <v>0</v>
      </c>
      <c r="CE277" s="305">
        <f>IF(COT_PRECALCULOS!$D$24="Precios Iva Incluído",BT277,BN277)</f>
        <v>21769128</v>
      </c>
      <c r="CF277" s="305">
        <f>IF(COT_PRECALCULOS!$D$24="Precios Iva Incluído",BU277,BO277)</f>
        <v>24270952</v>
      </c>
      <c r="CG277" s="305">
        <f>IF(COT_PRECALCULOS!$D$24="Precios Iva Incluído",BV277,BP277)</f>
        <v>36059944</v>
      </c>
      <c r="CH277" s="305">
        <f>IF(COT_PRECALCULOS!$D$24="Precios Iva Incluído",BW277,BQ277)</f>
        <v>0</v>
      </c>
      <c r="CI277" s="305">
        <f>IF(COT_PRECALCULOS!$D$24="Precios Iva Incluído",BX277,BR277)</f>
        <v>0</v>
      </c>
    </row>
    <row r="278" spans="1:87">
      <c r="A278" s="182" t="s">
        <v>102</v>
      </c>
      <c r="B278" s="182" t="s">
        <v>126</v>
      </c>
      <c r="C278" s="189" t="str">
        <f t="shared" si="358"/>
        <v>F_SE12</v>
      </c>
      <c r="D278" s="189" t="str">
        <f t="shared" si="359"/>
        <v>43_S_</v>
      </c>
      <c r="E278" s="211" t="s">
        <v>1</v>
      </c>
      <c r="F278" s="211" t="s">
        <v>1</v>
      </c>
      <c r="G278" s="189" t="s">
        <v>41</v>
      </c>
      <c r="H278" s="211"/>
      <c r="I278" s="211" t="s">
        <v>60</v>
      </c>
      <c r="J278" s="211">
        <v>43</v>
      </c>
      <c r="K278" s="211" t="s">
        <v>62</v>
      </c>
      <c r="L278" s="189" t="s">
        <v>9</v>
      </c>
      <c r="M278" s="211">
        <v>100</v>
      </c>
      <c r="N278" s="211">
        <v>100</v>
      </c>
      <c r="O278" s="211">
        <v>100</v>
      </c>
      <c r="P278" s="211"/>
      <c r="Q278" s="211"/>
      <c r="R278" s="211"/>
      <c r="S278" s="183">
        <f t="shared" si="382"/>
        <v>2</v>
      </c>
      <c r="T278" s="385">
        <f>$S278</f>
        <v>2</v>
      </c>
      <c r="U278" s="385">
        <f t="shared" si="383"/>
        <v>2</v>
      </c>
      <c r="V278" s="385">
        <f t="shared" si="383"/>
        <v>2</v>
      </c>
      <c r="W278" s="387"/>
      <c r="X278" s="387"/>
      <c r="Y278" s="184">
        <f t="shared" si="371"/>
        <v>28053</v>
      </c>
      <c r="Z278" s="184">
        <f t="shared" si="384"/>
        <v>31277</v>
      </c>
      <c r="AA278" s="184">
        <f t="shared" si="385"/>
        <v>46469</v>
      </c>
      <c r="AB278" s="184">
        <f t="shared" si="345"/>
        <v>0</v>
      </c>
      <c r="AC278" s="184">
        <f t="shared" si="346"/>
        <v>0</v>
      </c>
      <c r="AD278" s="184">
        <f t="shared" si="372"/>
        <v>105799</v>
      </c>
      <c r="AE278" s="183">
        <f t="shared" si="338"/>
        <v>0</v>
      </c>
      <c r="AF278" s="385">
        <f>$AE278</f>
        <v>0</v>
      </c>
      <c r="AG278" s="385">
        <f t="shared" si="386"/>
        <v>0</v>
      </c>
      <c r="AH278" s="385">
        <f t="shared" si="386"/>
        <v>0</v>
      </c>
      <c r="AI278" s="185">
        <f t="shared" si="373"/>
        <v>74</v>
      </c>
      <c r="AJ278" s="185">
        <f t="shared" si="339"/>
        <v>433</v>
      </c>
      <c r="AK278" s="185">
        <f t="shared" si="340"/>
        <v>683</v>
      </c>
      <c r="AL278" s="185">
        <f t="shared" si="374"/>
        <v>1190</v>
      </c>
      <c r="AM278" s="173">
        <f t="shared" si="387"/>
        <v>56106</v>
      </c>
      <c r="AN278" s="173">
        <f t="shared" si="318"/>
        <v>62554</v>
      </c>
      <c r="AO278" s="173">
        <f t="shared" si="319"/>
        <v>92938</v>
      </c>
      <c r="AP278" s="173">
        <f t="shared" si="360"/>
        <v>0</v>
      </c>
      <c r="AQ278" s="173">
        <f t="shared" si="361"/>
        <v>0</v>
      </c>
      <c r="AR278" s="173">
        <f t="shared" si="362"/>
        <v>211598</v>
      </c>
      <c r="AS278" s="186" t="s">
        <v>1368</v>
      </c>
      <c r="AT278" s="300">
        <f t="shared" si="375"/>
        <v>1.5892500000000001</v>
      </c>
      <c r="AU278" s="300">
        <f t="shared" si="375"/>
        <v>1.5892500000000001</v>
      </c>
      <c r="AV278" s="300">
        <f t="shared" si="375"/>
        <v>1.5892500000000001</v>
      </c>
      <c r="AW278" s="300">
        <f t="shared" si="375"/>
        <v>1.5892500000000001</v>
      </c>
      <c r="AX278" s="300">
        <f t="shared" si="375"/>
        <v>1.5892500000000001</v>
      </c>
      <c r="AY278" s="301">
        <f t="shared" ref="AY278:BC287" si="388">IF(ISERROR(MATCH(CONCATENATE($J278,"_",AY$1),COT_PRE_CODIGO_ALIMENTOS,0)),IF(ISERROR(MATCH(CONCATENATE($J278,"_",AY$2),COT_PRE_CODIGO_ALIMENTOS,0)),IF(ISERROR(MATCH(CONCATENATE($J278,"_",AY$3),COT_PRE_CODIGO_ALIMENTOS,0)),IF(ISERROR(MATCH(CONCATENATE($J278,"_",AY$4),COT_PRE_CODIGO_ALIMENTOS,0)),IF(ISERROR(MATCH(CONCATENATE($J278,"_",AY$5),COT_PRE_CODIGO_ALIMENTOS,0)),IF(ISERROR(MATCH(CONCATENATE($J278,"_",AY$6),COT_PRE_CODIGO_ALIMENTOS,0)),IF(ISERROR(MATCH(CONCATENATE($J278,"_",AY$7),COT_PRE_CODIGO_ALIMENTOS,0)),IF(ISERROR(VLOOKUP($J278,COT_PRE_ALIMENTOS,AY$8,FALSE)),"DATO NO DISPONIBLE",VLOOKUP($J278,COT_PRE_ALIMENTOS,AY$8,FALSE)),VLOOKUP(CONCATENATE($J278,"_",AY$7),COT_PRE_ALIMENTOS,AY$8,FALSE)),VLOOKUP(CONCATENATE($J278,"_",AY$6),COT_PRE_ALIMENTOS,AY$8,FALSE)),VLOOKUP(CONCATENATE($J278,"_",AY$5),COT_PRE_ALIMENTOS,AY$8,FALSE)),VLOOKUP(CONCATENATE($J278,"_",AY$4),COT_PRE_ALIMENTOS,AY$8,FALSE)),VLOOKUP(CONCATENATE($J278,"_",AY$3),COT_PRE_ALIMENTOS,AY$8,FALSE)),VLOOKUP(CONCATENATE($J278,"_",AY$2),COT_PRE_ALIMENTOS,AY$8,FALSE)),VLOOKUP(CONCATENATE($J278,"_",AY$1),COT_PRE_ALIMENTOS,AY$8,FALSE))</f>
        <v>1.5892500000000001</v>
      </c>
      <c r="AZ278" s="301">
        <f t="shared" si="388"/>
        <v>1.5892500000000001</v>
      </c>
      <c r="BA278" s="301">
        <f t="shared" si="388"/>
        <v>1.5892500000000001</v>
      </c>
      <c r="BB278" s="301">
        <f t="shared" si="388"/>
        <v>1.5892500000000001</v>
      </c>
      <c r="BC278" s="301">
        <f t="shared" si="388"/>
        <v>1.5892500000000001</v>
      </c>
      <c r="BD278" s="187">
        <f>ROUND(IF(OR(M278=0,AT278="DATO NO DISPONIBLE"),"",AT278*M278*($BD$7+1)),0)</f>
        <v>170</v>
      </c>
      <c r="BE278" s="187">
        <f t="shared" si="321"/>
        <v>170</v>
      </c>
      <c r="BF278" s="187">
        <f t="shared" si="322"/>
        <v>170</v>
      </c>
      <c r="BG278" s="187"/>
      <c r="BH278" s="187"/>
      <c r="BI278" s="187">
        <f>ROUND(IF(OR(M278=0,AY278="DATO NO DISPONIBLE"),0,AY278*M278*($BD$7+1)),0)</f>
        <v>170</v>
      </c>
      <c r="BJ278" s="187">
        <f t="shared" si="376"/>
        <v>170</v>
      </c>
      <c r="BK278" s="187">
        <f t="shared" si="377"/>
        <v>170</v>
      </c>
      <c r="BL278" s="187"/>
      <c r="BM278" s="187"/>
      <c r="BN278" s="188">
        <f>BD278*AM278</f>
        <v>9538020</v>
      </c>
      <c r="BO278" s="188">
        <f t="shared" si="378"/>
        <v>10634180</v>
      </c>
      <c r="BP278" s="188">
        <f t="shared" si="379"/>
        <v>15799460</v>
      </c>
      <c r="BQ278" s="188">
        <f t="shared" si="380"/>
        <v>0</v>
      </c>
      <c r="BR278" s="188">
        <f t="shared" si="381"/>
        <v>0</v>
      </c>
      <c r="BS278" s="188">
        <f t="shared" si="364"/>
        <v>35971660</v>
      </c>
      <c r="BT278" s="188">
        <f t="shared" si="365"/>
        <v>9538020</v>
      </c>
      <c r="BU278" s="188">
        <f t="shared" si="366"/>
        <v>10634180</v>
      </c>
      <c r="BV278" s="188">
        <f t="shared" si="367"/>
        <v>15799460</v>
      </c>
      <c r="BW278" s="188">
        <f t="shared" si="368"/>
        <v>0</v>
      </c>
      <c r="BX278" s="188">
        <f t="shared" si="369"/>
        <v>0</v>
      </c>
      <c r="BY278" s="188">
        <f t="shared" si="370"/>
        <v>35971660</v>
      </c>
      <c r="BZ278" s="305">
        <f>IF(COT_PRECALCULOS!$D$24="Precios Iva Incluído",BI278,BD278)</f>
        <v>170</v>
      </c>
      <c r="CA278" s="305">
        <f>IF(COT_PRECALCULOS!$D$24="Precios Iva Incluído",BJ278,BE278)</f>
        <v>170</v>
      </c>
      <c r="CB278" s="305">
        <f>IF(COT_PRECALCULOS!$D$24="Precios Iva Incluído",BK278,BF278)</f>
        <v>170</v>
      </c>
      <c r="CC278" s="305">
        <f>IF(COT_PRECALCULOS!$D$24="Precios Iva Incluído",BL278,BG278)</f>
        <v>0</v>
      </c>
      <c r="CD278" s="305">
        <f>IF(COT_PRECALCULOS!$D$24="Precios Iva Incluído",BM278,BH278)</f>
        <v>0</v>
      </c>
      <c r="CE278" s="305">
        <f>IF(COT_PRECALCULOS!$D$24="Precios Iva Incluído",BT278,BN278)</f>
        <v>9538020</v>
      </c>
      <c r="CF278" s="305">
        <f>IF(COT_PRECALCULOS!$D$24="Precios Iva Incluído",BU278,BO278)</f>
        <v>10634180</v>
      </c>
      <c r="CG278" s="305">
        <f>IF(COT_PRECALCULOS!$D$24="Precios Iva Incluído",BV278,BP278)</f>
        <v>15799460</v>
      </c>
      <c r="CH278" s="305">
        <f>IF(COT_PRECALCULOS!$D$24="Precios Iva Incluído",BW278,BQ278)</f>
        <v>0</v>
      </c>
      <c r="CI278" s="305">
        <f>IF(COT_PRECALCULOS!$D$24="Precios Iva Incluído",BX278,BR278)</f>
        <v>0</v>
      </c>
    </row>
    <row r="279" spans="1:87">
      <c r="A279" s="182" t="s">
        <v>102</v>
      </c>
      <c r="B279" s="182" t="s">
        <v>126</v>
      </c>
      <c r="C279" s="189" t="str">
        <f t="shared" si="358"/>
        <v>F_SE12</v>
      </c>
      <c r="D279" s="189" t="str">
        <f t="shared" si="359"/>
        <v>46_S_</v>
      </c>
      <c r="E279" s="211" t="s">
        <v>1</v>
      </c>
      <c r="F279" s="211" t="s">
        <v>1</v>
      </c>
      <c r="G279" s="189" t="s">
        <v>41</v>
      </c>
      <c r="H279" s="211"/>
      <c r="I279" s="211" t="s">
        <v>63</v>
      </c>
      <c r="J279" s="211">
        <v>46</v>
      </c>
      <c r="K279" s="211" t="s">
        <v>64</v>
      </c>
      <c r="L279" s="189" t="s">
        <v>9</v>
      </c>
      <c r="M279" s="211">
        <v>100</v>
      </c>
      <c r="N279" s="211">
        <v>100</v>
      </c>
      <c r="O279" s="211">
        <v>100</v>
      </c>
      <c r="P279" s="211"/>
      <c r="Q279" s="211"/>
      <c r="R279" s="211"/>
      <c r="S279" s="183">
        <f t="shared" si="382"/>
        <v>1</v>
      </c>
      <c r="T279" s="385">
        <f>$S279</f>
        <v>1</v>
      </c>
      <c r="U279" s="385">
        <f t="shared" si="383"/>
        <v>1</v>
      </c>
      <c r="V279" s="385">
        <f t="shared" si="383"/>
        <v>1</v>
      </c>
      <c r="W279" s="387"/>
      <c r="X279" s="387"/>
      <c r="Y279" s="184">
        <f t="shared" si="371"/>
        <v>28053</v>
      </c>
      <c r="Z279" s="184">
        <f t="shared" si="384"/>
        <v>31277</v>
      </c>
      <c r="AA279" s="184">
        <f t="shared" si="385"/>
        <v>46469</v>
      </c>
      <c r="AB279" s="184">
        <f t="shared" si="345"/>
        <v>0</v>
      </c>
      <c r="AC279" s="184">
        <f t="shared" si="346"/>
        <v>0</v>
      </c>
      <c r="AD279" s="184">
        <f t="shared" si="372"/>
        <v>105799</v>
      </c>
      <c r="AE279" s="183">
        <f t="shared" ref="AE279:AE288" si="389">COUNTIF(CAL_SEGUNDA_ENTREGA_FDS_FRUTA,CONCATENATE(G279,"_",J279))</f>
        <v>0</v>
      </c>
      <c r="AF279" s="385">
        <f>$AE279</f>
        <v>0</v>
      </c>
      <c r="AG279" s="385">
        <f t="shared" si="386"/>
        <v>0</v>
      </c>
      <c r="AH279" s="385">
        <f t="shared" si="386"/>
        <v>0</v>
      </c>
      <c r="AI279" s="185">
        <f t="shared" si="373"/>
        <v>74</v>
      </c>
      <c r="AJ279" s="185">
        <f t="shared" ref="AJ279:AJ288" si="390">IF(OR(B279="NA",N279=0),0,VLOOKUP(B279,FRE_CANTIDADES_DIARIAS_SUMINISTROS,5,FALSE))</f>
        <v>433</v>
      </c>
      <c r="AK279" s="185">
        <f t="shared" ref="AK279:AK288" si="391">IF(OR(B279="NA",O279=0),0,VLOOKUP(B279,FRE_CANTIDADES_DIARIAS_SUMINISTROS,6,FALSE))</f>
        <v>683</v>
      </c>
      <c r="AL279" s="185">
        <f t="shared" si="374"/>
        <v>1190</v>
      </c>
      <c r="AM279" s="173">
        <f t="shared" si="387"/>
        <v>28053</v>
      </c>
      <c r="AN279" s="173">
        <f t="shared" si="318"/>
        <v>31277</v>
      </c>
      <c r="AO279" s="173">
        <f t="shared" si="319"/>
        <v>46469</v>
      </c>
      <c r="AP279" s="173">
        <f t="shared" si="360"/>
        <v>0</v>
      </c>
      <c r="AQ279" s="173">
        <f t="shared" si="361"/>
        <v>0</v>
      </c>
      <c r="AR279" s="173">
        <f t="shared" si="362"/>
        <v>105799</v>
      </c>
      <c r="AS279" s="186" t="s">
        <v>1368</v>
      </c>
      <c r="AT279" s="300">
        <f t="shared" si="375"/>
        <v>3.7214999999999998</v>
      </c>
      <c r="AU279" s="300">
        <f t="shared" si="375"/>
        <v>3.7214999999999998</v>
      </c>
      <c r="AV279" s="300">
        <f t="shared" si="375"/>
        <v>3.7214999999999998</v>
      </c>
      <c r="AW279" s="300">
        <f t="shared" si="375"/>
        <v>3.7214999999999998</v>
      </c>
      <c r="AX279" s="300">
        <f t="shared" si="375"/>
        <v>3.7214999999999998</v>
      </c>
      <c r="AY279" s="301">
        <f t="shared" si="388"/>
        <v>3.7214999999999998</v>
      </c>
      <c r="AZ279" s="301">
        <f t="shared" si="388"/>
        <v>3.7214999999999998</v>
      </c>
      <c r="BA279" s="301">
        <f t="shared" si="388"/>
        <v>3.7214999999999998</v>
      </c>
      <c r="BB279" s="301">
        <f t="shared" si="388"/>
        <v>3.7214999999999998</v>
      </c>
      <c r="BC279" s="301">
        <f t="shared" si="388"/>
        <v>3.7214999999999998</v>
      </c>
      <c r="BD279" s="187">
        <f>ROUND(IF(OR(M279=0,AT279="DATO NO DISPONIBLE"),"",AT279*M279*($BD$7+1)),0)</f>
        <v>398</v>
      </c>
      <c r="BE279" s="187">
        <f t="shared" si="321"/>
        <v>398</v>
      </c>
      <c r="BF279" s="187">
        <f t="shared" si="322"/>
        <v>398</v>
      </c>
      <c r="BG279" s="187"/>
      <c r="BH279" s="187"/>
      <c r="BI279" s="187">
        <f>ROUND(IF(OR(M279=0,AY279="DATO NO DISPONIBLE"),0,AY279*M279*($BD$7+1)),0)</f>
        <v>398</v>
      </c>
      <c r="BJ279" s="187">
        <f t="shared" si="376"/>
        <v>398</v>
      </c>
      <c r="BK279" s="187">
        <f t="shared" si="377"/>
        <v>398</v>
      </c>
      <c r="BL279" s="187"/>
      <c r="BM279" s="187"/>
      <c r="BN279" s="188">
        <f>BD279*AM279</f>
        <v>11165094</v>
      </c>
      <c r="BO279" s="188">
        <f t="shared" si="378"/>
        <v>12448246</v>
      </c>
      <c r="BP279" s="188">
        <f t="shared" si="379"/>
        <v>18494662</v>
      </c>
      <c r="BQ279" s="188">
        <f t="shared" si="380"/>
        <v>0</v>
      </c>
      <c r="BR279" s="188">
        <f t="shared" si="381"/>
        <v>0</v>
      </c>
      <c r="BS279" s="188">
        <f t="shared" si="364"/>
        <v>42108002</v>
      </c>
      <c r="BT279" s="188">
        <f t="shared" si="365"/>
        <v>11165094</v>
      </c>
      <c r="BU279" s="188">
        <f t="shared" si="366"/>
        <v>12448246</v>
      </c>
      <c r="BV279" s="188">
        <f t="shared" si="367"/>
        <v>18494662</v>
      </c>
      <c r="BW279" s="188">
        <f t="shared" si="368"/>
        <v>0</v>
      </c>
      <c r="BX279" s="188">
        <f t="shared" si="369"/>
        <v>0</v>
      </c>
      <c r="BY279" s="188">
        <f t="shared" si="370"/>
        <v>42108002</v>
      </c>
      <c r="BZ279" s="305">
        <f>IF(COT_PRECALCULOS!$D$24="Precios Iva Incluído",BI279,BD279)</f>
        <v>398</v>
      </c>
      <c r="CA279" s="305">
        <f>IF(COT_PRECALCULOS!$D$24="Precios Iva Incluído",BJ279,BE279)</f>
        <v>398</v>
      </c>
      <c r="CB279" s="305">
        <f>IF(COT_PRECALCULOS!$D$24="Precios Iva Incluído",BK279,BF279)</f>
        <v>398</v>
      </c>
      <c r="CC279" s="305">
        <f>IF(COT_PRECALCULOS!$D$24="Precios Iva Incluído",BL279,BG279)</f>
        <v>0</v>
      </c>
      <c r="CD279" s="305">
        <f>IF(COT_PRECALCULOS!$D$24="Precios Iva Incluído",BM279,BH279)</f>
        <v>0</v>
      </c>
      <c r="CE279" s="305">
        <f>IF(COT_PRECALCULOS!$D$24="Precios Iva Incluído",BT279,BN279)</f>
        <v>11165094</v>
      </c>
      <c r="CF279" s="305">
        <f>IF(COT_PRECALCULOS!$D$24="Precios Iva Incluído",BU279,BO279)</f>
        <v>12448246</v>
      </c>
      <c r="CG279" s="305">
        <f>IF(COT_PRECALCULOS!$D$24="Precios Iva Incluído",BV279,BP279)</f>
        <v>18494662</v>
      </c>
      <c r="CH279" s="305">
        <f>IF(COT_PRECALCULOS!$D$24="Precios Iva Incluído",BW279,BQ279)</f>
        <v>0</v>
      </c>
      <c r="CI279" s="305">
        <f>IF(COT_PRECALCULOS!$D$24="Precios Iva Incluído",BX279,BR279)</f>
        <v>0</v>
      </c>
    </row>
    <row r="280" spans="1:87">
      <c r="A280" s="182" t="s">
        <v>102</v>
      </c>
      <c r="B280" s="182" t="s">
        <v>126</v>
      </c>
      <c r="C280" s="189" t="str">
        <f t="shared" si="358"/>
        <v>F_SE12</v>
      </c>
      <c r="D280" s="189" t="str">
        <f t="shared" si="359"/>
        <v>58_S_</v>
      </c>
      <c r="E280" s="211" t="s">
        <v>1</v>
      </c>
      <c r="F280" s="211" t="s">
        <v>1</v>
      </c>
      <c r="G280" s="189" t="s">
        <v>41</v>
      </c>
      <c r="H280" s="211"/>
      <c r="I280" s="211" t="s">
        <v>65</v>
      </c>
      <c r="J280" s="211">
        <v>58</v>
      </c>
      <c r="K280" s="211" t="s">
        <v>67</v>
      </c>
      <c r="L280" s="189" t="s">
        <v>9</v>
      </c>
      <c r="M280" s="211">
        <v>100</v>
      </c>
      <c r="N280" s="211">
        <v>100</v>
      </c>
      <c r="O280" s="211">
        <v>100</v>
      </c>
      <c r="P280" s="211"/>
      <c r="Q280" s="211"/>
      <c r="R280" s="211"/>
      <c r="S280" s="183">
        <f t="shared" si="382"/>
        <v>3</v>
      </c>
      <c r="T280" s="385">
        <f>$S280</f>
        <v>3</v>
      </c>
      <c r="U280" s="385">
        <f t="shared" si="383"/>
        <v>3</v>
      </c>
      <c r="V280" s="385">
        <f t="shared" si="383"/>
        <v>3</v>
      </c>
      <c r="W280" s="387"/>
      <c r="X280" s="387"/>
      <c r="Y280" s="184">
        <f t="shared" si="371"/>
        <v>28053</v>
      </c>
      <c r="Z280" s="184">
        <f t="shared" si="384"/>
        <v>31277</v>
      </c>
      <c r="AA280" s="184">
        <f t="shared" si="385"/>
        <v>46469</v>
      </c>
      <c r="AB280" s="184">
        <f t="shared" ref="AB280:AB311" si="392">IF(P280&lt;&gt;0,VLOOKUP(A280,FRE_CANTIDADES_DIARIAS_SUMINISTROS,7,FALSE),0)</f>
        <v>0</v>
      </c>
      <c r="AC280" s="184">
        <f t="shared" ref="AC280:AC311" si="393">IF(Q280&lt;&gt;0,VLOOKUP(A280,FRE_CANTIDADES_DIARIAS_SUMINISTROS,8,FALSE),0)</f>
        <v>0</v>
      </c>
      <c r="AD280" s="184">
        <f t="shared" si="372"/>
        <v>105799</v>
      </c>
      <c r="AE280" s="183">
        <f t="shared" si="389"/>
        <v>0</v>
      </c>
      <c r="AF280" s="385">
        <f>$AE280</f>
        <v>0</v>
      </c>
      <c r="AG280" s="385">
        <f t="shared" si="386"/>
        <v>0</v>
      </c>
      <c r="AH280" s="385">
        <f t="shared" si="386"/>
        <v>0</v>
      </c>
      <c r="AI280" s="185">
        <f t="shared" si="373"/>
        <v>74</v>
      </c>
      <c r="AJ280" s="185">
        <f t="shared" si="390"/>
        <v>433</v>
      </c>
      <c r="AK280" s="185">
        <f t="shared" si="391"/>
        <v>683</v>
      </c>
      <c r="AL280" s="185">
        <f t="shared" si="374"/>
        <v>1190</v>
      </c>
      <c r="AM280" s="173">
        <f t="shared" si="387"/>
        <v>84159</v>
      </c>
      <c r="AN280" s="173">
        <f t="shared" si="318"/>
        <v>93831</v>
      </c>
      <c r="AO280" s="173">
        <f t="shared" si="319"/>
        <v>139407</v>
      </c>
      <c r="AP280" s="173">
        <f t="shared" si="360"/>
        <v>0</v>
      </c>
      <c r="AQ280" s="173">
        <f t="shared" si="361"/>
        <v>0</v>
      </c>
      <c r="AR280" s="173">
        <f t="shared" si="362"/>
        <v>317397</v>
      </c>
      <c r="AS280" s="186" t="s">
        <v>1368</v>
      </c>
      <c r="AT280" s="300">
        <f t="shared" si="375"/>
        <v>1.4384999999999999</v>
      </c>
      <c r="AU280" s="300">
        <f t="shared" si="375"/>
        <v>1.4384999999999999</v>
      </c>
      <c r="AV280" s="300">
        <f t="shared" si="375"/>
        <v>1.4384999999999999</v>
      </c>
      <c r="AW280" s="300">
        <f t="shared" si="375"/>
        <v>1.4384999999999999</v>
      </c>
      <c r="AX280" s="300">
        <f t="shared" si="375"/>
        <v>1.4384999999999999</v>
      </c>
      <c r="AY280" s="301">
        <f t="shared" si="388"/>
        <v>1.4384999999999999</v>
      </c>
      <c r="AZ280" s="301">
        <f t="shared" si="388"/>
        <v>1.4384999999999999</v>
      </c>
      <c r="BA280" s="301">
        <f t="shared" si="388"/>
        <v>1.4384999999999999</v>
      </c>
      <c r="BB280" s="301">
        <f t="shared" si="388"/>
        <v>1.4384999999999999</v>
      </c>
      <c r="BC280" s="301">
        <f t="shared" si="388"/>
        <v>1.4384999999999999</v>
      </c>
      <c r="BD280" s="187">
        <f>ROUND(IF(OR(M280=0,AT280="DATO NO DISPONIBLE"),"",AT280*M280*($BD$7+1)),0)</f>
        <v>154</v>
      </c>
      <c r="BE280" s="187">
        <f t="shared" si="321"/>
        <v>154</v>
      </c>
      <c r="BF280" s="187">
        <f t="shared" si="322"/>
        <v>154</v>
      </c>
      <c r="BG280" s="187"/>
      <c r="BH280" s="187"/>
      <c r="BI280" s="187">
        <f>ROUND(IF(OR(M280=0,AY280="DATO NO DISPONIBLE"),0,AY280*M280*($BD$7+1)),0)</f>
        <v>154</v>
      </c>
      <c r="BJ280" s="187">
        <f t="shared" si="376"/>
        <v>154</v>
      </c>
      <c r="BK280" s="187">
        <f t="shared" si="377"/>
        <v>154</v>
      </c>
      <c r="BL280" s="187"/>
      <c r="BM280" s="187"/>
      <c r="BN280" s="188">
        <f>BD280*AM280</f>
        <v>12960486</v>
      </c>
      <c r="BO280" s="188">
        <f t="shared" si="378"/>
        <v>14449974</v>
      </c>
      <c r="BP280" s="188">
        <f t="shared" si="379"/>
        <v>21468678</v>
      </c>
      <c r="BQ280" s="188">
        <f t="shared" si="380"/>
        <v>0</v>
      </c>
      <c r="BR280" s="188">
        <f t="shared" si="381"/>
        <v>0</v>
      </c>
      <c r="BS280" s="188">
        <f t="shared" si="364"/>
        <v>48879138</v>
      </c>
      <c r="BT280" s="188">
        <f t="shared" si="365"/>
        <v>12960486</v>
      </c>
      <c r="BU280" s="188">
        <f t="shared" si="366"/>
        <v>14449974</v>
      </c>
      <c r="BV280" s="188">
        <f t="shared" si="367"/>
        <v>21468678</v>
      </c>
      <c r="BW280" s="188">
        <f t="shared" si="368"/>
        <v>0</v>
      </c>
      <c r="BX280" s="188">
        <f t="shared" si="369"/>
        <v>0</v>
      </c>
      <c r="BY280" s="188">
        <f t="shared" si="370"/>
        <v>48879138</v>
      </c>
      <c r="BZ280" s="305">
        <f>IF(COT_PRECALCULOS!$D$24="Precios Iva Incluído",BI280,BD280)</f>
        <v>154</v>
      </c>
      <c r="CA280" s="305">
        <f>IF(COT_PRECALCULOS!$D$24="Precios Iva Incluído",BJ280,BE280)</f>
        <v>154</v>
      </c>
      <c r="CB280" s="305">
        <f>IF(COT_PRECALCULOS!$D$24="Precios Iva Incluído",BK280,BF280)</f>
        <v>154</v>
      </c>
      <c r="CC280" s="305">
        <f>IF(COT_PRECALCULOS!$D$24="Precios Iva Incluído",BL280,BG280)</f>
        <v>0</v>
      </c>
      <c r="CD280" s="305">
        <f>IF(COT_PRECALCULOS!$D$24="Precios Iva Incluído",BM280,BH280)</f>
        <v>0</v>
      </c>
      <c r="CE280" s="305">
        <f>IF(COT_PRECALCULOS!$D$24="Precios Iva Incluído",BT280,BN280)</f>
        <v>12960486</v>
      </c>
      <c r="CF280" s="305">
        <f>IF(COT_PRECALCULOS!$D$24="Precios Iva Incluído",BU280,BO280)</f>
        <v>14449974</v>
      </c>
      <c r="CG280" s="305">
        <f>IF(COT_PRECALCULOS!$D$24="Precios Iva Incluído",BV280,BP280)</f>
        <v>21468678</v>
      </c>
      <c r="CH280" s="305">
        <f>IF(COT_PRECALCULOS!$D$24="Precios Iva Incluído",BW280,BQ280)</f>
        <v>0</v>
      </c>
      <c r="CI280" s="305">
        <f>IF(COT_PRECALCULOS!$D$24="Precios Iva Incluído",BX280,BR280)</f>
        <v>0</v>
      </c>
    </row>
    <row r="281" spans="1:87">
      <c r="A281" s="182" t="s">
        <v>102</v>
      </c>
      <c r="B281" s="182" t="s">
        <v>126</v>
      </c>
      <c r="C281" s="189" t="str">
        <f t="shared" si="358"/>
        <v>F_SE12</v>
      </c>
      <c r="D281" s="189" t="str">
        <f t="shared" si="359"/>
        <v>59_S_</v>
      </c>
      <c r="E281" s="211" t="s">
        <v>1</v>
      </c>
      <c r="F281" s="211" t="s">
        <v>1</v>
      </c>
      <c r="G281" s="189" t="s">
        <v>41</v>
      </c>
      <c r="H281" s="211"/>
      <c r="I281" s="211" t="s">
        <v>66</v>
      </c>
      <c r="J281" s="211">
        <v>59</v>
      </c>
      <c r="K281" s="211" t="s">
        <v>99</v>
      </c>
      <c r="L281" s="189" t="s">
        <v>9</v>
      </c>
      <c r="M281" s="386">
        <v>0</v>
      </c>
      <c r="N281" s="211">
        <v>100</v>
      </c>
      <c r="O281" s="211">
        <v>100</v>
      </c>
      <c r="P281" s="211"/>
      <c r="Q281" s="211"/>
      <c r="R281" s="211" t="s">
        <v>73</v>
      </c>
      <c r="S281" s="183">
        <f t="shared" si="382"/>
        <v>3</v>
      </c>
      <c r="T281" s="386">
        <v>0</v>
      </c>
      <c r="U281" s="385">
        <f t="shared" si="383"/>
        <v>3</v>
      </c>
      <c r="V281" s="385">
        <f t="shared" si="383"/>
        <v>3</v>
      </c>
      <c r="W281" s="387"/>
      <c r="X281" s="387"/>
      <c r="Y281" s="184">
        <f t="shared" si="371"/>
        <v>0</v>
      </c>
      <c r="Z281" s="184">
        <f t="shared" si="384"/>
        <v>31277</v>
      </c>
      <c r="AA281" s="184">
        <f t="shared" si="385"/>
        <v>46469</v>
      </c>
      <c r="AB281" s="184">
        <f t="shared" si="392"/>
        <v>0</v>
      </c>
      <c r="AC281" s="184">
        <f t="shared" si="393"/>
        <v>0</v>
      </c>
      <c r="AD281" s="184">
        <f t="shared" si="372"/>
        <v>77746</v>
      </c>
      <c r="AE281" s="183">
        <f t="shared" si="389"/>
        <v>0</v>
      </c>
      <c r="AF281" s="386">
        <v>0</v>
      </c>
      <c r="AG281" s="385">
        <f t="shared" si="386"/>
        <v>0</v>
      </c>
      <c r="AH281" s="385">
        <f t="shared" si="386"/>
        <v>0</v>
      </c>
      <c r="AI281" s="185">
        <f t="shared" si="373"/>
        <v>0</v>
      </c>
      <c r="AJ281" s="185">
        <f t="shared" si="390"/>
        <v>433</v>
      </c>
      <c r="AK281" s="185">
        <f t="shared" si="391"/>
        <v>683</v>
      </c>
      <c r="AL281" s="185">
        <f t="shared" si="374"/>
        <v>1116</v>
      </c>
      <c r="AM281" s="173">
        <f t="shared" si="387"/>
        <v>0</v>
      </c>
      <c r="AN281" s="173">
        <f t="shared" si="318"/>
        <v>93831</v>
      </c>
      <c r="AO281" s="173">
        <f t="shared" si="319"/>
        <v>139407</v>
      </c>
      <c r="AP281" s="173">
        <f t="shared" si="360"/>
        <v>0</v>
      </c>
      <c r="AQ281" s="173">
        <f t="shared" si="361"/>
        <v>0</v>
      </c>
      <c r="AR281" s="173">
        <f t="shared" si="362"/>
        <v>233238</v>
      </c>
      <c r="AS281" s="186" t="s">
        <v>1368</v>
      </c>
      <c r="AT281" s="300">
        <f t="shared" ref="AT281:AX290" si="394">IF(ISERROR(IF(ISERROR(MATCH(CONCATENATE($J281,"_",AT$1),COT_PRE_CODIGO_ALIMENTOS,0)),IF(ISERROR(MATCH(CONCATENATE($J281,"_",AT$2),COT_PRE_CODIGO_ALIMENTOS,0)),IF(ISERROR(MATCH(CONCATENATE($J281,"_",AT$3),COT_PRE_CODIGO_ALIMENTOS,0)),IF(ISERROR(MATCH(CONCATENATE($J281,"_",AT$4),COT_PRE_CODIGO_ALIMENTOS,0)),IF(ISERROR(MATCH(CONCATENATE($J281,"_",AT$5),COT_PRE_CODIGO_ALIMENTOS,0)),IF(ISERROR(MATCH(CONCATENATE($J281,"_",AT$6),COT_PRE_CODIGO_ALIMENTOS,0)),IF(ISERROR(MATCH(CONCATENATE($J281,"_",AT$7),COT_PRE_CODIGO_ALIMENTOS,0)),IF(ISERROR(VLOOKUP($J281,COT_PRE_ALIMENTOS,AT$8,FALSE)),"DATO NO DISPONIBLE",VLOOKUP($J281,COT_PRE_ALIMENTOS,AT$8,FALSE)),VLOOKUP(CONCATENATE($J281,"_",AT$7),COT_PRE_ALIMENTOS,AT$8,FALSE)),VLOOKUP(CONCATENATE($J281,"_",AT$6),COT_PRE_ALIMENTOS,AT$8,FALSE)),VLOOKUP(CONCATENATE($J281,"_",AT$5),COT_PRE_ALIMENTOS,AT$8,FALSE)),VLOOKUP(CONCATENATE($J281,"_",AT$4),COT_PRE_ALIMENTOS,AT$8,FALSE)),VLOOKUP(CONCATENATE($J281,"_",AT$3),COT_PRE_ALIMENTOS,AT$8,FALSE)),VLOOKUP(CONCATENATE($J281,"_",AT$2),COT_PRE_ALIMENTOS,AT$8,FALSE)),VLOOKUP(CONCATENATE($J281,"_",AT$1),COT_PRE_ALIMENTOS,AT$8,FALSE))),"DATO NO DISPONIBLE",IF(ISERROR(MATCH(CONCATENATE($J281,"_",AT$1),COT_PRE_CODIGO_ALIMENTOS,0)),IF(ISERROR(MATCH(CONCATENATE($J281,"_",AT$2),COT_PRE_CODIGO_ALIMENTOS,0)),IF(ISERROR(MATCH(CONCATENATE($J281,"_",AT$3),COT_PRE_CODIGO_ALIMENTOS,0)),IF(ISERROR(MATCH(CONCATENATE($J281,"_",AT$4),COT_PRE_CODIGO_ALIMENTOS,0)),IF(ISERROR(MATCH(CONCATENATE($J281,"_",AT$5),COT_PRE_CODIGO_ALIMENTOS,0)),IF(ISERROR(MATCH(CONCATENATE($J281,"_",AT$6),COT_PRE_CODIGO_ALIMENTOS,0)),IF(ISERROR(MATCH(CONCATENATE($J281,"_",AT$7),COT_PRE_CODIGO_ALIMENTOS,0)),IF(ISERROR(VLOOKUP($J281,COT_PRE_ALIMENTOS,AT$8,FALSE)),"DATO NO DISPONIBLE",VLOOKUP($J281,COT_PRE_ALIMENTOS,AT$8,FALSE)),VLOOKUP(CONCATENATE($J281,"_",AT$7),COT_PRE_ALIMENTOS,AT$8,FALSE)),VLOOKUP(CONCATENATE($J281,"_",AT$6),COT_PRE_ALIMENTOS,AT$8,FALSE)),VLOOKUP(CONCATENATE($J281,"_",AT$5),COT_PRE_ALIMENTOS,AT$8,FALSE)),VLOOKUP(CONCATENATE($J281,"_",AT$4),COT_PRE_ALIMENTOS,AT$8,FALSE)),VLOOKUP(CONCATENATE($J281,"_",AT$3),COT_PRE_ALIMENTOS,AT$8,FALSE)),VLOOKUP(CONCATENATE($J281,"_",AT$2),COT_PRE_ALIMENTOS,AT$8,FALSE)),VLOOKUP(CONCATENATE($J281,"_",AT$1),COT_PRE_ALIMENTOS,AT$8,FALSE)))</f>
        <v>2.6785000000000001</v>
      </c>
      <c r="AU281" s="300">
        <f t="shared" si="394"/>
        <v>2.6785000000000001</v>
      </c>
      <c r="AV281" s="300">
        <f t="shared" si="394"/>
        <v>2.6785000000000001</v>
      </c>
      <c r="AW281" s="300">
        <f t="shared" si="394"/>
        <v>2.6785000000000001</v>
      </c>
      <c r="AX281" s="300">
        <f t="shared" si="394"/>
        <v>2.6785000000000001</v>
      </c>
      <c r="AY281" s="301">
        <f t="shared" si="388"/>
        <v>2.6785000000000001</v>
      </c>
      <c r="AZ281" s="301">
        <f t="shared" si="388"/>
        <v>2.6785000000000001</v>
      </c>
      <c r="BA281" s="301">
        <f t="shared" si="388"/>
        <v>2.6785000000000001</v>
      </c>
      <c r="BB281" s="301">
        <f t="shared" si="388"/>
        <v>2.6785000000000001</v>
      </c>
      <c r="BC281" s="301">
        <f t="shared" si="388"/>
        <v>2.6785000000000001</v>
      </c>
      <c r="BD281" s="187"/>
      <c r="BE281" s="187">
        <f t="shared" si="321"/>
        <v>286</v>
      </c>
      <c r="BF281" s="187">
        <f t="shared" si="322"/>
        <v>286</v>
      </c>
      <c r="BG281" s="187"/>
      <c r="BH281" s="187"/>
      <c r="BI281" s="187"/>
      <c r="BJ281" s="187">
        <f t="shared" si="376"/>
        <v>286</v>
      </c>
      <c r="BK281" s="187">
        <f t="shared" si="377"/>
        <v>286</v>
      </c>
      <c r="BL281" s="187"/>
      <c r="BM281" s="187"/>
      <c r="BN281" s="188"/>
      <c r="BO281" s="188">
        <f t="shared" si="378"/>
        <v>26835666</v>
      </c>
      <c r="BP281" s="188">
        <f t="shared" si="379"/>
        <v>39870402</v>
      </c>
      <c r="BQ281" s="188">
        <f t="shared" si="380"/>
        <v>0</v>
      </c>
      <c r="BR281" s="188">
        <f t="shared" si="381"/>
        <v>0</v>
      </c>
      <c r="BS281" s="188">
        <f t="shared" si="364"/>
        <v>66706068</v>
      </c>
      <c r="BT281" s="188">
        <f t="shared" si="365"/>
        <v>0</v>
      </c>
      <c r="BU281" s="188">
        <f t="shared" si="366"/>
        <v>26835666</v>
      </c>
      <c r="BV281" s="188">
        <f t="shared" si="367"/>
        <v>39870402</v>
      </c>
      <c r="BW281" s="188">
        <f t="shared" si="368"/>
        <v>0</v>
      </c>
      <c r="BX281" s="188">
        <f t="shared" si="369"/>
        <v>0</v>
      </c>
      <c r="BY281" s="188">
        <f t="shared" si="370"/>
        <v>66706068</v>
      </c>
      <c r="BZ281" s="305">
        <f>IF(COT_PRECALCULOS!$D$24="Precios Iva Incluído",BI281,BD281)</f>
        <v>0</v>
      </c>
      <c r="CA281" s="305">
        <f>IF(COT_PRECALCULOS!$D$24="Precios Iva Incluído",BJ281,BE281)</f>
        <v>286</v>
      </c>
      <c r="CB281" s="305">
        <f>IF(COT_PRECALCULOS!$D$24="Precios Iva Incluído",BK281,BF281)</f>
        <v>286</v>
      </c>
      <c r="CC281" s="305">
        <f>IF(COT_PRECALCULOS!$D$24="Precios Iva Incluído",BL281,BG281)</f>
        <v>0</v>
      </c>
      <c r="CD281" s="305">
        <f>IF(COT_PRECALCULOS!$D$24="Precios Iva Incluído",BM281,BH281)</f>
        <v>0</v>
      </c>
      <c r="CE281" s="305">
        <f>IF(COT_PRECALCULOS!$D$24="Precios Iva Incluído",BT281,BN281)</f>
        <v>0</v>
      </c>
      <c r="CF281" s="305">
        <f>IF(COT_PRECALCULOS!$D$24="Precios Iva Incluído",BU281,BO281)</f>
        <v>26835666</v>
      </c>
      <c r="CG281" s="305">
        <f>IF(COT_PRECALCULOS!$D$24="Precios Iva Incluído",BV281,BP281)</f>
        <v>39870402</v>
      </c>
      <c r="CH281" s="305">
        <f>IF(COT_PRECALCULOS!$D$24="Precios Iva Incluído",BW281,BQ281)</f>
        <v>0</v>
      </c>
      <c r="CI281" s="305">
        <f>IF(COT_PRECALCULOS!$D$24="Precios Iva Incluído",BX281,BR281)</f>
        <v>0</v>
      </c>
    </row>
    <row r="282" spans="1:87">
      <c r="A282" s="182" t="s">
        <v>102</v>
      </c>
      <c r="B282" s="182" t="s">
        <v>126</v>
      </c>
      <c r="C282" s="189" t="str">
        <f t="shared" si="358"/>
        <v>F_SE12</v>
      </c>
      <c r="D282" s="189" t="str">
        <f t="shared" si="359"/>
        <v>69_S_</v>
      </c>
      <c r="E282" s="211" t="s">
        <v>1</v>
      </c>
      <c r="F282" s="211" t="s">
        <v>1</v>
      </c>
      <c r="G282" s="189" t="s">
        <v>41</v>
      </c>
      <c r="H282" s="211"/>
      <c r="I282" s="211" t="s">
        <v>68</v>
      </c>
      <c r="J282" s="211">
        <v>69</v>
      </c>
      <c r="K282" s="211" t="s">
        <v>70</v>
      </c>
      <c r="L282" s="189" t="s">
        <v>9</v>
      </c>
      <c r="M282" s="211">
        <v>100</v>
      </c>
      <c r="N282" s="211">
        <v>100</v>
      </c>
      <c r="O282" s="211">
        <v>100</v>
      </c>
      <c r="P282" s="211"/>
      <c r="Q282" s="211"/>
      <c r="R282" s="211"/>
      <c r="S282" s="388">
        <v>3</v>
      </c>
      <c r="T282" s="388">
        <f>$S282</f>
        <v>3</v>
      </c>
      <c r="U282" s="388">
        <v>0</v>
      </c>
      <c r="V282" s="388">
        <v>0</v>
      </c>
      <c r="W282" s="387"/>
      <c r="X282" s="387"/>
      <c r="Y282" s="184">
        <f t="shared" si="371"/>
        <v>28053</v>
      </c>
      <c r="Z282" s="184">
        <v>0</v>
      </c>
      <c r="AA282" s="184">
        <v>0</v>
      </c>
      <c r="AB282" s="184">
        <f t="shared" si="392"/>
        <v>0</v>
      </c>
      <c r="AC282" s="184">
        <f t="shared" si="393"/>
        <v>0</v>
      </c>
      <c r="AD282" s="184">
        <f t="shared" si="372"/>
        <v>28053</v>
      </c>
      <c r="AE282" s="183">
        <f t="shared" si="389"/>
        <v>0</v>
      </c>
      <c r="AF282" s="385">
        <f>$AE282</f>
        <v>0</v>
      </c>
      <c r="AG282" s="385">
        <f t="shared" si="386"/>
        <v>0</v>
      </c>
      <c r="AH282" s="385">
        <f t="shared" si="386"/>
        <v>0</v>
      </c>
      <c r="AI282" s="185">
        <f t="shared" si="373"/>
        <v>74</v>
      </c>
      <c r="AJ282" s="185">
        <f t="shared" si="390"/>
        <v>433</v>
      </c>
      <c r="AK282" s="185">
        <f t="shared" si="391"/>
        <v>683</v>
      </c>
      <c r="AL282" s="185">
        <f t="shared" si="374"/>
        <v>1190</v>
      </c>
      <c r="AM282" s="173">
        <f t="shared" si="387"/>
        <v>84159</v>
      </c>
      <c r="AN282" s="173">
        <f t="shared" si="318"/>
        <v>0</v>
      </c>
      <c r="AO282" s="173">
        <f t="shared" si="319"/>
        <v>0</v>
      </c>
      <c r="AP282" s="173">
        <f t="shared" si="360"/>
        <v>0</v>
      </c>
      <c r="AQ282" s="173">
        <f t="shared" si="361"/>
        <v>0</v>
      </c>
      <c r="AR282" s="173">
        <f t="shared" si="362"/>
        <v>84159</v>
      </c>
      <c r="AS282" s="186" t="s">
        <v>1368</v>
      </c>
      <c r="AT282" s="300">
        <f t="shared" si="394"/>
        <v>2.8519999999999999</v>
      </c>
      <c r="AU282" s="300">
        <f t="shared" si="394"/>
        <v>2.8519999999999999</v>
      </c>
      <c r="AV282" s="300">
        <f t="shared" si="394"/>
        <v>2.8519999999999999</v>
      </c>
      <c r="AW282" s="300">
        <f t="shared" si="394"/>
        <v>2.8519999999999999</v>
      </c>
      <c r="AX282" s="300">
        <f t="shared" si="394"/>
        <v>2.8519999999999999</v>
      </c>
      <c r="AY282" s="301">
        <f t="shared" si="388"/>
        <v>2.8519999999999999</v>
      </c>
      <c r="AZ282" s="301">
        <f t="shared" si="388"/>
        <v>2.8519999999999999</v>
      </c>
      <c r="BA282" s="301">
        <f t="shared" si="388"/>
        <v>2.8519999999999999</v>
      </c>
      <c r="BB282" s="301">
        <f t="shared" si="388"/>
        <v>2.8519999999999999</v>
      </c>
      <c r="BC282" s="301">
        <f t="shared" si="388"/>
        <v>2.8519999999999999</v>
      </c>
      <c r="BD282" s="187">
        <f>ROUND(IF(OR(M282=0,AT282="DATO NO DISPONIBLE"),"",AT282*M282*($BD$7+1)),0)</f>
        <v>305</v>
      </c>
      <c r="BE282" s="187">
        <f t="shared" si="321"/>
        <v>305</v>
      </c>
      <c r="BF282" s="187">
        <f t="shared" si="322"/>
        <v>305</v>
      </c>
      <c r="BG282" s="187"/>
      <c r="BH282" s="187"/>
      <c r="BI282" s="187">
        <f>ROUND(IF(OR(M282=0,AY282="DATO NO DISPONIBLE"),0,AY282*M282*($BD$7+1)),0)</f>
        <v>305</v>
      </c>
      <c r="BJ282" s="187">
        <f t="shared" si="376"/>
        <v>305</v>
      </c>
      <c r="BK282" s="187">
        <f t="shared" si="377"/>
        <v>305</v>
      </c>
      <c r="BL282" s="187"/>
      <c r="BM282" s="187"/>
      <c r="BN282" s="188">
        <f>BD282*AM282</f>
        <v>25668495</v>
      </c>
      <c r="BO282" s="188">
        <f t="shared" si="378"/>
        <v>0</v>
      </c>
      <c r="BP282" s="188">
        <f t="shared" si="379"/>
        <v>0</v>
      </c>
      <c r="BQ282" s="188">
        <f t="shared" si="380"/>
        <v>0</v>
      </c>
      <c r="BR282" s="188">
        <f t="shared" si="381"/>
        <v>0</v>
      </c>
      <c r="BS282" s="188">
        <f t="shared" si="364"/>
        <v>25668495</v>
      </c>
      <c r="BT282" s="188">
        <f t="shared" si="365"/>
        <v>25668495</v>
      </c>
      <c r="BU282" s="188">
        <f t="shared" si="366"/>
        <v>0</v>
      </c>
      <c r="BV282" s="188">
        <f t="shared" si="367"/>
        <v>0</v>
      </c>
      <c r="BW282" s="188">
        <f t="shared" si="368"/>
        <v>0</v>
      </c>
      <c r="BX282" s="188">
        <f t="shared" si="369"/>
        <v>0</v>
      </c>
      <c r="BY282" s="188">
        <f t="shared" si="370"/>
        <v>25668495</v>
      </c>
      <c r="BZ282" s="305">
        <f>IF(COT_PRECALCULOS!$D$24="Precios Iva Incluído",BI282,BD282)</f>
        <v>305</v>
      </c>
      <c r="CA282" s="305">
        <f>IF(COT_PRECALCULOS!$D$24="Precios Iva Incluído",BJ282,BE282)</f>
        <v>305</v>
      </c>
      <c r="CB282" s="305">
        <f>IF(COT_PRECALCULOS!$D$24="Precios Iva Incluído",BK282,BF282)</f>
        <v>305</v>
      </c>
      <c r="CC282" s="305">
        <f>IF(COT_PRECALCULOS!$D$24="Precios Iva Incluído",BL282,BG282)</f>
        <v>0</v>
      </c>
      <c r="CD282" s="305">
        <f>IF(COT_PRECALCULOS!$D$24="Precios Iva Incluído",BM282,BH282)</f>
        <v>0</v>
      </c>
      <c r="CE282" s="305">
        <f>IF(COT_PRECALCULOS!$D$24="Precios Iva Incluído",BT282,BN282)</f>
        <v>25668495</v>
      </c>
      <c r="CF282" s="305">
        <f>IF(COT_PRECALCULOS!$D$24="Precios Iva Incluído",BU282,BO282)</f>
        <v>0</v>
      </c>
      <c r="CG282" s="305">
        <f>IF(COT_PRECALCULOS!$D$24="Precios Iva Incluído",BV282,BP282)</f>
        <v>0</v>
      </c>
      <c r="CH282" s="305">
        <f>IF(COT_PRECALCULOS!$D$24="Precios Iva Incluído",BW282,BQ282)</f>
        <v>0</v>
      </c>
      <c r="CI282" s="305">
        <f>IF(COT_PRECALCULOS!$D$24="Precios Iva Incluído",BX282,BR282)</f>
        <v>0</v>
      </c>
    </row>
    <row r="283" spans="1:87">
      <c r="A283" s="182" t="s">
        <v>102</v>
      </c>
      <c r="B283" s="182" t="s">
        <v>126</v>
      </c>
      <c r="C283" s="189" t="str">
        <f t="shared" si="358"/>
        <v>F_SE12</v>
      </c>
      <c r="D283" s="189" t="str">
        <f t="shared" si="359"/>
        <v>70_S_</v>
      </c>
      <c r="E283" s="211" t="s">
        <v>1</v>
      </c>
      <c r="F283" s="211" t="s">
        <v>1</v>
      </c>
      <c r="G283" s="189" t="s">
        <v>41</v>
      </c>
      <c r="H283" s="211"/>
      <c r="I283" s="211" t="s">
        <v>69</v>
      </c>
      <c r="J283" s="211">
        <v>70</v>
      </c>
      <c r="K283" s="211" t="s">
        <v>71</v>
      </c>
      <c r="L283" s="189" t="s">
        <v>9</v>
      </c>
      <c r="M283" s="386">
        <v>0</v>
      </c>
      <c r="N283" s="211">
        <v>100</v>
      </c>
      <c r="O283" s="211">
        <v>100</v>
      </c>
      <c r="P283" s="211"/>
      <c r="Q283" s="211"/>
      <c r="R283" s="211" t="s">
        <v>73</v>
      </c>
      <c r="S283" s="183">
        <f>COUNTIF(CAL_SEGUNDA_ENTREGA_LAV_FRUTA,CONCATENATE(G283,"_",J283))</f>
        <v>2</v>
      </c>
      <c r="T283" s="386">
        <v>0</v>
      </c>
      <c r="U283" s="385">
        <f t="shared" ref="U283:V285" si="395">$S283</f>
        <v>2</v>
      </c>
      <c r="V283" s="385">
        <f t="shared" si="395"/>
        <v>2</v>
      </c>
      <c r="W283" s="387"/>
      <c r="X283" s="387"/>
      <c r="Y283" s="184">
        <f t="shared" si="371"/>
        <v>0</v>
      </c>
      <c r="Z283" s="184">
        <f>IF(N283&lt;&gt;0,VLOOKUP(A283,FRE_CANTIDADES_DIARIAS_SUMINISTROS,5,FALSE),0)</f>
        <v>31277</v>
      </c>
      <c r="AA283" s="184">
        <f>IF(O283&lt;&gt;0,VLOOKUP(A283,FRE_CANTIDADES_DIARIAS_SUMINISTROS,6,FALSE),0)</f>
        <v>46469</v>
      </c>
      <c r="AB283" s="184">
        <f t="shared" si="392"/>
        <v>0</v>
      </c>
      <c r="AC283" s="184">
        <f t="shared" si="393"/>
        <v>0</v>
      </c>
      <c r="AD283" s="184">
        <f t="shared" si="372"/>
        <v>77746</v>
      </c>
      <c r="AE283" s="183">
        <f t="shared" si="389"/>
        <v>0</v>
      </c>
      <c r="AF283" s="386">
        <v>0</v>
      </c>
      <c r="AG283" s="385">
        <f t="shared" si="386"/>
        <v>0</v>
      </c>
      <c r="AH283" s="385">
        <f t="shared" si="386"/>
        <v>0</v>
      </c>
      <c r="AI283" s="185">
        <f t="shared" si="373"/>
        <v>0</v>
      </c>
      <c r="AJ283" s="185">
        <f t="shared" si="390"/>
        <v>433</v>
      </c>
      <c r="AK283" s="185">
        <f t="shared" si="391"/>
        <v>683</v>
      </c>
      <c r="AL283" s="185">
        <f t="shared" si="374"/>
        <v>1116</v>
      </c>
      <c r="AM283" s="173">
        <v>0</v>
      </c>
      <c r="AN283" s="173">
        <f t="shared" si="318"/>
        <v>62554</v>
      </c>
      <c r="AO283" s="173">
        <f t="shared" si="319"/>
        <v>92938</v>
      </c>
      <c r="AP283" s="173">
        <f t="shared" si="360"/>
        <v>0</v>
      </c>
      <c r="AQ283" s="173">
        <f t="shared" si="361"/>
        <v>0</v>
      </c>
      <c r="AR283" s="173">
        <f t="shared" si="362"/>
        <v>155492</v>
      </c>
      <c r="AS283" s="186" t="s">
        <v>1368</v>
      </c>
      <c r="AT283" s="300">
        <f t="shared" si="394"/>
        <v>4.0575000000000001</v>
      </c>
      <c r="AU283" s="300">
        <f t="shared" si="394"/>
        <v>4.0575000000000001</v>
      </c>
      <c r="AV283" s="300">
        <f t="shared" si="394"/>
        <v>4.0575000000000001</v>
      </c>
      <c r="AW283" s="300">
        <f t="shared" si="394"/>
        <v>4.0575000000000001</v>
      </c>
      <c r="AX283" s="300">
        <f t="shared" si="394"/>
        <v>4.0575000000000001</v>
      </c>
      <c r="AY283" s="301">
        <f t="shared" si="388"/>
        <v>4.0575000000000001</v>
      </c>
      <c r="AZ283" s="301">
        <f t="shared" si="388"/>
        <v>4.0575000000000001</v>
      </c>
      <c r="BA283" s="301">
        <f t="shared" si="388"/>
        <v>4.0575000000000001</v>
      </c>
      <c r="BB283" s="301">
        <f t="shared" si="388"/>
        <v>4.0575000000000001</v>
      </c>
      <c r="BC283" s="301">
        <f t="shared" si="388"/>
        <v>4.0575000000000001</v>
      </c>
      <c r="BD283" s="187"/>
      <c r="BE283" s="187">
        <f t="shared" si="321"/>
        <v>434</v>
      </c>
      <c r="BF283" s="187">
        <f t="shared" si="322"/>
        <v>434</v>
      </c>
      <c r="BG283" s="187"/>
      <c r="BH283" s="187"/>
      <c r="BI283" s="187"/>
      <c r="BJ283" s="187">
        <f t="shared" si="376"/>
        <v>434</v>
      </c>
      <c r="BK283" s="187">
        <f t="shared" si="377"/>
        <v>434</v>
      </c>
      <c r="BL283" s="187"/>
      <c r="BM283" s="187"/>
      <c r="BN283" s="188"/>
      <c r="BO283" s="188">
        <f t="shared" si="378"/>
        <v>27148436</v>
      </c>
      <c r="BP283" s="188">
        <f t="shared" si="379"/>
        <v>40335092</v>
      </c>
      <c r="BQ283" s="188">
        <f t="shared" si="380"/>
        <v>0</v>
      </c>
      <c r="BR283" s="188">
        <f t="shared" si="381"/>
        <v>0</v>
      </c>
      <c r="BS283" s="188">
        <f t="shared" si="364"/>
        <v>67483528</v>
      </c>
      <c r="BT283" s="188">
        <f t="shared" si="365"/>
        <v>0</v>
      </c>
      <c r="BU283" s="188">
        <f t="shared" si="366"/>
        <v>27148436</v>
      </c>
      <c r="BV283" s="188">
        <f t="shared" si="367"/>
        <v>40335092</v>
      </c>
      <c r="BW283" s="188">
        <f t="shared" si="368"/>
        <v>0</v>
      </c>
      <c r="BX283" s="188">
        <f t="shared" si="369"/>
        <v>0</v>
      </c>
      <c r="BY283" s="188">
        <f t="shared" si="370"/>
        <v>67483528</v>
      </c>
      <c r="BZ283" s="305">
        <f>IF(COT_PRECALCULOS!$D$24="Precios Iva Incluído",BI283,BD283)</f>
        <v>0</v>
      </c>
      <c r="CA283" s="305">
        <f>IF(COT_PRECALCULOS!$D$24="Precios Iva Incluído",BJ283,BE283)</f>
        <v>434</v>
      </c>
      <c r="CB283" s="305">
        <f>IF(COT_PRECALCULOS!$D$24="Precios Iva Incluído",BK283,BF283)</f>
        <v>434</v>
      </c>
      <c r="CC283" s="305">
        <f>IF(COT_PRECALCULOS!$D$24="Precios Iva Incluído",BL283,BG283)</f>
        <v>0</v>
      </c>
      <c r="CD283" s="305">
        <f>IF(COT_PRECALCULOS!$D$24="Precios Iva Incluído",BM283,BH283)</f>
        <v>0</v>
      </c>
      <c r="CE283" s="305">
        <f>IF(COT_PRECALCULOS!$D$24="Precios Iva Incluído",BT283,BN283)</f>
        <v>0</v>
      </c>
      <c r="CF283" s="305">
        <f>IF(COT_PRECALCULOS!$D$24="Precios Iva Incluído",BU283,BO283)</f>
        <v>27148436</v>
      </c>
      <c r="CG283" s="305">
        <f>IF(COT_PRECALCULOS!$D$24="Precios Iva Incluído",BV283,BP283)</f>
        <v>40335092</v>
      </c>
      <c r="CH283" s="305">
        <f>IF(COT_PRECALCULOS!$D$24="Precios Iva Incluído",BW283,BQ283)</f>
        <v>0</v>
      </c>
      <c r="CI283" s="305">
        <f>IF(COT_PRECALCULOS!$D$24="Precios Iva Incluído",BX283,BR283)</f>
        <v>0</v>
      </c>
    </row>
    <row r="284" spans="1:87" s="83" customFormat="1">
      <c r="A284" s="182" t="s">
        <v>102</v>
      </c>
      <c r="B284" s="182" t="s">
        <v>126</v>
      </c>
      <c r="C284" s="189" t="str">
        <f t="shared" si="358"/>
        <v>F_SE12</v>
      </c>
      <c r="D284" s="189" t="str">
        <f t="shared" si="359"/>
        <v>36_S_</v>
      </c>
      <c r="E284" s="211" t="s">
        <v>1</v>
      </c>
      <c r="F284" s="211" t="s">
        <v>1</v>
      </c>
      <c r="G284" s="189" t="s">
        <v>41</v>
      </c>
      <c r="H284" s="211"/>
      <c r="I284" s="211" t="s">
        <v>1340</v>
      </c>
      <c r="J284" s="211">
        <v>36</v>
      </c>
      <c r="K284" s="211" t="s">
        <v>1340</v>
      </c>
      <c r="L284" s="189" t="s">
        <v>9</v>
      </c>
      <c r="M284" s="211">
        <v>20</v>
      </c>
      <c r="N284" s="211">
        <v>40</v>
      </c>
      <c r="O284" s="211">
        <v>40</v>
      </c>
      <c r="P284" s="211"/>
      <c r="Q284" s="211"/>
      <c r="R284" s="211"/>
      <c r="S284" s="183">
        <f>COUNTIF(CAL_SEGUNDA_ENTREGA_LAV_FRUTA,CONCATENATE(G284,"_",J284))</f>
        <v>0</v>
      </c>
      <c r="T284" s="385">
        <f>$S284</f>
        <v>0</v>
      </c>
      <c r="U284" s="385">
        <f t="shared" si="395"/>
        <v>0</v>
      </c>
      <c r="V284" s="385">
        <f t="shared" si="395"/>
        <v>0</v>
      </c>
      <c r="W284" s="387"/>
      <c r="X284" s="387"/>
      <c r="Y284" s="184">
        <f t="shared" si="371"/>
        <v>28053</v>
      </c>
      <c r="Z284" s="184">
        <f>IF(N284&lt;&gt;0,VLOOKUP(A284,FRE_CANTIDADES_DIARIAS_SUMINISTROS,5,FALSE),0)</f>
        <v>31277</v>
      </c>
      <c r="AA284" s="184">
        <f>IF(O284&lt;&gt;0,VLOOKUP(A284,FRE_CANTIDADES_DIARIAS_SUMINISTROS,6,FALSE),0)</f>
        <v>46469</v>
      </c>
      <c r="AB284" s="184">
        <f t="shared" si="392"/>
        <v>0</v>
      </c>
      <c r="AC284" s="184">
        <f t="shared" si="393"/>
        <v>0</v>
      </c>
      <c r="AD284" s="184">
        <f t="shared" si="372"/>
        <v>105799</v>
      </c>
      <c r="AE284" s="183">
        <f t="shared" si="389"/>
        <v>0</v>
      </c>
      <c r="AF284" s="385">
        <f>$AE284</f>
        <v>0</v>
      </c>
      <c r="AG284" s="385">
        <f t="shared" si="386"/>
        <v>0</v>
      </c>
      <c r="AH284" s="385">
        <f t="shared" si="386"/>
        <v>0</v>
      </c>
      <c r="AI284" s="185">
        <f t="shared" si="373"/>
        <v>74</v>
      </c>
      <c r="AJ284" s="185">
        <f t="shared" si="390"/>
        <v>433</v>
      </c>
      <c r="AK284" s="185">
        <f t="shared" si="391"/>
        <v>683</v>
      </c>
      <c r="AL284" s="185">
        <f t="shared" si="374"/>
        <v>1190</v>
      </c>
      <c r="AM284" s="173">
        <f>($S284*Y284)+($AE284*AI284)</f>
        <v>0</v>
      </c>
      <c r="AN284" s="173">
        <f t="shared" ref="AN284:AN323" si="396">($S284*Z284)+($AE284*AJ284)</f>
        <v>0</v>
      </c>
      <c r="AO284" s="173">
        <f t="shared" ref="AO284:AO323" si="397">($S284*AA284)+($AE284*AK284)</f>
        <v>0</v>
      </c>
      <c r="AP284" s="173">
        <f t="shared" si="360"/>
        <v>0</v>
      </c>
      <c r="AQ284" s="173">
        <f t="shared" si="361"/>
        <v>0</v>
      </c>
      <c r="AR284" s="173">
        <f t="shared" si="362"/>
        <v>0</v>
      </c>
      <c r="AS284" s="186" t="s">
        <v>1368</v>
      </c>
      <c r="AT284" s="300">
        <f t="shared" si="394"/>
        <v>5.9</v>
      </c>
      <c r="AU284" s="300">
        <f t="shared" si="394"/>
        <v>5.9</v>
      </c>
      <c r="AV284" s="300">
        <f t="shared" si="394"/>
        <v>5.9</v>
      </c>
      <c r="AW284" s="300">
        <f t="shared" si="394"/>
        <v>5.9</v>
      </c>
      <c r="AX284" s="300">
        <f t="shared" si="394"/>
        <v>5.9</v>
      </c>
      <c r="AY284" s="301">
        <f t="shared" si="388"/>
        <v>5.9</v>
      </c>
      <c r="AZ284" s="301">
        <f t="shared" si="388"/>
        <v>5.9</v>
      </c>
      <c r="BA284" s="301">
        <f t="shared" si="388"/>
        <v>5.9</v>
      </c>
      <c r="BB284" s="301">
        <f t="shared" si="388"/>
        <v>5.9</v>
      </c>
      <c r="BC284" s="301">
        <f t="shared" si="388"/>
        <v>5.9</v>
      </c>
      <c r="BD284" s="187">
        <f>ROUND(IF(OR(M284=0,AT284="DATO NO DISPONIBLE"),"",AT284*M284*($BD$7+1)),0)</f>
        <v>126</v>
      </c>
      <c r="BE284" s="187">
        <f t="shared" si="321"/>
        <v>252</v>
      </c>
      <c r="BF284" s="187">
        <f t="shared" si="322"/>
        <v>252</v>
      </c>
      <c r="BG284" s="187"/>
      <c r="BH284" s="187"/>
      <c r="BI284" s="187">
        <f>ROUND(IF(OR(M284=0,AY284="DATO NO DISPONIBLE"),0,AY284*M284*($BD$7+1)),0)</f>
        <v>126</v>
      </c>
      <c r="BJ284" s="187">
        <f t="shared" si="376"/>
        <v>252</v>
      </c>
      <c r="BK284" s="187">
        <f t="shared" si="377"/>
        <v>252</v>
      </c>
      <c r="BL284" s="187"/>
      <c r="BM284" s="187"/>
      <c r="BN284" s="188">
        <f>BD284*AM284</f>
        <v>0</v>
      </c>
      <c r="BO284" s="188">
        <f t="shared" si="378"/>
        <v>0</v>
      </c>
      <c r="BP284" s="188">
        <f t="shared" si="379"/>
        <v>0</v>
      </c>
      <c r="BQ284" s="188">
        <f t="shared" si="380"/>
        <v>0</v>
      </c>
      <c r="BR284" s="188">
        <f t="shared" si="381"/>
        <v>0</v>
      </c>
      <c r="BS284" s="188">
        <f t="shared" si="364"/>
        <v>0</v>
      </c>
      <c r="BT284" s="188">
        <f t="shared" si="365"/>
        <v>0</v>
      </c>
      <c r="BU284" s="188">
        <f t="shared" si="366"/>
        <v>0</v>
      </c>
      <c r="BV284" s="188">
        <f t="shared" si="367"/>
        <v>0</v>
      </c>
      <c r="BW284" s="188">
        <f t="shared" si="368"/>
        <v>0</v>
      </c>
      <c r="BX284" s="188">
        <f t="shared" si="369"/>
        <v>0</v>
      </c>
      <c r="BY284" s="188">
        <f t="shared" si="370"/>
        <v>0</v>
      </c>
      <c r="BZ284" s="305">
        <f>IF(COT_PRECALCULOS!$D$24="Precios Iva Incluído",BI284,BD284)</f>
        <v>126</v>
      </c>
      <c r="CA284" s="305">
        <f>IF(COT_PRECALCULOS!$D$24="Precios Iva Incluído",BJ284,BE284)</f>
        <v>252</v>
      </c>
      <c r="CB284" s="305">
        <f>IF(COT_PRECALCULOS!$D$24="Precios Iva Incluído",BK284,BF284)</f>
        <v>252</v>
      </c>
      <c r="CC284" s="305">
        <f>IF(COT_PRECALCULOS!$D$24="Precios Iva Incluído",BL284,BG284)</f>
        <v>0</v>
      </c>
      <c r="CD284" s="305">
        <f>IF(COT_PRECALCULOS!$D$24="Precios Iva Incluído",BM284,BH284)</f>
        <v>0</v>
      </c>
      <c r="CE284" s="305">
        <f>IF(COT_PRECALCULOS!$D$24="Precios Iva Incluído",BT284,BN284)</f>
        <v>0</v>
      </c>
      <c r="CF284" s="305">
        <f>IF(COT_PRECALCULOS!$D$24="Precios Iva Incluído",BU284,BO284)</f>
        <v>0</v>
      </c>
      <c r="CG284" s="305">
        <f>IF(COT_PRECALCULOS!$D$24="Precios Iva Incluído",BV284,BP284)</f>
        <v>0</v>
      </c>
      <c r="CH284" s="305">
        <f>IF(COT_PRECALCULOS!$D$24="Precios Iva Incluído",BW284,BQ284)</f>
        <v>0</v>
      </c>
      <c r="CI284" s="305">
        <f>IF(COT_PRECALCULOS!$D$24="Precios Iva Incluído",BX284,BR284)</f>
        <v>0</v>
      </c>
    </row>
    <row r="285" spans="1:87" s="83" customFormat="1">
      <c r="A285" s="182" t="s">
        <v>102</v>
      </c>
      <c r="B285" s="182" t="s">
        <v>126</v>
      </c>
      <c r="C285" s="189" t="str">
        <f t="shared" si="358"/>
        <v>F_SE13</v>
      </c>
      <c r="D285" s="189" t="str">
        <f t="shared" si="359"/>
        <v>8_S_</v>
      </c>
      <c r="E285" s="211" t="s">
        <v>1</v>
      </c>
      <c r="F285" s="211" t="s">
        <v>1</v>
      </c>
      <c r="G285" s="189" t="s">
        <v>42</v>
      </c>
      <c r="H285" s="211" t="s">
        <v>2</v>
      </c>
      <c r="I285" s="211" t="s">
        <v>54</v>
      </c>
      <c r="J285" s="211">
        <v>8</v>
      </c>
      <c r="K285" s="211" t="s">
        <v>55</v>
      </c>
      <c r="L285" s="189" t="s">
        <v>9</v>
      </c>
      <c r="M285" s="211">
        <v>100</v>
      </c>
      <c r="N285" s="211">
        <v>100</v>
      </c>
      <c r="O285" s="211">
        <v>100</v>
      </c>
      <c r="P285" s="211"/>
      <c r="Q285" s="211"/>
      <c r="R285" s="211"/>
      <c r="S285" s="183">
        <f>COUNTIF(CAL_SEGUNDA_ENTREGA_LAV_FRUTA,CONCATENATE(G285,"_",J285))</f>
        <v>0</v>
      </c>
      <c r="T285" s="385">
        <f>$S285</f>
        <v>0</v>
      </c>
      <c r="U285" s="385">
        <f t="shared" si="395"/>
        <v>0</v>
      </c>
      <c r="V285" s="385">
        <f t="shared" si="395"/>
        <v>0</v>
      </c>
      <c r="W285" s="387"/>
      <c r="X285" s="387"/>
      <c r="Y285" s="184">
        <f t="shared" si="371"/>
        <v>28053</v>
      </c>
      <c r="Z285" s="184">
        <f>IF(N285&lt;&gt;0,VLOOKUP(A285,FRE_CANTIDADES_DIARIAS_SUMINISTROS,5,FALSE),0)</f>
        <v>31277</v>
      </c>
      <c r="AA285" s="184">
        <f>IF(O285&lt;&gt;0,VLOOKUP(A285,FRE_CANTIDADES_DIARIAS_SUMINISTROS,6,FALSE),0)</f>
        <v>46469</v>
      </c>
      <c r="AB285" s="184">
        <f t="shared" si="392"/>
        <v>0</v>
      </c>
      <c r="AC285" s="184">
        <f t="shared" si="393"/>
        <v>0</v>
      </c>
      <c r="AD285" s="184">
        <f t="shared" si="372"/>
        <v>105799</v>
      </c>
      <c r="AE285" s="183">
        <f t="shared" si="389"/>
        <v>0</v>
      </c>
      <c r="AF285" s="385">
        <f>$AE285</f>
        <v>0</v>
      </c>
      <c r="AG285" s="385">
        <f t="shared" si="386"/>
        <v>0</v>
      </c>
      <c r="AH285" s="385">
        <f t="shared" si="386"/>
        <v>0</v>
      </c>
      <c r="AI285" s="185">
        <f t="shared" si="373"/>
        <v>74</v>
      </c>
      <c r="AJ285" s="185">
        <f t="shared" si="390"/>
        <v>433</v>
      </c>
      <c r="AK285" s="185">
        <f t="shared" si="391"/>
        <v>683</v>
      </c>
      <c r="AL285" s="185">
        <f t="shared" si="374"/>
        <v>1190</v>
      </c>
      <c r="AM285" s="173">
        <f>($S285*Y285)+($AE285*AI285)</f>
        <v>0</v>
      </c>
      <c r="AN285" s="173">
        <f t="shared" si="396"/>
        <v>0</v>
      </c>
      <c r="AO285" s="173">
        <f t="shared" si="397"/>
        <v>0</v>
      </c>
      <c r="AP285" s="173">
        <f t="shared" si="360"/>
        <v>0</v>
      </c>
      <c r="AQ285" s="173">
        <f t="shared" si="361"/>
        <v>0</v>
      </c>
      <c r="AR285" s="173">
        <f t="shared" si="362"/>
        <v>0</v>
      </c>
      <c r="AS285" s="186" t="s">
        <v>1369</v>
      </c>
      <c r="AT285" s="300">
        <f t="shared" si="394"/>
        <v>1.25</v>
      </c>
      <c r="AU285" s="300">
        <f t="shared" si="394"/>
        <v>1.25</v>
      </c>
      <c r="AV285" s="300">
        <f t="shared" si="394"/>
        <v>1.25</v>
      </c>
      <c r="AW285" s="300">
        <f t="shared" si="394"/>
        <v>1.25</v>
      </c>
      <c r="AX285" s="300">
        <f t="shared" si="394"/>
        <v>1.25</v>
      </c>
      <c r="AY285" s="301">
        <f t="shared" si="388"/>
        <v>1.25</v>
      </c>
      <c r="AZ285" s="301">
        <f t="shared" si="388"/>
        <v>1.25</v>
      </c>
      <c r="BA285" s="301">
        <f t="shared" si="388"/>
        <v>1.25</v>
      </c>
      <c r="BB285" s="301">
        <f t="shared" si="388"/>
        <v>1.25</v>
      </c>
      <c r="BC285" s="301">
        <f t="shared" si="388"/>
        <v>1.25</v>
      </c>
      <c r="BD285" s="187">
        <f>ROUND(IF(OR(M285=0,AT285="DATO NO DISPONIBLE"),"",AT285*M285*($BD$7+1)),0)</f>
        <v>134</v>
      </c>
      <c r="BE285" s="187">
        <f t="shared" ref="BE285:BE323" si="398">ROUND(IF(OR(N285=0,AU285="DATO NO DISPONIBLE"),0,AU285*N285*($BD$7+1)),0)</f>
        <v>134</v>
      </c>
      <c r="BF285" s="187">
        <f t="shared" ref="BF285:BF323" si="399">ROUND(IF(OR(O285=0,AV285="DATO NO DISPONIBLE"),0,AV285*O285*($BD$7+1)),0)</f>
        <v>134</v>
      </c>
      <c r="BG285" s="187"/>
      <c r="BH285" s="187"/>
      <c r="BI285" s="187">
        <f>ROUND(IF(OR(M285=0,AY285="DATO NO DISPONIBLE"),0,AY285*M285*($BD$7+1)),0)</f>
        <v>134</v>
      </c>
      <c r="BJ285" s="187">
        <f t="shared" si="376"/>
        <v>134</v>
      </c>
      <c r="BK285" s="187">
        <f t="shared" si="377"/>
        <v>134</v>
      </c>
      <c r="BL285" s="187"/>
      <c r="BM285" s="187"/>
      <c r="BN285" s="188">
        <f>BD285*AM285</f>
        <v>0</v>
      </c>
      <c r="BO285" s="188">
        <f t="shared" si="378"/>
        <v>0</v>
      </c>
      <c r="BP285" s="188">
        <f t="shared" si="379"/>
        <v>0</v>
      </c>
      <c r="BQ285" s="188">
        <f t="shared" si="380"/>
        <v>0</v>
      </c>
      <c r="BR285" s="188">
        <f t="shared" si="381"/>
        <v>0</v>
      </c>
      <c r="BS285" s="188">
        <f t="shared" si="364"/>
        <v>0</v>
      </c>
      <c r="BT285" s="188">
        <f t="shared" si="365"/>
        <v>0</v>
      </c>
      <c r="BU285" s="188">
        <f t="shared" si="366"/>
        <v>0</v>
      </c>
      <c r="BV285" s="188">
        <f t="shared" si="367"/>
        <v>0</v>
      </c>
      <c r="BW285" s="188">
        <f t="shared" si="368"/>
        <v>0</v>
      </c>
      <c r="BX285" s="188">
        <f t="shared" si="369"/>
        <v>0</v>
      </c>
      <c r="BY285" s="188">
        <f t="shared" si="370"/>
        <v>0</v>
      </c>
      <c r="BZ285" s="305">
        <f>IF(COT_PRECALCULOS!$D$24="Precios Iva Incluído",BI285,BD285)</f>
        <v>134</v>
      </c>
      <c r="CA285" s="305">
        <f>IF(COT_PRECALCULOS!$D$24="Precios Iva Incluído",BJ285,BE285)</f>
        <v>134</v>
      </c>
      <c r="CB285" s="305">
        <f>IF(COT_PRECALCULOS!$D$24="Precios Iva Incluído",BK285,BF285)</f>
        <v>134</v>
      </c>
      <c r="CC285" s="305">
        <f>IF(COT_PRECALCULOS!$D$24="Precios Iva Incluído",BL285,BG285)</f>
        <v>0</v>
      </c>
      <c r="CD285" s="305">
        <f>IF(COT_PRECALCULOS!$D$24="Precios Iva Incluído",BM285,BH285)</f>
        <v>0</v>
      </c>
      <c r="CE285" s="305">
        <f>IF(COT_PRECALCULOS!$D$24="Precios Iva Incluído",BT285,BN285)</f>
        <v>0</v>
      </c>
      <c r="CF285" s="305">
        <f>IF(COT_PRECALCULOS!$D$24="Precios Iva Incluído",BU285,BO285)</f>
        <v>0</v>
      </c>
      <c r="CG285" s="305">
        <f>IF(COT_PRECALCULOS!$D$24="Precios Iva Incluído",BV285,BP285)</f>
        <v>0</v>
      </c>
      <c r="CH285" s="305">
        <f>IF(COT_PRECALCULOS!$D$24="Precios Iva Incluído",BW285,BQ285)</f>
        <v>0</v>
      </c>
      <c r="CI285" s="305">
        <f>IF(COT_PRECALCULOS!$D$24="Precios Iva Incluído",BX285,BR285)</f>
        <v>0</v>
      </c>
    </row>
    <row r="286" spans="1:87" s="83" customFormat="1">
      <c r="A286" s="182" t="s">
        <v>102</v>
      </c>
      <c r="B286" s="182" t="s">
        <v>126</v>
      </c>
      <c r="C286" s="189" t="str">
        <f t="shared" si="358"/>
        <v>F_SE13</v>
      </c>
      <c r="D286" s="189" t="str">
        <f t="shared" si="359"/>
        <v>7_S_</v>
      </c>
      <c r="E286" s="211" t="s">
        <v>1</v>
      </c>
      <c r="F286" s="211" t="s">
        <v>1</v>
      </c>
      <c r="G286" s="189" t="s">
        <v>42</v>
      </c>
      <c r="H286" s="211"/>
      <c r="I286" s="211" t="s">
        <v>56</v>
      </c>
      <c r="J286" s="211">
        <v>7</v>
      </c>
      <c r="K286" s="211" t="s">
        <v>57</v>
      </c>
      <c r="L286" s="189" t="s">
        <v>9</v>
      </c>
      <c r="M286" s="211">
        <v>100</v>
      </c>
      <c r="N286" s="211">
        <v>100</v>
      </c>
      <c r="O286" s="211">
        <v>100</v>
      </c>
      <c r="P286" s="211"/>
      <c r="Q286" s="211"/>
      <c r="R286" s="211"/>
      <c r="S286" s="388">
        <v>1</v>
      </c>
      <c r="T286" s="388">
        <f>$S286</f>
        <v>1</v>
      </c>
      <c r="U286" s="388">
        <v>0</v>
      </c>
      <c r="V286" s="388">
        <v>0</v>
      </c>
      <c r="W286" s="387"/>
      <c r="X286" s="387"/>
      <c r="Y286" s="184">
        <f t="shared" si="371"/>
        <v>28053</v>
      </c>
      <c r="Z286" s="184">
        <v>0</v>
      </c>
      <c r="AA286" s="184">
        <v>0</v>
      </c>
      <c r="AB286" s="184">
        <f t="shared" si="392"/>
        <v>0</v>
      </c>
      <c r="AC286" s="184">
        <f t="shared" si="393"/>
        <v>0</v>
      </c>
      <c r="AD286" s="184">
        <f t="shared" si="372"/>
        <v>28053</v>
      </c>
      <c r="AE286" s="183">
        <f t="shared" si="389"/>
        <v>0</v>
      </c>
      <c r="AF286" s="385">
        <f>$AE286</f>
        <v>0</v>
      </c>
      <c r="AG286" s="385">
        <f t="shared" si="386"/>
        <v>0</v>
      </c>
      <c r="AH286" s="385">
        <f t="shared" si="386"/>
        <v>0</v>
      </c>
      <c r="AI286" s="185">
        <f t="shared" si="373"/>
        <v>74</v>
      </c>
      <c r="AJ286" s="185">
        <f t="shared" si="390"/>
        <v>433</v>
      </c>
      <c r="AK286" s="185">
        <f t="shared" si="391"/>
        <v>683</v>
      </c>
      <c r="AL286" s="185">
        <f t="shared" si="374"/>
        <v>1190</v>
      </c>
      <c r="AM286" s="173">
        <f>($S286*Y286)+($AE286*AI286)</f>
        <v>28053</v>
      </c>
      <c r="AN286" s="173">
        <f t="shared" si="396"/>
        <v>0</v>
      </c>
      <c r="AO286" s="173">
        <f t="shared" si="397"/>
        <v>0</v>
      </c>
      <c r="AP286" s="173">
        <f t="shared" si="360"/>
        <v>0</v>
      </c>
      <c r="AQ286" s="173">
        <f t="shared" si="361"/>
        <v>0</v>
      </c>
      <c r="AR286" s="173">
        <f t="shared" si="362"/>
        <v>28053</v>
      </c>
      <c r="AS286" s="186" t="s">
        <v>1369</v>
      </c>
      <c r="AT286" s="300">
        <f t="shared" si="394"/>
        <v>1</v>
      </c>
      <c r="AU286" s="300">
        <f t="shared" si="394"/>
        <v>1</v>
      </c>
      <c r="AV286" s="300">
        <f t="shared" si="394"/>
        <v>1</v>
      </c>
      <c r="AW286" s="300">
        <f t="shared" si="394"/>
        <v>1</v>
      </c>
      <c r="AX286" s="300">
        <f t="shared" si="394"/>
        <v>1</v>
      </c>
      <c r="AY286" s="301">
        <f t="shared" si="388"/>
        <v>1</v>
      </c>
      <c r="AZ286" s="301">
        <f t="shared" si="388"/>
        <v>1</v>
      </c>
      <c r="BA286" s="301">
        <f t="shared" si="388"/>
        <v>1</v>
      </c>
      <c r="BB286" s="301">
        <f t="shared" si="388"/>
        <v>1</v>
      </c>
      <c r="BC286" s="301">
        <f t="shared" si="388"/>
        <v>1</v>
      </c>
      <c r="BD286" s="187">
        <f>ROUND(IF(OR(M286=0,AT286="DATO NO DISPONIBLE"),"",AT286*M286*($BD$7+1)),0)</f>
        <v>107</v>
      </c>
      <c r="BE286" s="187">
        <f t="shared" si="398"/>
        <v>107</v>
      </c>
      <c r="BF286" s="187">
        <f t="shared" si="399"/>
        <v>107</v>
      </c>
      <c r="BG286" s="187"/>
      <c r="BH286" s="187"/>
      <c r="BI286" s="187">
        <f>ROUND(IF(OR(M286=0,AY286="DATO NO DISPONIBLE"),0,AY286*M286*($BD$7+1)),0)</f>
        <v>107</v>
      </c>
      <c r="BJ286" s="187">
        <f t="shared" si="376"/>
        <v>107</v>
      </c>
      <c r="BK286" s="187">
        <f t="shared" si="377"/>
        <v>107</v>
      </c>
      <c r="BL286" s="187"/>
      <c r="BM286" s="187"/>
      <c r="BN286" s="188">
        <f>BD286*AM286</f>
        <v>3001671</v>
      </c>
      <c r="BO286" s="188">
        <f t="shared" si="378"/>
        <v>0</v>
      </c>
      <c r="BP286" s="188">
        <f t="shared" si="379"/>
        <v>0</v>
      </c>
      <c r="BQ286" s="188">
        <f t="shared" si="380"/>
        <v>0</v>
      </c>
      <c r="BR286" s="188">
        <f t="shared" si="381"/>
        <v>0</v>
      </c>
      <c r="BS286" s="188">
        <f t="shared" si="364"/>
        <v>3001671</v>
      </c>
      <c r="BT286" s="188">
        <f t="shared" si="365"/>
        <v>3001671</v>
      </c>
      <c r="BU286" s="188">
        <f t="shared" si="366"/>
        <v>0</v>
      </c>
      <c r="BV286" s="188">
        <f t="shared" si="367"/>
        <v>0</v>
      </c>
      <c r="BW286" s="188">
        <f t="shared" si="368"/>
        <v>0</v>
      </c>
      <c r="BX286" s="188">
        <f t="shared" si="369"/>
        <v>0</v>
      </c>
      <c r="BY286" s="188">
        <f t="shared" si="370"/>
        <v>3001671</v>
      </c>
      <c r="BZ286" s="305">
        <f>IF(COT_PRECALCULOS!$D$24="Precios Iva Incluído",BI286,BD286)</f>
        <v>107</v>
      </c>
      <c r="CA286" s="305">
        <f>IF(COT_PRECALCULOS!$D$24="Precios Iva Incluído",BJ286,BE286)</f>
        <v>107</v>
      </c>
      <c r="CB286" s="305">
        <f>IF(COT_PRECALCULOS!$D$24="Precios Iva Incluído",BK286,BF286)</f>
        <v>107</v>
      </c>
      <c r="CC286" s="305">
        <f>IF(COT_PRECALCULOS!$D$24="Precios Iva Incluído",BL286,BG286)</f>
        <v>0</v>
      </c>
      <c r="CD286" s="305">
        <f>IF(COT_PRECALCULOS!$D$24="Precios Iva Incluído",BM286,BH286)</f>
        <v>0</v>
      </c>
      <c r="CE286" s="305">
        <f>IF(COT_PRECALCULOS!$D$24="Precios Iva Incluído",BT286,BN286)</f>
        <v>3001671</v>
      </c>
      <c r="CF286" s="305">
        <f>IF(COT_PRECALCULOS!$D$24="Precios Iva Incluído",BU286,BO286)</f>
        <v>0</v>
      </c>
      <c r="CG286" s="305">
        <f>IF(COT_PRECALCULOS!$D$24="Precios Iva Incluído",BV286,BP286)</f>
        <v>0</v>
      </c>
      <c r="CH286" s="305">
        <f>IF(COT_PRECALCULOS!$D$24="Precios Iva Incluído",BW286,BQ286)</f>
        <v>0</v>
      </c>
      <c r="CI286" s="305">
        <f>IF(COT_PRECALCULOS!$D$24="Precios Iva Incluído",BX286,BR286)</f>
        <v>0</v>
      </c>
    </row>
    <row r="287" spans="1:87">
      <c r="A287" s="182" t="s">
        <v>102</v>
      </c>
      <c r="B287" s="182" t="s">
        <v>126</v>
      </c>
      <c r="C287" s="189" t="str">
        <f t="shared" si="358"/>
        <v>F_SE13</v>
      </c>
      <c r="D287" s="189" t="str">
        <f t="shared" si="359"/>
        <v>17_S_</v>
      </c>
      <c r="E287" s="190" t="s">
        <v>1</v>
      </c>
      <c r="F287" s="190" t="s">
        <v>1</v>
      </c>
      <c r="G287" s="189" t="s">
        <v>42</v>
      </c>
      <c r="H287" s="190"/>
      <c r="I287" s="190" t="s">
        <v>52</v>
      </c>
      <c r="J287" s="190">
        <v>17</v>
      </c>
      <c r="K287" s="190" t="s">
        <v>53</v>
      </c>
      <c r="L287" s="189" t="s">
        <v>9</v>
      </c>
      <c r="M287" s="386">
        <v>0</v>
      </c>
      <c r="N287" s="211">
        <v>100</v>
      </c>
      <c r="O287" s="211">
        <v>100</v>
      </c>
      <c r="P287" s="190"/>
      <c r="Q287" s="190"/>
      <c r="R287" s="190" t="s">
        <v>73</v>
      </c>
      <c r="S287" s="183">
        <f>COUNTIF(CAL_SEGUNDA_ENTREGA_LAV_FRUTA,CONCATENATE(G287,"_",J287))</f>
        <v>1</v>
      </c>
      <c r="T287" s="386">
        <v>0</v>
      </c>
      <c r="U287" s="385">
        <f t="shared" ref="U287:V290" si="400">$S287</f>
        <v>1</v>
      </c>
      <c r="V287" s="385">
        <f t="shared" si="400"/>
        <v>1</v>
      </c>
      <c r="W287" s="387"/>
      <c r="X287" s="387"/>
      <c r="Y287" s="184">
        <f t="shared" si="371"/>
        <v>0</v>
      </c>
      <c r="Z287" s="184">
        <f>IF(N287&lt;&gt;0,VLOOKUP(A287,FRE_CANTIDADES_DIARIAS_SUMINISTROS,5,FALSE),0)</f>
        <v>31277</v>
      </c>
      <c r="AA287" s="184">
        <f>IF(O287&lt;&gt;0,VLOOKUP(A287,FRE_CANTIDADES_DIARIAS_SUMINISTROS,6,FALSE),0)</f>
        <v>46469</v>
      </c>
      <c r="AB287" s="184">
        <f t="shared" si="392"/>
        <v>0</v>
      </c>
      <c r="AC287" s="184">
        <f t="shared" si="393"/>
        <v>0</v>
      </c>
      <c r="AD287" s="184">
        <f t="shared" si="372"/>
        <v>77746</v>
      </c>
      <c r="AE287" s="183">
        <f t="shared" si="389"/>
        <v>1</v>
      </c>
      <c r="AF287" s="386">
        <v>0</v>
      </c>
      <c r="AG287" s="385">
        <f t="shared" si="386"/>
        <v>1</v>
      </c>
      <c r="AH287" s="385">
        <f t="shared" si="386"/>
        <v>1</v>
      </c>
      <c r="AI287" s="185">
        <f t="shared" si="373"/>
        <v>0</v>
      </c>
      <c r="AJ287" s="185">
        <f t="shared" si="390"/>
        <v>433</v>
      </c>
      <c r="AK287" s="185">
        <f t="shared" si="391"/>
        <v>683</v>
      </c>
      <c r="AL287" s="185">
        <f t="shared" si="374"/>
        <v>1116</v>
      </c>
      <c r="AM287" s="173">
        <v>0</v>
      </c>
      <c r="AN287" s="173">
        <f t="shared" si="396"/>
        <v>31710</v>
      </c>
      <c r="AO287" s="173">
        <f t="shared" si="397"/>
        <v>47152</v>
      </c>
      <c r="AP287" s="173">
        <f t="shared" si="360"/>
        <v>0</v>
      </c>
      <c r="AQ287" s="173">
        <f t="shared" si="361"/>
        <v>0</v>
      </c>
      <c r="AR287" s="173">
        <f t="shared" si="362"/>
        <v>78862</v>
      </c>
      <c r="AS287" s="186" t="s">
        <v>1369</v>
      </c>
      <c r="AT287" s="300">
        <f t="shared" si="394"/>
        <v>2.11</v>
      </c>
      <c r="AU287" s="300">
        <f t="shared" si="394"/>
        <v>2.11</v>
      </c>
      <c r="AV287" s="300">
        <f t="shared" si="394"/>
        <v>2.11</v>
      </c>
      <c r="AW287" s="300">
        <f t="shared" si="394"/>
        <v>2.11</v>
      </c>
      <c r="AX287" s="300">
        <f t="shared" si="394"/>
        <v>2.11</v>
      </c>
      <c r="AY287" s="301">
        <f t="shared" si="388"/>
        <v>2.11</v>
      </c>
      <c r="AZ287" s="301">
        <f t="shared" si="388"/>
        <v>2.11</v>
      </c>
      <c r="BA287" s="301">
        <f t="shared" si="388"/>
        <v>2.11</v>
      </c>
      <c r="BB287" s="301">
        <f t="shared" si="388"/>
        <v>2.11</v>
      </c>
      <c r="BC287" s="301">
        <f t="shared" si="388"/>
        <v>2.11</v>
      </c>
      <c r="BD287" s="187"/>
      <c r="BE287" s="187">
        <f t="shared" si="398"/>
        <v>226</v>
      </c>
      <c r="BF287" s="187">
        <f t="shared" si="399"/>
        <v>226</v>
      </c>
      <c r="BG287" s="187"/>
      <c r="BH287" s="187"/>
      <c r="BI287" s="187"/>
      <c r="BJ287" s="187">
        <f t="shared" si="376"/>
        <v>226</v>
      </c>
      <c r="BK287" s="187">
        <f t="shared" si="377"/>
        <v>226</v>
      </c>
      <c r="BL287" s="187"/>
      <c r="BM287" s="187"/>
      <c r="BN287" s="188"/>
      <c r="BO287" s="188">
        <f t="shared" si="378"/>
        <v>7166460</v>
      </c>
      <c r="BP287" s="188">
        <f t="shared" si="379"/>
        <v>10656352</v>
      </c>
      <c r="BQ287" s="188">
        <f t="shared" si="380"/>
        <v>0</v>
      </c>
      <c r="BR287" s="188">
        <f t="shared" si="381"/>
        <v>0</v>
      </c>
      <c r="BS287" s="188">
        <f t="shared" si="364"/>
        <v>17822812</v>
      </c>
      <c r="BT287" s="188">
        <f t="shared" si="365"/>
        <v>0</v>
      </c>
      <c r="BU287" s="188">
        <f t="shared" si="366"/>
        <v>7166460</v>
      </c>
      <c r="BV287" s="188">
        <f t="shared" si="367"/>
        <v>10656352</v>
      </c>
      <c r="BW287" s="188">
        <f t="shared" si="368"/>
        <v>0</v>
      </c>
      <c r="BX287" s="188">
        <f t="shared" si="369"/>
        <v>0</v>
      </c>
      <c r="BY287" s="188">
        <f t="shared" si="370"/>
        <v>17822812</v>
      </c>
      <c r="BZ287" s="305">
        <f>IF(COT_PRECALCULOS!$D$24="Precios Iva Incluído",BI287,BD287)</f>
        <v>0</v>
      </c>
      <c r="CA287" s="305">
        <f>IF(COT_PRECALCULOS!$D$24="Precios Iva Incluído",BJ287,BE287)</f>
        <v>226</v>
      </c>
      <c r="CB287" s="305">
        <f>IF(COT_PRECALCULOS!$D$24="Precios Iva Incluído",BK287,BF287)</f>
        <v>226</v>
      </c>
      <c r="CC287" s="305">
        <f>IF(COT_PRECALCULOS!$D$24="Precios Iva Incluído",BL287,BG287)</f>
        <v>0</v>
      </c>
      <c r="CD287" s="305">
        <f>IF(COT_PRECALCULOS!$D$24="Precios Iva Incluído",BM287,BH287)</f>
        <v>0</v>
      </c>
      <c r="CE287" s="305">
        <f>IF(COT_PRECALCULOS!$D$24="Precios Iva Incluído",BT287,BN287)</f>
        <v>0</v>
      </c>
      <c r="CF287" s="305">
        <f>IF(COT_PRECALCULOS!$D$24="Precios Iva Incluído",BU287,BO287)</f>
        <v>7166460</v>
      </c>
      <c r="CG287" s="305">
        <f>IF(COT_PRECALCULOS!$D$24="Precios Iva Incluído",BV287,BP287)</f>
        <v>10656352</v>
      </c>
      <c r="CH287" s="305">
        <f>IF(COT_PRECALCULOS!$D$24="Precios Iva Incluído",BW287,BQ287)</f>
        <v>0</v>
      </c>
      <c r="CI287" s="305">
        <f>IF(COT_PRECALCULOS!$D$24="Precios Iva Incluído",BX287,BR287)</f>
        <v>0</v>
      </c>
    </row>
    <row r="288" spans="1:87">
      <c r="A288" s="182" t="s">
        <v>102</v>
      </c>
      <c r="B288" s="182" t="s">
        <v>126</v>
      </c>
      <c r="C288" s="189" t="str">
        <f t="shared" si="358"/>
        <v>F_SE13</v>
      </c>
      <c r="D288" s="189" t="str">
        <f t="shared" si="359"/>
        <v>22_S_</v>
      </c>
      <c r="E288" s="190" t="s">
        <v>1</v>
      </c>
      <c r="F288" s="190" t="s">
        <v>1</v>
      </c>
      <c r="G288" s="189" t="s">
        <v>42</v>
      </c>
      <c r="H288" s="190"/>
      <c r="I288" s="190" t="s">
        <v>50</v>
      </c>
      <c r="J288" s="190">
        <v>22</v>
      </c>
      <c r="K288" s="190" t="s">
        <v>51</v>
      </c>
      <c r="L288" s="189" t="s">
        <v>9</v>
      </c>
      <c r="M288" s="386">
        <v>0</v>
      </c>
      <c r="N288" s="211">
        <v>100</v>
      </c>
      <c r="O288" s="211">
        <v>100</v>
      </c>
      <c r="P288" s="190"/>
      <c r="Q288" s="190"/>
      <c r="R288" s="190" t="s">
        <v>73</v>
      </c>
      <c r="S288" s="385">
        <f>COUNTIF(CAL_SEGUNDA_ENTREGA_LAV_FRUTA,CONCATENATE(G288,"_",J288))</f>
        <v>1</v>
      </c>
      <c r="T288" s="386">
        <v>0</v>
      </c>
      <c r="U288" s="385">
        <f t="shared" si="400"/>
        <v>1</v>
      </c>
      <c r="V288" s="385">
        <f t="shared" si="400"/>
        <v>1</v>
      </c>
      <c r="W288" s="387"/>
      <c r="X288" s="387"/>
      <c r="Y288" s="184">
        <f t="shared" si="371"/>
        <v>0</v>
      </c>
      <c r="Z288" s="184">
        <f>IF(N288&lt;&gt;0,VLOOKUP(A288,FRE_CANTIDADES_DIARIAS_SUMINISTROS,5,FALSE),0)</f>
        <v>31277</v>
      </c>
      <c r="AA288" s="184">
        <f>IF(O288&lt;&gt;0,VLOOKUP(A288,FRE_CANTIDADES_DIARIAS_SUMINISTROS,6,FALSE),0)</f>
        <v>46469</v>
      </c>
      <c r="AB288" s="184">
        <f t="shared" si="392"/>
        <v>0</v>
      </c>
      <c r="AC288" s="184">
        <f t="shared" si="393"/>
        <v>0</v>
      </c>
      <c r="AD288" s="184">
        <f t="shared" si="372"/>
        <v>77746</v>
      </c>
      <c r="AE288" s="183">
        <f t="shared" si="389"/>
        <v>2</v>
      </c>
      <c r="AF288" s="386">
        <v>0</v>
      </c>
      <c r="AG288" s="385">
        <f t="shared" si="386"/>
        <v>2</v>
      </c>
      <c r="AH288" s="385">
        <f t="shared" si="386"/>
        <v>2</v>
      </c>
      <c r="AI288" s="185">
        <f t="shared" si="373"/>
        <v>0</v>
      </c>
      <c r="AJ288" s="185">
        <f t="shared" si="390"/>
        <v>433</v>
      </c>
      <c r="AK288" s="185">
        <f t="shared" si="391"/>
        <v>683</v>
      </c>
      <c r="AL288" s="185">
        <f t="shared" si="374"/>
        <v>1116</v>
      </c>
      <c r="AM288" s="173">
        <v>0</v>
      </c>
      <c r="AN288" s="173">
        <f t="shared" si="396"/>
        <v>32143</v>
      </c>
      <c r="AO288" s="173">
        <f t="shared" si="397"/>
        <v>47835</v>
      </c>
      <c r="AP288" s="173">
        <f t="shared" si="360"/>
        <v>0</v>
      </c>
      <c r="AQ288" s="173">
        <f t="shared" si="361"/>
        <v>0</v>
      </c>
      <c r="AR288" s="173">
        <f t="shared" si="362"/>
        <v>79978</v>
      </c>
      <c r="AS288" s="186" t="s">
        <v>1369</v>
      </c>
      <c r="AT288" s="300">
        <f t="shared" si="394"/>
        <v>4.9124999999999996</v>
      </c>
      <c r="AU288" s="300">
        <f t="shared" si="394"/>
        <v>4.9124999999999996</v>
      </c>
      <c r="AV288" s="300">
        <f t="shared" si="394"/>
        <v>4.9124999999999996</v>
      </c>
      <c r="AW288" s="300">
        <f t="shared" si="394"/>
        <v>4.9124999999999996</v>
      </c>
      <c r="AX288" s="300">
        <f t="shared" si="394"/>
        <v>4.9124999999999996</v>
      </c>
      <c r="AY288" s="301">
        <f t="shared" ref="AY288:BC297" si="401">IF(ISERROR(MATCH(CONCATENATE($J288,"_",AY$1),COT_PRE_CODIGO_ALIMENTOS,0)),IF(ISERROR(MATCH(CONCATENATE($J288,"_",AY$2),COT_PRE_CODIGO_ALIMENTOS,0)),IF(ISERROR(MATCH(CONCATENATE($J288,"_",AY$3),COT_PRE_CODIGO_ALIMENTOS,0)),IF(ISERROR(MATCH(CONCATENATE($J288,"_",AY$4),COT_PRE_CODIGO_ALIMENTOS,0)),IF(ISERROR(MATCH(CONCATENATE($J288,"_",AY$5),COT_PRE_CODIGO_ALIMENTOS,0)),IF(ISERROR(MATCH(CONCATENATE($J288,"_",AY$6),COT_PRE_CODIGO_ALIMENTOS,0)),IF(ISERROR(MATCH(CONCATENATE($J288,"_",AY$7),COT_PRE_CODIGO_ALIMENTOS,0)),IF(ISERROR(VLOOKUP($J288,COT_PRE_ALIMENTOS,AY$8,FALSE)),"DATO NO DISPONIBLE",VLOOKUP($J288,COT_PRE_ALIMENTOS,AY$8,FALSE)),VLOOKUP(CONCATENATE($J288,"_",AY$7),COT_PRE_ALIMENTOS,AY$8,FALSE)),VLOOKUP(CONCATENATE($J288,"_",AY$6),COT_PRE_ALIMENTOS,AY$8,FALSE)),VLOOKUP(CONCATENATE($J288,"_",AY$5),COT_PRE_ALIMENTOS,AY$8,FALSE)),VLOOKUP(CONCATENATE($J288,"_",AY$4),COT_PRE_ALIMENTOS,AY$8,FALSE)),VLOOKUP(CONCATENATE($J288,"_",AY$3),COT_PRE_ALIMENTOS,AY$8,FALSE)),VLOOKUP(CONCATENATE($J288,"_",AY$2),COT_PRE_ALIMENTOS,AY$8,FALSE)),VLOOKUP(CONCATENATE($J288,"_",AY$1),COT_PRE_ALIMENTOS,AY$8,FALSE))</f>
        <v>4.9124999999999996</v>
      </c>
      <c r="AZ288" s="301">
        <f t="shared" si="401"/>
        <v>4.9124999999999996</v>
      </c>
      <c r="BA288" s="301">
        <f t="shared" si="401"/>
        <v>4.9124999999999996</v>
      </c>
      <c r="BB288" s="301">
        <f t="shared" si="401"/>
        <v>4.9124999999999996</v>
      </c>
      <c r="BC288" s="301">
        <f t="shared" si="401"/>
        <v>4.9124999999999996</v>
      </c>
      <c r="BD288" s="187"/>
      <c r="BE288" s="187">
        <f t="shared" si="398"/>
        <v>525</v>
      </c>
      <c r="BF288" s="187">
        <f t="shared" si="399"/>
        <v>525</v>
      </c>
      <c r="BG288" s="187"/>
      <c r="BH288" s="187"/>
      <c r="BI288" s="187"/>
      <c r="BJ288" s="187">
        <f t="shared" si="376"/>
        <v>525</v>
      </c>
      <c r="BK288" s="187">
        <f t="shared" si="377"/>
        <v>525</v>
      </c>
      <c r="BL288" s="187"/>
      <c r="BM288" s="187"/>
      <c r="BN288" s="188"/>
      <c r="BO288" s="188">
        <f t="shared" si="378"/>
        <v>16875075</v>
      </c>
      <c r="BP288" s="188">
        <f t="shared" si="379"/>
        <v>25113375</v>
      </c>
      <c r="BQ288" s="188">
        <f t="shared" si="380"/>
        <v>0</v>
      </c>
      <c r="BR288" s="188">
        <f t="shared" si="381"/>
        <v>0</v>
      </c>
      <c r="BS288" s="188">
        <f t="shared" si="364"/>
        <v>41988450</v>
      </c>
      <c r="BT288" s="188">
        <f t="shared" si="365"/>
        <v>0</v>
      </c>
      <c r="BU288" s="188">
        <f t="shared" si="366"/>
        <v>16875075</v>
      </c>
      <c r="BV288" s="188">
        <f t="shared" si="367"/>
        <v>25113375</v>
      </c>
      <c r="BW288" s="188">
        <f t="shared" si="368"/>
        <v>0</v>
      </c>
      <c r="BX288" s="188">
        <f t="shared" si="369"/>
        <v>0</v>
      </c>
      <c r="BY288" s="188">
        <f t="shared" si="370"/>
        <v>41988450</v>
      </c>
      <c r="BZ288" s="305">
        <f>IF(COT_PRECALCULOS!$D$24="Precios Iva Incluído",BI288,BD288)</f>
        <v>0</v>
      </c>
      <c r="CA288" s="305">
        <f>IF(COT_PRECALCULOS!$D$24="Precios Iva Incluído",BJ288,BE288)</f>
        <v>525</v>
      </c>
      <c r="CB288" s="305">
        <f>IF(COT_PRECALCULOS!$D$24="Precios Iva Incluído",BK288,BF288)</f>
        <v>525</v>
      </c>
      <c r="CC288" s="305">
        <f>IF(COT_PRECALCULOS!$D$24="Precios Iva Incluído",BL288,BG288)</f>
        <v>0</v>
      </c>
      <c r="CD288" s="305">
        <f>IF(COT_PRECALCULOS!$D$24="Precios Iva Incluído",BM288,BH288)</f>
        <v>0</v>
      </c>
      <c r="CE288" s="305">
        <f>IF(COT_PRECALCULOS!$D$24="Precios Iva Incluído",BT288,BN288)</f>
        <v>0</v>
      </c>
      <c r="CF288" s="305">
        <f>IF(COT_PRECALCULOS!$D$24="Precios Iva Incluído",BU288,BO288)</f>
        <v>16875075</v>
      </c>
      <c r="CG288" s="305">
        <f>IF(COT_PRECALCULOS!$D$24="Precios Iva Incluído",BV288,BP288)</f>
        <v>25113375</v>
      </c>
      <c r="CH288" s="305">
        <f>IF(COT_PRECALCULOS!$D$24="Precios Iva Incluído",BW288,BQ288)</f>
        <v>0</v>
      </c>
      <c r="CI288" s="305">
        <f>IF(COT_PRECALCULOS!$D$24="Precios Iva Incluído",BX288,BR288)</f>
        <v>0</v>
      </c>
    </row>
    <row r="289" spans="1:87">
      <c r="A289" s="182" t="s">
        <v>102</v>
      </c>
      <c r="B289" s="182" t="s">
        <v>126</v>
      </c>
      <c r="C289" s="189" t="str">
        <f t="shared" si="358"/>
        <v>F_SE13</v>
      </c>
      <c r="D289" s="189" t="str">
        <f t="shared" si="359"/>
        <v>33_S_</v>
      </c>
      <c r="E289" s="190" t="s">
        <v>1</v>
      </c>
      <c r="F289" s="190" t="s">
        <v>1</v>
      </c>
      <c r="G289" s="189" t="s">
        <v>42</v>
      </c>
      <c r="H289" s="190"/>
      <c r="I289" s="190" t="s">
        <v>58</v>
      </c>
      <c r="J289" s="190">
        <v>33</v>
      </c>
      <c r="K289" s="190" t="s">
        <v>59</v>
      </c>
      <c r="L289" s="189" t="s">
        <v>48</v>
      </c>
      <c r="M289" s="310">
        <v>90</v>
      </c>
      <c r="N289" s="310">
        <v>90</v>
      </c>
      <c r="O289" s="310">
        <v>90</v>
      </c>
      <c r="P289" s="190"/>
      <c r="Q289" s="190"/>
      <c r="R289" s="190"/>
      <c r="S289" s="183">
        <f>COUNTIF(CAL_SEGUNDA_ENTREGA_LAV_FRUTA,CONCATENATE(G289,"_",J289))</f>
        <v>2</v>
      </c>
      <c r="T289" s="385">
        <f>$S289</f>
        <v>2</v>
      </c>
      <c r="U289" s="385">
        <f t="shared" si="400"/>
        <v>2</v>
      </c>
      <c r="V289" s="385">
        <f t="shared" si="400"/>
        <v>2</v>
      </c>
      <c r="W289" s="387"/>
      <c r="X289" s="387"/>
      <c r="Y289" s="184">
        <f t="shared" si="371"/>
        <v>28053</v>
      </c>
      <c r="Z289" s="184">
        <f>IF(N289&lt;&gt;0,VLOOKUP(A289,FRE_CANTIDADES_DIARIAS_SUMINISTROS,5,FALSE),0)</f>
        <v>31277</v>
      </c>
      <c r="AA289" s="184">
        <f>IF(O289&lt;&gt;0,VLOOKUP(A289,FRE_CANTIDADES_DIARIAS_SUMINISTROS,6,FALSE),0)</f>
        <v>46469</v>
      </c>
      <c r="AB289" s="184">
        <f t="shared" si="392"/>
        <v>0</v>
      </c>
      <c r="AC289" s="184">
        <f t="shared" si="393"/>
        <v>0</v>
      </c>
      <c r="AD289" s="184">
        <f t="shared" si="372"/>
        <v>105799</v>
      </c>
      <c r="AE289" s="388">
        <v>1</v>
      </c>
      <c r="AF289" s="388">
        <f>$AE289</f>
        <v>1</v>
      </c>
      <c r="AG289" s="388">
        <v>0</v>
      </c>
      <c r="AH289" s="388">
        <v>0</v>
      </c>
      <c r="AI289" s="185">
        <f t="shared" si="373"/>
        <v>74</v>
      </c>
      <c r="AJ289" s="185">
        <v>0</v>
      </c>
      <c r="AK289" s="185">
        <v>0</v>
      </c>
      <c r="AL289" s="185">
        <f t="shared" si="374"/>
        <v>74</v>
      </c>
      <c r="AM289" s="173">
        <f t="shared" ref="AM289:AM295" si="402">($S289*Y289)+($AE289*AI289)</f>
        <v>56180</v>
      </c>
      <c r="AN289" s="173">
        <f t="shared" si="396"/>
        <v>62554</v>
      </c>
      <c r="AO289" s="173">
        <f t="shared" si="397"/>
        <v>92938</v>
      </c>
      <c r="AP289" s="173">
        <f t="shared" si="360"/>
        <v>0</v>
      </c>
      <c r="AQ289" s="173">
        <f t="shared" si="361"/>
        <v>0</v>
      </c>
      <c r="AR289" s="173">
        <f t="shared" si="362"/>
        <v>211672</v>
      </c>
      <c r="AS289" s="186" t="s">
        <v>1369</v>
      </c>
      <c r="AT289" s="300">
        <f t="shared" si="394"/>
        <v>2.8014999999999999</v>
      </c>
      <c r="AU289" s="300">
        <f t="shared" si="394"/>
        <v>2.8014999999999999</v>
      </c>
      <c r="AV289" s="300">
        <f t="shared" si="394"/>
        <v>2.8014999999999999</v>
      </c>
      <c r="AW289" s="300">
        <f t="shared" si="394"/>
        <v>2.8014999999999999</v>
      </c>
      <c r="AX289" s="300">
        <f t="shared" si="394"/>
        <v>2.8014999999999999</v>
      </c>
      <c r="AY289" s="301">
        <f t="shared" si="401"/>
        <v>2.8014999999999999</v>
      </c>
      <c r="AZ289" s="301">
        <f t="shared" si="401"/>
        <v>2.8014999999999999</v>
      </c>
      <c r="BA289" s="301">
        <f t="shared" si="401"/>
        <v>2.8014999999999999</v>
      </c>
      <c r="BB289" s="301">
        <f t="shared" si="401"/>
        <v>2.8014999999999999</v>
      </c>
      <c r="BC289" s="301">
        <f t="shared" si="401"/>
        <v>2.8014999999999999</v>
      </c>
      <c r="BD289" s="187">
        <f>ROUND(IF(OR(M289=0,AT289="DATO NO DISPONIBLE"),"",AT289*M289*($BD$7+1)),0)</f>
        <v>270</v>
      </c>
      <c r="BE289" s="187">
        <f t="shared" si="398"/>
        <v>270</v>
      </c>
      <c r="BF289" s="187">
        <f t="shared" si="399"/>
        <v>270</v>
      </c>
      <c r="BG289" s="187"/>
      <c r="BH289" s="187"/>
      <c r="BI289" s="187">
        <f>ROUND(IF(OR(M289=0,AY289="DATO NO DISPONIBLE"),0,AY289*M289*($BD$7+1)),0)</f>
        <v>270</v>
      </c>
      <c r="BJ289" s="187">
        <f t="shared" si="376"/>
        <v>270</v>
      </c>
      <c r="BK289" s="187">
        <f t="shared" si="377"/>
        <v>270</v>
      </c>
      <c r="BL289" s="187"/>
      <c r="BM289" s="187"/>
      <c r="BN289" s="188">
        <f>BD289*AM289</f>
        <v>15168600</v>
      </c>
      <c r="BO289" s="188">
        <f t="shared" si="378"/>
        <v>16889580</v>
      </c>
      <c r="BP289" s="188">
        <f t="shared" si="379"/>
        <v>25093260</v>
      </c>
      <c r="BQ289" s="188">
        <f t="shared" si="380"/>
        <v>0</v>
      </c>
      <c r="BR289" s="188">
        <f t="shared" si="381"/>
        <v>0</v>
      </c>
      <c r="BS289" s="188">
        <f t="shared" si="364"/>
        <v>57151440</v>
      </c>
      <c r="BT289" s="188">
        <f t="shared" si="365"/>
        <v>15168600</v>
      </c>
      <c r="BU289" s="188">
        <f t="shared" si="366"/>
        <v>16889580</v>
      </c>
      <c r="BV289" s="188">
        <f t="shared" si="367"/>
        <v>25093260</v>
      </c>
      <c r="BW289" s="188">
        <f t="shared" si="368"/>
        <v>0</v>
      </c>
      <c r="BX289" s="188">
        <f t="shared" si="369"/>
        <v>0</v>
      </c>
      <c r="BY289" s="188">
        <f t="shared" si="370"/>
        <v>57151440</v>
      </c>
      <c r="BZ289" s="305">
        <f>IF(COT_PRECALCULOS!$D$24="Precios Iva Incluído",BI289,BD289)</f>
        <v>270</v>
      </c>
      <c r="CA289" s="305">
        <f>IF(COT_PRECALCULOS!$D$24="Precios Iva Incluído",BJ289,BE289)</f>
        <v>270</v>
      </c>
      <c r="CB289" s="305">
        <f>IF(COT_PRECALCULOS!$D$24="Precios Iva Incluído",BK289,BF289)</f>
        <v>270</v>
      </c>
      <c r="CC289" s="305">
        <f>IF(COT_PRECALCULOS!$D$24="Precios Iva Incluído",BL289,BG289)</f>
        <v>0</v>
      </c>
      <c r="CD289" s="305">
        <f>IF(COT_PRECALCULOS!$D$24="Precios Iva Incluído",BM289,BH289)</f>
        <v>0</v>
      </c>
      <c r="CE289" s="305">
        <f>IF(COT_PRECALCULOS!$D$24="Precios Iva Incluído",BT289,BN289)</f>
        <v>15168600</v>
      </c>
      <c r="CF289" s="305">
        <f>IF(COT_PRECALCULOS!$D$24="Precios Iva Incluído",BU289,BO289)</f>
        <v>16889580</v>
      </c>
      <c r="CG289" s="305">
        <f>IF(COT_PRECALCULOS!$D$24="Precios Iva Incluído",BV289,BP289)</f>
        <v>25093260</v>
      </c>
      <c r="CH289" s="305">
        <f>IF(COT_PRECALCULOS!$D$24="Precios Iva Incluído",BW289,BQ289)</f>
        <v>0</v>
      </c>
      <c r="CI289" s="305">
        <f>IF(COT_PRECALCULOS!$D$24="Precios Iva Incluído",BX289,BR289)</f>
        <v>0</v>
      </c>
    </row>
    <row r="290" spans="1:87">
      <c r="A290" s="182" t="s">
        <v>102</v>
      </c>
      <c r="B290" s="182" t="s">
        <v>126</v>
      </c>
      <c r="C290" s="189" t="str">
        <f t="shared" si="358"/>
        <v>F_SE13</v>
      </c>
      <c r="D290" s="189" t="str">
        <f t="shared" si="359"/>
        <v>42_S_</v>
      </c>
      <c r="E290" s="190" t="s">
        <v>1</v>
      </c>
      <c r="F290" s="190" t="s">
        <v>1</v>
      </c>
      <c r="G290" s="189" t="s">
        <v>42</v>
      </c>
      <c r="H290" s="190"/>
      <c r="I290" s="190" t="s">
        <v>49</v>
      </c>
      <c r="J290" s="190">
        <v>42</v>
      </c>
      <c r="K290" s="190" t="s">
        <v>61</v>
      </c>
      <c r="L290" s="189" t="s">
        <v>9</v>
      </c>
      <c r="M290" s="211">
        <v>100</v>
      </c>
      <c r="N290" s="211">
        <v>100</v>
      </c>
      <c r="O290" s="211">
        <v>100</v>
      </c>
      <c r="P290" s="190"/>
      <c r="Q290" s="190"/>
      <c r="R290" s="190"/>
      <c r="S290" s="183">
        <f>COUNTIF(CAL_SEGUNDA_ENTREGA_LAV_FRUTA,CONCATENATE(G290,"_",J290))</f>
        <v>2</v>
      </c>
      <c r="T290" s="385">
        <f>$S290</f>
        <v>2</v>
      </c>
      <c r="U290" s="385">
        <f t="shared" si="400"/>
        <v>2</v>
      </c>
      <c r="V290" s="385">
        <f t="shared" si="400"/>
        <v>2</v>
      </c>
      <c r="W290" s="387"/>
      <c r="X290" s="387"/>
      <c r="Y290" s="184">
        <f t="shared" si="371"/>
        <v>28053</v>
      </c>
      <c r="Z290" s="184">
        <f>IF(N290&lt;&gt;0,VLOOKUP(A290,FRE_CANTIDADES_DIARIAS_SUMINISTROS,5,FALSE),0)</f>
        <v>31277</v>
      </c>
      <c r="AA290" s="184">
        <f>IF(O290&lt;&gt;0,VLOOKUP(A290,FRE_CANTIDADES_DIARIAS_SUMINISTROS,6,FALSE),0)</f>
        <v>46469</v>
      </c>
      <c r="AB290" s="184">
        <f t="shared" si="392"/>
        <v>0</v>
      </c>
      <c r="AC290" s="184">
        <f t="shared" si="393"/>
        <v>0</v>
      </c>
      <c r="AD290" s="184">
        <f t="shared" si="372"/>
        <v>105799</v>
      </c>
      <c r="AE290" s="183">
        <f>COUNTIF(CAL_SEGUNDA_ENTREGA_FDS_FRUTA,CONCATENATE(G290,"_",J290))</f>
        <v>3</v>
      </c>
      <c r="AF290" s="385">
        <f>$AE290</f>
        <v>3</v>
      </c>
      <c r="AG290" s="385">
        <f>$AE290</f>
        <v>3</v>
      </c>
      <c r="AH290" s="385">
        <f>$AE290</f>
        <v>3</v>
      </c>
      <c r="AI290" s="185">
        <f t="shared" si="373"/>
        <v>74</v>
      </c>
      <c r="AJ290" s="185">
        <f>IF(OR(B290="NA",N290=0),0,VLOOKUP(B290,FRE_CANTIDADES_DIARIAS_SUMINISTROS,5,FALSE))</f>
        <v>433</v>
      </c>
      <c r="AK290" s="185">
        <f>IF(OR(B290="NA",O290=0),0,VLOOKUP(B290,FRE_CANTIDADES_DIARIAS_SUMINISTROS,6,FALSE))</f>
        <v>683</v>
      </c>
      <c r="AL290" s="185">
        <f t="shared" si="374"/>
        <v>1190</v>
      </c>
      <c r="AM290" s="173">
        <f t="shared" si="402"/>
        <v>56328</v>
      </c>
      <c r="AN290" s="173">
        <f t="shared" si="396"/>
        <v>63853</v>
      </c>
      <c r="AO290" s="173">
        <f t="shared" si="397"/>
        <v>94987</v>
      </c>
      <c r="AP290" s="173">
        <f t="shared" si="360"/>
        <v>0</v>
      </c>
      <c r="AQ290" s="173">
        <f t="shared" si="361"/>
        <v>0</v>
      </c>
      <c r="AR290" s="173">
        <f t="shared" si="362"/>
        <v>215168</v>
      </c>
      <c r="AS290" s="186" t="s">
        <v>1369</v>
      </c>
      <c r="AT290" s="300">
        <f t="shared" si="394"/>
        <v>1.8169999999999999</v>
      </c>
      <c r="AU290" s="300">
        <f t="shared" si="394"/>
        <v>1.8169999999999999</v>
      </c>
      <c r="AV290" s="300">
        <f t="shared" si="394"/>
        <v>1.8169999999999999</v>
      </c>
      <c r="AW290" s="300">
        <f t="shared" si="394"/>
        <v>1.8169999999999999</v>
      </c>
      <c r="AX290" s="300">
        <f t="shared" si="394"/>
        <v>1.8169999999999999</v>
      </c>
      <c r="AY290" s="301">
        <f t="shared" si="401"/>
        <v>1.8169999999999999</v>
      </c>
      <c r="AZ290" s="301">
        <f t="shared" si="401"/>
        <v>1.8169999999999999</v>
      </c>
      <c r="BA290" s="301">
        <f t="shared" si="401"/>
        <v>1.8169999999999999</v>
      </c>
      <c r="BB290" s="301">
        <f t="shared" si="401"/>
        <v>1.8169999999999999</v>
      </c>
      <c r="BC290" s="301">
        <f t="shared" si="401"/>
        <v>1.8169999999999999</v>
      </c>
      <c r="BD290" s="187">
        <f>ROUND(IF(OR(M290=0,AT290="DATO NO DISPONIBLE"),"",AT290*M290*($BD$7+1)),0)</f>
        <v>194</v>
      </c>
      <c r="BE290" s="187">
        <f t="shared" si="398"/>
        <v>194</v>
      </c>
      <c r="BF290" s="187">
        <f t="shared" si="399"/>
        <v>194</v>
      </c>
      <c r="BG290" s="187"/>
      <c r="BH290" s="187"/>
      <c r="BI290" s="187">
        <f>ROUND(IF(OR(M290=0,AY290="DATO NO DISPONIBLE"),0,AY290*M290*($BD$7+1)),0)</f>
        <v>194</v>
      </c>
      <c r="BJ290" s="187">
        <f t="shared" si="376"/>
        <v>194</v>
      </c>
      <c r="BK290" s="187">
        <f t="shared" si="377"/>
        <v>194</v>
      </c>
      <c r="BL290" s="187"/>
      <c r="BM290" s="187"/>
      <c r="BN290" s="188">
        <f>BD290*AM290</f>
        <v>10927632</v>
      </c>
      <c r="BO290" s="188">
        <f t="shared" si="378"/>
        <v>12387482</v>
      </c>
      <c r="BP290" s="188">
        <f t="shared" si="379"/>
        <v>18427478</v>
      </c>
      <c r="BQ290" s="188">
        <f t="shared" si="380"/>
        <v>0</v>
      </c>
      <c r="BR290" s="188">
        <f t="shared" si="381"/>
        <v>0</v>
      </c>
      <c r="BS290" s="188">
        <f t="shared" si="364"/>
        <v>41742592</v>
      </c>
      <c r="BT290" s="188">
        <f t="shared" si="365"/>
        <v>10927632</v>
      </c>
      <c r="BU290" s="188">
        <f t="shared" si="366"/>
        <v>12387482</v>
      </c>
      <c r="BV290" s="188">
        <f t="shared" si="367"/>
        <v>18427478</v>
      </c>
      <c r="BW290" s="188">
        <f t="shared" si="368"/>
        <v>0</v>
      </c>
      <c r="BX290" s="188">
        <f t="shared" si="369"/>
        <v>0</v>
      </c>
      <c r="BY290" s="188">
        <f t="shared" si="370"/>
        <v>41742592</v>
      </c>
      <c r="BZ290" s="305">
        <f>IF(COT_PRECALCULOS!$D$24="Precios Iva Incluído",BI290,BD290)</f>
        <v>194</v>
      </c>
      <c r="CA290" s="305">
        <f>IF(COT_PRECALCULOS!$D$24="Precios Iva Incluído",BJ290,BE290)</f>
        <v>194</v>
      </c>
      <c r="CB290" s="305">
        <f>IF(COT_PRECALCULOS!$D$24="Precios Iva Incluído",BK290,BF290)</f>
        <v>194</v>
      </c>
      <c r="CC290" s="305">
        <f>IF(COT_PRECALCULOS!$D$24="Precios Iva Incluído",BL290,BG290)</f>
        <v>0</v>
      </c>
      <c r="CD290" s="305">
        <f>IF(COT_PRECALCULOS!$D$24="Precios Iva Incluído",BM290,BH290)</f>
        <v>0</v>
      </c>
      <c r="CE290" s="305">
        <f>IF(COT_PRECALCULOS!$D$24="Precios Iva Incluído",BT290,BN290)</f>
        <v>10927632</v>
      </c>
      <c r="CF290" s="305">
        <f>IF(COT_PRECALCULOS!$D$24="Precios Iva Incluído",BU290,BO290)</f>
        <v>12387482</v>
      </c>
      <c r="CG290" s="305">
        <f>IF(COT_PRECALCULOS!$D$24="Precios Iva Incluído",BV290,BP290)</f>
        <v>18427478</v>
      </c>
      <c r="CH290" s="305">
        <f>IF(COT_PRECALCULOS!$D$24="Precios Iva Incluído",BW290,BQ290)</f>
        <v>0</v>
      </c>
      <c r="CI290" s="305">
        <f>IF(COT_PRECALCULOS!$D$24="Precios Iva Incluído",BX290,BR290)</f>
        <v>0</v>
      </c>
    </row>
    <row r="291" spans="1:87">
      <c r="A291" s="182" t="s">
        <v>102</v>
      </c>
      <c r="B291" s="182" t="s">
        <v>126</v>
      </c>
      <c r="C291" s="189" t="str">
        <f t="shared" si="358"/>
        <v>F_SE13</v>
      </c>
      <c r="D291" s="189" t="str">
        <f t="shared" si="359"/>
        <v>43_S_</v>
      </c>
      <c r="E291" s="190" t="s">
        <v>1</v>
      </c>
      <c r="F291" s="190" t="s">
        <v>1</v>
      </c>
      <c r="G291" s="189" t="s">
        <v>42</v>
      </c>
      <c r="H291" s="190"/>
      <c r="I291" s="190" t="s">
        <v>60</v>
      </c>
      <c r="J291" s="190">
        <v>43</v>
      </c>
      <c r="K291" s="190" t="s">
        <v>62</v>
      </c>
      <c r="L291" s="189" t="s">
        <v>9</v>
      </c>
      <c r="M291" s="211">
        <v>100</v>
      </c>
      <c r="N291" s="211">
        <v>100</v>
      </c>
      <c r="O291" s="211">
        <v>100</v>
      </c>
      <c r="P291" s="190"/>
      <c r="Q291" s="190"/>
      <c r="R291" s="190"/>
      <c r="S291" s="388">
        <v>1</v>
      </c>
      <c r="T291" s="388">
        <f>$S291</f>
        <v>1</v>
      </c>
      <c r="U291" s="388">
        <v>0</v>
      </c>
      <c r="V291" s="388">
        <v>0</v>
      </c>
      <c r="W291" s="387"/>
      <c r="X291" s="387"/>
      <c r="Y291" s="184">
        <f t="shared" si="371"/>
        <v>28053</v>
      </c>
      <c r="Z291" s="184">
        <v>0</v>
      </c>
      <c r="AA291" s="184">
        <v>0</v>
      </c>
      <c r="AB291" s="184">
        <f t="shared" si="392"/>
        <v>0</v>
      </c>
      <c r="AC291" s="184">
        <f t="shared" si="393"/>
        <v>0</v>
      </c>
      <c r="AD291" s="184">
        <f t="shared" si="372"/>
        <v>28053</v>
      </c>
      <c r="AE291" s="388">
        <v>3</v>
      </c>
      <c r="AF291" s="388">
        <f>$AE291</f>
        <v>3</v>
      </c>
      <c r="AG291" s="388">
        <v>0</v>
      </c>
      <c r="AH291" s="388">
        <v>0</v>
      </c>
      <c r="AI291" s="185">
        <f t="shared" si="373"/>
        <v>74</v>
      </c>
      <c r="AJ291" s="185">
        <v>0</v>
      </c>
      <c r="AK291" s="185">
        <v>0</v>
      </c>
      <c r="AL291" s="185">
        <f t="shared" si="374"/>
        <v>74</v>
      </c>
      <c r="AM291" s="173">
        <f t="shared" si="402"/>
        <v>28275</v>
      </c>
      <c r="AN291" s="173">
        <f t="shared" si="396"/>
        <v>0</v>
      </c>
      <c r="AO291" s="173">
        <f t="shared" si="397"/>
        <v>0</v>
      </c>
      <c r="AP291" s="173">
        <f t="shared" si="360"/>
        <v>0</v>
      </c>
      <c r="AQ291" s="173">
        <f t="shared" si="361"/>
        <v>0</v>
      </c>
      <c r="AR291" s="173">
        <f t="shared" si="362"/>
        <v>28275</v>
      </c>
      <c r="AS291" s="186" t="s">
        <v>1369</v>
      </c>
      <c r="AT291" s="300">
        <f t="shared" ref="AT291:AX300" si="403">IF(ISERROR(IF(ISERROR(MATCH(CONCATENATE($J291,"_",AT$1),COT_PRE_CODIGO_ALIMENTOS,0)),IF(ISERROR(MATCH(CONCATENATE($J291,"_",AT$2),COT_PRE_CODIGO_ALIMENTOS,0)),IF(ISERROR(MATCH(CONCATENATE($J291,"_",AT$3),COT_PRE_CODIGO_ALIMENTOS,0)),IF(ISERROR(MATCH(CONCATENATE($J291,"_",AT$4),COT_PRE_CODIGO_ALIMENTOS,0)),IF(ISERROR(MATCH(CONCATENATE($J291,"_",AT$5),COT_PRE_CODIGO_ALIMENTOS,0)),IF(ISERROR(MATCH(CONCATENATE($J291,"_",AT$6),COT_PRE_CODIGO_ALIMENTOS,0)),IF(ISERROR(MATCH(CONCATENATE($J291,"_",AT$7),COT_PRE_CODIGO_ALIMENTOS,0)),IF(ISERROR(VLOOKUP($J291,COT_PRE_ALIMENTOS,AT$8,FALSE)),"DATO NO DISPONIBLE",VLOOKUP($J291,COT_PRE_ALIMENTOS,AT$8,FALSE)),VLOOKUP(CONCATENATE($J291,"_",AT$7),COT_PRE_ALIMENTOS,AT$8,FALSE)),VLOOKUP(CONCATENATE($J291,"_",AT$6),COT_PRE_ALIMENTOS,AT$8,FALSE)),VLOOKUP(CONCATENATE($J291,"_",AT$5),COT_PRE_ALIMENTOS,AT$8,FALSE)),VLOOKUP(CONCATENATE($J291,"_",AT$4),COT_PRE_ALIMENTOS,AT$8,FALSE)),VLOOKUP(CONCATENATE($J291,"_",AT$3),COT_PRE_ALIMENTOS,AT$8,FALSE)),VLOOKUP(CONCATENATE($J291,"_",AT$2),COT_PRE_ALIMENTOS,AT$8,FALSE)),VLOOKUP(CONCATENATE($J291,"_",AT$1),COT_PRE_ALIMENTOS,AT$8,FALSE))),"DATO NO DISPONIBLE",IF(ISERROR(MATCH(CONCATENATE($J291,"_",AT$1),COT_PRE_CODIGO_ALIMENTOS,0)),IF(ISERROR(MATCH(CONCATENATE($J291,"_",AT$2),COT_PRE_CODIGO_ALIMENTOS,0)),IF(ISERROR(MATCH(CONCATENATE($J291,"_",AT$3),COT_PRE_CODIGO_ALIMENTOS,0)),IF(ISERROR(MATCH(CONCATENATE($J291,"_",AT$4),COT_PRE_CODIGO_ALIMENTOS,0)),IF(ISERROR(MATCH(CONCATENATE($J291,"_",AT$5),COT_PRE_CODIGO_ALIMENTOS,0)),IF(ISERROR(MATCH(CONCATENATE($J291,"_",AT$6),COT_PRE_CODIGO_ALIMENTOS,0)),IF(ISERROR(MATCH(CONCATENATE($J291,"_",AT$7),COT_PRE_CODIGO_ALIMENTOS,0)),IF(ISERROR(VLOOKUP($J291,COT_PRE_ALIMENTOS,AT$8,FALSE)),"DATO NO DISPONIBLE",VLOOKUP($J291,COT_PRE_ALIMENTOS,AT$8,FALSE)),VLOOKUP(CONCATENATE($J291,"_",AT$7),COT_PRE_ALIMENTOS,AT$8,FALSE)),VLOOKUP(CONCATENATE($J291,"_",AT$6),COT_PRE_ALIMENTOS,AT$8,FALSE)),VLOOKUP(CONCATENATE($J291,"_",AT$5),COT_PRE_ALIMENTOS,AT$8,FALSE)),VLOOKUP(CONCATENATE($J291,"_",AT$4),COT_PRE_ALIMENTOS,AT$8,FALSE)),VLOOKUP(CONCATENATE($J291,"_",AT$3),COT_PRE_ALIMENTOS,AT$8,FALSE)),VLOOKUP(CONCATENATE($J291,"_",AT$2),COT_PRE_ALIMENTOS,AT$8,FALSE)),VLOOKUP(CONCATENATE($J291,"_",AT$1),COT_PRE_ALIMENTOS,AT$8,FALSE)))</f>
        <v>1.5892500000000001</v>
      </c>
      <c r="AU291" s="300">
        <f t="shared" si="403"/>
        <v>1.5892500000000001</v>
      </c>
      <c r="AV291" s="300">
        <f t="shared" si="403"/>
        <v>1.5892500000000001</v>
      </c>
      <c r="AW291" s="300">
        <f t="shared" si="403"/>
        <v>1.5892500000000001</v>
      </c>
      <c r="AX291" s="300">
        <f t="shared" si="403"/>
        <v>1.5892500000000001</v>
      </c>
      <c r="AY291" s="301">
        <f t="shared" si="401"/>
        <v>1.5892500000000001</v>
      </c>
      <c r="AZ291" s="301">
        <f t="shared" si="401"/>
        <v>1.5892500000000001</v>
      </c>
      <c r="BA291" s="301">
        <f t="shared" si="401"/>
        <v>1.5892500000000001</v>
      </c>
      <c r="BB291" s="301">
        <f t="shared" si="401"/>
        <v>1.5892500000000001</v>
      </c>
      <c r="BC291" s="301">
        <f t="shared" si="401"/>
        <v>1.5892500000000001</v>
      </c>
      <c r="BD291" s="187">
        <f>ROUND(IF(OR(M291=0,AT291="DATO NO DISPONIBLE"),"",AT291*M291*($BD$7+1)),0)</f>
        <v>170</v>
      </c>
      <c r="BE291" s="187">
        <f t="shared" si="398"/>
        <v>170</v>
      </c>
      <c r="BF291" s="187">
        <f t="shared" si="399"/>
        <v>170</v>
      </c>
      <c r="BG291" s="187"/>
      <c r="BH291" s="187"/>
      <c r="BI291" s="187">
        <f>ROUND(IF(OR(M291=0,AY291="DATO NO DISPONIBLE"),0,AY291*M291*($BD$7+1)),0)</f>
        <v>170</v>
      </c>
      <c r="BJ291" s="187">
        <f t="shared" si="376"/>
        <v>170</v>
      </c>
      <c r="BK291" s="187">
        <f t="shared" si="377"/>
        <v>170</v>
      </c>
      <c r="BL291" s="187"/>
      <c r="BM291" s="187"/>
      <c r="BN291" s="188">
        <f>BD291*AM291</f>
        <v>4806750</v>
      </c>
      <c r="BO291" s="188">
        <f t="shared" si="378"/>
        <v>0</v>
      </c>
      <c r="BP291" s="188">
        <f t="shared" si="379"/>
        <v>0</v>
      </c>
      <c r="BQ291" s="188">
        <f t="shared" si="380"/>
        <v>0</v>
      </c>
      <c r="BR291" s="188">
        <f t="shared" si="381"/>
        <v>0</v>
      </c>
      <c r="BS291" s="188">
        <f t="shared" si="364"/>
        <v>4806750</v>
      </c>
      <c r="BT291" s="188">
        <f t="shared" si="365"/>
        <v>4806750</v>
      </c>
      <c r="BU291" s="188">
        <f t="shared" si="366"/>
        <v>0</v>
      </c>
      <c r="BV291" s="188">
        <f t="shared" si="367"/>
        <v>0</v>
      </c>
      <c r="BW291" s="188">
        <f t="shared" si="368"/>
        <v>0</v>
      </c>
      <c r="BX291" s="188">
        <f t="shared" si="369"/>
        <v>0</v>
      </c>
      <c r="BY291" s="188">
        <f t="shared" si="370"/>
        <v>4806750</v>
      </c>
      <c r="BZ291" s="305">
        <f>IF(COT_PRECALCULOS!$D$24="Precios Iva Incluído",BI291,BD291)</f>
        <v>170</v>
      </c>
      <c r="CA291" s="305">
        <f>IF(COT_PRECALCULOS!$D$24="Precios Iva Incluído",BJ291,BE291)</f>
        <v>170</v>
      </c>
      <c r="CB291" s="305">
        <f>IF(COT_PRECALCULOS!$D$24="Precios Iva Incluído",BK291,BF291)</f>
        <v>170</v>
      </c>
      <c r="CC291" s="305">
        <f>IF(COT_PRECALCULOS!$D$24="Precios Iva Incluído",BL291,BG291)</f>
        <v>0</v>
      </c>
      <c r="CD291" s="305">
        <f>IF(COT_PRECALCULOS!$D$24="Precios Iva Incluído",BM291,BH291)</f>
        <v>0</v>
      </c>
      <c r="CE291" s="305">
        <f>IF(COT_PRECALCULOS!$D$24="Precios Iva Incluído",BT291,BN291)</f>
        <v>4806750</v>
      </c>
      <c r="CF291" s="305">
        <f>IF(COT_PRECALCULOS!$D$24="Precios Iva Incluído",BU291,BO291)</f>
        <v>0</v>
      </c>
      <c r="CG291" s="305">
        <f>IF(COT_PRECALCULOS!$D$24="Precios Iva Incluído",BV291,BP291)</f>
        <v>0</v>
      </c>
      <c r="CH291" s="305">
        <f>IF(COT_PRECALCULOS!$D$24="Precios Iva Incluído",BW291,BQ291)</f>
        <v>0</v>
      </c>
      <c r="CI291" s="305">
        <f>IF(COT_PRECALCULOS!$D$24="Precios Iva Incluído",BX291,BR291)</f>
        <v>0</v>
      </c>
    </row>
    <row r="292" spans="1:87">
      <c r="A292" s="182" t="s">
        <v>102</v>
      </c>
      <c r="B292" s="182" t="s">
        <v>126</v>
      </c>
      <c r="C292" s="189" t="str">
        <f t="shared" si="358"/>
        <v>F_SE13</v>
      </c>
      <c r="D292" s="189" t="str">
        <f t="shared" si="359"/>
        <v>46_S_</v>
      </c>
      <c r="E292" s="190" t="s">
        <v>1</v>
      </c>
      <c r="F292" s="190" t="s">
        <v>1</v>
      </c>
      <c r="G292" s="189" t="s">
        <v>42</v>
      </c>
      <c r="H292" s="190"/>
      <c r="I292" s="190" t="s">
        <v>63</v>
      </c>
      <c r="J292" s="190">
        <v>46</v>
      </c>
      <c r="K292" s="190" t="s">
        <v>64</v>
      </c>
      <c r="L292" s="189" t="s">
        <v>9</v>
      </c>
      <c r="M292" s="211">
        <v>100</v>
      </c>
      <c r="N292" s="211">
        <v>100</v>
      </c>
      <c r="O292" s="211">
        <v>100</v>
      </c>
      <c r="P292" s="190"/>
      <c r="Q292" s="190"/>
      <c r="R292" s="190"/>
      <c r="S292" s="183">
        <f t="shared" ref="S292:S298" si="404">COUNTIF(CAL_SEGUNDA_ENTREGA_LAV_FRUTA,CONCATENATE(G292,"_",J292))</f>
        <v>2</v>
      </c>
      <c r="T292" s="385">
        <f>$S292</f>
        <v>2</v>
      </c>
      <c r="U292" s="385">
        <f t="shared" ref="U292:V298" si="405">$S292</f>
        <v>2</v>
      </c>
      <c r="V292" s="385">
        <f t="shared" si="405"/>
        <v>2</v>
      </c>
      <c r="W292" s="387"/>
      <c r="X292" s="387"/>
      <c r="Y292" s="184">
        <f t="shared" si="371"/>
        <v>28053</v>
      </c>
      <c r="Z292" s="184">
        <f t="shared" ref="Z292:Z298" si="406">IF(N292&lt;&gt;0,VLOOKUP(A292,FRE_CANTIDADES_DIARIAS_SUMINISTROS,5,FALSE),0)</f>
        <v>31277</v>
      </c>
      <c r="AA292" s="184">
        <f t="shared" ref="AA292:AA298" si="407">IF(O292&lt;&gt;0,VLOOKUP(A292,FRE_CANTIDADES_DIARIAS_SUMINISTROS,6,FALSE),0)</f>
        <v>46469</v>
      </c>
      <c r="AB292" s="184">
        <f t="shared" si="392"/>
        <v>0</v>
      </c>
      <c r="AC292" s="184">
        <f t="shared" si="393"/>
        <v>0</v>
      </c>
      <c r="AD292" s="184">
        <f t="shared" si="372"/>
        <v>105799</v>
      </c>
      <c r="AE292" s="183">
        <f t="shared" ref="AE292:AE323" si="408">COUNTIF(CAL_SEGUNDA_ENTREGA_FDS_FRUTA,CONCATENATE(G292,"_",J292))</f>
        <v>2</v>
      </c>
      <c r="AF292" s="385">
        <f>$AE292</f>
        <v>2</v>
      </c>
      <c r="AG292" s="385">
        <f t="shared" ref="AG292:AH311" si="409">$AE292</f>
        <v>2</v>
      </c>
      <c r="AH292" s="385">
        <f t="shared" si="409"/>
        <v>2</v>
      </c>
      <c r="AI292" s="185">
        <f t="shared" si="373"/>
        <v>74</v>
      </c>
      <c r="AJ292" s="185">
        <f t="shared" ref="AJ292:AJ323" si="410">IF(OR(B292="NA",N292=0),0,VLOOKUP(B292,FRE_CANTIDADES_DIARIAS_SUMINISTROS,5,FALSE))</f>
        <v>433</v>
      </c>
      <c r="AK292" s="185">
        <f t="shared" ref="AK292:AK323" si="411">IF(OR(B292="NA",O292=0),0,VLOOKUP(B292,FRE_CANTIDADES_DIARIAS_SUMINISTROS,6,FALSE))</f>
        <v>683</v>
      </c>
      <c r="AL292" s="185">
        <f t="shared" si="374"/>
        <v>1190</v>
      </c>
      <c r="AM292" s="173">
        <f t="shared" si="402"/>
        <v>56254</v>
      </c>
      <c r="AN292" s="173">
        <f t="shared" si="396"/>
        <v>63420</v>
      </c>
      <c r="AO292" s="173">
        <f t="shared" si="397"/>
        <v>94304</v>
      </c>
      <c r="AP292" s="173">
        <f t="shared" si="360"/>
        <v>0</v>
      </c>
      <c r="AQ292" s="173">
        <f t="shared" si="361"/>
        <v>0</v>
      </c>
      <c r="AR292" s="173">
        <f t="shared" si="362"/>
        <v>213978</v>
      </c>
      <c r="AS292" s="186" t="s">
        <v>1369</v>
      </c>
      <c r="AT292" s="300">
        <f t="shared" si="403"/>
        <v>3.7214999999999998</v>
      </c>
      <c r="AU292" s="300">
        <f t="shared" si="403"/>
        <v>3.7214999999999998</v>
      </c>
      <c r="AV292" s="300">
        <f t="shared" si="403"/>
        <v>3.7214999999999998</v>
      </c>
      <c r="AW292" s="300">
        <f t="shared" si="403"/>
        <v>3.7214999999999998</v>
      </c>
      <c r="AX292" s="300">
        <f t="shared" si="403"/>
        <v>3.7214999999999998</v>
      </c>
      <c r="AY292" s="301">
        <f t="shared" si="401"/>
        <v>3.7214999999999998</v>
      </c>
      <c r="AZ292" s="301">
        <f t="shared" si="401"/>
        <v>3.7214999999999998</v>
      </c>
      <c r="BA292" s="301">
        <f t="shared" si="401"/>
        <v>3.7214999999999998</v>
      </c>
      <c r="BB292" s="301">
        <f t="shared" si="401"/>
        <v>3.7214999999999998</v>
      </c>
      <c r="BC292" s="301">
        <f t="shared" si="401"/>
        <v>3.7214999999999998</v>
      </c>
      <c r="BD292" s="187">
        <f>ROUND(IF(OR(M292=0,AT292="DATO NO DISPONIBLE"),"",AT292*M292*($BD$7+1)),0)</f>
        <v>398</v>
      </c>
      <c r="BE292" s="187">
        <f t="shared" si="398"/>
        <v>398</v>
      </c>
      <c r="BF292" s="187">
        <f t="shared" si="399"/>
        <v>398</v>
      </c>
      <c r="BG292" s="187"/>
      <c r="BH292" s="187"/>
      <c r="BI292" s="187">
        <f>ROUND(IF(OR(M292=0,AY292="DATO NO DISPONIBLE"),0,AY292*M292*($BD$7+1)),0)</f>
        <v>398</v>
      </c>
      <c r="BJ292" s="187">
        <f t="shared" si="376"/>
        <v>398</v>
      </c>
      <c r="BK292" s="187">
        <f t="shared" si="377"/>
        <v>398</v>
      </c>
      <c r="BL292" s="187"/>
      <c r="BM292" s="187"/>
      <c r="BN292" s="188">
        <f>BD292*AM292</f>
        <v>22389092</v>
      </c>
      <c r="BO292" s="188">
        <f t="shared" si="378"/>
        <v>25241160</v>
      </c>
      <c r="BP292" s="188">
        <f t="shared" si="379"/>
        <v>37532992</v>
      </c>
      <c r="BQ292" s="188">
        <f t="shared" si="380"/>
        <v>0</v>
      </c>
      <c r="BR292" s="188">
        <f t="shared" si="381"/>
        <v>0</v>
      </c>
      <c r="BS292" s="188">
        <f t="shared" si="364"/>
        <v>85163244</v>
      </c>
      <c r="BT292" s="188">
        <f t="shared" si="365"/>
        <v>22389092</v>
      </c>
      <c r="BU292" s="188">
        <f t="shared" si="366"/>
        <v>25241160</v>
      </c>
      <c r="BV292" s="188">
        <f t="shared" si="367"/>
        <v>37532992</v>
      </c>
      <c r="BW292" s="188">
        <f t="shared" si="368"/>
        <v>0</v>
      </c>
      <c r="BX292" s="188">
        <f t="shared" si="369"/>
        <v>0</v>
      </c>
      <c r="BY292" s="188">
        <f t="shared" si="370"/>
        <v>85163244</v>
      </c>
      <c r="BZ292" s="305">
        <f>IF(COT_PRECALCULOS!$D$24="Precios Iva Incluído",BI292,BD292)</f>
        <v>398</v>
      </c>
      <c r="CA292" s="305">
        <f>IF(COT_PRECALCULOS!$D$24="Precios Iva Incluído",BJ292,BE292)</f>
        <v>398</v>
      </c>
      <c r="CB292" s="305">
        <f>IF(COT_PRECALCULOS!$D$24="Precios Iva Incluído",BK292,BF292)</f>
        <v>398</v>
      </c>
      <c r="CC292" s="305">
        <f>IF(COT_PRECALCULOS!$D$24="Precios Iva Incluído",BL292,BG292)</f>
        <v>0</v>
      </c>
      <c r="CD292" s="305">
        <f>IF(COT_PRECALCULOS!$D$24="Precios Iva Incluído",BM292,BH292)</f>
        <v>0</v>
      </c>
      <c r="CE292" s="305">
        <f>IF(COT_PRECALCULOS!$D$24="Precios Iva Incluído",BT292,BN292)</f>
        <v>22389092</v>
      </c>
      <c r="CF292" s="305">
        <f>IF(COT_PRECALCULOS!$D$24="Precios Iva Incluído",BU292,BO292)</f>
        <v>25241160</v>
      </c>
      <c r="CG292" s="305">
        <f>IF(COT_PRECALCULOS!$D$24="Precios Iva Incluído",BV292,BP292)</f>
        <v>37532992</v>
      </c>
      <c r="CH292" s="305">
        <f>IF(COT_PRECALCULOS!$D$24="Precios Iva Incluído",BW292,BQ292)</f>
        <v>0</v>
      </c>
      <c r="CI292" s="305">
        <f>IF(COT_PRECALCULOS!$D$24="Precios Iva Incluído",BX292,BR292)</f>
        <v>0</v>
      </c>
    </row>
    <row r="293" spans="1:87">
      <c r="A293" s="182" t="s">
        <v>102</v>
      </c>
      <c r="B293" s="182" t="s">
        <v>126</v>
      </c>
      <c r="C293" s="189" t="str">
        <f t="shared" si="358"/>
        <v>F_SE13</v>
      </c>
      <c r="D293" s="189" t="str">
        <f t="shared" si="359"/>
        <v>58_S_</v>
      </c>
      <c r="E293" s="190" t="s">
        <v>1</v>
      </c>
      <c r="F293" s="190" t="s">
        <v>1</v>
      </c>
      <c r="G293" s="189" t="s">
        <v>42</v>
      </c>
      <c r="H293" s="190"/>
      <c r="I293" s="190" t="s">
        <v>65</v>
      </c>
      <c r="J293" s="190">
        <v>58</v>
      </c>
      <c r="K293" s="190" t="s">
        <v>67</v>
      </c>
      <c r="L293" s="189" t="s">
        <v>9</v>
      </c>
      <c r="M293" s="211">
        <v>100</v>
      </c>
      <c r="N293" s="211">
        <v>100</v>
      </c>
      <c r="O293" s="211">
        <v>100</v>
      </c>
      <c r="P293" s="190"/>
      <c r="Q293" s="190"/>
      <c r="R293" s="190"/>
      <c r="S293" s="183">
        <f t="shared" si="404"/>
        <v>1</v>
      </c>
      <c r="T293" s="385">
        <f>$S293</f>
        <v>1</v>
      </c>
      <c r="U293" s="385">
        <f t="shared" si="405"/>
        <v>1</v>
      </c>
      <c r="V293" s="385">
        <f t="shared" si="405"/>
        <v>1</v>
      </c>
      <c r="W293" s="387"/>
      <c r="X293" s="387"/>
      <c r="Y293" s="184">
        <f t="shared" si="371"/>
        <v>28053</v>
      </c>
      <c r="Z293" s="184">
        <f t="shared" si="406"/>
        <v>31277</v>
      </c>
      <c r="AA293" s="184">
        <f t="shared" si="407"/>
        <v>46469</v>
      </c>
      <c r="AB293" s="184">
        <f t="shared" si="392"/>
        <v>0</v>
      </c>
      <c r="AC293" s="184">
        <f t="shared" si="393"/>
        <v>0</v>
      </c>
      <c r="AD293" s="184">
        <f t="shared" si="372"/>
        <v>105799</v>
      </c>
      <c r="AE293" s="183">
        <f t="shared" si="408"/>
        <v>1</v>
      </c>
      <c r="AF293" s="385">
        <f>$AE293</f>
        <v>1</v>
      </c>
      <c r="AG293" s="385">
        <f t="shared" si="409"/>
        <v>1</v>
      </c>
      <c r="AH293" s="385">
        <f t="shared" si="409"/>
        <v>1</v>
      </c>
      <c r="AI293" s="185">
        <f t="shared" si="373"/>
        <v>74</v>
      </c>
      <c r="AJ293" s="185">
        <f t="shared" si="410"/>
        <v>433</v>
      </c>
      <c r="AK293" s="185">
        <f t="shared" si="411"/>
        <v>683</v>
      </c>
      <c r="AL293" s="185">
        <f t="shared" si="374"/>
        <v>1190</v>
      </c>
      <c r="AM293" s="173">
        <f t="shared" si="402"/>
        <v>28127</v>
      </c>
      <c r="AN293" s="173">
        <f t="shared" si="396"/>
        <v>31710</v>
      </c>
      <c r="AO293" s="173">
        <f t="shared" si="397"/>
        <v>47152</v>
      </c>
      <c r="AP293" s="173">
        <f t="shared" si="360"/>
        <v>0</v>
      </c>
      <c r="AQ293" s="173">
        <f t="shared" si="361"/>
        <v>0</v>
      </c>
      <c r="AR293" s="173">
        <f t="shared" si="362"/>
        <v>106989</v>
      </c>
      <c r="AS293" s="186" t="s">
        <v>1369</v>
      </c>
      <c r="AT293" s="300">
        <f t="shared" si="403"/>
        <v>1.4384999999999999</v>
      </c>
      <c r="AU293" s="300">
        <f t="shared" si="403"/>
        <v>1.4384999999999999</v>
      </c>
      <c r="AV293" s="300">
        <f t="shared" si="403"/>
        <v>1.4384999999999999</v>
      </c>
      <c r="AW293" s="300">
        <f t="shared" si="403"/>
        <v>1.4384999999999999</v>
      </c>
      <c r="AX293" s="300">
        <f t="shared" si="403"/>
        <v>1.4384999999999999</v>
      </c>
      <c r="AY293" s="301">
        <f t="shared" si="401"/>
        <v>1.4384999999999999</v>
      </c>
      <c r="AZ293" s="301">
        <f t="shared" si="401"/>
        <v>1.4384999999999999</v>
      </c>
      <c r="BA293" s="301">
        <f t="shared" si="401"/>
        <v>1.4384999999999999</v>
      </c>
      <c r="BB293" s="301">
        <f t="shared" si="401"/>
        <v>1.4384999999999999</v>
      </c>
      <c r="BC293" s="301">
        <f t="shared" si="401"/>
        <v>1.4384999999999999</v>
      </c>
      <c r="BD293" s="187">
        <f>ROUND(IF(OR(M293=0,AT293="DATO NO DISPONIBLE"),"",AT293*M293*($BD$7+1)),0)</f>
        <v>154</v>
      </c>
      <c r="BE293" s="187">
        <f t="shared" si="398"/>
        <v>154</v>
      </c>
      <c r="BF293" s="187">
        <f t="shared" si="399"/>
        <v>154</v>
      </c>
      <c r="BG293" s="187"/>
      <c r="BH293" s="187"/>
      <c r="BI293" s="187">
        <f>ROUND(IF(OR(M293=0,AY293="DATO NO DISPONIBLE"),0,AY293*M293*($BD$7+1)),0)</f>
        <v>154</v>
      </c>
      <c r="BJ293" s="187">
        <f t="shared" si="376"/>
        <v>154</v>
      </c>
      <c r="BK293" s="187">
        <f t="shared" si="377"/>
        <v>154</v>
      </c>
      <c r="BL293" s="187"/>
      <c r="BM293" s="187"/>
      <c r="BN293" s="188">
        <f>BD293*AM293</f>
        <v>4331558</v>
      </c>
      <c r="BO293" s="188">
        <f t="shared" si="378"/>
        <v>4883340</v>
      </c>
      <c r="BP293" s="188">
        <f t="shared" si="379"/>
        <v>7261408</v>
      </c>
      <c r="BQ293" s="188">
        <f t="shared" si="380"/>
        <v>0</v>
      </c>
      <c r="BR293" s="188">
        <f t="shared" si="381"/>
        <v>0</v>
      </c>
      <c r="BS293" s="188">
        <f t="shared" si="364"/>
        <v>16476306</v>
      </c>
      <c r="BT293" s="188">
        <f t="shared" si="365"/>
        <v>4331558</v>
      </c>
      <c r="BU293" s="188">
        <f t="shared" si="366"/>
        <v>4883340</v>
      </c>
      <c r="BV293" s="188">
        <f t="shared" si="367"/>
        <v>7261408</v>
      </c>
      <c r="BW293" s="188">
        <f t="shared" si="368"/>
        <v>0</v>
      </c>
      <c r="BX293" s="188">
        <f t="shared" si="369"/>
        <v>0</v>
      </c>
      <c r="BY293" s="188">
        <f t="shared" si="370"/>
        <v>16476306</v>
      </c>
      <c r="BZ293" s="305">
        <f>IF(COT_PRECALCULOS!$D$24="Precios Iva Incluído",BI293,BD293)</f>
        <v>154</v>
      </c>
      <c r="CA293" s="305">
        <f>IF(COT_PRECALCULOS!$D$24="Precios Iva Incluído",BJ293,BE293)</f>
        <v>154</v>
      </c>
      <c r="CB293" s="305">
        <f>IF(COT_PRECALCULOS!$D$24="Precios Iva Incluído",BK293,BF293)</f>
        <v>154</v>
      </c>
      <c r="CC293" s="305">
        <f>IF(COT_PRECALCULOS!$D$24="Precios Iva Incluído",BL293,BG293)</f>
        <v>0</v>
      </c>
      <c r="CD293" s="305">
        <f>IF(COT_PRECALCULOS!$D$24="Precios Iva Incluído",BM293,BH293)</f>
        <v>0</v>
      </c>
      <c r="CE293" s="305">
        <f>IF(COT_PRECALCULOS!$D$24="Precios Iva Incluído",BT293,BN293)</f>
        <v>4331558</v>
      </c>
      <c r="CF293" s="305">
        <f>IF(COT_PRECALCULOS!$D$24="Precios Iva Incluído",BU293,BO293)</f>
        <v>4883340</v>
      </c>
      <c r="CG293" s="305">
        <f>IF(COT_PRECALCULOS!$D$24="Precios Iva Incluído",BV293,BP293)</f>
        <v>7261408</v>
      </c>
      <c r="CH293" s="305">
        <f>IF(COT_PRECALCULOS!$D$24="Precios Iva Incluído",BW293,BQ293)</f>
        <v>0</v>
      </c>
      <c r="CI293" s="305">
        <f>IF(COT_PRECALCULOS!$D$24="Precios Iva Incluído",BX293,BR293)</f>
        <v>0</v>
      </c>
    </row>
    <row r="294" spans="1:87">
      <c r="A294" s="182" t="s">
        <v>102</v>
      </c>
      <c r="B294" s="182" t="s">
        <v>126</v>
      </c>
      <c r="C294" s="189" t="str">
        <f t="shared" si="358"/>
        <v>F_SE13</v>
      </c>
      <c r="D294" s="189" t="str">
        <f t="shared" si="359"/>
        <v>59_S_</v>
      </c>
      <c r="E294" s="190" t="s">
        <v>1</v>
      </c>
      <c r="F294" s="190" t="s">
        <v>1</v>
      </c>
      <c r="G294" s="189" t="s">
        <v>42</v>
      </c>
      <c r="H294" s="190"/>
      <c r="I294" s="190" t="s">
        <v>66</v>
      </c>
      <c r="J294" s="190">
        <v>59</v>
      </c>
      <c r="K294" s="190" t="s">
        <v>99</v>
      </c>
      <c r="L294" s="189" t="s">
        <v>9</v>
      </c>
      <c r="M294" s="386">
        <v>0</v>
      </c>
      <c r="N294" s="211">
        <v>100</v>
      </c>
      <c r="O294" s="211">
        <v>100</v>
      </c>
      <c r="P294" s="190"/>
      <c r="Q294" s="190"/>
      <c r="R294" s="190" t="s">
        <v>73</v>
      </c>
      <c r="S294" s="183">
        <f t="shared" si="404"/>
        <v>0</v>
      </c>
      <c r="T294" s="386">
        <v>0</v>
      </c>
      <c r="U294" s="385">
        <f t="shared" si="405"/>
        <v>0</v>
      </c>
      <c r="V294" s="385">
        <f t="shared" si="405"/>
        <v>0</v>
      </c>
      <c r="W294" s="387"/>
      <c r="X294" s="387"/>
      <c r="Y294" s="184">
        <f t="shared" si="371"/>
        <v>0</v>
      </c>
      <c r="Z294" s="184">
        <f t="shared" si="406"/>
        <v>31277</v>
      </c>
      <c r="AA294" s="184">
        <f t="shared" si="407"/>
        <v>46469</v>
      </c>
      <c r="AB294" s="184">
        <f t="shared" si="392"/>
        <v>0</v>
      </c>
      <c r="AC294" s="184">
        <f t="shared" si="393"/>
        <v>0</v>
      </c>
      <c r="AD294" s="184">
        <f t="shared" si="372"/>
        <v>77746</v>
      </c>
      <c r="AE294" s="183">
        <f t="shared" si="408"/>
        <v>0</v>
      </c>
      <c r="AF294" s="386">
        <v>0</v>
      </c>
      <c r="AG294" s="385">
        <f t="shared" si="409"/>
        <v>0</v>
      </c>
      <c r="AH294" s="385">
        <f t="shared" si="409"/>
        <v>0</v>
      </c>
      <c r="AI294" s="185">
        <f t="shared" si="373"/>
        <v>0</v>
      </c>
      <c r="AJ294" s="185">
        <f t="shared" si="410"/>
        <v>433</v>
      </c>
      <c r="AK294" s="185">
        <f t="shared" si="411"/>
        <v>683</v>
      </c>
      <c r="AL294" s="185">
        <f t="shared" si="374"/>
        <v>1116</v>
      </c>
      <c r="AM294" s="173">
        <f t="shared" si="402"/>
        <v>0</v>
      </c>
      <c r="AN294" s="173">
        <f t="shared" si="396"/>
        <v>0</v>
      </c>
      <c r="AO294" s="173">
        <f t="shared" si="397"/>
        <v>0</v>
      </c>
      <c r="AP294" s="173">
        <f t="shared" si="360"/>
        <v>0</v>
      </c>
      <c r="AQ294" s="173">
        <f t="shared" si="361"/>
        <v>0</v>
      </c>
      <c r="AR294" s="173">
        <f t="shared" si="362"/>
        <v>0</v>
      </c>
      <c r="AS294" s="186" t="s">
        <v>1369</v>
      </c>
      <c r="AT294" s="300">
        <f t="shared" si="403"/>
        <v>2.6785000000000001</v>
      </c>
      <c r="AU294" s="300">
        <f t="shared" si="403"/>
        <v>2.6785000000000001</v>
      </c>
      <c r="AV294" s="300">
        <f t="shared" si="403"/>
        <v>2.6785000000000001</v>
      </c>
      <c r="AW294" s="300">
        <f t="shared" si="403"/>
        <v>2.6785000000000001</v>
      </c>
      <c r="AX294" s="300">
        <f t="shared" si="403"/>
        <v>2.6785000000000001</v>
      </c>
      <c r="AY294" s="301">
        <f t="shared" si="401"/>
        <v>2.6785000000000001</v>
      </c>
      <c r="AZ294" s="301">
        <f t="shared" si="401"/>
        <v>2.6785000000000001</v>
      </c>
      <c r="BA294" s="301">
        <f t="shared" si="401"/>
        <v>2.6785000000000001</v>
      </c>
      <c r="BB294" s="301">
        <f t="shared" si="401"/>
        <v>2.6785000000000001</v>
      </c>
      <c r="BC294" s="301">
        <f t="shared" si="401"/>
        <v>2.6785000000000001</v>
      </c>
      <c r="BD294" s="187"/>
      <c r="BE294" s="187">
        <f t="shared" si="398"/>
        <v>286</v>
      </c>
      <c r="BF294" s="187">
        <f t="shared" si="399"/>
        <v>286</v>
      </c>
      <c r="BG294" s="187"/>
      <c r="BH294" s="187"/>
      <c r="BI294" s="187"/>
      <c r="BJ294" s="187">
        <f t="shared" si="376"/>
        <v>286</v>
      </c>
      <c r="BK294" s="187">
        <f t="shared" si="377"/>
        <v>286</v>
      </c>
      <c r="BL294" s="187"/>
      <c r="BM294" s="187"/>
      <c r="BN294" s="188"/>
      <c r="BO294" s="188">
        <f t="shared" si="378"/>
        <v>0</v>
      </c>
      <c r="BP294" s="188">
        <f t="shared" si="379"/>
        <v>0</v>
      </c>
      <c r="BQ294" s="188">
        <f t="shared" si="380"/>
        <v>0</v>
      </c>
      <c r="BR294" s="188">
        <f t="shared" si="381"/>
        <v>0</v>
      </c>
      <c r="BS294" s="188">
        <f t="shared" si="364"/>
        <v>0</v>
      </c>
      <c r="BT294" s="188">
        <f t="shared" si="365"/>
        <v>0</v>
      </c>
      <c r="BU294" s="188">
        <f t="shared" si="366"/>
        <v>0</v>
      </c>
      <c r="BV294" s="188">
        <f t="shared" si="367"/>
        <v>0</v>
      </c>
      <c r="BW294" s="188">
        <f t="shared" si="368"/>
        <v>0</v>
      </c>
      <c r="BX294" s="188">
        <f t="shared" si="369"/>
        <v>0</v>
      </c>
      <c r="BY294" s="188">
        <f t="shared" si="370"/>
        <v>0</v>
      </c>
      <c r="BZ294" s="305">
        <f>IF(COT_PRECALCULOS!$D$24="Precios Iva Incluído",BI294,BD294)</f>
        <v>0</v>
      </c>
      <c r="CA294" s="305">
        <f>IF(COT_PRECALCULOS!$D$24="Precios Iva Incluído",BJ294,BE294)</f>
        <v>286</v>
      </c>
      <c r="CB294" s="305">
        <f>IF(COT_PRECALCULOS!$D$24="Precios Iva Incluído",BK294,BF294)</f>
        <v>286</v>
      </c>
      <c r="CC294" s="305">
        <f>IF(COT_PRECALCULOS!$D$24="Precios Iva Incluído",BL294,BG294)</f>
        <v>0</v>
      </c>
      <c r="CD294" s="305">
        <f>IF(COT_PRECALCULOS!$D$24="Precios Iva Incluído",BM294,BH294)</f>
        <v>0</v>
      </c>
      <c r="CE294" s="305">
        <f>IF(COT_PRECALCULOS!$D$24="Precios Iva Incluído",BT294,BN294)</f>
        <v>0</v>
      </c>
      <c r="CF294" s="305">
        <f>IF(COT_PRECALCULOS!$D$24="Precios Iva Incluído",BU294,BO294)</f>
        <v>0</v>
      </c>
      <c r="CG294" s="305">
        <f>IF(COT_PRECALCULOS!$D$24="Precios Iva Incluído",BV294,BP294)</f>
        <v>0</v>
      </c>
      <c r="CH294" s="305">
        <f>IF(COT_PRECALCULOS!$D$24="Precios Iva Incluído",BW294,BQ294)</f>
        <v>0</v>
      </c>
      <c r="CI294" s="305">
        <f>IF(COT_PRECALCULOS!$D$24="Precios Iva Incluído",BX294,BR294)</f>
        <v>0</v>
      </c>
    </row>
    <row r="295" spans="1:87">
      <c r="A295" s="182" t="s">
        <v>102</v>
      </c>
      <c r="B295" s="182" t="s">
        <v>126</v>
      </c>
      <c r="C295" s="189" t="str">
        <f t="shared" si="358"/>
        <v>F_SE13</v>
      </c>
      <c r="D295" s="189" t="str">
        <f t="shared" si="359"/>
        <v>69_S_</v>
      </c>
      <c r="E295" s="190" t="s">
        <v>1</v>
      </c>
      <c r="F295" s="190" t="s">
        <v>1</v>
      </c>
      <c r="G295" s="189" t="s">
        <v>42</v>
      </c>
      <c r="H295" s="190"/>
      <c r="I295" s="190" t="s">
        <v>68</v>
      </c>
      <c r="J295" s="190">
        <v>69</v>
      </c>
      <c r="K295" s="190" t="s">
        <v>70</v>
      </c>
      <c r="L295" s="189" t="s">
        <v>9</v>
      </c>
      <c r="M295" s="211">
        <v>100</v>
      </c>
      <c r="N295" s="211">
        <v>100</v>
      </c>
      <c r="O295" s="211">
        <v>100</v>
      </c>
      <c r="P295" s="190"/>
      <c r="Q295" s="190"/>
      <c r="R295" s="190"/>
      <c r="S295" s="183">
        <f t="shared" si="404"/>
        <v>2</v>
      </c>
      <c r="T295" s="385">
        <f>$S295</f>
        <v>2</v>
      </c>
      <c r="U295" s="385">
        <f t="shared" si="405"/>
        <v>2</v>
      </c>
      <c r="V295" s="385">
        <f t="shared" si="405"/>
        <v>2</v>
      </c>
      <c r="W295" s="387"/>
      <c r="X295" s="387"/>
      <c r="Y295" s="184">
        <f t="shared" si="371"/>
        <v>28053</v>
      </c>
      <c r="Z295" s="184">
        <f t="shared" si="406"/>
        <v>31277</v>
      </c>
      <c r="AA295" s="184">
        <f t="shared" si="407"/>
        <v>46469</v>
      </c>
      <c r="AB295" s="184">
        <f t="shared" si="392"/>
        <v>0</v>
      </c>
      <c r="AC295" s="184">
        <f t="shared" si="393"/>
        <v>0</v>
      </c>
      <c r="AD295" s="184">
        <f t="shared" si="372"/>
        <v>105799</v>
      </c>
      <c r="AE295" s="183">
        <f t="shared" si="408"/>
        <v>0</v>
      </c>
      <c r="AF295" s="385">
        <f>$AE295</f>
        <v>0</v>
      </c>
      <c r="AG295" s="385">
        <f t="shared" si="409"/>
        <v>0</v>
      </c>
      <c r="AH295" s="385">
        <f t="shared" si="409"/>
        <v>0</v>
      </c>
      <c r="AI295" s="185">
        <f t="shared" si="373"/>
        <v>74</v>
      </c>
      <c r="AJ295" s="185">
        <f t="shared" si="410"/>
        <v>433</v>
      </c>
      <c r="AK295" s="185">
        <f t="shared" si="411"/>
        <v>683</v>
      </c>
      <c r="AL295" s="185">
        <f t="shared" si="374"/>
        <v>1190</v>
      </c>
      <c r="AM295" s="173">
        <f t="shared" si="402"/>
        <v>56106</v>
      </c>
      <c r="AN295" s="173">
        <f t="shared" si="396"/>
        <v>62554</v>
      </c>
      <c r="AO295" s="173">
        <f t="shared" si="397"/>
        <v>92938</v>
      </c>
      <c r="AP295" s="173">
        <f t="shared" si="360"/>
        <v>0</v>
      </c>
      <c r="AQ295" s="173">
        <f t="shared" si="361"/>
        <v>0</v>
      </c>
      <c r="AR295" s="173">
        <f t="shared" si="362"/>
        <v>211598</v>
      </c>
      <c r="AS295" s="186" t="s">
        <v>1369</v>
      </c>
      <c r="AT295" s="300">
        <f t="shared" si="403"/>
        <v>2.8519999999999999</v>
      </c>
      <c r="AU295" s="300">
        <f t="shared" si="403"/>
        <v>2.8519999999999999</v>
      </c>
      <c r="AV295" s="300">
        <f t="shared" si="403"/>
        <v>2.8519999999999999</v>
      </c>
      <c r="AW295" s="300">
        <f t="shared" si="403"/>
        <v>2.8519999999999999</v>
      </c>
      <c r="AX295" s="300">
        <f t="shared" si="403"/>
        <v>2.8519999999999999</v>
      </c>
      <c r="AY295" s="301">
        <f t="shared" si="401"/>
        <v>2.8519999999999999</v>
      </c>
      <c r="AZ295" s="301">
        <f t="shared" si="401"/>
        <v>2.8519999999999999</v>
      </c>
      <c r="BA295" s="301">
        <f t="shared" si="401"/>
        <v>2.8519999999999999</v>
      </c>
      <c r="BB295" s="301">
        <f t="shared" si="401"/>
        <v>2.8519999999999999</v>
      </c>
      <c r="BC295" s="301">
        <f t="shared" si="401"/>
        <v>2.8519999999999999</v>
      </c>
      <c r="BD295" s="187">
        <f>ROUND(IF(OR(M295=0,AT295="DATO NO DISPONIBLE"),"",AT295*M295*($BD$7+1)),0)</f>
        <v>305</v>
      </c>
      <c r="BE295" s="187">
        <f t="shared" si="398"/>
        <v>305</v>
      </c>
      <c r="BF295" s="187">
        <f t="shared" si="399"/>
        <v>305</v>
      </c>
      <c r="BG295" s="187"/>
      <c r="BH295" s="187"/>
      <c r="BI295" s="187">
        <f>ROUND(IF(OR(M295=0,AY295="DATO NO DISPONIBLE"),0,AY295*M295*($BD$7+1)),0)</f>
        <v>305</v>
      </c>
      <c r="BJ295" s="187">
        <f t="shared" si="376"/>
        <v>305</v>
      </c>
      <c r="BK295" s="187">
        <f t="shared" si="377"/>
        <v>305</v>
      </c>
      <c r="BL295" s="187"/>
      <c r="BM295" s="187"/>
      <c r="BN295" s="188">
        <f>BD295*AM295</f>
        <v>17112330</v>
      </c>
      <c r="BO295" s="188">
        <f t="shared" si="378"/>
        <v>19078970</v>
      </c>
      <c r="BP295" s="188">
        <f t="shared" si="379"/>
        <v>28346090</v>
      </c>
      <c r="BQ295" s="188">
        <f t="shared" si="380"/>
        <v>0</v>
      </c>
      <c r="BR295" s="188">
        <f t="shared" si="381"/>
        <v>0</v>
      </c>
      <c r="BS295" s="188">
        <f t="shared" si="364"/>
        <v>64537390</v>
      </c>
      <c r="BT295" s="188">
        <f t="shared" si="365"/>
        <v>17112330</v>
      </c>
      <c r="BU295" s="188">
        <f t="shared" si="366"/>
        <v>19078970</v>
      </c>
      <c r="BV295" s="188">
        <f t="shared" si="367"/>
        <v>28346090</v>
      </c>
      <c r="BW295" s="188">
        <f t="shared" si="368"/>
        <v>0</v>
      </c>
      <c r="BX295" s="188">
        <f t="shared" si="369"/>
        <v>0</v>
      </c>
      <c r="BY295" s="188">
        <f t="shared" si="370"/>
        <v>64537390</v>
      </c>
      <c r="BZ295" s="305">
        <f>IF(COT_PRECALCULOS!$D$24="Precios Iva Incluído",BI295,BD295)</f>
        <v>305</v>
      </c>
      <c r="CA295" s="305">
        <f>IF(COT_PRECALCULOS!$D$24="Precios Iva Incluído",BJ295,BE295)</f>
        <v>305</v>
      </c>
      <c r="CB295" s="305">
        <f>IF(COT_PRECALCULOS!$D$24="Precios Iva Incluído",BK295,BF295)</f>
        <v>305</v>
      </c>
      <c r="CC295" s="305">
        <f>IF(COT_PRECALCULOS!$D$24="Precios Iva Incluído",BL295,BG295)</f>
        <v>0</v>
      </c>
      <c r="CD295" s="305">
        <f>IF(COT_PRECALCULOS!$D$24="Precios Iva Incluído",BM295,BH295)</f>
        <v>0</v>
      </c>
      <c r="CE295" s="305">
        <f>IF(COT_PRECALCULOS!$D$24="Precios Iva Incluído",BT295,BN295)</f>
        <v>17112330</v>
      </c>
      <c r="CF295" s="305">
        <f>IF(COT_PRECALCULOS!$D$24="Precios Iva Incluído",BU295,BO295)</f>
        <v>19078970</v>
      </c>
      <c r="CG295" s="305">
        <f>IF(COT_PRECALCULOS!$D$24="Precios Iva Incluído",BV295,BP295)</f>
        <v>28346090</v>
      </c>
      <c r="CH295" s="305">
        <f>IF(COT_PRECALCULOS!$D$24="Precios Iva Incluído",BW295,BQ295)</f>
        <v>0</v>
      </c>
      <c r="CI295" s="305">
        <f>IF(COT_PRECALCULOS!$D$24="Precios Iva Incluído",BX295,BR295)</f>
        <v>0</v>
      </c>
    </row>
    <row r="296" spans="1:87">
      <c r="A296" s="182" t="s">
        <v>102</v>
      </c>
      <c r="B296" s="182" t="s">
        <v>126</v>
      </c>
      <c r="C296" s="189" t="str">
        <f t="shared" si="358"/>
        <v>F_SE13</v>
      </c>
      <c r="D296" s="189" t="str">
        <f t="shared" si="359"/>
        <v>70_S_</v>
      </c>
      <c r="E296" s="190" t="s">
        <v>1</v>
      </c>
      <c r="F296" s="190" t="s">
        <v>1</v>
      </c>
      <c r="G296" s="189" t="s">
        <v>42</v>
      </c>
      <c r="H296" s="190"/>
      <c r="I296" s="190" t="s">
        <v>69</v>
      </c>
      <c r="J296" s="190">
        <v>70</v>
      </c>
      <c r="K296" s="190" t="s">
        <v>71</v>
      </c>
      <c r="L296" s="189" t="s">
        <v>9</v>
      </c>
      <c r="M296" s="191">
        <v>0</v>
      </c>
      <c r="N296" s="211">
        <v>100</v>
      </c>
      <c r="O296" s="211">
        <v>100</v>
      </c>
      <c r="P296" s="190"/>
      <c r="Q296" s="190"/>
      <c r="R296" s="211" t="s">
        <v>73</v>
      </c>
      <c r="S296" s="183">
        <f t="shared" si="404"/>
        <v>0</v>
      </c>
      <c r="T296" s="386">
        <v>0</v>
      </c>
      <c r="U296" s="385">
        <f t="shared" si="405"/>
        <v>0</v>
      </c>
      <c r="V296" s="385">
        <f t="shared" si="405"/>
        <v>0</v>
      </c>
      <c r="W296" s="387"/>
      <c r="X296" s="387"/>
      <c r="Y296" s="184">
        <f t="shared" si="371"/>
        <v>0</v>
      </c>
      <c r="Z296" s="184">
        <f t="shared" si="406"/>
        <v>31277</v>
      </c>
      <c r="AA296" s="184">
        <f t="shared" si="407"/>
        <v>46469</v>
      </c>
      <c r="AB296" s="184">
        <f t="shared" si="392"/>
        <v>0</v>
      </c>
      <c r="AC296" s="184">
        <f t="shared" si="393"/>
        <v>0</v>
      </c>
      <c r="AD296" s="184">
        <f t="shared" si="372"/>
        <v>77746</v>
      </c>
      <c r="AE296" s="183">
        <f t="shared" si="408"/>
        <v>1</v>
      </c>
      <c r="AF296" s="386">
        <v>0</v>
      </c>
      <c r="AG296" s="385">
        <f t="shared" si="409"/>
        <v>1</v>
      </c>
      <c r="AH296" s="385">
        <f t="shared" si="409"/>
        <v>1</v>
      </c>
      <c r="AI296" s="185">
        <f t="shared" si="373"/>
        <v>0</v>
      </c>
      <c r="AJ296" s="185">
        <f t="shared" si="410"/>
        <v>433</v>
      </c>
      <c r="AK296" s="185">
        <f t="shared" si="411"/>
        <v>683</v>
      </c>
      <c r="AL296" s="185">
        <f t="shared" si="374"/>
        <v>1116</v>
      </c>
      <c r="AM296" s="173">
        <v>0</v>
      </c>
      <c r="AN296" s="173">
        <f t="shared" si="396"/>
        <v>433</v>
      </c>
      <c r="AO296" s="173">
        <f t="shared" si="397"/>
        <v>683</v>
      </c>
      <c r="AP296" s="173">
        <f t="shared" si="360"/>
        <v>0</v>
      </c>
      <c r="AQ296" s="173">
        <f t="shared" si="361"/>
        <v>0</v>
      </c>
      <c r="AR296" s="173">
        <f t="shared" si="362"/>
        <v>1116</v>
      </c>
      <c r="AS296" s="186" t="s">
        <v>1369</v>
      </c>
      <c r="AT296" s="300">
        <f t="shared" si="403"/>
        <v>4.0575000000000001</v>
      </c>
      <c r="AU296" s="300">
        <f t="shared" si="403"/>
        <v>4.0575000000000001</v>
      </c>
      <c r="AV296" s="300">
        <f t="shared" si="403"/>
        <v>4.0575000000000001</v>
      </c>
      <c r="AW296" s="300">
        <f t="shared" si="403"/>
        <v>4.0575000000000001</v>
      </c>
      <c r="AX296" s="300">
        <f t="shared" si="403"/>
        <v>4.0575000000000001</v>
      </c>
      <c r="AY296" s="301">
        <f t="shared" si="401"/>
        <v>4.0575000000000001</v>
      </c>
      <c r="AZ296" s="301">
        <f t="shared" si="401"/>
        <v>4.0575000000000001</v>
      </c>
      <c r="BA296" s="301">
        <f t="shared" si="401"/>
        <v>4.0575000000000001</v>
      </c>
      <c r="BB296" s="301">
        <f t="shared" si="401"/>
        <v>4.0575000000000001</v>
      </c>
      <c r="BC296" s="301">
        <f t="shared" si="401"/>
        <v>4.0575000000000001</v>
      </c>
      <c r="BD296" s="187"/>
      <c r="BE296" s="187">
        <f t="shared" si="398"/>
        <v>434</v>
      </c>
      <c r="BF296" s="187">
        <f t="shared" si="399"/>
        <v>434</v>
      </c>
      <c r="BG296" s="187"/>
      <c r="BH296" s="187"/>
      <c r="BI296" s="187"/>
      <c r="BJ296" s="187">
        <f t="shared" si="376"/>
        <v>434</v>
      </c>
      <c r="BK296" s="187">
        <f t="shared" si="377"/>
        <v>434</v>
      </c>
      <c r="BL296" s="187"/>
      <c r="BM296" s="187"/>
      <c r="BN296" s="188"/>
      <c r="BO296" s="188">
        <f t="shared" si="378"/>
        <v>187922</v>
      </c>
      <c r="BP296" s="188">
        <f t="shared" si="379"/>
        <v>296422</v>
      </c>
      <c r="BQ296" s="188">
        <f t="shared" si="380"/>
        <v>0</v>
      </c>
      <c r="BR296" s="188">
        <f t="shared" si="381"/>
        <v>0</v>
      </c>
      <c r="BS296" s="188">
        <f t="shared" si="364"/>
        <v>484344</v>
      </c>
      <c r="BT296" s="188">
        <f t="shared" si="365"/>
        <v>0</v>
      </c>
      <c r="BU296" s="188">
        <f t="shared" si="366"/>
        <v>187922</v>
      </c>
      <c r="BV296" s="188">
        <f t="shared" si="367"/>
        <v>296422</v>
      </c>
      <c r="BW296" s="188">
        <f t="shared" si="368"/>
        <v>0</v>
      </c>
      <c r="BX296" s="188">
        <f t="shared" si="369"/>
        <v>0</v>
      </c>
      <c r="BY296" s="188">
        <f t="shared" si="370"/>
        <v>484344</v>
      </c>
      <c r="BZ296" s="305">
        <f>IF(COT_PRECALCULOS!$D$24="Precios Iva Incluído",BI296,BD296)</f>
        <v>0</v>
      </c>
      <c r="CA296" s="305">
        <f>IF(COT_PRECALCULOS!$D$24="Precios Iva Incluído",BJ296,BE296)</f>
        <v>434</v>
      </c>
      <c r="CB296" s="305">
        <f>IF(COT_PRECALCULOS!$D$24="Precios Iva Incluído",BK296,BF296)</f>
        <v>434</v>
      </c>
      <c r="CC296" s="305">
        <f>IF(COT_PRECALCULOS!$D$24="Precios Iva Incluído",BL296,BG296)</f>
        <v>0</v>
      </c>
      <c r="CD296" s="305">
        <f>IF(COT_PRECALCULOS!$D$24="Precios Iva Incluído",BM296,BH296)</f>
        <v>0</v>
      </c>
      <c r="CE296" s="305">
        <f>IF(COT_PRECALCULOS!$D$24="Precios Iva Incluído",BT296,BN296)</f>
        <v>0</v>
      </c>
      <c r="CF296" s="305">
        <f>IF(COT_PRECALCULOS!$D$24="Precios Iva Incluído",BU296,BO296)</f>
        <v>187922</v>
      </c>
      <c r="CG296" s="305">
        <f>IF(COT_PRECALCULOS!$D$24="Precios Iva Incluído",BV296,BP296)</f>
        <v>296422</v>
      </c>
      <c r="CH296" s="305">
        <f>IF(COT_PRECALCULOS!$D$24="Precios Iva Incluído",BW296,BQ296)</f>
        <v>0</v>
      </c>
      <c r="CI296" s="305">
        <f>IF(COT_PRECALCULOS!$D$24="Precios Iva Incluído",BX296,BR296)</f>
        <v>0</v>
      </c>
    </row>
    <row r="297" spans="1:87">
      <c r="A297" s="182" t="s">
        <v>102</v>
      </c>
      <c r="B297" s="182" t="s">
        <v>126</v>
      </c>
      <c r="C297" s="189" t="str">
        <f t="shared" si="358"/>
        <v>F_SE13</v>
      </c>
      <c r="D297" s="189" t="str">
        <f t="shared" si="359"/>
        <v>36_S_</v>
      </c>
      <c r="E297" s="190" t="s">
        <v>1</v>
      </c>
      <c r="F297" s="190" t="s">
        <v>1</v>
      </c>
      <c r="G297" s="189" t="s">
        <v>42</v>
      </c>
      <c r="H297" s="190"/>
      <c r="I297" s="190" t="s">
        <v>1340</v>
      </c>
      <c r="J297" s="190">
        <v>36</v>
      </c>
      <c r="K297" s="190" t="s">
        <v>1340</v>
      </c>
      <c r="L297" s="189" t="s">
        <v>9</v>
      </c>
      <c r="M297" s="211">
        <v>20</v>
      </c>
      <c r="N297" s="211">
        <v>40</v>
      </c>
      <c r="O297" s="211">
        <v>40</v>
      </c>
      <c r="P297" s="190"/>
      <c r="Q297" s="190"/>
      <c r="R297" s="190"/>
      <c r="S297" s="183">
        <f t="shared" si="404"/>
        <v>0</v>
      </c>
      <c r="T297" s="385">
        <f>$S297</f>
        <v>0</v>
      </c>
      <c r="U297" s="385">
        <f t="shared" si="405"/>
        <v>0</v>
      </c>
      <c r="V297" s="385">
        <f t="shared" si="405"/>
        <v>0</v>
      </c>
      <c r="W297" s="387"/>
      <c r="X297" s="387"/>
      <c r="Y297" s="184">
        <f t="shared" si="371"/>
        <v>28053</v>
      </c>
      <c r="Z297" s="184">
        <f t="shared" si="406"/>
        <v>31277</v>
      </c>
      <c r="AA297" s="184">
        <f t="shared" si="407"/>
        <v>46469</v>
      </c>
      <c r="AB297" s="184">
        <f t="shared" si="392"/>
        <v>0</v>
      </c>
      <c r="AC297" s="184">
        <f t="shared" si="393"/>
        <v>0</v>
      </c>
      <c r="AD297" s="184">
        <f t="shared" si="372"/>
        <v>105799</v>
      </c>
      <c r="AE297" s="183">
        <f t="shared" si="408"/>
        <v>0</v>
      </c>
      <c r="AF297" s="385">
        <f>$AE297</f>
        <v>0</v>
      </c>
      <c r="AG297" s="385">
        <f t="shared" si="409"/>
        <v>0</v>
      </c>
      <c r="AH297" s="385">
        <f t="shared" si="409"/>
        <v>0</v>
      </c>
      <c r="AI297" s="185">
        <f t="shared" si="373"/>
        <v>74</v>
      </c>
      <c r="AJ297" s="185">
        <f t="shared" si="410"/>
        <v>433</v>
      </c>
      <c r="AK297" s="185">
        <f t="shared" si="411"/>
        <v>683</v>
      </c>
      <c r="AL297" s="185">
        <f t="shared" si="374"/>
        <v>1190</v>
      </c>
      <c r="AM297" s="173">
        <f>($S297*Y297)+($AE297*AI297)</f>
        <v>0</v>
      </c>
      <c r="AN297" s="173">
        <f t="shared" si="396"/>
        <v>0</v>
      </c>
      <c r="AO297" s="173">
        <f t="shared" si="397"/>
        <v>0</v>
      </c>
      <c r="AP297" s="173">
        <f t="shared" si="360"/>
        <v>0</v>
      </c>
      <c r="AQ297" s="173">
        <f t="shared" si="361"/>
        <v>0</v>
      </c>
      <c r="AR297" s="173">
        <f t="shared" si="362"/>
        <v>0</v>
      </c>
      <c r="AS297" s="186" t="s">
        <v>1369</v>
      </c>
      <c r="AT297" s="300">
        <f t="shared" si="403"/>
        <v>5.9</v>
      </c>
      <c r="AU297" s="300">
        <f t="shared" si="403"/>
        <v>5.9</v>
      </c>
      <c r="AV297" s="300">
        <f t="shared" si="403"/>
        <v>5.9</v>
      </c>
      <c r="AW297" s="300">
        <f t="shared" si="403"/>
        <v>5.9</v>
      </c>
      <c r="AX297" s="300">
        <f t="shared" si="403"/>
        <v>5.9</v>
      </c>
      <c r="AY297" s="301">
        <f t="shared" si="401"/>
        <v>5.9</v>
      </c>
      <c r="AZ297" s="301">
        <f t="shared" si="401"/>
        <v>5.9</v>
      </c>
      <c r="BA297" s="301">
        <f t="shared" si="401"/>
        <v>5.9</v>
      </c>
      <c r="BB297" s="301">
        <f t="shared" si="401"/>
        <v>5.9</v>
      </c>
      <c r="BC297" s="301">
        <f t="shared" si="401"/>
        <v>5.9</v>
      </c>
      <c r="BD297" s="187">
        <f>ROUND(IF(OR(M297=0,AT297="DATO NO DISPONIBLE"),"",AT297*M297*($BD$7+1)),0)</f>
        <v>126</v>
      </c>
      <c r="BE297" s="187">
        <f t="shared" si="398"/>
        <v>252</v>
      </c>
      <c r="BF297" s="187">
        <f t="shared" si="399"/>
        <v>252</v>
      </c>
      <c r="BG297" s="187"/>
      <c r="BH297" s="187"/>
      <c r="BI297" s="187">
        <f>ROUND(IF(OR(M297=0,AY297="DATO NO DISPONIBLE"),0,AY297*M297*($BD$7+1)),0)</f>
        <v>126</v>
      </c>
      <c r="BJ297" s="187">
        <f t="shared" si="376"/>
        <v>252</v>
      </c>
      <c r="BK297" s="187">
        <f t="shared" si="377"/>
        <v>252</v>
      </c>
      <c r="BL297" s="187"/>
      <c r="BM297" s="187"/>
      <c r="BN297" s="188">
        <f>BD297*AM297</f>
        <v>0</v>
      </c>
      <c r="BO297" s="188">
        <f t="shared" si="378"/>
        <v>0</v>
      </c>
      <c r="BP297" s="188">
        <f t="shared" si="379"/>
        <v>0</v>
      </c>
      <c r="BQ297" s="188">
        <f t="shared" si="380"/>
        <v>0</v>
      </c>
      <c r="BR297" s="188">
        <f t="shared" si="381"/>
        <v>0</v>
      </c>
      <c r="BS297" s="188">
        <f t="shared" si="364"/>
        <v>0</v>
      </c>
      <c r="BT297" s="188">
        <f t="shared" si="365"/>
        <v>0</v>
      </c>
      <c r="BU297" s="188">
        <f t="shared" si="366"/>
        <v>0</v>
      </c>
      <c r="BV297" s="188">
        <f t="shared" si="367"/>
        <v>0</v>
      </c>
      <c r="BW297" s="188">
        <f t="shared" si="368"/>
        <v>0</v>
      </c>
      <c r="BX297" s="188">
        <f t="shared" si="369"/>
        <v>0</v>
      </c>
      <c r="BY297" s="188">
        <f t="shared" si="370"/>
        <v>0</v>
      </c>
      <c r="BZ297" s="305">
        <f>IF(COT_PRECALCULOS!$D$24="Precios Iva Incluído",BI297,BD297)</f>
        <v>126</v>
      </c>
      <c r="CA297" s="305">
        <f>IF(COT_PRECALCULOS!$D$24="Precios Iva Incluído",BJ297,BE297)</f>
        <v>252</v>
      </c>
      <c r="CB297" s="305">
        <f>IF(COT_PRECALCULOS!$D$24="Precios Iva Incluído",BK297,BF297)</f>
        <v>252</v>
      </c>
      <c r="CC297" s="305">
        <f>IF(COT_PRECALCULOS!$D$24="Precios Iva Incluído",BL297,BG297)</f>
        <v>0</v>
      </c>
      <c r="CD297" s="305">
        <f>IF(COT_PRECALCULOS!$D$24="Precios Iva Incluído",BM297,BH297)</f>
        <v>0</v>
      </c>
      <c r="CE297" s="305">
        <f>IF(COT_PRECALCULOS!$D$24="Precios Iva Incluído",BT297,BN297)</f>
        <v>0</v>
      </c>
      <c r="CF297" s="305">
        <f>IF(COT_PRECALCULOS!$D$24="Precios Iva Incluído",BU297,BO297)</f>
        <v>0</v>
      </c>
      <c r="CG297" s="305">
        <f>IF(COT_PRECALCULOS!$D$24="Precios Iva Incluído",BV297,BP297)</f>
        <v>0</v>
      </c>
      <c r="CH297" s="305">
        <f>IF(COT_PRECALCULOS!$D$24="Precios Iva Incluído",BW297,BQ297)</f>
        <v>0</v>
      </c>
      <c r="CI297" s="305">
        <f>IF(COT_PRECALCULOS!$D$24="Precios Iva Incluído",BX297,BR297)</f>
        <v>0</v>
      </c>
    </row>
    <row r="298" spans="1:87">
      <c r="A298" s="182" t="s">
        <v>102</v>
      </c>
      <c r="B298" s="182" t="s">
        <v>126</v>
      </c>
      <c r="C298" s="189" t="str">
        <f t="shared" si="358"/>
        <v>F_SE14</v>
      </c>
      <c r="D298" s="189" t="str">
        <f t="shared" si="359"/>
        <v>8_S_</v>
      </c>
      <c r="E298" s="190" t="s">
        <v>1</v>
      </c>
      <c r="F298" s="190" t="s">
        <v>1</v>
      </c>
      <c r="G298" s="189" t="s">
        <v>43</v>
      </c>
      <c r="H298" s="190" t="s">
        <v>2</v>
      </c>
      <c r="I298" s="190" t="s">
        <v>54</v>
      </c>
      <c r="J298" s="190">
        <v>8</v>
      </c>
      <c r="K298" s="190" t="s">
        <v>55</v>
      </c>
      <c r="L298" s="189" t="s">
        <v>9</v>
      </c>
      <c r="M298" s="211">
        <v>100</v>
      </c>
      <c r="N298" s="211">
        <v>100</v>
      </c>
      <c r="O298" s="211">
        <v>100</v>
      </c>
      <c r="P298" s="190"/>
      <c r="Q298" s="190"/>
      <c r="R298" s="190"/>
      <c r="S298" s="183">
        <f t="shared" si="404"/>
        <v>0</v>
      </c>
      <c r="T298" s="385">
        <f>$S298</f>
        <v>0</v>
      </c>
      <c r="U298" s="385">
        <f t="shared" si="405"/>
        <v>0</v>
      </c>
      <c r="V298" s="385">
        <f t="shared" si="405"/>
        <v>0</v>
      </c>
      <c r="W298" s="387"/>
      <c r="X298" s="387"/>
      <c r="Y298" s="184">
        <f t="shared" si="371"/>
        <v>28053</v>
      </c>
      <c r="Z298" s="184">
        <f t="shared" si="406"/>
        <v>31277</v>
      </c>
      <c r="AA298" s="184">
        <f t="shared" si="407"/>
        <v>46469</v>
      </c>
      <c r="AB298" s="184">
        <f t="shared" si="392"/>
        <v>0</v>
      </c>
      <c r="AC298" s="184">
        <f t="shared" si="393"/>
        <v>0</v>
      </c>
      <c r="AD298" s="184">
        <f t="shared" si="372"/>
        <v>105799</v>
      </c>
      <c r="AE298" s="183">
        <f t="shared" si="408"/>
        <v>0</v>
      </c>
      <c r="AF298" s="385">
        <f>$AE298</f>
        <v>0</v>
      </c>
      <c r="AG298" s="385">
        <f t="shared" si="409"/>
        <v>0</v>
      </c>
      <c r="AH298" s="385">
        <f t="shared" si="409"/>
        <v>0</v>
      </c>
      <c r="AI298" s="185">
        <f t="shared" si="373"/>
        <v>74</v>
      </c>
      <c r="AJ298" s="185">
        <f t="shared" si="410"/>
        <v>433</v>
      </c>
      <c r="AK298" s="185">
        <f t="shared" si="411"/>
        <v>683</v>
      </c>
      <c r="AL298" s="185">
        <f t="shared" si="374"/>
        <v>1190</v>
      </c>
      <c r="AM298" s="173">
        <f>($S298*Y298)+($AE298*AI298)</f>
        <v>0</v>
      </c>
      <c r="AN298" s="173">
        <f t="shared" si="396"/>
        <v>0</v>
      </c>
      <c r="AO298" s="173">
        <f t="shared" si="397"/>
        <v>0</v>
      </c>
      <c r="AP298" s="173">
        <f t="shared" si="360"/>
        <v>0</v>
      </c>
      <c r="AQ298" s="173">
        <f t="shared" si="361"/>
        <v>0</v>
      </c>
      <c r="AR298" s="173">
        <f t="shared" si="362"/>
        <v>0</v>
      </c>
      <c r="AS298" s="186" t="s">
        <v>1370</v>
      </c>
      <c r="AT298" s="300">
        <f t="shared" si="403"/>
        <v>1.25</v>
      </c>
      <c r="AU298" s="300">
        <f t="shared" si="403"/>
        <v>1.25</v>
      </c>
      <c r="AV298" s="300">
        <f t="shared" si="403"/>
        <v>1.25</v>
      </c>
      <c r="AW298" s="300">
        <f t="shared" si="403"/>
        <v>1.25</v>
      </c>
      <c r="AX298" s="300">
        <f t="shared" si="403"/>
        <v>1.25</v>
      </c>
      <c r="AY298" s="301">
        <f t="shared" ref="AY298:BC307" si="412">IF(ISERROR(MATCH(CONCATENATE($J298,"_",AY$1),COT_PRE_CODIGO_ALIMENTOS,0)),IF(ISERROR(MATCH(CONCATENATE($J298,"_",AY$2),COT_PRE_CODIGO_ALIMENTOS,0)),IF(ISERROR(MATCH(CONCATENATE($J298,"_",AY$3),COT_PRE_CODIGO_ALIMENTOS,0)),IF(ISERROR(MATCH(CONCATENATE($J298,"_",AY$4),COT_PRE_CODIGO_ALIMENTOS,0)),IF(ISERROR(MATCH(CONCATENATE($J298,"_",AY$5),COT_PRE_CODIGO_ALIMENTOS,0)),IF(ISERROR(MATCH(CONCATENATE($J298,"_",AY$6),COT_PRE_CODIGO_ALIMENTOS,0)),IF(ISERROR(MATCH(CONCATENATE($J298,"_",AY$7),COT_PRE_CODIGO_ALIMENTOS,0)),IF(ISERROR(VLOOKUP($J298,COT_PRE_ALIMENTOS,AY$8,FALSE)),"DATO NO DISPONIBLE",VLOOKUP($J298,COT_PRE_ALIMENTOS,AY$8,FALSE)),VLOOKUP(CONCATENATE($J298,"_",AY$7),COT_PRE_ALIMENTOS,AY$8,FALSE)),VLOOKUP(CONCATENATE($J298,"_",AY$6),COT_PRE_ALIMENTOS,AY$8,FALSE)),VLOOKUP(CONCATENATE($J298,"_",AY$5),COT_PRE_ALIMENTOS,AY$8,FALSE)),VLOOKUP(CONCATENATE($J298,"_",AY$4),COT_PRE_ALIMENTOS,AY$8,FALSE)),VLOOKUP(CONCATENATE($J298,"_",AY$3),COT_PRE_ALIMENTOS,AY$8,FALSE)),VLOOKUP(CONCATENATE($J298,"_",AY$2),COT_PRE_ALIMENTOS,AY$8,FALSE)),VLOOKUP(CONCATENATE($J298,"_",AY$1),COT_PRE_ALIMENTOS,AY$8,FALSE))</f>
        <v>1.25</v>
      </c>
      <c r="AZ298" s="301">
        <f t="shared" si="412"/>
        <v>1.25</v>
      </c>
      <c r="BA298" s="301">
        <f t="shared" si="412"/>
        <v>1.25</v>
      </c>
      <c r="BB298" s="301">
        <f t="shared" si="412"/>
        <v>1.25</v>
      </c>
      <c r="BC298" s="301">
        <f t="shared" si="412"/>
        <v>1.25</v>
      </c>
      <c r="BD298" s="187">
        <f>ROUND(IF(OR(M298=0,AT298="DATO NO DISPONIBLE"),"",AT298*M298*($BD$7+1)),0)</f>
        <v>134</v>
      </c>
      <c r="BE298" s="187">
        <f t="shared" si="398"/>
        <v>134</v>
      </c>
      <c r="BF298" s="187">
        <f t="shared" si="399"/>
        <v>134</v>
      </c>
      <c r="BG298" s="187"/>
      <c r="BH298" s="187"/>
      <c r="BI298" s="187">
        <f>ROUND(IF(OR(M298=0,AY298="DATO NO DISPONIBLE"),0,AY298*M298*($BD$7+1)),0)</f>
        <v>134</v>
      </c>
      <c r="BJ298" s="187">
        <f t="shared" si="376"/>
        <v>134</v>
      </c>
      <c r="BK298" s="187">
        <f t="shared" si="377"/>
        <v>134</v>
      </c>
      <c r="BL298" s="187"/>
      <c r="BM298" s="187"/>
      <c r="BN298" s="188">
        <f>BD298*AM298</f>
        <v>0</v>
      </c>
      <c r="BO298" s="188">
        <f t="shared" si="378"/>
        <v>0</v>
      </c>
      <c r="BP298" s="188">
        <f t="shared" si="379"/>
        <v>0</v>
      </c>
      <c r="BQ298" s="188">
        <f t="shared" si="380"/>
        <v>0</v>
      </c>
      <c r="BR298" s="188">
        <f t="shared" si="381"/>
        <v>0</v>
      </c>
      <c r="BS298" s="188">
        <f t="shared" si="364"/>
        <v>0</v>
      </c>
      <c r="BT298" s="188">
        <f t="shared" si="365"/>
        <v>0</v>
      </c>
      <c r="BU298" s="188">
        <f t="shared" si="366"/>
        <v>0</v>
      </c>
      <c r="BV298" s="188">
        <f t="shared" si="367"/>
        <v>0</v>
      </c>
      <c r="BW298" s="188">
        <f t="shared" si="368"/>
        <v>0</v>
      </c>
      <c r="BX298" s="188">
        <f t="shared" si="369"/>
        <v>0</v>
      </c>
      <c r="BY298" s="188">
        <f t="shared" si="370"/>
        <v>0</v>
      </c>
      <c r="BZ298" s="305">
        <f>IF(COT_PRECALCULOS!$D$24="Precios Iva Incluído",BI298,BD298)</f>
        <v>134</v>
      </c>
      <c r="CA298" s="305">
        <f>IF(COT_PRECALCULOS!$D$24="Precios Iva Incluído",BJ298,BE298)</f>
        <v>134</v>
      </c>
      <c r="CB298" s="305">
        <f>IF(COT_PRECALCULOS!$D$24="Precios Iva Incluído",BK298,BF298)</f>
        <v>134</v>
      </c>
      <c r="CC298" s="305">
        <f>IF(COT_PRECALCULOS!$D$24="Precios Iva Incluído",BL298,BG298)</f>
        <v>0</v>
      </c>
      <c r="CD298" s="305">
        <f>IF(COT_PRECALCULOS!$D$24="Precios Iva Incluído",BM298,BH298)</f>
        <v>0</v>
      </c>
      <c r="CE298" s="305">
        <f>IF(COT_PRECALCULOS!$D$24="Precios Iva Incluído",BT298,BN298)</f>
        <v>0</v>
      </c>
      <c r="CF298" s="305">
        <f>IF(COT_PRECALCULOS!$D$24="Precios Iva Incluído",BU298,BO298)</f>
        <v>0</v>
      </c>
      <c r="CG298" s="305">
        <f>IF(COT_PRECALCULOS!$D$24="Precios Iva Incluído",BV298,BP298)</f>
        <v>0</v>
      </c>
      <c r="CH298" s="305">
        <f>IF(COT_PRECALCULOS!$D$24="Precios Iva Incluído",BW298,BQ298)</f>
        <v>0</v>
      </c>
      <c r="CI298" s="305">
        <f>IF(COT_PRECALCULOS!$D$24="Precios Iva Incluído",BX298,BR298)</f>
        <v>0</v>
      </c>
    </row>
    <row r="299" spans="1:87">
      <c r="A299" s="182" t="s">
        <v>102</v>
      </c>
      <c r="B299" s="182" t="s">
        <v>126</v>
      </c>
      <c r="C299" s="189" t="str">
        <f t="shared" si="358"/>
        <v>F_SE14</v>
      </c>
      <c r="D299" s="189" t="str">
        <f t="shared" si="359"/>
        <v>7_S_</v>
      </c>
      <c r="E299" s="190" t="s">
        <v>1</v>
      </c>
      <c r="F299" s="190" t="s">
        <v>1</v>
      </c>
      <c r="G299" s="189" t="s">
        <v>43</v>
      </c>
      <c r="H299" s="190"/>
      <c r="I299" s="190" t="s">
        <v>56</v>
      </c>
      <c r="J299" s="190">
        <v>7</v>
      </c>
      <c r="K299" s="190" t="s">
        <v>57</v>
      </c>
      <c r="L299" s="189" t="s">
        <v>9</v>
      </c>
      <c r="M299" s="190">
        <v>100</v>
      </c>
      <c r="N299" s="190">
        <v>100</v>
      </c>
      <c r="O299" s="190">
        <v>100</v>
      </c>
      <c r="P299" s="190"/>
      <c r="Q299" s="190"/>
      <c r="R299" s="190"/>
      <c r="S299" s="388">
        <v>2</v>
      </c>
      <c r="T299" s="388">
        <f>$S299</f>
        <v>2</v>
      </c>
      <c r="U299" s="388">
        <v>0</v>
      </c>
      <c r="V299" s="388">
        <v>0</v>
      </c>
      <c r="W299" s="387"/>
      <c r="X299" s="387"/>
      <c r="Y299" s="184">
        <f t="shared" si="371"/>
        <v>28053</v>
      </c>
      <c r="Z299" s="184">
        <v>0</v>
      </c>
      <c r="AA299" s="184">
        <v>0</v>
      </c>
      <c r="AB299" s="184">
        <f t="shared" si="392"/>
        <v>0</v>
      </c>
      <c r="AC299" s="184">
        <f t="shared" si="393"/>
        <v>0</v>
      </c>
      <c r="AD299" s="184">
        <f t="shared" si="372"/>
        <v>28053</v>
      </c>
      <c r="AE299" s="183">
        <f t="shared" si="408"/>
        <v>0</v>
      </c>
      <c r="AF299" s="385">
        <f>$AE299</f>
        <v>0</v>
      </c>
      <c r="AG299" s="385">
        <f t="shared" si="409"/>
        <v>0</v>
      </c>
      <c r="AH299" s="385">
        <f t="shared" si="409"/>
        <v>0</v>
      </c>
      <c r="AI299" s="185">
        <f t="shared" si="373"/>
        <v>74</v>
      </c>
      <c r="AJ299" s="185">
        <f t="shared" si="410"/>
        <v>433</v>
      </c>
      <c r="AK299" s="185">
        <f t="shared" si="411"/>
        <v>683</v>
      </c>
      <c r="AL299" s="185">
        <f t="shared" si="374"/>
        <v>1190</v>
      </c>
      <c r="AM299" s="173">
        <f>($S299*Y299)+($AE299*AI299)</f>
        <v>56106</v>
      </c>
      <c r="AN299" s="173">
        <f t="shared" si="396"/>
        <v>0</v>
      </c>
      <c r="AO299" s="173">
        <f t="shared" si="397"/>
        <v>0</v>
      </c>
      <c r="AP299" s="173">
        <f t="shared" si="360"/>
        <v>0</v>
      </c>
      <c r="AQ299" s="173">
        <f t="shared" si="361"/>
        <v>0</v>
      </c>
      <c r="AR299" s="173">
        <f t="shared" si="362"/>
        <v>56106</v>
      </c>
      <c r="AS299" s="186" t="s">
        <v>1370</v>
      </c>
      <c r="AT299" s="300">
        <f t="shared" si="403"/>
        <v>1</v>
      </c>
      <c r="AU299" s="300">
        <f t="shared" si="403"/>
        <v>1</v>
      </c>
      <c r="AV299" s="300">
        <f t="shared" si="403"/>
        <v>1</v>
      </c>
      <c r="AW299" s="300">
        <f t="shared" si="403"/>
        <v>1</v>
      </c>
      <c r="AX299" s="300">
        <f t="shared" si="403"/>
        <v>1</v>
      </c>
      <c r="AY299" s="301">
        <f t="shared" si="412"/>
        <v>1</v>
      </c>
      <c r="AZ299" s="301">
        <f t="shared" si="412"/>
        <v>1</v>
      </c>
      <c r="BA299" s="301">
        <f t="shared" si="412"/>
        <v>1</v>
      </c>
      <c r="BB299" s="301">
        <f t="shared" si="412"/>
        <v>1</v>
      </c>
      <c r="BC299" s="301">
        <f t="shared" si="412"/>
        <v>1</v>
      </c>
      <c r="BD299" s="187">
        <f>ROUND(IF(OR(M299=0,AT299="DATO NO DISPONIBLE"),"",AT299*M299*($BD$7+1)),0)</f>
        <v>107</v>
      </c>
      <c r="BE299" s="187">
        <f t="shared" si="398"/>
        <v>107</v>
      </c>
      <c r="BF299" s="187">
        <f t="shared" si="399"/>
        <v>107</v>
      </c>
      <c r="BG299" s="187"/>
      <c r="BH299" s="187"/>
      <c r="BI299" s="187">
        <f>ROUND(IF(OR(M299=0,AY299="DATO NO DISPONIBLE"),0,AY299*M299*($BD$7+1)),0)</f>
        <v>107</v>
      </c>
      <c r="BJ299" s="187">
        <f t="shared" si="376"/>
        <v>107</v>
      </c>
      <c r="BK299" s="187">
        <f t="shared" si="377"/>
        <v>107</v>
      </c>
      <c r="BL299" s="187"/>
      <c r="BM299" s="187"/>
      <c r="BN299" s="188">
        <f>BD299*AM299</f>
        <v>6003342</v>
      </c>
      <c r="BO299" s="188">
        <f t="shared" si="378"/>
        <v>0</v>
      </c>
      <c r="BP299" s="188">
        <f t="shared" si="379"/>
        <v>0</v>
      </c>
      <c r="BQ299" s="188">
        <f t="shared" si="380"/>
        <v>0</v>
      </c>
      <c r="BR299" s="188">
        <f t="shared" si="381"/>
        <v>0</v>
      </c>
      <c r="BS299" s="188">
        <f t="shared" si="364"/>
        <v>6003342</v>
      </c>
      <c r="BT299" s="188">
        <f t="shared" si="365"/>
        <v>6003342</v>
      </c>
      <c r="BU299" s="188">
        <f t="shared" si="366"/>
        <v>0</v>
      </c>
      <c r="BV299" s="188">
        <f t="shared" si="367"/>
        <v>0</v>
      </c>
      <c r="BW299" s="188">
        <f t="shared" si="368"/>
        <v>0</v>
      </c>
      <c r="BX299" s="188">
        <f t="shared" si="369"/>
        <v>0</v>
      </c>
      <c r="BY299" s="188">
        <f t="shared" si="370"/>
        <v>6003342</v>
      </c>
      <c r="BZ299" s="305">
        <f>IF(COT_PRECALCULOS!$D$24="Precios Iva Incluído",BI299,BD299)</f>
        <v>107</v>
      </c>
      <c r="CA299" s="305">
        <f>IF(COT_PRECALCULOS!$D$24="Precios Iva Incluído",BJ299,BE299)</f>
        <v>107</v>
      </c>
      <c r="CB299" s="305">
        <f>IF(COT_PRECALCULOS!$D$24="Precios Iva Incluído",BK299,BF299)</f>
        <v>107</v>
      </c>
      <c r="CC299" s="305">
        <f>IF(COT_PRECALCULOS!$D$24="Precios Iva Incluído",BL299,BG299)</f>
        <v>0</v>
      </c>
      <c r="CD299" s="305">
        <f>IF(COT_PRECALCULOS!$D$24="Precios Iva Incluído",BM299,BH299)</f>
        <v>0</v>
      </c>
      <c r="CE299" s="305">
        <f>IF(COT_PRECALCULOS!$D$24="Precios Iva Incluído",BT299,BN299)</f>
        <v>6003342</v>
      </c>
      <c r="CF299" s="305">
        <f>IF(COT_PRECALCULOS!$D$24="Precios Iva Incluído",BU299,BO299)</f>
        <v>0</v>
      </c>
      <c r="CG299" s="305">
        <f>IF(COT_PRECALCULOS!$D$24="Precios Iva Incluído",BV299,BP299)</f>
        <v>0</v>
      </c>
      <c r="CH299" s="305">
        <f>IF(COT_PRECALCULOS!$D$24="Precios Iva Incluído",BW299,BQ299)</f>
        <v>0</v>
      </c>
      <c r="CI299" s="305">
        <f>IF(COT_PRECALCULOS!$D$24="Precios Iva Incluído",BX299,BR299)</f>
        <v>0</v>
      </c>
    </row>
    <row r="300" spans="1:87">
      <c r="A300" s="182" t="s">
        <v>102</v>
      </c>
      <c r="B300" s="182" t="s">
        <v>126</v>
      </c>
      <c r="C300" s="189" t="str">
        <f t="shared" si="358"/>
        <v>F_SE14</v>
      </c>
      <c r="D300" s="189" t="str">
        <f t="shared" si="359"/>
        <v>17_S_</v>
      </c>
      <c r="E300" s="211" t="s">
        <v>1</v>
      </c>
      <c r="F300" s="211" t="s">
        <v>1</v>
      </c>
      <c r="G300" s="189" t="s">
        <v>43</v>
      </c>
      <c r="H300" s="211"/>
      <c r="I300" s="211" t="s">
        <v>52</v>
      </c>
      <c r="J300" s="211">
        <v>17</v>
      </c>
      <c r="K300" s="211" t="s">
        <v>53</v>
      </c>
      <c r="L300" s="189" t="s">
        <v>9</v>
      </c>
      <c r="M300" s="386">
        <v>0</v>
      </c>
      <c r="N300" s="211">
        <v>100</v>
      </c>
      <c r="O300" s="211">
        <v>100</v>
      </c>
      <c r="P300" s="211"/>
      <c r="Q300" s="211"/>
      <c r="R300" s="211" t="s">
        <v>73</v>
      </c>
      <c r="S300" s="183">
        <f>COUNTIF(CAL_SEGUNDA_ENTREGA_LAV_FRUTA,CONCATENATE(G300,"_",J300))</f>
        <v>2</v>
      </c>
      <c r="T300" s="386">
        <v>0</v>
      </c>
      <c r="U300" s="385">
        <f t="shared" ref="U300:V302" si="413">$S300</f>
        <v>2</v>
      </c>
      <c r="V300" s="385">
        <f t="shared" si="413"/>
        <v>2</v>
      </c>
      <c r="W300" s="387"/>
      <c r="X300" s="387"/>
      <c r="Y300" s="184">
        <f t="shared" si="371"/>
        <v>0</v>
      </c>
      <c r="Z300" s="184">
        <f>IF(N300&lt;&gt;0,VLOOKUP(A300,FRE_CANTIDADES_DIARIAS_SUMINISTROS,5,FALSE),0)</f>
        <v>31277</v>
      </c>
      <c r="AA300" s="184">
        <f>IF(O300&lt;&gt;0,VLOOKUP(A300,FRE_CANTIDADES_DIARIAS_SUMINISTROS,6,FALSE),0)</f>
        <v>46469</v>
      </c>
      <c r="AB300" s="184">
        <f t="shared" si="392"/>
        <v>0</v>
      </c>
      <c r="AC300" s="184">
        <f t="shared" si="393"/>
        <v>0</v>
      </c>
      <c r="AD300" s="184">
        <f t="shared" si="372"/>
        <v>77746</v>
      </c>
      <c r="AE300" s="183">
        <f t="shared" si="408"/>
        <v>0</v>
      </c>
      <c r="AF300" s="386">
        <v>0</v>
      </c>
      <c r="AG300" s="385">
        <f t="shared" si="409"/>
        <v>0</v>
      </c>
      <c r="AH300" s="385">
        <f t="shared" si="409"/>
        <v>0</v>
      </c>
      <c r="AI300" s="185">
        <f t="shared" si="373"/>
        <v>0</v>
      </c>
      <c r="AJ300" s="185">
        <f t="shared" si="410"/>
        <v>433</v>
      </c>
      <c r="AK300" s="185">
        <f t="shared" si="411"/>
        <v>683</v>
      </c>
      <c r="AL300" s="185">
        <f t="shared" si="374"/>
        <v>1116</v>
      </c>
      <c r="AM300" s="173">
        <v>0</v>
      </c>
      <c r="AN300" s="173">
        <f t="shared" si="396"/>
        <v>62554</v>
      </c>
      <c r="AO300" s="173">
        <f t="shared" si="397"/>
        <v>92938</v>
      </c>
      <c r="AP300" s="173">
        <f t="shared" si="360"/>
        <v>0</v>
      </c>
      <c r="AQ300" s="173">
        <f t="shared" si="361"/>
        <v>0</v>
      </c>
      <c r="AR300" s="173">
        <f t="shared" si="362"/>
        <v>155492</v>
      </c>
      <c r="AS300" s="186" t="s">
        <v>1370</v>
      </c>
      <c r="AT300" s="300">
        <f t="shared" si="403"/>
        <v>2.11</v>
      </c>
      <c r="AU300" s="300">
        <f t="shared" si="403"/>
        <v>2.11</v>
      </c>
      <c r="AV300" s="300">
        <f t="shared" si="403"/>
        <v>2.11</v>
      </c>
      <c r="AW300" s="300">
        <f t="shared" si="403"/>
        <v>2.11</v>
      </c>
      <c r="AX300" s="300">
        <f t="shared" si="403"/>
        <v>2.11</v>
      </c>
      <c r="AY300" s="301">
        <f t="shared" si="412"/>
        <v>2.11</v>
      </c>
      <c r="AZ300" s="301">
        <f t="shared" si="412"/>
        <v>2.11</v>
      </c>
      <c r="BA300" s="301">
        <f t="shared" si="412"/>
        <v>2.11</v>
      </c>
      <c r="BB300" s="301">
        <f t="shared" si="412"/>
        <v>2.11</v>
      </c>
      <c r="BC300" s="301">
        <f t="shared" si="412"/>
        <v>2.11</v>
      </c>
      <c r="BD300" s="187"/>
      <c r="BE300" s="187">
        <f t="shared" si="398"/>
        <v>226</v>
      </c>
      <c r="BF300" s="187">
        <f t="shared" si="399"/>
        <v>226</v>
      </c>
      <c r="BG300" s="187"/>
      <c r="BH300" s="187"/>
      <c r="BI300" s="187"/>
      <c r="BJ300" s="187">
        <f t="shared" si="376"/>
        <v>226</v>
      </c>
      <c r="BK300" s="187">
        <f t="shared" si="377"/>
        <v>226</v>
      </c>
      <c r="BL300" s="187"/>
      <c r="BM300" s="187"/>
      <c r="BN300" s="188"/>
      <c r="BO300" s="188">
        <f t="shared" si="378"/>
        <v>14137204</v>
      </c>
      <c r="BP300" s="188">
        <f t="shared" si="379"/>
        <v>21003988</v>
      </c>
      <c r="BQ300" s="188">
        <f t="shared" si="380"/>
        <v>0</v>
      </c>
      <c r="BR300" s="188">
        <f t="shared" si="381"/>
        <v>0</v>
      </c>
      <c r="BS300" s="188">
        <f t="shared" si="364"/>
        <v>35141192</v>
      </c>
      <c r="BT300" s="188">
        <f t="shared" si="365"/>
        <v>0</v>
      </c>
      <c r="BU300" s="188">
        <f t="shared" si="366"/>
        <v>14137204</v>
      </c>
      <c r="BV300" s="188">
        <f t="shared" si="367"/>
        <v>21003988</v>
      </c>
      <c r="BW300" s="188">
        <f t="shared" si="368"/>
        <v>0</v>
      </c>
      <c r="BX300" s="188">
        <f t="shared" si="369"/>
        <v>0</v>
      </c>
      <c r="BY300" s="188">
        <f t="shared" si="370"/>
        <v>35141192</v>
      </c>
      <c r="BZ300" s="305">
        <f>IF(COT_PRECALCULOS!$D$24="Precios Iva Incluído",BI300,BD300)</f>
        <v>0</v>
      </c>
      <c r="CA300" s="305">
        <f>IF(COT_PRECALCULOS!$D$24="Precios Iva Incluído",BJ300,BE300)</f>
        <v>226</v>
      </c>
      <c r="CB300" s="305">
        <f>IF(COT_PRECALCULOS!$D$24="Precios Iva Incluído",BK300,BF300)</f>
        <v>226</v>
      </c>
      <c r="CC300" s="305">
        <f>IF(COT_PRECALCULOS!$D$24="Precios Iva Incluído",BL300,BG300)</f>
        <v>0</v>
      </c>
      <c r="CD300" s="305">
        <f>IF(COT_PRECALCULOS!$D$24="Precios Iva Incluído",BM300,BH300)</f>
        <v>0</v>
      </c>
      <c r="CE300" s="305">
        <f>IF(COT_PRECALCULOS!$D$24="Precios Iva Incluído",BT300,BN300)</f>
        <v>0</v>
      </c>
      <c r="CF300" s="305">
        <f>IF(COT_PRECALCULOS!$D$24="Precios Iva Incluído",BU300,BO300)</f>
        <v>14137204</v>
      </c>
      <c r="CG300" s="305">
        <f>IF(COT_PRECALCULOS!$D$24="Precios Iva Incluído",BV300,BP300)</f>
        <v>21003988</v>
      </c>
      <c r="CH300" s="305">
        <f>IF(COT_PRECALCULOS!$D$24="Precios Iva Incluído",BW300,BQ300)</f>
        <v>0</v>
      </c>
      <c r="CI300" s="305">
        <f>IF(COT_PRECALCULOS!$D$24="Precios Iva Incluído",BX300,BR300)</f>
        <v>0</v>
      </c>
    </row>
    <row r="301" spans="1:87">
      <c r="A301" s="182" t="s">
        <v>102</v>
      </c>
      <c r="B301" s="182" t="s">
        <v>126</v>
      </c>
      <c r="C301" s="189" t="str">
        <f t="shared" si="358"/>
        <v>F_SE14</v>
      </c>
      <c r="D301" s="189" t="str">
        <f t="shared" si="359"/>
        <v>22_S_</v>
      </c>
      <c r="E301" s="211" t="s">
        <v>1</v>
      </c>
      <c r="F301" s="211" t="s">
        <v>1</v>
      </c>
      <c r="G301" s="189" t="s">
        <v>43</v>
      </c>
      <c r="H301" s="211"/>
      <c r="I301" s="211" t="s">
        <v>50</v>
      </c>
      <c r="J301" s="211">
        <v>22</v>
      </c>
      <c r="K301" s="211" t="s">
        <v>51</v>
      </c>
      <c r="L301" s="189" t="s">
        <v>9</v>
      </c>
      <c r="M301" s="386">
        <v>0</v>
      </c>
      <c r="N301" s="211">
        <v>100</v>
      </c>
      <c r="O301" s="211">
        <v>100</v>
      </c>
      <c r="P301" s="211"/>
      <c r="Q301" s="211"/>
      <c r="R301" s="211" t="s">
        <v>73</v>
      </c>
      <c r="S301" s="183">
        <f>COUNTIF(CAL_SEGUNDA_ENTREGA_LAV_FRUTA,CONCATENATE(G301,"_",J301))</f>
        <v>3</v>
      </c>
      <c r="T301" s="386">
        <v>0</v>
      </c>
      <c r="U301" s="385">
        <f t="shared" si="413"/>
        <v>3</v>
      </c>
      <c r="V301" s="385">
        <f t="shared" si="413"/>
        <v>3</v>
      </c>
      <c r="W301" s="387"/>
      <c r="X301" s="387"/>
      <c r="Y301" s="184">
        <f t="shared" si="371"/>
        <v>0</v>
      </c>
      <c r="Z301" s="184">
        <f>IF(N301&lt;&gt;0,VLOOKUP(A301,FRE_CANTIDADES_DIARIAS_SUMINISTROS,5,FALSE),0)</f>
        <v>31277</v>
      </c>
      <c r="AA301" s="184">
        <f>IF(O301&lt;&gt;0,VLOOKUP(A301,FRE_CANTIDADES_DIARIAS_SUMINISTROS,6,FALSE),0)</f>
        <v>46469</v>
      </c>
      <c r="AB301" s="184">
        <f t="shared" si="392"/>
        <v>0</v>
      </c>
      <c r="AC301" s="184">
        <f t="shared" si="393"/>
        <v>0</v>
      </c>
      <c r="AD301" s="184">
        <f t="shared" si="372"/>
        <v>77746</v>
      </c>
      <c r="AE301" s="183">
        <f t="shared" si="408"/>
        <v>0</v>
      </c>
      <c r="AF301" s="386">
        <v>0</v>
      </c>
      <c r="AG301" s="385">
        <f t="shared" si="409"/>
        <v>0</v>
      </c>
      <c r="AH301" s="385">
        <f t="shared" si="409"/>
        <v>0</v>
      </c>
      <c r="AI301" s="185">
        <f t="shared" si="373"/>
        <v>0</v>
      </c>
      <c r="AJ301" s="185">
        <f t="shared" si="410"/>
        <v>433</v>
      </c>
      <c r="AK301" s="185">
        <f t="shared" si="411"/>
        <v>683</v>
      </c>
      <c r="AL301" s="185">
        <f t="shared" si="374"/>
        <v>1116</v>
      </c>
      <c r="AM301" s="173">
        <v>0</v>
      </c>
      <c r="AN301" s="173">
        <f t="shared" si="396"/>
        <v>93831</v>
      </c>
      <c r="AO301" s="173">
        <f t="shared" si="397"/>
        <v>139407</v>
      </c>
      <c r="AP301" s="173">
        <f t="shared" si="360"/>
        <v>0</v>
      </c>
      <c r="AQ301" s="173">
        <f t="shared" si="361"/>
        <v>0</v>
      </c>
      <c r="AR301" s="173">
        <f t="shared" si="362"/>
        <v>233238</v>
      </c>
      <c r="AS301" s="186" t="s">
        <v>1370</v>
      </c>
      <c r="AT301" s="300">
        <f t="shared" ref="AT301:AX310" si="414">IF(ISERROR(IF(ISERROR(MATCH(CONCATENATE($J301,"_",AT$1),COT_PRE_CODIGO_ALIMENTOS,0)),IF(ISERROR(MATCH(CONCATENATE($J301,"_",AT$2),COT_PRE_CODIGO_ALIMENTOS,0)),IF(ISERROR(MATCH(CONCATENATE($J301,"_",AT$3),COT_PRE_CODIGO_ALIMENTOS,0)),IF(ISERROR(MATCH(CONCATENATE($J301,"_",AT$4),COT_PRE_CODIGO_ALIMENTOS,0)),IF(ISERROR(MATCH(CONCATENATE($J301,"_",AT$5),COT_PRE_CODIGO_ALIMENTOS,0)),IF(ISERROR(MATCH(CONCATENATE($J301,"_",AT$6),COT_PRE_CODIGO_ALIMENTOS,0)),IF(ISERROR(MATCH(CONCATENATE($J301,"_",AT$7),COT_PRE_CODIGO_ALIMENTOS,0)),IF(ISERROR(VLOOKUP($J301,COT_PRE_ALIMENTOS,AT$8,FALSE)),"DATO NO DISPONIBLE",VLOOKUP($J301,COT_PRE_ALIMENTOS,AT$8,FALSE)),VLOOKUP(CONCATENATE($J301,"_",AT$7),COT_PRE_ALIMENTOS,AT$8,FALSE)),VLOOKUP(CONCATENATE($J301,"_",AT$6),COT_PRE_ALIMENTOS,AT$8,FALSE)),VLOOKUP(CONCATENATE($J301,"_",AT$5),COT_PRE_ALIMENTOS,AT$8,FALSE)),VLOOKUP(CONCATENATE($J301,"_",AT$4),COT_PRE_ALIMENTOS,AT$8,FALSE)),VLOOKUP(CONCATENATE($J301,"_",AT$3),COT_PRE_ALIMENTOS,AT$8,FALSE)),VLOOKUP(CONCATENATE($J301,"_",AT$2),COT_PRE_ALIMENTOS,AT$8,FALSE)),VLOOKUP(CONCATENATE($J301,"_",AT$1),COT_PRE_ALIMENTOS,AT$8,FALSE))),"DATO NO DISPONIBLE",IF(ISERROR(MATCH(CONCATENATE($J301,"_",AT$1),COT_PRE_CODIGO_ALIMENTOS,0)),IF(ISERROR(MATCH(CONCATENATE($J301,"_",AT$2),COT_PRE_CODIGO_ALIMENTOS,0)),IF(ISERROR(MATCH(CONCATENATE($J301,"_",AT$3),COT_PRE_CODIGO_ALIMENTOS,0)),IF(ISERROR(MATCH(CONCATENATE($J301,"_",AT$4),COT_PRE_CODIGO_ALIMENTOS,0)),IF(ISERROR(MATCH(CONCATENATE($J301,"_",AT$5),COT_PRE_CODIGO_ALIMENTOS,0)),IF(ISERROR(MATCH(CONCATENATE($J301,"_",AT$6),COT_PRE_CODIGO_ALIMENTOS,0)),IF(ISERROR(MATCH(CONCATENATE($J301,"_",AT$7),COT_PRE_CODIGO_ALIMENTOS,0)),IF(ISERROR(VLOOKUP($J301,COT_PRE_ALIMENTOS,AT$8,FALSE)),"DATO NO DISPONIBLE",VLOOKUP($J301,COT_PRE_ALIMENTOS,AT$8,FALSE)),VLOOKUP(CONCATENATE($J301,"_",AT$7),COT_PRE_ALIMENTOS,AT$8,FALSE)),VLOOKUP(CONCATENATE($J301,"_",AT$6),COT_PRE_ALIMENTOS,AT$8,FALSE)),VLOOKUP(CONCATENATE($J301,"_",AT$5),COT_PRE_ALIMENTOS,AT$8,FALSE)),VLOOKUP(CONCATENATE($J301,"_",AT$4),COT_PRE_ALIMENTOS,AT$8,FALSE)),VLOOKUP(CONCATENATE($J301,"_",AT$3),COT_PRE_ALIMENTOS,AT$8,FALSE)),VLOOKUP(CONCATENATE($J301,"_",AT$2),COT_PRE_ALIMENTOS,AT$8,FALSE)),VLOOKUP(CONCATENATE($J301,"_",AT$1),COT_PRE_ALIMENTOS,AT$8,FALSE)))</f>
        <v>4.9124999999999996</v>
      </c>
      <c r="AU301" s="300">
        <f t="shared" si="414"/>
        <v>4.9124999999999996</v>
      </c>
      <c r="AV301" s="300">
        <f t="shared" si="414"/>
        <v>4.9124999999999996</v>
      </c>
      <c r="AW301" s="300">
        <f t="shared" si="414"/>
        <v>4.9124999999999996</v>
      </c>
      <c r="AX301" s="300">
        <f t="shared" si="414"/>
        <v>4.9124999999999996</v>
      </c>
      <c r="AY301" s="301">
        <f t="shared" si="412"/>
        <v>4.9124999999999996</v>
      </c>
      <c r="AZ301" s="301">
        <f t="shared" si="412"/>
        <v>4.9124999999999996</v>
      </c>
      <c r="BA301" s="301">
        <f t="shared" si="412"/>
        <v>4.9124999999999996</v>
      </c>
      <c r="BB301" s="301">
        <f t="shared" si="412"/>
        <v>4.9124999999999996</v>
      </c>
      <c r="BC301" s="301">
        <f t="shared" si="412"/>
        <v>4.9124999999999996</v>
      </c>
      <c r="BD301" s="187"/>
      <c r="BE301" s="187">
        <f t="shared" si="398"/>
        <v>525</v>
      </c>
      <c r="BF301" s="187">
        <f t="shared" si="399"/>
        <v>525</v>
      </c>
      <c r="BG301" s="187"/>
      <c r="BH301" s="187"/>
      <c r="BI301" s="187"/>
      <c r="BJ301" s="187">
        <f t="shared" si="376"/>
        <v>525</v>
      </c>
      <c r="BK301" s="187">
        <f t="shared" si="377"/>
        <v>525</v>
      </c>
      <c r="BL301" s="187"/>
      <c r="BM301" s="187"/>
      <c r="BN301" s="188"/>
      <c r="BO301" s="188">
        <f t="shared" si="378"/>
        <v>49261275</v>
      </c>
      <c r="BP301" s="188">
        <f t="shared" si="379"/>
        <v>73188675</v>
      </c>
      <c r="BQ301" s="188">
        <f t="shared" si="380"/>
        <v>0</v>
      </c>
      <c r="BR301" s="188">
        <f t="shared" si="381"/>
        <v>0</v>
      </c>
      <c r="BS301" s="188">
        <f t="shared" si="364"/>
        <v>122449950</v>
      </c>
      <c r="BT301" s="188">
        <f t="shared" si="365"/>
        <v>0</v>
      </c>
      <c r="BU301" s="188">
        <f t="shared" si="366"/>
        <v>49261275</v>
      </c>
      <c r="BV301" s="188">
        <f t="shared" si="367"/>
        <v>73188675</v>
      </c>
      <c r="BW301" s="188">
        <f t="shared" si="368"/>
        <v>0</v>
      </c>
      <c r="BX301" s="188">
        <f t="shared" si="369"/>
        <v>0</v>
      </c>
      <c r="BY301" s="188">
        <f t="shared" si="370"/>
        <v>122449950</v>
      </c>
      <c r="BZ301" s="305">
        <f>IF(COT_PRECALCULOS!$D$24="Precios Iva Incluído",BI301,BD301)</f>
        <v>0</v>
      </c>
      <c r="CA301" s="305">
        <f>IF(COT_PRECALCULOS!$D$24="Precios Iva Incluído",BJ301,BE301)</f>
        <v>525</v>
      </c>
      <c r="CB301" s="305">
        <f>IF(COT_PRECALCULOS!$D$24="Precios Iva Incluído",BK301,BF301)</f>
        <v>525</v>
      </c>
      <c r="CC301" s="305">
        <f>IF(COT_PRECALCULOS!$D$24="Precios Iva Incluído",BL301,BG301)</f>
        <v>0</v>
      </c>
      <c r="CD301" s="305">
        <f>IF(COT_PRECALCULOS!$D$24="Precios Iva Incluído",BM301,BH301)</f>
        <v>0</v>
      </c>
      <c r="CE301" s="305">
        <f>IF(COT_PRECALCULOS!$D$24="Precios Iva Incluído",BT301,BN301)</f>
        <v>0</v>
      </c>
      <c r="CF301" s="305">
        <f>IF(COT_PRECALCULOS!$D$24="Precios Iva Incluído",BU301,BO301)</f>
        <v>49261275</v>
      </c>
      <c r="CG301" s="305">
        <f>IF(COT_PRECALCULOS!$D$24="Precios Iva Incluído",BV301,BP301)</f>
        <v>73188675</v>
      </c>
      <c r="CH301" s="305">
        <f>IF(COT_PRECALCULOS!$D$24="Precios Iva Incluído",BW301,BQ301)</f>
        <v>0</v>
      </c>
      <c r="CI301" s="305">
        <f>IF(COT_PRECALCULOS!$D$24="Precios Iva Incluído",BX301,BR301)</f>
        <v>0</v>
      </c>
    </row>
    <row r="302" spans="1:87" s="237" customFormat="1">
      <c r="A302" s="182" t="s">
        <v>102</v>
      </c>
      <c r="B302" s="182" t="s">
        <v>126</v>
      </c>
      <c r="C302" s="189" t="str">
        <f t="shared" si="358"/>
        <v>F_SE14</v>
      </c>
      <c r="D302" s="189" t="str">
        <f t="shared" si="359"/>
        <v>33_S_</v>
      </c>
      <c r="E302" s="211" t="s">
        <v>1</v>
      </c>
      <c r="F302" s="211" t="s">
        <v>1</v>
      </c>
      <c r="G302" s="189" t="s">
        <v>43</v>
      </c>
      <c r="H302" s="211"/>
      <c r="I302" s="211" t="s">
        <v>58</v>
      </c>
      <c r="J302" s="211">
        <v>33</v>
      </c>
      <c r="K302" s="211" t="s">
        <v>59</v>
      </c>
      <c r="L302" s="189" t="s">
        <v>48</v>
      </c>
      <c r="M302" s="310">
        <v>90</v>
      </c>
      <c r="N302" s="310">
        <v>90</v>
      </c>
      <c r="O302" s="310">
        <v>90</v>
      </c>
      <c r="P302" s="211"/>
      <c r="Q302" s="211"/>
      <c r="R302" s="211"/>
      <c r="S302" s="385">
        <f>COUNTIF(CAL_SEGUNDA_ENTREGA_LAV_FRUTA,CONCATENATE(G302,"_",J302))</f>
        <v>1</v>
      </c>
      <c r="T302" s="385">
        <f>$S302</f>
        <v>1</v>
      </c>
      <c r="U302" s="385">
        <f t="shared" si="413"/>
        <v>1</v>
      </c>
      <c r="V302" s="385">
        <f t="shared" si="413"/>
        <v>1</v>
      </c>
      <c r="W302" s="387"/>
      <c r="X302" s="387"/>
      <c r="Y302" s="184">
        <f t="shared" si="371"/>
        <v>28053</v>
      </c>
      <c r="Z302" s="184">
        <f>IF(N302&lt;&gt;0,VLOOKUP(A302,FRE_CANTIDADES_DIARIAS_SUMINISTROS,5,FALSE),0)</f>
        <v>31277</v>
      </c>
      <c r="AA302" s="184">
        <f>IF(O302&lt;&gt;0,VLOOKUP(A302,FRE_CANTIDADES_DIARIAS_SUMINISTROS,6,FALSE),0)</f>
        <v>46469</v>
      </c>
      <c r="AB302" s="184">
        <f t="shared" si="392"/>
        <v>0</v>
      </c>
      <c r="AC302" s="184">
        <f t="shared" si="393"/>
        <v>0</v>
      </c>
      <c r="AD302" s="184">
        <f t="shared" si="372"/>
        <v>105799</v>
      </c>
      <c r="AE302" s="183">
        <f t="shared" si="408"/>
        <v>0</v>
      </c>
      <c r="AF302" s="385">
        <f>$AE302</f>
        <v>0</v>
      </c>
      <c r="AG302" s="385">
        <f t="shared" si="409"/>
        <v>0</v>
      </c>
      <c r="AH302" s="385">
        <f t="shared" si="409"/>
        <v>0</v>
      </c>
      <c r="AI302" s="185">
        <f t="shared" si="373"/>
        <v>74</v>
      </c>
      <c r="AJ302" s="185">
        <f t="shared" si="410"/>
        <v>433</v>
      </c>
      <c r="AK302" s="185">
        <f t="shared" si="411"/>
        <v>683</v>
      </c>
      <c r="AL302" s="185">
        <f t="shared" si="374"/>
        <v>1190</v>
      </c>
      <c r="AM302" s="173">
        <f t="shared" ref="AM302:AM308" si="415">($S302*Y302)+($AE302*AI302)</f>
        <v>28053</v>
      </c>
      <c r="AN302" s="173">
        <f t="shared" si="396"/>
        <v>31277</v>
      </c>
      <c r="AO302" s="173">
        <f t="shared" si="397"/>
        <v>46469</v>
      </c>
      <c r="AP302" s="173">
        <f t="shared" si="360"/>
        <v>0</v>
      </c>
      <c r="AQ302" s="173">
        <f t="shared" si="361"/>
        <v>0</v>
      </c>
      <c r="AR302" s="173">
        <f t="shared" si="362"/>
        <v>105799</v>
      </c>
      <c r="AS302" s="186" t="s">
        <v>1370</v>
      </c>
      <c r="AT302" s="300">
        <f t="shared" si="414"/>
        <v>2.8014999999999999</v>
      </c>
      <c r="AU302" s="300">
        <f t="shared" si="414"/>
        <v>2.8014999999999999</v>
      </c>
      <c r="AV302" s="300">
        <f t="shared" si="414"/>
        <v>2.8014999999999999</v>
      </c>
      <c r="AW302" s="300">
        <f t="shared" si="414"/>
        <v>2.8014999999999999</v>
      </c>
      <c r="AX302" s="300">
        <f t="shared" si="414"/>
        <v>2.8014999999999999</v>
      </c>
      <c r="AY302" s="301">
        <f t="shared" si="412"/>
        <v>2.8014999999999999</v>
      </c>
      <c r="AZ302" s="301">
        <f t="shared" si="412"/>
        <v>2.8014999999999999</v>
      </c>
      <c r="BA302" s="301">
        <f t="shared" si="412"/>
        <v>2.8014999999999999</v>
      </c>
      <c r="BB302" s="301">
        <f t="shared" si="412"/>
        <v>2.8014999999999999</v>
      </c>
      <c r="BC302" s="301">
        <f t="shared" si="412"/>
        <v>2.8014999999999999</v>
      </c>
      <c r="BD302" s="187">
        <f>ROUND(IF(OR(M302=0,AT302="DATO NO DISPONIBLE"),"",AT302*M302*($BD$7+1)),0)</f>
        <v>270</v>
      </c>
      <c r="BE302" s="187">
        <f t="shared" si="398"/>
        <v>270</v>
      </c>
      <c r="BF302" s="187">
        <f t="shared" si="399"/>
        <v>270</v>
      </c>
      <c r="BG302" s="187"/>
      <c r="BH302" s="187"/>
      <c r="BI302" s="187">
        <f>ROUND(IF(OR(M302=0,AY302="DATO NO DISPONIBLE"),0,AY302*M302*($BD$7+1)),0)</f>
        <v>270</v>
      </c>
      <c r="BJ302" s="187">
        <f t="shared" si="376"/>
        <v>270</v>
      </c>
      <c r="BK302" s="187">
        <f t="shared" si="377"/>
        <v>270</v>
      </c>
      <c r="BL302" s="187"/>
      <c r="BM302" s="187"/>
      <c r="BN302" s="188">
        <f>BD302*AM302</f>
        <v>7574310</v>
      </c>
      <c r="BO302" s="188">
        <f t="shared" si="378"/>
        <v>8444790</v>
      </c>
      <c r="BP302" s="188">
        <f t="shared" si="379"/>
        <v>12546630</v>
      </c>
      <c r="BQ302" s="188">
        <f t="shared" si="380"/>
        <v>0</v>
      </c>
      <c r="BR302" s="188">
        <f t="shared" si="381"/>
        <v>0</v>
      </c>
      <c r="BS302" s="188">
        <f t="shared" si="364"/>
        <v>28565730</v>
      </c>
      <c r="BT302" s="188">
        <f t="shared" si="365"/>
        <v>7574310</v>
      </c>
      <c r="BU302" s="188">
        <f t="shared" si="366"/>
        <v>8444790</v>
      </c>
      <c r="BV302" s="188">
        <f t="shared" si="367"/>
        <v>12546630</v>
      </c>
      <c r="BW302" s="188">
        <f t="shared" si="368"/>
        <v>0</v>
      </c>
      <c r="BX302" s="188">
        <f t="shared" si="369"/>
        <v>0</v>
      </c>
      <c r="BY302" s="188">
        <f t="shared" si="370"/>
        <v>28565730</v>
      </c>
      <c r="BZ302" s="305">
        <f>IF(COT_PRECALCULOS!$D$24="Precios Iva Incluído",BI302,BD302)</f>
        <v>270</v>
      </c>
      <c r="CA302" s="305">
        <f>IF(COT_PRECALCULOS!$D$24="Precios Iva Incluído",BJ302,BE302)</f>
        <v>270</v>
      </c>
      <c r="CB302" s="305">
        <f>IF(COT_PRECALCULOS!$D$24="Precios Iva Incluído",BK302,BF302)</f>
        <v>270</v>
      </c>
      <c r="CC302" s="305">
        <f>IF(COT_PRECALCULOS!$D$24="Precios Iva Incluído",BL302,BG302)</f>
        <v>0</v>
      </c>
      <c r="CD302" s="305">
        <f>IF(COT_PRECALCULOS!$D$24="Precios Iva Incluído",BM302,BH302)</f>
        <v>0</v>
      </c>
      <c r="CE302" s="305">
        <f>IF(COT_PRECALCULOS!$D$24="Precios Iva Incluído",BT302,BN302)</f>
        <v>7574310</v>
      </c>
      <c r="CF302" s="305">
        <f>IF(COT_PRECALCULOS!$D$24="Precios Iva Incluído",BU302,BO302)</f>
        <v>8444790</v>
      </c>
      <c r="CG302" s="305">
        <f>IF(COT_PRECALCULOS!$D$24="Precios Iva Incluído",BV302,BP302)</f>
        <v>12546630</v>
      </c>
      <c r="CH302" s="305">
        <f>IF(COT_PRECALCULOS!$D$24="Precios Iva Incluído",BW302,BQ302)</f>
        <v>0</v>
      </c>
      <c r="CI302" s="305">
        <f>IF(COT_PRECALCULOS!$D$24="Precios Iva Incluído",BX302,BR302)</f>
        <v>0</v>
      </c>
    </row>
    <row r="303" spans="1:87">
      <c r="A303" s="182" t="s">
        <v>102</v>
      </c>
      <c r="B303" s="182" t="s">
        <v>126</v>
      </c>
      <c r="C303" s="189" t="str">
        <f t="shared" si="358"/>
        <v>F_SE14</v>
      </c>
      <c r="D303" s="189" t="str">
        <f t="shared" si="359"/>
        <v>42_S_</v>
      </c>
      <c r="E303" s="211" t="s">
        <v>1</v>
      </c>
      <c r="F303" s="211" t="s">
        <v>1</v>
      </c>
      <c r="G303" s="189" t="s">
        <v>43</v>
      </c>
      <c r="H303" s="211"/>
      <c r="I303" s="211" t="s">
        <v>49</v>
      </c>
      <c r="J303" s="211">
        <v>42</v>
      </c>
      <c r="K303" s="211" t="s">
        <v>61</v>
      </c>
      <c r="L303" s="189" t="s">
        <v>9</v>
      </c>
      <c r="M303" s="211">
        <v>100</v>
      </c>
      <c r="N303" s="211">
        <v>100</v>
      </c>
      <c r="O303" s="211">
        <v>100</v>
      </c>
      <c r="P303" s="211"/>
      <c r="Q303" s="211"/>
      <c r="R303" s="211"/>
      <c r="S303" s="388">
        <v>5</v>
      </c>
      <c r="T303" s="388">
        <f>$S303</f>
        <v>5</v>
      </c>
      <c r="U303" s="388">
        <v>0</v>
      </c>
      <c r="V303" s="388">
        <v>0</v>
      </c>
      <c r="W303" s="387"/>
      <c r="X303" s="387"/>
      <c r="Y303" s="184">
        <f t="shared" si="371"/>
        <v>28053</v>
      </c>
      <c r="Z303" s="184">
        <v>0</v>
      </c>
      <c r="AA303" s="184">
        <v>0</v>
      </c>
      <c r="AB303" s="184">
        <f t="shared" si="392"/>
        <v>0</v>
      </c>
      <c r="AC303" s="184">
        <f t="shared" si="393"/>
        <v>0</v>
      </c>
      <c r="AD303" s="184">
        <f t="shared" si="372"/>
        <v>28053</v>
      </c>
      <c r="AE303" s="183">
        <f t="shared" si="408"/>
        <v>0</v>
      </c>
      <c r="AF303" s="385">
        <f>$AE303</f>
        <v>0</v>
      </c>
      <c r="AG303" s="385">
        <f t="shared" si="409"/>
        <v>0</v>
      </c>
      <c r="AH303" s="385">
        <f t="shared" si="409"/>
        <v>0</v>
      </c>
      <c r="AI303" s="185">
        <f t="shared" si="373"/>
        <v>74</v>
      </c>
      <c r="AJ303" s="185">
        <f t="shared" si="410"/>
        <v>433</v>
      </c>
      <c r="AK303" s="185">
        <f t="shared" si="411"/>
        <v>683</v>
      </c>
      <c r="AL303" s="185">
        <f t="shared" si="374"/>
        <v>1190</v>
      </c>
      <c r="AM303" s="173">
        <f t="shared" si="415"/>
        <v>140265</v>
      </c>
      <c r="AN303" s="173">
        <f t="shared" si="396"/>
        <v>0</v>
      </c>
      <c r="AO303" s="173">
        <f t="shared" si="397"/>
        <v>0</v>
      </c>
      <c r="AP303" s="173">
        <f t="shared" si="360"/>
        <v>0</v>
      </c>
      <c r="AQ303" s="173">
        <f t="shared" si="361"/>
        <v>0</v>
      </c>
      <c r="AR303" s="173">
        <f t="shared" si="362"/>
        <v>140265</v>
      </c>
      <c r="AS303" s="186" t="s">
        <v>1370</v>
      </c>
      <c r="AT303" s="300">
        <f t="shared" si="414"/>
        <v>1.8169999999999999</v>
      </c>
      <c r="AU303" s="300">
        <f t="shared" si="414"/>
        <v>1.8169999999999999</v>
      </c>
      <c r="AV303" s="300">
        <f t="shared" si="414"/>
        <v>1.8169999999999999</v>
      </c>
      <c r="AW303" s="300">
        <f t="shared" si="414"/>
        <v>1.8169999999999999</v>
      </c>
      <c r="AX303" s="300">
        <f t="shared" si="414"/>
        <v>1.8169999999999999</v>
      </c>
      <c r="AY303" s="301">
        <f t="shared" si="412"/>
        <v>1.8169999999999999</v>
      </c>
      <c r="AZ303" s="301">
        <f t="shared" si="412"/>
        <v>1.8169999999999999</v>
      </c>
      <c r="BA303" s="301">
        <f t="shared" si="412"/>
        <v>1.8169999999999999</v>
      </c>
      <c r="BB303" s="301">
        <f t="shared" si="412"/>
        <v>1.8169999999999999</v>
      </c>
      <c r="BC303" s="301">
        <f t="shared" si="412"/>
        <v>1.8169999999999999</v>
      </c>
      <c r="BD303" s="187">
        <f>ROUND(IF(OR(M303=0,AT303="DATO NO DISPONIBLE"),"",AT303*M303*($BD$7+1)),0)</f>
        <v>194</v>
      </c>
      <c r="BE303" s="187">
        <f t="shared" si="398"/>
        <v>194</v>
      </c>
      <c r="BF303" s="187">
        <f t="shared" si="399"/>
        <v>194</v>
      </c>
      <c r="BG303" s="187"/>
      <c r="BH303" s="187"/>
      <c r="BI303" s="187">
        <f>ROUND(IF(OR(M303=0,AY303="DATO NO DISPONIBLE"),0,AY303*M303*($BD$7+1)),0)</f>
        <v>194</v>
      </c>
      <c r="BJ303" s="187">
        <f t="shared" si="376"/>
        <v>194</v>
      </c>
      <c r="BK303" s="187">
        <f t="shared" si="377"/>
        <v>194</v>
      </c>
      <c r="BL303" s="187"/>
      <c r="BM303" s="187"/>
      <c r="BN303" s="188">
        <f>BD303*AM303</f>
        <v>27211410</v>
      </c>
      <c r="BO303" s="188">
        <f t="shared" si="378"/>
        <v>0</v>
      </c>
      <c r="BP303" s="188">
        <f t="shared" si="379"/>
        <v>0</v>
      </c>
      <c r="BQ303" s="188">
        <f t="shared" si="380"/>
        <v>0</v>
      </c>
      <c r="BR303" s="188">
        <f t="shared" si="381"/>
        <v>0</v>
      </c>
      <c r="BS303" s="188">
        <f t="shared" si="364"/>
        <v>27211410</v>
      </c>
      <c r="BT303" s="188">
        <f t="shared" si="365"/>
        <v>27211410</v>
      </c>
      <c r="BU303" s="188">
        <f t="shared" si="366"/>
        <v>0</v>
      </c>
      <c r="BV303" s="188">
        <f t="shared" si="367"/>
        <v>0</v>
      </c>
      <c r="BW303" s="188">
        <f t="shared" si="368"/>
        <v>0</v>
      </c>
      <c r="BX303" s="188">
        <f t="shared" si="369"/>
        <v>0</v>
      </c>
      <c r="BY303" s="188">
        <f t="shared" si="370"/>
        <v>27211410</v>
      </c>
      <c r="BZ303" s="305">
        <f>IF(COT_PRECALCULOS!$D$24="Precios Iva Incluído",BI303,BD303)</f>
        <v>194</v>
      </c>
      <c r="CA303" s="305">
        <f>IF(COT_PRECALCULOS!$D$24="Precios Iva Incluído",BJ303,BE303)</f>
        <v>194</v>
      </c>
      <c r="CB303" s="305">
        <f>IF(COT_PRECALCULOS!$D$24="Precios Iva Incluído",BK303,BF303)</f>
        <v>194</v>
      </c>
      <c r="CC303" s="305">
        <f>IF(COT_PRECALCULOS!$D$24="Precios Iva Incluído",BL303,BG303)</f>
        <v>0</v>
      </c>
      <c r="CD303" s="305">
        <f>IF(COT_PRECALCULOS!$D$24="Precios Iva Incluído",BM303,BH303)</f>
        <v>0</v>
      </c>
      <c r="CE303" s="305">
        <f>IF(COT_PRECALCULOS!$D$24="Precios Iva Incluído",BT303,BN303)</f>
        <v>27211410</v>
      </c>
      <c r="CF303" s="305">
        <f>IF(COT_PRECALCULOS!$D$24="Precios Iva Incluído",BU303,BO303)</f>
        <v>0</v>
      </c>
      <c r="CG303" s="305">
        <f>IF(COT_PRECALCULOS!$D$24="Precios Iva Incluído",BV303,BP303)</f>
        <v>0</v>
      </c>
      <c r="CH303" s="305">
        <f>IF(COT_PRECALCULOS!$D$24="Precios Iva Incluído",BW303,BQ303)</f>
        <v>0</v>
      </c>
      <c r="CI303" s="305">
        <f>IF(COT_PRECALCULOS!$D$24="Precios Iva Incluído",BX303,BR303)</f>
        <v>0</v>
      </c>
    </row>
    <row r="304" spans="1:87">
      <c r="A304" s="182" t="s">
        <v>102</v>
      </c>
      <c r="B304" s="182" t="s">
        <v>126</v>
      </c>
      <c r="C304" s="189" t="str">
        <f t="shared" si="358"/>
        <v>F_SE14</v>
      </c>
      <c r="D304" s="189" t="str">
        <f t="shared" si="359"/>
        <v>43_S_</v>
      </c>
      <c r="E304" s="190" t="s">
        <v>1</v>
      </c>
      <c r="F304" s="190" t="s">
        <v>1</v>
      </c>
      <c r="G304" s="189" t="s">
        <v>43</v>
      </c>
      <c r="H304" s="190"/>
      <c r="I304" s="190" t="s">
        <v>60</v>
      </c>
      <c r="J304" s="190">
        <v>43</v>
      </c>
      <c r="K304" s="190" t="s">
        <v>62</v>
      </c>
      <c r="L304" s="189" t="s">
        <v>9</v>
      </c>
      <c r="M304" s="211">
        <v>100</v>
      </c>
      <c r="N304" s="211">
        <v>100</v>
      </c>
      <c r="O304" s="211">
        <v>100</v>
      </c>
      <c r="P304" s="190"/>
      <c r="Q304" s="190"/>
      <c r="R304" s="190"/>
      <c r="S304" s="183">
        <f t="shared" ref="S304:S311" si="416">COUNTIF(CAL_SEGUNDA_ENTREGA_LAV_FRUTA,CONCATENATE(G304,"_",J304))</f>
        <v>5</v>
      </c>
      <c r="T304" s="385">
        <f>$S304</f>
        <v>5</v>
      </c>
      <c r="U304" s="385">
        <f t="shared" ref="U304:V311" si="417">$S304</f>
        <v>5</v>
      </c>
      <c r="V304" s="385">
        <f t="shared" si="417"/>
        <v>5</v>
      </c>
      <c r="W304" s="387"/>
      <c r="X304" s="387"/>
      <c r="Y304" s="184">
        <f t="shared" si="371"/>
        <v>28053</v>
      </c>
      <c r="Z304" s="184">
        <f t="shared" ref="Z304:Z311" si="418">IF(N304&lt;&gt;0,VLOOKUP(A304,FRE_CANTIDADES_DIARIAS_SUMINISTROS,5,FALSE),0)</f>
        <v>31277</v>
      </c>
      <c r="AA304" s="184">
        <f t="shared" ref="AA304:AA311" si="419">IF(O304&lt;&gt;0,VLOOKUP(A304,FRE_CANTIDADES_DIARIAS_SUMINISTROS,6,FALSE),0)</f>
        <v>46469</v>
      </c>
      <c r="AB304" s="184">
        <f t="shared" si="392"/>
        <v>0</v>
      </c>
      <c r="AC304" s="184">
        <f t="shared" si="393"/>
        <v>0</v>
      </c>
      <c r="AD304" s="184">
        <f t="shared" si="372"/>
        <v>105799</v>
      </c>
      <c r="AE304" s="183">
        <f t="shared" si="408"/>
        <v>0</v>
      </c>
      <c r="AF304" s="385">
        <f>$AE304</f>
        <v>0</v>
      </c>
      <c r="AG304" s="385">
        <f t="shared" si="409"/>
        <v>0</v>
      </c>
      <c r="AH304" s="385">
        <f t="shared" si="409"/>
        <v>0</v>
      </c>
      <c r="AI304" s="185">
        <f t="shared" si="373"/>
        <v>74</v>
      </c>
      <c r="AJ304" s="185">
        <f t="shared" si="410"/>
        <v>433</v>
      </c>
      <c r="AK304" s="185">
        <f t="shared" si="411"/>
        <v>683</v>
      </c>
      <c r="AL304" s="185">
        <f t="shared" si="374"/>
        <v>1190</v>
      </c>
      <c r="AM304" s="173">
        <f t="shared" si="415"/>
        <v>140265</v>
      </c>
      <c r="AN304" s="173">
        <f t="shared" si="396"/>
        <v>156385</v>
      </c>
      <c r="AO304" s="173">
        <f t="shared" si="397"/>
        <v>232345</v>
      </c>
      <c r="AP304" s="173">
        <f t="shared" si="360"/>
        <v>0</v>
      </c>
      <c r="AQ304" s="173">
        <f t="shared" si="361"/>
        <v>0</v>
      </c>
      <c r="AR304" s="173">
        <f t="shared" si="362"/>
        <v>528995</v>
      </c>
      <c r="AS304" s="186" t="s">
        <v>1370</v>
      </c>
      <c r="AT304" s="300">
        <f t="shared" si="414"/>
        <v>1.5892500000000001</v>
      </c>
      <c r="AU304" s="300">
        <f t="shared" si="414"/>
        <v>1.5892500000000001</v>
      </c>
      <c r="AV304" s="300">
        <f t="shared" si="414"/>
        <v>1.5892500000000001</v>
      </c>
      <c r="AW304" s="300">
        <f t="shared" si="414"/>
        <v>1.5892500000000001</v>
      </c>
      <c r="AX304" s="300">
        <f t="shared" si="414"/>
        <v>1.5892500000000001</v>
      </c>
      <c r="AY304" s="301">
        <f t="shared" si="412"/>
        <v>1.5892500000000001</v>
      </c>
      <c r="AZ304" s="301">
        <f t="shared" si="412"/>
        <v>1.5892500000000001</v>
      </c>
      <c r="BA304" s="301">
        <f t="shared" si="412"/>
        <v>1.5892500000000001</v>
      </c>
      <c r="BB304" s="301">
        <f t="shared" si="412"/>
        <v>1.5892500000000001</v>
      </c>
      <c r="BC304" s="301">
        <f t="shared" si="412"/>
        <v>1.5892500000000001</v>
      </c>
      <c r="BD304" s="187">
        <f>ROUND(IF(OR(M304=0,AT304="DATO NO DISPONIBLE"),"",AT304*M304*($BD$7+1)),0)</f>
        <v>170</v>
      </c>
      <c r="BE304" s="187">
        <f t="shared" si="398"/>
        <v>170</v>
      </c>
      <c r="BF304" s="187">
        <f t="shared" si="399"/>
        <v>170</v>
      </c>
      <c r="BG304" s="187"/>
      <c r="BH304" s="187"/>
      <c r="BI304" s="187">
        <f>ROUND(IF(OR(M304=0,AY304="DATO NO DISPONIBLE"),0,AY304*M304*($BD$7+1)),0)</f>
        <v>170</v>
      </c>
      <c r="BJ304" s="187">
        <f t="shared" si="376"/>
        <v>170</v>
      </c>
      <c r="BK304" s="187">
        <f t="shared" si="377"/>
        <v>170</v>
      </c>
      <c r="BL304" s="187"/>
      <c r="BM304" s="187"/>
      <c r="BN304" s="188">
        <f>BD304*AM304</f>
        <v>23845050</v>
      </c>
      <c r="BO304" s="188">
        <f t="shared" si="378"/>
        <v>26585450</v>
      </c>
      <c r="BP304" s="188">
        <f t="shared" si="379"/>
        <v>39498650</v>
      </c>
      <c r="BQ304" s="188">
        <f t="shared" si="380"/>
        <v>0</v>
      </c>
      <c r="BR304" s="188">
        <f t="shared" si="381"/>
        <v>0</v>
      </c>
      <c r="BS304" s="188">
        <f t="shared" si="364"/>
        <v>89929150</v>
      </c>
      <c r="BT304" s="188">
        <f t="shared" si="365"/>
        <v>23845050</v>
      </c>
      <c r="BU304" s="188">
        <f t="shared" si="366"/>
        <v>26585450</v>
      </c>
      <c r="BV304" s="188">
        <f t="shared" si="367"/>
        <v>39498650</v>
      </c>
      <c r="BW304" s="188">
        <f t="shared" si="368"/>
        <v>0</v>
      </c>
      <c r="BX304" s="188">
        <f t="shared" si="369"/>
        <v>0</v>
      </c>
      <c r="BY304" s="188">
        <f t="shared" si="370"/>
        <v>89929150</v>
      </c>
      <c r="BZ304" s="305">
        <f>IF(COT_PRECALCULOS!$D$24="Precios Iva Incluído",BI304,BD304)</f>
        <v>170</v>
      </c>
      <c r="CA304" s="305">
        <f>IF(COT_PRECALCULOS!$D$24="Precios Iva Incluído",BJ304,BE304)</f>
        <v>170</v>
      </c>
      <c r="CB304" s="305">
        <f>IF(COT_PRECALCULOS!$D$24="Precios Iva Incluído",BK304,BF304)</f>
        <v>170</v>
      </c>
      <c r="CC304" s="305">
        <f>IF(COT_PRECALCULOS!$D$24="Precios Iva Incluído",BL304,BG304)</f>
        <v>0</v>
      </c>
      <c r="CD304" s="305">
        <f>IF(COT_PRECALCULOS!$D$24="Precios Iva Incluído",BM304,BH304)</f>
        <v>0</v>
      </c>
      <c r="CE304" s="305">
        <f>IF(COT_PRECALCULOS!$D$24="Precios Iva Incluído",BT304,BN304)</f>
        <v>23845050</v>
      </c>
      <c r="CF304" s="305">
        <f>IF(COT_PRECALCULOS!$D$24="Precios Iva Incluído",BU304,BO304)</f>
        <v>26585450</v>
      </c>
      <c r="CG304" s="305">
        <f>IF(COT_PRECALCULOS!$D$24="Precios Iva Incluído",BV304,BP304)</f>
        <v>39498650</v>
      </c>
      <c r="CH304" s="305">
        <f>IF(COT_PRECALCULOS!$D$24="Precios Iva Incluído",BW304,BQ304)</f>
        <v>0</v>
      </c>
      <c r="CI304" s="305">
        <f>IF(COT_PRECALCULOS!$D$24="Precios Iva Incluído",BX304,BR304)</f>
        <v>0</v>
      </c>
    </row>
    <row r="305" spans="1:87">
      <c r="A305" s="182" t="s">
        <v>102</v>
      </c>
      <c r="B305" s="182" t="s">
        <v>126</v>
      </c>
      <c r="C305" s="189" t="str">
        <f t="shared" si="358"/>
        <v>F_SE14</v>
      </c>
      <c r="D305" s="189" t="str">
        <f t="shared" si="359"/>
        <v>46_S_</v>
      </c>
      <c r="E305" s="190" t="s">
        <v>1</v>
      </c>
      <c r="F305" s="190" t="s">
        <v>1</v>
      </c>
      <c r="G305" s="189" t="s">
        <v>43</v>
      </c>
      <c r="H305" s="190"/>
      <c r="I305" s="190" t="s">
        <v>63</v>
      </c>
      <c r="J305" s="190">
        <v>46</v>
      </c>
      <c r="K305" s="190" t="s">
        <v>64</v>
      </c>
      <c r="L305" s="189" t="s">
        <v>9</v>
      </c>
      <c r="M305" s="211">
        <v>100</v>
      </c>
      <c r="N305" s="211">
        <v>100</v>
      </c>
      <c r="O305" s="211">
        <v>100</v>
      </c>
      <c r="P305" s="190"/>
      <c r="Q305" s="190"/>
      <c r="R305" s="190"/>
      <c r="S305" s="183">
        <f t="shared" si="416"/>
        <v>3</v>
      </c>
      <c r="T305" s="385">
        <f>$S305</f>
        <v>3</v>
      </c>
      <c r="U305" s="385">
        <f t="shared" si="417"/>
        <v>3</v>
      </c>
      <c r="V305" s="385">
        <f t="shared" si="417"/>
        <v>3</v>
      </c>
      <c r="W305" s="387"/>
      <c r="X305" s="387"/>
      <c r="Y305" s="184">
        <f t="shared" si="371"/>
        <v>28053</v>
      </c>
      <c r="Z305" s="184">
        <f t="shared" si="418"/>
        <v>31277</v>
      </c>
      <c r="AA305" s="184">
        <f t="shared" si="419"/>
        <v>46469</v>
      </c>
      <c r="AB305" s="184">
        <f t="shared" si="392"/>
        <v>0</v>
      </c>
      <c r="AC305" s="184">
        <f t="shared" si="393"/>
        <v>0</v>
      </c>
      <c r="AD305" s="184">
        <f t="shared" si="372"/>
        <v>105799</v>
      </c>
      <c r="AE305" s="183">
        <f t="shared" si="408"/>
        <v>0</v>
      </c>
      <c r="AF305" s="385">
        <f>$AE305</f>
        <v>0</v>
      </c>
      <c r="AG305" s="385">
        <f t="shared" si="409"/>
        <v>0</v>
      </c>
      <c r="AH305" s="385">
        <f t="shared" si="409"/>
        <v>0</v>
      </c>
      <c r="AI305" s="185">
        <f t="shared" si="373"/>
        <v>74</v>
      </c>
      <c r="AJ305" s="185">
        <f t="shared" si="410"/>
        <v>433</v>
      </c>
      <c r="AK305" s="185">
        <f t="shared" si="411"/>
        <v>683</v>
      </c>
      <c r="AL305" s="185">
        <f t="shared" si="374"/>
        <v>1190</v>
      </c>
      <c r="AM305" s="173">
        <f t="shared" si="415"/>
        <v>84159</v>
      </c>
      <c r="AN305" s="173">
        <f t="shared" si="396"/>
        <v>93831</v>
      </c>
      <c r="AO305" s="173">
        <f t="shared" si="397"/>
        <v>139407</v>
      </c>
      <c r="AP305" s="173">
        <f t="shared" si="360"/>
        <v>0</v>
      </c>
      <c r="AQ305" s="173">
        <f t="shared" si="361"/>
        <v>0</v>
      </c>
      <c r="AR305" s="173">
        <f t="shared" si="362"/>
        <v>317397</v>
      </c>
      <c r="AS305" s="186" t="s">
        <v>1370</v>
      </c>
      <c r="AT305" s="300">
        <f t="shared" si="414"/>
        <v>3.7214999999999998</v>
      </c>
      <c r="AU305" s="300">
        <f t="shared" si="414"/>
        <v>3.7214999999999998</v>
      </c>
      <c r="AV305" s="300">
        <f t="shared" si="414"/>
        <v>3.7214999999999998</v>
      </c>
      <c r="AW305" s="300">
        <f t="shared" si="414"/>
        <v>3.7214999999999998</v>
      </c>
      <c r="AX305" s="300">
        <f t="shared" si="414"/>
        <v>3.7214999999999998</v>
      </c>
      <c r="AY305" s="301">
        <f t="shared" si="412"/>
        <v>3.7214999999999998</v>
      </c>
      <c r="AZ305" s="301">
        <f t="shared" si="412"/>
        <v>3.7214999999999998</v>
      </c>
      <c r="BA305" s="301">
        <f t="shared" si="412"/>
        <v>3.7214999999999998</v>
      </c>
      <c r="BB305" s="301">
        <f t="shared" si="412"/>
        <v>3.7214999999999998</v>
      </c>
      <c r="BC305" s="301">
        <f t="shared" si="412"/>
        <v>3.7214999999999998</v>
      </c>
      <c r="BD305" s="187">
        <f>ROUND(IF(OR(M305=0,AT305="DATO NO DISPONIBLE"),"",AT305*M305*($BD$7+1)),0)</f>
        <v>398</v>
      </c>
      <c r="BE305" s="187">
        <f t="shared" si="398"/>
        <v>398</v>
      </c>
      <c r="BF305" s="187">
        <f t="shared" si="399"/>
        <v>398</v>
      </c>
      <c r="BG305" s="187"/>
      <c r="BH305" s="187"/>
      <c r="BI305" s="187">
        <f>ROUND(IF(OR(M305=0,AY305="DATO NO DISPONIBLE"),0,AY305*M305*($BD$7+1)),0)</f>
        <v>398</v>
      </c>
      <c r="BJ305" s="187">
        <f t="shared" si="376"/>
        <v>398</v>
      </c>
      <c r="BK305" s="187">
        <f t="shared" si="377"/>
        <v>398</v>
      </c>
      <c r="BL305" s="187"/>
      <c r="BM305" s="187"/>
      <c r="BN305" s="188">
        <f>BD305*AM305</f>
        <v>33495282</v>
      </c>
      <c r="BO305" s="188">
        <f t="shared" si="378"/>
        <v>37344738</v>
      </c>
      <c r="BP305" s="188">
        <f t="shared" si="379"/>
        <v>55483986</v>
      </c>
      <c r="BQ305" s="188">
        <f t="shared" si="380"/>
        <v>0</v>
      </c>
      <c r="BR305" s="188">
        <f t="shared" si="381"/>
        <v>0</v>
      </c>
      <c r="BS305" s="188">
        <f t="shared" si="364"/>
        <v>126324006</v>
      </c>
      <c r="BT305" s="188">
        <f t="shared" si="365"/>
        <v>33495282</v>
      </c>
      <c r="BU305" s="188">
        <f t="shared" si="366"/>
        <v>37344738</v>
      </c>
      <c r="BV305" s="188">
        <f t="shared" si="367"/>
        <v>55483986</v>
      </c>
      <c r="BW305" s="188">
        <f t="shared" si="368"/>
        <v>0</v>
      </c>
      <c r="BX305" s="188">
        <f t="shared" si="369"/>
        <v>0</v>
      </c>
      <c r="BY305" s="188">
        <f t="shared" si="370"/>
        <v>126324006</v>
      </c>
      <c r="BZ305" s="305">
        <f>IF(COT_PRECALCULOS!$D$24="Precios Iva Incluído",BI305,BD305)</f>
        <v>398</v>
      </c>
      <c r="CA305" s="305">
        <f>IF(COT_PRECALCULOS!$D$24="Precios Iva Incluído",BJ305,BE305)</f>
        <v>398</v>
      </c>
      <c r="CB305" s="305">
        <f>IF(COT_PRECALCULOS!$D$24="Precios Iva Incluído",BK305,BF305)</f>
        <v>398</v>
      </c>
      <c r="CC305" s="305">
        <f>IF(COT_PRECALCULOS!$D$24="Precios Iva Incluído",BL305,BG305)</f>
        <v>0</v>
      </c>
      <c r="CD305" s="305">
        <f>IF(COT_PRECALCULOS!$D$24="Precios Iva Incluído",BM305,BH305)</f>
        <v>0</v>
      </c>
      <c r="CE305" s="305">
        <f>IF(COT_PRECALCULOS!$D$24="Precios Iva Incluído",BT305,BN305)</f>
        <v>33495282</v>
      </c>
      <c r="CF305" s="305">
        <f>IF(COT_PRECALCULOS!$D$24="Precios Iva Incluído",BU305,BO305)</f>
        <v>37344738</v>
      </c>
      <c r="CG305" s="305">
        <f>IF(COT_PRECALCULOS!$D$24="Precios Iva Incluído",BV305,BP305)</f>
        <v>55483986</v>
      </c>
      <c r="CH305" s="305">
        <f>IF(COT_PRECALCULOS!$D$24="Precios Iva Incluído",BW305,BQ305)</f>
        <v>0</v>
      </c>
      <c r="CI305" s="305">
        <f>IF(COT_PRECALCULOS!$D$24="Precios Iva Incluído",BX305,BR305)</f>
        <v>0</v>
      </c>
    </row>
    <row r="306" spans="1:87">
      <c r="A306" s="182" t="s">
        <v>102</v>
      </c>
      <c r="B306" s="182" t="s">
        <v>126</v>
      </c>
      <c r="C306" s="189" t="str">
        <f t="shared" si="358"/>
        <v>F_SE14</v>
      </c>
      <c r="D306" s="189" t="str">
        <f t="shared" si="359"/>
        <v>58_S_</v>
      </c>
      <c r="E306" s="190" t="s">
        <v>1</v>
      </c>
      <c r="F306" s="190" t="s">
        <v>1</v>
      </c>
      <c r="G306" s="189" t="s">
        <v>43</v>
      </c>
      <c r="H306" s="190"/>
      <c r="I306" s="190" t="s">
        <v>65</v>
      </c>
      <c r="J306" s="190">
        <v>58</v>
      </c>
      <c r="K306" s="190" t="s">
        <v>67</v>
      </c>
      <c r="L306" s="189" t="s">
        <v>9</v>
      </c>
      <c r="M306" s="211">
        <v>100</v>
      </c>
      <c r="N306" s="211">
        <v>100</v>
      </c>
      <c r="O306" s="211">
        <v>100</v>
      </c>
      <c r="P306" s="190"/>
      <c r="Q306" s="190"/>
      <c r="R306" s="190"/>
      <c r="S306" s="183">
        <f t="shared" si="416"/>
        <v>2</v>
      </c>
      <c r="T306" s="385">
        <f>$S306</f>
        <v>2</v>
      </c>
      <c r="U306" s="385">
        <f t="shared" si="417"/>
        <v>2</v>
      </c>
      <c r="V306" s="385">
        <f t="shared" si="417"/>
        <v>2</v>
      </c>
      <c r="W306" s="387"/>
      <c r="X306" s="387"/>
      <c r="Y306" s="184">
        <f t="shared" si="371"/>
        <v>28053</v>
      </c>
      <c r="Z306" s="184">
        <f t="shared" si="418"/>
        <v>31277</v>
      </c>
      <c r="AA306" s="184">
        <f t="shared" si="419"/>
        <v>46469</v>
      </c>
      <c r="AB306" s="184">
        <f t="shared" si="392"/>
        <v>0</v>
      </c>
      <c r="AC306" s="184">
        <f t="shared" si="393"/>
        <v>0</v>
      </c>
      <c r="AD306" s="184">
        <f t="shared" si="372"/>
        <v>105799</v>
      </c>
      <c r="AE306" s="183">
        <f t="shared" si="408"/>
        <v>0</v>
      </c>
      <c r="AF306" s="385">
        <f>$AE306</f>
        <v>0</v>
      </c>
      <c r="AG306" s="385">
        <f t="shared" si="409"/>
        <v>0</v>
      </c>
      <c r="AH306" s="385">
        <f t="shared" si="409"/>
        <v>0</v>
      </c>
      <c r="AI306" s="185">
        <f t="shared" si="373"/>
        <v>74</v>
      </c>
      <c r="AJ306" s="185">
        <f t="shared" si="410"/>
        <v>433</v>
      </c>
      <c r="AK306" s="185">
        <f t="shared" si="411"/>
        <v>683</v>
      </c>
      <c r="AL306" s="185">
        <f t="shared" si="374"/>
        <v>1190</v>
      </c>
      <c r="AM306" s="173">
        <f t="shared" si="415"/>
        <v>56106</v>
      </c>
      <c r="AN306" s="173">
        <f t="shared" si="396"/>
        <v>62554</v>
      </c>
      <c r="AO306" s="173">
        <f t="shared" si="397"/>
        <v>92938</v>
      </c>
      <c r="AP306" s="173">
        <f t="shared" si="360"/>
        <v>0</v>
      </c>
      <c r="AQ306" s="173">
        <f t="shared" si="361"/>
        <v>0</v>
      </c>
      <c r="AR306" s="173">
        <f t="shared" si="362"/>
        <v>211598</v>
      </c>
      <c r="AS306" s="186" t="s">
        <v>1370</v>
      </c>
      <c r="AT306" s="300">
        <f t="shared" si="414"/>
        <v>1.4384999999999999</v>
      </c>
      <c r="AU306" s="300">
        <f t="shared" si="414"/>
        <v>1.4384999999999999</v>
      </c>
      <c r="AV306" s="300">
        <f t="shared" si="414"/>
        <v>1.4384999999999999</v>
      </c>
      <c r="AW306" s="300">
        <f t="shared" si="414"/>
        <v>1.4384999999999999</v>
      </c>
      <c r="AX306" s="300">
        <f t="shared" si="414"/>
        <v>1.4384999999999999</v>
      </c>
      <c r="AY306" s="301">
        <f t="shared" si="412"/>
        <v>1.4384999999999999</v>
      </c>
      <c r="AZ306" s="301">
        <f t="shared" si="412"/>
        <v>1.4384999999999999</v>
      </c>
      <c r="BA306" s="301">
        <f t="shared" si="412"/>
        <v>1.4384999999999999</v>
      </c>
      <c r="BB306" s="301">
        <f t="shared" si="412"/>
        <v>1.4384999999999999</v>
      </c>
      <c r="BC306" s="301">
        <f t="shared" si="412"/>
        <v>1.4384999999999999</v>
      </c>
      <c r="BD306" s="187">
        <f>ROUND(IF(OR(M306=0,AT306="DATO NO DISPONIBLE"),"",AT306*M306*($BD$7+1)),0)</f>
        <v>154</v>
      </c>
      <c r="BE306" s="187">
        <f t="shared" si="398"/>
        <v>154</v>
      </c>
      <c r="BF306" s="187">
        <f t="shared" si="399"/>
        <v>154</v>
      </c>
      <c r="BG306" s="187"/>
      <c r="BH306" s="187"/>
      <c r="BI306" s="187">
        <f>ROUND(IF(OR(M306=0,AY306="DATO NO DISPONIBLE"),0,AY306*M306*($BD$7+1)),0)</f>
        <v>154</v>
      </c>
      <c r="BJ306" s="187">
        <f t="shared" si="376"/>
        <v>154</v>
      </c>
      <c r="BK306" s="187">
        <f t="shared" si="377"/>
        <v>154</v>
      </c>
      <c r="BL306" s="187"/>
      <c r="BM306" s="187"/>
      <c r="BN306" s="188">
        <f>BD306*AM306</f>
        <v>8640324</v>
      </c>
      <c r="BO306" s="188">
        <f t="shared" si="378"/>
        <v>9633316</v>
      </c>
      <c r="BP306" s="188">
        <f t="shared" si="379"/>
        <v>14312452</v>
      </c>
      <c r="BQ306" s="188">
        <f t="shared" si="380"/>
        <v>0</v>
      </c>
      <c r="BR306" s="188">
        <f t="shared" si="381"/>
        <v>0</v>
      </c>
      <c r="BS306" s="188">
        <f t="shared" si="364"/>
        <v>32586092</v>
      </c>
      <c r="BT306" s="188">
        <f t="shared" si="365"/>
        <v>8640324</v>
      </c>
      <c r="BU306" s="188">
        <f t="shared" si="366"/>
        <v>9633316</v>
      </c>
      <c r="BV306" s="188">
        <f t="shared" si="367"/>
        <v>14312452</v>
      </c>
      <c r="BW306" s="188">
        <f t="shared" si="368"/>
        <v>0</v>
      </c>
      <c r="BX306" s="188">
        <f t="shared" si="369"/>
        <v>0</v>
      </c>
      <c r="BY306" s="188">
        <f t="shared" si="370"/>
        <v>32586092</v>
      </c>
      <c r="BZ306" s="305">
        <f>IF(COT_PRECALCULOS!$D$24="Precios Iva Incluído",BI306,BD306)</f>
        <v>154</v>
      </c>
      <c r="CA306" s="305">
        <f>IF(COT_PRECALCULOS!$D$24="Precios Iva Incluído",BJ306,BE306)</f>
        <v>154</v>
      </c>
      <c r="CB306" s="305">
        <f>IF(COT_PRECALCULOS!$D$24="Precios Iva Incluído",BK306,BF306)</f>
        <v>154</v>
      </c>
      <c r="CC306" s="305">
        <f>IF(COT_PRECALCULOS!$D$24="Precios Iva Incluído",BL306,BG306)</f>
        <v>0</v>
      </c>
      <c r="CD306" s="305">
        <f>IF(COT_PRECALCULOS!$D$24="Precios Iva Incluído",BM306,BH306)</f>
        <v>0</v>
      </c>
      <c r="CE306" s="305">
        <f>IF(COT_PRECALCULOS!$D$24="Precios Iva Incluído",BT306,BN306)</f>
        <v>8640324</v>
      </c>
      <c r="CF306" s="305">
        <f>IF(COT_PRECALCULOS!$D$24="Precios Iva Incluído",BU306,BO306)</f>
        <v>9633316</v>
      </c>
      <c r="CG306" s="305">
        <f>IF(COT_PRECALCULOS!$D$24="Precios Iva Incluído",BV306,BP306)</f>
        <v>14312452</v>
      </c>
      <c r="CH306" s="305">
        <f>IF(COT_PRECALCULOS!$D$24="Precios Iva Incluído",BW306,BQ306)</f>
        <v>0</v>
      </c>
      <c r="CI306" s="305">
        <f>IF(COT_PRECALCULOS!$D$24="Precios Iva Incluído",BX306,BR306)</f>
        <v>0</v>
      </c>
    </row>
    <row r="307" spans="1:87">
      <c r="A307" s="182" t="s">
        <v>102</v>
      </c>
      <c r="B307" s="182" t="s">
        <v>126</v>
      </c>
      <c r="C307" s="189" t="str">
        <f t="shared" si="358"/>
        <v>F_SE14</v>
      </c>
      <c r="D307" s="189" t="str">
        <f t="shared" si="359"/>
        <v>59_S_</v>
      </c>
      <c r="E307" s="190" t="s">
        <v>1</v>
      </c>
      <c r="F307" s="190" t="s">
        <v>1</v>
      </c>
      <c r="G307" s="189" t="s">
        <v>43</v>
      </c>
      <c r="H307" s="190"/>
      <c r="I307" s="190" t="s">
        <v>66</v>
      </c>
      <c r="J307" s="190">
        <v>59</v>
      </c>
      <c r="K307" s="190" t="s">
        <v>99</v>
      </c>
      <c r="L307" s="189" t="s">
        <v>9</v>
      </c>
      <c r="M307" s="191">
        <v>0</v>
      </c>
      <c r="N307" s="211">
        <v>100</v>
      </c>
      <c r="O307" s="211">
        <v>100</v>
      </c>
      <c r="P307" s="190"/>
      <c r="Q307" s="190"/>
      <c r="R307" s="190" t="s">
        <v>73</v>
      </c>
      <c r="S307" s="183">
        <f t="shared" si="416"/>
        <v>2</v>
      </c>
      <c r="T307" s="386">
        <v>0</v>
      </c>
      <c r="U307" s="385">
        <f t="shared" si="417"/>
        <v>2</v>
      </c>
      <c r="V307" s="385">
        <f t="shared" si="417"/>
        <v>2</v>
      </c>
      <c r="W307" s="387"/>
      <c r="X307" s="387"/>
      <c r="Y307" s="184">
        <f t="shared" si="371"/>
        <v>0</v>
      </c>
      <c r="Z307" s="184">
        <f t="shared" si="418"/>
        <v>31277</v>
      </c>
      <c r="AA307" s="184">
        <f t="shared" si="419"/>
        <v>46469</v>
      </c>
      <c r="AB307" s="184">
        <f t="shared" si="392"/>
        <v>0</v>
      </c>
      <c r="AC307" s="184">
        <f t="shared" si="393"/>
        <v>0</v>
      </c>
      <c r="AD307" s="184">
        <f t="shared" si="372"/>
        <v>77746</v>
      </c>
      <c r="AE307" s="183">
        <f t="shared" si="408"/>
        <v>0</v>
      </c>
      <c r="AF307" s="386">
        <v>0</v>
      </c>
      <c r="AG307" s="385">
        <f t="shared" si="409"/>
        <v>0</v>
      </c>
      <c r="AH307" s="385">
        <f t="shared" si="409"/>
        <v>0</v>
      </c>
      <c r="AI307" s="185">
        <f t="shared" si="373"/>
        <v>0</v>
      </c>
      <c r="AJ307" s="185">
        <f t="shared" si="410"/>
        <v>433</v>
      </c>
      <c r="AK307" s="185">
        <f t="shared" si="411"/>
        <v>683</v>
      </c>
      <c r="AL307" s="185">
        <f t="shared" si="374"/>
        <v>1116</v>
      </c>
      <c r="AM307" s="173">
        <f t="shared" si="415"/>
        <v>0</v>
      </c>
      <c r="AN307" s="173">
        <f t="shared" si="396"/>
        <v>62554</v>
      </c>
      <c r="AO307" s="173">
        <f t="shared" si="397"/>
        <v>92938</v>
      </c>
      <c r="AP307" s="173">
        <f t="shared" si="360"/>
        <v>0</v>
      </c>
      <c r="AQ307" s="173">
        <f t="shared" si="361"/>
        <v>0</v>
      </c>
      <c r="AR307" s="173">
        <f t="shared" si="362"/>
        <v>155492</v>
      </c>
      <c r="AS307" s="186" t="s">
        <v>1370</v>
      </c>
      <c r="AT307" s="300">
        <f t="shared" si="414"/>
        <v>2.6785000000000001</v>
      </c>
      <c r="AU307" s="300">
        <f t="shared" si="414"/>
        <v>2.6785000000000001</v>
      </c>
      <c r="AV307" s="300">
        <f t="shared" si="414"/>
        <v>2.6785000000000001</v>
      </c>
      <c r="AW307" s="300">
        <f t="shared" si="414"/>
        <v>2.6785000000000001</v>
      </c>
      <c r="AX307" s="300">
        <f t="shared" si="414"/>
        <v>2.6785000000000001</v>
      </c>
      <c r="AY307" s="301">
        <f t="shared" si="412"/>
        <v>2.6785000000000001</v>
      </c>
      <c r="AZ307" s="301">
        <f t="shared" si="412"/>
        <v>2.6785000000000001</v>
      </c>
      <c r="BA307" s="301">
        <f t="shared" si="412"/>
        <v>2.6785000000000001</v>
      </c>
      <c r="BB307" s="301">
        <f t="shared" si="412"/>
        <v>2.6785000000000001</v>
      </c>
      <c r="BC307" s="301">
        <f t="shared" si="412"/>
        <v>2.6785000000000001</v>
      </c>
      <c r="BD307" s="187"/>
      <c r="BE307" s="187">
        <f t="shared" si="398"/>
        <v>286</v>
      </c>
      <c r="BF307" s="187">
        <f t="shared" si="399"/>
        <v>286</v>
      </c>
      <c r="BG307" s="187"/>
      <c r="BH307" s="187"/>
      <c r="BI307" s="187"/>
      <c r="BJ307" s="187">
        <f t="shared" si="376"/>
        <v>286</v>
      </c>
      <c r="BK307" s="187">
        <f t="shared" si="377"/>
        <v>286</v>
      </c>
      <c r="BL307" s="187"/>
      <c r="BM307" s="187"/>
      <c r="BN307" s="188"/>
      <c r="BO307" s="188">
        <f t="shared" si="378"/>
        <v>17890444</v>
      </c>
      <c r="BP307" s="188">
        <f t="shared" si="379"/>
        <v>26580268</v>
      </c>
      <c r="BQ307" s="188">
        <f t="shared" si="380"/>
        <v>0</v>
      </c>
      <c r="BR307" s="188">
        <f t="shared" si="381"/>
        <v>0</v>
      </c>
      <c r="BS307" s="188">
        <f t="shared" si="364"/>
        <v>44470712</v>
      </c>
      <c r="BT307" s="188">
        <f t="shared" si="365"/>
        <v>0</v>
      </c>
      <c r="BU307" s="188">
        <f t="shared" si="366"/>
        <v>17890444</v>
      </c>
      <c r="BV307" s="188">
        <f t="shared" si="367"/>
        <v>26580268</v>
      </c>
      <c r="BW307" s="188">
        <f t="shared" si="368"/>
        <v>0</v>
      </c>
      <c r="BX307" s="188">
        <f t="shared" si="369"/>
        <v>0</v>
      </c>
      <c r="BY307" s="188">
        <f t="shared" si="370"/>
        <v>44470712</v>
      </c>
      <c r="BZ307" s="305">
        <f>IF(COT_PRECALCULOS!$D$24="Precios Iva Incluído",BI307,BD307)</f>
        <v>0</v>
      </c>
      <c r="CA307" s="305">
        <f>IF(COT_PRECALCULOS!$D$24="Precios Iva Incluído",BJ307,BE307)</f>
        <v>286</v>
      </c>
      <c r="CB307" s="305">
        <f>IF(COT_PRECALCULOS!$D$24="Precios Iva Incluído",BK307,BF307)</f>
        <v>286</v>
      </c>
      <c r="CC307" s="305">
        <f>IF(COT_PRECALCULOS!$D$24="Precios Iva Incluído",BL307,BG307)</f>
        <v>0</v>
      </c>
      <c r="CD307" s="305">
        <f>IF(COT_PRECALCULOS!$D$24="Precios Iva Incluído",BM307,BH307)</f>
        <v>0</v>
      </c>
      <c r="CE307" s="305">
        <f>IF(COT_PRECALCULOS!$D$24="Precios Iva Incluído",BT307,BN307)</f>
        <v>0</v>
      </c>
      <c r="CF307" s="305">
        <f>IF(COT_PRECALCULOS!$D$24="Precios Iva Incluído",BU307,BO307)</f>
        <v>17890444</v>
      </c>
      <c r="CG307" s="305">
        <f>IF(COT_PRECALCULOS!$D$24="Precios Iva Incluído",BV307,BP307)</f>
        <v>26580268</v>
      </c>
      <c r="CH307" s="305">
        <f>IF(COT_PRECALCULOS!$D$24="Precios Iva Incluído",BW307,BQ307)</f>
        <v>0</v>
      </c>
      <c r="CI307" s="305">
        <f>IF(COT_PRECALCULOS!$D$24="Precios Iva Incluído",BX307,BR307)</f>
        <v>0</v>
      </c>
    </row>
    <row r="308" spans="1:87">
      <c r="A308" s="182" t="s">
        <v>102</v>
      </c>
      <c r="B308" s="182" t="s">
        <v>126</v>
      </c>
      <c r="C308" s="189" t="str">
        <f t="shared" si="358"/>
        <v>F_SE14</v>
      </c>
      <c r="D308" s="189" t="str">
        <f t="shared" si="359"/>
        <v>69_S_</v>
      </c>
      <c r="E308" s="190" t="s">
        <v>1</v>
      </c>
      <c r="F308" s="190" t="s">
        <v>1</v>
      </c>
      <c r="G308" s="189" t="s">
        <v>43</v>
      </c>
      <c r="H308" s="190"/>
      <c r="I308" s="190" t="s">
        <v>68</v>
      </c>
      <c r="J308" s="190">
        <v>69</v>
      </c>
      <c r="K308" s="190" t="s">
        <v>70</v>
      </c>
      <c r="L308" s="189" t="s">
        <v>9</v>
      </c>
      <c r="M308" s="211">
        <v>100</v>
      </c>
      <c r="N308" s="211">
        <v>100</v>
      </c>
      <c r="O308" s="211">
        <v>100</v>
      </c>
      <c r="P308" s="190"/>
      <c r="Q308" s="190"/>
      <c r="R308" s="190"/>
      <c r="S308" s="385">
        <f t="shared" si="416"/>
        <v>1</v>
      </c>
      <c r="T308" s="385">
        <f>$S308</f>
        <v>1</v>
      </c>
      <c r="U308" s="385">
        <f t="shared" si="417"/>
        <v>1</v>
      </c>
      <c r="V308" s="385">
        <f t="shared" si="417"/>
        <v>1</v>
      </c>
      <c r="W308" s="387"/>
      <c r="X308" s="387"/>
      <c r="Y308" s="184">
        <f t="shared" si="371"/>
        <v>28053</v>
      </c>
      <c r="Z308" s="184">
        <f t="shared" si="418"/>
        <v>31277</v>
      </c>
      <c r="AA308" s="184">
        <f t="shared" si="419"/>
        <v>46469</v>
      </c>
      <c r="AB308" s="184">
        <f t="shared" si="392"/>
        <v>0</v>
      </c>
      <c r="AC308" s="184">
        <f t="shared" si="393"/>
        <v>0</v>
      </c>
      <c r="AD308" s="184">
        <f t="shared" si="372"/>
        <v>105799</v>
      </c>
      <c r="AE308" s="183">
        <f t="shared" si="408"/>
        <v>0</v>
      </c>
      <c r="AF308" s="385">
        <f>$AE308</f>
        <v>0</v>
      </c>
      <c r="AG308" s="385">
        <f t="shared" si="409"/>
        <v>0</v>
      </c>
      <c r="AH308" s="385">
        <f t="shared" si="409"/>
        <v>0</v>
      </c>
      <c r="AI308" s="185">
        <f t="shared" si="373"/>
        <v>74</v>
      </c>
      <c r="AJ308" s="185">
        <f t="shared" si="410"/>
        <v>433</v>
      </c>
      <c r="AK308" s="185">
        <f t="shared" si="411"/>
        <v>683</v>
      </c>
      <c r="AL308" s="185">
        <f t="shared" si="374"/>
        <v>1190</v>
      </c>
      <c r="AM308" s="173">
        <f t="shared" si="415"/>
        <v>28053</v>
      </c>
      <c r="AN308" s="173">
        <f t="shared" si="396"/>
        <v>31277</v>
      </c>
      <c r="AO308" s="173">
        <f t="shared" si="397"/>
        <v>46469</v>
      </c>
      <c r="AP308" s="173">
        <f t="shared" si="360"/>
        <v>0</v>
      </c>
      <c r="AQ308" s="173">
        <f t="shared" si="361"/>
        <v>0</v>
      </c>
      <c r="AR308" s="173">
        <f t="shared" si="362"/>
        <v>105799</v>
      </c>
      <c r="AS308" s="186" t="s">
        <v>1370</v>
      </c>
      <c r="AT308" s="300">
        <f t="shared" si="414"/>
        <v>2.8519999999999999</v>
      </c>
      <c r="AU308" s="300">
        <f t="shared" si="414"/>
        <v>2.8519999999999999</v>
      </c>
      <c r="AV308" s="300">
        <f t="shared" si="414"/>
        <v>2.8519999999999999</v>
      </c>
      <c r="AW308" s="300">
        <f t="shared" si="414"/>
        <v>2.8519999999999999</v>
      </c>
      <c r="AX308" s="300">
        <f t="shared" si="414"/>
        <v>2.8519999999999999</v>
      </c>
      <c r="AY308" s="301">
        <f t="shared" ref="AY308:BC317" si="420">IF(ISERROR(MATCH(CONCATENATE($J308,"_",AY$1),COT_PRE_CODIGO_ALIMENTOS,0)),IF(ISERROR(MATCH(CONCATENATE($J308,"_",AY$2),COT_PRE_CODIGO_ALIMENTOS,0)),IF(ISERROR(MATCH(CONCATENATE($J308,"_",AY$3),COT_PRE_CODIGO_ALIMENTOS,0)),IF(ISERROR(MATCH(CONCATENATE($J308,"_",AY$4),COT_PRE_CODIGO_ALIMENTOS,0)),IF(ISERROR(MATCH(CONCATENATE($J308,"_",AY$5),COT_PRE_CODIGO_ALIMENTOS,0)),IF(ISERROR(MATCH(CONCATENATE($J308,"_",AY$6),COT_PRE_CODIGO_ALIMENTOS,0)),IF(ISERROR(MATCH(CONCATENATE($J308,"_",AY$7),COT_PRE_CODIGO_ALIMENTOS,0)),IF(ISERROR(VLOOKUP($J308,COT_PRE_ALIMENTOS,AY$8,FALSE)),"DATO NO DISPONIBLE",VLOOKUP($J308,COT_PRE_ALIMENTOS,AY$8,FALSE)),VLOOKUP(CONCATENATE($J308,"_",AY$7),COT_PRE_ALIMENTOS,AY$8,FALSE)),VLOOKUP(CONCATENATE($J308,"_",AY$6),COT_PRE_ALIMENTOS,AY$8,FALSE)),VLOOKUP(CONCATENATE($J308,"_",AY$5),COT_PRE_ALIMENTOS,AY$8,FALSE)),VLOOKUP(CONCATENATE($J308,"_",AY$4),COT_PRE_ALIMENTOS,AY$8,FALSE)),VLOOKUP(CONCATENATE($J308,"_",AY$3),COT_PRE_ALIMENTOS,AY$8,FALSE)),VLOOKUP(CONCATENATE($J308,"_",AY$2),COT_PRE_ALIMENTOS,AY$8,FALSE)),VLOOKUP(CONCATENATE($J308,"_",AY$1),COT_PRE_ALIMENTOS,AY$8,FALSE))</f>
        <v>2.8519999999999999</v>
      </c>
      <c r="AZ308" s="301">
        <f t="shared" si="420"/>
        <v>2.8519999999999999</v>
      </c>
      <c r="BA308" s="301">
        <f t="shared" si="420"/>
        <v>2.8519999999999999</v>
      </c>
      <c r="BB308" s="301">
        <f t="shared" si="420"/>
        <v>2.8519999999999999</v>
      </c>
      <c r="BC308" s="301">
        <f t="shared" si="420"/>
        <v>2.8519999999999999</v>
      </c>
      <c r="BD308" s="187">
        <f>ROUND(IF(OR(M308=0,AT308="DATO NO DISPONIBLE"),"",AT308*M308*($BD$7+1)),0)</f>
        <v>305</v>
      </c>
      <c r="BE308" s="187">
        <f t="shared" si="398"/>
        <v>305</v>
      </c>
      <c r="BF308" s="187">
        <f t="shared" si="399"/>
        <v>305</v>
      </c>
      <c r="BG308" s="187"/>
      <c r="BH308" s="187"/>
      <c r="BI308" s="187">
        <f>ROUND(IF(OR(M308=0,AY308="DATO NO DISPONIBLE"),0,AY308*M308*($BD$7+1)),0)</f>
        <v>305</v>
      </c>
      <c r="BJ308" s="187">
        <f t="shared" si="376"/>
        <v>305</v>
      </c>
      <c r="BK308" s="187">
        <f t="shared" si="377"/>
        <v>305</v>
      </c>
      <c r="BL308" s="187"/>
      <c r="BM308" s="187"/>
      <c r="BN308" s="188">
        <f>BD308*AM308</f>
        <v>8556165</v>
      </c>
      <c r="BO308" s="188">
        <f t="shared" si="378"/>
        <v>9539485</v>
      </c>
      <c r="BP308" s="188">
        <f t="shared" si="379"/>
        <v>14173045</v>
      </c>
      <c r="BQ308" s="188">
        <f t="shared" si="380"/>
        <v>0</v>
      </c>
      <c r="BR308" s="188">
        <f t="shared" si="381"/>
        <v>0</v>
      </c>
      <c r="BS308" s="188">
        <f t="shared" si="364"/>
        <v>32268695</v>
      </c>
      <c r="BT308" s="188">
        <f t="shared" si="365"/>
        <v>8556165</v>
      </c>
      <c r="BU308" s="188">
        <f t="shared" si="366"/>
        <v>9539485</v>
      </c>
      <c r="BV308" s="188">
        <f t="shared" si="367"/>
        <v>14173045</v>
      </c>
      <c r="BW308" s="188">
        <f t="shared" si="368"/>
        <v>0</v>
      </c>
      <c r="BX308" s="188">
        <f t="shared" si="369"/>
        <v>0</v>
      </c>
      <c r="BY308" s="188">
        <f t="shared" si="370"/>
        <v>32268695</v>
      </c>
      <c r="BZ308" s="305">
        <f>IF(COT_PRECALCULOS!$D$24="Precios Iva Incluído",BI308,BD308)</f>
        <v>305</v>
      </c>
      <c r="CA308" s="305">
        <f>IF(COT_PRECALCULOS!$D$24="Precios Iva Incluído",BJ308,BE308)</f>
        <v>305</v>
      </c>
      <c r="CB308" s="305">
        <f>IF(COT_PRECALCULOS!$D$24="Precios Iva Incluído",BK308,BF308)</f>
        <v>305</v>
      </c>
      <c r="CC308" s="305">
        <f>IF(COT_PRECALCULOS!$D$24="Precios Iva Incluído",BL308,BG308)</f>
        <v>0</v>
      </c>
      <c r="CD308" s="305">
        <f>IF(COT_PRECALCULOS!$D$24="Precios Iva Incluído",BM308,BH308)</f>
        <v>0</v>
      </c>
      <c r="CE308" s="305">
        <f>IF(COT_PRECALCULOS!$D$24="Precios Iva Incluído",BT308,BN308)</f>
        <v>8556165</v>
      </c>
      <c r="CF308" s="305">
        <f>IF(COT_PRECALCULOS!$D$24="Precios Iva Incluído",BU308,BO308)</f>
        <v>9539485</v>
      </c>
      <c r="CG308" s="305">
        <f>IF(COT_PRECALCULOS!$D$24="Precios Iva Incluído",BV308,BP308)</f>
        <v>14173045</v>
      </c>
      <c r="CH308" s="305">
        <f>IF(COT_PRECALCULOS!$D$24="Precios Iva Incluído",BW308,BQ308)</f>
        <v>0</v>
      </c>
      <c r="CI308" s="305">
        <f>IF(COT_PRECALCULOS!$D$24="Precios Iva Incluído",BX308,BR308)</f>
        <v>0</v>
      </c>
    </row>
    <row r="309" spans="1:87">
      <c r="A309" s="182" t="s">
        <v>102</v>
      </c>
      <c r="B309" s="182" t="s">
        <v>126</v>
      </c>
      <c r="C309" s="189" t="str">
        <f t="shared" si="358"/>
        <v>F_SE14</v>
      </c>
      <c r="D309" s="189" t="str">
        <f t="shared" si="359"/>
        <v>70_S_</v>
      </c>
      <c r="E309" s="190" t="s">
        <v>1</v>
      </c>
      <c r="F309" s="190" t="s">
        <v>1</v>
      </c>
      <c r="G309" s="189" t="s">
        <v>43</v>
      </c>
      <c r="H309" s="190"/>
      <c r="I309" s="190" t="s">
        <v>69</v>
      </c>
      <c r="J309" s="190">
        <v>70</v>
      </c>
      <c r="K309" s="190" t="s">
        <v>71</v>
      </c>
      <c r="L309" s="189" t="s">
        <v>9</v>
      </c>
      <c r="M309" s="386">
        <v>0</v>
      </c>
      <c r="N309" s="211">
        <v>100</v>
      </c>
      <c r="O309" s="211">
        <v>100</v>
      </c>
      <c r="P309" s="190"/>
      <c r="Q309" s="190"/>
      <c r="R309" s="190" t="s">
        <v>73</v>
      </c>
      <c r="S309" s="183">
        <f t="shared" si="416"/>
        <v>0</v>
      </c>
      <c r="T309" s="386">
        <v>0</v>
      </c>
      <c r="U309" s="385">
        <f t="shared" si="417"/>
        <v>0</v>
      </c>
      <c r="V309" s="385">
        <f t="shared" si="417"/>
        <v>0</v>
      </c>
      <c r="W309" s="387"/>
      <c r="X309" s="387"/>
      <c r="Y309" s="184">
        <f t="shared" si="371"/>
        <v>0</v>
      </c>
      <c r="Z309" s="184">
        <f t="shared" si="418"/>
        <v>31277</v>
      </c>
      <c r="AA309" s="184">
        <f t="shared" si="419"/>
        <v>46469</v>
      </c>
      <c r="AB309" s="184">
        <f t="shared" si="392"/>
        <v>0</v>
      </c>
      <c r="AC309" s="184">
        <f t="shared" si="393"/>
        <v>0</v>
      </c>
      <c r="AD309" s="184">
        <f t="shared" si="372"/>
        <v>77746</v>
      </c>
      <c r="AE309" s="183">
        <f t="shared" si="408"/>
        <v>0</v>
      </c>
      <c r="AF309" s="386">
        <v>0</v>
      </c>
      <c r="AG309" s="385">
        <f t="shared" si="409"/>
        <v>0</v>
      </c>
      <c r="AH309" s="385">
        <f t="shared" si="409"/>
        <v>0</v>
      </c>
      <c r="AI309" s="185">
        <f t="shared" si="373"/>
        <v>0</v>
      </c>
      <c r="AJ309" s="185">
        <f t="shared" si="410"/>
        <v>433</v>
      </c>
      <c r="AK309" s="185">
        <f t="shared" si="411"/>
        <v>683</v>
      </c>
      <c r="AL309" s="185">
        <f t="shared" si="374"/>
        <v>1116</v>
      </c>
      <c r="AM309" s="173">
        <v>0</v>
      </c>
      <c r="AN309" s="173">
        <f t="shared" si="396"/>
        <v>0</v>
      </c>
      <c r="AO309" s="173">
        <f t="shared" si="397"/>
        <v>0</v>
      </c>
      <c r="AP309" s="173">
        <f t="shared" si="360"/>
        <v>0</v>
      </c>
      <c r="AQ309" s="173">
        <f t="shared" si="361"/>
        <v>0</v>
      </c>
      <c r="AR309" s="173">
        <f t="shared" si="362"/>
        <v>0</v>
      </c>
      <c r="AS309" s="186" t="s">
        <v>1370</v>
      </c>
      <c r="AT309" s="300">
        <f t="shared" si="414"/>
        <v>4.0575000000000001</v>
      </c>
      <c r="AU309" s="300">
        <f t="shared" si="414"/>
        <v>4.0575000000000001</v>
      </c>
      <c r="AV309" s="300">
        <f t="shared" si="414"/>
        <v>4.0575000000000001</v>
      </c>
      <c r="AW309" s="300">
        <f t="shared" si="414"/>
        <v>4.0575000000000001</v>
      </c>
      <c r="AX309" s="300">
        <f t="shared" si="414"/>
        <v>4.0575000000000001</v>
      </c>
      <c r="AY309" s="301">
        <f t="shared" si="420"/>
        <v>4.0575000000000001</v>
      </c>
      <c r="AZ309" s="301">
        <f t="shared" si="420"/>
        <v>4.0575000000000001</v>
      </c>
      <c r="BA309" s="301">
        <f t="shared" si="420"/>
        <v>4.0575000000000001</v>
      </c>
      <c r="BB309" s="301">
        <f t="shared" si="420"/>
        <v>4.0575000000000001</v>
      </c>
      <c r="BC309" s="301">
        <f t="shared" si="420"/>
        <v>4.0575000000000001</v>
      </c>
      <c r="BD309" s="187"/>
      <c r="BE309" s="187">
        <f t="shared" si="398"/>
        <v>434</v>
      </c>
      <c r="BF309" s="187">
        <f t="shared" si="399"/>
        <v>434</v>
      </c>
      <c r="BG309" s="187"/>
      <c r="BH309" s="187"/>
      <c r="BI309" s="187"/>
      <c r="BJ309" s="187">
        <f t="shared" si="376"/>
        <v>434</v>
      </c>
      <c r="BK309" s="187">
        <f t="shared" si="377"/>
        <v>434</v>
      </c>
      <c r="BL309" s="187"/>
      <c r="BM309" s="187"/>
      <c r="BN309" s="188"/>
      <c r="BO309" s="188">
        <f t="shared" si="378"/>
        <v>0</v>
      </c>
      <c r="BP309" s="188">
        <f t="shared" si="379"/>
        <v>0</v>
      </c>
      <c r="BQ309" s="188">
        <f t="shared" si="380"/>
        <v>0</v>
      </c>
      <c r="BR309" s="188">
        <f t="shared" si="381"/>
        <v>0</v>
      </c>
      <c r="BS309" s="188">
        <f t="shared" si="364"/>
        <v>0</v>
      </c>
      <c r="BT309" s="188">
        <f t="shared" si="365"/>
        <v>0</v>
      </c>
      <c r="BU309" s="188">
        <f t="shared" si="366"/>
        <v>0</v>
      </c>
      <c r="BV309" s="188">
        <f t="shared" si="367"/>
        <v>0</v>
      </c>
      <c r="BW309" s="188">
        <f t="shared" si="368"/>
        <v>0</v>
      </c>
      <c r="BX309" s="188">
        <f t="shared" si="369"/>
        <v>0</v>
      </c>
      <c r="BY309" s="188">
        <f t="shared" si="370"/>
        <v>0</v>
      </c>
      <c r="BZ309" s="305">
        <f>IF(COT_PRECALCULOS!$D$24="Precios Iva Incluído",BI309,BD309)</f>
        <v>0</v>
      </c>
      <c r="CA309" s="305">
        <f>IF(COT_PRECALCULOS!$D$24="Precios Iva Incluído",BJ309,BE309)</f>
        <v>434</v>
      </c>
      <c r="CB309" s="305">
        <f>IF(COT_PRECALCULOS!$D$24="Precios Iva Incluído",BK309,BF309)</f>
        <v>434</v>
      </c>
      <c r="CC309" s="305">
        <f>IF(COT_PRECALCULOS!$D$24="Precios Iva Incluído",BL309,BG309)</f>
        <v>0</v>
      </c>
      <c r="CD309" s="305">
        <f>IF(COT_PRECALCULOS!$D$24="Precios Iva Incluído",BM309,BH309)</f>
        <v>0</v>
      </c>
      <c r="CE309" s="305">
        <f>IF(COT_PRECALCULOS!$D$24="Precios Iva Incluído",BT309,BN309)</f>
        <v>0</v>
      </c>
      <c r="CF309" s="305">
        <f>IF(COT_PRECALCULOS!$D$24="Precios Iva Incluído",BU309,BO309)</f>
        <v>0</v>
      </c>
      <c r="CG309" s="305">
        <f>IF(COT_PRECALCULOS!$D$24="Precios Iva Incluído",BV309,BP309)</f>
        <v>0</v>
      </c>
      <c r="CH309" s="305">
        <f>IF(COT_PRECALCULOS!$D$24="Precios Iva Incluído",BW309,BQ309)</f>
        <v>0</v>
      </c>
      <c r="CI309" s="305">
        <f>IF(COT_PRECALCULOS!$D$24="Precios Iva Incluído",BX309,BR309)</f>
        <v>0</v>
      </c>
    </row>
    <row r="310" spans="1:87">
      <c r="A310" s="182" t="s">
        <v>102</v>
      </c>
      <c r="B310" s="182" t="s">
        <v>126</v>
      </c>
      <c r="C310" s="189" t="str">
        <f t="shared" si="358"/>
        <v>F_SE14</v>
      </c>
      <c r="D310" s="189" t="str">
        <f t="shared" si="359"/>
        <v>36_S_</v>
      </c>
      <c r="E310" s="190" t="s">
        <v>1</v>
      </c>
      <c r="F310" s="190" t="s">
        <v>1</v>
      </c>
      <c r="G310" s="189" t="s">
        <v>43</v>
      </c>
      <c r="H310" s="190"/>
      <c r="I310" s="190" t="s">
        <v>1340</v>
      </c>
      <c r="J310" s="190">
        <v>36</v>
      </c>
      <c r="K310" s="190" t="s">
        <v>1340</v>
      </c>
      <c r="L310" s="189" t="s">
        <v>9</v>
      </c>
      <c r="M310" s="211">
        <v>20</v>
      </c>
      <c r="N310" s="211">
        <v>40</v>
      </c>
      <c r="O310" s="211">
        <v>40</v>
      </c>
      <c r="P310" s="190"/>
      <c r="Q310" s="190"/>
      <c r="R310" s="190"/>
      <c r="S310" s="183">
        <f t="shared" si="416"/>
        <v>0</v>
      </c>
      <c r="T310" s="385">
        <f>$S310</f>
        <v>0</v>
      </c>
      <c r="U310" s="385">
        <f t="shared" si="417"/>
        <v>0</v>
      </c>
      <c r="V310" s="385">
        <f t="shared" si="417"/>
        <v>0</v>
      </c>
      <c r="W310" s="387"/>
      <c r="X310" s="387"/>
      <c r="Y310" s="184">
        <f t="shared" si="371"/>
        <v>28053</v>
      </c>
      <c r="Z310" s="184">
        <f t="shared" si="418"/>
        <v>31277</v>
      </c>
      <c r="AA310" s="184">
        <f t="shared" si="419"/>
        <v>46469</v>
      </c>
      <c r="AB310" s="184">
        <f t="shared" si="392"/>
        <v>0</v>
      </c>
      <c r="AC310" s="184">
        <f t="shared" si="393"/>
        <v>0</v>
      </c>
      <c r="AD310" s="184">
        <f t="shared" si="372"/>
        <v>105799</v>
      </c>
      <c r="AE310" s="183">
        <f t="shared" si="408"/>
        <v>0</v>
      </c>
      <c r="AF310" s="385">
        <f>$AE310</f>
        <v>0</v>
      </c>
      <c r="AG310" s="385">
        <f t="shared" si="409"/>
        <v>0</v>
      </c>
      <c r="AH310" s="385">
        <f t="shared" si="409"/>
        <v>0</v>
      </c>
      <c r="AI310" s="185">
        <f t="shared" si="373"/>
        <v>74</v>
      </c>
      <c r="AJ310" s="185">
        <f t="shared" si="410"/>
        <v>433</v>
      </c>
      <c r="AK310" s="185">
        <f t="shared" si="411"/>
        <v>683</v>
      </c>
      <c r="AL310" s="185">
        <f t="shared" si="374"/>
        <v>1190</v>
      </c>
      <c r="AM310" s="173">
        <f>($S310*Y310)+($AE310*AI310)</f>
        <v>0</v>
      </c>
      <c r="AN310" s="173">
        <f t="shared" si="396"/>
        <v>0</v>
      </c>
      <c r="AO310" s="173">
        <f t="shared" si="397"/>
        <v>0</v>
      </c>
      <c r="AP310" s="173">
        <f t="shared" si="360"/>
        <v>0</v>
      </c>
      <c r="AQ310" s="173">
        <f t="shared" si="361"/>
        <v>0</v>
      </c>
      <c r="AR310" s="173">
        <f t="shared" si="362"/>
        <v>0</v>
      </c>
      <c r="AS310" s="186" t="s">
        <v>1370</v>
      </c>
      <c r="AT310" s="300">
        <f t="shared" si="414"/>
        <v>5.9</v>
      </c>
      <c r="AU310" s="300">
        <f t="shared" si="414"/>
        <v>5.9</v>
      </c>
      <c r="AV310" s="300">
        <f t="shared" si="414"/>
        <v>5.9</v>
      </c>
      <c r="AW310" s="300">
        <f t="shared" si="414"/>
        <v>5.9</v>
      </c>
      <c r="AX310" s="300">
        <f t="shared" si="414"/>
        <v>5.9</v>
      </c>
      <c r="AY310" s="301">
        <f t="shared" si="420"/>
        <v>5.9</v>
      </c>
      <c r="AZ310" s="301">
        <f t="shared" si="420"/>
        <v>5.9</v>
      </c>
      <c r="BA310" s="301">
        <f t="shared" si="420"/>
        <v>5.9</v>
      </c>
      <c r="BB310" s="301">
        <f t="shared" si="420"/>
        <v>5.9</v>
      </c>
      <c r="BC310" s="301">
        <f t="shared" si="420"/>
        <v>5.9</v>
      </c>
      <c r="BD310" s="187">
        <f>ROUND(IF(OR(M310=0,AT310="DATO NO DISPONIBLE"),"",AT310*M310*($BD$7+1)),0)</f>
        <v>126</v>
      </c>
      <c r="BE310" s="187">
        <f t="shared" si="398"/>
        <v>252</v>
      </c>
      <c r="BF310" s="187">
        <f t="shared" si="399"/>
        <v>252</v>
      </c>
      <c r="BG310" s="187"/>
      <c r="BH310" s="187"/>
      <c r="BI310" s="187">
        <f>ROUND(IF(OR(M310=0,AY310="DATO NO DISPONIBLE"),0,AY310*M310*($BD$7+1)),0)</f>
        <v>126</v>
      </c>
      <c r="BJ310" s="187">
        <f t="shared" si="376"/>
        <v>252</v>
      </c>
      <c r="BK310" s="187">
        <f t="shared" si="377"/>
        <v>252</v>
      </c>
      <c r="BL310" s="187"/>
      <c r="BM310" s="187"/>
      <c r="BN310" s="188">
        <f>BD310*AM310</f>
        <v>0</v>
      </c>
      <c r="BO310" s="188">
        <f t="shared" si="378"/>
        <v>0</v>
      </c>
      <c r="BP310" s="188">
        <f t="shared" si="379"/>
        <v>0</v>
      </c>
      <c r="BQ310" s="188">
        <f t="shared" si="380"/>
        <v>0</v>
      </c>
      <c r="BR310" s="188">
        <f t="shared" si="381"/>
        <v>0</v>
      </c>
      <c r="BS310" s="188">
        <f t="shared" si="364"/>
        <v>0</v>
      </c>
      <c r="BT310" s="188">
        <f t="shared" si="365"/>
        <v>0</v>
      </c>
      <c r="BU310" s="188">
        <f t="shared" si="366"/>
        <v>0</v>
      </c>
      <c r="BV310" s="188">
        <f t="shared" si="367"/>
        <v>0</v>
      </c>
      <c r="BW310" s="188">
        <f t="shared" si="368"/>
        <v>0</v>
      </c>
      <c r="BX310" s="188">
        <f t="shared" si="369"/>
        <v>0</v>
      </c>
      <c r="BY310" s="188">
        <f t="shared" si="370"/>
        <v>0</v>
      </c>
      <c r="BZ310" s="305">
        <f>IF(COT_PRECALCULOS!$D$24="Precios Iva Incluído",BI310,BD310)</f>
        <v>126</v>
      </c>
      <c r="CA310" s="305">
        <f>IF(COT_PRECALCULOS!$D$24="Precios Iva Incluído",BJ310,BE310)</f>
        <v>252</v>
      </c>
      <c r="CB310" s="305">
        <f>IF(COT_PRECALCULOS!$D$24="Precios Iva Incluído",BK310,BF310)</f>
        <v>252</v>
      </c>
      <c r="CC310" s="305">
        <f>IF(COT_PRECALCULOS!$D$24="Precios Iva Incluído",BL310,BG310)</f>
        <v>0</v>
      </c>
      <c r="CD310" s="305">
        <f>IF(COT_PRECALCULOS!$D$24="Precios Iva Incluído",BM310,BH310)</f>
        <v>0</v>
      </c>
      <c r="CE310" s="305">
        <f>IF(COT_PRECALCULOS!$D$24="Precios Iva Incluído",BT310,BN310)</f>
        <v>0</v>
      </c>
      <c r="CF310" s="305">
        <f>IF(COT_PRECALCULOS!$D$24="Precios Iva Incluído",BU310,BO310)</f>
        <v>0</v>
      </c>
      <c r="CG310" s="305">
        <f>IF(COT_PRECALCULOS!$D$24="Precios Iva Incluído",BV310,BP310)</f>
        <v>0</v>
      </c>
      <c r="CH310" s="305">
        <f>IF(COT_PRECALCULOS!$D$24="Precios Iva Incluído",BW310,BQ310)</f>
        <v>0</v>
      </c>
      <c r="CI310" s="305">
        <f>IF(COT_PRECALCULOS!$D$24="Precios Iva Incluído",BX310,BR310)</f>
        <v>0</v>
      </c>
    </row>
    <row r="311" spans="1:87">
      <c r="A311" s="182" t="s">
        <v>102</v>
      </c>
      <c r="B311" s="182" t="s">
        <v>126</v>
      </c>
      <c r="C311" s="189" t="str">
        <f t="shared" si="358"/>
        <v>F_SE15</v>
      </c>
      <c r="D311" s="189" t="str">
        <f t="shared" si="359"/>
        <v>8_S_</v>
      </c>
      <c r="E311" s="190" t="s">
        <v>1</v>
      </c>
      <c r="F311" s="190" t="s">
        <v>1</v>
      </c>
      <c r="G311" s="189" t="s">
        <v>44</v>
      </c>
      <c r="H311" s="190" t="s">
        <v>2</v>
      </c>
      <c r="I311" s="190" t="s">
        <v>54</v>
      </c>
      <c r="J311" s="190">
        <v>8</v>
      </c>
      <c r="K311" s="190" t="s">
        <v>55</v>
      </c>
      <c r="L311" s="189" t="s">
        <v>9</v>
      </c>
      <c r="M311" s="211">
        <v>100</v>
      </c>
      <c r="N311" s="211">
        <v>100</v>
      </c>
      <c r="O311" s="211">
        <v>100</v>
      </c>
      <c r="P311" s="190"/>
      <c r="Q311" s="190"/>
      <c r="R311" s="190"/>
      <c r="S311" s="183">
        <f t="shared" si="416"/>
        <v>0</v>
      </c>
      <c r="T311" s="385">
        <f>$S311</f>
        <v>0</v>
      </c>
      <c r="U311" s="385">
        <f t="shared" si="417"/>
        <v>0</v>
      </c>
      <c r="V311" s="385">
        <f t="shared" si="417"/>
        <v>0</v>
      </c>
      <c r="W311" s="387"/>
      <c r="X311" s="387"/>
      <c r="Y311" s="184">
        <f t="shared" si="371"/>
        <v>28053</v>
      </c>
      <c r="Z311" s="184">
        <f t="shared" si="418"/>
        <v>31277</v>
      </c>
      <c r="AA311" s="184">
        <f t="shared" si="419"/>
        <v>46469</v>
      </c>
      <c r="AB311" s="184">
        <f t="shared" si="392"/>
        <v>0</v>
      </c>
      <c r="AC311" s="184">
        <f t="shared" si="393"/>
        <v>0</v>
      </c>
      <c r="AD311" s="184">
        <f t="shared" si="372"/>
        <v>105799</v>
      </c>
      <c r="AE311" s="183">
        <f t="shared" si="408"/>
        <v>0</v>
      </c>
      <c r="AF311" s="385">
        <f>$AE311</f>
        <v>0</v>
      </c>
      <c r="AG311" s="385">
        <f t="shared" si="409"/>
        <v>0</v>
      </c>
      <c r="AH311" s="385">
        <f t="shared" si="409"/>
        <v>0</v>
      </c>
      <c r="AI311" s="185">
        <f t="shared" si="373"/>
        <v>74</v>
      </c>
      <c r="AJ311" s="185">
        <f t="shared" si="410"/>
        <v>433</v>
      </c>
      <c r="AK311" s="185">
        <f t="shared" si="411"/>
        <v>683</v>
      </c>
      <c r="AL311" s="185">
        <f t="shared" si="374"/>
        <v>1190</v>
      </c>
      <c r="AM311" s="173">
        <f>($S311*Y311)+($AE311*AI311)</f>
        <v>0</v>
      </c>
      <c r="AN311" s="173">
        <f t="shared" si="396"/>
        <v>0</v>
      </c>
      <c r="AO311" s="173">
        <f t="shared" si="397"/>
        <v>0</v>
      </c>
      <c r="AP311" s="173">
        <f t="shared" si="360"/>
        <v>0</v>
      </c>
      <c r="AQ311" s="173">
        <f t="shared" si="361"/>
        <v>0</v>
      </c>
      <c r="AR311" s="173">
        <f t="shared" si="362"/>
        <v>0</v>
      </c>
      <c r="AS311" s="186" t="s">
        <v>1371</v>
      </c>
      <c r="AT311" s="300">
        <f t="shared" ref="AT311:AX320" si="421">IF(ISERROR(IF(ISERROR(MATCH(CONCATENATE($J311,"_",AT$1),COT_PRE_CODIGO_ALIMENTOS,0)),IF(ISERROR(MATCH(CONCATENATE($J311,"_",AT$2),COT_PRE_CODIGO_ALIMENTOS,0)),IF(ISERROR(MATCH(CONCATENATE($J311,"_",AT$3),COT_PRE_CODIGO_ALIMENTOS,0)),IF(ISERROR(MATCH(CONCATENATE($J311,"_",AT$4),COT_PRE_CODIGO_ALIMENTOS,0)),IF(ISERROR(MATCH(CONCATENATE($J311,"_",AT$5),COT_PRE_CODIGO_ALIMENTOS,0)),IF(ISERROR(MATCH(CONCATENATE($J311,"_",AT$6),COT_PRE_CODIGO_ALIMENTOS,0)),IF(ISERROR(MATCH(CONCATENATE($J311,"_",AT$7),COT_PRE_CODIGO_ALIMENTOS,0)),IF(ISERROR(VLOOKUP($J311,COT_PRE_ALIMENTOS,AT$8,FALSE)),"DATO NO DISPONIBLE",VLOOKUP($J311,COT_PRE_ALIMENTOS,AT$8,FALSE)),VLOOKUP(CONCATENATE($J311,"_",AT$7),COT_PRE_ALIMENTOS,AT$8,FALSE)),VLOOKUP(CONCATENATE($J311,"_",AT$6),COT_PRE_ALIMENTOS,AT$8,FALSE)),VLOOKUP(CONCATENATE($J311,"_",AT$5),COT_PRE_ALIMENTOS,AT$8,FALSE)),VLOOKUP(CONCATENATE($J311,"_",AT$4),COT_PRE_ALIMENTOS,AT$8,FALSE)),VLOOKUP(CONCATENATE($J311,"_",AT$3),COT_PRE_ALIMENTOS,AT$8,FALSE)),VLOOKUP(CONCATENATE($J311,"_",AT$2),COT_PRE_ALIMENTOS,AT$8,FALSE)),VLOOKUP(CONCATENATE($J311,"_",AT$1),COT_PRE_ALIMENTOS,AT$8,FALSE))),"DATO NO DISPONIBLE",IF(ISERROR(MATCH(CONCATENATE($J311,"_",AT$1),COT_PRE_CODIGO_ALIMENTOS,0)),IF(ISERROR(MATCH(CONCATENATE($J311,"_",AT$2),COT_PRE_CODIGO_ALIMENTOS,0)),IF(ISERROR(MATCH(CONCATENATE($J311,"_",AT$3),COT_PRE_CODIGO_ALIMENTOS,0)),IF(ISERROR(MATCH(CONCATENATE($J311,"_",AT$4),COT_PRE_CODIGO_ALIMENTOS,0)),IF(ISERROR(MATCH(CONCATENATE($J311,"_",AT$5),COT_PRE_CODIGO_ALIMENTOS,0)),IF(ISERROR(MATCH(CONCATENATE($J311,"_",AT$6),COT_PRE_CODIGO_ALIMENTOS,0)),IF(ISERROR(MATCH(CONCATENATE($J311,"_",AT$7),COT_PRE_CODIGO_ALIMENTOS,0)),IF(ISERROR(VLOOKUP($J311,COT_PRE_ALIMENTOS,AT$8,FALSE)),"DATO NO DISPONIBLE",VLOOKUP($J311,COT_PRE_ALIMENTOS,AT$8,FALSE)),VLOOKUP(CONCATENATE($J311,"_",AT$7),COT_PRE_ALIMENTOS,AT$8,FALSE)),VLOOKUP(CONCATENATE($J311,"_",AT$6),COT_PRE_ALIMENTOS,AT$8,FALSE)),VLOOKUP(CONCATENATE($J311,"_",AT$5),COT_PRE_ALIMENTOS,AT$8,FALSE)),VLOOKUP(CONCATENATE($J311,"_",AT$4),COT_PRE_ALIMENTOS,AT$8,FALSE)),VLOOKUP(CONCATENATE($J311,"_",AT$3),COT_PRE_ALIMENTOS,AT$8,FALSE)),VLOOKUP(CONCATENATE($J311,"_",AT$2),COT_PRE_ALIMENTOS,AT$8,FALSE)),VLOOKUP(CONCATENATE($J311,"_",AT$1),COT_PRE_ALIMENTOS,AT$8,FALSE)))</f>
        <v>1.25</v>
      </c>
      <c r="AU311" s="300">
        <f t="shared" si="421"/>
        <v>1.25</v>
      </c>
      <c r="AV311" s="300">
        <f t="shared" si="421"/>
        <v>1.25</v>
      </c>
      <c r="AW311" s="300">
        <f t="shared" si="421"/>
        <v>1.25</v>
      </c>
      <c r="AX311" s="300">
        <f t="shared" si="421"/>
        <v>1.25</v>
      </c>
      <c r="AY311" s="301">
        <f t="shared" si="420"/>
        <v>1.25</v>
      </c>
      <c r="AZ311" s="301">
        <f t="shared" si="420"/>
        <v>1.25</v>
      </c>
      <c r="BA311" s="301">
        <f t="shared" si="420"/>
        <v>1.25</v>
      </c>
      <c r="BB311" s="301">
        <f t="shared" si="420"/>
        <v>1.25</v>
      </c>
      <c r="BC311" s="301">
        <f t="shared" si="420"/>
        <v>1.25</v>
      </c>
      <c r="BD311" s="187">
        <f>ROUND(IF(OR(M311=0,AT311="DATO NO DISPONIBLE"),"",AT311*M311*($BD$7+1)),0)</f>
        <v>134</v>
      </c>
      <c r="BE311" s="187">
        <f t="shared" si="398"/>
        <v>134</v>
      </c>
      <c r="BF311" s="187">
        <f t="shared" si="399"/>
        <v>134</v>
      </c>
      <c r="BG311" s="187"/>
      <c r="BH311" s="187"/>
      <c r="BI311" s="187">
        <f>ROUND(IF(OR(M311=0,AY311="DATO NO DISPONIBLE"),0,AY311*M311*($BD$7+1)),0)</f>
        <v>134</v>
      </c>
      <c r="BJ311" s="187">
        <f t="shared" si="376"/>
        <v>134</v>
      </c>
      <c r="BK311" s="187">
        <f t="shared" si="377"/>
        <v>134</v>
      </c>
      <c r="BL311" s="187"/>
      <c r="BM311" s="187"/>
      <c r="BN311" s="188">
        <f>BD311*AM311</f>
        <v>0</v>
      </c>
      <c r="BO311" s="188">
        <f t="shared" si="378"/>
        <v>0</v>
      </c>
      <c r="BP311" s="188">
        <f t="shared" si="379"/>
        <v>0</v>
      </c>
      <c r="BQ311" s="188">
        <f t="shared" si="380"/>
        <v>0</v>
      </c>
      <c r="BR311" s="188">
        <f t="shared" si="381"/>
        <v>0</v>
      </c>
      <c r="BS311" s="188">
        <f t="shared" si="364"/>
        <v>0</v>
      </c>
      <c r="BT311" s="188">
        <f t="shared" si="365"/>
        <v>0</v>
      </c>
      <c r="BU311" s="188">
        <f t="shared" si="366"/>
        <v>0</v>
      </c>
      <c r="BV311" s="188">
        <f t="shared" si="367"/>
        <v>0</v>
      </c>
      <c r="BW311" s="188">
        <f t="shared" si="368"/>
        <v>0</v>
      </c>
      <c r="BX311" s="188">
        <f t="shared" si="369"/>
        <v>0</v>
      </c>
      <c r="BY311" s="188">
        <f t="shared" si="370"/>
        <v>0</v>
      </c>
      <c r="BZ311" s="305">
        <f>IF(COT_PRECALCULOS!$D$24="Precios Iva Incluído",BI311,BD311)</f>
        <v>134</v>
      </c>
      <c r="CA311" s="305">
        <f>IF(COT_PRECALCULOS!$D$24="Precios Iva Incluído",BJ311,BE311)</f>
        <v>134</v>
      </c>
      <c r="CB311" s="305">
        <f>IF(COT_PRECALCULOS!$D$24="Precios Iva Incluído",BK311,BF311)</f>
        <v>134</v>
      </c>
      <c r="CC311" s="305">
        <f>IF(COT_PRECALCULOS!$D$24="Precios Iva Incluído",BL311,BG311)</f>
        <v>0</v>
      </c>
      <c r="CD311" s="305">
        <f>IF(COT_PRECALCULOS!$D$24="Precios Iva Incluído",BM311,BH311)</f>
        <v>0</v>
      </c>
      <c r="CE311" s="305">
        <f>IF(COT_PRECALCULOS!$D$24="Precios Iva Incluído",BT311,BN311)</f>
        <v>0</v>
      </c>
      <c r="CF311" s="305">
        <f>IF(COT_PRECALCULOS!$D$24="Precios Iva Incluído",BU311,BO311)</f>
        <v>0</v>
      </c>
      <c r="CG311" s="305">
        <f>IF(COT_PRECALCULOS!$D$24="Precios Iva Incluído",BV311,BP311)</f>
        <v>0</v>
      </c>
      <c r="CH311" s="305">
        <f>IF(COT_PRECALCULOS!$D$24="Precios Iva Incluído",BW311,BQ311)</f>
        <v>0</v>
      </c>
      <c r="CI311" s="305">
        <f>IF(COT_PRECALCULOS!$D$24="Precios Iva Incluído",BX311,BR311)</f>
        <v>0</v>
      </c>
    </row>
    <row r="312" spans="1:87">
      <c r="A312" s="182" t="s">
        <v>102</v>
      </c>
      <c r="B312" s="182" t="s">
        <v>126</v>
      </c>
      <c r="C312" s="189" t="str">
        <f t="shared" si="358"/>
        <v>F_SE15</v>
      </c>
      <c r="D312" s="189" t="str">
        <f t="shared" si="359"/>
        <v>7_S_</v>
      </c>
      <c r="E312" s="190" t="s">
        <v>1</v>
      </c>
      <c r="F312" s="190" t="s">
        <v>1</v>
      </c>
      <c r="G312" s="189" t="s">
        <v>44</v>
      </c>
      <c r="H312" s="190"/>
      <c r="I312" s="190" t="s">
        <v>56</v>
      </c>
      <c r="J312" s="190">
        <v>7</v>
      </c>
      <c r="K312" s="190" t="s">
        <v>57</v>
      </c>
      <c r="L312" s="189" t="s">
        <v>9</v>
      </c>
      <c r="M312" s="211">
        <v>100</v>
      </c>
      <c r="N312" s="211">
        <v>100</v>
      </c>
      <c r="O312" s="211">
        <v>100</v>
      </c>
      <c r="P312" s="190"/>
      <c r="Q312" s="190"/>
      <c r="R312" s="190"/>
      <c r="S312" s="388">
        <v>8</v>
      </c>
      <c r="T312" s="388">
        <f>$S312</f>
        <v>8</v>
      </c>
      <c r="U312" s="388">
        <v>0</v>
      </c>
      <c r="V312" s="388">
        <v>0</v>
      </c>
      <c r="W312" s="387"/>
      <c r="X312" s="387"/>
      <c r="Y312" s="184">
        <f t="shared" si="371"/>
        <v>28053</v>
      </c>
      <c r="Z312" s="184">
        <v>0</v>
      </c>
      <c r="AA312" s="184">
        <v>0</v>
      </c>
      <c r="AB312" s="184">
        <f t="shared" ref="AB312:AB323" si="422">IF(P312&lt;&gt;0,VLOOKUP(A312,FRE_CANTIDADES_DIARIAS_SUMINISTROS,7,FALSE),0)</f>
        <v>0</v>
      </c>
      <c r="AC312" s="184">
        <f t="shared" ref="AC312:AC323" si="423">IF(Q312&lt;&gt;0,VLOOKUP(A312,FRE_CANTIDADES_DIARIAS_SUMINISTROS,8,FALSE),0)</f>
        <v>0</v>
      </c>
      <c r="AD312" s="184">
        <f t="shared" si="372"/>
        <v>28053</v>
      </c>
      <c r="AE312" s="183">
        <f t="shared" si="408"/>
        <v>0</v>
      </c>
      <c r="AF312" s="385">
        <f>$AE312</f>
        <v>0</v>
      </c>
      <c r="AG312" s="385">
        <f t="shared" ref="AG312:AH323" si="424">$AE312</f>
        <v>0</v>
      </c>
      <c r="AH312" s="385">
        <f t="shared" si="424"/>
        <v>0</v>
      </c>
      <c r="AI312" s="185">
        <f t="shared" si="373"/>
        <v>74</v>
      </c>
      <c r="AJ312" s="185">
        <f t="shared" si="410"/>
        <v>433</v>
      </c>
      <c r="AK312" s="185">
        <f t="shared" si="411"/>
        <v>683</v>
      </c>
      <c r="AL312" s="185">
        <f t="shared" si="374"/>
        <v>1190</v>
      </c>
      <c r="AM312" s="173">
        <f>($S312*Y312)+($AE312*AI312)</f>
        <v>224424</v>
      </c>
      <c r="AN312" s="173">
        <f t="shared" si="396"/>
        <v>0</v>
      </c>
      <c r="AO312" s="173">
        <f t="shared" si="397"/>
        <v>0</v>
      </c>
      <c r="AP312" s="173">
        <f t="shared" si="360"/>
        <v>0</v>
      </c>
      <c r="AQ312" s="173">
        <f t="shared" si="361"/>
        <v>0</v>
      </c>
      <c r="AR312" s="173">
        <f t="shared" si="362"/>
        <v>224424</v>
      </c>
      <c r="AS312" s="186" t="s">
        <v>1371</v>
      </c>
      <c r="AT312" s="300">
        <f t="shared" si="421"/>
        <v>1</v>
      </c>
      <c r="AU312" s="300">
        <f t="shared" si="421"/>
        <v>1</v>
      </c>
      <c r="AV312" s="300">
        <f t="shared" si="421"/>
        <v>1</v>
      </c>
      <c r="AW312" s="300">
        <f t="shared" si="421"/>
        <v>1</v>
      </c>
      <c r="AX312" s="300">
        <f t="shared" si="421"/>
        <v>1</v>
      </c>
      <c r="AY312" s="301">
        <f t="shared" si="420"/>
        <v>1</v>
      </c>
      <c r="AZ312" s="301">
        <f t="shared" si="420"/>
        <v>1</v>
      </c>
      <c r="BA312" s="301">
        <f t="shared" si="420"/>
        <v>1</v>
      </c>
      <c r="BB312" s="301">
        <f t="shared" si="420"/>
        <v>1</v>
      </c>
      <c r="BC312" s="301">
        <f t="shared" si="420"/>
        <v>1</v>
      </c>
      <c r="BD312" s="187">
        <f>ROUND(IF(OR(M312=0,AT312="DATO NO DISPONIBLE"),"",AT312*M312*($BD$7+1)),0)</f>
        <v>107</v>
      </c>
      <c r="BE312" s="187">
        <f t="shared" si="398"/>
        <v>107</v>
      </c>
      <c r="BF312" s="187">
        <f t="shared" si="399"/>
        <v>107</v>
      </c>
      <c r="BG312" s="187"/>
      <c r="BH312" s="187"/>
      <c r="BI312" s="187">
        <f>ROUND(IF(OR(M312=0,AY312="DATO NO DISPONIBLE"),0,AY312*M312*($BD$7+1)),0)</f>
        <v>107</v>
      </c>
      <c r="BJ312" s="187">
        <f t="shared" si="376"/>
        <v>107</v>
      </c>
      <c r="BK312" s="187">
        <f t="shared" si="377"/>
        <v>107</v>
      </c>
      <c r="BL312" s="187"/>
      <c r="BM312" s="187"/>
      <c r="BN312" s="188">
        <f>BD312*AM312</f>
        <v>24013368</v>
      </c>
      <c r="BO312" s="188">
        <f t="shared" si="378"/>
        <v>0</v>
      </c>
      <c r="BP312" s="188">
        <f t="shared" si="379"/>
        <v>0</v>
      </c>
      <c r="BQ312" s="188">
        <f t="shared" si="380"/>
        <v>0</v>
      </c>
      <c r="BR312" s="188">
        <f t="shared" si="381"/>
        <v>0</v>
      </c>
      <c r="BS312" s="188">
        <f t="shared" si="364"/>
        <v>24013368</v>
      </c>
      <c r="BT312" s="188">
        <f t="shared" si="365"/>
        <v>24013368</v>
      </c>
      <c r="BU312" s="188">
        <f t="shared" si="366"/>
        <v>0</v>
      </c>
      <c r="BV312" s="188">
        <f t="shared" si="367"/>
        <v>0</v>
      </c>
      <c r="BW312" s="188">
        <f t="shared" si="368"/>
        <v>0</v>
      </c>
      <c r="BX312" s="188">
        <f t="shared" si="369"/>
        <v>0</v>
      </c>
      <c r="BY312" s="188">
        <f t="shared" si="370"/>
        <v>24013368</v>
      </c>
      <c r="BZ312" s="305">
        <f>IF(COT_PRECALCULOS!$D$24="Precios Iva Incluído",BI312,BD312)</f>
        <v>107</v>
      </c>
      <c r="CA312" s="305">
        <f>IF(COT_PRECALCULOS!$D$24="Precios Iva Incluído",BJ312,BE312)</f>
        <v>107</v>
      </c>
      <c r="CB312" s="305">
        <f>IF(COT_PRECALCULOS!$D$24="Precios Iva Incluído",BK312,BF312)</f>
        <v>107</v>
      </c>
      <c r="CC312" s="305">
        <f>IF(COT_PRECALCULOS!$D$24="Precios Iva Incluído",BL312,BG312)</f>
        <v>0</v>
      </c>
      <c r="CD312" s="305">
        <f>IF(COT_PRECALCULOS!$D$24="Precios Iva Incluído",BM312,BH312)</f>
        <v>0</v>
      </c>
      <c r="CE312" s="305">
        <f>IF(COT_PRECALCULOS!$D$24="Precios Iva Incluído",BT312,BN312)</f>
        <v>24013368</v>
      </c>
      <c r="CF312" s="305">
        <f>IF(COT_PRECALCULOS!$D$24="Precios Iva Incluído",BU312,BO312)</f>
        <v>0</v>
      </c>
      <c r="CG312" s="305">
        <f>IF(COT_PRECALCULOS!$D$24="Precios Iva Incluído",BV312,BP312)</f>
        <v>0</v>
      </c>
      <c r="CH312" s="305">
        <f>IF(COT_PRECALCULOS!$D$24="Precios Iva Incluído",BW312,BQ312)</f>
        <v>0</v>
      </c>
      <c r="CI312" s="305">
        <f>IF(COT_PRECALCULOS!$D$24="Precios Iva Incluído",BX312,BR312)</f>
        <v>0</v>
      </c>
    </row>
    <row r="313" spans="1:87">
      <c r="A313" s="182" t="s">
        <v>102</v>
      </c>
      <c r="B313" s="182" t="s">
        <v>126</v>
      </c>
      <c r="C313" s="189" t="str">
        <f t="shared" si="358"/>
        <v>F_SE15</v>
      </c>
      <c r="D313" s="189" t="str">
        <f t="shared" si="359"/>
        <v>17_S_</v>
      </c>
      <c r="E313" s="190" t="s">
        <v>1</v>
      </c>
      <c r="F313" s="190" t="s">
        <v>1</v>
      </c>
      <c r="G313" s="189" t="s">
        <v>44</v>
      </c>
      <c r="H313" s="190"/>
      <c r="I313" s="190" t="s">
        <v>52</v>
      </c>
      <c r="J313" s="190">
        <v>17</v>
      </c>
      <c r="K313" s="190" t="s">
        <v>53</v>
      </c>
      <c r="L313" s="189" t="s">
        <v>9</v>
      </c>
      <c r="M313" s="191">
        <v>0</v>
      </c>
      <c r="N313" s="211">
        <v>100</v>
      </c>
      <c r="O313" s="211">
        <v>100</v>
      </c>
      <c r="P313" s="190"/>
      <c r="Q313" s="190"/>
      <c r="R313" s="211" t="s">
        <v>73</v>
      </c>
      <c r="S313" s="183">
        <f t="shared" ref="S313:S323" si="425">COUNTIF(CAL_SEGUNDA_ENTREGA_LAV_FRUTA,CONCATENATE(G313,"_",J313))</f>
        <v>2</v>
      </c>
      <c r="T313" s="386">
        <v>0</v>
      </c>
      <c r="U313" s="385">
        <f t="shared" ref="U313:V323" si="426">$S313</f>
        <v>2</v>
      </c>
      <c r="V313" s="385">
        <f t="shared" si="426"/>
        <v>2</v>
      </c>
      <c r="W313" s="387"/>
      <c r="X313" s="387"/>
      <c r="Y313" s="184">
        <f t="shared" si="371"/>
        <v>0</v>
      </c>
      <c r="Z313" s="184">
        <f t="shared" ref="Z313:Z323" si="427">IF(N313&lt;&gt;0,VLOOKUP(A313,FRE_CANTIDADES_DIARIAS_SUMINISTROS,5,FALSE),0)</f>
        <v>31277</v>
      </c>
      <c r="AA313" s="184">
        <f t="shared" ref="AA313:AA323" si="428">IF(O313&lt;&gt;0,VLOOKUP(A313,FRE_CANTIDADES_DIARIAS_SUMINISTROS,6,FALSE),0)</f>
        <v>46469</v>
      </c>
      <c r="AB313" s="184">
        <f t="shared" si="422"/>
        <v>0</v>
      </c>
      <c r="AC313" s="184">
        <f t="shared" si="423"/>
        <v>0</v>
      </c>
      <c r="AD313" s="184">
        <f t="shared" si="372"/>
        <v>77746</v>
      </c>
      <c r="AE313" s="183">
        <f t="shared" si="408"/>
        <v>0</v>
      </c>
      <c r="AF313" s="386">
        <v>0</v>
      </c>
      <c r="AG313" s="385">
        <f t="shared" si="424"/>
        <v>0</v>
      </c>
      <c r="AH313" s="385">
        <f t="shared" si="424"/>
        <v>0</v>
      </c>
      <c r="AI313" s="185">
        <f t="shared" si="373"/>
        <v>0</v>
      </c>
      <c r="AJ313" s="185">
        <f t="shared" si="410"/>
        <v>433</v>
      </c>
      <c r="AK313" s="185">
        <f t="shared" si="411"/>
        <v>683</v>
      </c>
      <c r="AL313" s="185">
        <f t="shared" si="374"/>
        <v>1116</v>
      </c>
      <c r="AM313" s="173">
        <v>0</v>
      </c>
      <c r="AN313" s="173">
        <f t="shared" si="396"/>
        <v>62554</v>
      </c>
      <c r="AO313" s="173">
        <f t="shared" si="397"/>
        <v>92938</v>
      </c>
      <c r="AP313" s="173">
        <f t="shared" si="360"/>
        <v>0</v>
      </c>
      <c r="AQ313" s="173">
        <f t="shared" si="361"/>
        <v>0</v>
      </c>
      <c r="AR313" s="173">
        <f t="shared" si="362"/>
        <v>155492</v>
      </c>
      <c r="AS313" s="186" t="s">
        <v>1371</v>
      </c>
      <c r="AT313" s="300">
        <f t="shared" si="421"/>
        <v>2.11</v>
      </c>
      <c r="AU313" s="300">
        <f t="shared" si="421"/>
        <v>2.11</v>
      </c>
      <c r="AV313" s="300">
        <f t="shared" si="421"/>
        <v>2.11</v>
      </c>
      <c r="AW313" s="300">
        <f t="shared" si="421"/>
        <v>2.11</v>
      </c>
      <c r="AX313" s="300">
        <f t="shared" si="421"/>
        <v>2.11</v>
      </c>
      <c r="AY313" s="301">
        <f t="shared" si="420"/>
        <v>2.11</v>
      </c>
      <c r="AZ313" s="301">
        <f t="shared" si="420"/>
        <v>2.11</v>
      </c>
      <c r="BA313" s="301">
        <f t="shared" si="420"/>
        <v>2.11</v>
      </c>
      <c r="BB313" s="301">
        <f t="shared" si="420"/>
        <v>2.11</v>
      </c>
      <c r="BC313" s="301">
        <f t="shared" si="420"/>
        <v>2.11</v>
      </c>
      <c r="BD313" s="187"/>
      <c r="BE313" s="187">
        <f t="shared" si="398"/>
        <v>226</v>
      </c>
      <c r="BF313" s="187">
        <f t="shared" si="399"/>
        <v>226</v>
      </c>
      <c r="BG313" s="187"/>
      <c r="BH313" s="187"/>
      <c r="BI313" s="187"/>
      <c r="BJ313" s="187">
        <f t="shared" si="376"/>
        <v>226</v>
      </c>
      <c r="BK313" s="187">
        <f t="shared" si="377"/>
        <v>226</v>
      </c>
      <c r="BL313" s="187"/>
      <c r="BM313" s="187"/>
      <c r="BN313" s="188"/>
      <c r="BO313" s="188">
        <f t="shared" si="378"/>
        <v>14137204</v>
      </c>
      <c r="BP313" s="188">
        <f t="shared" si="379"/>
        <v>21003988</v>
      </c>
      <c r="BQ313" s="188">
        <f t="shared" si="380"/>
        <v>0</v>
      </c>
      <c r="BR313" s="188">
        <f t="shared" si="381"/>
        <v>0</v>
      </c>
      <c r="BS313" s="188">
        <f t="shared" si="364"/>
        <v>35141192</v>
      </c>
      <c r="BT313" s="188">
        <f t="shared" si="365"/>
        <v>0</v>
      </c>
      <c r="BU313" s="188">
        <f t="shared" si="366"/>
        <v>14137204</v>
      </c>
      <c r="BV313" s="188">
        <f t="shared" si="367"/>
        <v>21003988</v>
      </c>
      <c r="BW313" s="188">
        <f t="shared" si="368"/>
        <v>0</v>
      </c>
      <c r="BX313" s="188">
        <f t="shared" si="369"/>
        <v>0</v>
      </c>
      <c r="BY313" s="188">
        <f t="shared" si="370"/>
        <v>35141192</v>
      </c>
      <c r="BZ313" s="305">
        <f>IF(COT_PRECALCULOS!$D$24="Precios Iva Incluído",BI313,BD313)</f>
        <v>0</v>
      </c>
      <c r="CA313" s="305">
        <f>IF(COT_PRECALCULOS!$D$24="Precios Iva Incluído",BJ313,BE313)</f>
        <v>226</v>
      </c>
      <c r="CB313" s="305">
        <f>IF(COT_PRECALCULOS!$D$24="Precios Iva Incluído",BK313,BF313)</f>
        <v>226</v>
      </c>
      <c r="CC313" s="305">
        <f>IF(COT_PRECALCULOS!$D$24="Precios Iva Incluído",BL313,BG313)</f>
        <v>0</v>
      </c>
      <c r="CD313" s="305">
        <f>IF(COT_PRECALCULOS!$D$24="Precios Iva Incluído",BM313,BH313)</f>
        <v>0</v>
      </c>
      <c r="CE313" s="305">
        <f>IF(COT_PRECALCULOS!$D$24="Precios Iva Incluído",BT313,BN313)</f>
        <v>0</v>
      </c>
      <c r="CF313" s="305">
        <f>IF(COT_PRECALCULOS!$D$24="Precios Iva Incluído",BU313,BO313)</f>
        <v>14137204</v>
      </c>
      <c r="CG313" s="305">
        <f>IF(COT_PRECALCULOS!$D$24="Precios Iva Incluído",BV313,BP313)</f>
        <v>21003988</v>
      </c>
      <c r="CH313" s="305">
        <f>IF(COT_PRECALCULOS!$D$24="Precios Iva Incluído",BW313,BQ313)</f>
        <v>0</v>
      </c>
      <c r="CI313" s="305">
        <f>IF(COT_PRECALCULOS!$D$24="Precios Iva Incluído",BX313,BR313)</f>
        <v>0</v>
      </c>
    </row>
    <row r="314" spans="1:87">
      <c r="A314" s="182" t="s">
        <v>102</v>
      </c>
      <c r="B314" s="182" t="s">
        <v>126</v>
      </c>
      <c r="C314" s="189" t="str">
        <f t="shared" si="358"/>
        <v>F_SE15</v>
      </c>
      <c r="D314" s="189" t="str">
        <f t="shared" si="359"/>
        <v>22_S_</v>
      </c>
      <c r="E314" s="190" t="s">
        <v>1</v>
      </c>
      <c r="F314" s="190" t="s">
        <v>1</v>
      </c>
      <c r="G314" s="189" t="s">
        <v>44</v>
      </c>
      <c r="H314" s="190"/>
      <c r="I314" s="190" t="s">
        <v>50</v>
      </c>
      <c r="J314" s="190">
        <v>22</v>
      </c>
      <c r="K314" s="190" t="s">
        <v>51</v>
      </c>
      <c r="L314" s="189" t="s">
        <v>9</v>
      </c>
      <c r="M314" s="386">
        <v>0</v>
      </c>
      <c r="N314" s="211">
        <v>100</v>
      </c>
      <c r="O314" s="211">
        <v>100</v>
      </c>
      <c r="P314" s="190"/>
      <c r="Q314" s="190"/>
      <c r="R314" s="190" t="s">
        <v>73</v>
      </c>
      <c r="S314" s="385">
        <f t="shared" si="425"/>
        <v>3</v>
      </c>
      <c r="T314" s="386">
        <v>0</v>
      </c>
      <c r="U314" s="385">
        <f t="shared" si="426"/>
        <v>3</v>
      </c>
      <c r="V314" s="385">
        <f t="shared" si="426"/>
        <v>3</v>
      </c>
      <c r="W314" s="387"/>
      <c r="X314" s="387"/>
      <c r="Y314" s="184">
        <f t="shared" si="371"/>
        <v>0</v>
      </c>
      <c r="Z314" s="184">
        <f t="shared" si="427"/>
        <v>31277</v>
      </c>
      <c r="AA314" s="184">
        <f t="shared" si="428"/>
        <v>46469</v>
      </c>
      <c r="AB314" s="184">
        <f t="shared" si="422"/>
        <v>0</v>
      </c>
      <c r="AC314" s="184">
        <f t="shared" si="423"/>
        <v>0</v>
      </c>
      <c r="AD314" s="184">
        <f t="shared" si="372"/>
        <v>77746</v>
      </c>
      <c r="AE314" s="183">
        <f t="shared" si="408"/>
        <v>0</v>
      </c>
      <c r="AF314" s="386">
        <v>0</v>
      </c>
      <c r="AG314" s="385">
        <f t="shared" si="424"/>
        <v>0</v>
      </c>
      <c r="AH314" s="385">
        <f t="shared" si="424"/>
        <v>0</v>
      </c>
      <c r="AI314" s="185">
        <f t="shared" si="373"/>
        <v>0</v>
      </c>
      <c r="AJ314" s="185">
        <f t="shared" si="410"/>
        <v>433</v>
      </c>
      <c r="AK314" s="185">
        <f t="shared" si="411"/>
        <v>683</v>
      </c>
      <c r="AL314" s="185">
        <f t="shared" si="374"/>
        <v>1116</v>
      </c>
      <c r="AM314" s="173">
        <v>0</v>
      </c>
      <c r="AN314" s="173">
        <f t="shared" si="396"/>
        <v>93831</v>
      </c>
      <c r="AO314" s="173">
        <f t="shared" si="397"/>
        <v>139407</v>
      </c>
      <c r="AP314" s="173">
        <f t="shared" si="360"/>
        <v>0</v>
      </c>
      <c r="AQ314" s="173">
        <f t="shared" si="361"/>
        <v>0</v>
      </c>
      <c r="AR314" s="173">
        <f t="shared" si="362"/>
        <v>233238</v>
      </c>
      <c r="AS314" s="186" t="s">
        <v>1371</v>
      </c>
      <c r="AT314" s="300">
        <f t="shared" si="421"/>
        <v>4.9124999999999996</v>
      </c>
      <c r="AU314" s="300">
        <f t="shared" si="421"/>
        <v>4.9124999999999996</v>
      </c>
      <c r="AV314" s="300">
        <f t="shared" si="421"/>
        <v>4.9124999999999996</v>
      </c>
      <c r="AW314" s="300">
        <f t="shared" si="421"/>
        <v>4.9124999999999996</v>
      </c>
      <c r="AX314" s="300">
        <f t="shared" si="421"/>
        <v>4.9124999999999996</v>
      </c>
      <c r="AY314" s="301">
        <f t="shared" si="420"/>
        <v>4.9124999999999996</v>
      </c>
      <c r="AZ314" s="301">
        <f t="shared" si="420"/>
        <v>4.9124999999999996</v>
      </c>
      <c r="BA314" s="301">
        <f t="shared" si="420"/>
        <v>4.9124999999999996</v>
      </c>
      <c r="BB314" s="301">
        <f t="shared" si="420"/>
        <v>4.9124999999999996</v>
      </c>
      <c r="BC314" s="301">
        <f t="shared" si="420"/>
        <v>4.9124999999999996</v>
      </c>
      <c r="BD314" s="187"/>
      <c r="BE314" s="187">
        <f t="shared" si="398"/>
        <v>525</v>
      </c>
      <c r="BF314" s="187">
        <f t="shared" si="399"/>
        <v>525</v>
      </c>
      <c r="BG314" s="187"/>
      <c r="BH314" s="187"/>
      <c r="BI314" s="187"/>
      <c r="BJ314" s="187">
        <f t="shared" si="376"/>
        <v>525</v>
      </c>
      <c r="BK314" s="187">
        <f t="shared" si="377"/>
        <v>525</v>
      </c>
      <c r="BL314" s="187"/>
      <c r="BM314" s="187"/>
      <c r="BN314" s="188"/>
      <c r="BO314" s="188">
        <f t="shared" si="378"/>
        <v>49261275</v>
      </c>
      <c r="BP314" s="188">
        <f t="shared" si="379"/>
        <v>73188675</v>
      </c>
      <c r="BQ314" s="188">
        <f t="shared" si="380"/>
        <v>0</v>
      </c>
      <c r="BR314" s="188">
        <f t="shared" si="381"/>
        <v>0</v>
      </c>
      <c r="BS314" s="188">
        <f t="shared" si="364"/>
        <v>122449950</v>
      </c>
      <c r="BT314" s="188">
        <f t="shared" si="365"/>
        <v>0</v>
      </c>
      <c r="BU314" s="188">
        <f t="shared" si="366"/>
        <v>49261275</v>
      </c>
      <c r="BV314" s="188">
        <f t="shared" si="367"/>
        <v>73188675</v>
      </c>
      <c r="BW314" s="188">
        <f t="shared" si="368"/>
        <v>0</v>
      </c>
      <c r="BX314" s="188">
        <f t="shared" si="369"/>
        <v>0</v>
      </c>
      <c r="BY314" s="188">
        <f t="shared" si="370"/>
        <v>122449950</v>
      </c>
      <c r="BZ314" s="305">
        <f>IF(COT_PRECALCULOS!$D$24="Precios Iva Incluído",BI314,BD314)</f>
        <v>0</v>
      </c>
      <c r="CA314" s="305">
        <f>IF(COT_PRECALCULOS!$D$24="Precios Iva Incluído",BJ314,BE314)</f>
        <v>525</v>
      </c>
      <c r="CB314" s="305">
        <f>IF(COT_PRECALCULOS!$D$24="Precios Iva Incluído",BK314,BF314)</f>
        <v>525</v>
      </c>
      <c r="CC314" s="305">
        <f>IF(COT_PRECALCULOS!$D$24="Precios Iva Incluído",BL314,BG314)</f>
        <v>0</v>
      </c>
      <c r="CD314" s="305">
        <f>IF(COT_PRECALCULOS!$D$24="Precios Iva Incluído",BM314,BH314)</f>
        <v>0</v>
      </c>
      <c r="CE314" s="305">
        <f>IF(COT_PRECALCULOS!$D$24="Precios Iva Incluído",BT314,BN314)</f>
        <v>0</v>
      </c>
      <c r="CF314" s="305">
        <f>IF(COT_PRECALCULOS!$D$24="Precios Iva Incluído",BU314,BO314)</f>
        <v>49261275</v>
      </c>
      <c r="CG314" s="305">
        <f>IF(COT_PRECALCULOS!$D$24="Precios Iva Incluído",BV314,BP314)</f>
        <v>73188675</v>
      </c>
      <c r="CH314" s="305">
        <f>IF(COT_PRECALCULOS!$D$24="Precios Iva Incluído",BW314,BQ314)</f>
        <v>0</v>
      </c>
      <c r="CI314" s="305">
        <f>IF(COT_PRECALCULOS!$D$24="Precios Iva Incluído",BX314,BR314)</f>
        <v>0</v>
      </c>
    </row>
    <row r="315" spans="1:87">
      <c r="A315" s="182" t="s">
        <v>102</v>
      </c>
      <c r="B315" s="182" t="s">
        <v>126</v>
      </c>
      <c r="C315" s="189" t="str">
        <f t="shared" si="358"/>
        <v>F_SE15</v>
      </c>
      <c r="D315" s="189" t="str">
        <f t="shared" si="359"/>
        <v>33_S_</v>
      </c>
      <c r="E315" s="190" t="s">
        <v>1</v>
      </c>
      <c r="F315" s="190" t="s">
        <v>1</v>
      </c>
      <c r="G315" s="189" t="s">
        <v>44</v>
      </c>
      <c r="H315" s="190"/>
      <c r="I315" s="190" t="s">
        <v>58</v>
      </c>
      <c r="J315" s="190">
        <v>33</v>
      </c>
      <c r="K315" s="190" t="s">
        <v>59</v>
      </c>
      <c r="L315" s="189" t="s">
        <v>48</v>
      </c>
      <c r="M315" s="310">
        <v>90</v>
      </c>
      <c r="N315" s="310">
        <v>90</v>
      </c>
      <c r="O315" s="310">
        <v>90</v>
      </c>
      <c r="P315" s="190"/>
      <c r="Q315" s="190"/>
      <c r="R315" s="190"/>
      <c r="S315" s="183">
        <f t="shared" si="425"/>
        <v>3</v>
      </c>
      <c r="T315" s="385">
        <f>$S315</f>
        <v>3</v>
      </c>
      <c r="U315" s="385">
        <f t="shared" si="426"/>
        <v>3</v>
      </c>
      <c r="V315" s="385">
        <f t="shared" si="426"/>
        <v>3</v>
      </c>
      <c r="W315" s="387"/>
      <c r="X315" s="387"/>
      <c r="Y315" s="184">
        <f t="shared" si="371"/>
        <v>28053</v>
      </c>
      <c r="Z315" s="184">
        <f t="shared" si="427"/>
        <v>31277</v>
      </c>
      <c r="AA315" s="184">
        <f t="shared" si="428"/>
        <v>46469</v>
      </c>
      <c r="AB315" s="184">
        <f t="shared" si="422"/>
        <v>0</v>
      </c>
      <c r="AC315" s="184">
        <f t="shared" si="423"/>
        <v>0</v>
      </c>
      <c r="AD315" s="184">
        <f t="shared" si="372"/>
        <v>105799</v>
      </c>
      <c r="AE315" s="183">
        <f t="shared" si="408"/>
        <v>0</v>
      </c>
      <c r="AF315" s="385">
        <f>$AE315</f>
        <v>0</v>
      </c>
      <c r="AG315" s="385">
        <f t="shared" si="424"/>
        <v>0</v>
      </c>
      <c r="AH315" s="385">
        <f t="shared" si="424"/>
        <v>0</v>
      </c>
      <c r="AI315" s="185">
        <f t="shared" si="373"/>
        <v>74</v>
      </c>
      <c r="AJ315" s="185">
        <f t="shared" si="410"/>
        <v>433</v>
      </c>
      <c r="AK315" s="185">
        <f t="shared" si="411"/>
        <v>683</v>
      </c>
      <c r="AL315" s="185">
        <f t="shared" si="374"/>
        <v>1190</v>
      </c>
      <c r="AM315" s="173">
        <f t="shared" ref="AM315:AM321" si="429">($S315*Y315)+($AE315*AI315)</f>
        <v>84159</v>
      </c>
      <c r="AN315" s="173">
        <f t="shared" si="396"/>
        <v>93831</v>
      </c>
      <c r="AO315" s="173">
        <f t="shared" si="397"/>
        <v>139407</v>
      </c>
      <c r="AP315" s="173">
        <f t="shared" si="360"/>
        <v>0</v>
      </c>
      <c r="AQ315" s="173">
        <f t="shared" si="361"/>
        <v>0</v>
      </c>
      <c r="AR315" s="173">
        <f t="shared" si="362"/>
        <v>317397</v>
      </c>
      <c r="AS315" s="186" t="s">
        <v>1371</v>
      </c>
      <c r="AT315" s="300">
        <f t="shared" si="421"/>
        <v>2.8014999999999999</v>
      </c>
      <c r="AU315" s="300">
        <f t="shared" si="421"/>
        <v>2.8014999999999999</v>
      </c>
      <c r="AV315" s="300">
        <f t="shared" si="421"/>
        <v>2.8014999999999999</v>
      </c>
      <c r="AW315" s="300">
        <f t="shared" si="421"/>
        <v>2.8014999999999999</v>
      </c>
      <c r="AX315" s="300">
        <f t="shared" si="421"/>
        <v>2.8014999999999999</v>
      </c>
      <c r="AY315" s="301">
        <f t="shared" si="420"/>
        <v>2.8014999999999999</v>
      </c>
      <c r="AZ315" s="301">
        <f t="shared" si="420"/>
        <v>2.8014999999999999</v>
      </c>
      <c r="BA315" s="301">
        <f t="shared" si="420"/>
        <v>2.8014999999999999</v>
      </c>
      <c r="BB315" s="301">
        <f t="shared" si="420"/>
        <v>2.8014999999999999</v>
      </c>
      <c r="BC315" s="301">
        <f t="shared" si="420"/>
        <v>2.8014999999999999</v>
      </c>
      <c r="BD315" s="187">
        <f>ROUND(IF(OR(M315=0,AT315="DATO NO DISPONIBLE"),"",AT315*M315*($BD$7+1)),0)</f>
        <v>270</v>
      </c>
      <c r="BE315" s="187">
        <f t="shared" si="398"/>
        <v>270</v>
      </c>
      <c r="BF315" s="187">
        <f t="shared" si="399"/>
        <v>270</v>
      </c>
      <c r="BG315" s="187"/>
      <c r="BH315" s="187"/>
      <c r="BI315" s="187">
        <f>ROUND(IF(OR(M315=0,AY315="DATO NO DISPONIBLE"),0,AY315*M315*($BD$7+1)),0)</f>
        <v>270</v>
      </c>
      <c r="BJ315" s="187">
        <f t="shared" si="376"/>
        <v>270</v>
      </c>
      <c r="BK315" s="187">
        <f t="shared" si="377"/>
        <v>270</v>
      </c>
      <c r="BL315" s="187"/>
      <c r="BM315" s="187"/>
      <c r="BN315" s="188">
        <f>BD315*AM315</f>
        <v>22722930</v>
      </c>
      <c r="BO315" s="188">
        <f t="shared" si="378"/>
        <v>25334370</v>
      </c>
      <c r="BP315" s="188">
        <f t="shared" si="379"/>
        <v>37639890</v>
      </c>
      <c r="BQ315" s="188">
        <f t="shared" si="380"/>
        <v>0</v>
      </c>
      <c r="BR315" s="188">
        <f t="shared" si="381"/>
        <v>0</v>
      </c>
      <c r="BS315" s="188">
        <f t="shared" si="364"/>
        <v>85697190</v>
      </c>
      <c r="BT315" s="188">
        <f t="shared" si="365"/>
        <v>22722930</v>
      </c>
      <c r="BU315" s="188">
        <f t="shared" si="366"/>
        <v>25334370</v>
      </c>
      <c r="BV315" s="188">
        <f t="shared" si="367"/>
        <v>37639890</v>
      </c>
      <c r="BW315" s="188">
        <f t="shared" si="368"/>
        <v>0</v>
      </c>
      <c r="BX315" s="188">
        <f t="shared" si="369"/>
        <v>0</v>
      </c>
      <c r="BY315" s="188">
        <f t="shared" si="370"/>
        <v>85697190</v>
      </c>
      <c r="BZ315" s="305">
        <f>IF(COT_PRECALCULOS!$D$24="Precios Iva Incluído",BI315,BD315)</f>
        <v>270</v>
      </c>
      <c r="CA315" s="305">
        <f>IF(COT_PRECALCULOS!$D$24="Precios Iva Incluído",BJ315,BE315)</f>
        <v>270</v>
      </c>
      <c r="CB315" s="305">
        <f>IF(COT_PRECALCULOS!$D$24="Precios Iva Incluído",BK315,BF315)</f>
        <v>270</v>
      </c>
      <c r="CC315" s="305">
        <f>IF(COT_PRECALCULOS!$D$24="Precios Iva Incluído",BL315,BG315)</f>
        <v>0</v>
      </c>
      <c r="CD315" s="305">
        <f>IF(COT_PRECALCULOS!$D$24="Precios Iva Incluído",BM315,BH315)</f>
        <v>0</v>
      </c>
      <c r="CE315" s="305">
        <f>IF(COT_PRECALCULOS!$D$24="Precios Iva Incluído",BT315,BN315)</f>
        <v>22722930</v>
      </c>
      <c r="CF315" s="305">
        <f>IF(COT_PRECALCULOS!$D$24="Precios Iva Incluído",BU315,BO315)</f>
        <v>25334370</v>
      </c>
      <c r="CG315" s="305">
        <f>IF(COT_PRECALCULOS!$D$24="Precios Iva Incluído",BV315,BP315)</f>
        <v>37639890</v>
      </c>
      <c r="CH315" s="305">
        <f>IF(COT_PRECALCULOS!$D$24="Precios Iva Incluído",BW315,BQ315)</f>
        <v>0</v>
      </c>
      <c r="CI315" s="305">
        <f>IF(COT_PRECALCULOS!$D$24="Precios Iva Incluído",BX315,BR315)</f>
        <v>0</v>
      </c>
    </row>
    <row r="316" spans="1:87">
      <c r="A316" s="182" t="s">
        <v>102</v>
      </c>
      <c r="B316" s="182" t="s">
        <v>126</v>
      </c>
      <c r="C316" s="189" t="str">
        <f t="shared" si="358"/>
        <v>F_SE15</v>
      </c>
      <c r="D316" s="189" t="str">
        <f t="shared" si="359"/>
        <v>42_S_</v>
      </c>
      <c r="E316" s="190" t="s">
        <v>1</v>
      </c>
      <c r="F316" s="190" t="s">
        <v>1</v>
      </c>
      <c r="G316" s="189" t="s">
        <v>44</v>
      </c>
      <c r="H316" s="190"/>
      <c r="I316" s="190" t="s">
        <v>49</v>
      </c>
      <c r="J316" s="190">
        <v>42</v>
      </c>
      <c r="K316" s="190" t="s">
        <v>61</v>
      </c>
      <c r="L316" s="189" t="s">
        <v>9</v>
      </c>
      <c r="M316" s="190">
        <v>100</v>
      </c>
      <c r="N316" s="190">
        <v>100</v>
      </c>
      <c r="O316" s="190">
        <v>100</v>
      </c>
      <c r="P316" s="190"/>
      <c r="Q316" s="190"/>
      <c r="R316" s="190"/>
      <c r="S316" s="183">
        <f t="shared" si="425"/>
        <v>2</v>
      </c>
      <c r="T316" s="385">
        <f>$S316</f>
        <v>2</v>
      </c>
      <c r="U316" s="385">
        <f t="shared" si="426"/>
        <v>2</v>
      </c>
      <c r="V316" s="385">
        <f t="shared" si="426"/>
        <v>2</v>
      </c>
      <c r="W316" s="387"/>
      <c r="X316" s="387"/>
      <c r="Y316" s="184">
        <f t="shared" si="371"/>
        <v>28053</v>
      </c>
      <c r="Z316" s="184">
        <f t="shared" si="427"/>
        <v>31277</v>
      </c>
      <c r="AA316" s="184">
        <f t="shared" si="428"/>
        <v>46469</v>
      </c>
      <c r="AB316" s="184">
        <f t="shared" si="422"/>
        <v>0</v>
      </c>
      <c r="AC316" s="184">
        <f t="shared" si="423"/>
        <v>0</v>
      </c>
      <c r="AD316" s="184">
        <f t="shared" si="372"/>
        <v>105799</v>
      </c>
      <c r="AE316" s="183">
        <f t="shared" si="408"/>
        <v>0</v>
      </c>
      <c r="AF316" s="385">
        <f>$AE316</f>
        <v>0</v>
      </c>
      <c r="AG316" s="385">
        <f t="shared" si="424"/>
        <v>0</v>
      </c>
      <c r="AH316" s="385">
        <f t="shared" si="424"/>
        <v>0</v>
      </c>
      <c r="AI316" s="185">
        <f t="shared" si="373"/>
        <v>74</v>
      </c>
      <c r="AJ316" s="185">
        <f t="shared" si="410"/>
        <v>433</v>
      </c>
      <c r="AK316" s="185">
        <f t="shared" si="411"/>
        <v>683</v>
      </c>
      <c r="AL316" s="185">
        <f t="shared" si="374"/>
        <v>1190</v>
      </c>
      <c r="AM316" s="173">
        <f t="shared" si="429"/>
        <v>56106</v>
      </c>
      <c r="AN316" s="173">
        <f t="shared" si="396"/>
        <v>62554</v>
      </c>
      <c r="AO316" s="173">
        <f t="shared" si="397"/>
        <v>92938</v>
      </c>
      <c r="AP316" s="173">
        <f t="shared" si="360"/>
        <v>0</v>
      </c>
      <c r="AQ316" s="173">
        <f t="shared" si="361"/>
        <v>0</v>
      </c>
      <c r="AR316" s="173">
        <f t="shared" si="362"/>
        <v>211598</v>
      </c>
      <c r="AS316" s="186" t="s">
        <v>1371</v>
      </c>
      <c r="AT316" s="300">
        <f t="shared" si="421"/>
        <v>1.8169999999999999</v>
      </c>
      <c r="AU316" s="300">
        <f t="shared" si="421"/>
        <v>1.8169999999999999</v>
      </c>
      <c r="AV316" s="300">
        <f t="shared" si="421"/>
        <v>1.8169999999999999</v>
      </c>
      <c r="AW316" s="300">
        <f t="shared" si="421"/>
        <v>1.8169999999999999</v>
      </c>
      <c r="AX316" s="300">
        <f t="shared" si="421"/>
        <v>1.8169999999999999</v>
      </c>
      <c r="AY316" s="301">
        <f t="shared" si="420"/>
        <v>1.8169999999999999</v>
      </c>
      <c r="AZ316" s="301">
        <f t="shared" si="420"/>
        <v>1.8169999999999999</v>
      </c>
      <c r="BA316" s="301">
        <f t="shared" si="420"/>
        <v>1.8169999999999999</v>
      </c>
      <c r="BB316" s="301">
        <f t="shared" si="420"/>
        <v>1.8169999999999999</v>
      </c>
      <c r="BC316" s="301">
        <f t="shared" si="420"/>
        <v>1.8169999999999999</v>
      </c>
      <c r="BD316" s="187">
        <f>ROUND(IF(OR(M316=0,AT316="DATO NO DISPONIBLE"),"",AT316*M316*($BD$7+1)),0)</f>
        <v>194</v>
      </c>
      <c r="BE316" s="187">
        <f t="shared" si="398"/>
        <v>194</v>
      </c>
      <c r="BF316" s="187">
        <f t="shared" si="399"/>
        <v>194</v>
      </c>
      <c r="BG316" s="187"/>
      <c r="BH316" s="187"/>
      <c r="BI316" s="187">
        <f>ROUND(IF(OR(M316=0,AY316="DATO NO DISPONIBLE"),0,AY316*M316*($BD$7+1)),0)</f>
        <v>194</v>
      </c>
      <c r="BJ316" s="187">
        <f t="shared" si="376"/>
        <v>194</v>
      </c>
      <c r="BK316" s="187">
        <f t="shared" si="377"/>
        <v>194</v>
      </c>
      <c r="BL316" s="187"/>
      <c r="BM316" s="187"/>
      <c r="BN316" s="188">
        <f>BD316*AM316</f>
        <v>10884564</v>
      </c>
      <c r="BO316" s="188">
        <f t="shared" si="378"/>
        <v>12135476</v>
      </c>
      <c r="BP316" s="188">
        <f t="shared" si="379"/>
        <v>18029972</v>
      </c>
      <c r="BQ316" s="188">
        <f t="shared" si="380"/>
        <v>0</v>
      </c>
      <c r="BR316" s="188">
        <f t="shared" si="381"/>
        <v>0</v>
      </c>
      <c r="BS316" s="188">
        <f t="shared" si="364"/>
        <v>41050012</v>
      </c>
      <c r="BT316" s="188">
        <f t="shared" si="365"/>
        <v>10884564</v>
      </c>
      <c r="BU316" s="188">
        <f t="shared" si="366"/>
        <v>12135476</v>
      </c>
      <c r="BV316" s="188">
        <f t="shared" si="367"/>
        <v>18029972</v>
      </c>
      <c r="BW316" s="188">
        <f t="shared" si="368"/>
        <v>0</v>
      </c>
      <c r="BX316" s="188">
        <f t="shared" si="369"/>
        <v>0</v>
      </c>
      <c r="BY316" s="188">
        <f t="shared" si="370"/>
        <v>41050012</v>
      </c>
      <c r="BZ316" s="305">
        <f>IF(COT_PRECALCULOS!$D$24="Precios Iva Incluído",BI316,BD316)</f>
        <v>194</v>
      </c>
      <c r="CA316" s="305">
        <f>IF(COT_PRECALCULOS!$D$24="Precios Iva Incluído",BJ316,BE316)</f>
        <v>194</v>
      </c>
      <c r="CB316" s="305">
        <f>IF(COT_PRECALCULOS!$D$24="Precios Iva Incluído",BK316,BF316)</f>
        <v>194</v>
      </c>
      <c r="CC316" s="305">
        <f>IF(COT_PRECALCULOS!$D$24="Precios Iva Incluído",BL316,BG316)</f>
        <v>0</v>
      </c>
      <c r="CD316" s="305">
        <f>IF(COT_PRECALCULOS!$D$24="Precios Iva Incluído",BM316,BH316)</f>
        <v>0</v>
      </c>
      <c r="CE316" s="305">
        <f>IF(COT_PRECALCULOS!$D$24="Precios Iva Incluído",BT316,BN316)</f>
        <v>10884564</v>
      </c>
      <c r="CF316" s="305">
        <f>IF(COT_PRECALCULOS!$D$24="Precios Iva Incluído",BU316,BO316)</f>
        <v>12135476</v>
      </c>
      <c r="CG316" s="305">
        <f>IF(COT_PRECALCULOS!$D$24="Precios Iva Incluído",BV316,BP316)</f>
        <v>18029972</v>
      </c>
      <c r="CH316" s="305">
        <f>IF(COT_PRECALCULOS!$D$24="Precios Iva Incluído",BW316,BQ316)</f>
        <v>0</v>
      </c>
      <c r="CI316" s="305">
        <f>IF(COT_PRECALCULOS!$D$24="Precios Iva Incluído",BX316,BR316)</f>
        <v>0</v>
      </c>
    </row>
    <row r="317" spans="1:87">
      <c r="A317" s="182" t="s">
        <v>102</v>
      </c>
      <c r="B317" s="182" t="s">
        <v>126</v>
      </c>
      <c r="C317" s="189" t="str">
        <f t="shared" si="358"/>
        <v>F_SE15</v>
      </c>
      <c r="D317" s="189" t="str">
        <f t="shared" si="359"/>
        <v>43_S_</v>
      </c>
      <c r="E317" s="211" t="s">
        <v>1</v>
      </c>
      <c r="F317" s="211" t="s">
        <v>1</v>
      </c>
      <c r="G317" s="189" t="s">
        <v>44</v>
      </c>
      <c r="H317" s="211"/>
      <c r="I317" s="211" t="s">
        <v>60</v>
      </c>
      <c r="J317" s="211">
        <v>43</v>
      </c>
      <c r="K317" s="211" t="s">
        <v>62</v>
      </c>
      <c r="L317" s="189" t="s">
        <v>9</v>
      </c>
      <c r="M317" s="211">
        <v>100</v>
      </c>
      <c r="N317" s="211">
        <v>100</v>
      </c>
      <c r="O317" s="211">
        <v>100</v>
      </c>
      <c r="P317" s="211"/>
      <c r="Q317" s="211"/>
      <c r="R317" s="211"/>
      <c r="S317" s="183">
        <f t="shared" si="425"/>
        <v>2</v>
      </c>
      <c r="T317" s="385">
        <f>$S317</f>
        <v>2</v>
      </c>
      <c r="U317" s="385">
        <f t="shared" si="426"/>
        <v>2</v>
      </c>
      <c r="V317" s="385">
        <f t="shared" si="426"/>
        <v>2</v>
      </c>
      <c r="W317" s="387"/>
      <c r="X317" s="387"/>
      <c r="Y317" s="184">
        <f t="shared" si="371"/>
        <v>28053</v>
      </c>
      <c r="Z317" s="184">
        <f t="shared" si="427"/>
        <v>31277</v>
      </c>
      <c r="AA317" s="184">
        <f t="shared" si="428"/>
        <v>46469</v>
      </c>
      <c r="AB317" s="184">
        <f t="shared" si="422"/>
        <v>0</v>
      </c>
      <c r="AC317" s="184">
        <f t="shared" si="423"/>
        <v>0</v>
      </c>
      <c r="AD317" s="184">
        <f t="shared" si="372"/>
        <v>105799</v>
      </c>
      <c r="AE317" s="183">
        <f t="shared" si="408"/>
        <v>0</v>
      </c>
      <c r="AF317" s="385">
        <f>$AE317</f>
        <v>0</v>
      </c>
      <c r="AG317" s="385">
        <f t="shared" si="424"/>
        <v>0</v>
      </c>
      <c r="AH317" s="385">
        <f t="shared" si="424"/>
        <v>0</v>
      </c>
      <c r="AI317" s="185">
        <f t="shared" si="373"/>
        <v>74</v>
      </c>
      <c r="AJ317" s="185">
        <f t="shared" si="410"/>
        <v>433</v>
      </c>
      <c r="AK317" s="185">
        <f t="shared" si="411"/>
        <v>683</v>
      </c>
      <c r="AL317" s="185">
        <f t="shared" si="374"/>
        <v>1190</v>
      </c>
      <c r="AM317" s="173">
        <f t="shared" si="429"/>
        <v>56106</v>
      </c>
      <c r="AN317" s="173">
        <f t="shared" si="396"/>
        <v>62554</v>
      </c>
      <c r="AO317" s="173">
        <f t="shared" si="397"/>
        <v>92938</v>
      </c>
      <c r="AP317" s="173">
        <f t="shared" si="360"/>
        <v>0</v>
      </c>
      <c r="AQ317" s="173">
        <f t="shared" si="361"/>
        <v>0</v>
      </c>
      <c r="AR317" s="173">
        <f t="shared" si="362"/>
        <v>211598</v>
      </c>
      <c r="AS317" s="186" t="s">
        <v>1371</v>
      </c>
      <c r="AT317" s="300">
        <f t="shared" si="421"/>
        <v>1.5892500000000001</v>
      </c>
      <c r="AU317" s="300">
        <f t="shared" si="421"/>
        <v>1.5892500000000001</v>
      </c>
      <c r="AV317" s="300">
        <f t="shared" si="421"/>
        <v>1.5892500000000001</v>
      </c>
      <c r="AW317" s="300">
        <f t="shared" si="421"/>
        <v>1.5892500000000001</v>
      </c>
      <c r="AX317" s="300">
        <f t="shared" si="421"/>
        <v>1.5892500000000001</v>
      </c>
      <c r="AY317" s="301">
        <f t="shared" si="420"/>
        <v>1.5892500000000001</v>
      </c>
      <c r="AZ317" s="301">
        <f t="shared" si="420"/>
        <v>1.5892500000000001</v>
      </c>
      <c r="BA317" s="301">
        <f t="shared" si="420"/>
        <v>1.5892500000000001</v>
      </c>
      <c r="BB317" s="301">
        <f t="shared" si="420"/>
        <v>1.5892500000000001</v>
      </c>
      <c r="BC317" s="301">
        <f t="shared" si="420"/>
        <v>1.5892500000000001</v>
      </c>
      <c r="BD317" s="187">
        <f>ROUND(IF(OR(M317=0,AT317="DATO NO DISPONIBLE"),"",AT317*M317*($BD$7+1)),0)</f>
        <v>170</v>
      </c>
      <c r="BE317" s="187">
        <f t="shared" si="398"/>
        <v>170</v>
      </c>
      <c r="BF317" s="187">
        <f t="shared" si="399"/>
        <v>170</v>
      </c>
      <c r="BG317" s="187"/>
      <c r="BH317" s="187"/>
      <c r="BI317" s="187">
        <f>ROUND(IF(OR(M317=0,AY317="DATO NO DISPONIBLE"),0,AY317*M317*($BD$7+1)),0)</f>
        <v>170</v>
      </c>
      <c r="BJ317" s="187">
        <f t="shared" si="376"/>
        <v>170</v>
      </c>
      <c r="BK317" s="187">
        <f t="shared" si="377"/>
        <v>170</v>
      </c>
      <c r="BL317" s="187"/>
      <c r="BM317" s="187"/>
      <c r="BN317" s="188">
        <f>BD317*AM317</f>
        <v>9538020</v>
      </c>
      <c r="BO317" s="188">
        <f t="shared" si="378"/>
        <v>10634180</v>
      </c>
      <c r="BP317" s="188">
        <f t="shared" si="379"/>
        <v>15799460</v>
      </c>
      <c r="BQ317" s="188">
        <f t="shared" si="380"/>
        <v>0</v>
      </c>
      <c r="BR317" s="188">
        <f t="shared" si="381"/>
        <v>0</v>
      </c>
      <c r="BS317" s="188">
        <f t="shared" si="364"/>
        <v>35971660</v>
      </c>
      <c r="BT317" s="188">
        <f t="shared" si="365"/>
        <v>9538020</v>
      </c>
      <c r="BU317" s="188">
        <f t="shared" si="366"/>
        <v>10634180</v>
      </c>
      <c r="BV317" s="188">
        <f t="shared" si="367"/>
        <v>15799460</v>
      </c>
      <c r="BW317" s="188">
        <f t="shared" si="368"/>
        <v>0</v>
      </c>
      <c r="BX317" s="188">
        <f t="shared" si="369"/>
        <v>0</v>
      </c>
      <c r="BY317" s="188">
        <f t="shared" si="370"/>
        <v>35971660</v>
      </c>
      <c r="BZ317" s="305">
        <f>IF(COT_PRECALCULOS!$D$24="Precios Iva Incluído",BI317,BD317)</f>
        <v>170</v>
      </c>
      <c r="CA317" s="305">
        <f>IF(COT_PRECALCULOS!$D$24="Precios Iva Incluído",BJ317,BE317)</f>
        <v>170</v>
      </c>
      <c r="CB317" s="305">
        <f>IF(COT_PRECALCULOS!$D$24="Precios Iva Incluído",BK317,BF317)</f>
        <v>170</v>
      </c>
      <c r="CC317" s="305">
        <f>IF(COT_PRECALCULOS!$D$24="Precios Iva Incluído",BL317,BG317)</f>
        <v>0</v>
      </c>
      <c r="CD317" s="305">
        <f>IF(COT_PRECALCULOS!$D$24="Precios Iva Incluído",BM317,BH317)</f>
        <v>0</v>
      </c>
      <c r="CE317" s="305">
        <f>IF(COT_PRECALCULOS!$D$24="Precios Iva Incluído",BT317,BN317)</f>
        <v>9538020</v>
      </c>
      <c r="CF317" s="305">
        <f>IF(COT_PRECALCULOS!$D$24="Precios Iva Incluído",BU317,BO317)</f>
        <v>10634180</v>
      </c>
      <c r="CG317" s="305">
        <f>IF(COT_PRECALCULOS!$D$24="Precios Iva Incluído",BV317,BP317)</f>
        <v>15799460</v>
      </c>
      <c r="CH317" s="305">
        <f>IF(COT_PRECALCULOS!$D$24="Precios Iva Incluído",BW317,BQ317)</f>
        <v>0</v>
      </c>
      <c r="CI317" s="305">
        <f>IF(COT_PRECALCULOS!$D$24="Precios Iva Incluído",BX317,BR317)</f>
        <v>0</v>
      </c>
    </row>
    <row r="318" spans="1:87">
      <c r="A318" s="182" t="s">
        <v>102</v>
      </c>
      <c r="B318" s="182" t="s">
        <v>126</v>
      </c>
      <c r="C318" s="189" t="str">
        <f t="shared" si="358"/>
        <v>F_SE15</v>
      </c>
      <c r="D318" s="189" t="str">
        <f t="shared" si="359"/>
        <v>46_S_</v>
      </c>
      <c r="E318" s="211" t="s">
        <v>1</v>
      </c>
      <c r="F318" s="211" t="s">
        <v>1</v>
      </c>
      <c r="G318" s="189" t="s">
        <v>44</v>
      </c>
      <c r="H318" s="211"/>
      <c r="I318" s="211" t="s">
        <v>63</v>
      </c>
      <c r="J318" s="211">
        <v>46</v>
      </c>
      <c r="K318" s="211" t="s">
        <v>64</v>
      </c>
      <c r="L318" s="189" t="s">
        <v>9</v>
      </c>
      <c r="M318" s="211">
        <v>100</v>
      </c>
      <c r="N318" s="211">
        <v>100</v>
      </c>
      <c r="O318" s="211">
        <v>100</v>
      </c>
      <c r="P318" s="211"/>
      <c r="Q318" s="211"/>
      <c r="R318" s="211"/>
      <c r="S318" s="183">
        <f t="shared" si="425"/>
        <v>1</v>
      </c>
      <c r="T318" s="385">
        <f>$S318</f>
        <v>1</v>
      </c>
      <c r="U318" s="385">
        <f t="shared" si="426"/>
        <v>1</v>
      </c>
      <c r="V318" s="385">
        <f t="shared" si="426"/>
        <v>1</v>
      </c>
      <c r="W318" s="387"/>
      <c r="X318" s="387"/>
      <c r="Y318" s="184">
        <f t="shared" si="371"/>
        <v>28053</v>
      </c>
      <c r="Z318" s="184">
        <f t="shared" si="427"/>
        <v>31277</v>
      </c>
      <c r="AA318" s="184">
        <f t="shared" si="428"/>
        <v>46469</v>
      </c>
      <c r="AB318" s="184">
        <f t="shared" si="422"/>
        <v>0</v>
      </c>
      <c r="AC318" s="184">
        <f t="shared" si="423"/>
        <v>0</v>
      </c>
      <c r="AD318" s="184">
        <f t="shared" si="372"/>
        <v>105799</v>
      </c>
      <c r="AE318" s="183">
        <f t="shared" si="408"/>
        <v>0</v>
      </c>
      <c r="AF318" s="385">
        <f>$AE318</f>
        <v>0</v>
      </c>
      <c r="AG318" s="385">
        <f t="shared" si="424"/>
        <v>0</v>
      </c>
      <c r="AH318" s="385">
        <f t="shared" si="424"/>
        <v>0</v>
      </c>
      <c r="AI318" s="185">
        <f t="shared" si="373"/>
        <v>74</v>
      </c>
      <c r="AJ318" s="185">
        <f t="shared" si="410"/>
        <v>433</v>
      </c>
      <c r="AK318" s="185">
        <f t="shared" si="411"/>
        <v>683</v>
      </c>
      <c r="AL318" s="185">
        <f t="shared" si="374"/>
        <v>1190</v>
      </c>
      <c r="AM318" s="173">
        <f t="shared" si="429"/>
        <v>28053</v>
      </c>
      <c r="AN318" s="173">
        <f t="shared" si="396"/>
        <v>31277</v>
      </c>
      <c r="AO318" s="173">
        <f t="shared" si="397"/>
        <v>46469</v>
      </c>
      <c r="AP318" s="173">
        <f t="shared" si="360"/>
        <v>0</v>
      </c>
      <c r="AQ318" s="173">
        <f t="shared" si="361"/>
        <v>0</v>
      </c>
      <c r="AR318" s="173">
        <f t="shared" si="362"/>
        <v>105799</v>
      </c>
      <c r="AS318" s="186" t="s">
        <v>1371</v>
      </c>
      <c r="AT318" s="300">
        <f t="shared" si="421"/>
        <v>3.7214999999999998</v>
      </c>
      <c r="AU318" s="300">
        <f t="shared" si="421"/>
        <v>3.7214999999999998</v>
      </c>
      <c r="AV318" s="300">
        <f t="shared" si="421"/>
        <v>3.7214999999999998</v>
      </c>
      <c r="AW318" s="300">
        <f t="shared" si="421"/>
        <v>3.7214999999999998</v>
      </c>
      <c r="AX318" s="300">
        <f t="shared" si="421"/>
        <v>3.7214999999999998</v>
      </c>
      <c r="AY318" s="301">
        <f t="shared" ref="AY318:BC323" si="430">IF(ISERROR(MATCH(CONCATENATE($J318,"_",AY$1),COT_PRE_CODIGO_ALIMENTOS,0)),IF(ISERROR(MATCH(CONCATENATE($J318,"_",AY$2),COT_PRE_CODIGO_ALIMENTOS,0)),IF(ISERROR(MATCH(CONCATENATE($J318,"_",AY$3),COT_PRE_CODIGO_ALIMENTOS,0)),IF(ISERROR(MATCH(CONCATENATE($J318,"_",AY$4),COT_PRE_CODIGO_ALIMENTOS,0)),IF(ISERROR(MATCH(CONCATENATE($J318,"_",AY$5),COT_PRE_CODIGO_ALIMENTOS,0)),IF(ISERROR(MATCH(CONCATENATE($J318,"_",AY$6),COT_PRE_CODIGO_ALIMENTOS,0)),IF(ISERROR(MATCH(CONCATENATE($J318,"_",AY$7),COT_PRE_CODIGO_ALIMENTOS,0)),IF(ISERROR(VLOOKUP($J318,COT_PRE_ALIMENTOS,AY$8,FALSE)),"DATO NO DISPONIBLE",VLOOKUP($J318,COT_PRE_ALIMENTOS,AY$8,FALSE)),VLOOKUP(CONCATENATE($J318,"_",AY$7),COT_PRE_ALIMENTOS,AY$8,FALSE)),VLOOKUP(CONCATENATE($J318,"_",AY$6),COT_PRE_ALIMENTOS,AY$8,FALSE)),VLOOKUP(CONCATENATE($J318,"_",AY$5),COT_PRE_ALIMENTOS,AY$8,FALSE)),VLOOKUP(CONCATENATE($J318,"_",AY$4),COT_PRE_ALIMENTOS,AY$8,FALSE)),VLOOKUP(CONCATENATE($J318,"_",AY$3),COT_PRE_ALIMENTOS,AY$8,FALSE)),VLOOKUP(CONCATENATE($J318,"_",AY$2),COT_PRE_ALIMENTOS,AY$8,FALSE)),VLOOKUP(CONCATENATE($J318,"_",AY$1),COT_PRE_ALIMENTOS,AY$8,FALSE))</f>
        <v>3.7214999999999998</v>
      </c>
      <c r="AZ318" s="301">
        <f t="shared" si="430"/>
        <v>3.7214999999999998</v>
      </c>
      <c r="BA318" s="301">
        <f t="shared" si="430"/>
        <v>3.7214999999999998</v>
      </c>
      <c r="BB318" s="301">
        <f t="shared" si="430"/>
        <v>3.7214999999999998</v>
      </c>
      <c r="BC318" s="301">
        <f t="shared" si="430"/>
        <v>3.7214999999999998</v>
      </c>
      <c r="BD318" s="187">
        <f>ROUND(IF(OR(M318=0,AT318="DATO NO DISPONIBLE"),"",AT318*M318*($BD$7+1)),0)</f>
        <v>398</v>
      </c>
      <c r="BE318" s="187">
        <f t="shared" si="398"/>
        <v>398</v>
      </c>
      <c r="BF318" s="187">
        <f t="shared" si="399"/>
        <v>398</v>
      </c>
      <c r="BG318" s="187"/>
      <c r="BH318" s="187"/>
      <c r="BI318" s="187">
        <f>ROUND(IF(OR(M318=0,AY318="DATO NO DISPONIBLE"),0,AY318*M318*($BD$7+1)),0)</f>
        <v>398</v>
      </c>
      <c r="BJ318" s="187">
        <f t="shared" si="376"/>
        <v>398</v>
      </c>
      <c r="BK318" s="187">
        <f t="shared" si="377"/>
        <v>398</v>
      </c>
      <c r="BL318" s="187"/>
      <c r="BM318" s="187"/>
      <c r="BN318" s="188">
        <f>BD318*AM318</f>
        <v>11165094</v>
      </c>
      <c r="BO318" s="188">
        <f t="shared" si="378"/>
        <v>12448246</v>
      </c>
      <c r="BP318" s="188">
        <f t="shared" si="379"/>
        <v>18494662</v>
      </c>
      <c r="BQ318" s="188">
        <f t="shared" si="380"/>
        <v>0</v>
      </c>
      <c r="BR318" s="188">
        <f t="shared" si="381"/>
        <v>0</v>
      </c>
      <c r="BS318" s="188">
        <f t="shared" si="364"/>
        <v>42108002</v>
      </c>
      <c r="BT318" s="188">
        <f t="shared" si="365"/>
        <v>11165094</v>
      </c>
      <c r="BU318" s="188">
        <f t="shared" si="366"/>
        <v>12448246</v>
      </c>
      <c r="BV318" s="188">
        <f t="shared" si="367"/>
        <v>18494662</v>
      </c>
      <c r="BW318" s="188">
        <f t="shared" si="368"/>
        <v>0</v>
      </c>
      <c r="BX318" s="188">
        <f t="shared" si="369"/>
        <v>0</v>
      </c>
      <c r="BY318" s="188">
        <f t="shared" si="370"/>
        <v>42108002</v>
      </c>
      <c r="BZ318" s="305">
        <f>IF(COT_PRECALCULOS!$D$24="Precios Iva Incluído",BI318,BD318)</f>
        <v>398</v>
      </c>
      <c r="CA318" s="305">
        <f>IF(COT_PRECALCULOS!$D$24="Precios Iva Incluído",BJ318,BE318)</f>
        <v>398</v>
      </c>
      <c r="CB318" s="305">
        <f>IF(COT_PRECALCULOS!$D$24="Precios Iva Incluído",BK318,BF318)</f>
        <v>398</v>
      </c>
      <c r="CC318" s="305">
        <f>IF(COT_PRECALCULOS!$D$24="Precios Iva Incluído",BL318,BG318)</f>
        <v>0</v>
      </c>
      <c r="CD318" s="305">
        <f>IF(COT_PRECALCULOS!$D$24="Precios Iva Incluído",BM318,BH318)</f>
        <v>0</v>
      </c>
      <c r="CE318" s="305">
        <f>IF(COT_PRECALCULOS!$D$24="Precios Iva Incluído",BT318,BN318)</f>
        <v>11165094</v>
      </c>
      <c r="CF318" s="305">
        <f>IF(COT_PRECALCULOS!$D$24="Precios Iva Incluído",BU318,BO318)</f>
        <v>12448246</v>
      </c>
      <c r="CG318" s="305">
        <f>IF(COT_PRECALCULOS!$D$24="Precios Iva Incluído",BV318,BP318)</f>
        <v>18494662</v>
      </c>
      <c r="CH318" s="305">
        <f>IF(COT_PRECALCULOS!$D$24="Precios Iva Incluído",BW318,BQ318)</f>
        <v>0</v>
      </c>
      <c r="CI318" s="305">
        <f>IF(COT_PRECALCULOS!$D$24="Precios Iva Incluído",BX318,BR318)</f>
        <v>0</v>
      </c>
    </row>
    <row r="319" spans="1:87">
      <c r="A319" s="182" t="s">
        <v>102</v>
      </c>
      <c r="B319" s="182" t="s">
        <v>126</v>
      </c>
      <c r="C319" s="189" t="str">
        <f t="shared" si="358"/>
        <v>F_SE15</v>
      </c>
      <c r="D319" s="189" t="str">
        <f t="shared" si="359"/>
        <v>58_S_</v>
      </c>
      <c r="E319" s="211" t="s">
        <v>1</v>
      </c>
      <c r="F319" s="211" t="s">
        <v>1</v>
      </c>
      <c r="G319" s="189" t="s">
        <v>44</v>
      </c>
      <c r="H319" s="211"/>
      <c r="I319" s="211" t="s">
        <v>65</v>
      </c>
      <c r="J319" s="211">
        <v>58</v>
      </c>
      <c r="K319" s="211" t="s">
        <v>67</v>
      </c>
      <c r="L319" s="189" t="s">
        <v>9</v>
      </c>
      <c r="M319" s="211">
        <v>100</v>
      </c>
      <c r="N319" s="211">
        <v>100</v>
      </c>
      <c r="O319" s="211">
        <v>100</v>
      </c>
      <c r="P319" s="211"/>
      <c r="Q319" s="211"/>
      <c r="R319" s="211"/>
      <c r="S319" s="183">
        <f t="shared" si="425"/>
        <v>2</v>
      </c>
      <c r="T319" s="385">
        <f>$S319</f>
        <v>2</v>
      </c>
      <c r="U319" s="385">
        <f t="shared" si="426"/>
        <v>2</v>
      </c>
      <c r="V319" s="385">
        <f t="shared" si="426"/>
        <v>2</v>
      </c>
      <c r="W319" s="387"/>
      <c r="X319" s="387"/>
      <c r="Y319" s="184">
        <f t="shared" si="371"/>
        <v>28053</v>
      </c>
      <c r="Z319" s="184">
        <f t="shared" si="427"/>
        <v>31277</v>
      </c>
      <c r="AA319" s="184">
        <f t="shared" si="428"/>
        <v>46469</v>
      </c>
      <c r="AB319" s="184">
        <f t="shared" si="422"/>
        <v>0</v>
      </c>
      <c r="AC319" s="184">
        <f t="shared" si="423"/>
        <v>0</v>
      </c>
      <c r="AD319" s="184">
        <f t="shared" si="372"/>
        <v>105799</v>
      </c>
      <c r="AE319" s="183">
        <f t="shared" si="408"/>
        <v>0</v>
      </c>
      <c r="AF319" s="385">
        <f>$AE319</f>
        <v>0</v>
      </c>
      <c r="AG319" s="385">
        <f t="shared" si="424"/>
        <v>0</v>
      </c>
      <c r="AH319" s="385">
        <f t="shared" si="424"/>
        <v>0</v>
      </c>
      <c r="AI319" s="185">
        <f t="shared" si="373"/>
        <v>74</v>
      </c>
      <c r="AJ319" s="185">
        <f t="shared" si="410"/>
        <v>433</v>
      </c>
      <c r="AK319" s="185">
        <f t="shared" si="411"/>
        <v>683</v>
      </c>
      <c r="AL319" s="185">
        <f t="shared" si="374"/>
        <v>1190</v>
      </c>
      <c r="AM319" s="173">
        <f t="shared" si="429"/>
        <v>56106</v>
      </c>
      <c r="AN319" s="173">
        <f t="shared" si="396"/>
        <v>62554</v>
      </c>
      <c r="AO319" s="173">
        <f t="shared" si="397"/>
        <v>92938</v>
      </c>
      <c r="AP319" s="173">
        <f t="shared" si="360"/>
        <v>0</v>
      </c>
      <c r="AQ319" s="173">
        <f t="shared" si="361"/>
        <v>0</v>
      </c>
      <c r="AR319" s="173">
        <f t="shared" si="362"/>
        <v>211598</v>
      </c>
      <c r="AS319" s="186" t="s">
        <v>1371</v>
      </c>
      <c r="AT319" s="300">
        <f t="shared" si="421"/>
        <v>1.4384999999999999</v>
      </c>
      <c r="AU319" s="300">
        <f t="shared" si="421"/>
        <v>1.4384999999999999</v>
      </c>
      <c r="AV319" s="300">
        <f t="shared" si="421"/>
        <v>1.4384999999999999</v>
      </c>
      <c r="AW319" s="300">
        <f t="shared" si="421"/>
        <v>1.4384999999999999</v>
      </c>
      <c r="AX319" s="300">
        <f t="shared" si="421"/>
        <v>1.4384999999999999</v>
      </c>
      <c r="AY319" s="301">
        <f t="shared" si="430"/>
        <v>1.4384999999999999</v>
      </c>
      <c r="AZ319" s="301">
        <f t="shared" si="430"/>
        <v>1.4384999999999999</v>
      </c>
      <c r="BA319" s="301">
        <f t="shared" si="430"/>
        <v>1.4384999999999999</v>
      </c>
      <c r="BB319" s="301">
        <f t="shared" si="430"/>
        <v>1.4384999999999999</v>
      </c>
      <c r="BC319" s="301">
        <f t="shared" si="430"/>
        <v>1.4384999999999999</v>
      </c>
      <c r="BD319" s="187">
        <f>ROUND(IF(OR(M319=0,AT319="DATO NO DISPONIBLE"),"",AT319*M319*($BD$7+1)),0)</f>
        <v>154</v>
      </c>
      <c r="BE319" s="187">
        <f t="shared" si="398"/>
        <v>154</v>
      </c>
      <c r="BF319" s="187">
        <f t="shared" si="399"/>
        <v>154</v>
      </c>
      <c r="BG319" s="187"/>
      <c r="BH319" s="187"/>
      <c r="BI319" s="187">
        <f>ROUND(IF(OR(M319=0,AY319="DATO NO DISPONIBLE"),0,AY319*M319*($BD$7+1)),0)</f>
        <v>154</v>
      </c>
      <c r="BJ319" s="187">
        <f t="shared" si="376"/>
        <v>154</v>
      </c>
      <c r="BK319" s="187">
        <f t="shared" si="377"/>
        <v>154</v>
      </c>
      <c r="BL319" s="187"/>
      <c r="BM319" s="187"/>
      <c r="BN319" s="188">
        <f>BD319*AM319</f>
        <v>8640324</v>
      </c>
      <c r="BO319" s="188">
        <f t="shared" si="378"/>
        <v>9633316</v>
      </c>
      <c r="BP319" s="188">
        <f t="shared" si="379"/>
        <v>14312452</v>
      </c>
      <c r="BQ319" s="188">
        <f t="shared" si="380"/>
        <v>0</v>
      </c>
      <c r="BR319" s="188">
        <f t="shared" si="381"/>
        <v>0</v>
      </c>
      <c r="BS319" s="188">
        <f t="shared" si="364"/>
        <v>32586092</v>
      </c>
      <c r="BT319" s="188">
        <f t="shared" si="365"/>
        <v>8640324</v>
      </c>
      <c r="BU319" s="188">
        <f t="shared" si="366"/>
        <v>9633316</v>
      </c>
      <c r="BV319" s="188">
        <f t="shared" si="367"/>
        <v>14312452</v>
      </c>
      <c r="BW319" s="188">
        <f t="shared" si="368"/>
        <v>0</v>
      </c>
      <c r="BX319" s="188">
        <f t="shared" si="369"/>
        <v>0</v>
      </c>
      <c r="BY319" s="188">
        <f t="shared" si="370"/>
        <v>32586092</v>
      </c>
      <c r="BZ319" s="305">
        <f>IF(COT_PRECALCULOS!$D$24="Precios Iva Incluído",BI319,BD319)</f>
        <v>154</v>
      </c>
      <c r="CA319" s="305">
        <f>IF(COT_PRECALCULOS!$D$24="Precios Iva Incluído",BJ319,BE319)</f>
        <v>154</v>
      </c>
      <c r="CB319" s="305">
        <f>IF(COT_PRECALCULOS!$D$24="Precios Iva Incluído",BK319,BF319)</f>
        <v>154</v>
      </c>
      <c r="CC319" s="305">
        <f>IF(COT_PRECALCULOS!$D$24="Precios Iva Incluído",BL319,BG319)</f>
        <v>0</v>
      </c>
      <c r="CD319" s="305">
        <f>IF(COT_PRECALCULOS!$D$24="Precios Iva Incluído",BM319,BH319)</f>
        <v>0</v>
      </c>
      <c r="CE319" s="305">
        <f>IF(COT_PRECALCULOS!$D$24="Precios Iva Incluído",BT319,BN319)</f>
        <v>8640324</v>
      </c>
      <c r="CF319" s="305">
        <f>IF(COT_PRECALCULOS!$D$24="Precios Iva Incluído",BU319,BO319)</f>
        <v>9633316</v>
      </c>
      <c r="CG319" s="305">
        <f>IF(COT_PRECALCULOS!$D$24="Precios Iva Incluído",BV319,BP319)</f>
        <v>14312452</v>
      </c>
      <c r="CH319" s="305">
        <f>IF(COT_PRECALCULOS!$D$24="Precios Iva Incluído",BW319,BQ319)</f>
        <v>0</v>
      </c>
      <c r="CI319" s="305">
        <f>IF(COT_PRECALCULOS!$D$24="Precios Iva Incluído",BX319,BR319)</f>
        <v>0</v>
      </c>
    </row>
    <row r="320" spans="1:87">
      <c r="A320" s="182" t="s">
        <v>102</v>
      </c>
      <c r="B320" s="182" t="s">
        <v>126</v>
      </c>
      <c r="C320" s="189" t="str">
        <f t="shared" si="358"/>
        <v>F_SE15</v>
      </c>
      <c r="D320" s="189" t="str">
        <f t="shared" si="359"/>
        <v>59_S_</v>
      </c>
      <c r="E320" s="211" t="s">
        <v>1</v>
      </c>
      <c r="F320" s="211" t="s">
        <v>1</v>
      </c>
      <c r="G320" s="189" t="s">
        <v>44</v>
      </c>
      <c r="H320" s="211"/>
      <c r="I320" s="211" t="s">
        <v>66</v>
      </c>
      <c r="J320" s="211">
        <v>59</v>
      </c>
      <c r="K320" s="211" t="s">
        <v>99</v>
      </c>
      <c r="L320" s="189" t="s">
        <v>9</v>
      </c>
      <c r="M320" s="386">
        <v>0</v>
      </c>
      <c r="N320" s="211">
        <v>100</v>
      </c>
      <c r="O320" s="211">
        <v>100</v>
      </c>
      <c r="P320" s="211"/>
      <c r="Q320" s="211"/>
      <c r="R320" s="211" t="s">
        <v>73</v>
      </c>
      <c r="S320" s="183">
        <f t="shared" si="425"/>
        <v>1</v>
      </c>
      <c r="T320" s="386">
        <v>0</v>
      </c>
      <c r="U320" s="385">
        <f t="shared" si="426"/>
        <v>1</v>
      </c>
      <c r="V320" s="385">
        <f t="shared" si="426"/>
        <v>1</v>
      </c>
      <c r="W320" s="387"/>
      <c r="X320" s="387"/>
      <c r="Y320" s="184">
        <f t="shared" si="371"/>
        <v>0</v>
      </c>
      <c r="Z320" s="184">
        <f t="shared" si="427"/>
        <v>31277</v>
      </c>
      <c r="AA320" s="184">
        <f t="shared" si="428"/>
        <v>46469</v>
      </c>
      <c r="AB320" s="184">
        <f t="shared" si="422"/>
        <v>0</v>
      </c>
      <c r="AC320" s="184">
        <f t="shared" si="423"/>
        <v>0</v>
      </c>
      <c r="AD320" s="184">
        <f t="shared" si="372"/>
        <v>77746</v>
      </c>
      <c r="AE320" s="183">
        <f t="shared" si="408"/>
        <v>0</v>
      </c>
      <c r="AF320" s="386">
        <v>0</v>
      </c>
      <c r="AG320" s="385">
        <f t="shared" si="424"/>
        <v>0</v>
      </c>
      <c r="AH320" s="385">
        <f t="shared" si="424"/>
        <v>0</v>
      </c>
      <c r="AI320" s="185">
        <f t="shared" si="373"/>
        <v>0</v>
      </c>
      <c r="AJ320" s="185">
        <f t="shared" si="410"/>
        <v>433</v>
      </c>
      <c r="AK320" s="185">
        <f t="shared" si="411"/>
        <v>683</v>
      </c>
      <c r="AL320" s="185">
        <f t="shared" si="374"/>
        <v>1116</v>
      </c>
      <c r="AM320" s="173">
        <f t="shared" si="429"/>
        <v>0</v>
      </c>
      <c r="AN320" s="173">
        <f t="shared" si="396"/>
        <v>31277</v>
      </c>
      <c r="AO320" s="173">
        <f t="shared" si="397"/>
        <v>46469</v>
      </c>
      <c r="AP320" s="173">
        <f t="shared" si="360"/>
        <v>0</v>
      </c>
      <c r="AQ320" s="173">
        <f t="shared" si="361"/>
        <v>0</v>
      </c>
      <c r="AR320" s="173">
        <f t="shared" si="362"/>
        <v>77746</v>
      </c>
      <c r="AS320" s="186" t="s">
        <v>1371</v>
      </c>
      <c r="AT320" s="300">
        <f t="shared" si="421"/>
        <v>2.6785000000000001</v>
      </c>
      <c r="AU320" s="300">
        <f t="shared" si="421"/>
        <v>2.6785000000000001</v>
      </c>
      <c r="AV320" s="300">
        <f t="shared" si="421"/>
        <v>2.6785000000000001</v>
      </c>
      <c r="AW320" s="300">
        <f t="shared" si="421"/>
        <v>2.6785000000000001</v>
      </c>
      <c r="AX320" s="300">
        <f t="shared" si="421"/>
        <v>2.6785000000000001</v>
      </c>
      <c r="AY320" s="301">
        <f t="shared" si="430"/>
        <v>2.6785000000000001</v>
      </c>
      <c r="AZ320" s="301">
        <f t="shared" si="430"/>
        <v>2.6785000000000001</v>
      </c>
      <c r="BA320" s="301">
        <f t="shared" si="430"/>
        <v>2.6785000000000001</v>
      </c>
      <c r="BB320" s="301">
        <f t="shared" si="430"/>
        <v>2.6785000000000001</v>
      </c>
      <c r="BC320" s="301">
        <f t="shared" si="430"/>
        <v>2.6785000000000001</v>
      </c>
      <c r="BD320" s="187"/>
      <c r="BE320" s="187">
        <f t="shared" si="398"/>
        <v>286</v>
      </c>
      <c r="BF320" s="187">
        <f t="shared" si="399"/>
        <v>286</v>
      </c>
      <c r="BG320" s="187"/>
      <c r="BH320" s="187"/>
      <c r="BI320" s="187"/>
      <c r="BJ320" s="187">
        <f t="shared" si="376"/>
        <v>286</v>
      </c>
      <c r="BK320" s="187">
        <f t="shared" si="377"/>
        <v>286</v>
      </c>
      <c r="BL320" s="187"/>
      <c r="BM320" s="187"/>
      <c r="BN320" s="188"/>
      <c r="BO320" s="188">
        <f t="shared" si="378"/>
        <v>8945222</v>
      </c>
      <c r="BP320" s="188">
        <f t="shared" si="379"/>
        <v>13290134</v>
      </c>
      <c r="BQ320" s="188">
        <f t="shared" si="380"/>
        <v>0</v>
      </c>
      <c r="BR320" s="188">
        <f t="shared" si="381"/>
        <v>0</v>
      </c>
      <c r="BS320" s="188">
        <f t="shared" si="364"/>
        <v>22235356</v>
      </c>
      <c r="BT320" s="188">
        <f t="shared" si="365"/>
        <v>0</v>
      </c>
      <c r="BU320" s="188">
        <f t="shared" si="366"/>
        <v>8945222</v>
      </c>
      <c r="BV320" s="188">
        <f t="shared" si="367"/>
        <v>13290134</v>
      </c>
      <c r="BW320" s="188">
        <f t="shared" si="368"/>
        <v>0</v>
      </c>
      <c r="BX320" s="188">
        <f t="shared" si="369"/>
        <v>0</v>
      </c>
      <c r="BY320" s="188">
        <f t="shared" si="370"/>
        <v>22235356</v>
      </c>
      <c r="BZ320" s="305">
        <f>IF(COT_PRECALCULOS!$D$24="Precios Iva Incluído",BI320,BD320)</f>
        <v>0</v>
      </c>
      <c r="CA320" s="305">
        <f>IF(COT_PRECALCULOS!$D$24="Precios Iva Incluído",BJ320,BE320)</f>
        <v>286</v>
      </c>
      <c r="CB320" s="305">
        <f>IF(COT_PRECALCULOS!$D$24="Precios Iva Incluído",BK320,BF320)</f>
        <v>286</v>
      </c>
      <c r="CC320" s="305">
        <f>IF(COT_PRECALCULOS!$D$24="Precios Iva Incluído",BL320,BG320)</f>
        <v>0</v>
      </c>
      <c r="CD320" s="305">
        <f>IF(COT_PRECALCULOS!$D$24="Precios Iva Incluído",BM320,BH320)</f>
        <v>0</v>
      </c>
      <c r="CE320" s="305">
        <f>IF(COT_PRECALCULOS!$D$24="Precios Iva Incluído",BT320,BN320)</f>
        <v>0</v>
      </c>
      <c r="CF320" s="305">
        <f>IF(COT_PRECALCULOS!$D$24="Precios Iva Incluído",BU320,BO320)</f>
        <v>8945222</v>
      </c>
      <c r="CG320" s="305">
        <f>IF(COT_PRECALCULOS!$D$24="Precios Iva Incluído",BV320,BP320)</f>
        <v>13290134</v>
      </c>
      <c r="CH320" s="305">
        <f>IF(COT_PRECALCULOS!$D$24="Precios Iva Incluído",BW320,BQ320)</f>
        <v>0</v>
      </c>
      <c r="CI320" s="305">
        <f>IF(COT_PRECALCULOS!$D$24="Precios Iva Incluído",BX320,BR320)</f>
        <v>0</v>
      </c>
    </row>
    <row r="321" spans="1:87">
      <c r="A321" s="182" t="s">
        <v>102</v>
      </c>
      <c r="B321" s="182" t="s">
        <v>126</v>
      </c>
      <c r="C321" s="189" t="str">
        <f t="shared" si="358"/>
        <v>F_SE15</v>
      </c>
      <c r="D321" s="189" t="str">
        <f t="shared" si="359"/>
        <v>69_S_</v>
      </c>
      <c r="E321" s="211" t="s">
        <v>1</v>
      </c>
      <c r="F321" s="211" t="s">
        <v>1</v>
      </c>
      <c r="G321" s="189" t="s">
        <v>44</v>
      </c>
      <c r="H321" s="211"/>
      <c r="I321" s="211" t="s">
        <v>68</v>
      </c>
      <c r="J321" s="211">
        <v>69</v>
      </c>
      <c r="K321" s="211" t="s">
        <v>70</v>
      </c>
      <c r="L321" s="189" t="s">
        <v>9</v>
      </c>
      <c r="M321" s="211">
        <v>100</v>
      </c>
      <c r="N321" s="211">
        <v>100</v>
      </c>
      <c r="O321" s="211">
        <v>100</v>
      </c>
      <c r="P321" s="211"/>
      <c r="Q321" s="211"/>
      <c r="R321" s="211"/>
      <c r="S321" s="183">
        <f t="shared" si="425"/>
        <v>1</v>
      </c>
      <c r="T321" s="385">
        <f>$S321</f>
        <v>1</v>
      </c>
      <c r="U321" s="385">
        <f t="shared" si="426"/>
        <v>1</v>
      </c>
      <c r="V321" s="385">
        <f t="shared" si="426"/>
        <v>1</v>
      </c>
      <c r="W321" s="387"/>
      <c r="X321" s="387"/>
      <c r="Y321" s="184">
        <f t="shared" si="371"/>
        <v>28053</v>
      </c>
      <c r="Z321" s="184">
        <f t="shared" si="427"/>
        <v>31277</v>
      </c>
      <c r="AA321" s="184">
        <f t="shared" si="428"/>
        <v>46469</v>
      </c>
      <c r="AB321" s="184">
        <f t="shared" si="422"/>
        <v>0</v>
      </c>
      <c r="AC321" s="184">
        <f t="shared" si="423"/>
        <v>0</v>
      </c>
      <c r="AD321" s="184">
        <f t="shared" si="372"/>
        <v>105799</v>
      </c>
      <c r="AE321" s="183">
        <f t="shared" si="408"/>
        <v>0</v>
      </c>
      <c r="AF321" s="385">
        <f>$AE321</f>
        <v>0</v>
      </c>
      <c r="AG321" s="385">
        <f t="shared" si="424"/>
        <v>0</v>
      </c>
      <c r="AH321" s="385">
        <f t="shared" si="424"/>
        <v>0</v>
      </c>
      <c r="AI321" s="185">
        <f t="shared" si="373"/>
        <v>74</v>
      </c>
      <c r="AJ321" s="185">
        <f t="shared" si="410"/>
        <v>433</v>
      </c>
      <c r="AK321" s="185">
        <f t="shared" si="411"/>
        <v>683</v>
      </c>
      <c r="AL321" s="185">
        <f t="shared" si="374"/>
        <v>1190</v>
      </c>
      <c r="AM321" s="173">
        <f t="shared" si="429"/>
        <v>28053</v>
      </c>
      <c r="AN321" s="173">
        <f t="shared" si="396"/>
        <v>31277</v>
      </c>
      <c r="AO321" s="173">
        <f t="shared" si="397"/>
        <v>46469</v>
      </c>
      <c r="AP321" s="173">
        <f t="shared" si="360"/>
        <v>0</v>
      </c>
      <c r="AQ321" s="173">
        <f t="shared" si="361"/>
        <v>0</v>
      </c>
      <c r="AR321" s="173">
        <f t="shared" si="362"/>
        <v>105799</v>
      </c>
      <c r="AS321" s="186" t="s">
        <v>1371</v>
      </c>
      <c r="AT321" s="300">
        <f t="shared" ref="AT321:AX323" si="431">IF(ISERROR(IF(ISERROR(MATCH(CONCATENATE($J321,"_",AT$1),COT_PRE_CODIGO_ALIMENTOS,0)),IF(ISERROR(MATCH(CONCATENATE($J321,"_",AT$2),COT_PRE_CODIGO_ALIMENTOS,0)),IF(ISERROR(MATCH(CONCATENATE($J321,"_",AT$3),COT_PRE_CODIGO_ALIMENTOS,0)),IF(ISERROR(MATCH(CONCATENATE($J321,"_",AT$4),COT_PRE_CODIGO_ALIMENTOS,0)),IF(ISERROR(MATCH(CONCATENATE($J321,"_",AT$5),COT_PRE_CODIGO_ALIMENTOS,0)),IF(ISERROR(MATCH(CONCATENATE($J321,"_",AT$6),COT_PRE_CODIGO_ALIMENTOS,0)),IF(ISERROR(MATCH(CONCATENATE($J321,"_",AT$7),COT_PRE_CODIGO_ALIMENTOS,0)),IF(ISERROR(VLOOKUP($J321,COT_PRE_ALIMENTOS,AT$8,FALSE)),"DATO NO DISPONIBLE",VLOOKUP($J321,COT_PRE_ALIMENTOS,AT$8,FALSE)),VLOOKUP(CONCATENATE($J321,"_",AT$7),COT_PRE_ALIMENTOS,AT$8,FALSE)),VLOOKUP(CONCATENATE($J321,"_",AT$6),COT_PRE_ALIMENTOS,AT$8,FALSE)),VLOOKUP(CONCATENATE($J321,"_",AT$5),COT_PRE_ALIMENTOS,AT$8,FALSE)),VLOOKUP(CONCATENATE($J321,"_",AT$4),COT_PRE_ALIMENTOS,AT$8,FALSE)),VLOOKUP(CONCATENATE($J321,"_",AT$3),COT_PRE_ALIMENTOS,AT$8,FALSE)),VLOOKUP(CONCATENATE($J321,"_",AT$2),COT_PRE_ALIMENTOS,AT$8,FALSE)),VLOOKUP(CONCATENATE($J321,"_",AT$1),COT_PRE_ALIMENTOS,AT$8,FALSE))),"DATO NO DISPONIBLE",IF(ISERROR(MATCH(CONCATENATE($J321,"_",AT$1),COT_PRE_CODIGO_ALIMENTOS,0)),IF(ISERROR(MATCH(CONCATENATE($J321,"_",AT$2),COT_PRE_CODIGO_ALIMENTOS,0)),IF(ISERROR(MATCH(CONCATENATE($J321,"_",AT$3),COT_PRE_CODIGO_ALIMENTOS,0)),IF(ISERROR(MATCH(CONCATENATE($J321,"_",AT$4),COT_PRE_CODIGO_ALIMENTOS,0)),IF(ISERROR(MATCH(CONCATENATE($J321,"_",AT$5),COT_PRE_CODIGO_ALIMENTOS,0)),IF(ISERROR(MATCH(CONCATENATE($J321,"_",AT$6),COT_PRE_CODIGO_ALIMENTOS,0)),IF(ISERROR(MATCH(CONCATENATE($J321,"_",AT$7),COT_PRE_CODIGO_ALIMENTOS,0)),IF(ISERROR(VLOOKUP($J321,COT_PRE_ALIMENTOS,AT$8,FALSE)),"DATO NO DISPONIBLE",VLOOKUP($J321,COT_PRE_ALIMENTOS,AT$8,FALSE)),VLOOKUP(CONCATENATE($J321,"_",AT$7),COT_PRE_ALIMENTOS,AT$8,FALSE)),VLOOKUP(CONCATENATE($J321,"_",AT$6),COT_PRE_ALIMENTOS,AT$8,FALSE)),VLOOKUP(CONCATENATE($J321,"_",AT$5),COT_PRE_ALIMENTOS,AT$8,FALSE)),VLOOKUP(CONCATENATE($J321,"_",AT$4),COT_PRE_ALIMENTOS,AT$8,FALSE)),VLOOKUP(CONCATENATE($J321,"_",AT$3),COT_PRE_ALIMENTOS,AT$8,FALSE)),VLOOKUP(CONCATENATE($J321,"_",AT$2),COT_PRE_ALIMENTOS,AT$8,FALSE)),VLOOKUP(CONCATENATE($J321,"_",AT$1),COT_PRE_ALIMENTOS,AT$8,FALSE)))</f>
        <v>2.8519999999999999</v>
      </c>
      <c r="AU321" s="300">
        <f t="shared" si="431"/>
        <v>2.8519999999999999</v>
      </c>
      <c r="AV321" s="300">
        <f t="shared" si="431"/>
        <v>2.8519999999999999</v>
      </c>
      <c r="AW321" s="300">
        <f t="shared" si="431"/>
        <v>2.8519999999999999</v>
      </c>
      <c r="AX321" s="300">
        <f t="shared" si="431"/>
        <v>2.8519999999999999</v>
      </c>
      <c r="AY321" s="301">
        <f t="shared" si="430"/>
        <v>2.8519999999999999</v>
      </c>
      <c r="AZ321" s="301">
        <f t="shared" si="430"/>
        <v>2.8519999999999999</v>
      </c>
      <c r="BA321" s="301">
        <f t="shared" si="430"/>
        <v>2.8519999999999999</v>
      </c>
      <c r="BB321" s="301">
        <f t="shared" si="430"/>
        <v>2.8519999999999999</v>
      </c>
      <c r="BC321" s="301">
        <f t="shared" si="430"/>
        <v>2.8519999999999999</v>
      </c>
      <c r="BD321" s="187">
        <f>ROUND(IF(OR(M321=0,AT321="DATO NO DISPONIBLE"),"",AT321*M321*($BD$7+1)),0)</f>
        <v>305</v>
      </c>
      <c r="BE321" s="187">
        <f t="shared" si="398"/>
        <v>305</v>
      </c>
      <c r="BF321" s="187">
        <f t="shared" si="399"/>
        <v>305</v>
      </c>
      <c r="BG321" s="187"/>
      <c r="BH321" s="187"/>
      <c r="BI321" s="187">
        <f>ROUND(IF(OR(M321=0,AY321="DATO NO DISPONIBLE"),0,AY321*M321*($BD$7+1)),0)</f>
        <v>305</v>
      </c>
      <c r="BJ321" s="187">
        <f t="shared" si="376"/>
        <v>305</v>
      </c>
      <c r="BK321" s="187">
        <f t="shared" si="377"/>
        <v>305</v>
      </c>
      <c r="BL321" s="187"/>
      <c r="BM321" s="187"/>
      <c r="BN321" s="188">
        <f>BD321*AM321</f>
        <v>8556165</v>
      </c>
      <c r="BO321" s="188">
        <f t="shared" si="378"/>
        <v>9539485</v>
      </c>
      <c r="BP321" s="188">
        <f t="shared" si="379"/>
        <v>14173045</v>
      </c>
      <c r="BQ321" s="188">
        <f t="shared" si="380"/>
        <v>0</v>
      </c>
      <c r="BR321" s="188">
        <f t="shared" si="381"/>
        <v>0</v>
      </c>
      <c r="BS321" s="188">
        <f t="shared" si="364"/>
        <v>32268695</v>
      </c>
      <c r="BT321" s="188">
        <f t="shared" si="365"/>
        <v>8556165</v>
      </c>
      <c r="BU321" s="188">
        <f t="shared" si="366"/>
        <v>9539485</v>
      </c>
      <c r="BV321" s="188">
        <f t="shared" si="367"/>
        <v>14173045</v>
      </c>
      <c r="BW321" s="188">
        <f t="shared" si="368"/>
        <v>0</v>
      </c>
      <c r="BX321" s="188">
        <f t="shared" si="369"/>
        <v>0</v>
      </c>
      <c r="BY321" s="188">
        <f t="shared" si="370"/>
        <v>32268695</v>
      </c>
      <c r="BZ321" s="305">
        <f>IF(COT_PRECALCULOS!$D$24="Precios Iva Incluído",BI321,BD321)</f>
        <v>305</v>
      </c>
      <c r="CA321" s="305">
        <f>IF(COT_PRECALCULOS!$D$24="Precios Iva Incluído",BJ321,BE321)</f>
        <v>305</v>
      </c>
      <c r="CB321" s="305">
        <f>IF(COT_PRECALCULOS!$D$24="Precios Iva Incluído",BK321,BF321)</f>
        <v>305</v>
      </c>
      <c r="CC321" s="305">
        <f>IF(COT_PRECALCULOS!$D$24="Precios Iva Incluído",BL321,BG321)</f>
        <v>0</v>
      </c>
      <c r="CD321" s="305">
        <f>IF(COT_PRECALCULOS!$D$24="Precios Iva Incluído",BM321,BH321)</f>
        <v>0</v>
      </c>
      <c r="CE321" s="305">
        <f>IF(COT_PRECALCULOS!$D$24="Precios Iva Incluído",BT321,BN321)</f>
        <v>8556165</v>
      </c>
      <c r="CF321" s="305">
        <f>IF(COT_PRECALCULOS!$D$24="Precios Iva Incluído",BU321,BO321)</f>
        <v>9539485</v>
      </c>
      <c r="CG321" s="305">
        <f>IF(COT_PRECALCULOS!$D$24="Precios Iva Incluído",BV321,BP321)</f>
        <v>14173045</v>
      </c>
      <c r="CH321" s="305">
        <f>IF(COT_PRECALCULOS!$D$24="Precios Iva Incluído",BW321,BQ321)</f>
        <v>0</v>
      </c>
      <c r="CI321" s="305">
        <f>IF(COT_PRECALCULOS!$D$24="Precios Iva Incluído",BX321,BR321)</f>
        <v>0</v>
      </c>
    </row>
    <row r="322" spans="1:87">
      <c r="A322" s="182" t="s">
        <v>102</v>
      </c>
      <c r="B322" s="182" t="s">
        <v>126</v>
      </c>
      <c r="C322" s="189" t="str">
        <f t="shared" si="358"/>
        <v>F_SE15</v>
      </c>
      <c r="D322" s="189" t="str">
        <f t="shared" si="359"/>
        <v>70_S_</v>
      </c>
      <c r="E322" s="211" t="s">
        <v>1</v>
      </c>
      <c r="F322" s="211" t="s">
        <v>1</v>
      </c>
      <c r="G322" s="189" t="s">
        <v>44</v>
      </c>
      <c r="H322" s="211"/>
      <c r="I322" s="211" t="s">
        <v>69</v>
      </c>
      <c r="J322" s="211">
        <v>70</v>
      </c>
      <c r="K322" s="211" t="s">
        <v>71</v>
      </c>
      <c r="L322" s="189" t="s">
        <v>9</v>
      </c>
      <c r="M322" s="386">
        <v>0</v>
      </c>
      <c r="N322" s="211">
        <v>100</v>
      </c>
      <c r="O322" s="211">
        <v>100</v>
      </c>
      <c r="P322" s="211"/>
      <c r="Q322" s="211"/>
      <c r="R322" s="211" t="s">
        <v>73</v>
      </c>
      <c r="S322" s="183">
        <f t="shared" si="425"/>
        <v>2</v>
      </c>
      <c r="T322" s="386">
        <v>0</v>
      </c>
      <c r="U322" s="385">
        <f t="shared" si="426"/>
        <v>2</v>
      </c>
      <c r="V322" s="385">
        <f t="shared" si="426"/>
        <v>2</v>
      </c>
      <c r="W322" s="387"/>
      <c r="X322" s="387"/>
      <c r="Y322" s="184">
        <f t="shared" si="371"/>
        <v>0</v>
      </c>
      <c r="Z322" s="184">
        <f t="shared" si="427"/>
        <v>31277</v>
      </c>
      <c r="AA322" s="184">
        <f t="shared" si="428"/>
        <v>46469</v>
      </c>
      <c r="AB322" s="184">
        <f t="shared" si="422"/>
        <v>0</v>
      </c>
      <c r="AC322" s="184">
        <f t="shared" si="423"/>
        <v>0</v>
      </c>
      <c r="AD322" s="184">
        <f t="shared" si="372"/>
        <v>77746</v>
      </c>
      <c r="AE322" s="183">
        <f t="shared" si="408"/>
        <v>0</v>
      </c>
      <c r="AF322" s="386">
        <v>0</v>
      </c>
      <c r="AG322" s="385">
        <f t="shared" si="424"/>
        <v>0</v>
      </c>
      <c r="AH322" s="385">
        <f t="shared" si="424"/>
        <v>0</v>
      </c>
      <c r="AI322" s="185">
        <f t="shared" si="373"/>
        <v>0</v>
      </c>
      <c r="AJ322" s="185">
        <f t="shared" si="410"/>
        <v>433</v>
      </c>
      <c r="AK322" s="185">
        <f t="shared" si="411"/>
        <v>683</v>
      </c>
      <c r="AL322" s="185">
        <f t="shared" si="374"/>
        <v>1116</v>
      </c>
      <c r="AM322" s="173">
        <v>0</v>
      </c>
      <c r="AN322" s="173">
        <f t="shared" si="396"/>
        <v>62554</v>
      </c>
      <c r="AO322" s="173">
        <f t="shared" si="397"/>
        <v>92938</v>
      </c>
      <c r="AP322" s="173">
        <f t="shared" si="360"/>
        <v>0</v>
      </c>
      <c r="AQ322" s="173">
        <f t="shared" si="361"/>
        <v>0</v>
      </c>
      <c r="AR322" s="173">
        <f t="shared" si="362"/>
        <v>155492</v>
      </c>
      <c r="AS322" s="186" t="s">
        <v>1371</v>
      </c>
      <c r="AT322" s="300">
        <f t="shared" si="431"/>
        <v>4.0575000000000001</v>
      </c>
      <c r="AU322" s="300">
        <f t="shared" si="431"/>
        <v>4.0575000000000001</v>
      </c>
      <c r="AV322" s="300">
        <f t="shared" si="431"/>
        <v>4.0575000000000001</v>
      </c>
      <c r="AW322" s="300">
        <f t="shared" si="431"/>
        <v>4.0575000000000001</v>
      </c>
      <c r="AX322" s="300">
        <f t="shared" si="431"/>
        <v>4.0575000000000001</v>
      </c>
      <c r="AY322" s="301">
        <f t="shared" si="430"/>
        <v>4.0575000000000001</v>
      </c>
      <c r="AZ322" s="301">
        <f t="shared" si="430"/>
        <v>4.0575000000000001</v>
      </c>
      <c r="BA322" s="301">
        <f t="shared" si="430"/>
        <v>4.0575000000000001</v>
      </c>
      <c r="BB322" s="301">
        <f t="shared" si="430"/>
        <v>4.0575000000000001</v>
      </c>
      <c r="BC322" s="301">
        <f t="shared" si="430"/>
        <v>4.0575000000000001</v>
      </c>
      <c r="BD322" s="187"/>
      <c r="BE322" s="187">
        <f t="shared" si="398"/>
        <v>434</v>
      </c>
      <c r="BF322" s="187">
        <f t="shared" si="399"/>
        <v>434</v>
      </c>
      <c r="BG322" s="187"/>
      <c r="BH322" s="187"/>
      <c r="BI322" s="187"/>
      <c r="BJ322" s="187">
        <f t="shared" si="376"/>
        <v>434</v>
      </c>
      <c r="BK322" s="187">
        <f t="shared" si="377"/>
        <v>434</v>
      </c>
      <c r="BL322" s="187"/>
      <c r="BM322" s="187"/>
      <c r="BN322" s="188"/>
      <c r="BO322" s="188">
        <f t="shared" si="378"/>
        <v>27148436</v>
      </c>
      <c r="BP322" s="188">
        <f t="shared" si="379"/>
        <v>40335092</v>
      </c>
      <c r="BQ322" s="188">
        <f t="shared" si="380"/>
        <v>0</v>
      </c>
      <c r="BR322" s="188">
        <f t="shared" si="381"/>
        <v>0</v>
      </c>
      <c r="BS322" s="188">
        <f t="shared" si="364"/>
        <v>67483528</v>
      </c>
      <c r="BT322" s="188">
        <f t="shared" si="365"/>
        <v>0</v>
      </c>
      <c r="BU322" s="188">
        <f t="shared" si="366"/>
        <v>27148436</v>
      </c>
      <c r="BV322" s="188">
        <f t="shared" si="367"/>
        <v>40335092</v>
      </c>
      <c r="BW322" s="188">
        <f t="shared" si="368"/>
        <v>0</v>
      </c>
      <c r="BX322" s="188">
        <f t="shared" si="369"/>
        <v>0</v>
      </c>
      <c r="BY322" s="188">
        <f t="shared" si="370"/>
        <v>67483528</v>
      </c>
      <c r="BZ322" s="305">
        <f>IF(COT_PRECALCULOS!$D$24="Precios Iva Incluído",BI322,BD322)</f>
        <v>0</v>
      </c>
      <c r="CA322" s="305">
        <f>IF(COT_PRECALCULOS!$D$24="Precios Iva Incluído",BJ322,BE322)</f>
        <v>434</v>
      </c>
      <c r="CB322" s="305">
        <f>IF(COT_PRECALCULOS!$D$24="Precios Iva Incluído",BK322,BF322)</f>
        <v>434</v>
      </c>
      <c r="CC322" s="305">
        <f>IF(COT_PRECALCULOS!$D$24="Precios Iva Incluído",BL322,BG322)</f>
        <v>0</v>
      </c>
      <c r="CD322" s="305">
        <f>IF(COT_PRECALCULOS!$D$24="Precios Iva Incluído",BM322,BH322)</f>
        <v>0</v>
      </c>
      <c r="CE322" s="305">
        <f>IF(COT_PRECALCULOS!$D$24="Precios Iva Incluído",BT322,BN322)</f>
        <v>0</v>
      </c>
      <c r="CF322" s="305">
        <f>IF(COT_PRECALCULOS!$D$24="Precios Iva Incluído",BU322,BO322)</f>
        <v>27148436</v>
      </c>
      <c r="CG322" s="305">
        <f>IF(COT_PRECALCULOS!$D$24="Precios Iva Incluído",BV322,BP322)</f>
        <v>40335092</v>
      </c>
      <c r="CH322" s="305">
        <f>IF(COT_PRECALCULOS!$D$24="Precios Iva Incluído",BW322,BQ322)</f>
        <v>0</v>
      </c>
      <c r="CI322" s="305">
        <f>IF(COT_PRECALCULOS!$D$24="Precios Iva Incluído",BX322,BR322)</f>
        <v>0</v>
      </c>
    </row>
    <row r="323" spans="1:87">
      <c r="A323" s="182" t="s">
        <v>102</v>
      </c>
      <c r="B323" s="182" t="s">
        <v>126</v>
      </c>
      <c r="C323" s="189" t="str">
        <f t="shared" si="358"/>
        <v>F_SE15</v>
      </c>
      <c r="D323" s="189" t="str">
        <f t="shared" si="359"/>
        <v>36_S_</v>
      </c>
      <c r="E323" s="211" t="s">
        <v>1</v>
      </c>
      <c r="F323" s="211" t="s">
        <v>1</v>
      </c>
      <c r="G323" s="189" t="s">
        <v>44</v>
      </c>
      <c r="H323" s="211"/>
      <c r="I323" s="211" t="s">
        <v>1340</v>
      </c>
      <c r="J323" s="211">
        <v>36</v>
      </c>
      <c r="K323" s="211" t="s">
        <v>1340</v>
      </c>
      <c r="L323" s="189" t="s">
        <v>9</v>
      </c>
      <c r="M323" s="211">
        <v>20</v>
      </c>
      <c r="N323" s="211">
        <v>40</v>
      </c>
      <c r="O323" s="211">
        <v>40</v>
      </c>
      <c r="P323" s="211"/>
      <c r="Q323" s="211"/>
      <c r="R323" s="211"/>
      <c r="S323" s="183">
        <f t="shared" si="425"/>
        <v>1</v>
      </c>
      <c r="T323" s="385">
        <f t="shared" ref="T323" si="432">$S323</f>
        <v>1</v>
      </c>
      <c r="U323" s="385">
        <f t="shared" si="426"/>
        <v>1</v>
      </c>
      <c r="V323" s="385">
        <f t="shared" si="426"/>
        <v>1</v>
      </c>
      <c r="W323" s="387"/>
      <c r="X323" s="387"/>
      <c r="Y323" s="184">
        <f t="shared" si="371"/>
        <v>28053</v>
      </c>
      <c r="Z323" s="184">
        <f t="shared" si="427"/>
        <v>31277</v>
      </c>
      <c r="AA323" s="184">
        <f t="shared" si="428"/>
        <v>46469</v>
      </c>
      <c r="AB323" s="184">
        <f t="shared" si="422"/>
        <v>0</v>
      </c>
      <c r="AC323" s="184">
        <f t="shared" si="423"/>
        <v>0</v>
      </c>
      <c r="AD323" s="184">
        <f t="shared" si="372"/>
        <v>105799</v>
      </c>
      <c r="AE323" s="183">
        <f t="shared" si="408"/>
        <v>0</v>
      </c>
      <c r="AF323" s="385">
        <f t="shared" ref="AF323" si="433">$AE323</f>
        <v>0</v>
      </c>
      <c r="AG323" s="385">
        <f t="shared" si="424"/>
        <v>0</v>
      </c>
      <c r="AH323" s="385">
        <f t="shared" si="424"/>
        <v>0</v>
      </c>
      <c r="AI323" s="185">
        <f t="shared" si="373"/>
        <v>74</v>
      </c>
      <c r="AJ323" s="185">
        <f t="shared" si="410"/>
        <v>433</v>
      </c>
      <c r="AK323" s="185">
        <f t="shared" si="411"/>
        <v>683</v>
      </c>
      <c r="AL323" s="185">
        <f t="shared" si="374"/>
        <v>1190</v>
      </c>
      <c r="AM323" s="173">
        <f t="shared" ref="AM323" si="434">($S323*Y323)+($AE323*AI323)</f>
        <v>28053</v>
      </c>
      <c r="AN323" s="173">
        <f t="shared" si="396"/>
        <v>31277</v>
      </c>
      <c r="AO323" s="173">
        <f t="shared" si="397"/>
        <v>46469</v>
      </c>
      <c r="AP323" s="173">
        <f t="shared" si="360"/>
        <v>0</v>
      </c>
      <c r="AQ323" s="173">
        <f t="shared" si="361"/>
        <v>0</v>
      </c>
      <c r="AR323" s="173">
        <f t="shared" si="362"/>
        <v>105799</v>
      </c>
      <c r="AS323" s="186" t="s">
        <v>1371</v>
      </c>
      <c r="AT323" s="300">
        <f t="shared" si="431"/>
        <v>5.9</v>
      </c>
      <c r="AU323" s="300">
        <f t="shared" si="431"/>
        <v>5.9</v>
      </c>
      <c r="AV323" s="300">
        <f t="shared" si="431"/>
        <v>5.9</v>
      </c>
      <c r="AW323" s="300">
        <f t="shared" si="431"/>
        <v>5.9</v>
      </c>
      <c r="AX323" s="300">
        <f t="shared" si="431"/>
        <v>5.9</v>
      </c>
      <c r="AY323" s="301">
        <f t="shared" si="430"/>
        <v>5.9</v>
      </c>
      <c r="AZ323" s="301">
        <f t="shared" si="430"/>
        <v>5.9</v>
      </c>
      <c r="BA323" s="301">
        <f t="shared" si="430"/>
        <v>5.9</v>
      </c>
      <c r="BB323" s="301">
        <f t="shared" si="430"/>
        <v>5.9</v>
      </c>
      <c r="BC323" s="301">
        <f t="shared" si="430"/>
        <v>5.9</v>
      </c>
      <c r="BD323" s="187">
        <f t="shared" ref="BD323" si="435">ROUND(IF(OR(M323=0,AT323="DATO NO DISPONIBLE"),"",AT323*M323*($BD$7+1)),0)</f>
        <v>126</v>
      </c>
      <c r="BE323" s="187">
        <f t="shared" si="398"/>
        <v>252</v>
      </c>
      <c r="BF323" s="187">
        <f t="shared" si="399"/>
        <v>252</v>
      </c>
      <c r="BG323" s="187"/>
      <c r="BH323" s="187"/>
      <c r="BI323" s="187">
        <f t="shared" ref="BI323" si="436">ROUND(IF(OR(M323=0,AY323="DATO NO DISPONIBLE"),0,AY323*M323*($BD$7+1)),0)</f>
        <v>126</v>
      </c>
      <c r="BJ323" s="187">
        <f t="shared" si="376"/>
        <v>252</v>
      </c>
      <c r="BK323" s="187">
        <f t="shared" si="377"/>
        <v>252</v>
      </c>
      <c r="BL323" s="187"/>
      <c r="BM323" s="187"/>
      <c r="BN323" s="188">
        <f t="shared" ref="BN323" si="437">BD323*AM323</f>
        <v>3534678</v>
      </c>
      <c r="BO323" s="188">
        <f t="shared" si="378"/>
        <v>7881804</v>
      </c>
      <c r="BP323" s="188">
        <f t="shared" si="379"/>
        <v>11710188</v>
      </c>
      <c r="BQ323" s="188">
        <f t="shared" si="380"/>
        <v>0</v>
      </c>
      <c r="BR323" s="188">
        <f t="shared" si="381"/>
        <v>0</v>
      </c>
      <c r="BS323" s="188">
        <f t="shared" si="364"/>
        <v>23126670</v>
      </c>
      <c r="BT323" s="188">
        <f t="shared" si="365"/>
        <v>3534678</v>
      </c>
      <c r="BU323" s="188">
        <f t="shared" si="366"/>
        <v>7881804</v>
      </c>
      <c r="BV323" s="188">
        <f t="shared" si="367"/>
        <v>11710188</v>
      </c>
      <c r="BW323" s="188">
        <f t="shared" si="368"/>
        <v>0</v>
      </c>
      <c r="BX323" s="188">
        <f t="shared" si="369"/>
        <v>0</v>
      </c>
      <c r="BY323" s="188">
        <f t="shared" si="370"/>
        <v>23126670</v>
      </c>
      <c r="BZ323" s="305">
        <f>IF(COT_PRECALCULOS!$D$24="Precios Iva Incluído",BI323,BD323)</f>
        <v>126</v>
      </c>
      <c r="CA323" s="305">
        <f>IF(COT_PRECALCULOS!$D$24="Precios Iva Incluído",BJ323,BE323)</f>
        <v>252</v>
      </c>
      <c r="CB323" s="305">
        <f>IF(COT_PRECALCULOS!$D$24="Precios Iva Incluído",BK323,BF323)</f>
        <v>252</v>
      </c>
      <c r="CC323" s="305">
        <f>IF(COT_PRECALCULOS!$D$24="Precios Iva Incluído",BL323,BG323)</f>
        <v>0</v>
      </c>
      <c r="CD323" s="305">
        <f>IF(COT_PRECALCULOS!$D$24="Precios Iva Incluído",BM323,BH323)</f>
        <v>0</v>
      </c>
      <c r="CE323" s="305">
        <f>IF(COT_PRECALCULOS!$D$24="Precios Iva Incluído",BT323,BN323)</f>
        <v>3534678</v>
      </c>
      <c r="CF323" s="305">
        <f>IF(COT_PRECALCULOS!$D$24="Precios Iva Incluído",BU323,BO323)</f>
        <v>7881804</v>
      </c>
      <c r="CG323" s="305">
        <f>IF(COT_PRECALCULOS!$D$24="Precios Iva Incluído",BV323,BP323)</f>
        <v>11710188</v>
      </c>
      <c r="CH323" s="305">
        <f>IF(COT_PRECALCULOS!$D$24="Precios Iva Incluído",BW323,BQ323)</f>
        <v>0</v>
      </c>
      <c r="CI323" s="305">
        <f>IF(COT_PRECALCULOS!$D$24="Precios Iva Incluído",BX323,BR323)</f>
        <v>0</v>
      </c>
    </row>
    <row r="324" spans="1:87">
      <c r="G324" s="2"/>
      <c r="BT324" s="225"/>
      <c r="CE324" s="225"/>
    </row>
    <row r="325" spans="1:87">
      <c r="G325" s="2"/>
      <c r="CE325" s="225"/>
    </row>
    <row r="326" spans="1:87">
      <c r="G326" s="2"/>
      <c r="BS326" s="83"/>
    </row>
    <row r="327" spans="1:87">
      <c r="G327" s="2"/>
      <c r="BS327" s="83"/>
    </row>
    <row r="328" spans="1:87">
      <c r="G328" s="2"/>
      <c r="BS328" s="83"/>
    </row>
    <row r="329" spans="1:87">
      <c r="G329" s="2"/>
      <c r="BS329" s="83"/>
    </row>
    <row r="330" spans="1:87">
      <c r="G330" s="2"/>
      <c r="BS330" s="83"/>
    </row>
    <row r="331" spans="1:87">
      <c r="G331" s="2"/>
      <c r="BS331" s="83"/>
    </row>
    <row r="332" spans="1:87">
      <c r="G332" s="2"/>
      <c r="BS332" s="83"/>
    </row>
    <row r="333" spans="1:87">
      <c r="G333" s="2"/>
      <c r="BS333" s="83"/>
    </row>
    <row r="334" spans="1:87">
      <c r="G334" s="2"/>
    </row>
    <row r="335" spans="1:87">
      <c r="G335" s="2"/>
    </row>
    <row r="336" spans="1:87">
      <c r="G336" s="2"/>
    </row>
    <row r="337" spans="7:7">
      <c r="G337" s="2"/>
    </row>
    <row r="338" spans="7:7">
      <c r="G338" s="2"/>
    </row>
    <row r="339" spans="7:7">
      <c r="G339" s="2"/>
    </row>
    <row r="340" spans="7:7">
      <c r="G340" s="2"/>
    </row>
    <row r="341" spans="7:7">
      <c r="G341" s="2"/>
    </row>
    <row r="342" spans="7:7">
      <c r="G342" s="2"/>
    </row>
    <row r="343" spans="7:7">
      <c r="G343" s="2"/>
    </row>
    <row r="344" spans="7:7">
      <c r="G344" s="2"/>
    </row>
    <row r="345" spans="7:7">
      <c r="G345" s="2"/>
    </row>
    <row r="346" spans="7:7">
      <c r="G346" s="2"/>
    </row>
    <row r="347" spans="7:7">
      <c r="G347" s="2"/>
    </row>
    <row r="348" spans="7:7">
      <c r="G348" s="2"/>
    </row>
    <row r="349" spans="7:7">
      <c r="G349" s="2"/>
    </row>
    <row r="350" spans="7:7">
      <c r="G350" s="2"/>
    </row>
    <row r="351" spans="7:7">
      <c r="G351" s="2"/>
    </row>
    <row r="352" spans="7:7">
      <c r="G352" s="2"/>
    </row>
    <row r="353" spans="7:7">
      <c r="G353" s="2"/>
    </row>
    <row r="354" spans="7:7">
      <c r="G354" s="2"/>
    </row>
    <row r="355" spans="7:7">
      <c r="G355" s="2"/>
    </row>
    <row r="356" spans="7:7">
      <c r="G356" s="2"/>
    </row>
    <row r="357" spans="7:7">
      <c r="G357" s="2"/>
    </row>
    <row r="358" spans="7:7">
      <c r="G358" s="2"/>
    </row>
    <row r="359" spans="7:7">
      <c r="G359" s="2"/>
    </row>
  </sheetData>
  <sortState ref="A13:DZ466">
    <sortCondition ref="F13:F466"/>
  </sortState>
  <mergeCells count="22">
    <mergeCell ref="AS9:BY9"/>
    <mergeCell ref="AT10:AX10"/>
    <mergeCell ref="AY10:BC10"/>
    <mergeCell ref="BD10:BH10"/>
    <mergeCell ref="BI10:BM10"/>
    <mergeCell ref="BN10:BS10"/>
    <mergeCell ref="BZ10:CD10"/>
    <mergeCell ref="CE10:CI10"/>
    <mergeCell ref="C2:E2"/>
    <mergeCell ref="AM9:AR9"/>
    <mergeCell ref="A3:Q3"/>
    <mergeCell ref="A4:Q4"/>
    <mergeCell ref="A6:Q6"/>
    <mergeCell ref="M9:Q9"/>
    <mergeCell ref="AI9:AL9"/>
    <mergeCell ref="Y9:AD9"/>
    <mergeCell ref="A7:Q7"/>
    <mergeCell ref="A5:Q5"/>
    <mergeCell ref="AE9:AH9"/>
    <mergeCell ref="S9:X9"/>
    <mergeCell ref="BD7:BM7"/>
    <mergeCell ref="BT10:BY10"/>
  </mergeCells>
  <hyperlinks>
    <hyperlink ref="C2:E2" location="'INDICE_ MODELO'!D10" display="Ir a Índice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L2414"/>
  <sheetViews>
    <sheetView zoomScale="85" zoomScaleNormal="85" workbookViewId="0"/>
  </sheetViews>
  <sheetFormatPr baseColWidth="10" defaultColWidth="0" defaultRowHeight="15" zeroHeight="1"/>
  <cols>
    <col min="1" max="1" width="27" bestFit="1" customWidth="1"/>
    <col min="2" max="2" width="34.42578125" style="227" bestFit="1" customWidth="1"/>
    <col min="3" max="3" width="47.85546875" style="227" bestFit="1" customWidth="1"/>
    <col min="4" max="4" width="11.5703125" customWidth="1"/>
    <col min="5" max="5" width="34.85546875" customWidth="1"/>
    <col min="6" max="6" width="9.42578125" customWidth="1"/>
    <col min="7" max="7" width="15.7109375" style="66" customWidth="1"/>
    <col min="8" max="8" width="10.42578125" customWidth="1"/>
    <col min="9" max="9" width="18.7109375" customWidth="1"/>
    <col min="10" max="10" width="10.85546875" customWidth="1"/>
    <col min="11" max="11" width="74" customWidth="1"/>
    <col min="12" max="12" width="17.42578125" customWidth="1"/>
    <col min="13" max="13" width="12.85546875" customWidth="1"/>
    <col min="14" max="14" width="18.85546875" customWidth="1"/>
    <col min="15" max="15" width="17.5703125" style="227" customWidth="1"/>
    <col min="16" max="16" width="16.5703125" style="66" customWidth="1"/>
    <col min="17" max="17" width="13.42578125" style="66" customWidth="1"/>
    <col min="18" max="18" width="11.7109375" customWidth="1"/>
    <col min="19" max="20" width="14.5703125" customWidth="1"/>
    <col min="21" max="21" width="12.42578125" customWidth="1"/>
    <col min="22" max="23" width="14.5703125" customWidth="1"/>
    <col min="24" max="24" width="38" customWidth="1"/>
    <col min="25" max="25" width="25.5703125" customWidth="1"/>
    <col min="26" max="26" width="13.28515625" customWidth="1"/>
    <col min="27" max="27" width="18.42578125" style="227" customWidth="1"/>
    <col min="28" max="28" width="17.42578125" customWidth="1"/>
    <col min="29" max="29" width="16" customWidth="1"/>
    <col min="30" max="30" width="18.28515625" style="227" customWidth="1"/>
    <col min="31" max="31" width="19.5703125" customWidth="1"/>
    <col min="32" max="32" width="37.85546875" customWidth="1"/>
    <col min="33" max="38" width="0" hidden="1" customWidth="1"/>
    <col min="39" max="16384" width="11" hidden="1"/>
  </cols>
  <sheetData>
    <row r="1" spans="1:32" ht="15.75">
      <c r="A1" s="69"/>
      <c r="B1" s="70"/>
      <c r="C1" s="70"/>
      <c r="D1" s="70"/>
      <c r="E1" s="70"/>
      <c r="F1" s="51"/>
      <c r="G1" s="51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2"/>
      <c r="U1" s="72"/>
      <c r="V1" s="72"/>
      <c r="W1" s="72"/>
      <c r="X1" s="51"/>
      <c r="Y1" s="51"/>
      <c r="Z1" s="51"/>
      <c r="AA1" s="51"/>
      <c r="AB1" s="51"/>
      <c r="AC1" s="51"/>
      <c r="AD1" s="51"/>
      <c r="AE1" s="51"/>
      <c r="AF1" s="52"/>
    </row>
    <row r="2" spans="1:32" ht="20.25">
      <c r="A2" s="67"/>
      <c r="B2" s="86"/>
      <c r="C2" s="86"/>
      <c r="D2" s="480" t="s">
        <v>1533</v>
      </c>
      <c r="E2" s="480"/>
      <c r="F2" s="53"/>
      <c r="G2" s="53"/>
      <c r="H2" s="68"/>
      <c r="I2" s="68"/>
      <c r="J2" s="68"/>
      <c r="K2" s="68"/>
      <c r="L2" s="68"/>
      <c r="M2" s="68"/>
      <c r="N2" s="68"/>
      <c r="O2" s="86"/>
      <c r="P2" s="68"/>
      <c r="Q2" s="68"/>
      <c r="R2" s="522"/>
      <c r="S2" s="522"/>
      <c r="T2" s="71"/>
      <c r="U2" s="71"/>
      <c r="V2" s="71"/>
      <c r="W2" s="71"/>
      <c r="X2" s="53"/>
      <c r="Y2" s="53"/>
      <c r="Z2" s="53"/>
      <c r="AA2" s="53"/>
      <c r="AB2" s="53"/>
      <c r="AC2" s="53"/>
      <c r="AD2" s="53"/>
      <c r="AE2" s="53"/>
      <c r="AF2" s="54"/>
    </row>
    <row r="3" spans="1:32" ht="22.5">
      <c r="A3" s="469" t="s">
        <v>1937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317"/>
      <c r="S3" s="317"/>
      <c r="T3" s="307"/>
      <c r="U3" s="307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4"/>
    </row>
    <row r="4" spans="1:32" ht="22.5">
      <c r="A4" s="469" t="s">
        <v>1938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309"/>
      <c r="S4" s="309"/>
      <c r="T4" s="307"/>
      <c r="U4" s="307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4"/>
    </row>
    <row r="5" spans="1:32" ht="23.25">
      <c r="A5" s="469" t="s">
        <v>1939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309"/>
      <c r="S5" s="309"/>
      <c r="T5" s="192"/>
      <c r="U5" s="192"/>
      <c r="V5" s="64"/>
      <c r="W5" s="64"/>
      <c r="X5" s="65"/>
      <c r="Y5" s="65"/>
      <c r="Z5" s="65"/>
      <c r="AA5" s="65"/>
      <c r="AB5" s="65"/>
      <c r="AC5" s="65"/>
      <c r="AD5" s="65"/>
      <c r="AE5" s="65"/>
      <c r="AF5" s="54"/>
    </row>
    <row r="6" spans="1:32" ht="22.5">
      <c r="A6" s="469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309"/>
      <c r="S6" s="309"/>
      <c r="T6" s="307"/>
      <c r="U6" s="307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4"/>
    </row>
    <row r="7" spans="1:32" ht="22.5">
      <c r="A7" s="469" t="str">
        <f>CONCATENATE("CONSOLIDADO DE COTIZACIONES"," : ",RES_RESUMEN_PRESUPUESTO_2!A1)</f>
        <v>CONSOLIDADO DE COTIZACIONES : FRUTA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309"/>
      <c r="S7" s="309"/>
      <c r="T7" s="308"/>
      <c r="U7" s="308"/>
      <c r="V7" s="73"/>
      <c r="W7" s="73"/>
      <c r="X7" s="53"/>
      <c r="Y7" s="53"/>
      <c r="Z7" s="53"/>
      <c r="AA7" s="53"/>
      <c r="AB7" s="53"/>
      <c r="AC7" s="53"/>
      <c r="AD7" s="53"/>
      <c r="AE7" s="53"/>
      <c r="AF7" s="54"/>
    </row>
    <row r="8" spans="1:32" ht="18">
      <c r="A8" s="74"/>
      <c r="B8" s="236"/>
      <c r="C8" s="236"/>
      <c r="D8" s="73"/>
      <c r="E8" s="73"/>
      <c r="F8" s="53"/>
      <c r="G8" s="53"/>
      <c r="H8" s="73"/>
      <c r="I8" s="73"/>
      <c r="J8" s="73"/>
      <c r="K8" s="73"/>
      <c r="L8" s="73"/>
      <c r="M8" s="73"/>
      <c r="N8" s="73"/>
      <c r="O8" s="236"/>
      <c r="P8" s="73"/>
      <c r="Q8" s="73"/>
      <c r="R8" s="309"/>
      <c r="S8" s="309"/>
      <c r="T8" s="308"/>
      <c r="U8" s="308"/>
      <c r="V8" s="73"/>
      <c r="W8" s="73"/>
      <c r="X8" s="53"/>
      <c r="Y8" s="53"/>
      <c r="Z8" s="53"/>
      <c r="AA8" s="53"/>
      <c r="AB8" s="53"/>
      <c r="AC8" s="53"/>
      <c r="AD8" s="53"/>
      <c r="AE8" s="53"/>
      <c r="AF8" s="54"/>
    </row>
    <row r="9" spans="1:32" ht="15.75">
      <c r="A9" s="67"/>
      <c r="B9" s="86"/>
      <c r="C9" s="86"/>
      <c r="D9" s="68"/>
      <c r="E9" s="68"/>
      <c r="F9" s="53"/>
      <c r="G9" s="53"/>
      <c r="H9" s="68"/>
      <c r="I9" s="68"/>
      <c r="J9" s="68"/>
      <c r="K9" s="68"/>
      <c r="L9" s="68"/>
      <c r="M9" s="68"/>
      <c r="N9" s="68"/>
      <c r="O9" s="86"/>
      <c r="P9" s="68"/>
      <c r="Q9" s="68"/>
      <c r="R9" s="77"/>
      <c r="S9" s="77"/>
      <c r="T9" s="192"/>
      <c r="U9" s="192"/>
      <c r="V9" s="71"/>
      <c r="W9" s="71"/>
      <c r="X9" s="53"/>
      <c r="Y9" s="53"/>
      <c r="Z9" s="53"/>
      <c r="AA9" s="53"/>
      <c r="AB9" s="53"/>
      <c r="AC9" s="53"/>
      <c r="AD9" s="53"/>
      <c r="AE9" s="53"/>
      <c r="AF9" s="54"/>
    </row>
    <row r="10" spans="1:32" ht="15.75">
      <c r="A10" s="10"/>
      <c r="B10" s="11"/>
      <c r="C10" s="11"/>
      <c r="D10" s="11"/>
      <c r="E10" s="11"/>
      <c r="F10" s="55"/>
      <c r="G10" s="55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0"/>
      <c r="U10" s="50"/>
      <c r="V10" s="50"/>
      <c r="W10" s="50"/>
      <c r="X10" s="55"/>
      <c r="Y10" s="55"/>
      <c r="Z10" s="55"/>
      <c r="AA10" s="55"/>
      <c r="AB10" s="55"/>
      <c r="AC10" s="55"/>
      <c r="AD10" s="55"/>
      <c r="AE10" s="55"/>
      <c r="AF10" s="56"/>
    </row>
    <row r="11" spans="1:32" ht="5.25" customHeight="1">
      <c r="A11" s="43"/>
      <c r="B11" s="75"/>
      <c r="C11" s="75"/>
      <c r="D11" s="43"/>
      <c r="E11" s="43"/>
      <c r="F11" s="43"/>
      <c r="G11" s="75"/>
      <c r="H11" s="43"/>
      <c r="I11" s="43"/>
      <c r="J11" s="43"/>
      <c r="K11" s="43"/>
      <c r="L11" s="43"/>
      <c r="M11" s="43"/>
      <c r="N11" s="43"/>
      <c r="O11" s="75"/>
      <c r="P11" s="75"/>
      <c r="Q11" s="75"/>
      <c r="R11" s="43"/>
      <c r="S11" s="43"/>
      <c r="T11" s="43"/>
      <c r="U11" s="43"/>
      <c r="V11" s="43"/>
      <c r="W11" s="43"/>
      <c r="X11" s="43"/>
      <c r="Y11" s="43"/>
      <c r="Z11" s="43"/>
      <c r="AA11" s="75"/>
      <c r="AB11" s="43"/>
      <c r="AC11" s="43"/>
      <c r="AD11" s="75"/>
      <c r="AE11" s="43"/>
      <c r="AF11" s="75"/>
    </row>
    <row r="12" spans="1:32" ht="27" customHeight="1">
      <c r="A12" s="61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19" t="s">
        <v>1949</v>
      </c>
      <c r="S12" s="520"/>
      <c r="T12" s="521"/>
      <c r="U12" s="516" t="s">
        <v>1950</v>
      </c>
      <c r="V12" s="517"/>
      <c r="W12" s="518"/>
      <c r="X12" s="59"/>
      <c r="Y12" s="59"/>
      <c r="Z12" s="59"/>
      <c r="AA12" s="59"/>
      <c r="AB12" s="59"/>
      <c r="AC12" s="59"/>
      <c r="AD12" s="59"/>
      <c r="AE12" s="60"/>
      <c r="AF12" s="60"/>
    </row>
    <row r="13" spans="1:32" ht="9" customHeight="1">
      <c r="A13" s="138"/>
      <c r="B13" s="138"/>
      <c r="C13" s="138"/>
      <c r="D13" s="138"/>
      <c r="E13" s="138"/>
      <c r="F13" s="43"/>
      <c r="G13" s="75"/>
      <c r="H13" s="138"/>
      <c r="I13" s="138"/>
      <c r="J13" s="138"/>
      <c r="K13" s="138"/>
      <c r="L13" s="139"/>
      <c r="M13" s="140"/>
      <c r="N13" s="139"/>
      <c r="O13" s="139"/>
      <c r="P13" s="139"/>
      <c r="Q13" s="139"/>
      <c r="R13" s="140"/>
      <c r="S13" s="140"/>
      <c r="T13" s="140"/>
      <c r="U13" s="140"/>
      <c r="V13" s="140"/>
      <c r="W13" s="140"/>
      <c r="X13" s="43"/>
      <c r="Y13" s="43"/>
      <c r="Z13" s="43"/>
      <c r="AA13" s="75"/>
      <c r="AB13" s="43"/>
      <c r="AC13" s="43"/>
      <c r="AD13" s="75"/>
      <c r="AE13" s="43"/>
      <c r="AF13" s="75"/>
    </row>
    <row r="14" spans="1:32" ht="45" customHeight="1">
      <c r="A14" s="141" t="s">
        <v>1951</v>
      </c>
      <c r="B14" s="130" t="s">
        <v>1944</v>
      </c>
      <c r="C14" s="132" t="s">
        <v>1657</v>
      </c>
      <c r="D14" s="141" t="s">
        <v>1373</v>
      </c>
      <c r="E14" s="142" t="s">
        <v>1945</v>
      </c>
      <c r="F14" s="132" t="s">
        <v>1387</v>
      </c>
      <c r="G14" s="132" t="s">
        <v>1655</v>
      </c>
      <c r="H14" s="141" t="s">
        <v>1380</v>
      </c>
      <c r="I14" s="143" t="s">
        <v>1380</v>
      </c>
      <c r="J14" s="141" t="s">
        <v>1392</v>
      </c>
      <c r="K14" s="142" t="s">
        <v>1381</v>
      </c>
      <c r="L14" s="132" t="s">
        <v>1947</v>
      </c>
      <c r="M14" s="130" t="s">
        <v>1388</v>
      </c>
      <c r="N14" s="132" t="s">
        <v>1946</v>
      </c>
      <c r="O14" s="132" t="s">
        <v>1948</v>
      </c>
      <c r="P14" s="132" t="s">
        <v>2393</v>
      </c>
      <c r="Q14" s="132" t="s">
        <v>1430</v>
      </c>
      <c r="R14" s="144" t="s">
        <v>1382</v>
      </c>
      <c r="S14" s="144" t="s">
        <v>1383</v>
      </c>
      <c r="T14" s="144" t="s">
        <v>1384</v>
      </c>
      <c r="U14" s="145" t="s">
        <v>1382</v>
      </c>
      <c r="V14" s="145" t="s">
        <v>1383</v>
      </c>
      <c r="W14" s="145" t="s">
        <v>1384</v>
      </c>
      <c r="X14" s="132" t="s">
        <v>1385</v>
      </c>
      <c r="Y14" s="132" t="s">
        <v>1393</v>
      </c>
      <c r="Z14" s="132" t="s">
        <v>1386</v>
      </c>
      <c r="AA14" s="132" t="s">
        <v>1709</v>
      </c>
      <c r="AB14" s="132" t="s">
        <v>1708</v>
      </c>
      <c r="AC14" s="132" t="s">
        <v>1389</v>
      </c>
      <c r="AD14" s="132" t="s">
        <v>1710</v>
      </c>
      <c r="AE14" s="132" t="s">
        <v>1711</v>
      </c>
      <c r="AF14" s="132" t="s">
        <v>1385</v>
      </c>
    </row>
    <row r="15" spans="1:32">
      <c r="A15" s="337" t="s">
        <v>1523</v>
      </c>
      <c r="B15" s="146" t="s">
        <v>1</v>
      </c>
      <c r="C15" s="155" t="s">
        <v>1422</v>
      </c>
      <c r="D15" s="147">
        <v>210</v>
      </c>
      <c r="E15" s="148" t="s">
        <v>1514</v>
      </c>
      <c r="F15" s="147" t="s">
        <v>106</v>
      </c>
      <c r="G15" s="147" t="s">
        <v>1429</v>
      </c>
      <c r="H15" s="147">
        <v>7</v>
      </c>
      <c r="I15" s="149">
        <f t="shared" ref="I15:I20" si="0">IF(AND(F15="SI",J15&lt;&gt;"",J15&lt;&gt;"NA"),CONCATENATE(H15,"_",J15),IF(F15="SI",H15,CONCATENATE(" REGISTRO COTIZACION NO EVALUADA: ",H15)))</f>
        <v>7</v>
      </c>
      <c r="J15" s="147"/>
      <c r="K15" s="336" t="s">
        <v>57</v>
      </c>
      <c r="L15" s="147">
        <v>100</v>
      </c>
      <c r="M15" s="147" t="s">
        <v>9</v>
      </c>
      <c r="N15" s="147" t="s">
        <v>1420</v>
      </c>
      <c r="O15" s="147" t="s">
        <v>98</v>
      </c>
      <c r="P15" s="147">
        <v>500</v>
      </c>
      <c r="Q15" s="150">
        <f t="shared" ref="Q15:Q20" si="1">(T15-S15)/S15</f>
        <v>0</v>
      </c>
      <c r="R15" s="151">
        <v>1</v>
      </c>
      <c r="S15" s="152">
        <v>2600</v>
      </c>
      <c r="T15" s="158">
        <v>2600</v>
      </c>
      <c r="U15" s="153"/>
      <c r="V15" s="154"/>
      <c r="W15" s="154"/>
      <c r="X15" s="155"/>
      <c r="Y15" s="155" t="s">
        <v>1423</v>
      </c>
      <c r="Z15" s="155" t="s">
        <v>1442</v>
      </c>
      <c r="AA15" s="273">
        <f t="shared" ref="AA15:AA20" si="2">S15/P15</f>
        <v>5.2</v>
      </c>
      <c r="AB15" s="273">
        <f t="shared" ref="AB15:AB20" si="3">T15/P15</f>
        <v>5.2</v>
      </c>
      <c r="AC15" s="156">
        <f t="shared" ref="AC15:AC20" si="4">P15</f>
        <v>500</v>
      </c>
      <c r="AD15" s="274">
        <f t="shared" ref="AD15:AD20" si="5">AA15*AC15</f>
        <v>2600</v>
      </c>
      <c r="AE15" s="274">
        <f t="shared" ref="AE15:AE26" si="6">AC15*AB15</f>
        <v>2600</v>
      </c>
      <c r="AF15" s="337"/>
    </row>
    <row r="16" spans="1:32">
      <c r="A16" s="337" t="s">
        <v>1523</v>
      </c>
      <c r="B16" s="146" t="s">
        <v>1</v>
      </c>
      <c r="C16" s="155" t="s">
        <v>1422</v>
      </c>
      <c r="D16" s="147">
        <v>210</v>
      </c>
      <c r="E16" s="148" t="s">
        <v>1514</v>
      </c>
      <c r="F16" s="147" t="s">
        <v>106</v>
      </c>
      <c r="G16" s="147" t="s">
        <v>1429</v>
      </c>
      <c r="H16" s="147">
        <v>22</v>
      </c>
      <c r="I16" s="149">
        <f t="shared" si="0"/>
        <v>22</v>
      </c>
      <c r="J16" s="147"/>
      <c r="K16" s="336" t="s">
        <v>51</v>
      </c>
      <c r="L16" s="147">
        <v>100</v>
      </c>
      <c r="M16" s="147" t="s">
        <v>9</v>
      </c>
      <c r="N16" s="147" t="s">
        <v>1420</v>
      </c>
      <c r="O16" s="147" t="s">
        <v>98</v>
      </c>
      <c r="P16" s="147">
        <v>500</v>
      </c>
      <c r="Q16" s="150">
        <f t="shared" si="1"/>
        <v>0</v>
      </c>
      <c r="R16" s="151">
        <v>1</v>
      </c>
      <c r="S16" s="152">
        <v>8760</v>
      </c>
      <c r="T16" s="158">
        <v>8760</v>
      </c>
      <c r="U16" s="153"/>
      <c r="V16" s="154"/>
      <c r="W16" s="154"/>
      <c r="X16" s="155"/>
      <c r="Y16" s="155" t="s">
        <v>1423</v>
      </c>
      <c r="Z16" s="155" t="s">
        <v>1442</v>
      </c>
      <c r="AA16" s="273">
        <f t="shared" si="2"/>
        <v>17.52</v>
      </c>
      <c r="AB16" s="273">
        <f t="shared" si="3"/>
        <v>17.52</v>
      </c>
      <c r="AC16" s="156">
        <f t="shared" si="4"/>
        <v>500</v>
      </c>
      <c r="AD16" s="274">
        <f t="shared" si="5"/>
        <v>8760</v>
      </c>
      <c r="AE16" s="274">
        <f t="shared" si="6"/>
        <v>8760</v>
      </c>
      <c r="AF16" s="337"/>
    </row>
    <row r="17" spans="1:32">
      <c r="A17" s="337" t="s">
        <v>1523</v>
      </c>
      <c r="B17" s="146" t="s">
        <v>1</v>
      </c>
      <c r="C17" s="155" t="s">
        <v>1422</v>
      </c>
      <c r="D17" s="147">
        <v>210</v>
      </c>
      <c r="E17" s="148" t="s">
        <v>1514</v>
      </c>
      <c r="F17" s="147" t="s">
        <v>106</v>
      </c>
      <c r="G17" s="147" t="s">
        <v>1429</v>
      </c>
      <c r="H17" s="147">
        <v>33</v>
      </c>
      <c r="I17" s="149">
        <f t="shared" si="0"/>
        <v>33</v>
      </c>
      <c r="J17" s="147"/>
      <c r="K17" s="336" t="s">
        <v>59</v>
      </c>
      <c r="L17" s="147">
        <v>100</v>
      </c>
      <c r="M17" s="147" t="s">
        <v>9</v>
      </c>
      <c r="N17" s="147" t="s">
        <v>1420</v>
      </c>
      <c r="O17" s="147" t="s">
        <v>98</v>
      </c>
      <c r="P17" s="147">
        <v>500</v>
      </c>
      <c r="Q17" s="150">
        <f t="shared" si="1"/>
        <v>0</v>
      </c>
      <c r="R17" s="151">
        <v>1</v>
      </c>
      <c r="S17" s="152">
        <v>6640</v>
      </c>
      <c r="T17" s="158">
        <v>6640</v>
      </c>
      <c r="U17" s="153"/>
      <c r="V17" s="154"/>
      <c r="W17" s="154"/>
      <c r="X17" s="155"/>
      <c r="Y17" s="155" t="s">
        <v>1423</v>
      </c>
      <c r="Z17" s="155" t="s">
        <v>1442</v>
      </c>
      <c r="AA17" s="273">
        <f t="shared" si="2"/>
        <v>13.28</v>
      </c>
      <c r="AB17" s="273">
        <f t="shared" si="3"/>
        <v>13.28</v>
      </c>
      <c r="AC17" s="156">
        <f t="shared" si="4"/>
        <v>500</v>
      </c>
      <c r="AD17" s="274">
        <f t="shared" si="5"/>
        <v>6640</v>
      </c>
      <c r="AE17" s="274">
        <f t="shared" si="6"/>
        <v>6640</v>
      </c>
      <c r="AF17" s="337"/>
    </row>
    <row r="18" spans="1:32">
      <c r="A18" s="337" t="s">
        <v>1523</v>
      </c>
      <c r="B18" s="146" t="s">
        <v>1</v>
      </c>
      <c r="C18" s="155" t="s">
        <v>1422</v>
      </c>
      <c r="D18" s="147">
        <v>210</v>
      </c>
      <c r="E18" s="148" t="s">
        <v>1514</v>
      </c>
      <c r="F18" s="147" t="s">
        <v>106</v>
      </c>
      <c r="G18" s="147" t="s">
        <v>1429</v>
      </c>
      <c r="H18" s="147">
        <v>36</v>
      </c>
      <c r="I18" s="149">
        <f t="shared" si="0"/>
        <v>36</v>
      </c>
      <c r="J18" s="147"/>
      <c r="K18" s="336" t="s">
        <v>1340</v>
      </c>
      <c r="L18" s="147" t="s">
        <v>1414</v>
      </c>
      <c r="M18" s="147" t="s">
        <v>9</v>
      </c>
      <c r="N18" s="147" t="s">
        <v>1516</v>
      </c>
      <c r="O18" s="147" t="s">
        <v>98</v>
      </c>
      <c r="P18" s="147">
        <v>250</v>
      </c>
      <c r="Q18" s="150">
        <f t="shared" si="1"/>
        <v>0</v>
      </c>
      <c r="R18" s="151">
        <v>1</v>
      </c>
      <c r="S18" s="152">
        <v>7980</v>
      </c>
      <c r="T18" s="158">
        <v>7980</v>
      </c>
      <c r="U18" s="153"/>
      <c r="V18" s="154"/>
      <c r="W18" s="154"/>
      <c r="X18" s="155"/>
      <c r="Y18" s="155" t="s">
        <v>1423</v>
      </c>
      <c r="Z18" s="155" t="s">
        <v>1442</v>
      </c>
      <c r="AA18" s="273">
        <f t="shared" si="2"/>
        <v>31.92</v>
      </c>
      <c r="AB18" s="273">
        <f t="shared" si="3"/>
        <v>31.92</v>
      </c>
      <c r="AC18" s="156">
        <f t="shared" si="4"/>
        <v>250</v>
      </c>
      <c r="AD18" s="274">
        <f t="shared" si="5"/>
        <v>7980</v>
      </c>
      <c r="AE18" s="274">
        <f t="shared" si="6"/>
        <v>7980</v>
      </c>
      <c r="AF18" s="337"/>
    </row>
    <row r="19" spans="1:32">
      <c r="A19" s="337" t="s">
        <v>1523</v>
      </c>
      <c r="B19" s="146" t="s">
        <v>1</v>
      </c>
      <c r="C19" s="155" t="s">
        <v>1422</v>
      </c>
      <c r="D19" s="147">
        <v>210</v>
      </c>
      <c r="E19" s="148" t="s">
        <v>1514</v>
      </c>
      <c r="F19" s="147" t="s">
        <v>106</v>
      </c>
      <c r="G19" s="147" t="s">
        <v>1429</v>
      </c>
      <c r="H19" s="147">
        <v>42</v>
      </c>
      <c r="I19" s="149">
        <f t="shared" si="0"/>
        <v>42</v>
      </c>
      <c r="J19" s="147"/>
      <c r="K19" s="336" t="s">
        <v>61</v>
      </c>
      <c r="L19" s="147">
        <v>100</v>
      </c>
      <c r="M19" s="147" t="s">
        <v>9</v>
      </c>
      <c r="N19" s="147" t="s">
        <v>1420</v>
      </c>
      <c r="O19" s="147" t="s">
        <v>98</v>
      </c>
      <c r="P19" s="147">
        <v>500</v>
      </c>
      <c r="Q19" s="150">
        <f t="shared" si="1"/>
        <v>0</v>
      </c>
      <c r="R19" s="151">
        <v>1</v>
      </c>
      <c r="S19" s="152">
        <v>4380</v>
      </c>
      <c r="T19" s="158">
        <v>4380</v>
      </c>
      <c r="U19" s="153"/>
      <c r="V19" s="154"/>
      <c r="W19" s="154"/>
      <c r="X19" s="155"/>
      <c r="Y19" s="155" t="s">
        <v>1423</v>
      </c>
      <c r="Z19" s="155" t="s">
        <v>1442</v>
      </c>
      <c r="AA19" s="273">
        <f t="shared" si="2"/>
        <v>8.76</v>
      </c>
      <c r="AB19" s="273">
        <f t="shared" si="3"/>
        <v>8.76</v>
      </c>
      <c r="AC19" s="156">
        <f t="shared" si="4"/>
        <v>500</v>
      </c>
      <c r="AD19" s="274">
        <f t="shared" si="5"/>
        <v>4380</v>
      </c>
      <c r="AE19" s="274">
        <f t="shared" si="6"/>
        <v>4380</v>
      </c>
      <c r="AF19" s="337"/>
    </row>
    <row r="20" spans="1:32">
      <c r="A20" s="337" t="s">
        <v>1523</v>
      </c>
      <c r="B20" s="146" t="s">
        <v>1</v>
      </c>
      <c r="C20" s="155" t="s">
        <v>1422</v>
      </c>
      <c r="D20" s="147">
        <v>210</v>
      </c>
      <c r="E20" s="148" t="s">
        <v>1514</v>
      </c>
      <c r="F20" s="147" t="s">
        <v>106</v>
      </c>
      <c r="G20" s="147" t="s">
        <v>1429</v>
      </c>
      <c r="H20" s="147">
        <v>43</v>
      </c>
      <c r="I20" s="149">
        <f t="shared" si="0"/>
        <v>43</v>
      </c>
      <c r="J20" s="147"/>
      <c r="K20" s="336" t="s">
        <v>62</v>
      </c>
      <c r="L20" s="147">
        <v>100</v>
      </c>
      <c r="M20" s="147" t="s">
        <v>9</v>
      </c>
      <c r="N20" s="147" t="s">
        <v>1420</v>
      </c>
      <c r="O20" s="147" t="s">
        <v>98</v>
      </c>
      <c r="P20" s="147">
        <v>500</v>
      </c>
      <c r="Q20" s="150">
        <f t="shared" si="1"/>
        <v>0</v>
      </c>
      <c r="R20" s="151">
        <v>1</v>
      </c>
      <c r="S20" s="152">
        <v>3080</v>
      </c>
      <c r="T20" s="158">
        <v>3080</v>
      </c>
      <c r="U20" s="153"/>
      <c r="V20" s="154"/>
      <c r="W20" s="154"/>
      <c r="X20" s="155"/>
      <c r="Y20" s="155" t="s">
        <v>1423</v>
      </c>
      <c r="Z20" s="155" t="s">
        <v>1442</v>
      </c>
      <c r="AA20" s="273">
        <f t="shared" si="2"/>
        <v>6.16</v>
      </c>
      <c r="AB20" s="273">
        <f t="shared" si="3"/>
        <v>6.16</v>
      </c>
      <c r="AC20" s="156">
        <f t="shared" si="4"/>
        <v>500</v>
      </c>
      <c r="AD20" s="274">
        <f t="shared" si="5"/>
        <v>3080</v>
      </c>
      <c r="AE20" s="274">
        <f t="shared" si="6"/>
        <v>3080</v>
      </c>
      <c r="AF20" s="337"/>
    </row>
    <row r="21" spans="1:32">
      <c r="A21" s="337" t="s">
        <v>1523</v>
      </c>
      <c r="B21" s="146" t="s">
        <v>1</v>
      </c>
      <c r="C21" s="155" t="s">
        <v>1422</v>
      </c>
      <c r="D21" s="147">
        <v>210</v>
      </c>
      <c r="E21" s="148" t="s">
        <v>1514</v>
      </c>
      <c r="F21" s="147" t="s">
        <v>106</v>
      </c>
      <c r="G21" s="147" t="s">
        <v>1429</v>
      </c>
      <c r="H21" s="147">
        <v>46</v>
      </c>
      <c r="I21" s="149">
        <f t="shared" ref="I21:I84" si="7">IF(AND(F21="SI",J21&lt;&gt;"",J21&lt;&gt;"NA"),CONCATENATE(H21,"_",J21),IF(F21="SI",H21,CONCATENATE(" REGISTRO COTIZACION NO EVALUADA: ",H21)))</f>
        <v>46</v>
      </c>
      <c r="J21" s="147"/>
      <c r="K21" s="336" t="s">
        <v>64</v>
      </c>
      <c r="L21" s="147">
        <v>100</v>
      </c>
      <c r="M21" s="147" t="s">
        <v>9</v>
      </c>
      <c r="N21" s="147" t="s">
        <v>1420</v>
      </c>
      <c r="O21" s="147" t="s">
        <v>98</v>
      </c>
      <c r="P21" s="147">
        <v>500</v>
      </c>
      <c r="Q21" s="150">
        <f t="shared" ref="Q21:Q84" si="8">(T21-S21)/S21</f>
        <v>0</v>
      </c>
      <c r="R21" s="151">
        <v>1</v>
      </c>
      <c r="S21" s="152">
        <v>8760</v>
      </c>
      <c r="T21" s="158">
        <v>8760</v>
      </c>
      <c r="U21" s="153"/>
      <c r="V21" s="154"/>
      <c r="W21" s="154"/>
      <c r="X21" s="155"/>
      <c r="Y21" s="155" t="s">
        <v>1423</v>
      </c>
      <c r="Z21" s="155" t="s">
        <v>1442</v>
      </c>
      <c r="AA21" s="273">
        <f t="shared" ref="AA21:AA84" si="9">S21/P21</f>
        <v>17.52</v>
      </c>
      <c r="AB21" s="273">
        <f t="shared" ref="AB21:AB84" si="10">T21/P21</f>
        <v>17.52</v>
      </c>
      <c r="AC21" s="156">
        <f t="shared" ref="AC21:AC84" si="11">P21</f>
        <v>500</v>
      </c>
      <c r="AD21" s="274">
        <f t="shared" ref="AD21:AD84" si="12">AA21*AC21</f>
        <v>8760</v>
      </c>
      <c r="AE21" s="274">
        <f t="shared" si="6"/>
        <v>8760</v>
      </c>
      <c r="AF21" s="337"/>
    </row>
    <row r="22" spans="1:32">
      <c r="A22" s="337" t="s">
        <v>1523</v>
      </c>
      <c r="B22" s="146" t="s">
        <v>1</v>
      </c>
      <c r="C22" s="155" t="s">
        <v>1422</v>
      </c>
      <c r="D22" s="147">
        <v>210</v>
      </c>
      <c r="E22" s="148" t="s">
        <v>1514</v>
      </c>
      <c r="F22" s="147" t="s">
        <v>106</v>
      </c>
      <c r="G22" s="147" t="s">
        <v>1429</v>
      </c>
      <c r="H22" s="147">
        <v>58</v>
      </c>
      <c r="I22" s="149">
        <f t="shared" si="7"/>
        <v>58</v>
      </c>
      <c r="J22" s="147"/>
      <c r="K22" s="336" t="s">
        <v>67</v>
      </c>
      <c r="L22" s="147">
        <v>100</v>
      </c>
      <c r="M22" s="147" t="s">
        <v>9</v>
      </c>
      <c r="N22" s="147" t="s">
        <v>1420</v>
      </c>
      <c r="O22" s="147" t="s">
        <v>98</v>
      </c>
      <c r="P22" s="147">
        <v>500</v>
      </c>
      <c r="Q22" s="150">
        <f t="shared" si="8"/>
        <v>0</v>
      </c>
      <c r="R22" s="151">
        <v>1</v>
      </c>
      <c r="S22" s="152">
        <v>9580</v>
      </c>
      <c r="T22" s="158">
        <v>9580</v>
      </c>
      <c r="U22" s="153"/>
      <c r="V22" s="154"/>
      <c r="W22" s="154"/>
      <c r="X22" s="155"/>
      <c r="Y22" s="155" t="s">
        <v>1423</v>
      </c>
      <c r="Z22" s="155" t="s">
        <v>1442</v>
      </c>
      <c r="AA22" s="273">
        <f t="shared" si="9"/>
        <v>19.16</v>
      </c>
      <c r="AB22" s="273">
        <f t="shared" si="10"/>
        <v>19.16</v>
      </c>
      <c r="AC22" s="156">
        <f t="shared" si="11"/>
        <v>500</v>
      </c>
      <c r="AD22" s="274">
        <f t="shared" si="12"/>
        <v>9580</v>
      </c>
      <c r="AE22" s="274">
        <f t="shared" si="6"/>
        <v>9580</v>
      </c>
      <c r="AF22" s="337"/>
    </row>
    <row r="23" spans="1:32">
      <c r="A23" s="337" t="s">
        <v>1523</v>
      </c>
      <c r="B23" s="146" t="s">
        <v>1</v>
      </c>
      <c r="C23" s="155" t="s">
        <v>1422</v>
      </c>
      <c r="D23" s="147">
        <v>210</v>
      </c>
      <c r="E23" s="148" t="s">
        <v>1514</v>
      </c>
      <c r="F23" s="147" t="s">
        <v>106</v>
      </c>
      <c r="G23" s="147" t="s">
        <v>1429</v>
      </c>
      <c r="H23" s="147">
        <v>59</v>
      </c>
      <c r="I23" s="149">
        <f t="shared" si="7"/>
        <v>59</v>
      </c>
      <c r="J23" s="147"/>
      <c r="K23" s="336" t="s">
        <v>99</v>
      </c>
      <c r="L23" s="147">
        <v>100</v>
      </c>
      <c r="M23" s="147" t="s">
        <v>9</v>
      </c>
      <c r="N23" s="147" t="s">
        <v>1517</v>
      </c>
      <c r="O23" s="147" t="s">
        <v>98</v>
      </c>
      <c r="P23" s="147">
        <v>400</v>
      </c>
      <c r="Q23" s="150">
        <f t="shared" si="8"/>
        <v>0</v>
      </c>
      <c r="R23" s="151">
        <v>1</v>
      </c>
      <c r="S23" s="152">
        <v>2500</v>
      </c>
      <c r="T23" s="158">
        <v>2500</v>
      </c>
      <c r="U23" s="153"/>
      <c r="V23" s="154"/>
      <c r="W23" s="154"/>
      <c r="X23" s="155"/>
      <c r="Y23" s="155" t="s">
        <v>1423</v>
      </c>
      <c r="Z23" s="155" t="s">
        <v>1442</v>
      </c>
      <c r="AA23" s="273">
        <f t="shared" si="9"/>
        <v>6.25</v>
      </c>
      <c r="AB23" s="273">
        <f t="shared" si="10"/>
        <v>6.25</v>
      </c>
      <c r="AC23" s="156">
        <f t="shared" si="11"/>
        <v>400</v>
      </c>
      <c r="AD23" s="274">
        <f t="shared" si="12"/>
        <v>2500</v>
      </c>
      <c r="AE23" s="274">
        <f t="shared" si="6"/>
        <v>2500</v>
      </c>
      <c r="AF23" s="337"/>
    </row>
    <row r="24" spans="1:32">
      <c r="A24" s="254" t="s">
        <v>1523</v>
      </c>
      <c r="B24" s="146" t="s">
        <v>1</v>
      </c>
      <c r="C24" s="155" t="s">
        <v>1422</v>
      </c>
      <c r="D24" s="147">
        <v>237</v>
      </c>
      <c r="E24" s="148" t="s">
        <v>1396</v>
      </c>
      <c r="F24" s="147"/>
      <c r="G24" s="147"/>
      <c r="H24" s="147">
        <v>7</v>
      </c>
      <c r="I24" s="149" t="str">
        <f t="shared" si="7"/>
        <v xml:space="preserve"> REGISTRO COTIZACION NO EVALUADA: 7</v>
      </c>
      <c r="J24" s="147"/>
      <c r="K24" s="336" t="s">
        <v>57</v>
      </c>
      <c r="L24" s="147">
        <v>100</v>
      </c>
      <c r="M24" s="147" t="s">
        <v>9</v>
      </c>
      <c r="N24" s="147" t="s">
        <v>1402</v>
      </c>
      <c r="O24" s="147" t="s">
        <v>98</v>
      </c>
      <c r="P24" s="147">
        <v>1200000</v>
      </c>
      <c r="Q24" s="150">
        <f t="shared" si="8"/>
        <v>0</v>
      </c>
      <c r="R24" s="151">
        <v>12000</v>
      </c>
      <c r="S24" s="152">
        <v>4080000</v>
      </c>
      <c r="T24" s="158">
        <v>4080000</v>
      </c>
      <c r="U24" s="154">
        <v>15000</v>
      </c>
      <c r="V24" s="154">
        <v>5100000</v>
      </c>
      <c r="W24" s="154">
        <v>5100000</v>
      </c>
      <c r="X24" s="155" t="s">
        <v>1424</v>
      </c>
      <c r="Y24" s="155" t="s">
        <v>1423</v>
      </c>
      <c r="Z24" s="155" t="s">
        <v>1442</v>
      </c>
      <c r="AA24" s="273">
        <f t="shared" si="9"/>
        <v>3.4</v>
      </c>
      <c r="AB24" s="273">
        <f t="shared" si="10"/>
        <v>3.4</v>
      </c>
      <c r="AC24" s="156">
        <f t="shared" si="11"/>
        <v>1200000</v>
      </c>
      <c r="AD24" s="274">
        <f t="shared" si="12"/>
        <v>4080000</v>
      </c>
      <c r="AE24" s="274">
        <f t="shared" si="6"/>
        <v>4080000</v>
      </c>
      <c r="AF24" s="337" t="s">
        <v>1432</v>
      </c>
    </row>
    <row r="25" spans="1:32">
      <c r="A25" s="254" t="s">
        <v>1523</v>
      </c>
      <c r="B25" s="146" t="s">
        <v>1</v>
      </c>
      <c r="C25" s="155" t="s">
        <v>1422</v>
      </c>
      <c r="D25" s="147">
        <v>237</v>
      </c>
      <c r="E25" s="148" t="s">
        <v>1396</v>
      </c>
      <c r="F25" s="147"/>
      <c r="G25" s="147"/>
      <c r="H25" s="147">
        <v>8</v>
      </c>
      <c r="I25" s="149" t="str">
        <f t="shared" si="7"/>
        <v xml:space="preserve"> REGISTRO COTIZACION NO EVALUADA: 8</v>
      </c>
      <c r="J25" s="147"/>
      <c r="K25" s="336" t="s">
        <v>55</v>
      </c>
      <c r="L25" s="147">
        <v>100</v>
      </c>
      <c r="M25" s="147" t="s">
        <v>9</v>
      </c>
      <c r="N25" s="147" t="s">
        <v>1403</v>
      </c>
      <c r="O25" s="147" t="s">
        <v>98</v>
      </c>
      <c r="P25" s="147">
        <v>400000</v>
      </c>
      <c r="Q25" s="150">
        <f t="shared" si="8"/>
        <v>0</v>
      </c>
      <c r="R25" s="151">
        <v>4000</v>
      </c>
      <c r="S25" s="152">
        <v>1520000</v>
      </c>
      <c r="T25" s="158">
        <v>1520000</v>
      </c>
      <c r="U25" s="154">
        <v>6000</v>
      </c>
      <c r="V25" s="154">
        <v>2280000</v>
      </c>
      <c r="W25" s="154">
        <v>2280000</v>
      </c>
      <c r="X25" s="155" t="s">
        <v>1424</v>
      </c>
      <c r="Y25" s="155" t="s">
        <v>1423</v>
      </c>
      <c r="Z25" s="155" t="s">
        <v>1442</v>
      </c>
      <c r="AA25" s="273">
        <f t="shared" si="9"/>
        <v>3.8</v>
      </c>
      <c r="AB25" s="273">
        <f t="shared" si="10"/>
        <v>3.8</v>
      </c>
      <c r="AC25" s="156">
        <f t="shared" si="11"/>
        <v>400000</v>
      </c>
      <c r="AD25" s="274">
        <f t="shared" si="12"/>
        <v>1520000</v>
      </c>
      <c r="AE25" s="274">
        <f t="shared" si="6"/>
        <v>1520000</v>
      </c>
      <c r="AF25" s="337" t="s">
        <v>1432</v>
      </c>
    </row>
    <row r="26" spans="1:32">
      <c r="A26" s="254" t="s">
        <v>1523</v>
      </c>
      <c r="B26" s="146" t="s">
        <v>1</v>
      </c>
      <c r="C26" s="155" t="s">
        <v>1422</v>
      </c>
      <c r="D26" s="147">
        <v>237</v>
      </c>
      <c r="E26" s="148" t="s">
        <v>1396</v>
      </c>
      <c r="F26" s="147"/>
      <c r="G26" s="147"/>
      <c r="H26" s="147">
        <v>17</v>
      </c>
      <c r="I26" s="149" t="str">
        <f t="shared" si="7"/>
        <v xml:space="preserve"> REGISTRO COTIZACION NO EVALUADA: 17</v>
      </c>
      <c r="J26" s="147"/>
      <c r="K26" s="336" t="s">
        <v>53</v>
      </c>
      <c r="L26" s="147">
        <v>100</v>
      </c>
      <c r="M26" s="147" t="s">
        <v>9</v>
      </c>
      <c r="N26" s="147" t="s">
        <v>1404</v>
      </c>
      <c r="O26" s="147" t="s">
        <v>98</v>
      </c>
      <c r="P26" s="147">
        <v>60000</v>
      </c>
      <c r="Q26" s="150">
        <f t="shared" si="8"/>
        <v>0</v>
      </c>
      <c r="R26" s="151">
        <v>600</v>
      </c>
      <c r="S26" s="152">
        <v>348000</v>
      </c>
      <c r="T26" s="158">
        <v>348000</v>
      </c>
      <c r="U26" s="154">
        <v>1000</v>
      </c>
      <c r="V26" s="154">
        <v>580000</v>
      </c>
      <c r="W26" s="154">
        <v>580000</v>
      </c>
      <c r="X26" s="155" t="s">
        <v>1424</v>
      </c>
      <c r="Y26" s="155" t="s">
        <v>1423</v>
      </c>
      <c r="Z26" s="155" t="s">
        <v>1442</v>
      </c>
      <c r="AA26" s="273">
        <f t="shared" si="9"/>
        <v>5.8</v>
      </c>
      <c r="AB26" s="273">
        <f t="shared" si="10"/>
        <v>5.8</v>
      </c>
      <c r="AC26" s="156">
        <f t="shared" si="11"/>
        <v>60000</v>
      </c>
      <c r="AD26" s="274">
        <f t="shared" si="12"/>
        <v>348000</v>
      </c>
      <c r="AE26" s="274">
        <f t="shared" si="6"/>
        <v>348000</v>
      </c>
      <c r="AF26" s="337" t="s">
        <v>1432</v>
      </c>
    </row>
    <row r="27" spans="1:32">
      <c r="A27" s="254" t="s">
        <v>1523</v>
      </c>
      <c r="B27" s="146" t="s">
        <v>1</v>
      </c>
      <c r="C27" s="155" t="s">
        <v>1422</v>
      </c>
      <c r="D27" s="147">
        <v>237</v>
      </c>
      <c r="E27" s="148" t="s">
        <v>1396</v>
      </c>
      <c r="F27" s="147"/>
      <c r="G27" s="147"/>
      <c r="H27" s="147">
        <v>22</v>
      </c>
      <c r="I27" s="149" t="str">
        <f t="shared" si="7"/>
        <v xml:space="preserve"> REGISTRO COTIZACION NO EVALUADA: 22</v>
      </c>
      <c r="J27" s="147"/>
      <c r="K27" s="336" t="s">
        <v>51</v>
      </c>
      <c r="L27" s="147">
        <v>100</v>
      </c>
      <c r="M27" s="147" t="s">
        <v>9</v>
      </c>
      <c r="N27" s="147" t="s">
        <v>1405</v>
      </c>
      <c r="O27" s="147" t="s">
        <v>98</v>
      </c>
      <c r="P27" s="147">
        <v>90000</v>
      </c>
      <c r="Q27" s="150">
        <f t="shared" si="8"/>
        <v>0</v>
      </c>
      <c r="R27" s="151">
        <v>900</v>
      </c>
      <c r="S27" s="152">
        <v>522000</v>
      </c>
      <c r="T27" s="158">
        <v>522000</v>
      </c>
      <c r="U27" s="154">
        <v>1200</v>
      </c>
      <c r="V27" s="154">
        <v>696000</v>
      </c>
      <c r="W27" s="154">
        <v>696000</v>
      </c>
      <c r="X27" s="155" t="s">
        <v>1424</v>
      </c>
      <c r="Y27" s="155" t="s">
        <v>1423</v>
      </c>
      <c r="Z27" s="155" t="s">
        <v>1442</v>
      </c>
      <c r="AA27" s="273">
        <f t="shared" si="9"/>
        <v>5.8</v>
      </c>
      <c r="AB27" s="273">
        <f t="shared" si="10"/>
        <v>5.8</v>
      </c>
      <c r="AC27" s="156">
        <f t="shared" si="11"/>
        <v>90000</v>
      </c>
      <c r="AD27" s="274">
        <f t="shared" si="12"/>
        <v>522000</v>
      </c>
      <c r="AE27" s="274">
        <f>AB27*AC27</f>
        <v>522000</v>
      </c>
      <c r="AF27" s="337" t="s">
        <v>1432</v>
      </c>
    </row>
    <row r="28" spans="1:32">
      <c r="A28" s="254" t="s">
        <v>1523</v>
      </c>
      <c r="B28" s="146" t="s">
        <v>1</v>
      </c>
      <c r="C28" s="155" t="s">
        <v>1422</v>
      </c>
      <c r="D28" s="147">
        <v>237</v>
      </c>
      <c r="E28" s="148" t="s">
        <v>1396</v>
      </c>
      <c r="F28" s="147"/>
      <c r="G28" s="147"/>
      <c r="H28" s="147">
        <v>33</v>
      </c>
      <c r="I28" s="149" t="str">
        <f t="shared" si="7"/>
        <v xml:space="preserve"> REGISTRO COTIZACION NO EVALUADA: 33</v>
      </c>
      <c r="J28" s="147"/>
      <c r="K28" s="336" t="s">
        <v>59</v>
      </c>
      <c r="L28" s="147">
        <v>1</v>
      </c>
      <c r="M28" s="147" t="s">
        <v>9</v>
      </c>
      <c r="N28" s="147" t="s">
        <v>1406</v>
      </c>
      <c r="O28" s="147" t="s">
        <v>98</v>
      </c>
      <c r="P28" s="147">
        <v>700</v>
      </c>
      <c r="Q28" s="150">
        <f t="shared" si="8"/>
        <v>0</v>
      </c>
      <c r="R28" s="151">
        <v>700</v>
      </c>
      <c r="S28" s="152">
        <v>560000</v>
      </c>
      <c r="T28" s="158">
        <v>560000</v>
      </c>
      <c r="U28" s="154">
        <v>1000</v>
      </c>
      <c r="V28" s="154">
        <v>800000</v>
      </c>
      <c r="W28" s="154">
        <v>800000</v>
      </c>
      <c r="X28" s="155" t="s">
        <v>1424</v>
      </c>
      <c r="Y28" s="155" t="s">
        <v>1423</v>
      </c>
      <c r="Z28" s="155" t="s">
        <v>1442</v>
      </c>
      <c r="AA28" s="273">
        <f t="shared" si="9"/>
        <v>800</v>
      </c>
      <c r="AB28" s="273">
        <f t="shared" si="10"/>
        <v>800</v>
      </c>
      <c r="AC28" s="156">
        <f t="shared" si="11"/>
        <v>700</v>
      </c>
      <c r="AD28" s="274">
        <f t="shared" si="12"/>
        <v>560000</v>
      </c>
      <c r="AE28" s="274">
        <f>AB28*AC28</f>
        <v>560000</v>
      </c>
      <c r="AF28" s="337" t="s">
        <v>1432</v>
      </c>
    </row>
    <row r="29" spans="1:32">
      <c r="A29" s="254" t="s">
        <v>1523</v>
      </c>
      <c r="B29" s="146" t="s">
        <v>1</v>
      </c>
      <c r="C29" s="155" t="s">
        <v>1422</v>
      </c>
      <c r="D29" s="147">
        <v>237</v>
      </c>
      <c r="E29" s="148" t="s">
        <v>1396</v>
      </c>
      <c r="F29" s="147"/>
      <c r="G29" s="147"/>
      <c r="H29" s="147">
        <v>42</v>
      </c>
      <c r="I29" s="149" t="str">
        <f t="shared" si="7"/>
        <v xml:space="preserve"> REGISTRO COTIZACION NO EVALUADA: 42</v>
      </c>
      <c r="J29" s="147"/>
      <c r="K29" s="336" t="s">
        <v>61</v>
      </c>
      <c r="L29" s="147">
        <v>100</v>
      </c>
      <c r="M29" s="147" t="s">
        <v>9</v>
      </c>
      <c r="N29" s="147" t="s">
        <v>1407</v>
      </c>
      <c r="O29" s="147" t="s">
        <v>98</v>
      </c>
      <c r="P29" s="147">
        <v>100000</v>
      </c>
      <c r="Q29" s="150">
        <f t="shared" si="8"/>
        <v>0</v>
      </c>
      <c r="R29" s="151">
        <v>1000</v>
      </c>
      <c r="S29" s="152">
        <v>420000</v>
      </c>
      <c r="T29" s="158">
        <v>420000</v>
      </c>
      <c r="U29" s="154">
        <v>1500</v>
      </c>
      <c r="V29" s="154">
        <v>630000</v>
      </c>
      <c r="W29" s="154">
        <v>630000</v>
      </c>
      <c r="X29" s="155" t="s">
        <v>1424</v>
      </c>
      <c r="Y29" s="155" t="s">
        <v>1423</v>
      </c>
      <c r="Z29" s="155" t="s">
        <v>1442</v>
      </c>
      <c r="AA29" s="273">
        <f t="shared" si="9"/>
        <v>4.2</v>
      </c>
      <c r="AB29" s="273">
        <f t="shared" si="10"/>
        <v>4.2</v>
      </c>
      <c r="AC29" s="156">
        <f t="shared" si="11"/>
        <v>100000</v>
      </c>
      <c r="AD29" s="274">
        <f t="shared" si="12"/>
        <v>420000</v>
      </c>
      <c r="AE29" s="274">
        <f t="shared" ref="AE29:AE63" si="13">AC29*AB29</f>
        <v>420000</v>
      </c>
      <c r="AF29" s="337" t="s">
        <v>1432</v>
      </c>
    </row>
    <row r="30" spans="1:32">
      <c r="A30" s="254" t="s">
        <v>1523</v>
      </c>
      <c r="B30" s="146" t="s">
        <v>1</v>
      </c>
      <c r="C30" s="155" t="s">
        <v>1422</v>
      </c>
      <c r="D30" s="147">
        <v>237</v>
      </c>
      <c r="E30" s="148" t="s">
        <v>1396</v>
      </c>
      <c r="F30" s="147"/>
      <c r="G30" s="147"/>
      <c r="H30" s="147">
        <v>43</v>
      </c>
      <c r="I30" s="149" t="str">
        <f t="shared" si="7"/>
        <v xml:space="preserve"> REGISTRO COTIZACION NO EVALUADA: 43</v>
      </c>
      <c r="J30" s="147"/>
      <c r="K30" s="336" t="s">
        <v>62</v>
      </c>
      <c r="L30" s="147">
        <v>100</v>
      </c>
      <c r="M30" s="147" t="s">
        <v>9</v>
      </c>
      <c r="N30" s="147" t="s">
        <v>1408</v>
      </c>
      <c r="O30" s="147" t="s">
        <v>98</v>
      </c>
      <c r="P30" s="147">
        <v>60000</v>
      </c>
      <c r="Q30" s="150">
        <f t="shared" si="8"/>
        <v>0</v>
      </c>
      <c r="R30" s="151">
        <v>600</v>
      </c>
      <c r="S30" s="152">
        <v>204000</v>
      </c>
      <c r="T30" s="158">
        <v>204000</v>
      </c>
      <c r="U30" s="153">
        <v>900</v>
      </c>
      <c r="V30" s="154">
        <v>405000</v>
      </c>
      <c r="W30" s="154">
        <v>405000</v>
      </c>
      <c r="X30" s="155" t="s">
        <v>1424</v>
      </c>
      <c r="Y30" s="155" t="s">
        <v>1423</v>
      </c>
      <c r="Z30" s="155" t="s">
        <v>1442</v>
      </c>
      <c r="AA30" s="273">
        <f t="shared" si="9"/>
        <v>3.4</v>
      </c>
      <c r="AB30" s="273">
        <f t="shared" si="10"/>
        <v>3.4</v>
      </c>
      <c r="AC30" s="156">
        <f t="shared" si="11"/>
        <v>60000</v>
      </c>
      <c r="AD30" s="274">
        <f t="shared" si="12"/>
        <v>204000</v>
      </c>
      <c r="AE30" s="274">
        <f t="shared" si="13"/>
        <v>204000</v>
      </c>
      <c r="AF30" s="337" t="s">
        <v>1432</v>
      </c>
    </row>
    <row r="31" spans="1:32">
      <c r="A31" s="254" t="s">
        <v>1523</v>
      </c>
      <c r="B31" s="146" t="s">
        <v>1</v>
      </c>
      <c r="C31" s="155" t="s">
        <v>1422</v>
      </c>
      <c r="D31" s="147">
        <v>237</v>
      </c>
      <c r="E31" s="148" t="s">
        <v>1396</v>
      </c>
      <c r="F31" s="147"/>
      <c r="G31" s="147"/>
      <c r="H31" s="147">
        <v>46</v>
      </c>
      <c r="I31" s="149" t="str">
        <f t="shared" si="7"/>
        <v xml:space="preserve"> REGISTRO COTIZACION NO EVALUADA: 46</v>
      </c>
      <c r="J31" s="147"/>
      <c r="K31" s="336" t="s">
        <v>64</v>
      </c>
      <c r="L31" s="147">
        <v>100</v>
      </c>
      <c r="M31" s="147" t="s">
        <v>9</v>
      </c>
      <c r="N31" s="147" t="s">
        <v>1409</v>
      </c>
      <c r="O31" s="147" t="s">
        <v>98</v>
      </c>
      <c r="P31" s="147">
        <v>80000</v>
      </c>
      <c r="Q31" s="150">
        <f t="shared" si="8"/>
        <v>0</v>
      </c>
      <c r="R31" s="151">
        <v>800</v>
      </c>
      <c r="S31" s="152">
        <v>1040000</v>
      </c>
      <c r="T31" s="158">
        <v>1040000</v>
      </c>
      <c r="U31" s="154">
        <v>1200</v>
      </c>
      <c r="V31" s="154">
        <v>1560000</v>
      </c>
      <c r="W31" s="154">
        <v>1560000</v>
      </c>
      <c r="X31" s="155" t="s">
        <v>1424</v>
      </c>
      <c r="Y31" s="155" t="s">
        <v>1423</v>
      </c>
      <c r="Z31" s="155" t="s">
        <v>1442</v>
      </c>
      <c r="AA31" s="273">
        <f t="shared" si="9"/>
        <v>13</v>
      </c>
      <c r="AB31" s="273">
        <f t="shared" si="10"/>
        <v>13</v>
      </c>
      <c r="AC31" s="156">
        <f t="shared" si="11"/>
        <v>80000</v>
      </c>
      <c r="AD31" s="274">
        <f t="shared" si="12"/>
        <v>1040000</v>
      </c>
      <c r="AE31" s="274">
        <f t="shared" si="13"/>
        <v>1040000</v>
      </c>
      <c r="AF31" s="337" t="s">
        <v>1432</v>
      </c>
    </row>
    <row r="32" spans="1:32">
      <c r="A32" s="254" t="s">
        <v>1523</v>
      </c>
      <c r="B32" s="146" t="s">
        <v>1</v>
      </c>
      <c r="C32" s="155" t="s">
        <v>1422</v>
      </c>
      <c r="D32" s="147">
        <v>237</v>
      </c>
      <c r="E32" s="148" t="s">
        <v>1396</v>
      </c>
      <c r="F32" s="147"/>
      <c r="G32" s="147"/>
      <c r="H32" s="147">
        <v>58</v>
      </c>
      <c r="I32" s="149" t="str">
        <f t="shared" si="7"/>
        <v xml:space="preserve"> REGISTRO COTIZACION NO EVALUADA: 58</v>
      </c>
      <c r="J32" s="147"/>
      <c r="K32" s="336" t="s">
        <v>67</v>
      </c>
      <c r="L32" s="147">
        <v>100</v>
      </c>
      <c r="M32" s="147" t="s">
        <v>9</v>
      </c>
      <c r="N32" s="147" t="s">
        <v>1410</v>
      </c>
      <c r="O32" s="147" t="s">
        <v>98</v>
      </c>
      <c r="P32" s="147">
        <v>60000</v>
      </c>
      <c r="Q32" s="150">
        <f t="shared" si="8"/>
        <v>0</v>
      </c>
      <c r="R32" s="151">
        <v>600</v>
      </c>
      <c r="S32" s="152">
        <v>270000</v>
      </c>
      <c r="T32" s="158">
        <v>270000</v>
      </c>
      <c r="U32" s="153">
        <v>800</v>
      </c>
      <c r="V32" s="154">
        <v>360000</v>
      </c>
      <c r="W32" s="154">
        <v>360000</v>
      </c>
      <c r="X32" s="155" t="s">
        <v>1424</v>
      </c>
      <c r="Y32" s="155" t="s">
        <v>1423</v>
      </c>
      <c r="Z32" s="155" t="s">
        <v>1442</v>
      </c>
      <c r="AA32" s="273">
        <f t="shared" si="9"/>
        <v>4.5</v>
      </c>
      <c r="AB32" s="273">
        <f t="shared" si="10"/>
        <v>4.5</v>
      </c>
      <c r="AC32" s="156">
        <f t="shared" si="11"/>
        <v>60000</v>
      </c>
      <c r="AD32" s="274">
        <f t="shared" si="12"/>
        <v>270000</v>
      </c>
      <c r="AE32" s="274">
        <f t="shared" si="13"/>
        <v>270000</v>
      </c>
      <c r="AF32" s="337" t="s">
        <v>1432</v>
      </c>
    </row>
    <row r="33" spans="1:32">
      <c r="A33" s="254" t="s">
        <v>1523</v>
      </c>
      <c r="B33" s="146" t="s">
        <v>1</v>
      </c>
      <c r="C33" s="155" t="s">
        <v>1422</v>
      </c>
      <c r="D33" s="147">
        <v>237</v>
      </c>
      <c r="E33" s="148" t="s">
        <v>1396</v>
      </c>
      <c r="F33" s="147"/>
      <c r="G33" s="147"/>
      <c r="H33" s="147">
        <v>59</v>
      </c>
      <c r="I33" s="149" t="str">
        <f t="shared" si="7"/>
        <v xml:space="preserve"> REGISTRO COTIZACION NO EVALUADA: 59</v>
      </c>
      <c r="J33" s="147"/>
      <c r="K33" s="336" t="s">
        <v>99</v>
      </c>
      <c r="L33" s="147">
        <v>100</v>
      </c>
      <c r="M33" s="147" t="s">
        <v>9</v>
      </c>
      <c r="N33" s="147" t="s">
        <v>1411</v>
      </c>
      <c r="O33" s="147" t="s">
        <v>98</v>
      </c>
      <c r="P33" s="147">
        <v>50000</v>
      </c>
      <c r="Q33" s="150">
        <f t="shared" si="8"/>
        <v>0</v>
      </c>
      <c r="R33" s="151">
        <v>500</v>
      </c>
      <c r="S33" s="152">
        <v>350000</v>
      </c>
      <c r="T33" s="158">
        <v>350000</v>
      </c>
      <c r="U33" s="153">
        <v>800</v>
      </c>
      <c r="V33" s="154">
        <v>560000</v>
      </c>
      <c r="W33" s="154">
        <v>560000</v>
      </c>
      <c r="X33" s="155" t="s">
        <v>1424</v>
      </c>
      <c r="Y33" s="155" t="s">
        <v>1423</v>
      </c>
      <c r="Z33" s="155" t="s">
        <v>1442</v>
      </c>
      <c r="AA33" s="273">
        <f t="shared" si="9"/>
        <v>7</v>
      </c>
      <c r="AB33" s="273">
        <f t="shared" si="10"/>
        <v>7</v>
      </c>
      <c r="AC33" s="156">
        <f t="shared" si="11"/>
        <v>50000</v>
      </c>
      <c r="AD33" s="274">
        <f t="shared" si="12"/>
        <v>350000</v>
      </c>
      <c r="AE33" s="274">
        <f t="shared" si="13"/>
        <v>350000</v>
      </c>
      <c r="AF33" s="337" t="s">
        <v>1432</v>
      </c>
    </row>
    <row r="34" spans="1:32">
      <c r="A34" s="254" t="s">
        <v>1523</v>
      </c>
      <c r="B34" s="146" t="s">
        <v>1</v>
      </c>
      <c r="C34" s="155" t="s">
        <v>1422</v>
      </c>
      <c r="D34" s="147">
        <v>237</v>
      </c>
      <c r="E34" s="148" t="s">
        <v>1396</v>
      </c>
      <c r="F34" s="147"/>
      <c r="G34" s="147"/>
      <c r="H34" s="147">
        <v>69</v>
      </c>
      <c r="I34" s="149" t="str">
        <f t="shared" si="7"/>
        <v xml:space="preserve"> REGISTRO COTIZACION NO EVALUADA: 69</v>
      </c>
      <c r="J34" s="147"/>
      <c r="K34" s="336" t="s">
        <v>70</v>
      </c>
      <c r="L34" s="147">
        <v>100</v>
      </c>
      <c r="M34" s="147" t="s">
        <v>9</v>
      </c>
      <c r="N34" s="147" t="s">
        <v>1412</v>
      </c>
      <c r="O34" s="147" t="s">
        <v>98</v>
      </c>
      <c r="P34" s="147">
        <v>60000</v>
      </c>
      <c r="Q34" s="150">
        <f t="shared" si="8"/>
        <v>0</v>
      </c>
      <c r="R34" s="151">
        <v>600</v>
      </c>
      <c r="S34" s="152">
        <v>450000</v>
      </c>
      <c r="T34" s="158">
        <v>450000</v>
      </c>
      <c r="U34" s="153">
        <v>800</v>
      </c>
      <c r="V34" s="154">
        <v>600000</v>
      </c>
      <c r="W34" s="154">
        <v>600000</v>
      </c>
      <c r="X34" s="155" t="s">
        <v>1424</v>
      </c>
      <c r="Y34" s="155" t="s">
        <v>1423</v>
      </c>
      <c r="Z34" s="155" t="s">
        <v>1442</v>
      </c>
      <c r="AA34" s="273">
        <f t="shared" si="9"/>
        <v>7.5</v>
      </c>
      <c r="AB34" s="273">
        <f t="shared" si="10"/>
        <v>7.5</v>
      </c>
      <c r="AC34" s="156">
        <f t="shared" si="11"/>
        <v>60000</v>
      </c>
      <c r="AD34" s="274">
        <f t="shared" si="12"/>
        <v>450000</v>
      </c>
      <c r="AE34" s="274">
        <f t="shared" si="13"/>
        <v>450000</v>
      </c>
      <c r="AF34" s="337" t="s">
        <v>1432</v>
      </c>
    </row>
    <row r="35" spans="1:32">
      <c r="A35" s="254" t="s">
        <v>1523</v>
      </c>
      <c r="B35" s="146" t="s">
        <v>1</v>
      </c>
      <c r="C35" s="155" t="s">
        <v>1422</v>
      </c>
      <c r="D35" s="147">
        <v>237</v>
      </c>
      <c r="E35" s="148" t="s">
        <v>1396</v>
      </c>
      <c r="F35" s="147"/>
      <c r="G35" s="147"/>
      <c r="H35" s="147">
        <v>70</v>
      </c>
      <c r="I35" s="149" t="str">
        <f t="shared" si="7"/>
        <v xml:space="preserve"> REGISTRO COTIZACION NO EVALUADA: 70</v>
      </c>
      <c r="J35" s="147"/>
      <c r="K35" s="336" t="s">
        <v>71</v>
      </c>
      <c r="L35" s="147">
        <v>100</v>
      </c>
      <c r="M35" s="147" t="s">
        <v>9</v>
      </c>
      <c r="N35" s="147" t="s">
        <v>1413</v>
      </c>
      <c r="O35" s="147" t="s">
        <v>98</v>
      </c>
      <c r="P35" s="147">
        <v>60000</v>
      </c>
      <c r="Q35" s="150">
        <f t="shared" si="8"/>
        <v>0</v>
      </c>
      <c r="R35" s="151">
        <v>600</v>
      </c>
      <c r="S35" s="152">
        <v>540000</v>
      </c>
      <c r="T35" s="158">
        <v>540000</v>
      </c>
      <c r="U35" s="153">
        <v>800</v>
      </c>
      <c r="V35" s="154">
        <v>720000</v>
      </c>
      <c r="W35" s="154">
        <v>720000</v>
      </c>
      <c r="X35" s="155" t="s">
        <v>1424</v>
      </c>
      <c r="Y35" s="155" t="s">
        <v>1423</v>
      </c>
      <c r="Z35" s="155" t="s">
        <v>1442</v>
      </c>
      <c r="AA35" s="273">
        <f t="shared" si="9"/>
        <v>9</v>
      </c>
      <c r="AB35" s="273">
        <f t="shared" si="10"/>
        <v>9</v>
      </c>
      <c r="AC35" s="156">
        <f t="shared" si="11"/>
        <v>60000</v>
      </c>
      <c r="AD35" s="274">
        <f t="shared" si="12"/>
        <v>540000</v>
      </c>
      <c r="AE35" s="274">
        <f t="shared" si="13"/>
        <v>540000</v>
      </c>
      <c r="AF35" s="337" t="s">
        <v>1432</v>
      </c>
    </row>
    <row r="36" spans="1:32">
      <c r="A36" s="255" t="s">
        <v>1523</v>
      </c>
      <c r="B36" s="146" t="s">
        <v>1</v>
      </c>
      <c r="C36" s="155" t="s">
        <v>1422</v>
      </c>
      <c r="D36" s="147">
        <v>213</v>
      </c>
      <c r="E36" s="148" t="s">
        <v>1525</v>
      </c>
      <c r="F36" s="147"/>
      <c r="G36" s="147"/>
      <c r="H36" s="147">
        <v>7</v>
      </c>
      <c r="I36" s="149" t="str">
        <f t="shared" si="7"/>
        <v xml:space="preserve"> REGISTRO COTIZACION NO EVALUADA: 7</v>
      </c>
      <c r="J36" s="147"/>
      <c r="K36" s="336" t="s">
        <v>57</v>
      </c>
      <c r="L36" s="147">
        <v>100</v>
      </c>
      <c r="M36" s="147" t="s">
        <v>9</v>
      </c>
      <c r="N36" s="147" t="s">
        <v>1418</v>
      </c>
      <c r="O36" s="147" t="s">
        <v>98</v>
      </c>
      <c r="P36" s="147">
        <v>100</v>
      </c>
      <c r="Q36" s="150">
        <f t="shared" si="8"/>
        <v>0</v>
      </c>
      <c r="R36" s="151"/>
      <c r="S36" s="152">
        <v>340</v>
      </c>
      <c r="T36" s="158">
        <v>340</v>
      </c>
      <c r="U36" s="160"/>
      <c r="V36" s="159"/>
      <c r="W36" s="159"/>
      <c r="X36" s="155"/>
      <c r="Y36" s="155" t="s">
        <v>1423</v>
      </c>
      <c r="Z36" s="155" t="s">
        <v>1442</v>
      </c>
      <c r="AA36" s="273">
        <f t="shared" si="9"/>
        <v>3.4</v>
      </c>
      <c r="AB36" s="273">
        <f t="shared" si="10"/>
        <v>3.4</v>
      </c>
      <c r="AC36" s="156">
        <f t="shared" si="11"/>
        <v>100</v>
      </c>
      <c r="AD36" s="274">
        <f t="shared" si="12"/>
        <v>340</v>
      </c>
      <c r="AE36" s="274">
        <f t="shared" si="13"/>
        <v>340</v>
      </c>
      <c r="AF36" s="129"/>
    </row>
    <row r="37" spans="1:32">
      <c r="A37" s="255" t="s">
        <v>1523</v>
      </c>
      <c r="B37" s="146" t="s">
        <v>1</v>
      </c>
      <c r="C37" s="155" t="s">
        <v>1422</v>
      </c>
      <c r="D37" s="147">
        <v>213</v>
      </c>
      <c r="E37" s="148" t="s">
        <v>1525</v>
      </c>
      <c r="F37" s="147"/>
      <c r="G37" s="147"/>
      <c r="H37" s="147">
        <v>8</v>
      </c>
      <c r="I37" s="149" t="str">
        <f t="shared" si="7"/>
        <v xml:space="preserve"> REGISTRO COTIZACION NO EVALUADA: 8</v>
      </c>
      <c r="J37" s="147"/>
      <c r="K37" s="336" t="s">
        <v>55</v>
      </c>
      <c r="L37" s="147">
        <v>100</v>
      </c>
      <c r="M37" s="147" t="s">
        <v>9</v>
      </c>
      <c r="N37" s="147" t="s">
        <v>1418</v>
      </c>
      <c r="O37" s="147" t="s">
        <v>98</v>
      </c>
      <c r="P37" s="147">
        <v>100</v>
      </c>
      <c r="Q37" s="150">
        <f t="shared" si="8"/>
        <v>0</v>
      </c>
      <c r="R37" s="151"/>
      <c r="S37" s="152">
        <v>320</v>
      </c>
      <c r="T37" s="158">
        <v>320</v>
      </c>
      <c r="U37" s="160"/>
      <c r="V37" s="159"/>
      <c r="W37" s="159"/>
      <c r="X37" s="155"/>
      <c r="Y37" s="155" t="s">
        <v>1423</v>
      </c>
      <c r="Z37" s="155" t="s">
        <v>1442</v>
      </c>
      <c r="AA37" s="273">
        <f t="shared" si="9"/>
        <v>3.2</v>
      </c>
      <c r="AB37" s="273">
        <f t="shared" si="10"/>
        <v>3.2</v>
      </c>
      <c r="AC37" s="156">
        <f t="shared" si="11"/>
        <v>100</v>
      </c>
      <c r="AD37" s="274">
        <f t="shared" si="12"/>
        <v>320</v>
      </c>
      <c r="AE37" s="274">
        <f t="shared" si="13"/>
        <v>320</v>
      </c>
      <c r="AF37" s="129"/>
    </row>
    <row r="38" spans="1:32">
      <c r="A38" s="255" t="s">
        <v>1523</v>
      </c>
      <c r="B38" s="146" t="s">
        <v>1</v>
      </c>
      <c r="C38" s="155" t="s">
        <v>1422</v>
      </c>
      <c r="D38" s="147">
        <v>213</v>
      </c>
      <c r="E38" s="148" t="s">
        <v>1525</v>
      </c>
      <c r="F38" s="147"/>
      <c r="G38" s="147"/>
      <c r="H38" s="147">
        <v>17</v>
      </c>
      <c r="I38" s="149" t="str">
        <f t="shared" si="7"/>
        <v xml:space="preserve"> REGISTRO COTIZACION NO EVALUADA: 17</v>
      </c>
      <c r="J38" s="147"/>
      <c r="K38" s="336" t="s">
        <v>53</v>
      </c>
      <c r="L38" s="147">
        <v>100</v>
      </c>
      <c r="M38" s="147" t="s">
        <v>9</v>
      </c>
      <c r="N38" s="147" t="s">
        <v>1418</v>
      </c>
      <c r="O38" s="147" t="s">
        <v>98</v>
      </c>
      <c r="P38" s="147">
        <v>100</v>
      </c>
      <c r="Q38" s="150">
        <f t="shared" si="8"/>
        <v>0</v>
      </c>
      <c r="R38" s="151"/>
      <c r="S38" s="152">
        <v>420</v>
      </c>
      <c r="T38" s="158">
        <v>420</v>
      </c>
      <c r="U38" s="160"/>
      <c r="V38" s="159"/>
      <c r="W38" s="159"/>
      <c r="X38" s="155"/>
      <c r="Y38" s="155" t="s">
        <v>1423</v>
      </c>
      <c r="Z38" s="155" t="s">
        <v>1442</v>
      </c>
      <c r="AA38" s="273">
        <f t="shared" si="9"/>
        <v>4.2</v>
      </c>
      <c r="AB38" s="273">
        <f t="shared" si="10"/>
        <v>4.2</v>
      </c>
      <c r="AC38" s="156">
        <f t="shared" si="11"/>
        <v>100</v>
      </c>
      <c r="AD38" s="274">
        <f t="shared" si="12"/>
        <v>420</v>
      </c>
      <c r="AE38" s="274">
        <f t="shared" si="13"/>
        <v>420</v>
      </c>
      <c r="AF38" s="129"/>
    </row>
    <row r="39" spans="1:32">
      <c r="A39" s="255" t="s">
        <v>1523</v>
      </c>
      <c r="B39" s="146" t="s">
        <v>1</v>
      </c>
      <c r="C39" s="155" t="s">
        <v>1422</v>
      </c>
      <c r="D39" s="147">
        <v>213</v>
      </c>
      <c r="E39" s="148" t="s">
        <v>1525</v>
      </c>
      <c r="F39" s="147"/>
      <c r="G39" s="147"/>
      <c r="H39" s="147">
        <v>22</v>
      </c>
      <c r="I39" s="149" t="str">
        <f t="shared" si="7"/>
        <v xml:space="preserve"> REGISTRO COTIZACION NO EVALUADA: 22</v>
      </c>
      <c r="J39" s="147"/>
      <c r="K39" s="336" t="s">
        <v>51</v>
      </c>
      <c r="L39" s="147">
        <v>100</v>
      </c>
      <c r="M39" s="147" t="s">
        <v>9</v>
      </c>
      <c r="N39" s="147" t="s">
        <v>1418</v>
      </c>
      <c r="O39" s="147" t="s">
        <v>98</v>
      </c>
      <c r="P39" s="147">
        <v>100</v>
      </c>
      <c r="Q39" s="150">
        <f t="shared" si="8"/>
        <v>0</v>
      </c>
      <c r="R39" s="151"/>
      <c r="S39" s="152">
        <v>440</v>
      </c>
      <c r="T39" s="158">
        <v>440</v>
      </c>
      <c r="U39" s="160"/>
      <c r="V39" s="159"/>
      <c r="W39" s="159"/>
      <c r="X39" s="155"/>
      <c r="Y39" s="155" t="s">
        <v>1423</v>
      </c>
      <c r="Z39" s="155" t="s">
        <v>1442</v>
      </c>
      <c r="AA39" s="273">
        <f t="shared" si="9"/>
        <v>4.4000000000000004</v>
      </c>
      <c r="AB39" s="273">
        <f t="shared" si="10"/>
        <v>4.4000000000000004</v>
      </c>
      <c r="AC39" s="156">
        <f t="shared" si="11"/>
        <v>100</v>
      </c>
      <c r="AD39" s="274">
        <f t="shared" si="12"/>
        <v>440.00000000000006</v>
      </c>
      <c r="AE39" s="274">
        <f t="shared" si="13"/>
        <v>440.00000000000006</v>
      </c>
      <c r="AF39" s="129"/>
    </row>
    <row r="40" spans="1:32">
      <c r="A40" s="255" t="s">
        <v>1523</v>
      </c>
      <c r="B40" s="146" t="s">
        <v>1</v>
      </c>
      <c r="C40" s="155" t="s">
        <v>1422</v>
      </c>
      <c r="D40" s="147">
        <v>213</v>
      </c>
      <c r="E40" s="148" t="s">
        <v>1525</v>
      </c>
      <c r="F40" s="147"/>
      <c r="G40" s="147"/>
      <c r="H40" s="147">
        <v>33</v>
      </c>
      <c r="I40" s="149" t="str">
        <f t="shared" si="7"/>
        <v xml:space="preserve"> REGISTRO COTIZACION NO EVALUADA: 33</v>
      </c>
      <c r="J40" s="147"/>
      <c r="K40" s="336" t="s">
        <v>59</v>
      </c>
      <c r="L40" s="147">
        <v>100</v>
      </c>
      <c r="M40" s="147" t="s">
        <v>9</v>
      </c>
      <c r="N40" s="147" t="s">
        <v>1418</v>
      </c>
      <c r="O40" s="147" t="s">
        <v>98</v>
      </c>
      <c r="P40" s="147">
        <v>100</v>
      </c>
      <c r="Q40" s="150">
        <f t="shared" si="8"/>
        <v>0</v>
      </c>
      <c r="R40" s="151"/>
      <c r="S40" s="152">
        <v>640</v>
      </c>
      <c r="T40" s="158">
        <v>640</v>
      </c>
      <c r="U40" s="160"/>
      <c r="V40" s="159"/>
      <c r="W40" s="159"/>
      <c r="X40" s="155"/>
      <c r="Y40" s="155" t="s">
        <v>1423</v>
      </c>
      <c r="Z40" s="155" t="s">
        <v>1442</v>
      </c>
      <c r="AA40" s="273">
        <f t="shared" si="9"/>
        <v>6.4</v>
      </c>
      <c r="AB40" s="273">
        <f t="shared" si="10"/>
        <v>6.4</v>
      </c>
      <c r="AC40" s="156">
        <f t="shared" si="11"/>
        <v>100</v>
      </c>
      <c r="AD40" s="274">
        <f t="shared" si="12"/>
        <v>640</v>
      </c>
      <c r="AE40" s="274">
        <f t="shared" si="13"/>
        <v>640</v>
      </c>
      <c r="AF40" s="129"/>
    </row>
    <row r="41" spans="1:32">
      <c r="A41" s="254" t="s">
        <v>1523</v>
      </c>
      <c r="B41" s="146" t="s">
        <v>1</v>
      </c>
      <c r="C41" s="155" t="s">
        <v>1422</v>
      </c>
      <c r="D41" s="147">
        <v>213</v>
      </c>
      <c r="E41" s="148" t="s">
        <v>1525</v>
      </c>
      <c r="F41" s="147"/>
      <c r="G41" s="147"/>
      <c r="H41" s="147">
        <v>36</v>
      </c>
      <c r="I41" s="149" t="str">
        <f t="shared" si="7"/>
        <v xml:space="preserve"> REGISTRO COTIZACION NO EVALUADA: 36</v>
      </c>
      <c r="J41" s="147"/>
      <c r="K41" s="336" t="s">
        <v>1340</v>
      </c>
      <c r="L41" s="147">
        <v>20</v>
      </c>
      <c r="M41" s="147" t="s">
        <v>9</v>
      </c>
      <c r="N41" s="147" t="s">
        <v>1416</v>
      </c>
      <c r="O41" s="147" t="s">
        <v>98</v>
      </c>
      <c r="P41" s="147">
        <v>20</v>
      </c>
      <c r="Q41" s="150">
        <f t="shared" si="8"/>
        <v>0</v>
      </c>
      <c r="R41" s="151"/>
      <c r="S41" s="152">
        <v>280</v>
      </c>
      <c r="T41" s="158">
        <v>280</v>
      </c>
      <c r="U41" s="160"/>
      <c r="V41" s="159"/>
      <c r="W41" s="159"/>
      <c r="X41" s="155"/>
      <c r="Y41" s="155" t="s">
        <v>1423</v>
      </c>
      <c r="Z41" s="155" t="s">
        <v>1442</v>
      </c>
      <c r="AA41" s="273">
        <f t="shared" si="9"/>
        <v>14</v>
      </c>
      <c r="AB41" s="273">
        <f t="shared" si="10"/>
        <v>14</v>
      </c>
      <c r="AC41" s="156">
        <f t="shared" si="11"/>
        <v>20</v>
      </c>
      <c r="AD41" s="274">
        <f t="shared" si="12"/>
        <v>280</v>
      </c>
      <c r="AE41" s="274">
        <f t="shared" si="13"/>
        <v>280</v>
      </c>
      <c r="AF41" s="129"/>
    </row>
    <row r="42" spans="1:32">
      <c r="A42" s="254" t="s">
        <v>1523</v>
      </c>
      <c r="B42" s="146" t="s">
        <v>1</v>
      </c>
      <c r="C42" s="155" t="s">
        <v>1422</v>
      </c>
      <c r="D42" s="147">
        <v>213</v>
      </c>
      <c r="E42" s="148" t="s">
        <v>1525</v>
      </c>
      <c r="F42" s="147"/>
      <c r="G42" s="147"/>
      <c r="H42" s="147">
        <v>36</v>
      </c>
      <c r="I42" s="149" t="str">
        <f t="shared" si="7"/>
        <v xml:space="preserve"> REGISTRO COTIZACION NO EVALUADA: 36</v>
      </c>
      <c r="J42" s="147"/>
      <c r="K42" s="336" t="s">
        <v>1340</v>
      </c>
      <c r="L42" s="147">
        <v>40</v>
      </c>
      <c r="M42" s="147" t="s">
        <v>9</v>
      </c>
      <c r="N42" s="147" t="s">
        <v>1417</v>
      </c>
      <c r="O42" s="147" t="s">
        <v>98</v>
      </c>
      <c r="P42" s="147">
        <v>40</v>
      </c>
      <c r="Q42" s="150">
        <f t="shared" si="8"/>
        <v>0</v>
      </c>
      <c r="R42" s="151"/>
      <c r="S42" s="152">
        <v>520</v>
      </c>
      <c r="T42" s="158">
        <v>520</v>
      </c>
      <c r="U42" s="160"/>
      <c r="V42" s="159"/>
      <c r="W42" s="159"/>
      <c r="X42" s="155"/>
      <c r="Y42" s="155" t="s">
        <v>1423</v>
      </c>
      <c r="Z42" s="155" t="s">
        <v>1442</v>
      </c>
      <c r="AA42" s="273">
        <f t="shared" si="9"/>
        <v>13</v>
      </c>
      <c r="AB42" s="273">
        <f t="shared" si="10"/>
        <v>13</v>
      </c>
      <c r="AC42" s="156">
        <f t="shared" si="11"/>
        <v>40</v>
      </c>
      <c r="AD42" s="274">
        <f t="shared" si="12"/>
        <v>520</v>
      </c>
      <c r="AE42" s="274">
        <f t="shared" si="13"/>
        <v>520</v>
      </c>
      <c r="AF42" s="129"/>
    </row>
    <row r="43" spans="1:32">
      <c r="A43" s="255" t="s">
        <v>1523</v>
      </c>
      <c r="B43" s="146" t="s">
        <v>1</v>
      </c>
      <c r="C43" s="155" t="s">
        <v>1422</v>
      </c>
      <c r="D43" s="147">
        <v>213</v>
      </c>
      <c r="E43" s="148" t="s">
        <v>1525</v>
      </c>
      <c r="F43" s="147"/>
      <c r="G43" s="147"/>
      <c r="H43" s="147">
        <v>42</v>
      </c>
      <c r="I43" s="149" t="str">
        <f t="shared" si="7"/>
        <v xml:space="preserve"> REGISTRO COTIZACION NO EVALUADA: 42</v>
      </c>
      <c r="J43" s="147"/>
      <c r="K43" s="336" t="s">
        <v>61</v>
      </c>
      <c r="L43" s="147">
        <v>100</v>
      </c>
      <c r="M43" s="147" t="s">
        <v>9</v>
      </c>
      <c r="N43" s="147" t="s">
        <v>1418</v>
      </c>
      <c r="O43" s="147" t="s">
        <v>98</v>
      </c>
      <c r="P43" s="147">
        <v>100</v>
      </c>
      <c r="Q43" s="150">
        <f t="shared" si="8"/>
        <v>0</v>
      </c>
      <c r="R43" s="151"/>
      <c r="S43" s="152">
        <v>380</v>
      </c>
      <c r="T43" s="158">
        <v>380</v>
      </c>
      <c r="U43" s="160"/>
      <c r="V43" s="159"/>
      <c r="W43" s="159"/>
      <c r="X43" s="155"/>
      <c r="Y43" s="155" t="s">
        <v>1423</v>
      </c>
      <c r="Z43" s="155" t="s">
        <v>1442</v>
      </c>
      <c r="AA43" s="273">
        <f t="shared" si="9"/>
        <v>3.8</v>
      </c>
      <c r="AB43" s="273">
        <f t="shared" si="10"/>
        <v>3.8</v>
      </c>
      <c r="AC43" s="156">
        <f t="shared" si="11"/>
        <v>100</v>
      </c>
      <c r="AD43" s="274">
        <f t="shared" si="12"/>
        <v>380</v>
      </c>
      <c r="AE43" s="274">
        <f t="shared" si="13"/>
        <v>380</v>
      </c>
      <c r="AF43" s="129"/>
    </row>
    <row r="44" spans="1:32">
      <c r="A44" s="255" t="s">
        <v>1523</v>
      </c>
      <c r="B44" s="146" t="s">
        <v>1</v>
      </c>
      <c r="C44" s="155" t="s">
        <v>1422</v>
      </c>
      <c r="D44" s="147">
        <v>213</v>
      </c>
      <c r="E44" s="148" t="s">
        <v>1525</v>
      </c>
      <c r="F44" s="147"/>
      <c r="G44" s="147"/>
      <c r="H44" s="147">
        <v>43</v>
      </c>
      <c r="I44" s="149" t="str">
        <f t="shared" si="7"/>
        <v xml:space="preserve"> REGISTRO COTIZACION NO EVALUADA: 43</v>
      </c>
      <c r="J44" s="147"/>
      <c r="K44" s="336" t="s">
        <v>62</v>
      </c>
      <c r="L44" s="147">
        <v>100</v>
      </c>
      <c r="M44" s="147" t="s">
        <v>9</v>
      </c>
      <c r="N44" s="147" t="s">
        <v>1418</v>
      </c>
      <c r="O44" s="147" t="s">
        <v>98</v>
      </c>
      <c r="P44" s="147">
        <v>100</v>
      </c>
      <c r="Q44" s="150">
        <f t="shared" si="8"/>
        <v>0</v>
      </c>
      <c r="R44" s="151"/>
      <c r="S44" s="152">
        <v>440</v>
      </c>
      <c r="T44" s="158">
        <v>440</v>
      </c>
      <c r="U44" s="160"/>
      <c r="V44" s="159"/>
      <c r="W44" s="159"/>
      <c r="X44" s="155"/>
      <c r="Y44" s="155" t="s">
        <v>1423</v>
      </c>
      <c r="Z44" s="155" t="s">
        <v>1442</v>
      </c>
      <c r="AA44" s="273">
        <f t="shared" si="9"/>
        <v>4.4000000000000004</v>
      </c>
      <c r="AB44" s="273">
        <f t="shared" si="10"/>
        <v>4.4000000000000004</v>
      </c>
      <c r="AC44" s="156">
        <f t="shared" si="11"/>
        <v>100</v>
      </c>
      <c r="AD44" s="274">
        <f t="shared" si="12"/>
        <v>440.00000000000006</v>
      </c>
      <c r="AE44" s="274">
        <f t="shared" si="13"/>
        <v>440.00000000000006</v>
      </c>
      <c r="AF44" s="129"/>
    </row>
    <row r="45" spans="1:32">
      <c r="A45" s="255" t="s">
        <v>1523</v>
      </c>
      <c r="B45" s="146" t="s">
        <v>1</v>
      </c>
      <c r="C45" s="155" t="s">
        <v>1422</v>
      </c>
      <c r="D45" s="147">
        <v>213</v>
      </c>
      <c r="E45" s="148" t="s">
        <v>1525</v>
      </c>
      <c r="F45" s="147"/>
      <c r="G45" s="147"/>
      <c r="H45" s="147">
        <v>46</v>
      </c>
      <c r="I45" s="149" t="str">
        <f t="shared" si="7"/>
        <v xml:space="preserve"> REGISTRO COTIZACION NO EVALUADA: 46</v>
      </c>
      <c r="J45" s="147"/>
      <c r="K45" s="336" t="s">
        <v>64</v>
      </c>
      <c r="L45" s="147">
        <v>100</v>
      </c>
      <c r="M45" s="147" t="s">
        <v>9</v>
      </c>
      <c r="N45" s="147" t="s">
        <v>1418</v>
      </c>
      <c r="O45" s="147" t="s">
        <v>98</v>
      </c>
      <c r="P45" s="147">
        <v>100</v>
      </c>
      <c r="Q45" s="150">
        <f t="shared" si="8"/>
        <v>0</v>
      </c>
      <c r="R45" s="151"/>
      <c r="S45" s="152">
        <v>540</v>
      </c>
      <c r="T45" s="158">
        <v>540</v>
      </c>
      <c r="U45" s="160"/>
      <c r="V45" s="159"/>
      <c r="W45" s="159"/>
      <c r="X45" s="155"/>
      <c r="Y45" s="155" t="s">
        <v>1423</v>
      </c>
      <c r="Z45" s="155" t="s">
        <v>1442</v>
      </c>
      <c r="AA45" s="273">
        <f t="shared" si="9"/>
        <v>5.4</v>
      </c>
      <c r="AB45" s="273">
        <f t="shared" si="10"/>
        <v>5.4</v>
      </c>
      <c r="AC45" s="156">
        <f t="shared" si="11"/>
        <v>100</v>
      </c>
      <c r="AD45" s="274">
        <f t="shared" si="12"/>
        <v>540</v>
      </c>
      <c r="AE45" s="274">
        <f t="shared" si="13"/>
        <v>540</v>
      </c>
      <c r="AF45" s="129"/>
    </row>
    <row r="46" spans="1:32">
      <c r="A46" s="255" t="s">
        <v>1523</v>
      </c>
      <c r="B46" s="146" t="s">
        <v>1</v>
      </c>
      <c r="C46" s="155" t="s">
        <v>1422</v>
      </c>
      <c r="D46" s="147">
        <v>213</v>
      </c>
      <c r="E46" s="148" t="s">
        <v>1525</v>
      </c>
      <c r="F46" s="147"/>
      <c r="G46" s="147"/>
      <c r="H46" s="147">
        <v>58</v>
      </c>
      <c r="I46" s="149" t="str">
        <f t="shared" si="7"/>
        <v xml:space="preserve"> REGISTRO COTIZACION NO EVALUADA: 58</v>
      </c>
      <c r="J46" s="147"/>
      <c r="K46" s="336" t="s">
        <v>67</v>
      </c>
      <c r="L46" s="147">
        <v>100</v>
      </c>
      <c r="M46" s="147" t="s">
        <v>9</v>
      </c>
      <c r="N46" s="147" t="s">
        <v>1418</v>
      </c>
      <c r="O46" s="147" t="s">
        <v>98</v>
      </c>
      <c r="P46" s="147">
        <v>100</v>
      </c>
      <c r="Q46" s="150">
        <f t="shared" si="8"/>
        <v>0</v>
      </c>
      <c r="R46" s="151"/>
      <c r="S46" s="152">
        <v>380</v>
      </c>
      <c r="T46" s="158">
        <v>380</v>
      </c>
      <c r="U46" s="160"/>
      <c r="V46" s="159"/>
      <c r="W46" s="159"/>
      <c r="X46" s="155"/>
      <c r="Y46" s="155" t="s">
        <v>1423</v>
      </c>
      <c r="Z46" s="155" t="s">
        <v>1442</v>
      </c>
      <c r="AA46" s="273">
        <f t="shared" si="9"/>
        <v>3.8</v>
      </c>
      <c r="AB46" s="273">
        <f t="shared" si="10"/>
        <v>3.8</v>
      </c>
      <c r="AC46" s="156">
        <f t="shared" si="11"/>
        <v>100</v>
      </c>
      <c r="AD46" s="274">
        <f t="shared" si="12"/>
        <v>380</v>
      </c>
      <c r="AE46" s="274">
        <f t="shared" si="13"/>
        <v>380</v>
      </c>
      <c r="AF46" s="129"/>
    </row>
    <row r="47" spans="1:32">
      <c r="A47" s="255" t="s">
        <v>1523</v>
      </c>
      <c r="B47" s="146" t="s">
        <v>1</v>
      </c>
      <c r="C47" s="155" t="s">
        <v>1422</v>
      </c>
      <c r="D47" s="147">
        <v>213</v>
      </c>
      <c r="E47" s="148" t="s">
        <v>1525</v>
      </c>
      <c r="F47" s="147"/>
      <c r="G47" s="147"/>
      <c r="H47" s="147">
        <v>59</v>
      </c>
      <c r="I47" s="149" t="str">
        <f t="shared" si="7"/>
        <v xml:space="preserve"> REGISTRO COTIZACION NO EVALUADA: 59</v>
      </c>
      <c r="J47" s="147"/>
      <c r="K47" s="336" t="s">
        <v>99</v>
      </c>
      <c r="L47" s="147">
        <v>100</v>
      </c>
      <c r="M47" s="147" t="s">
        <v>9</v>
      </c>
      <c r="N47" s="147" t="s">
        <v>1418</v>
      </c>
      <c r="O47" s="147" t="s">
        <v>98</v>
      </c>
      <c r="P47" s="147">
        <v>100</v>
      </c>
      <c r="Q47" s="150">
        <f t="shared" si="8"/>
        <v>0</v>
      </c>
      <c r="R47" s="151"/>
      <c r="S47" s="152">
        <v>440</v>
      </c>
      <c r="T47" s="158">
        <v>440</v>
      </c>
      <c r="U47" s="160"/>
      <c r="V47" s="159"/>
      <c r="W47" s="159"/>
      <c r="X47" s="155"/>
      <c r="Y47" s="155" t="s">
        <v>1423</v>
      </c>
      <c r="Z47" s="155" t="s">
        <v>1442</v>
      </c>
      <c r="AA47" s="273">
        <f t="shared" si="9"/>
        <v>4.4000000000000004</v>
      </c>
      <c r="AB47" s="273">
        <f t="shared" si="10"/>
        <v>4.4000000000000004</v>
      </c>
      <c r="AC47" s="156">
        <f t="shared" si="11"/>
        <v>100</v>
      </c>
      <c r="AD47" s="274">
        <f t="shared" si="12"/>
        <v>440.00000000000006</v>
      </c>
      <c r="AE47" s="274">
        <f t="shared" si="13"/>
        <v>440.00000000000006</v>
      </c>
      <c r="AF47" s="129"/>
    </row>
    <row r="48" spans="1:32">
      <c r="A48" s="255" t="s">
        <v>1523</v>
      </c>
      <c r="B48" s="146" t="s">
        <v>1</v>
      </c>
      <c r="C48" s="155" t="s">
        <v>1422</v>
      </c>
      <c r="D48" s="147">
        <v>213</v>
      </c>
      <c r="E48" s="148" t="s">
        <v>1525</v>
      </c>
      <c r="F48" s="147"/>
      <c r="G48" s="147"/>
      <c r="H48" s="147">
        <v>69</v>
      </c>
      <c r="I48" s="149" t="str">
        <f t="shared" si="7"/>
        <v xml:space="preserve"> REGISTRO COTIZACION NO EVALUADA: 69</v>
      </c>
      <c r="J48" s="147"/>
      <c r="K48" s="336" t="s">
        <v>70</v>
      </c>
      <c r="L48" s="147">
        <v>100</v>
      </c>
      <c r="M48" s="147" t="s">
        <v>9</v>
      </c>
      <c r="N48" s="147" t="s">
        <v>1418</v>
      </c>
      <c r="O48" s="147" t="s">
        <v>98</v>
      </c>
      <c r="P48" s="147">
        <v>100</v>
      </c>
      <c r="Q48" s="150">
        <f t="shared" si="8"/>
        <v>0</v>
      </c>
      <c r="R48" s="151"/>
      <c r="S48" s="152">
        <v>440</v>
      </c>
      <c r="T48" s="158">
        <v>440</v>
      </c>
      <c r="U48" s="160"/>
      <c r="V48" s="159"/>
      <c r="W48" s="159"/>
      <c r="X48" s="155"/>
      <c r="Y48" s="155" t="s">
        <v>1423</v>
      </c>
      <c r="Z48" s="155" t="s">
        <v>1442</v>
      </c>
      <c r="AA48" s="273">
        <f t="shared" si="9"/>
        <v>4.4000000000000004</v>
      </c>
      <c r="AB48" s="273">
        <f t="shared" si="10"/>
        <v>4.4000000000000004</v>
      </c>
      <c r="AC48" s="156">
        <f t="shared" si="11"/>
        <v>100</v>
      </c>
      <c r="AD48" s="274">
        <f t="shared" si="12"/>
        <v>440.00000000000006</v>
      </c>
      <c r="AE48" s="274">
        <f t="shared" si="13"/>
        <v>440.00000000000006</v>
      </c>
      <c r="AF48" s="129"/>
    </row>
    <row r="49" spans="1:32">
      <c r="A49" s="255" t="s">
        <v>1523</v>
      </c>
      <c r="B49" s="146" t="s">
        <v>1</v>
      </c>
      <c r="C49" s="155" t="s">
        <v>1422</v>
      </c>
      <c r="D49" s="147">
        <v>213</v>
      </c>
      <c r="E49" s="148" t="s">
        <v>1525</v>
      </c>
      <c r="F49" s="147"/>
      <c r="G49" s="147"/>
      <c r="H49" s="147">
        <v>70</v>
      </c>
      <c r="I49" s="149" t="str">
        <f t="shared" si="7"/>
        <v xml:space="preserve"> REGISTRO COTIZACION NO EVALUADA: 70</v>
      </c>
      <c r="J49" s="147"/>
      <c r="K49" s="336" t="s">
        <v>71</v>
      </c>
      <c r="L49" s="147">
        <v>100</v>
      </c>
      <c r="M49" s="147" t="s">
        <v>9</v>
      </c>
      <c r="N49" s="147" t="s">
        <v>1418</v>
      </c>
      <c r="O49" s="147" t="s">
        <v>98</v>
      </c>
      <c r="P49" s="147">
        <v>100</v>
      </c>
      <c r="Q49" s="150">
        <f t="shared" si="8"/>
        <v>0</v>
      </c>
      <c r="R49" s="151"/>
      <c r="S49" s="152">
        <v>580</v>
      </c>
      <c r="T49" s="158">
        <v>580</v>
      </c>
      <c r="U49" s="160"/>
      <c r="V49" s="159"/>
      <c r="W49" s="159"/>
      <c r="X49" s="155"/>
      <c r="Y49" s="155" t="s">
        <v>1423</v>
      </c>
      <c r="Z49" s="155" t="s">
        <v>1442</v>
      </c>
      <c r="AA49" s="273">
        <f t="shared" si="9"/>
        <v>5.8</v>
      </c>
      <c r="AB49" s="273">
        <f t="shared" si="10"/>
        <v>5.8</v>
      </c>
      <c r="AC49" s="156">
        <f t="shared" si="11"/>
        <v>100</v>
      </c>
      <c r="AD49" s="274">
        <f t="shared" si="12"/>
        <v>580</v>
      </c>
      <c r="AE49" s="274">
        <f t="shared" si="13"/>
        <v>580</v>
      </c>
      <c r="AF49" s="129"/>
    </row>
    <row r="50" spans="1:32">
      <c r="A50" s="254" t="s">
        <v>1523</v>
      </c>
      <c r="B50" s="146" t="s">
        <v>1</v>
      </c>
      <c r="C50" s="155" t="s">
        <v>1422</v>
      </c>
      <c r="D50" s="147">
        <v>215</v>
      </c>
      <c r="E50" s="157" t="s">
        <v>1591</v>
      </c>
      <c r="F50" s="147"/>
      <c r="G50" s="147"/>
      <c r="H50" s="147">
        <v>7</v>
      </c>
      <c r="I50" s="149" t="str">
        <f t="shared" si="7"/>
        <v xml:space="preserve"> REGISTRO COTIZACION NO EVALUADA: 7</v>
      </c>
      <c r="J50" s="147"/>
      <c r="K50" s="336" t="s">
        <v>57</v>
      </c>
      <c r="L50" s="147">
        <v>100</v>
      </c>
      <c r="M50" s="147" t="s">
        <v>9</v>
      </c>
      <c r="N50" s="147" t="s">
        <v>1518</v>
      </c>
      <c r="O50" s="147" t="s">
        <v>98</v>
      </c>
      <c r="P50" s="147">
        <v>1000</v>
      </c>
      <c r="Q50" s="150">
        <f t="shared" si="8"/>
        <v>0</v>
      </c>
      <c r="R50" s="151"/>
      <c r="S50" s="152">
        <v>1800</v>
      </c>
      <c r="T50" s="158">
        <v>1800</v>
      </c>
      <c r="U50" s="160"/>
      <c r="V50" s="159"/>
      <c r="W50" s="159"/>
      <c r="X50" s="155"/>
      <c r="Y50" s="155" t="s">
        <v>1423</v>
      </c>
      <c r="Z50" s="155" t="s">
        <v>1442</v>
      </c>
      <c r="AA50" s="273">
        <f t="shared" si="9"/>
        <v>1.8</v>
      </c>
      <c r="AB50" s="273">
        <f t="shared" si="10"/>
        <v>1.8</v>
      </c>
      <c r="AC50" s="156">
        <f t="shared" si="11"/>
        <v>1000</v>
      </c>
      <c r="AD50" s="274">
        <f t="shared" si="12"/>
        <v>1800</v>
      </c>
      <c r="AE50" s="274">
        <f t="shared" si="13"/>
        <v>1800</v>
      </c>
      <c r="AF50" s="129"/>
    </row>
    <row r="51" spans="1:32">
      <c r="A51" s="255" t="s">
        <v>1523</v>
      </c>
      <c r="B51" s="146" t="s">
        <v>1</v>
      </c>
      <c r="C51" s="155" t="s">
        <v>1422</v>
      </c>
      <c r="D51" s="147">
        <v>215</v>
      </c>
      <c r="E51" s="157" t="s">
        <v>1591</v>
      </c>
      <c r="F51" s="147"/>
      <c r="G51" s="147"/>
      <c r="H51" s="147">
        <v>8</v>
      </c>
      <c r="I51" s="149" t="str">
        <f t="shared" si="7"/>
        <v xml:space="preserve"> REGISTRO COTIZACION NO EVALUADA: 8</v>
      </c>
      <c r="J51" s="147"/>
      <c r="K51" s="336" t="s">
        <v>55</v>
      </c>
      <c r="L51" s="147">
        <v>100</v>
      </c>
      <c r="M51" s="147" t="s">
        <v>9</v>
      </c>
      <c r="N51" s="147" t="s">
        <v>1518</v>
      </c>
      <c r="O51" s="147" t="s">
        <v>98</v>
      </c>
      <c r="P51" s="147">
        <v>1000</v>
      </c>
      <c r="Q51" s="150">
        <f t="shared" si="8"/>
        <v>0</v>
      </c>
      <c r="R51" s="151"/>
      <c r="S51" s="152">
        <v>3000</v>
      </c>
      <c r="T51" s="158">
        <v>3000</v>
      </c>
      <c r="U51" s="160"/>
      <c r="V51" s="159"/>
      <c r="W51" s="159"/>
      <c r="X51" s="155"/>
      <c r="Y51" s="155" t="s">
        <v>1423</v>
      </c>
      <c r="Z51" s="155" t="s">
        <v>1442</v>
      </c>
      <c r="AA51" s="273">
        <f t="shared" si="9"/>
        <v>3</v>
      </c>
      <c r="AB51" s="273">
        <f t="shared" si="10"/>
        <v>3</v>
      </c>
      <c r="AC51" s="156">
        <f t="shared" si="11"/>
        <v>1000</v>
      </c>
      <c r="AD51" s="274">
        <f t="shared" si="12"/>
        <v>3000</v>
      </c>
      <c r="AE51" s="274">
        <f t="shared" si="13"/>
        <v>3000</v>
      </c>
      <c r="AF51" s="129"/>
    </row>
    <row r="52" spans="1:32">
      <c r="A52" s="255" t="s">
        <v>1523</v>
      </c>
      <c r="B52" s="146" t="s">
        <v>1</v>
      </c>
      <c r="C52" s="155" t="s">
        <v>1422</v>
      </c>
      <c r="D52" s="147">
        <v>215</v>
      </c>
      <c r="E52" s="157" t="s">
        <v>1591</v>
      </c>
      <c r="F52" s="147"/>
      <c r="G52" s="147"/>
      <c r="H52" s="147">
        <v>17</v>
      </c>
      <c r="I52" s="149" t="str">
        <f t="shared" si="7"/>
        <v xml:space="preserve"> REGISTRO COTIZACION NO EVALUADA: 17</v>
      </c>
      <c r="J52" s="147"/>
      <c r="K52" s="336" t="s">
        <v>53</v>
      </c>
      <c r="L52" s="147">
        <v>100</v>
      </c>
      <c r="M52" s="147" t="s">
        <v>9</v>
      </c>
      <c r="N52" s="147" t="s">
        <v>1518</v>
      </c>
      <c r="O52" s="147" t="s">
        <v>98</v>
      </c>
      <c r="P52" s="147">
        <v>1000</v>
      </c>
      <c r="Q52" s="150">
        <f t="shared" si="8"/>
        <v>0</v>
      </c>
      <c r="R52" s="151"/>
      <c r="S52" s="152">
        <v>3600</v>
      </c>
      <c r="T52" s="158">
        <v>3600</v>
      </c>
      <c r="U52" s="160"/>
      <c r="V52" s="159"/>
      <c r="W52" s="159"/>
      <c r="X52" s="155"/>
      <c r="Y52" s="155" t="s">
        <v>1423</v>
      </c>
      <c r="Z52" s="155" t="s">
        <v>1442</v>
      </c>
      <c r="AA52" s="273">
        <f t="shared" si="9"/>
        <v>3.6</v>
      </c>
      <c r="AB52" s="273">
        <f t="shared" si="10"/>
        <v>3.6</v>
      </c>
      <c r="AC52" s="156">
        <f t="shared" si="11"/>
        <v>1000</v>
      </c>
      <c r="AD52" s="274">
        <f t="shared" si="12"/>
        <v>3600</v>
      </c>
      <c r="AE52" s="274">
        <f t="shared" si="13"/>
        <v>3600</v>
      </c>
      <c r="AF52" s="129"/>
    </row>
    <row r="53" spans="1:32">
      <c r="A53" s="255" t="s">
        <v>1523</v>
      </c>
      <c r="B53" s="146" t="s">
        <v>1</v>
      </c>
      <c r="C53" s="155" t="s">
        <v>1422</v>
      </c>
      <c r="D53" s="147">
        <v>215</v>
      </c>
      <c r="E53" s="157" t="s">
        <v>1591</v>
      </c>
      <c r="F53" s="147"/>
      <c r="G53" s="147"/>
      <c r="H53" s="147">
        <v>22</v>
      </c>
      <c r="I53" s="149" t="str">
        <f t="shared" si="7"/>
        <v xml:space="preserve"> REGISTRO COTIZACION NO EVALUADA: 22</v>
      </c>
      <c r="J53" s="147"/>
      <c r="K53" s="336" t="s">
        <v>51</v>
      </c>
      <c r="L53" s="147">
        <v>100</v>
      </c>
      <c r="M53" s="147" t="s">
        <v>9</v>
      </c>
      <c r="N53" s="147" t="s">
        <v>1518</v>
      </c>
      <c r="O53" s="147" t="s">
        <v>98</v>
      </c>
      <c r="P53" s="147">
        <v>1000</v>
      </c>
      <c r="Q53" s="150">
        <f t="shared" si="8"/>
        <v>0</v>
      </c>
      <c r="R53" s="151"/>
      <c r="S53" s="152">
        <v>5000</v>
      </c>
      <c r="T53" s="158">
        <v>5000</v>
      </c>
      <c r="U53" s="160"/>
      <c r="V53" s="159"/>
      <c r="W53" s="159"/>
      <c r="X53" s="155"/>
      <c r="Y53" s="155" t="s">
        <v>1423</v>
      </c>
      <c r="Z53" s="155" t="s">
        <v>1442</v>
      </c>
      <c r="AA53" s="273">
        <f t="shared" si="9"/>
        <v>5</v>
      </c>
      <c r="AB53" s="273">
        <f t="shared" si="10"/>
        <v>5</v>
      </c>
      <c r="AC53" s="156">
        <f t="shared" si="11"/>
        <v>1000</v>
      </c>
      <c r="AD53" s="274">
        <f t="shared" si="12"/>
        <v>5000</v>
      </c>
      <c r="AE53" s="274">
        <f t="shared" si="13"/>
        <v>5000</v>
      </c>
      <c r="AF53" s="129"/>
    </row>
    <row r="54" spans="1:32">
      <c r="A54" s="255" t="s">
        <v>1523</v>
      </c>
      <c r="B54" s="146" t="s">
        <v>1</v>
      </c>
      <c r="C54" s="155" t="s">
        <v>1422</v>
      </c>
      <c r="D54" s="147">
        <v>215</v>
      </c>
      <c r="E54" s="157" t="s">
        <v>1591</v>
      </c>
      <c r="F54" s="147"/>
      <c r="G54" s="147"/>
      <c r="H54" s="147">
        <v>33</v>
      </c>
      <c r="I54" s="149" t="str">
        <f t="shared" si="7"/>
        <v xml:space="preserve"> REGISTRO COTIZACION NO EVALUADA: 33</v>
      </c>
      <c r="J54" s="147"/>
      <c r="K54" s="336" t="s">
        <v>59</v>
      </c>
      <c r="L54" s="147">
        <v>100</v>
      </c>
      <c r="M54" s="147" t="s">
        <v>9</v>
      </c>
      <c r="N54" s="147" t="s">
        <v>1518</v>
      </c>
      <c r="O54" s="147" t="s">
        <v>98</v>
      </c>
      <c r="P54" s="147">
        <v>1000</v>
      </c>
      <c r="Q54" s="150">
        <f t="shared" si="8"/>
        <v>0</v>
      </c>
      <c r="R54" s="151"/>
      <c r="S54" s="152">
        <v>7200</v>
      </c>
      <c r="T54" s="158">
        <v>7200</v>
      </c>
      <c r="U54" s="160"/>
      <c r="V54" s="159"/>
      <c r="W54" s="159"/>
      <c r="X54" s="155"/>
      <c r="Y54" s="155" t="s">
        <v>1423</v>
      </c>
      <c r="Z54" s="155" t="s">
        <v>1442</v>
      </c>
      <c r="AA54" s="273">
        <f t="shared" si="9"/>
        <v>7.2</v>
      </c>
      <c r="AB54" s="273">
        <f t="shared" si="10"/>
        <v>7.2</v>
      </c>
      <c r="AC54" s="156">
        <f t="shared" si="11"/>
        <v>1000</v>
      </c>
      <c r="AD54" s="274">
        <f t="shared" si="12"/>
        <v>7200</v>
      </c>
      <c r="AE54" s="274">
        <f t="shared" si="13"/>
        <v>7200</v>
      </c>
      <c r="AF54" s="129"/>
    </row>
    <row r="55" spans="1:32">
      <c r="A55" s="255" t="s">
        <v>1523</v>
      </c>
      <c r="B55" s="146" t="s">
        <v>1</v>
      </c>
      <c r="C55" s="155" t="s">
        <v>1422</v>
      </c>
      <c r="D55" s="147">
        <v>215</v>
      </c>
      <c r="E55" s="157" t="s">
        <v>1591</v>
      </c>
      <c r="F55" s="147"/>
      <c r="G55" s="147"/>
      <c r="H55" s="147">
        <v>42</v>
      </c>
      <c r="I55" s="149" t="str">
        <f t="shared" si="7"/>
        <v xml:space="preserve"> REGISTRO COTIZACION NO EVALUADA: 42</v>
      </c>
      <c r="J55" s="147"/>
      <c r="K55" s="336" t="s">
        <v>61</v>
      </c>
      <c r="L55" s="147">
        <v>100</v>
      </c>
      <c r="M55" s="147" t="s">
        <v>9</v>
      </c>
      <c r="N55" s="147" t="s">
        <v>1518</v>
      </c>
      <c r="O55" s="147" t="s">
        <v>98</v>
      </c>
      <c r="P55" s="147">
        <v>1000</v>
      </c>
      <c r="Q55" s="150">
        <f t="shared" si="8"/>
        <v>0</v>
      </c>
      <c r="R55" s="151"/>
      <c r="S55" s="152">
        <v>1800</v>
      </c>
      <c r="T55" s="158">
        <v>1800</v>
      </c>
      <c r="U55" s="160"/>
      <c r="V55" s="159"/>
      <c r="W55" s="159"/>
      <c r="X55" s="155"/>
      <c r="Y55" s="155" t="s">
        <v>1423</v>
      </c>
      <c r="Z55" s="155" t="s">
        <v>1442</v>
      </c>
      <c r="AA55" s="273">
        <f t="shared" si="9"/>
        <v>1.8</v>
      </c>
      <c r="AB55" s="273">
        <f t="shared" si="10"/>
        <v>1.8</v>
      </c>
      <c r="AC55" s="156">
        <f t="shared" si="11"/>
        <v>1000</v>
      </c>
      <c r="AD55" s="274">
        <f t="shared" si="12"/>
        <v>1800</v>
      </c>
      <c r="AE55" s="274">
        <f t="shared" si="13"/>
        <v>1800</v>
      </c>
      <c r="AF55" s="129"/>
    </row>
    <row r="56" spans="1:32">
      <c r="A56" s="255" t="s">
        <v>1523</v>
      </c>
      <c r="B56" s="146" t="s">
        <v>1</v>
      </c>
      <c r="C56" s="155" t="s">
        <v>1422</v>
      </c>
      <c r="D56" s="147">
        <v>215</v>
      </c>
      <c r="E56" s="157" t="s">
        <v>1591</v>
      </c>
      <c r="F56" s="147"/>
      <c r="G56" s="147"/>
      <c r="H56" s="147">
        <v>43</v>
      </c>
      <c r="I56" s="149" t="str">
        <f t="shared" si="7"/>
        <v xml:space="preserve"> REGISTRO COTIZACION NO EVALUADA: 43</v>
      </c>
      <c r="J56" s="147"/>
      <c r="K56" s="336" t="s">
        <v>62</v>
      </c>
      <c r="L56" s="147">
        <v>100</v>
      </c>
      <c r="M56" s="147" t="s">
        <v>9</v>
      </c>
      <c r="N56" s="147" t="s">
        <v>1518</v>
      </c>
      <c r="O56" s="147" t="s">
        <v>98</v>
      </c>
      <c r="P56" s="147">
        <v>1000</v>
      </c>
      <c r="Q56" s="150">
        <f t="shared" si="8"/>
        <v>0</v>
      </c>
      <c r="R56" s="151"/>
      <c r="S56" s="152">
        <v>6000</v>
      </c>
      <c r="T56" s="158">
        <v>6000</v>
      </c>
      <c r="U56" s="160"/>
      <c r="V56" s="159"/>
      <c r="W56" s="159"/>
      <c r="X56" s="155" t="s">
        <v>1593</v>
      </c>
      <c r="Y56" s="155" t="s">
        <v>1423</v>
      </c>
      <c r="Z56" s="155" t="s">
        <v>1442</v>
      </c>
      <c r="AA56" s="273">
        <f t="shared" si="9"/>
        <v>6</v>
      </c>
      <c r="AB56" s="273">
        <f t="shared" si="10"/>
        <v>6</v>
      </c>
      <c r="AC56" s="156">
        <f t="shared" si="11"/>
        <v>1000</v>
      </c>
      <c r="AD56" s="274">
        <f t="shared" si="12"/>
        <v>6000</v>
      </c>
      <c r="AE56" s="274">
        <f t="shared" si="13"/>
        <v>6000</v>
      </c>
      <c r="AF56" s="129"/>
    </row>
    <row r="57" spans="1:32">
      <c r="A57" s="255" t="s">
        <v>1523</v>
      </c>
      <c r="B57" s="146" t="s">
        <v>1</v>
      </c>
      <c r="C57" s="155" t="s">
        <v>1422</v>
      </c>
      <c r="D57" s="147">
        <v>215</v>
      </c>
      <c r="E57" s="157" t="s">
        <v>1591</v>
      </c>
      <c r="F57" s="147"/>
      <c r="G57" s="147"/>
      <c r="H57" s="147">
        <v>43</v>
      </c>
      <c r="I57" s="149" t="str">
        <f t="shared" si="7"/>
        <v xml:space="preserve"> REGISTRO COTIZACION NO EVALUADA: 43</v>
      </c>
      <c r="J57" s="147"/>
      <c r="K57" s="336" t="s">
        <v>62</v>
      </c>
      <c r="L57" s="147">
        <v>100</v>
      </c>
      <c r="M57" s="147" t="s">
        <v>9</v>
      </c>
      <c r="N57" s="147" t="s">
        <v>1518</v>
      </c>
      <c r="O57" s="147" t="s">
        <v>98</v>
      </c>
      <c r="P57" s="147">
        <v>1000</v>
      </c>
      <c r="Q57" s="150">
        <f t="shared" si="8"/>
        <v>0</v>
      </c>
      <c r="R57" s="151"/>
      <c r="S57" s="152">
        <v>5000</v>
      </c>
      <c r="T57" s="158">
        <v>5000</v>
      </c>
      <c r="U57" s="160"/>
      <c r="V57" s="159"/>
      <c r="W57" s="159"/>
      <c r="X57" s="155" t="s">
        <v>1594</v>
      </c>
      <c r="Y57" s="155" t="s">
        <v>1423</v>
      </c>
      <c r="Z57" s="155" t="s">
        <v>1442</v>
      </c>
      <c r="AA57" s="273">
        <f t="shared" si="9"/>
        <v>5</v>
      </c>
      <c r="AB57" s="273">
        <f t="shared" si="10"/>
        <v>5</v>
      </c>
      <c r="AC57" s="156">
        <f t="shared" si="11"/>
        <v>1000</v>
      </c>
      <c r="AD57" s="274">
        <f t="shared" si="12"/>
        <v>5000</v>
      </c>
      <c r="AE57" s="274">
        <f t="shared" si="13"/>
        <v>5000</v>
      </c>
      <c r="AF57" s="129"/>
    </row>
    <row r="58" spans="1:32">
      <c r="A58" s="255" t="s">
        <v>1523</v>
      </c>
      <c r="B58" s="146" t="s">
        <v>1</v>
      </c>
      <c r="C58" s="155" t="s">
        <v>1422</v>
      </c>
      <c r="D58" s="147">
        <v>215</v>
      </c>
      <c r="E58" s="157" t="s">
        <v>1591</v>
      </c>
      <c r="F58" s="147"/>
      <c r="G58" s="147"/>
      <c r="H58" s="147">
        <v>46</v>
      </c>
      <c r="I58" s="149" t="str">
        <f t="shared" si="7"/>
        <v xml:space="preserve"> REGISTRO COTIZACION NO EVALUADA: 46</v>
      </c>
      <c r="J58" s="147"/>
      <c r="K58" s="336" t="s">
        <v>64</v>
      </c>
      <c r="L58" s="147">
        <v>100</v>
      </c>
      <c r="M58" s="147" t="s">
        <v>9</v>
      </c>
      <c r="N58" s="147" t="s">
        <v>1518</v>
      </c>
      <c r="O58" s="147" t="s">
        <v>98</v>
      </c>
      <c r="P58" s="147">
        <v>1000</v>
      </c>
      <c r="Q58" s="150">
        <f t="shared" si="8"/>
        <v>0</v>
      </c>
      <c r="R58" s="151"/>
      <c r="S58" s="152">
        <v>5000</v>
      </c>
      <c r="T58" s="158">
        <v>5000</v>
      </c>
      <c r="U58" s="160"/>
      <c r="V58" s="159"/>
      <c r="W58" s="159"/>
      <c r="X58" s="155"/>
      <c r="Y58" s="155" t="s">
        <v>1423</v>
      </c>
      <c r="Z58" s="155" t="s">
        <v>1442</v>
      </c>
      <c r="AA58" s="273">
        <f t="shared" si="9"/>
        <v>5</v>
      </c>
      <c r="AB58" s="273">
        <f t="shared" si="10"/>
        <v>5</v>
      </c>
      <c r="AC58" s="156">
        <f t="shared" si="11"/>
        <v>1000</v>
      </c>
      <c r="AD58" s="274">
        <f t="shared" si="12"/>
        <v>5000</v>
      </c>
      <c r="AE58" s="274">
        <f t="shared" si="13"/>
        <v>5000</v>
      </c>
      <c r="AF58" s="129"/>
    </row>
    <row r="59" spans="1:32">
      <c r="A59" s="255" t="s">
        <v>1523</v>
      </c>
      <c r="B59" s="146" t="s">
        <v>1</v>
      </c>
      <c r="C59" s="155" t="s">
        <v>1422</v>
      </c>
      <c r="D59" s="147">
        <v>215</v>
      </c>
      <c r="E59" s="157" t="s">
        <v>1591</v>
      </c>
      <c r="F59" s="147"/>
      <c r="G59" s="147"/>
      <c r="H59" s="147">
        <v>58</v>
      </c>
      <c r="I59" s="149" t="str">
        <f t="shared" si="7"/>
        <v xml:space="preserve"> REGISTRO COTIZACION NO EVALUADA: 58</v>
      </c>
      <c r="J59" s="147"/>
      <c r="K59" s="336" t="s">
        <v>67</v>
      </c>
      <c r="L59" s="147">
        <v>100</v>
      </c>
      <c r="M59" s="147" t="s">
        <v>9</v>
      </c>
      <c r="N59" s="147" t="s">
        <v>1518</v>
      </c>
      <c r="O59" s="147" t="s">
        <v>98</v>
      </c>
      <c r="P59" s="147">
        <v>1000</v>
      </c>
      <c r="Q59" s="150">
        <f t="shared" si="8"/>
        <v>0</v>
      </c>
      <c r="R59" s="151"/>
      <c r="S59" s="152">
        <v>4200</v>
      </c>
      <c r="T59" s="158">
        <v>4200</v>
      </c>
      <c r="U59" s="160"/>
      <c r="V59" s="159"/>
      <c r="W59" s="159"/>
      <c r="X59" s="155"/>
      <c r="Y59" s="155" t="s">
        <v>1423</v>
      </c>
      <c r="Z59" s="155" t="s">
        <v>1442</v>
      </c>
      <c r="AA59" s="273">
        <f t="shared" si="9"/>
        <v>4.2</v>
      </c>
      <c r="AB59" s="273">
        <f t="shared" si="10"/>
        <v>4.2</v>
      </c>
      <c r="AC59" s="156">
        <f t="shared" si="11"/>
        <v>1000</v>
      </c>
      <c r="AD59" s="274">
        <f t="shared" si="12"/>
        <v>4200</v>
      </c>
      <c r="AE59" s="274">
        <f t="shared" si="13"/>
        <v>4200</v>
      </c>
      <c r="AF59" s="129"/>
    </row>
    <row r="60" spans="1:32">
      <c r="A60" s="255" t="s">
        <v>1523</v>
      </c>
      <c r="B60" s="146" t="s">
        <v>1</v>
      </c>
      <c r="C60" s="155" t="s">
        <v>1422</v>
      </c>
      <c r="D60" s="147">
        <v>215</v>
      </c>
      <c r="E60" s="157" t="s">
        <v>1591</v>
      </c>
      <c r="F60" s="147"/>
      <c r="G60" s="147"/>
      <c r="H60" s="147">
        <v>59</v>
      </c>
      <c r="I60" s="149" t="str">
        <f t="shared" si="7"/>
        <v xml:space="preserve"> REGISTRO COTIZACION NO EVALUADA: 59</v>
      </c>
      <c r="J60" s="147"/>
      <c r="K60" s="336" t="s">
        <v>99</v>
      </c>
      <c r="L60" s="147">
        <v>100</v>
      </c>
      <c r="M60" s="147" t="s">
        <v>9</v>
      </c>
      <c r="N60" s="147" t="s">
        <v>1518</v>
      </c>
      <c r="O60" s="147" t="s">
        <v>98</v>
      </c>
      <c r="P60" s="147">
        <v>1000</v>
      </c>
      <c r="Q60" s="150">
        <f t="shared" si="8"/>
        <v>0</v>
      </c>
      <c r="R60" s="151"/>
      <c r="S60" s="152">
        <v>4800</v>
      </c>
      <c r="T60" s="158">
        <v>4800</v>
      </c>
      <c r="U60" s="160"/>
      <c r="V60" s="159"/>
      <c r="W60" s="159"/>
      <c r="X60" s="155"/>
      <c r="Y60" s="155" t="s">
        <v>1423</v>
      </c>
      <c r="Z60" s="155" t="s">
        <v>1442</v>
      </c>
      <c r="AA60" s="273">
        <f t="shared" si="9"/>
        <v>4.8</v>
      </c>
      <c r="AB60" s="273">
        <f t="shared" si="10"/>
        <v>4.8</v>
      </c>
      <c r="AC60" s="156">
        <f t="shared" si="11"/>
        <v>1000</v>
      </c>
      <c r="AD60" s="274">
        <f t="shared" si="12"/>
        <v>4800</v>
      </c>
      <c r="AE60" s="274">
        <f t="shared" si="13"/>
        <v>4800</v>
      </c>
      <c r="AF60" s="129"/>
    </row>
    <row r="61" spans="1:32">
      <c r="A61" s="255" t="s">
        <v>1523</v>
      </c>
      <c r="B61" s="146" t="s">
        <v>1</v>
      </c>
      <c r="C61" s="155" t="s">
        <v>1422</v>
      </c>
      <c r="D61" s="147">
        <v>215</v>
      </c>
      <c r="E61" s="157" t="s">
        <v>1591</v>
      </c>
      <c r="F61" s="147"/>
      <c r="G61" s="147"/>
      <c r="H61" s="147">
        <v>69</v>
      </c>
      <c r="I61" s="149" t="str">
        <f t="shared" si="7"/>
        <v xml:space="preserve"> REGISTRO COTIZACION NO EVALUADA: 69</v>
      </c>
      <c r="J61" s="147"/>
      <c r="K61" s="336" t="s">
        <v>70</v>
      </c>
      <c r="L61" s="147">
        <v>100</v>
      </c>
      <c r="M61" s="147" t="s">
        <v>9</v>
      </c>
      <c r="N61" s="147" t="s">
        <v>1518</v>
      </c>
      <c r="O61" s="147" t="s">
        <v>98</v>
      </c>
      <c r="P61" s="147">
        <v>1000</v>
      </c>
      <c r="Q61" s="150">
        <f t="shared" si="8"/>
        <v>0</v>
      </c>
      <c r="R61" s="151"/>
      <c r="S61" s="152">
        <v>3000</v>
      </c>
      <c r="T61" s="158">
        <v>3000</v>
      </c>
      <c r="U61" s="160"/>
      <c r="V61" s="159"/>
      <c r="W61" s="159"/>
      <c r="X61" s="155"/>
      <c r="Y61" s="155" t="s">
        <v>1423</v>
      </c>
      <c r="Z61" s="155" t="s">
        <v>1442</v>
      </c>
      <c r="AA61" s="273">
        <f t="shared" si="9"/>
        <v>3</v>
      </c>
      <c r="AB61" s="273">
        <f t="shared" si="10"/>
        <v>3</v>
      </c>
      <c r="AC61" s="156">
        <f t="shared" si="11"/>
        <v>1000</v>
      </c>
      <c r="AD61" s="274">
        <f t="shared" si="12"/>
        <v>3000</v>
      </c>
      <c r="AE61" s="274">
        <f t="shared" si="13"/>
        <v>3000</v>
      </c>
      <c r="AF61" s="129"/>
    </row>
    <row r="62" spans="1:32">
      <c r="A62" s="255" t="s">
        <v>1523</v>
      </c>
      <c r="B62" s="146" t="s">
        <v>1</v>
      </c>
      <c r="C62" s="155" t="s">
        <v>1422</v>
      </c>
      <c r="D62" s="147">
        <v>215</v>
      </c>
      <c r="E62" s="157" t="s">
        <v>1591</v>
      </c>
      <c r="F62" s="147"/>
      <c r="G62" s="147"/>
      <c r="H62" s="147">
        <v>70</v>
      </c>
      <c r="I62" s="149" t="str">
        <f t="shared" si="7"/>
        <v xml:space="preserve"> REGISTRO COTIZACION NO EVALUADA: 70</v>
      </c>
      <c r="J62" s="147"/>
      <c r="K62" s="336" t="s">
        <v>71</v>
      </c>
      <c r="L62" s="147">
        <v>100</v>
      </c>
      <c r="M62" s="147" t="s">
        <v>9</v>
      </c>
      <c r="N62" s="147" t="s">
        <v>1518</v>
      </c>
      <c r="O62" s="147" t="s">
        <v>98</v>
      </c>
      <c r="P62" s="147">
        <v>1000</v>
      </c>
      <c r="Q62" s="150">
        <f t="shared" si="8"/>
        <v>0</v>
      </c>
      <c r="R62" s="151"/>
      <c r="S62" s="152">
        <v>5800</v>
      </c>
      <c r="T62" s="158">
        <v>5800</v>
      </c>
      <c r="U62" s="160"/>
      <c r="V62" s="159"/>
      <c r="W62" s="159"/>
      <c r="X62" s="155"/>
      <c r="Y62" s="155" t="s">
        <v>1423</v>
      </c>
      <c r="Z62" s="155" t="s">
        <v>1442</v>
      </c>
      <c r="AA62" s="273">
        <f t="shared" si="9"/>
        <v>5.8</v>
      </c>
      <c r="AB62" s="273">
        <f t="shared" si="10"/>
        <v>5.8</v>
      </c>
      <c r="AC62" s="156">
        <f t="shared" si="11"/>
        <v>1000</v>
      </c>
      <c r="AD62" s="274">
        <f t="shared" si="12"/>
        <v>5800</v>
      </c>
      <c r="AE62" s="274">
        <f t="shared" si="13"/>
        <v>5800</v>
      </c>
      <c r="AF62" s="129"/>
    </row>
    <row r="63" spans="1:32">
      <c r="A63" s="337" t="s">
        <v>1523</v>
      </c>
      <c r="B63" s="146" t="s">
        <v>1</v>
      </c>
      <c r="C63" s="155" t="s">
        <v>1422</v>
      </c>
      <c r="D63" s="147">
        <v>266</v>
      </c>
      <c r="E63" s="148" t="s">
        <v>1524</v>
      </c>
      <c r="F63" s="147" t="s">
        <v>106</v>
      </c>
      <c r="G63" s="147" t="s">
        <v>1429</v>
      </c>
      <c r="H63" s="147">
        <v>36</v>
      </c>
      <c r="I63" s="149">
        <f t="shared" si="7"/>
        <v>36</v>
      </c>
      <c r="J63" s="147"/>
      <c r="K63" s="336" t="s">
        <v>1340</v>
      </c>
      <c r="L63" s="147">
        <v>100</v>
      </c>
      <c r="M63" s="147" t="s">
        <v>9</v>
      </c>
      <c r="N63" s="147" t="s">
        <v>1518</v>
      </c>
      <c r="O63" s="147" t="s">
        <v>98</v>
      </c>
      <c r="P63" s="147">
        <v>1000</v>
      </c>
      <c r="Q63" s="150">
        <f t="shared" si="8"/>
        <v>0</v>
      </c>
      <c r="R63" s="151"/>
      <c r="S63" s="152">
        <v>4650</v>
      </c>
      <c r="T63" s="158">
        <v>4650</v>
      </c>
      <c r="U63" s="160"/>
      <c r="V63" s="159"/>
      <c r="W63" s="159"/>
      <c r="X63" s="155"/>
      <c r="Y63" s="155" t="s">
        <v>1423</v>
      </c>
      <c r="Z63" s="155" t="s">
        <v>1442</v>
      </c>
      <c r="AA63" s="273">
        <f t="shared" si="9"/>
        <v>4.6500000000000004</v>
      </c>
      <c r="AB63" s="273">
        <f t="shared" si="10"/>
        <v>4.6500000000000004</v>
      </c>
      <c r="AC63" s="156">
        <f t="shared" si="11"/>
        <v>1000</v>
      </c>
      <c r="AD63" s="274">
        <f t="shared" si="12"/>
        <v>4650</v>
      </c>
      <c r="AE63" s="274">
        <f t="shared" si="13"/>
        <v>4650</v>
      </c>
      <c r="AF63" s="129"/>
    </row>
    <row r="64" spans="1:32">
      <c r="A64" s="337" t="s">
        <v>1523</v>
      </c>
      <c r="B64" s="146" t="s">
        <v>1</v>
      </c>
      <c r="C64" s="155" t="s">
        <v>1422</v>
      </c>
      <c r="D64" s="147">
        <v>267</v>
      </c>
      <c r="E64" s="148" t="s">
        <v>1397</v>
      </c>
      <c r="F64" s="147" t="s">
        <v>106</v>
      </c>
      <c r="G64" s="147" t="s">
        <v>1429</v>
      </c>
      <c r="H64" s="147">
        <v>36</v>
      </c>
      <c r="I64" s="149">
        <f t="shared" si="7"/>
        <v>36</v>
      </c>
      <c r="J64" s="147"/>
      <c r="K64" s="336" t="s">
        <v>1340</v>
      </c>
      <c r="L64" s="147" t="s">
        <v>1414</v>
      </c>
      <c r="M64" s="147" t="s">
        <v>9</v>
      </c>
      <c r="N64" s="147" t="s">
        <v>1415</v>
      </c>
      <c r="O64" s="147" t="s">
        <v>98</v>
      </c>
      <c r="P64" s="147">
        <v>250</v>
      </c>
      <c r="Q64" s="150">
        <f t="shared" si="8"/>
        <v>0</v>
      </c>
      <c r="R64" s="151">
        <v>500</v>
      </c>
      <c r="S64" s="152">
        <v>3300</v>
      </c>
      <c r="T64" s="158">
        <v>3300</v>
      </c>
      <c r="U64" s="154">
        <v>3000</v>
      </c>
      <c r="V64" s="154">
        <v>3100</v>
      </c>
      <c r="W64" s="154">
        <v>3100</v>
      </c>
      <c r="X64" s="155" t="s">
        <v>1425</v>
      </c>
      <c r="Y64" s="155" t="s">
        <v>1423</v>
      </c>
      <c r="Z64" s="155" t="s">
        <v>1442</v>
      </c>
      <c r="AA64" s="273">
        <f t="shared" si="9"/>
        <v>13.2</v>
      </c>
      <c r="AB64" s="273">
        <f t="shared" si="10"/>
        <v>13.2</v>
      </c>
      <c r="AC64" s="156">
        <f t="shared" si="11"/>
        <v>250</v>
      </c>
      <c r="AD64" s="274">
        <f t="shared" si="12"/>
        <v>3300</v>
      </c>
      <c r="AE64" s="274">
        <f>AB64*AC64</f>
        <v>3300</v>
      </c>
      <c r="AF64" s="337"/>
    </row>
    <row r="65" spans="1:32">
      <c r="A65" s="337" t="s">
        <v>1523</v>
      </c>
      <c r="B65" s="146" t="s">
        <v>1</v>
      </c>
      <c r="C65" s="155" t="s">
        <v>1422</v>
      </c>
      <c r="D65" s="147">
        <v>269</v>
      </c>
      <c r="E65" s="148" t="s">
        <v>1399</v>
      </c>
      <c r="F65" s="147" t="s">
        <v>106</v>
      </c>
      <c r="G65" s="147" t="s">
        <v>1429</v>
      </c>
      <c r="H65" s="147">
        <v>42</v>
      </c>
      <c r="I65" s="149">
        <f t="shared" si="7"/>
        <v>42</v>
      </c>
      <c r="J65" s="147"/>
      <c r="K65" s="336" t="s">
        <v>61</v>
      </c>
      <c r="L65" s="147">
        <v>101</v>
      </c>
      <c r="M65" s="147" t="s">
        <v>9</v>
      </c>
      <c r="N65" s="147" t="s">
        <v>1420</v>
      </c>
      <c r="O65" s="147" t="s">
        <v>98</v>
      </c>
      <c r="P65" s="147">
        <v>500</v>
      </c>
      <c r="Q65" s="150">
        <f t="shared" si="8"/>
        <v>0</v>
      </c>
      <c r="R65" s="151"/>
      <c r="S65" s="152">
        <v>1945</v>
      </c>
      <c r="T65" s="158">
        <v>1945</v>
      </c>
      <c r="U65" s="153"/>
      <c r="V65" s="154"/>
      <c r="W65" s="154"/>
      <c r="X65" s="155"/>
      <c r="Y65" s="155" t="s">
        <v>1423</v>
      </c>
      <c r="Z65" s="155" t="s">
        <v>1442</v>
      </c>
      <c r="AA65" s="273">
        <f t="shared" si="9"/>
        <v>3.89</v>
      </c>
      <c r="AB65" s="273">
        <f t="shared" si="10"/>
        <v>3.89</v>
      </c>
      <c r="AC65" s="156">
        <f t="shared" si="11"/>
        <v>500</v>
      </c>
      <c r="AD65" s="274">
        <f t="shared" si="12"/>
        <v>1945</v>
      </c>
      <c r="AE65" s="274">
        <f t="shared" ref="AE65:AE101" si="14">AC65*AB65</f>
        <v>1945</v>
      </c>
      <c r="AF65" s="337"/>
    </row>
    <row r="66" spans="1:32">
      <c r="A66" s="337" t="s">
        <v>1523</v>
      </c>
      <c r="B66" s="146" t="s">
        <v>1</v>
      </c>
      <c r="C66" s="155" t="s">
        <v>1422</v>
      </c>
      <c r="D66" s="147">
        <v>269</v>
      </c>
      <c r="E66" s="148" t="s">
        <v>1399</v>
      </c>
      <c r="F66" s="147" t="s">
        <v>106</v>
      </c>
      <c r="G66" s="147" t="s">
        <v>1429</v>
      </c>
      <c r="H66" s="147">
        <v>46</v>
      </c>
      <c r="I66" s="149">
        <f t="shared" si="7"/>
        <v>46</v>
      </c>
      <c r="J66" s="147"/>
      <c r="K66" s="336" t="s">
        <v>64</v>
      </c>
      <c r="L66" s="147">
        <v>100</v>
      </c>
      <c r="M66" s="147" t="s">
        <v>9</v>
      </c>
      <c r="N66" s="147" t="s">
        <v>1421</v>
      </c>
      <c r="O66" s="147" t="s">
        <v>98</v>
      </c>
      <c r="P66" s="147">
        <v>55</v>
      </c>
      <c r="Q66" s="150">
        <f t="shared" si="8"/>
        <v>0</v>
      </c>
      <c r="R66" s="151"/>
      <c r="S66" s="152">
        <v>1240</v>
      </c>
      <c r="T66" s="158">
        <v>1240</v>
      </c>
      <c r="U66" s="153"/>
      <c r="V66" s="154"/>
      <c r="W66" s="154"/>
      <c r="X66" s="155"/>
      <c r="Y66" s="155" t="s">
        <v>1423</v>
      </c>
      <c r="Z66" s="155" t="s">
        <v>1442</v>
      </c>
      <c r="AA66" s="273">
        <f t="shared" si="9"/>
        <v>22.545454545454547</v>
      </c>
      <c r="AB66" s="273">
        <f t="shared" si="10"/>
        <v>22.545454545454547</v>
      </c>
      <c r="AC66" s="156">
        <f t="shared" si="11"/>
        <v>55</v>
      </c>
      <c r="AD66" s="274">
        <f t="shared" si="12"/>
        <v>1240</v>
      </c>
      <c r="AE66" s="274">
        <f t="shared" si="14"/>
        <v>1240</v>
      </c>
      <c r="AF66" s="337"/>
    </row>
    <row r="67" spans="1:32">
      <c r="A67" s="255" t="s">
        <v>1523</v>
      </c>
      <c r="B67" s="146" t="s">
        <v>1</v>
      </c>
      <c r="C67" s="155" t="s">
        <v>1422</v>
      </c>
      <c r="D67" s="147">
        <v>251</v>
      </c>
      <c r="E67" s="157" t="s">
        <v>1592</v>
      </c>
      <c r="F67" s="147"/>
      <c r="G67" s="147"/>
      <c r="H67" s="147">
        <v>8</v>
      </c>
      <c r="I67" s="149" t="str">
        <f t="shared" si="7"/>
        <v xml:space="preserve"> REGISTRO COTIZACION NO EVALUADA: 8</v>
      </c>
      <c r="J67" s="147"/>
      <c r="K67" s="336" t="s">
        <v>55</v>
      </c>
      <c r="L67" s="147">
        <v>100</v>
      </c>
      <c r="M67" s="147" t="s">
        <v>9</v>
      </c>
      <c r="N67" s="147" t="s">
        <v>1518</v>
      </c>
      <c r="O67" s="147" t="s">
        <v>98</v>
      </c>
      <c r="P67" s="147">
        <v>1000</v>
      </c>
      <c r="Q67" s="150">
        <f t="shared" si="8"/>
        <v>0</v>
      </c>
      <c r="R67" s="151"/>
      <c r="S67" s="152">
        <v>2500</v>
      </c>
      <c r="T67" s="158">
        <v>2500</v>
      </c>
      <c r="U67" s="160"/>
      <c r="V67" s="159"/>
      <c r="W67" s="159"/>
      <c r="X67" s="155"/>
      <c r="Y67" s="155" t="s">
        <v>1423</v>
      </c>
      <c r="Z67" s="155" t="s">
        <v>1442</v>
      </c>
      <c r="AA67" s="273">
        <f t="shared" si="9"/>
        <v>2.5</v>
      </c>
      <c r="AB67" s="273">
        <f t="shared" si="10"/>
        <v>2.5</v>
      </c>
      <c r="AC67" s="156">
        <f t="shared" si="11"/>
        <v>1000</v>
      </c>
      <c r="AD67" s="274">
        <f t="shared" si="12"/>
        <v>2500</v>
      </c>
      <c r="AE67" s="274">
        <f t="shared" si="14"/>
        <v>2500</v>
      </c>
      <c r="AF67" s="129"/>
    </row>
    <row r="68" spans="1:32">
      <c r="A68" s="255" t="s">
        <v>1523</v>
      </c>
      <c r="B68" s="146" t="s">
        <v>1</v>
      </c>
      <c r="C68" s="155" t="s">
        <v>1422</v>
      </c>
      <c r="D68" s="147">
        <v>251</v>
      </c>
      <c r="E68" s="157" t="s">
        <v>1592</v>
      </c>
      <c r="F68" s="147"/>
      <c r="G68" s="147"/>
      <c r="H68" s="147">
        <v>33</v>
      </c>
      <c r="I68" s="149" t="str">
        <f t="shared" si="7"/>
        <v xml:space="preserve"> REGISTRO COTIZACION NO EVALUADA: 33</v>
      </c>
      <c r="J68" s="147"/>
      <c r="K68" s="336" t="s">
        <v>59</v>
      </c>
      <c r="L68" s="147">
        <v>100</v>
      </c>
      <c r="M68" s="147" t="s">
        <v>9</v>
      </c>
      <c r="N68" s="147" t="s">
        <v>1518</v>
      </c>
      <c r="O68" s="147" t="s">
        <v>98</v>
      </c>
      <c r="P68" s="147">
        <v>1000</v>
      </c>
      <c r="Q68" s="150">
        <f t="shared" si="8"/>
        <v>0</v>
      </c>
      <c r="R68" s="151"/>
      <c r="S68" s="152">
        <v>4500</v>
      </c>
      <c r="T68" s="158">
        <v>4500</v>
      </c>
      <c r="U68" s="160"/>
      <c r="V68" s="159"/>
      <c r="W68" s="159"/>
      <c r="X68" s="155"/>
      <c r="Y68" s="155" t="s">
        <v>1423</v>
      </c>
      <c r="Z68" s="155" t="s">
        <v>1442</v>
      </c>
      <c r="AA68" s="273">
        <f t="shared" si="9"/>
        <v>4.5</v>
      </c>
      <c r="AB68" s="273">
        <f t="shared" si="10"/>
        <v>4.5</v>
      </c>
      <c r="AC68" s="156">
        <f t="shared" si="11"/>
        <v>1000</v>
      </c>
      <c r="AD68" s="274">
        <f t="shared" si="12"/>
        <v>4500</v>
      </c>
      <c r="AE68" s="274">
        <f t="shared" si="14"/>
        <v>4500</v>
      </c>
      <c r="AF68" s="129"/>
    </row>
    <row r="69" spans="1:32">
      <c r="A69" s="254" t="s">
        <v>1523</v>
      </c>
      <c r="B69" s="146" t="s">
        <v>1</v>
      </c>
      <c r="C69" s="155" t="s">
        <v>1422</v>
      </c>
      <c r="D69" s="147">
        <v>251</v>
      </c>
      <c r="E69" s="157" t="s">
        <v>1592</v>
      </c>
      <c r="F69" s="147"/>
      <c r="G69" s="147"/>
      <c r="H69" s="147">
        <v>59</v>
      </c>
      <c r="I69" s="149" t="str">
        <f t="shared" si="7"/>
        <v xml:space="preserve"> REGISTRO COTIZACION NO EVALUADA: 59</v>
      </c>
      <c r="J69" s="147"/>
      <c r="K69" s="336" t="s">
        <v>99</v>
      </c>
      <c r="L69" s="147">
        <v>100</v>
      </c>
      <c r="M69" s="147" t="s">
        <v>9</v>
      </c>
      <c r="N69" s="147" t="s">
        <v>1401</v>
      </c>
      <c r="O69" s="147" t="s">
        <v>98</v>
      </c>
      <c r="P69" s="147">
        <v>150</v>
      </c>
      <c r="Q69" s="150">
        <f t="shared" si="8"/>
        <v>0</v>
      </c>
      <c r="R69" s="151"/>
      <c r="S69" s="152">
        <v>1700</v>
      </c>
      <c r="T69" s="158">
        <v>1700</v>
      </c>
      <c r="U69" s="160"/>
      <c r="V69" s="159"/>
      <c r="W69" s="159"/>
      <c r="X69" s="155"/>
      <c r="Y69" s="155" t="s">
        <v>1423</v>
      </c>
      <c r="Z69" s="155" t="s">
        <v>1442</v>
      </c>
      <c r="AA69" s="273">
        <f t="shared" si="9"/>
        <v>11.333333333333334</v>
      </c>
      <c r="AB69" s="273">
        <f t="shared" si="10"/>
        <v>11.333333333333334</v>
      </c>
      <c r="AC69" s="156">
        <f t="shared" si="11"/>
        <v>150</v>
      </c>
      <c r="AD69" s="274">
        <f t="shared" si="12"/>
        <v>1700</v>
      </c>
      <c r="AE69" s="274">
        <f t="shared" si="14"/>
        <v>1700</v>
      </c>
      <c r="AF69" s="129"/>
    </row>
    <row r="70" spans="1:32">
      <c r="A70" s="254" t="s">
        <v>1523</v>
      </c>
      <c r="B70" s="146" t="s">
        <v>1</v>
      </c>
      <c r="C70" s="155" t="s">
        <v>1422</v>
      </c>
      <c r="D70" s="147">
        <v>251</v>
      </c>
      <c r="E70" s="157" t="s">
        <v>1592</v>
      </c>
      <c r="F70" s="147"/>
      <c r="G70" s="147"/>
      <c r="H70" s="147">
        <v>59</v>
      </c>
      <c r="I70" s="149" t="str">
        <f t="shared" si="7"/>
        <v xml:space="preserve"> REGISTRO COTIZACION NO EVALUADA: 59</v>
      </c>
      <c r="J70" s="147"/>
      <c r="K70" s="336" t="s">
        <v>99</v>
      </c>
      <c r="L70" s="147">
        <v>100</v>
      </c>
      <c r="M70" s="147" t="s">
        <v>9</v>
      </c>
      <c r="N70" s="147" t="s">
        <v>1517</v>
      </c>
      <c r="O70" s="147" t="s">
        <v>98</v>
      </c>
      <c r="P70" s="147">
        <v>400</v>
      </c>
      <c r="Q70" s="150">
        <f t="shared" si="8"/>
        <v>0</v>
      </c>
      <c r="R70" s="151"/>
      <c r="S70" s="152">
        <v>3700</v>
      </c>
      <c r="T70" s="158">
        <v>3700</v>
      </c>
      <c r="U70" s="160"/>
      <c r="V70" s="159"/>
      <c r="W70" s="159"/>
      <c r="X70" s="155"/>
      <c r="Y70" s="155" t="s">
        <v>1423</v>
      </c>
      <c r="Z70" s="155" t="s">
        <v>1442</v>
      </c>
      <c r="AA70" s="273">
        <f t="shared" si="9"/>
        <v>9.25</v>
      </c>
      <c r="AB70" s="273">
        <f t="shared" si="10"/>
        <v>9.25</v>
      </c>
      <c r="AC70" s="156">
        <f t="shared" si="11"/>
        <v>400</v>
      </c>
      <c r="AD70" s="274">
        <f t="shared" si="12"/>
        <v>3700</v>
      </c>
      <c r="AE70" s="274">
        <f t="shared" si="14"/>
        <v>3700</v>
      </c>
      <c r="AF70" s="129"/>
    </row>
    <row r="71" spans="1:32">
      <c r="A71" s="254" t="s">
        <v>1523</v>
      </c>
      <c r="B71" s="146" t="s">
        <v>1</v>
      </c>
      <c r="C71" s="155" t="s">
        <v>1422</v>
      </c>
      <c r="D71" s="147">
        <v>251</v>
      </c>
      <c r="E71" s="157" t="s">
        <v>1592</v>
      </c>
      <c r="F71" s="147"/>
      <c r="G71" s="147"/>
      <c r="H71" s="147">
        <v>59</v>
      </c>
      <c r="I71" s="149" t="str">
        <f t="shared" si="7"/>
        <v xml:space="preserve"> REGISTRO COTIZACION NO EVALUADA: 59</v>
      </c>
      <c r="J71" s="147"/>
      <c r="K71" s="336" t="s">
        <v>99</v>
      </c>
      <c r="L71" s="147">
        <v>100</v>
      </c>
      <c r="M71" s="147" t="s">
        <v>9</v>
      </c>
      <c r="N71" s="147" t="s">
        <v>1518</v>
      </c>
      <c r="O71" s="147" t="s">
        <v>98</v>
      </c>
      <c r="P71" s="147">
        <v>1000</v>
      </c>
      <c r="Q71" s="150">
        <f t="shared" si="8"/>
        <v>0</v>
      </c>
      <c r="R71" s="151"/>
      <c r="S71" s="152">
        <v>5000</v>
      </c>
      <c r="T71" s="158">
        <v>5000</v>
      </c>
      <c r="U71" s="160"/>
      <c r="V71" s="159"/>
      <c r="W71" s="159"/>
      <c r="X71" s="155"/>
      <c r="Y71" s="155" t="s">
        <v>1423</v>
      </c>
      <c r="Z71" s="155" t="s">
        <v>1442</v>
      </c>
      <c r="AA71" s="273">
        <f t="shared" si="9"/>
        <v>5</v>
      </c>
      <c r="AB71" s="273">
        <f t="shared" si="10"/>
        <v>5</v>
      </c>
      <c r="AC71" s="156">
        <f t="shared" si="11"/>
        <v>1000</v>
      </c>
      <c r="AD71" s="274">
        <f t="shared" si="12"/>
        <v>5000</v>
      </c>
      <c r="AE71" s="274">
        <f t="shared" si="14"/>
        <v>5000</v>
      </c>
      <c r="AF71" s="129"/>
    </row>
    <row r="72" spans="1:32">
      <c r="A72" s="254" t="s">
        <v>1523</v>
      </c>
      <c r="B72" s="146" t="s">
        <v>1</v>
      </c>
      <c r="C72" s="155" t="s">
        <v>1422</v>
      </c>
      <c r="D72" s="147">
        <v>212</v>
      </c>
      <c r="E72" s="148" t="s">
        <v>1515</v>
      </c>
      <c r="F72" s="147"/>
      <c r="G72" s="147"/>
      <c r="H72" s="147">
        <v>7</v>
      </c>
      <c r="I72" s="149" t="str">
        <f t="shared" si="7"/>
        <v xml:space="preserve"> REGISTRO COTIZACION NO EVALUADA: 7</v>
      </c>
      <c r="J72" s="147"/>
      <c r="K72" s="336" t="s">
        <v>57</v>
      </c>
      <c r="L72" s="147">
        <v>100</v>
      </c>
      <c r="M72" s="147" t="s">
        <v>9</v>
      </c>
      <c r="N72" s="147" t="s">
        <v>1518</v>
      </c>
      <c r="O72" s="147" t="s">
        <v>98</v>
      </c>
      <c r="P72" s="147">
        <v>1000</v>
      </c>
      <c r="Q72" s="150">
        <f t="shared" si="8"/>
        <v>0</v>
      </c>
      <c r="R72" s="151">
        <v>18</v>
      </c>
      <c r="S72" s="152">
        <v>1700</v>
      </c>
      <c r="T72" s="158">
        <v>1700</v>
      </c>
      <c r="U72" s="153"/>
      <c r="V72" s="154"/>
      <c r="W72" s="154"/>
      <c r="X72" s="155"/>
      <c r="Y72" s="155" t="s">
        <v>1423</v>
      </c>
      <c r="Z72" s="155" t="s">
        <v>1442</v>
      </c>
      <c r="AA72" s="273">
        <f t="shared" si="9"/>
        <v>1.7</v>
      </c>
      <c r="AB72" s="273">
        <f t="shared" si="10"/>
        <v>1.7</v>
      </c>
      <c r="AC72" s="156">
        <f t="shared" si="11"/>
        <v>1000</v>
      </c>
      <c r="AD72" s="274">
        <f t="shared" si="12"/>
        <v>1700</v>
      </c>
      <c r="AE72" s="274">
        <f t="shared" si="14"/>
        <v>1700</v>
      </c>
      <c r="AF72" s="146"/>
    </row>
    <row r="73" spans="1:32">
      <c r="A73" s="254" t="s">
        <v>1523</v>
      </c>
      <c r="B73" s="146" t="s">
        <v>1</v>
      </c>
      <c r="C73" s="155" t="s">
        <v>1422</v>
      </c>
      <c r="D73" s="147">
        <v>212</v>
      </c>
      <c r="E73" s="148" t="s">
        <v>1515</v>
      </c>
      <c r="F73" s="147"/>
      <c r="G73" s="147"/>
      <c r="H73" s="147">
        <v>8</v>
      </c>
      <c r="I73" s="149" t="str">
        <f t="shared" si="7"/>
        <v xml:space="preserve"> REGISTRO COTIZACION NO EVALUADA: 8</v>
      </c>
      <c r="J73" s="147"/>
      <c r="K73" s="336" t="s">
        <v>55</v>
      </c>
      <c r="L73" s="147">
        <v>100</v>
      </c>
      <c r="M73" s="147" t="s">
        <v>9</v>
      </c>
      <c r="N73" s="147" t="s">
        <v>1518</v>
      </c>
      <c r="O73" s="147" t="s">
        <v>98</v>
      </c>
      <c r="P73" s="147">
        <v>1000</v>
      </c>
      <c r="Q73" s="150">
        <f t="shared" si="8"/>
        <v>0</v>
      </c>
      <c r="R73" s="151">
        <v>18</v>
      </c>
      <c r="S73" s="152">
        <v>1950</v>
      </c>
      <c r="T73" s="158">
        <v>1950</v>
      </c>
      <c r="U73" s="153"/>
      <c r="V73" s="154"/>
      <c r="W73" s="154"/>
      <c r="X73" s="155"/>
      <c r="Y73" s="155" t="s">
        <v>1423</v>
      </c>
      <c r="Z73" s="155" t="s">
        <v>1442</v>
      </c>
      <c r="AA73" s="273">
        <f t="shared" si="9"/>
        <v>1.95</v>
      </c>
      <c r="AB73" s="273">
        <f t="shared" si="10"/>
        <v>1.95</v>
      </c>
      <c r="AC73" s="156">
        <f t="shared" si="11"/>
        <v>1000</v>
      </c>
      <c r="AD73" s="274">
        <f t="shared" si="12"/>
        <v>1950</v>
      </c>
      <c r="AE73" s="274">
        <f t="shared" si="14"/>
        <v>1950</v>
      </c>
      <c r="AF73" s="146"/>
    </row>
    <row r="74" spans="1:32">
      <c r="A74" s="254" t="s">
        <v>1523</v>
      </c>
      <c r="B74" s="146" t="s">
        <v>1</v>
      </c>
      <c r="C74" s="155" t="s">
        <v>1422</v>
      </c>
      <c r="D74" s="147">
        <v>212</v>
      </c>
      <c r="E74" s="148" t="s">
        <v>1515</v>
      </c>
      <c r="F74" s="147"/>
      <c r="G74" s="147"/>
      <c r="H74" s="147">
        <v>17</v>
      </c>
      <c r="I74" s="149" t="str">
        <f t="shared" si="7"/>
        <v xml:space="preserve"> REGISTRO COTIZACION NO EVALUADA: 17</v>
      </c>
      <c r="J74" s="147"/>
      <c r="K74" s="336" t="s">
        <v>53</v>
      </c>
      <c r="L74" s="147">
        <v>100</v>
      </c>
      <c r="M74" s="147" t="s">
        <v>9</v>
      </c>
      <c r="N74" s="147" t="s">
        <v>1518</v>
      </c>
      <c r="O74" s="147" t="s">
        <v>98</v>
      </c>
      <c r="P74" s="147">
        <v>1000</v>
      </c>
      <c r="Q74" s="150">
        <f t="shared" si="8"/>
        <v>0</v>
      </c>
      <c r="R74" s="151">
        <v>25</v>
      </c>
      <c r="S74" s="152">
        <v>2250</v>
      </c>
      <c r="T74" s="158">
        <v>2250</v>
      </c>
      <c r="U74" s="153"/>
      <c r="V74" s="154"/>
      <c r="W74" s="154"/>
      <c r="X74" s="155"/>
      <c r="Y74" s="155" t="s">
        <v>1423</v>
      </c>
      <c r="Z74" s="155" t="s">
        <v>1442</v>
      </c>
      <c r="AA74" s="273">
        <f t="shared" si="9"/>
        <v>2.25</v>
      </c>
      <c r="AB74" s="273">
        <f t="shared" si="10"/>
        <v>2.25</v>
      </c>
      <c r="AC74" s="156">
        <f t="shared" si="11"/>
        <v>1000</v>
      </c>
      <c r="AD74" s="274">
        <f t="shared" si="12"/>
        <v>2250</v>
      </c>
      <c r="AE74" s="274">
        <f t="shared" si="14"/>
        <v>2250</v>
      </c>
      <c r="AF74" s="146"/>
    </row>
    <row r="75" spans="1:32">
      <c r="A75" s="254" t="s">
        <v>1523</v>
      </c>
      <c r="B75" s="146" t="s">
        <v>1</v>
      </c>
      <c r="C75" s="155" t="s">
        <v>1422</v>
      </c>
      <c r="D75" s="147">
        <v>212</v>
      </c>
      <c r="E75" s="148" t="s">
        <v>1515</v>
      </c>
      <c r="F75" s="147"/>
      <c r="G75" s="147"/>
      <c r="H75" s="147">
        <v>22</v>
      </c>
      <c r="I75" s="149" t="str">
        <f t="shared" si="7"/>
        <v xml:space="preserve"> REGISTRO COTIZACION NO EVALUADA: 22</v>
      </c>
      <c r="J75" s="147"/>
      <c r="K75" s="336" t="s">
        <v>51</v>
      </c>
      <c r="L75" s="147">
        <v>100</v>
      </c>
      <c r="M75" s="147" t="s">
        <v>9</v>
      </c>
      <c r="N75" s="147" t="s">
        <v>1518</v>
      </c>
      <c r="O75" s="147" t="s">
        <v>98</v>
      </c>
      <c r="P75" s="147">
        <v>1000</v>
      </c>
      <c r="Q75" s="150">
        <f t="shared" si="8"/>
        <v>0</v>
      </c>
      <c r="R75" s="151">
        <v>14</v>
      </c>
      <c r="S75" s="152">
        <v>4900</v>
      </c>
      <c r="T75" s="158">
        <v>4900</v>
      </c>
      <c r="U75" s="153"/>
      <c r="V75" s="154"/>
      <c r="W75" s="154"/>
      <c r="X75" s="155"/>
      <c r="Y75" s="155" t="s">
        <v>1423</v>
      </c>
      <c r="Z75" s="155" t="s">
        <v>1442</v>
      </c>
      <c r="AA75" s="273">
        <f t="shared" si="9"/>
        <v>4.9000000000000004</v>
      </c>
      <c r="AB75" s="273">
        <f t="shared" si="10"/>
        <v>4.9000000000000004</v>
      </c>
      <c r="AC75" s="156">
        <f t="shared" si="11"/>
        <v>1000</v>
      </c>
      <c r="AD75" s="274">
        <f t="shared" si="12"/>
        <v>4900</v>
      </c>
      <c r="AE75" s="274">
        <f t="shared" si="14"/>
        <v>4900</v>
      </c>
      <c r="AF75" s="146"/>
    </row>
    <row r="76" spans="1:32">
      <c r="A76" s="254" t="s">
        <v>1523</v>
      </c>
      <c r="B76" s="146" t="s">
        <v>1</v>
      </c>
      <c r="C76" s="155" t="s">
        <v>1422</v>
      </c>
      <c r="D76" s="147">
        <v>212</v>
      </c>
      <c r="E76" s="148" t="s">
        <v>1515</v>
      </c>
      <c r="F76" s="147"/>
      <c r="G76" s="147"/>
      <c r="H76" s="147">
        <v>33</v>
      </c>
      <c r="I76" s="149" t="str">
        <f t="shared" si="7"/>
        <v xml:space="preserve"> REGISTRO COTIZACION NO EVALUADA: 33</v>
      </c>
      <c r="J76" s="147"/>
      <c r="K76" s="336" t="s">
        <v>59</v>
      </c>
      <c r="L76" s="147">
        <v>100</v>
      </c>
      <c r="M76" s="147" t="s">
        <v>9</v>
      </c>
      <c r="N76" s="147" t="s">
        <v>1518</v>
      </c>
      <c r="O76" s="147" t="s">
        <v>98</v>
      </c>
      <c r="P76" s="147">
        <v>1000</v>
      </c>
      <c r="Q76" s="150">
        <f t="shared" si="8"/>
        <v>0</v>
      </c>
      <c r="R76" s="151">
        <v>8</v>
      </c>
      <c r="S76" s="152">
        <v>3950</v>
      </c>
      <c r="T76" s="158">
        <v>3950</v>
      </c>
      <c r="U76" s="153"/>
      <c r="V76" s="154"/>
      <c r="W76" s="154"/>
      <c r="X76" s="155"/>
      <c r="Y76" s="155" t="s">
        <v>1423</v>
      </c>
      <c r="Z76" s="155" t="s">
        <v>1442</v>
      </c>
      <c r="AA76" s="273">
        <f t="shared" si="9"/>
        <v>3.95</v>
      </c>
      <c r="AB76" s="273">
        <f t="shared" si="10"/>
        <v>3.95</v>
      </c>
      <c r="AC76" s="156">
        <f t="shared" si="11"/>
        <v>1000</v>
      </c>
      <c r="AD76" s="274">
        <f t="shared" si="12"/>
        <v>3950</v>
      </c>
      <c r="AE76" s="274">
        <f t="shared" si="14"/>
        <v>3950</v>
      </c>
      <c r="AF76" s="146"/>
    </row>
    <row r="77" spans="1:32">
      <c r="A77" s="254" t="s">
        <v>1523</v>
      </c>
      <c r="B77" s="146" t="s">
        <v>1</v>
      </c>
      <c r="C77" s="155" t="s">
        <v>1422</v>
      </c>
      <c r="D77" s="147">
        <v>212</v>
      </c>
      <c r="E77" s="148" t="s">
        <v>1515</v>
      </c>
      <c r="F77" s="147"/>
      <c r="G77" s="147"/>
      <c r="H77" s="147">
        <v>36</v>
      </c>
      <c r="I77" s="149" t="str">
        <f t="shared" si="7"/>
        <v xml:space="preserve"> REGISTRO COTIZACION NO EVALUADA: 36</v>
      </c>
      <c r="J77" s="147"/>
      <c r="K77" s="336" t="s">
        <v>1340</v>
      </c>
      <c r="L77" s="147">
        <v>100</v>
      </c>
      <c r="M77" s="147" t="s">
        <v>9</v>
      </c>
      <c r="N77" s="147" t="s">
        <v>1518</v>
      </c>
      <c r="O77" s="147" t="s">
        <v>98</v>
      </c>
      <c r="P77" s="147">
        <v>1000</v>
      </c>
      <c r="Q77" s="150">
        <f t="shared" si="8"/>
        <v>0</v>
      </c>
      <c r="R77" s="151">
        <v>10</v>
      </c>
      <c r="S77" s="152">
        <v>12500</v>
      </c>
      <c r="T77" s="158">
        <v>12500</v>
      </c>
      <c r="U77" s="153"/>
      <c r="V77" s="154"/>
      <c r="W77" s="154"/>
      <c r="X77" s="155"/>
      <c r="Y77" s="155" t="s">
        <v>1423</v>
      </c>
      <c r="Z77" s="155" t="s">
        <v>1442</v>
      </c>
      <c r="AA77" s="273">
        <f t="shared" si="9"/>
        <v>12.5</v>
      </c>
      <c r="AB77" s="273">
        <f t="shared" si="10"/>
        <v>12.5</v>
      </c>
      <c r="AC77" s="156">
        <f t="shared" si="11"/>
        <v>1000</v>
      </c>
      <c r="AD77" s="274">
        <f t="shared" si="12"/>
        <v>12500</v>
      </c>
      <c r="AE77" s="274">
        <f t="shared" si="14"/>
        <v>12500</v>
      </c>
      <c r="AF77" s="146"/>
    </row>
    <row r="78" spans="1:32">
      <c r="A78" s="254" t="s">
        <v>1523</v>
      </c>
      <c r="B78" s="146" t="s">
        <v>1</v>
      </c>
      <c r="C78" s="155" t="s">
        <v>1422</v>
      </c>
      <c r="D78" s="147">
        <v>212</v>
      </c>
      <c r="E78" s="148" t="s">
        <v>1515</v>
      </c>
      <c r="F78" s="147"/>
      <c r="G78" s="147"/>
      <c r="H78" s="147">
        <v>42</v>
      </c>
      <c r="I78" s="149" t="str">
        <f t="shared" si="7"/>
        <v xml:space="preserve"> REGISTRO COTIZACION NO EVALUADA: 42</v>
      </c>
      <c r="J78" s="147"/>
      <c r="K78" s="336" t="s">
        <v>61</v>
      </c>
      <c r="L78" s="147">
        <v>100</v>
      </c>
      <c r="M78" s="147" t="s">
        <v>9</v>
      </c>
      <c r="N78" s="147" t="s">
        <v>1518</v>
      </c>
      <c r="O78" s="147" t="s">
        <v>98</v>
      </c>
      <c r="P78" s="147">
        <v>1000</v>
      </c>
      <c r="Q78" s="150">
        <f t="shared" si="8"/>
        <v>0</v>
      </c>
      <c r="R78" s="151">
        <v>20</v>
      </c>
      <c r="S78" s="152">
        <v>3500</v>
      </c>
      <c r="T78" s="158">
        <v>3500</v>
      </c>
      <c r="U78" s="153"/>
      <c r="V78" s="154"/>
      <c r="W78" s="154"/>
      <c r="X78" s="155"/>
      <c r="Y78" s="155" t="s">
        <v>1423</v>
      </c>
      <c r="Z78" s="155" t="s">
        <v>1442</v>
      </c>
      <c r="AA78" s="273">
        <f t="shared" si="9"/>
        <v>3.5</v>
      </c>
      <c r="AB78" s="273">
        <f t="shared" si="10"/>
        <v>3.5</v>
      </c>
      <c r="AC78" s="156">
        <f t="shared" si="11"/>
        <v>1000</v>
      </c>
      <c r="AD78" s="274">
        <f t="shared" si="12"/>
        <v>3500</v>
      </c>
      <c r="AE78" s="274">
        <f t="shared" si="14"/>
        <v>3500</v>
      </c>
      <c r="AF78" s="337"/>
    </row>
    <row r="79" spans="1:32">
      <c r="A79" s="254" t="s">
        <v>1523</v>
      </c>
      <c r="B79" s="146" t="s">
        <v>1</v>
      </c>
      <c r="C79" s="155" t="s">
        <v>1422</v>
      </c>
      <c r="D79" s="147">
        <v>212</v>
      </c>
      <c r="E79" s="148" t="s">
        <v>1515</v>
      </c>
      <c r="F79" s="147"/>
      <c r="G79" s="147"/>
      <c r="H79" s="147">
        <v>43</v>
      </c>
      <c r="I79" s="149" t="str">
        <f t="shared" si="7"/>
        <v xml:space="preserve"> REGISTRO COTIZACION NO EVALUADA: 43</v>
      </c>
      <c r="J79" s="147"/>
      <c r="K79" s="336" t="s">
        <v>62</v>
      </c>
      <c r="L79" s="147">
        <v>100</v>
      </c>
      <c r="M79" s="147" t="s">
        <v>9</v>
      </c>
      <c r="N79" s="147" t="s">
        <v>1518</v>
      </c>
      <c r="O79" s="147" t="s">
        <v>98</v>
      </c>
      <c r="P79" s="147">
        <v>1000</v>
      </c>
      <c r="Q79" s="150">
        <f t="shared" si="8"/>
        <v>0</v>
      </c>
      <c r="R79" s="151">
        <v>14</v>
      </c>
      <c r="S79" s="152">
        <v>3500</v>
      </c>
      <c r="T79" s="158">
        <v>3500</v>
      </c>
      <c r="U79" s="153"/>
      <c r="V79" s="154"/>
      <c r="W79" s="154"/>
      <c r="X79" s="155"/>
      <c r="Y79" s="155" t="s">
        <v>1423</v>
      </c>
      <c r="Z79" s="155" t="s">
        <v>1442</v>
      </c>
      <c r="AA79" s="273">
        <f t="shared" si="9"/>
        <v>3.5</v>
      </c>
      <c r="AB79" s="273">
        <f t="shared" si="10"/>
        <v>3.5</v>
      </c>
      <c r="AC79" s="156">
        <f t="shared" si="11"/>
        <v>1000</v>
      </c>
      <c r="AD79" s="274">
        <f t="shared" si="12"/>
        <v>3500</v>
      </c>
      <c r="AE79" s="274">
        <f t="shared" si="14"/>
        <v>3500</v>
      </c>
      <c r="AF79" s="337"/>
    </row>
    <row r="80" spans="1:32">
      <c r="A80" s="254" t="s">
        <v>1523</v>
      </c>
      <c r="B80" s="146" t="s">
        <v>1</v>
      </c>
      <c r="C80" s="155" t="s">
        <v>1422</v>
      </c>
      <c r="D80" s="147">
        <v>212</v>
      </c>
      <c r="E80" s="148" t="s">
        <v>1515</v>
      </c>
      <c r="F80" s="147"/>
      <c r="G80" s="147"/>
      <c r="H80" s="147">
        <v>46</v>
      </c>
      <c r="I80" s="149" t="str">
        <f t="shared" si="7"/>
        <v xml:space="preserve"> REGISTRO COTIZACION NO EVALUADA: 46</v>
      </c>
      <c r="J80" s="147"/>
      <c r="K80" s="336" t="s">
        <v>64</v>
      </c>
      <c r="L80" s="147">
        <v>100</v>
      </c>
      <c r="M80" s="147" t="s">
        <v>9</v>
      </c>
      <c r="N80" s="147" t="s">
        <v>1400</v>
      </c>
      <c r="O80" s="147" t="s">
        <v>98</v>
      </c>
      <c r="P80" s="147">
        <v>200</v>
      </c>
      <c r="Q80" s="150">
        <f t="shared" si="8"/>
        <v>0</v>
      </c>
      <c r="R80" s="151">
        <v>1</v>
      </c>
      <c r="S80" s="152">
        <v>700</v>
      </c>
      <c r="T80" s="158">
        <v>700</v>
      </c>
      <c r="U80" s="153"/>
      <c r="V80" s="154"/>
      <c r="W80" s="154"/>
      <c r="X80" s="155"/>
      <c r="Y80" s="155" t="s">
        <v>1423</v>
      </c>
      <c r="Z80" s="155" t="s">
        <v>1442</v>
      </c>
      <c r="AA80" s="273">
        <f t="shared" si="9"/>
        <v>3.5</v>
      </c>
      <c r="AB80" s="273">
        <f t="shared" si="10"/>
        <v>3.5</v>
      </c>
      <c r="AC80" s="156">
        <f t="shared" si="11"/>
        <v>200</v>
      </c>
      <c r="AD80" s="274">
        <f t="shared" si="12"/>
        <v>700</v>
      </c>
      <c r="AE80" s="274">
        <f t="shared" si="14"/>
        <v>700</v>
      </c>
      <c r="AF80" s="337"/>
    </row>
    <row r="81" spans="1:32">
      <c r="A81" s="255" t="s">
        <v>1523</v>
      </c>
      <c r="B81" s="146" t="s">
        <v>1</v>
      </c>
      <c r="C81" s="155" t="s">
        <v>1422</v>
      </c>
      <c r="D81" s="147">
        <v>212</v>
      </c>
      <c r="E81" s="148" t="s">
        <v>1515</v>
      </c>
      <c r="F81" s="147"/>
      <c r="G81" s="147"/>
      <c r="H81" s="147">
        <v>58</v>
      </c>
      <c r="I81" s="149" t="str">
        <f t="shared" si="7"/>
        <v xml:space="preserve"> REGISTRO COTIZACION NO EVALUADA: 58</v>
      </c>
      <c r="J81" s="147"/>
      <c r="K81" s="336" t="s">
        <v>67</v>
      </c>
      <c r="L81" s="147">
        <v>100</v>
      </c>
      <c r="M81" s="147" t="s">
        <v>9</v>
      </c>
      <c r="N81" s="147" t="s">
        <v>1519</v>
      </c>
      <c r="O81" s="147" t="s">
        <v>98</v>
      </c>
      <c r="P81" s="147">
        <v>220</v>
      </c>
      <c r="Q81" s="150">
        <f t="shared" si="8"/>
        <v>0</v>
      </c>
      <c r="R81" s="151">
        <v>1</v>
      </c>
      <c r="S81" s="152">
        <v>850</v>
      </c>
      <c r="T81" s="158">
        <v>850</v>
      </c>
      <c r="U81" s="153"/>
      <c r="V81" s="154"/>
      <c r="W81" s="154"/>
      <c r="X81" s="155"/>
      <c r="Y81" s="155" t="s">
        <v>1423</v>
      </c>
      <c r="Z81" s="155" t="s">
        <v>1442</v>
      </c>
      <c r="AA81" s="273">
        <f t="shared" si="9"/>
        <v>3.8636363636363638</v>
      </c>
      <c r="AB81" s="273">
        <f t="shared" si="10"/>
        <v>3.8636363636363638</v>
      </c>
      <c r="AC81" s="156">
        <f t="shared" si="11"/>
        <v>220</v>
      </c>
      <c r="AD81" s="274">
        <f t="shared" si="12"/>
        <v>850</v>
      </c>
      <c r="AE81" s="274">
        <f t="shared" si="14"/>
        <v>850</v>
      </c>
      <c r="AF81" s="337"/>
    </row>
    <row r="82" spans="1:32">
      <c r="A82" s="254" t="s">
        <v>1523</v>
      </c>
      <c r="B82" s="146" t="s">
        <v>1</v>
      </c>
      <c r="C82" s="155" t="s">
        <v>1422</v>
      </c>
      <c r="D82" s="147">
        <v>212</v>
      </c>
      <c r="E82" s="148" t="s">
        <v>1515</v>
      </c>
      <c r="F82" s="147"/>
      <c r="G82" s="147"/>
      <c r="H82" s="147">
        <v>59</v>
      </c>
      <c r="I82" s="149" t="str">
        <f t="shared" si="7"/>
        <v xml:space="preserve"> REGISTRO COTIZACION NO EVALUADA: 59</v>
      </c>
      <c r="J82" s="147"/>
      <c r="K82" s="336" t="s">
        <v>99</v>
      </c>
      <c r="L82" s="147">
        <v>100</v>
      </c>
      <c r="M82" s="147" t="s">
        <v>9</v>
      </c>
      <c r="N82" s="147" t="s">
        <v>1518</v>
      </c>
      <c r="O82" s="147" t="s">
        <v>98</v>
      </c>
      <c r="P82" s="147">
        <v>1000</v>
      </c>
      <c r="Q82" s="150">
        <f t="shared" si="8"/>
        <v>0</v>
      </c>
      <c r="R82" s="151">
        <v>10</v>
      </c>
      <c r="S82" s="152">
        <v>4900</v>
      </c>
      <c r="T82" s="158">
        <v>4900</v>
      </c>
      <c r="U82" s="153"/>
      <c r="V82" s="154"/>
      <c r="W82" s="154"/>
      <c r="X82" s="155"/>
      <c r="Y82" s="155" t="s">
        <v>1423</v>
      </c>
      <c r="Z82" s="155" t="s">
        <v>1442</v>
      </c>
      <c r="AA82" s="273">
        <f t="shared" si="9"/>
        <v>4.9000000000000004</v>
      </c>
      <c r="AB82" s="273">
        <f t="shared" si="10"/>
        <v>4.9000000000000004</v>
      </c>
      <c r="AC82" s="156">
        <f t="shared" si="11"/>
        <v>1000</v>
      </c>
      <c r="AD82" s="274">
        <f t="shared" si="12"/>
        <v>4900</v>
      </c>
      <c r="AE82" s="274">
        <f t="shared" si="14"/>
        <v>4900</v>
      </c>
      <c r="AF82" s="337"/>
    </row>
    <row r="83" spans="1:32">
      <c r="A83" s="254" t="s">
        <v>1523</v>
      </c>
      <c r="B83" s="146" t="s">
        <v>1</v>
      </c>
      <c r="C83" s="155" t="s">
        <v>1422</v>
      </c>
      <c r="D83" s="147">
        <v>212</v>
      </c>
      <c r="E83" s="148" t="s">
        <v>1515</v>
      </c>
      <c r="F83" s="147"/>
      <c r="G83" s="147"/>
      <c r="H83" s="147">
        <v>69</v>
      </c>
      <c r="I83" s="149" t="str">
        <f t="shared" si="7"/>
        <v xml:space="preserve"> REGISTRO COTIZACION NO EVALUADA: 69</v>
      </c>
      <c r="J83" s="147"/>
      <c r="K83" s="336" t="s">
        <v>70</v>
      </c>
      <c r="L83" s="147">
        <v>100</v>
      </c>
      <c r="M83" s="147" t="s">
        <v>9</v>
      </c>
      <c r="N83" s="147" t="s">
        <v>1517</v>
      </c>
      <c r="O83" s="147" t="s">
        <v>98</v>
      </c>
      <c r="P83" s="147">
        <v>400</v>
      </c>
      <c r="Q83" s="150">
        <f t="shared" si="8"/>
        <v>0</v>
      </c>
      <c r="R83" s="151"/>
      <c r="S83" s="152">
        <v>1000</v>
      </c>
      <c r="T83" s="158">
        <v>1000</v>
      </c>
      <c r="U83" s="153"/>
      <c r="V83" s="154"/>
      <c r="W83" s="154"/>
      <c r="X83" s="155"/>
      <c r="Y83" s="155" t="s">
        <v>1423</v>
      </c>
      <c r="Z83" s="155" t="s">
        <v>1442</v>
      </c>
      <c r="AA83" s="273">
        <f t="shared" si="9"/>
        <v>2.5</v>
      </c>
      <c r="AB83" s="273">
        <f t="shared" si="10"/>
        <v>2.5</v>
      </c>
      <c r="AC83" s="156">
        <f t="shared" si="11"/>
        <v>400</v>
      </c>
      <c r="AD83" s="274">
        <f t="shared" si="12"/>
        <v>1000</v>
      </c>
      <c r="AE83" s="274">
        <f t="shared" si="14"/>
        <v>1000</v>
      </c>
      <c r="AF83" s="337"/>
    </row>
    <row r="84" spans="1:32">
      <c r="A84" s="254" t="s">
        <v>1523</v>
      </c>
      <c r="B84" s="146" t="s">
        <v>1</v>
      </c>
      <c r="C84" s="155" t="s">
        <v>1422</v>
      </c>
      <c r="D84" s="147">
        <v>212</v>
      </c>
      <c r="E84" s="148" t="s">
        <v>1515</v>
      </c>
      <c r="F84" s="147"/>
      <c r="G84" s="147"/>
      <c r="H84" s="147">
        <v>70</v>
      </c>
      <c r="I84" s="149" t="str">
        <f t="shared" si="7"/>
        <v xml:space="preserve"> REGISTRO COTIZACION NO EVALUADA: 70</v>
      </c>
      <c r="J84" s="147"/>
      <c r="K84" s="336" t="s">
        <v>71</v>
      </c>
      <c r="L84" s="147">
        <v>100</v>
      </c>
      <c r="M84" s="147" t="s">
        <v>9</v>
      </c>
      <c r="N84" s="147" t="s">
        <v>1518</v>
      </c>
      <c r="O84" s="147" t="s">
        <v>98</v>
      </c>
      <c r="P84" s="147">
        <v>1000</v>
      </c>
      <c r="Q84" s="150">
        <f t="shared" si="8"/>
        <v>0</v>
      </c>
      <c r="R84" s="151">
        <v>8</v>
      </c>
      <c r="S84" s="152">
        <v>7500</v>
      </c>
      <c r="T84" s="158">
        <v>7500</v>
      </c>
      <c r="U84" s="153"/>
      <c r="V84" s="154"/>
      <c r="W84" s="154"/>
      <c r="X84" s="155"/>
      <c r="Y84" s="155" t="s">
        <v>1423</v>
      </c>
      <c r="Z84" s="155" t="s">
        <v>1442</v>
      </c>
      <c r="AA84" s="273">
        <f t="shared" si="9"/>
        <v>7.5</v>
      </c>
      <c r="AB84" s="273">
        <f t="shared" si="10"/>
        <v>7.5</v>
      </c>
      <c r="AC84" s="156">
        <f t="shared" si="11"/>
        <v>1000</v>
      </c>
      <c r="AD84" s="274">
        <f t="shared" si="12"/>
        <v>7500</v>
      </c>
      <c r="AE84" s="274">
        <f t="shared" si="14"/>
        <v>7500</v>
      </c>
      <c r="AF84" s="337"/>
    </row>
    <row r="85" spans="1:32">
      <c r="A85" s="337" t="s">
        <v>1523</v>
      </c>
      <c r="B85" s="146" t="s">
        <v>1</v>
      </c>
      <c r="C85" s="155" t="s">
        <v>1422</v>
      </c>
      <c r="D85" s="147">
        <v>239</v>
      </c>
      <c r="E85" s="148" t="s">
        <v>1398</v>
      </c>
      <c r="F85" s="147" t="s">
        <v>106</v>
      </c>
      <c r="G85" s="147" t="s">
        <v>1429</v>
      </c>
      <c r="H85" s="147">
        <v>7</v>
      </c>
      <c r="I85" s="149">
        <f t="shared" ref="I85:I148" si="15">IF(AND(F85="SI",J85&lt;&gt;"",J85&lt;&gt;"NA"),CONCATENATE(H85,"_",J85),IF(F85="SI",H85,CONCATENATE(" REGISTRO COTIZACION NO EVALUADA: ",H85)))</f>
        <v>7</v>
      </c>
      <c r="J85" s="147"/>
      <c r="K85" s="336" t="s">
        <v>57</v>
      </c>
      <c r="L85" s="147">
        <v>100</v>
      </c>
      <c r="M85" s="147" t="s">
        <v>9</v>
      </c>
      <c r="N85" s="147" t="s">
        <v>1418</v>
      </c>
      <c r="O85" s="147" t="s">
        <v>98</v>
      </c>
      <c r="P85" s="147">
        <v>100</v>
      </c>
      <c r="Q85" s="150">
        <f t="shared" ref="Q85:Q148" si="16">(T85-S85)/S85</f>
        <v>0</v>
      </c>
      <c r="R85" s="151">
        <v>5000</v>
      </c>
      <c r="S85" s="152">
        <v>150</v>
      </c>
      <c r="T85" s="158">
        <v>150</v>
      </c>
      <c r="U85" s="154">
        <v>10000</v>
      </c>
      <c r="V85" s="154">
        <v>150</v>
      </c>
      <c r="W85" s="154">
        <v>150</v>
      </c>
      <c r="X85" s="155" t="s">
        <v>1424</v>
      </c>
      <c r="Y85" s="155" t="s">
        <v>1423</v>
      </c>
      <c r="Z85" s="155" t="s">
        <v>1442</v>
      </c>
      <c r="AA85" s="273">
        <f t="shared" ref="AA85:AA148" si="17">S85/P85</f>
        <v>1.5</v>
      </c>
      <c r="AB85" s="273">
        <f t="shared" ref="AB85:AB148" si="18">T85/P85</f>
        <v>1.5</v>
      </c>
      <c r="AC85" s="156">
        <f t="shared" ref="AC85:AC148" si="19">P85</f>
        <v>100</v>
      </c>
      <c r="AD85" s="274">
        <f t="shared" ref="AD85:AD148" si="20">AA85*AC85</f>
        <v>150</v>
      </c>
      <c r="AE85" s="274">
        <f t="shared" si="14"/>
        <v>150</v>
      </c>
      <c r="AF85" s="337" t="s">
        <v>1431</v>
      </c>
    </row>
    <row r="86" spans="1:32">
      <c r="A86" s="337" t="s">
        <v>1523</v>
      </c>
      <c r="B86" s="146" t="s">
        <v>1</v>
      </c>
      <c r="C86" s="155" t="s">
        <v>1422</v>
      </c>
      <c r="D86" s="147">
        <v>239</v>
      </c>
      <c r="E86" s="148" t="s">
        <v>1398</v>
      </c>
      <c r="F86" s="147" t="s">
        <v>106</v>
      </c>
      <c r="G86" s="147" t="s">
        <v>1429</v>
      </c>
      <c r="H86" s="147">
        <v>8</v>
      </c>
      <c r="I86" s="149">
        <f t="shared" si="15"/>
        <v>8</v>
      </c>
      <c r="J86" s="147"/>
      <c r="K86" s="336" t="s">
        <v>55</v>
      </c>
      <c r="L86" s="147">
        <v>100</v>
      </c>
      <c r="M86" s="147" t="s">
        <v>9</v>
      </c>
      <c r="N86" s="147" t="s">
        <v>1419</v>
      </c>
      <c r="O86" s="147" t="s">
        <v>98</v>
      </c>
      <c r="P86" s="147">
        <v>100</v>
      </c>
      <c r="Q86" s="150">
        <f t="shared" si="16"/>
        <v>0</v>
      </c>
      <c r="R86" s="151">
        <v>1000</v>
      </c>
      <c r="S86" s="152">
        <v>120</v>
      </c>
      <c r="T86" s="158">
        <v>120</v>
      </c>
      <c r="U86" s="154">
        <v>2000</v>
      </c>
      <c r="V86" s="154">
        <v>120</v>
      </c>
      <c r="W86" s="154">
        <v>120</v>
      </c>
      <c r="X86" s="155" t="s">
        <v>1424</v>
      </c>
      <c r="Y86" s="155" t="s">
        <v>1423</v>
      </c>
      <c r="Z86" s="155" t="s">
        <v>1442</v>
      </c>
      <c r="AA86" s="273">
        <f t="shared" si="17"/>
        <v>1.2</v>
      </c>
      <c r="AB86" s="273">
        <f t="shared" si="18"/>
        <v>1.2</v>
      </c>
      <c r="AC86" s="156">
        <f t="shared" si="19"/>
        <v>100</v>
      </c>
      <c r="AD86" s="274">
        <f t="shared" si="20"/>
        <v>120</v>
      </c>
      <c r="AE86" s="274">
        <f t="shared" si="14"/>
        <v>120</v>
      </c>
      <c r="AF86" s="337" t="s">
        <v>1433</v>
      </c>
    </row>
    <row r="87" spans="1:32">
      <c r="A87" s="337" t="s">
        <v>1523</v>
      </c>
      <c r="B87" s="146" t="s">
        <v>1</v>
      </c>
      <c r="C87" s="155" t="s">
        <v>1422</v>
      </c>
      <c r="D87" s="147">
        <v>239</v>
      </c>
      <c r="E87" s="148" t="s">
        <v>1398</v>
      </c>
      <c r="F87" s="147" t="s">
        <v>106</v>
      </c>
      <c r="G87" s="147" t="s">
        <v>1429</v>
      </c>
      <c r="H87" s="147">
        <v>42</v>
      </c>
      <c r="I87" s="149">
        <f t="shared" si="15"/>
        <v>42</v>
      </c>
      <c r="J87" s="147"/>
      <c r="K87" s="336" t="s">
        <v>61</v>
      </c>
      <c r="L87" s="147">
        <v>100</v>
      </c>
      <c r="M87" s="147" t="s">
        <v>9</v>
      </c>
      <c r="N87" s="147" t="s">
        <v>1418</v>
      </c>
      <c r="O87" s="147" t="s">
        <v>98</v>
      </c>
      <c r="P87" s="147">
        <v>100</v>
      </c>
      <c r="Q87" s="150">
        <f t="shared" si="16"/>
        <v>0</v>
      </c>
      <c r="R87" s="151">
        <v>5000</v>
      </c>
      <c r="S87" s="152">
        <v>140</v>
      </c>
      <c r="T87" s="158">
        <v>140</v>
      </c>
      <c r="U87" s="154">
        <v>10000</v>
      </c>
      <c r="V87" s="154">
        <v>140</v>
      </c>
      <c r="W87" s="154">
        <v>10000</v>
      </c>
      <c r="X87" s="155" t="s">
        <v>1424</v>
      </c>
      <c r="Y87" s="155" t="s">
        <v>1423</v>
      </c>
      <c r="Z87" s="155" t="s">
        <v>1442</v>
      </c>
      <c r="AA87" s="273">
        <f t="shared" si="17"/>
        <v>1.4</v>
      </c>
      <c r="AB87" s="273">
        <f t="shared" si="18"/>
        <v>1.4</v>
      </c>
      <c r="AC87" s="156">
        <f t="shared" si="19"/>
        <v>100</v>
      </c>
      <c r="AD87" s="274">
        <f t="shared" si="20"/>
        <v>140</v>
      </c>
      <c r="AE87" s="274">
        <f t="shared" si="14"/>
        <v>140</v>
      </c>
      <c r="AF87" s="337"/>
    </row>
    <row r="88" spans="1:32">
      <c r="A88" s="254" t="s">
        <v>1523</v>
      </c>
      <c r="B88" s="146" t="s">
        <v>1</v>
      </c>
      <c r="C88" s="155" t="s">
        <v>1422</v>
      </c>
      <c r="D88" s="147">
        <v>222</v>
      </c>
      <c r="E88" s="157" t="s">
        <v>1646</v>
      </c>
      <c r="F88" s="147"/>
      <c r="G88" s="147"/>
      <c r="H88" s="147">
        <v>7</v>
      </c>
      <c r="I88" s="149" t="str">
        <f t="shared" si="15"/>
        <v xml:space="preserve"> REGISTRO COTIZACION NO EVALUADA: 7</v>
      </c>
      <c r="J88" s="147"/>
      <c r="K88" s="336" t="s">
        <v>57</v>
      </c>
      <c r="L88" s="147">
        <v>100</v>
      </c>
      <c r="M88" s="147" t="s">
        <v>9</v>
      </c>
      <c r="N88" s="147" t="s">
        <v>1418</v>
      </c>
      <c r="O88" s="147" t="s">
        <v>98</v>
      </c>
      <c r="P88" s="147">
        <v>100</v>
      </c>
      <c r="Q88" s="150">
        <f t="shared" si="16"/>
        <v>0</v>
      </c>
      <c r="R88" s="151"/>
      <c r="S88" s="152">
        <v>462</v>
      </c>
      <c r="T88" s="158">
        <v>462</v>
      </c>
      <c r="U88" s="160"/>
      <c r="V88" s="160"/>
      <c r="W88" s="160"/>
      <c r="X88" s="155"/>
      <c r="Y88" s="155" t="s">
        <v>1423</v>
      </c>
      <c r="Z88" s="155" t="s">
        <v>1442</v>
      </c>
      <c r="AA88" s="273">
        <f t="shared" si="17"/>
        <v>4.62</v>
      </c>
      <c r="AB88" s="273">
        <f t="shared" si="18"/>
        <v>4.62</v>
      </c>
      <c r="AC88" s="156">
        <f t="shared" si="19"/>
        <v>100</v>
      </c>
      <c r="AD88" s="274">
        <f t="shared" si="20"/>
        <v>462</v>
      </c>
      <c r="AE88" s="274">
        <f t="shared" si="14"/>
        <v>462</v>
      </c>
      <c r="AF88" s="129"/>
    </row>
    <row r="89" spans="1:32">
      <c r="A89" s="255" t="s">
        <v>1523</v>
      </c>
      <c r="B89" s="146" t="s">
        <v>1</v>
      </c>
      <c r="C89" s="155" t="s">
        <v>1422</v>
      </c>
      <c r="D89" s="147">
        <v>222</v>
      </c>
      <c r="E89" s="157" t="s">
        <v>1646</v>
      </c>
      <c r="F89" s="147"/>
      <c r="G89" s="147"/>
      <c r="H89" s="147">
        <v>8</v>
      </c>
      <c r="I89" s="149" t="str">
        <f t="shared" si="15"/>
        <v xml:space="preserve"> REGISTRO COTIZACION NO EVALUADA: 8</v>
      </c>
      <c r="J89" s="147"/>
      <c r="K89" s="336" t="s">
        <v>55</v>
      </c>
      <c r="L89" s="147">
        <v>100</v>
      </c>
      <c r="M89" s="147" t="s">
        <v>9</v>
      </c>
      <c r="N89" s="147" t="s">
        <v>1418</v>
      </c>
      <c r="O89" s="147" t="s">
        <v>98</v>
      </c>
      <c r="P89" s="147">
        <v>100</v>
      </c>
      <c r="Q89" s="150">
        <f t="shared" si="16"/>
        <v>0</v>
      </c>
      <c r="R89" s="151"/>
      <c r="S89" s="152">
        <v>520</v>
      </c>
      <c r="T89" s="158">
        <v>520</v>
      </c>
      <c r="U89" s="160"/>
      <c r="V89" s="160"/>
      <c r="W89" s="160"/>
      <c r="X89" s="155"/>
      <c r="Y89" s="155" t="s">
        <v>1423</v>
      </c>
      <c r="Z89" s="155" t="s">
        <v>1442</v>
      </c>
      <c r="AA89" s="273">
        <f t="shared" si="17"/>
        <v>5.2</v>
      </c>
      <c r="AB89" s="273">
        <f t="shared" si="18"/>
        <v>5.2</v>
      </c>
      <c r="AC89" s="156">
        <f t="shared" si="19"/>
        <v>100</v>
      </c>
      <c r="AD89" s="274">
        <f t="shared" si="20"/>
        <v>520</v>
      </c>
      <c r="AE89" s="274">
        <f t="shared" si="14"/>
        <v>520</v>
      </c>
      <c r="AF89" s="129"/>
    </row>
    <row r="90" spans="1:32">
      <c r="A90" s="255" t="s">
        <v>1523</v>
      </c>
      <c r="B90" s="146" t="s">
        <v>1</v>
      </c>
      <c r="C90" s="155" t="s">
        <v>1422</v>
      </c>
      <c r="D90" s="147">
        <v>222</v>
      </c>
      <c r="E90" s="157" t="s">
        <v>1646</v>
      </c>
      <c r="F90" s="147"/>
      <c r="G90" s="147"/>
      <c r="H90" s="147">
        <v>17</v>
      </c>
      <c r="I90" s="149" t="str">
        <f t="shared" si="15"/>
        <v xml:space="preserve"> REGISTRO COTIZACION NO EVALUADA: 17</v>
      </c>
      <c r="J90" s="147"/>
      <c r="K90" s="336" t="s">
        <v>53</v>
      </c>
      <c r="L90" s="147">
        <v>100</v>
      </c>
      <c r="M90" s="147" t="s">
        <v>9</v>
      </c>
      <c r="N90" s="147" t="s">
        <v>1418</v>
      </c>
      <c r="O90" s="147" t="s">
        <v>98</v>
      </c>
      <c r="P90" s="147">
        <v>100</v>
      </c>
      <c r="Q90" s="150">
        <f t="shared" si="16"/>
        <v>0</v>
      </c>
      <c r="R90" s="151"/>
      <c r="S90" s="152">
        <v>709</v>
      </c>
      <c r="T90" s="158">
        <v>709</v>
      </c>
      <c r="U90" s="160"/>
      <c r="V90" s="160"/>
      <c r="W90" s="160"/>
      <c r="X90" s="155"/>
      <c r="Y90" s="155" t="s">
        <v>1423</v>
      </c>
      <c r="Z90" s="155" t="s">
        <v>1442</v>
      </c>
      <c r="AA90" s="273">
        <f t="shared" si="17"/>
        <v>7.09</v>
      </c>
      <c r="AB90" s="273">
        <f t="shared" si="18"/>
        <v>7.09</v>
      </c>
      <c r="AC90" s="156">
        <f t="shared" si="19"/>
        <v>100</v>
      </c>
      <c r="AD90" s="274">
        <f t="shared" si="20"/>
        <v>709</v>
      </c>
      <c r="AE90" s="274">
        <f t="shared" si="14"/>
        <v>709</v>
      </c>
      <c r="AF90" s="129"/>
    </row>
    <row r="91" spans="1:32">
      <c r="A91" s="254" t="s">
        <v>1523</v>
      </c>
      <c r="B91" s="146" t="s">
        <v>1</v>
      </c>
      <c r="C91" s="155" t="s">
        <v>1422</v>
      </c>
      <c r="D91" s="147">
        <v>222</v>
      </c>
      <c r="E91" s="157" t="s">
        <v>1646</v>
      </c>
      <c r="F91" s="147"/>
      <c r="G91" s="147"/>
      <c r="H91" s="147">
        <v>22</v>
      </c>
      <c r="I91" s="149" t="str">
        <f t="shared" si="15"/>
        <v xml:space="preserve"> REGISTRO COTIZACION NO EVALUADA: 22</v>
      </c>
      <c r="J91" s="147"/>
      <c r="K91" s="336" t="s">
        <v>51</v>
      </c>
      <c r="L91" s="147">
        <v>100</v>
      </c>
      <c r="M91" s="147" t="s">
        <v>9</v>
      </c>
      <c r="N91" s="147" t="s">
        <v>1418</v>
      </c>
      <c r="O91" s="147" t="s">
        <v>98</v>
      </c>
      <c r="P91" s="147">
        <v>100</v>
      </c>
      <c r="Q91" s="150">
        <f t="shared" si="16"/>
        <v>0</v>
      </c>
      <c r="R91" s="151"/>
      <c r="S91" s="152">
        <v>1115</v>
      </c>
      <c r="T91" s="158">
        <v>1115</v>
      </c>
      <c r="U91" s="160"/>
      <c r="V91" s="160"/>
      <c r="W91" s="160"/>
      <c r="X91" s="155"/>
      <c r="Y91" s="155" t="s">
        <v>1423</v>
      </c>
      <c r="Z91" s="155" t="s">
        <v>1442</v>
      </c>
      <c r="AA91" s="273">
        <f t="shared" si="17"/>
        <v>11.15</v>
      </c>
      <c r="AB91" s="273">
        <f t="shared" si="18"/>
        <v>11.15</v>
      </c>
      <c r="AC91" s="156">
        <f t="shared" si="19"/>
        <v>100</v>
      </c>
      <c r="AD91" s="274">
        <f t="shared" si="20"/>
        <v>1115</v>
      </c>
      <c r="AE91" s="274">
        <f t="shared" si="14"/>
        <v>1115</v>
      </c>
      <c r="AF91" s="129"/>
    </row>
    <row r="92" spans="1:32">
      <c r="A92" s="254" t="s">
        <v>1523</v>
      </c>
      <c r="B92" s="146" t="s">
        <v>1</v>
      </c>
      <c r="C92" s="155" t="s">
        <v>1422</v>
      </c>
      <c r="D92" s="147">
        <v>222</v>
      </c>
      <c r="E92" s="157" t="s">
        <v>1646</v>
      </c>
      <c r="F92" s="147"/>
      <c r="G92" s="147"/>
      <c r="H92" s="147">
        <v>33</v>
      </c>
      <c r="I92" s="149" t="str">
        <f t="shared" si="15"/>
        <v xml:space="preserve"> REGISTRO COTIZACION NO EVALUADA: 33</v>
      </c>
      <c r="J92" s="147"/>
      <c r="K92" s="336" t="s">
        <v>59</v>
      </c>
      <c r="L92" s="147">
        <v>100</v>
      </c>
      <c r="M92" s="147" t="s">
        <v>9</v>
      </c>
      <c r="N92" s="147" t="s">
        <v>1418</v>
      </c>
      <c r="O92" s="147" t="s">
        <v>98</v>
      </c>
      <c r="P92" s="147">
        <v>100</v>
      </c>
      <c r="Q92" s="150">
        <f t="shared" si="16"/>
        <v>0</v>
      </c>
      <c r="R92" s="151"/>
      <c r="S92" s="152">
        <v>883</v>
      </c>
      <c r="T92" s="158">
        <v>883</v>
      </c>
      <c r="U92" s="160"/>
      <c r="V92" s="160"/>
      <c r="W92" s="160"/>
      <c r="X92" s="155"/>
      <c r="Y92" s="155" t="s">
        <v>1423</v>
      </c>
      <c r="Z92" s="155" t="s">
        <v>1442</v>
      </c>
      <c r="AA92" s="273">
        <f t="shared" si="17"/>
        <v>8.83</v>
      </c>
      <c r="AB92" s="273">
        <f t="shared" si="18"/>
        <v>8.83</v>
      </c>
      <c r="AC92" s="156">
        <f t="shared" si="19"/>
        <v>100</v>
      </c>
      <c r="AD92" s="274">
        <f t="shared" si="20"/>
        <v>883</v>
      </c>
      <c r="AE92" s="274">
        <f t="shared" si="14"/>
        <v>883</v>
      </c>
      <c r="AF92" s="129"/>
    </row>
    <row r="93" spans="1:32">
      <c r="A93" s="254" t="s">
        <v>1523</v>
      </c>
      <c r="B93" s="146" t="s">
        <v>1</v>
      </c>
      <c r="C93" s="155" t="s">
        <v>1422</v>
      </c>
      <c r="D93" s="147">
        <v>222</v>
      </c>
      <c r="E93" s="157" t="s">
        <v>1646</v>
      </c>
      <c r="F93" s="147"/>
      <c r="G93" s="147"/>
      <c r="H93" s="147">
        <v>36</v>
      </c>
      <c r="I93" s="149" t="str">
        <f t="shared" si="15"/>
        <v xml:space="preserve"> REGISTRO COTIZACION NO EVALUADA: 36</v>
      </c>
      <c r="J93" s="147"/>
      <c r="K93" s="336" t="s">
        <v>1647</v>
      </c>
      <c r="L93" s="147">
        <v>20</v>
      </c>
      <c r="M93" s="147" t="s">
        <v>9</v>
      </c>
      <c r="N93" s="147" t="s">
        <v>1416</v>
      </c>
      <c r="O93" s="147" t="s">
        <v>98</v>
      </c>
      <c r="P93" s="147">
        <v>20</v>
      </c>
      <c r="Q93" s="150">
        <f t="shared" si="16"/>
        <v>0</v>
      </c>
      <c r="R93" s="151"/>
      <c r="S93" s="152">
        <v>193</v>
      </c>
      <c r="T93" s="158">
        <v>193</v>
      </c>
      <c r="U93" s="160"/>
      <c r="V93" s="160"/>
      <c r="W93" s="160"/>
      <c r="X93" s="155"/>
      <c r="Y93" s="155" t="s">
        <v>1423</v>
      </c>
      <c r="Z93" s="155" t="s">
        <v>1442</v>
      </c>
      <c r="AA93" s="273">
        <f t="shared" si="17"/>
        <v>9.65</v>
      </c>
      <c r="AB93" s="273">
        <f t="shared" si="18"/>
        <v>9.65</v>
      </c>
      <c r="AC93" s="156">
        <f t="shared" si="19"/>
        <v>20</v>
      </c>
      <c r="AD93" s="274">
        <f t="shared" si="20"/>
        <v>193</v>
      </c>
      <c r="AE93" s="274">
        <f t="shared" si="14"/>
        <v>193</v>
      </c>
      <c r="AF93" s="129"/>
    </row>
    <row r="94" spans="1:32">
      <c r="A94" s="254" t="s">
        <v>1523</v>
      </c>
      <c r="B94" s="146" t="s">
        <v>1</v>
      </c>
      <c r="C94" s="155" t="s">
        <v>1422</v>
      </c>
      <c r="D94" s="147">
        <v>222</v>
      </c>
      <c r="E94" s="157" t="s">
        <v>1646</v>
      </c>
      <c r="F94" s="147"/>
      <c r="G94" s="147"/>
      <c r="H94" s="147">
        <v>36</v>
      </c>
      <c r="I94" s="149" t="str">
        <f t="shared" si="15"/>
        <v xml:space="preserve"> REGISTRO COTIZACION NO EVALUADA: 36</v>
      </c>
      <c r="J94" s="147"/>
      <c r="K94" s="336" t="s">
        <v>1647</v>
      </c>
      <c r="L94" s="147">
        <v>40</v>
      </c>
      <c r="M94" s="147" t="s">
        <v>9</v>
      </c>
      <c r="N94" s="147" t="s">
        <v>1417</v>
      </c>
      <c r="O94" s="147" t="s">
        <v>98</v>
      </c>
      <c r="P94" s="147">
        <v>40</v>
      </c>
      <c r="Q94" s="150">
        <f t="shared" si="16"/>
        <v>0</v>
      </c>
      <c r="R94" s="151"/>
      <c r="S94" s="152">
        <v>193</v>
      </c>
      <c r="T94" s="158">
        <v>193</v>
      </c>
      <c r="U94" s="160"/>
      <c r="V94" s="160"/>
      <c r="W94" s="160"/>
      <c r="X94" s="155"/>
      <c r="Y94" s="155" t="s">
        <v>1423</v>
      </c>
      <c r="Z94" s="155" t="s">
        <v>1442</v>
      </c>
      <c r="AA94" s="273">
        <f t="shared" si="17"/>
        <v>4.8250000000000002</v>
      </c>
      <c r="AB94" s="273">
        <f t="shared" si="18"/>
        <v>4.8250000000000002</v>
      </c>
      <c r="AC94" s="156">
        <f t="shared" si="19"/>
        <v>40</v>
      </c>
      <c r="AD94" s="274">
        <f t="shared" si="20"/>
        <v>193</v>
      </c>
      <c r="AE94" s="274">
        <f t="shared" si="14"/>
        <v>193</v>
      </c>
      <c r="AF94" s="129"/>
    </row>
    <row r="95" spans="1:32">
      <c r="A95" s="255" t="s">
        <v>1523</v>
      </c>
      <c r="B95" s="146" t="s">
        <v>1</v>
      </c>
      <c r="C95" s="155" t="s">
        <v>1422</v>
      </c>
      <c r="D95" s="147">
        <v>222</v>
      </c>
      <c r="E95" s="157" t="s">
        <v>1646</v>
      </c>
      <c r="F95" s="147"/>
      <c r="G95" s="147"/>
      <c r="H95" s="147">
        <v>42</v>
      </c>
      <c r="I95" s="149" t="str">
        <f t="shared" si="15"/>
        <v xml:space="preserve"> REGISTRO COTIZACION NO EVALUADA: 42</v>
      </c>
      <c r="J95" s="147"/>
      <c r="K95" s="336" t="s">
        <v>61</v>
      </c>
      <c r="L95" s="147">
        <v>100</v>
      </c>
      <c r="M95" s="147" t="s">
        <v>9</v>
      </c>
      <c r="N95" s="147" t="s">
        <v>1418</v>
      </c>
      <c r="O95" s="147" t="s">
        <v>98</v>
      </c>
      <c r="P95" s="147">
        <v>100</v>
      </c>
      <c r="Q95" s="150">
        <f t="shared" si="16"/>
        <v>0</v>
      </c>
      <c r="R95" s="151"/>
      <c r="S95" s="152">
        <v>810</v>
      </c>
      <c r="T95" s="158">
        <v>810</v>
      </c>
      <c r="U95" s="160"/>
      <c r="V95" s="160"/>
      <c r="W95" s="160"/>
      <c r="X95" s="155"/>
      <c r="Y95" s="155" t="s">
        <v>1423</v>
      </c>
      <c r="Z95" s="155" t="s">
        <v>1442</v>
      </c>
      <c r="AA95" s="273">
        <f t="shared" si="17"/>
        <v>8.1</v>
      </c>
      <c r="AB95" s="273">
        <f t="shared" si="18"/>
        <v>8.1</v>
      </c>
      <c r="AC95" s="156">
        <f t="shared" si="19"/>
        <v>100</v>
      </c>
      <c r="AD95" s="274">
        <f t="shared" si="20"/>
        <v>810</v>
      </c>
      <c r="AE95" s="274">
        <f t="shared" si="14"/>
        <v>810</v>
      </c>
      <c r="AF95" s="129"/>
    </row>
    <row r="96" spans="1:32">
      <c r="A96" s="255" t="s">
        <v>1523</v>
      </c>
      <c r="B96" s="146" t="s">
        <v>1</v>
      </c>
      <c r="C96" s="155" t="s">
        <v>1422</v>
      </c>
      <c r="D96" s="147">
        <v>222</v>
      </c>
      <c r="E96" s="157" t="s">
        <v>1646</v>
      </c>
      <c r="F96" s="147"/>
      <c r="G96" s="147"/>
      <c r="H96" s="147">
        <v>43</v>
      </c>
      <c r="I96" s="149" t="str">
        <f t="shared" si="15"/>
        <v xml:space="preserve"> REGISTRO COTIZACION NO EVALUADA: 43</v>
      </c>
      <c r="J96" s="147"/>
      <c r="K96" s="336" t="s">
        <v>60</v>
      </c>
      <c r="L96" s="147">
        <v>100</v>
      </c>
      <c r="M96" s="147" t="s">
        <v>9</v>
      </c>
      <c r="N96" s="147" t="s">
        <v>1418</v>
      </c>
      <c r="O96" s="147" t="s">
        <v>98</v>
      </c>
      <c r="P96" s="147">
        <v>100</v>
      </c>
      <c r="Q96" s="150">
        <f t="shared" si="16"/>
        <v>0</v>
      </c>
      <c r="R96" s="151"/>
      <c r="S96" s="152">
        <v>941</v>
      </c>
      <c r="T96" s="158">
        <v>941</v>
      </c>
      <c r="U96" s="160"/>
      <c r="V96" s="160"/>
      <c r="W96" s="160"/>
      <c r="X96" s="155"/>
      <c r="Y96" s="155" t="s">
        <v>1423</v>
      </c>
      <c r="Z96" s="155" t="s">
        <v>1442</v>
      </c>
      <c r="AA96" s="273">
        <f t="shared" si="17"/>
        <v>9.41</v>
      </c>
      <c r="AB96" s="273">
        <f t="shared" si="18"/>
        <v>9.41</v>
      </c>
      <c r="AC96" s="156">
        <f t="shared" si="19"/>
        <v>100</v>
      </c>
      <c r="AD96" s="274">
        <f t="shared" si="20"/>
        <v>941</v>
      </c>
      <c r="AE96" s="274">
        <f t="shared" si="14"/>
        <v>941</v>
      </c>
      <c r="AF96" s="129"/>
    </row>
    <row r="97" spans="1:32">
      <c r="A97" s="255" t="s">
        <v>1523</v>
      </c>
      <c r="B97" s="146" t="s">
        <v>1</v>
      </c>
      <c r="C97" s="155" t="s">
        <v>1422</v>
      </c>
      <c r="D97" s="147">
        <v>222</v>
      </c>
      <c r="E97" s="157" t="s">
        <v>1646</v>
      </c>
      <c r="F97" s="147"/>
      <c r="G97" s="147"/>
      <c r="H97" s="147">
        <v>46</v>
      </c>
      <c r="I97" s="149" t="str">
        <f t="shared" si="15"/>
        <v xml:space="preserve"> REGISTRO COTIZACION NO EVALUADA: 46</v>
      </c>
      <c r="J97" s="147"/>
      <c r="K97" s="336" t="s">
        <v>63</v>
      </c>
      <c r="L97" s="147">
        <v>100</v>
      </c>
      <c r="M97" s="147" t="s">
        <v>9</v>
      </c>
      <c r="N97" s="147" t="s">
        <v>1418</v>
      </c>
      <c r="O97" s="147" t="s">
        <v>98</v>
      </c>
      <c r="P97" s="147">
        <v>100</v>
      </c>
      <c r="Q97" s="150">
        <f t="shared" si="16"/>
        <v>0</v>
      </c>
      <c r="R97" s="151"/>
      <c r="S97" s="152">
        <v>800</v>
      </c>
      <c r="T97" s="158">
        <v>800</v>
      </c>
      <c r="U97" s="160"/>
      <c r="V97" s="160"/>
      <c r="W97" s="160"/>
      <c r="X97" s="155"/>
      <c r="Y97" s="155" t="s">
        <v>1423</v>
      </c>
      <c r="Z97" s="155" t="s">
        <v>1442</v>
      </c>
      <c r="AA97" s="273">
        <f t="shared" si="17"/>
        <v>8</v>
      </c>
      <c r="AB97" s="273">
        <f t="shared" si="18"/>
        <v>8</v>
      </c>
      <c r="AC97" s="156">
        <f t="shared" si="19"/>
        <v>100</v>
      </c>
      <c r="AD97" s="274">
        <f t="shared" si="20"/>
        <v>800</v>
      </c>
      <c r="AE97" s="274">
        <f t="shared" si="14"/>
        <v>800</v>
      </c>
      <c r="AF97" s="129"/>
    </row>
    <row r="98" spans="1:32">
      <c r="A98" s="255" t="s">
        <v>1523</v>
      </c>
      <c r="B98" s="146" t="s">
        <v>1</v>
      </c>
      <c r="C98" s="155" t="s">
        <v>1422</v>
      </c>
      <c r="D98" s="147">
        <v>222</v>
      </c>
      <c r="E98" s="157" t="s">
        <v>1646</v>
      </c>
      <c r="F98" s="147"/>
      <c r="G98" s="147"/>
      <c r="H98" s="147">
        <v>58</v>
      </c>
      <c r="I98" s="149" t="str">
        <f t="shared" si="15"/>
        <v xml:space="preserve"> REGISTRO COTIZACION NO EVALUADA: 58</v>
      </c>
      <c r="J98" s="147"/>
      <c r="K98" s="336" t="s">
        <v>67</v>
      </c>
      <c r="L98" s="147">
        <v>100</v>
      </c>
      <c r="M98" s="147" t="s">
        <v>9</v>
      </c>
      <c r="N98" s="147" t="s">
        <v>1418</v>
      </c>
      <c r="O98" s="147" t="s">
        <v>98</v>
      </c>
      <c r="P98" s="147">
        <v>100</v>
      </c>
      <c r="Q98" s="150">
        <f t="shared" si="16"/>
        <v>0</v>
      </c>
      <c r="R98" s="151"/>
      <c r="S98" s="152">
        <v>815</v>
      </c>
      <c r="T98" s="158">
        <v>815</v>
      </c>
      <c r="U98" s="160"/>
      <c r="V98" s="160"/>
      <c r="W98" s="160"/>
      <c r="X98" s="155"/>
      <c r="Y98" s="155" t="s">
        <v>1423</v>
      </c>
      <c r="Z98" s="155" t="s">
        <v>1442</v>
      </c>
      <c r="AA98" s="273">
        <f t="shared" si="17"/>
        <v>8.15</v>
      </c>
      <c r="AB98" s="273">
        <f t="shared" si="18"/>
        <v>8.15</v>
      </c>
      <c r="AC98" s="156">
        <f t="shared" si="19"/>
        <v>100</v>
      </c>
      <c r="AD98" s="274">
        <f t="shared" si="20"/>
        <v>815</v>
      </c>
      <c r="AE98" s="274">
        <f t="shared" si="14"/>
        <v>815</v>
      </c>
      <c r="AF98" s="129"/>
    </row>
    <row r="99" spans="1:32">
      <c r="A99" s="255" t="s">
        <v>1523</v>
      </c>
      <c r="B99" s="146" t="s">
        <v>1</v>
      </c>
      <c r="C99" s="155" t="s">
        <v>1422</v>
      </c>
      <c r="D99" s="147">
        <v>222</v>
      </c>
      <c r="E99" s="157" t="s">
        <v>1646</v>
      </c>
      <c r="F99" s="147"/>
      <c r="G99" s="147"/>
      <c r="H99" s="147">
        <v>59</v>
      </c>
      <c r="I99" s="149" t="str">
        <f t="shared" si="15"/>
        <v xml:space="preserve"> REGISTRO COTIZACION NO EVALUADA: 59</v>
      </c>
      <c r="J99" s="147"/>
      <c r="K99" s="336" t="s">
        <v>99</v>
      </c>
      <c r="L99" s="147">
        <v>100</v>
      </c>
      <c r="M99" s="147" t="s">
        <v>9</v>
      </c>
      <c r="N99" s="147" t="s">
        <v>1418</v>
      </c>
      <c r="O99" s="147" t="s">
        <v>98</v>
      </c>
      <c r="P99" s="147">
        <v>100</v>
      </c>
      <c r="Q99" s="150">
        <f t="shared" si="16"/>
        <v>0</v>
      </c>
      <c r="R99" s="151"/>
      <c r="S99" s="152">
        <v>999</v>
      </c>
      <c r="T99" s="158">
        <v>999</v>
      </c>
      <c r="U99" s="160"/>
      <c r="V99" s="160"/>
      <c r="W99" s="160"/>
      <c r="X99" s="155"/>
      <c r="Y99" s="155" t="s">
        <v>1423</v>
      </c>
      <c r="Z99" s="155" t="s">
        <v>1442</v>
      </c>
      <c r="AA99" s="273">
        <f t="shared" si="17"/>
        <v>9.99</v>
      </c>
      <c r="AB99" s="273">
        <f t="shared" si="18"/>
        <v>9.99</v>
      </c>
      <c r="AC99" s="156">
        <f t="shared" si="19"/>
        <v>100</v>
      </c>
      <c r="AD99" s="274">
        <f t="shared" si="20"/>
        <v>999</v>
      </c>
      <c r="AE99" s="274">
        <f t="shared" si="14"/>
        <v>999</v>
      </c>
      <c r="AF99" s="129"/>
    </row>
    <row r="100" spans="1:32">
      <c r="A100" s="255" t="s">
        <v>1523</v>
      </c>
      <c r="B100" s="146" t="s">
        <v>1</v>
      </c>
      <c r="C100" s="155" t="s">
        <v>1422</v>
      </c>
      <c r="D100" s="147">
        <v>222</v>
      </c>
      <c r="E100" s="157" t="s">
        <v>1646</v>
      </c>
      <c r="F100" s="147"/>
      <c r="G100" s="147"/>
      <c r="H100" s="147">
        <v>69</v>
      </c>
      <c r="I100" s="149" t="str">
        <f t="shared" si="15"/>
        <v xml:space="preserve"> REGISTRO COTIZACION NO EVALUADA: 69</v>
      </c>
      <c r="J100" s="147"/>
      <c r="K100" s="336" t="s">
        <v>68</v>
      </c>
      <c r="L100" s="147">
        <v>100</v>
      </c>
      <c r="M100" s="147" t="s">
        <v>9</v>
      </c>
      <c r="N100" s="147" t="s">
        <v>1418</v>
      </c>
      <c r="O100" s="147" t="s">
        <v>98</v>
      </c>
      <c r="P100" s="147">
        <v>100</v>
      </c>
      <c r="Q100" s="150">
        <f t="shared" si="16"/>
        <v>0</v>
      </c>
      <c r="R100" s="151"/>
      <c r="S100" s="152">
        <v>883</v>
      </c>
      <c r="T100" s="158">
        <v>883</v>
      </c>
      <c r="U100" s="160"/>
      <c r="V100" s="160"/>
      <c r="W100" s="160"/>
      <c r="X100" s="155"/>
      <c r="Y100" s="155" t="s">
        <v>1423</v>
      </c>
      <c r="Z100" s="155" t="s">
        <v>1442</v>
      </c>
      <c r="AA100" s="273">
        <f t="shared" si="17"/>
        <v>8.83</v>
      </c>
      <c r="AB100" s="273">
        <f t="shared" si="18"/>
        <v>8.83</v>
      </c>
      <c r="AC100" s="156">
        <f t="shared" si="19"/>
        <v>100</v>
      </c>
      <c r="AD100" s="274">
        <f t="shared" si="20"/>
        <v>883</v>
      </c>
      <c r="AE100" s="274">
        <f t="shared" si="14"/>
        <v>883</v>
      </c>
      <c r="AF100" s="129"/>
    </row>
    <row r="101" spans="1:32">
      <c r="A101" s="255" t="s">
        <v>1523</v>
      </c>
      <c r="B101" s="146" t="s">
        <v>1</v>
      </c>
      <c r="C101" s="155" t="s">
        <v>1422</v>
      </c>
      <c r="D101" s="147">
        <v>222</v>
      </c>
      <c r="E101" s="157" t="s">
        <v>1646</v>
      </c>
      <c r="F101" s="147"/>
      <c r="G101" s="147"/>
      <c r="H101" s="147">
        <v>70</v>
      </c>
      <c r="I101" s="149" t="str">
        <f t="shared" si="15"/>
        <v xml:space="preserve"> REGISTRO COTIZACION NO EVALUADA: 70</v>
      </c>
      <c r="J101" s="147"/>
      <c r="K101" s="336" t="s">
        <v>69</v>
      </c>
      <c r="L101" s="147">
        <v>100</v>
      </c>
      <c r="M101" s="147" t="s">
        <v>9</v>
      </c>
      <c r="N101" s="147" t="s">
        <v>1418</v>
      </c>
      <c r="O101" s="147" t="s">
        <v>98</v>
      </c>
      <c r="P101" s="147">
        <v>100</v>
      </c>
      <c r="Q101" s="150">
        <f t="shared" si="16"/>
        <v>0</v>
      </c>
      <c r="R101" s="151"/>
      <c r="S101" s="152">
        <v>883</v>
      </c>
      <c r="T101" s="158">
        <v>883</v>
      </c>
      <c r="U101" s="160"/>
      <c r="V101" s="160"/>
      <c r="W101" s="160"/>
      <c r="X101" s="155"/>
      <c r="Y101" s="155" t="s">
        <v>1423</v>
      </c>
      <c r="Z101" s="155" t="s">
        <v>1442</v>
      </c>
      <c r="AA101" s="273">
        <f t="shared" si="17"/>
        <v>8.83</v>
      </c>
      <c r="AB101" s="273">
        <f t="shared" si="18"/>
        <v>8.83</v>
      </c>
      <c r="AC101" s="156">
        <f t="shared" si="19"/>
        <v>100</v>
      </c>
      <c r="AD101" s="274">
        <f t="shared" si="20"/>
        <v>883</v>
      </c>
      <c r="AE101" s="274">
        <f t="shared" si="14"/>
        <v>883</v>
      </c>
      <c r="AF101" s="129"/>
    </row>
    <row r="102" spans="1:32">
      <c r="A102" s="253" t="s">
        <v>1395</v>
      </c>
      <c r="B102" s="146" t="s">
        <v>1</v>
      </c>
      <c r="C102" s="155" t="s">
        <v>1704</v>
      </c>
      <c r="D102" s="147">
        <v>266</v>
      </c>
      <c r="E102" s="148" t="s">
        <v>1524</v>
      </c>
      <c r="F102" s="147" t="s">
        <v>106</v>
      </c>
      <c r="G102" s="147" t="s">
        <v>1429</v>
      </c>
      <c r="H102" s="147">
        <v>36</v>
      </c>
      <c r="I102" s="149">
        <f t="shared" si="15"/>
        <v>36</v>
      </c>
      <c r="J102" s="147"/>
      <c r="K102" s="336" t="s">
        <v>1340</v>
      </c>
      <c r="L102" s="147">
        <v>20</v>
      </c>
      <c r="M102" s="147" t="s">
        <v>9</v>
      </c>
      <c r="N102" s="147" t="s">
        <v>1690</v>
      </c>
      <c r="O102" s="147" t="s">
        <v>98</v>
      </c>
      <c r="P102" s="147">
        <v>1000</v>
      </c>
      <c r="Q102" s="150">
        <f t="shared" si="16"/>
        <v>0</v>
      </c>
      <c r="R102" s="151"/>
      <c r="S102" s="158">
        <v>4650</v>
      </c>
      <c r="T102" s="158">
        <v>4650</v>
      </c>
      <c r="U102" s="160"/>
      <c r="V102" s="160"/>
      <c r="W102" s="160"/>
      <c r="X102" s="155" t="s">
        <v>1705</v>
      </c>
      <c r="Y102" s="155" t="s">
        <v>1423</v>
      </c>
      <c r="Z102" s="155" t="s">
        <v>1442</v>
      </c>
      <c r="AA102" s="273">
        <f t="shared" si="17"/>
        <v>4.6500000000000004</v>
      </c>
      <c r="AB102" s="273">
        <f t="shared" si="18"/>
        <v>4.6500000000000004</v>
      </c>
      <c r="AC102" s="129">
        <f t="shared" si="19"/>
        <v>1000</v>
      </c>
      <c r="AD102" s="274">
        <f t="shared" si="20"/>
        <v>4650</v>
      </c>
      <c r="AE102" s="158">
        <f t="shared" ref="AE102:AE107" si="21">AB102*AC102</f>
        <v>4650</v>
      </c>
      <c r="AF102" s="129"/>
    </row>
    <row r="103" spans="1:32">
      <c r="A103" s="253" t="s">
        <v>1395</v>
      </c>
      <c r="B103" s="146" t="s">
        <v>1</v>
      </c>
      <c r="C103" s="155" t="s">
        <v>1704</v>
      </c>
      <c r="D103" s="147">
        <v>266</v>
      </c>
      <c r="E103" s="148" t="s">
        <v>1524</v>
      </c>
      <c r="F103" s="147" t="s">
        <v>106</v>
      </c>
      <c r="G103" s="147" t="s">
        <v>1429</v>
      </c>
      <c r="H103" s="147">
        <v>36</v>
      </c>
      <c r="I103" s="149">
        <f t="shared" si="15"/>
        <v>36</v>
      </c>
      <c r="J103" s="147"/>
      <c r="K103" s="336" t="s">
        <v>1340</v>
      </c>
      <c r="L103" s="147">
        <v>40</v>
      </c>
      <c r="M103" s="147" t="s">
        <v>9</v>
      </c>
      <c r="N103" s="147" t="s">
        <v>1690</v>
      </c>
      <c r="O103" s="147" t="s">
        <v>98</v>
      </c>
      <c r="P103" s="147">
        <v>1000</v>
      </c>
      <c r="Q103" s="150">
        <f t="shared" si="16"/>
        <v>0</v>
      </c>
      <c r="R103" s="151"/>
      <c r="S103" s="158">
        <v>4650</v>
      </c>
      <c r="T103" s="158">
        <v>4650</v>
      </c>
      <c r="U103" s="160"/>
      <c r="V103" s="160"/>
      <c r="W103" s="160"/>
      <c r="X103" s="155" t="s">
        <v>1705</v>
      </c>
      <c r="Y103" s="155" t="s">
        <v>1423</v>
      </c>
      <c r="Z103" s="155" t="s">
        <v>1442</v>
      </c>
      <c r="AA103" s="273">
        <f t="shared" si="17"/>
        <v>4.6500000000000004</v>
      </c>
      <c r="AB103" s="273">
        <f t="shared" si="18"/>
        <v>4.6500000000000004</v>
      </c>
      <c r="AC103" s="129">
        <f t="shared" si="19"/>
        <v>1000</v>
      </c>
      <c r="AD103" s="274">
        <f t="shared" si="20"/>
        <v>4650</v>
      </c>
      <c r="AE103" s="158">
        <f t="shared" si="21"/>
        <v>4650</v>
      </c>
      <c r="AF103" s="129"/>
    </row>
    <row r="104" spans="1:32">
      <c r="A104" s="253" t="s">
        <v>1395</v>
      </c>
      <c r="B104" s="146" t="s">
        <v>1</v>
      </c>
      <c r="C104" s="155" t="s">
        <v>1704</v>
      </c>
      <c r="D104" s="147">
        <v>251</v>
      </c>
      <c r="E104" s="157" t="s">
        <v>1592</v>
      </c>
      <c r="F104" s="147" t="s">
        <v>106</v>
      </c>
      <c r="G104" s="147" t="s">
        <v>1429</v>
      </c>
      <c r="H104" s="147">
        <v>33</v>
      </c>
      <c r="I104" s="149">
        <f t="shared" si="15"/>
        <v>33</v>
      </c>
      <c r="J104" s="147"/>
      <c r="K104" s="336" t="s">
        <v>59</v>
      </c>
      <c r="L104" s="147">
        <v>100</v>
      </c>
      <c r="M104" s="147" t="s">
        <v>9</v>
      </c>
      <c r="N104" s="147" t="s">
        <v>1518</v>
      </c>
      <c r="O104" s="147" t="s">
        <v>98</v>
      </c>
      <c r="P104" s="147">
        <v>1000</v>
      </c>
      <c r="Q104" s="150">
        <f t="shared" si="16"/>
        <v>0</v>
      </c>
      <c r="R104" s="151"/>
      <c r="S104" s="158">
        <v>4500</v>
      </c>
      <c r="T104" s="158">
        <v>4500</v>
      </c>
      <c r="U104" s="160"/>
      <c r="V104" s="160"/>
      <c r="W104" s="160"/>
      <c r="X104" s="155" t="s">
        <v>1705</v>
      </c>
      <c r="Y104" s="155" t="s">
        <v>1423</v>
      </c>
      <c r="Z104" s="155" t="s">
        <v>1442</v>
      </c>
      <c r="AA104" s="273">
        <f t="shared" si="17"/>
        <v>4.5</v>
      </c>
      <c r="AB104" s="273">
        <f t="shared" si="18"/>
        <v>4.5</v>
      </c>
      <c r="AC104" s="156">
        <f t="shared" si="19"/>
        <v>1000</v>
      </c>
      <c r="AD104" s="274">
        <f t="shared" si="20"/>
        <v>4500</v>
      </c>
      <c r="AE104" s="274">
        <f t="shared" si="21"/>
        <v>4500</v>
      </c>
      <c r="AF104" s="129"/>
    </row>
    <row r="105" spans="1:32">
      <c r="A105" s="253" t="s">
        <v>1395</v>
      </c>
      <c r="B105" s="146" t="s">
        <v>1</v>
      </c>
      <c r="C105" s="155" t="s">
        <v>1704</v>
      </c>
      <c r="D105" s="147">
        <v>251</v>
      </c>
      <c r="E105" s="157" t="s">
        <v>1592</v>
      </c>
      <c r="F105" s="147" t="s">
        <v>106</v>
      </c>
      <c r="G105" s="147" t="s">
        <v>1429</v>
      </c>
      <c r="H105" s="147">
        <v>59</v>
      </c>
      <c r="I105" s="149">
        <f t="shared" si="15"/>
        <v>59</v>
      </c>
      <c r="J105" s="147"/>
      <c r="K105" s="336" t="s">
        <v>99</v>
      </c>
      <c r="L105" s="147">
        <v>100</v>
      </c>
      <c r="M105" s="147" t="s">
        <v>9</v>
      </c>
      <c r="N105" s="147" t="s">
        <v>1401</v>
      </c>
      <c r="O105" s="147" t="s">
        <v>98</v>
      </c>
      <c r="P105" s="147">
        <v>150</v>
      </c>
      <c r="Q105" s="150">
        <f t="shared" si="16"/>
        <v>0</v>
      </c>
      <c r="R105" s="151"/>
      <c r="S105" s="158">
        <v>1700</v>
      </c>
      <c r="T105" s="158">
        <v>1700</v>
      </c>
      <c r="U105" s="160"/>
      <c r="V105" s="160"/>
      <c r="W105" s="160"/>
      <c r="X105" s="155" t="s">
        <v>1705</v>
      </c>
      <c r="Y105" s="155" t="s">
        <v>1423</v>
      </c>
      <c r="Z105" s="155" t="s">
        <v>1442</v>
      </c>
      <c r="AA105" s="273">
        <f t="shared" si="17"/>
        <v>11.333333333333334</v>
      </c>
      <c r="AB105" s="273">
        <f t="shared" si="18"/>
        <v>11.333333333333334</v>
      </c>
      <c r="AC105" s="156">
        <f t="shared" si="19"/>
        <v>150</v>
      </c>
      <c r="AD105" s="274">
        <f t="shared" si="20"/>
        <v>1700</v>
      </c>
      <c r="AE105" s="274">
        <f t="shared" si="21"/>
        <v>1700</v>
      </c>
      <c r="AF105" s="129"/>
    </row>
    <row r="106" spans="1:32">
      <c r="A106" s="253" t="s">
        <v>1395</v>
      </c>
      <c r="B106" s="146" t="s">
        <v>1</v>
      </c>
      <c r="C106" s="155" t="s">
        <v>1704</v>
      </c>
      <c r="D106" s="147">
        <v>251</v>
      </c>
      <c r="E106" s="157" t="s">
        <v>1592</v>
      </c>
      <c r="F106" s="147" t="s">
        <v>106</v>
      </c>
      <c r="G106" s="147" t="s">
        <v>1429</v>
      </c>
      <c r="H106" s="147">
        <v>59</v>
      </c>
      <c r="I106" s="149">
        <f t="shared" si="15"/>
        <v>59</v>
      </c>
      <c r="J106" s="147"/>
      <c r="K106" s="336" t="s">
        <v>99</v>
      </c>
      <c r="L106" s="147">
        <v>100</v>
      </c>
      <c r="M106" s="147" t="s">
        <v>9</v>
      </c>
      <c r="N106" s="147" t="s">
        <v>1517</v>
      </c>
      <c r="O106" s="147" t="s">
        <v>98</v>
      </c>
      <c r="P106" s="147">
        <v>400</v>
      </c>
      <c r="Q106" s="150">
        <f t="shared" si="16"/>
        <v>0</v>
      </c>
      <c r="R106" s="151"/>
      <c r="S106" s="158">
        <v>3700</v>
      </c>
      <c r="T106" s="158">
        <v>3700</v>
      </c>
      <c r="U106" s="160"/>
      <c r="V106" s="160"/>
      <c r="W106" s="160"/>
      <c r="X106" s="155" t="s">
        <v>1705</v>
      </c>
      <c r="Y106" s="155" t="s">
        <v>1423</v>
      </c>
      <c r="Z106" s="155" t="s">
        <v>1442</v>
      </c>
      <c r="AA106" s="273">
        <f t="shared" si="17"/>
        <v>9.25</v>
      </c>
      <c r="AB106" s="273">
        <f t="shared" si="18"/>
        <v>9.25</v>
      </c>
      <c r="AC106" s="156">
        <f t="shared" si="19"/>
        <v>400</v>
      </c>
      <c r="AD106" s="274">
        <f t="shared" si="20"/>
        <v>3700</v>
      </c>
      <c r="AE106" s="274">
        <f t="shared" si="21"/>
        <v>3700</v>
      </c>
      <c r="AF106" s="129"/>
    </row>
    <row r="107" spans="1:32">
      <c r="A107" s="253" t="s">
        <v>1395</v>
      </c>
      <c r="B107" s="146" t="s">
        <v>1</v>
      </c>
      <c r="C107" s="155" t="s">
        <v>1704</v>
      </c>
      <c r="D107" s="147">
        <v>251</v>
      </c>
      <c r="E107" s="157" t="s">
        <v>1592</v>
      </c>
      <c r="F107" s="147" t="s">
        <v>106</v>
      </c>
      <c r="G107" s="147" t="s">
        <v>1429</v>
      </c>
      <c r="H107" s="147">
        <v>59</v>
      </c>
      <c r="I107" s="149">
        <f t="shared" si="15"/>
        <v>59</v>
      </c>
      <c r="J107" s="147"/>
      <c r="K107" s="336" t="s">
        <v>99</v>
      </c>
      <c r="L107" s="147">
        <v>100</v>
      </c>
      <c r="M107" s="147" t="s">
        <v>9</v>
      </c>
      <c r="N107" s="147" t="s">
        <v>1518</v>
      </c>
      <c r="O107" s="147" t="s">
        <v>98</v>
      </c>
      <c r="P107" s="147">
        <v>1000</v>
      </c>
      <c r="Q107" s="150">
        <f t="shared" si="16"/>
        <v>0</v>
      </c>
      <c r="R107" s="151"/>
      <c r="S107" s="158">
        <v>5000</v>
      </c>
      <c r="T107" s="158">
        <v>5000</v>
      </c>
      <c r="U107" s="160"/>
      <c r="V107" s="160"/>
      <c r="W107" s="160"/>
      <c r="X107" s="155" t="s">
        <v>1705</v>
      </c>
      <c r="Y107" s="155" t="s">
        <v>1423</v>
      </c>
      <c r="Z107" s="155" t="s">
        <v>1442</v>
      </c>
      <c r="AA107" s="273">
        <f t="shared" si="17"/>
        <v>5</v>
      </c>
      <c r="AB107" s="273">
        <f t="shared" si="18"/>
        <v>5</v>
      </c>
      <c r="AC107" s="156">
        <f t="shared" si="19"/>
        <v>1000</v>
      </c>
      <c r="AD107" s="274">
        <f t="shared" si="20"/>
        <v>5000</v>
      </c>
      <c r="AE107" s="274">
        <f t="shared" si="21"/>
        <v>5000</v>
      </c>
      <c r="AF107" s="129"/>
    </row>
    <row r="108" spans="1:32">
      <c r="A108" s="253" t="s">
        <v>1523</v>
      </c>
      <c r="B108" s="146" t="s">
        <v>1</v>
      </c>
      <c r="C108" s="155" t="s">
        <v>1704</v>
      </c>
      <c r="D108" s="147">
        <v>237</v>
      </c>
      <c r="E108" s="157" t="s">
        <v>1396</v>
      </c>
      <c r="F108" s="147" t="s">
        <v>106</v>
      </c>
      <c r="G108" s="147" t="s">
        <v>1429</v>
      </c>
      <c r="H108" s="147">
        <v>7</v>
      </c>
      <c r="I108" s="149">
        <f t="shared" si="15"/>
        <v>7</v>
      </c>
      <c r="J108" s="147"/>
      <c r="K108" s="336" t="s">
        <v>57</v>
      </c>
      <c r="L108" s="147">
        <v>100</v>
      </c>
      <c r="M108" s="147" t="s">
        <v>9</v>
      </c>
      <c r="N108" s="147" t="s">
        <v>1418</v>
      </c>
      <c r="O108" s="147" t="s">
        <v>98</v>
      </c>
      <c r="P108" s="147">
        <v>100</v>
      </c>
      <c r="Q108" s="150">
        <f t="shared" si="16"/>
        <v>0</v>
      </c>
      <c r="R108" s="151"/>
      <c r="S108" s="152">
        <v>340</v>
      </c>
      <c r="T108" s="152">
        <v>340</v>
      </c>
      <c r="U108" s="153"/>
      <c r="V108" s="154"/>
      <c r="W108" s="154"/>
      <c r="X108" s="155" t="s">
        <v>1692</v>
      </c>
      <c r="Y108" s="155" t="s">
        <v>1423</v>
      </c>
      <c r="Z108" s="155" t="s">
        <v>1442</v>
      </c>
      <c r="AA108" s="273">
        <f t="shared" si="17"/>
        <v>3.4</v>
      </c>
      <c r="AB108" s="273">
        <f t="shared" si="18"/>
        <v>3.4</v>
      </c>
      <c r="AC108" s="156">
        <f t="shared" si="19"/>
        <v>100</v>
      </c>
      <c r="AD108" s="274">
        <f t="shared" si="20"/>
        <v>340</v>
      </c>
      <c r="AE108" s="274">
        <f t="shared" ref="AE108:AE139" si="22">AC108*AB108</f>
        <v>340</v>
      </c>
      <c r="AF108" s="129"/>
    </row>
    <row r="109" spans="1:32">
      <c r="A109" s="253" t="s">
        <v>1523</v>
      </c>
      <c r="B109" s="146" t="s">
        <v>1</v>
      </c>
      <c r="C109" s="155" t="s">
        <v>1704</v>
      </c>
      <c r="D109" s="147">
        <v>237</v>
      </c>
      <c r="E109" s="157" t="s">
        <v>1396</v>
      </c>
      <c r="F109" s="147" t="s">
        <v>106</v>
      </c>
      <c r="G109" s="147" t="s">
        <v>1429</v>
      </c>
      <c r="H109" s="147">
        <v>8</v>
      </c>
      <c r="I109" s="149">
        <f t="shared" si="15"/>
        <v>8</v>
      </c>
      <c r="J109" s="147"/>
      <c r="K109" s="336" t="s">
        <v>55</v>
      </c>
      <c r="L109" s="147">
        <v>100</v>
      </c>
      <c r="M109" s="147" t="s">
        <v>9</v>
      </c>
      <c r="N109" s="147" t="s">
        <v>1418</v>
      </c>
      <c r="O109" s="147" t="s">
        <v>98</v>
      </c>
      <c r="P109" s="147">
        <v>100</v>
      </c>
      <c r="Q109" s="150">
        <f t="shared" si="16"/>
        <v>0</v>
      </c>
      <c r="R109" s="151"/>
      <c r="S109" s="152">
        <v>380</v>
      </c>
      <c r="T109" s="152">
        <v>380</v>
      </c>
      <c r="U109" s="153"/>
      <c r="V109" s="154"/>
      <c r="W109" s="154"/>
      <c r="X109" s="155" t="s">
        <v>1692</v>
      </c>
      <c r="Y109" s="155" t="s">
        <v>1423</v>
      </c>
      <c r="Z109" s="155" t="s">
        <v>1442</v>
      </c>
      <c r="AA109" s="273">
        <f t="shared" si="17"/>
        <v>3.8</v>
      </c>
      <c r="AB109" s="273">
        <f t="shared" si="18"/>
        <v>3.8</v>
      </c>
      <c r="AC109" s="156">
        <f t="shared" si="19"/>
        <v>100</v>
      </c>
      <c r="AD109" s="274">
        <f t="shared" si="20"/>
        <v>380</v>
      </c>
      <c r="AE109" s="274">
        <f t="shared" si="22"/>
        <v>380</v>
      </c>
      <c r="AF109" s="129"/>
    </row>
    <row r="110" spans="1:32">
      <c r="A110" s="253" t="s">
        <v>1523</v>
      </c>
      <c r="B110" s="146" t="s">
        <v>1</v>
      </c>
      <c r="C110" s="155" t="s">
        <v>1704</v>
      </c>
      <c r="D110" s="147">
        <v>237</v>
      </c>
      <c r="E110" s="157" t="s">
        <v>1396</v>
      </c>
      <c r="F110" s="147" t="s">
        <v>106</v>
      </c>
      <c r="G110" s="147" t="s">
        <v>1429</v>
      </c>
      <c r="H110" s="147">
        <v>17</v>
      </c>
      <c r="I110" s="149">
        <f t="shared" si="15"/>
        <v>17</v>
      </c>
      <c r="J110" s="147"/>
      <c r="K110" s="336" t="s">
        <v>53</v>
      </c>
      <c r="L110" s="147">
        <v>100</v>
      </c>
      <c r="M110" s="147" t="s">
        <v>9</v>
      </c>
      <c r="N110" s="147" t="s">
        <v>1418</v>
      </c>
      <c r="O110" s="147" t="s">
        <v>98</v>
      </c>
      <c r="P110" s="147">
        <v>100</v>
      </c>
      <c r="Q110" s="150">
        <f t="shared" si="16"/>
        <v>0</v>
      </c>
      <c r="R110" s="151"/>
      <c r="S110" s="152">
        <v>580</v>
      </c>
      <c r="T110" s="152">
        <v>580</v>
      </c>
      <c r="U110" s="153"/>
      <c r="V110" s="154"/>
      <c r="W110" s="154"/>
      <c r="X110" s="155" t="s">
        <v>1692</v>
      </c>
      <c r="Y110" s="155" t="s">
        <v>1423</v>
      </c>
      <c r="Z110" s="155" t="s">
        <v>1442</v>
      </c>
      <c r="AA110" s="273">
        <f t="shared" si="17"/>
        <v>5.8</v>
      </c>
      <c r="AB110" s="273">
        <f t="shared" si="18"/>
        <v>5.8</v>
      </c>
      <c r="AC110" s="156">
        <f t="shared" si="19"/>
        <v>100</v>
      </c>
      <c r="AD110" s="274">
        <f t="shared" si="20"/>
        <v>580</v>
      </c>
      <c r="AE110" s="274">
        <f t="shared" si="22"/>
        <v>580</v>
      </c>
      <c r="AF110" s="129"/>
    </row>
    <row r="111" spans="1:32">
      <c r="A111" s="253" t="s">
        <v>1523</v>
      </c>
      <c r="B111" s="146" t="s">
        <v>1</v>
      </c>
      <c r="C111" s="155" t="s">
        <v>1704</v>
      </c>
      <c r="D111" s="147">
        <v>237</v>
      </c>
      <c r="E111" s="157" t="s">
        <v>1396</v>
      </c>
      <c r="F111" s="147" t="s">
        <v>106</v>
      </c>
      <c r="G111" s="147" t="s">
        <v>1429</v>
      </c>
      <c r="H111" s="147">
        <v>22</v>
      </c>
      <c r="I111" s="149">
        <f t="shared" si="15"/>
        <v>22</v>
      </c>
      <c r="J111" s="147"/>
      <c r="K111" s="336" t="s">
        <v>51</v>
      </c>
      <c r="L111" s="147">
        <v>100</v>
      </c>
      <c r="M111" s="147" t="s">
        <v>9</v>
      </c>
      <c r="N111" s="147" t="s">
        <v>1418</v>
      </c>
      <c r="O111" s="147" t="s">
        <v>98</v>
      </c>
      <c r="P111" s="147">
        <v>100</v>
      </c>
      <c r="Q111" s="150">
        <f t="shared" si="16"/>
        <v>0</v>
      </c>
      <c r="R111" s="151"/>
      <c r="S111" s="152">
        <v>580</v>
      </c>
      <c r="T111" s="152">
        <v>580</v>
      </c>
      <c r="U111" s="153"/>
      <c r="V111" s="154"/>
      <c r="W111" s="154"/>
      <c r="X111" s="155" t="s">
        <v>1692</v>
      </c>
      <c r="Y111" s="155" t="s">
        <v>1423</v>
      </c>
      <c r="Z111" s="155" t="s">
        <v>1442</v>
      </c>
      <c r="AA111" s="273">
        <f t="shared" si="17"/>
        <v>5.8</v>
      </c>
      <c r="AB111" s="273">
        <f t="shared" si="18"/>
        <v>5.8</v>
      </c>
      <c r="AC111" s="156">
        <f t="shared" si="19"/>
        <v>100</v>
      </c>
      <c r="AD111" s="274">
        <f t="shared" si="20"/>
        <v>580</v>
      </c>
      <c r="AE111" s="274">
        <f t="shared" si="22"/>
        <v>580</v>
      </c>
      <c r="AF111" s="129"/>
    </row>
    <row r="112" spans="1:32">
      <c r="A112" s="253" t="s">
        <v>1523</v>
      </c>
      <c r="B112" s="146" t="s">
        <v>1</v>
      </c>
      <c r="C112" s="155" t="s">
        <v>1704</v>
      </c>
      <c r="D112" s="147">
        <v>237</v>
      </c>
      <c r="E112" s="157" t="s">
        <v>1396</v>
      </c>
      <c r="F112" s="147" t="s">
        <v>106</v>
      </c>
      <c r="G112" s="147" t="s">
        <v>1429</v>
      </c>
      <c r="H112" s="147">
        <v>33</v>
      </c>
      <c r="I112" s="149">
        <f t="shared" si="15"/>
        <v>33</v>
      </c>
      <c r="J112" s="147"/>
      <c r="K112" s="336" t="s">
        <v>59</v>
      </c>
      <c r="L112" s="147">
        <v>100</v>
      </c>
      <c r="M112" s="147" t="s">
        <v>9</v>
      </c>
      <c r="N112" s="147" t="s">
        <v>1418</v>
      </c>
      <c r="O112" s="147" t="s">
        <v>98</v>
      </c>
      <c r="P112" s="147">
        <v>100</v>
      </c>
      <c r="Q112" s="150">
        <f t="shared" si="16"/>
        <v>0</v>
      </c>
      <c r="R112" s="151"/>
      <c r="S112" s="152">
        <v>800</v>
      </c>
      <c r="T112" s="152">
        <v>800</v>
      </c>
      <c r="U112" s="153"/>
      <c r="V112" s="154"/>
      <c r="W112" s="154"/>
      <c r="X112" s="155" t="s">
        <v>1692</v>
      </c>
      <c r="Y112" s="155" t="s">
        <v>1423</v>
      </c>
      <c r="Z112" s="155" t="s">
        <v>1442</v>
      </c>
      <c r="AA112" s="273">
        <f t="shared" si="17"/>
        <v>8</v>
      </c>
      <c r="AB112" s="273">
        <f t="shared" si="18"/>
        <v>8</v>
      </c>
      <c r="AC112" s="156">
        <f t="shared" si="19"/>
        <v>100</v>
      </c>
      <c r="AD112" s="274">
        <f t="shared" si="20"/>
        <v>800</v>
      </c>
      <c r="AE112" s="274">
        <f t="shared" si="22"/>
        <v>800</v>
      </c>
      <c r="AF112" s="129"/>
    </row>
    <row r="113" spans="1:32">
      <c r="A113" s="253" t="s">
        <v>1523</v>
      </c>
      <c r="B113" s="146" t="s">
        <v>1</v>
      </c>
      <c r="C113" s="155" t="s">
        <v>1704</v>
      </c>
      <c r="D113" s="147">
        <v>237</v>
      </c>
      <c r="E113" s="157" t="s">
        <v>1396</v>
      </c>
      <c r="F113" s="147" t="s">
        <v>106</v>
      </c>
      <c r="G113" s="147" t="s">
        <v>1429</v>
      </c>
      <c r="H113" s="147">
        <v>42</v>
      </c>
      <c r="I113" s="149">
        <f t="shared" si="15"/>
        <v>42</v>
      </c>
      <c r="J113" s="147"/>
      <c r="K113" s="336" t="s">
        <v>61</v>
      </c>
      <c r="L113" s="147">
        <v>100</v>
      </c>
      <c r="M113" s="147" t="s">
        <v>9</v>
      </c>
      <c r="N113" s="147" t="s">
        <v>1418</v>
      </c>
      <c r="O113" s="147" t="s">
        <v>98</v>
      </c>
      <c r="P113" s="147">
        <v>100</v>
      </c>
      <c r="Q113" s="150">
        <f t="shared" si="16"/>
        <v>0</v>
      </c>
      <c r="R113" s="151"/>
      <c r="S113" s="152">
        <v>420</v>
      </c>
      <c r="T113" s="152">
        <v>420</v>
      </c>
      <c r="U113" s="153"/>
      <c r="V113" s="154"/>
      <c r="W113" s="154"/>
      <c r="X113" s="155" t="s">
        <v>1692</v>
      </c>
      <c r="Y113" s="155" t="s">
        <v>1423</v>
      </c>
      <c r="Z113" s="155" t="s">
        <v>1442</v>
      </c>
      <c r="AA113" s="273">
        <f t="shared" si="17"/>
        <v>4.2</v>
      </c>
      <c r="AB113" s="273">
        <f t="shared" si="18"/>
        <v>4.2</v>
      </c>
      <c r="AC113" s="156">
        <f t="shared" si="19"/>
        <v>100</v>
      </c>
      <c r="AD113" s="274">
        <f t="shared" si="20"/>
        <v>420</v>
      </c>
      <c r="AE113" s="274">
        <f t="shared" si="22"/>
        <v>420</v>
      </c>
      <c r="AF113" s="129"/>
    </row>
    <row r="114" spans="1:32">
      <c r="A114" s="253" t="s">
        <v>1523</v>
      </c>
      <c r="B114" s="146" t="s">
        <v>1</v>
      </c>
      <c r="C114" s="155" t="s">
        <v>1704</v>
      </c>
      <c r="D114" s="147">
        <v>237</v>
      </c>
      <c r="E114" s="157" t="s">
        <v>1396</v>
      </c>
      <c r="F114" s="147" t="s">
        <v>106</v>
      </c>
      <c r="G114" s="147" t="s">
        <v>1429</v>
      </c>
      <c r="H114" s="147">
        <v>43</v>
      </c>
      <c r="I114" s="149">
        <f t="shared" si="15"/>
        <v>43</v>
      </c>
      <c r="J114" s="147"/>
      <c r="K114" s="336" t="s">
        <v>62</v>
      </c>
      <c r="L114" s="147">
        <v>100</v>
      </c>
      <c r="M114" s="147" t="s">
        <v>9</v>
      </c>
      <c r="N114" s="147" t="s">
        <v>1418</v>
      </c>
      <c r="O114" s="147" t="s">
        <v>98</v>
      </c>
      <c r="P114" s="147">
        <v>100</v>
      </c>
      <c r="Q114" s="150">
        <f t="shared" si="16"/>
        <v>0</v>
      </c>
      <c r="R114" s="151"/>
      <c r="S114" s="152">
        <v>340</v>
      </c>
      <c r="T114" s="152">
        <v>340</v>
      </c>
      <c r="U114" s="153"/>
      <c r="V114" s="154"/>
      <c r="W114" s="154"/>
      <c r="X114" s="155" t="s">
        <v>1692</v>
      </c>
      <c r="Y114" s="155" t="s">
        <v>1423</v>
      </c>
      <c r="Z114" s="155" t="s">
        <v>1442</v>
      </c>
      <c r="AA114" s="273">
        <f t="shared" si="17"/>
        <v>3.4</v>
      </c>
      <c r="AB114" s="273">
        <f t="shared" si="18"/>
        <v>3.4</v>
      </c>
      <c r="AC114" s="156">
        <f t="shared" si="19"/>
        <v>100</v>
      </c>
      <c r="AD114" s="274">
        <f t="shared" si="20"/>
        <v>340</v>
      </c>
      <c r="AE114" s="274">
        <f t="shared" si="22"/>
        <v>340</v>
      </c>
      <c r="AF114" s="129"/>
    </row>
    <row r="115" spans="1:32">
      <c r="A115" s="253" t="s">
        <v>1523</v>
      </c>
      <c r="B115" s="146" t="s">
        <v>1</v>
      </c>
      <c r="C115" s="155" t="s">
        <v>1704</v>
      </c>
      <c r="D115" s="147">
        <v>237</v>
      </c>
      <c r="E115" s="157" t="s">
        <v>1396</v>
      </c>
      <c r="F115" s="147" t="s">
        <v>106</v>
      </c>
      <c r="G115" s="147" t="s">
        <v>1429</v>
      </c>
      <c r="H115" s="147">
        <v>46</v>
      </c>
      <c r="I115" s="149">
        <f t="shared" si="15"/>
        <v>46</v>
      </c>
      <c r="J115" s="147"/>
      <c r="K115" s="336" t="s">
        <v>64</v>
      </c>
      <c r="L115" s="147">
        <v>100</v>
      </c>
      <c r="M115" s="147" t="s">
        <v>9</v>
      </c>
      <c r="N115" s="147" t="s">
        <v>1418</v>
      </c>
      <c r="O115" s="147" t="s">
        <v>98</v>
      </c>
      <c r="P115" s="147">
        <v>100</v>
      </c>
      <c r="Q115" s="150">
        <f t="shared" si="16"/>
        <v>0</v>
      </c>
      <c r="R115" s="151"/>
      <c r="S115" s="152">
        <v>1300</v>
      </c>
      <c r="T115" s="152">
        <v>1300</v>
      </c>
      <c r="U115" s="153"/>
      <c r="V115" s="154"/>
      <c r="W115" s="154"/>
      <c r="X115" s="155" t="s">
        <v>1692</v>
      </c>
      <c r="Y115" s="155" t="s">
        <v>1423</v>
      </c>
      <c r="Z115" s="155" t="s">
        <v>1442</v>
      </c>
      <c r="AA115" s="273">
        <f t="shared" si="17"/>
        <v>13</v>
      </c>
      <c r="AB115" s="273">
        <f t="shared" si="18"/>
        <v>13</v>
      </c>
      <c r="AC115" s="156">
        <f t="shared" si="19"/>
        <v>100</v>
      </c>
      <c r="AD115" s="274">
        <f t="shared" si="20"/>
        <v>1300</v>
      </c>
      <c r="AE115" s="274">
        <f t="shared" si="22"/>
        <v>1300</v>
      </c>
      <c r="AF115" s="129"/>
    </row>
    <row r="116" spans="1:32">
      <c r="A116" s="253" t="s">
        <v>1523</v>
      </c>
      <c r="B116" s="146" t="s">
        <v>1</v>
      </c>
      <c r="C116" s="155" t="s">
        <v>1704</v>
      </c>
      <c r="D116" s="147">
        <v>237</v>
      </c>
      <c r="E116" s="157" t="s">
        <v>1396</v>
      </c>
      <c r="F116" s="147" t="s">
        <v>106</v>
      </c>
      <c r="G116" s="147" t="s">
        <v>1429</v>
      </c>
      <c r="H116" s="147">
        <v>58</v>
      </c>
      <c r="I116" s="149">
        <f t="shared" si="15"/>
        <v>58</v>
      </c>
      <c r="J116" s="147"/>
      <c r="K116" s="336" t="s">
        <v>67</v>
      </c>
      <c r="L116" s="147">
        <v>100</v>
      </c>
      <c r="M116" s="147" t="s">
        <v>9</v>
      </c>
      <c r="N116" s="147" t="s">
        <v>1418</v>
      </c>
      <c r="O116" s="147" t="s">
        <v>98</v>
      </c>
      <c r="P116" s="147">
        <v>100</v>
      </c>
      <c r="Q116" s="150">
        <f t="shared" si="16"/>
        <v>0</v>
      </c>
      <c r="R116" s="151"/>
      <c r="S116" s="152">
        <v>450</v>
      </c>
      <c r="T116" s="152">
        <v>450</v>
      </c>
      <c r="U116" s="153"/>
      <c r="V116" s="154"/>
      <c r="W116" s="154"/>
      <c r="X116" s="155" t="s">
        <v>1692</v>
      </c>
      <c r="Y116" s="155" t="s">
        <v>1423</v>
      </c>
      <c r="Z116" s="155" t="s">
        <v>1442</v>
      </c>
      <c r="AA116" s="273">
        <f t="shared" si="17"/>
        <v>4.5</v>
      </c>
      <c r="AB116" s="273">
        <f t="shared" si="18"/>
        <v>4.5</v>
      </c>
      <c r="AC116" s="156">
        <f t="shared" si="19"/>
        <v>100</v>
      </c>
      <c r="AD116" s="274">
        <f t="shared" si="20"/>
        <v>450</v>
      </c>
      <c r="AE116" s="274">
        <f t="shared" si="22"/>
        <v>450</v>
      </c>
      <c r="AF116" s="129"/>
    </row>
    <row r="117" spans="1:32">
      <c r="A117" s="253" t="s">
        <v>1523</v>
      </c>
      <c r="B117" s="146" t="s">
        <v>1</v>
      </c>
      <c r="C117" s="155" t="s">
        <v>1704</v>
      </c>
      <c r="D117" s="147">
        <v>237</v>
      </c>
      <c r="E117" s="157" t="s">
        <v>1396</v>
      </c>
      <c r="F117" s="147" t="s">
        <v>106</v>
      </c>
      <c r="G117" s="147" t="s">
        <v>1429</v>
      </c>
      <c r="H117" s="147">
        <v>59</v>
      </c>
      <c r="I117" s="149">
        <f t="shared" si="15"/>
        <v>59</v>
      </c>
      <c r="J117" s="147"/>
      <c r="K117" s="336" t="s">
        <v>99</v>
      </c>
      <c r="L117" s="147">
        <v>100</v>
      </c>
      <c r="M117" s="147" t="s">
        <v>9</v>
      </c>
      <c r="N117" s="147" t="s">
        <v>1631</v>
      </c>
      <c r="O117" s="147" t="s">
        <v>98</v>
      </c>
      <c r="P117" s="147">
        <v>100</v>
      </c>
      <c r="Q117" s="150">
        <f t="shared" si="16"/>
        <v>0</v>
      </c>
      <c r="R117" s="151"/>
      <c r="S117" s="152">
        <v>700</v>
      </c>
      <c r="T117" s="152">
        <v>700</v>
      </c>
      <c r="U117" s="153"/>
      <c r="V117" s="154"/>
      <c r="W117" s="154"/>
      <c r="X117" s="155" t="s">
        <v>1692</v>
      </c>
      <c r="Y117" s="155" t="s">
        <v>1423</v>
      </c>
      <c r="Z117" s="155" t="s">
        <v>1442</v>
      </c>
      <c r="AA117" s="273">
        <f t="shared" si="17"/>
        <v>7</v>
      </c>
      <c r="AB117" s="273">
        <f t="shared" si="18"/>
        <v>7</v>
      </c>
      <c r="AC117" s="156">
        <f t="shared" si="19"/>
        <v>100</v>
      </c>
      <c r="AD117" s="274">
        <f t="shared" si="20"/>
        <v>700</v>
      </c>
      <c r="AE117" s="274">
        <f t="shared" si="22"/>
        <v>700</v>
      </c>
      <c r="AF117" s="129"/>
    </row>
    <row r="118" spans="1:32">
      <c r="A118" s="253" t="s">
        <v>1523</v>
      </c>
      <c r="B118" s="146" t="s">
        <v>1</v>
      </c>
      <c r="C118" s="155" t="s">
        <v>1704</v>
      </c>
      <c r="D118" s="147">
        <v>237</v>
      </c>
      <c r="E118" s="157" t="s">
        <v>1396</v>
      </c>
      <c r="F118" s="147" t="s">
        <v>106</v>
      </c>
      <c r="G118" s="147" t="s">
        <v>1429</v>
      </c>
      <c r="H118" s="147">
        <v>69</v>
      </c>
      <c r="I118" s="149">
        <f t="shared" si="15"/>
        <v>69</v>
      </c>
      <c r="J118" s="147"/>
      <c r="K118" s="336" t="s">
        <v>70</v>
      </c>
      <c r="L118" s="147">
        <v>100</v>
      </c>
      <c r="M118" s="147" t="s">
        <v>9</v>
      </c>
      <c r="N118" s="147" t="s">
        <v>1418</v>
      </c>
      <c r="O118" s="147" t="s">
        <v>98</v>
      </c>
      <c r="P118" s="147">
        <v>100</v>
      </c>
      <c r="Q118" s="150">
        <f t="shared" si="16"/>
        <v>0</v>
      </c>
      <c r="R118" s="151"/>
      <c r="S118" s="152">
        <v>750</v>
      </c>
      <c r="T118" s="152">
        <v>750</v>
      </c>
      <c r="U118" s="153"/>
      <c r="V118" s="154"/>
      <c r="W118" s="154"/>
      <c r="X118" s="155" t="s">
        <v>1692</v>
      </c>
      <c r="Y118" s="155" t="s">
        <v>1423</v>
      </c>
      <c r="Z118" s="155" t="s">
        <v>1442</v>
      </c>
      <c r="AA118" s="273">
        <f t="shared" si="17"/>
        <v>7.5</v>
      </c>
      <c r="AB118" s="273">
        <f t="shared" si="18"/>
        <v>7.5</v>
      </c>
      <c r="AC118" s="156">
        <f t="shared" si="19"/>
        <v>100</v>
      </c>
      <c r="AD118" s="274">
        <f t="shared" si="20"/>
        <v>750</v>
      </c>
      <c r="AE118" s="274">
        <f t="shared" si="22"/>
        <v>750</v>
      </c>
      <c r="AF118" s="129"/>
    </row>
    <row r="119" spans="1:32">
      <c r="A119" s="253" t="s">
        <v>1523</v>
      </c>
      <c r="B119" s="146" t="s">
        <v>1</v>
      </c>
      <c r="C119" s="155" t="s">
        <v>1704</v>
      </c>
      <c r="D119" s="147">
        <v>237</v>
      </c>
      <c r="E119" s="157" t="s">
        <v>1396</v>
      </c>
      <c r="F119" s="147" t="s">
        <v>106</v>
      </c>
      <c r="G119" s="147" t="s">
        <v>1429</v>
      </c>
      <c r="H119" s="147">
        <v>70</v>
      </c>
      <c r="I119" s="149">
        <f t="shared" si="15"/>
        <v>70</v>
      </c>
      <c r="J119" s="147"/>
      <c r="K119" s="336" t="s">
        <v>71</v>
      </c>
      <c r="L119" s="147">
        <v>100</v>
      </c>
      <c r="M119" s="147" t="s">
        <v>9</v>
      </c>
      <c r="N119" s="147" t="s">
        <v>1418</v>
      </c>
      <c r="O119" s="147" t="s">
        <v>98</v>
      </c>
      <c r="P119" s="147">
        <v>100</v>
      </c>
      <c r="Q119" s="150">
        <f t="shared" si="16"/>
        <v>0</v>
      </c>
      <c r="R119" s="151"/>
      <c r="S119" s="152">
        <v>900</v>
      </c>
      <c r="T119" s="152">
        <v>900</v>
      </c>
      <c r="U119" s="153"/>
      <c r="V119" s="154"/>
      <c r="W119" s="154"/>
      <c r="X119" s="155" t="s">
        <v>1692</v>
      </c>
      <c r="Y119" s="155" t="s">
        <v>1423</v>
      </c>
      <c r="Z119" s="155" t="s">
        <v>1442</v>
      </c>
      <c r="AA119" s="273">
        <f t="shared" si="17"/>
        <v>9</v>
      </c>
      <c r="AB119" s="273">
        <f t="shared" si="18"/>
        <v>9</v>
      </c>
      <c r="AC119" s="156">
        <f t="shared" si="19"/>
        <v>100</v>
      </c>
      <c r="AD119" s="274">
        <f t="shared" si="20"/>
        <v>900</v>
      </c>
      <c r="AE119" s="274">
        <f t="shared" si="22"/>
        <v>900</v>
      </c>
      <c r="AF119" s="129"/>
    </row>
    <row r="120" spans="1:32">
      <c r="A120" s="253" t="s">
        <v>1523</v>
      </c>
      <c r="B120" s="146" t="s">
        <v>1</v>
      </c>
      <c r="C120" s="155" t="s">
        <v>1704</v>
      </c>
      <c r="D120" s="147">
        <v>213</v>
      </c>
      <c r="E120" s="157" t="s">
        <v>1525</v>
      </c>
      <c r="F120" s="147" t="s">
        <v>106</v>
      </c>
      <c r="G120" s="147" t="s">
        <v>1429</v>
      </c>
      <c r="H120" s="147">
        <v>7</v>
      </c>
      <c r="I120" s="149">
        <f t="shared" si="15"/>
        <v>7</v>
      </c>
      <c r="J120" s="147"/>
      <c r="K120" s="336" t="s">
        <v>57</v>
      </c>
      <c r="L120" s="147">
        <v>100</v>
      </c>
      <c r="M120" s="147" t="s">
        <v>9</v>
      </c>
      <c r="N120" s="147" t="s">
        <v>1418</v>
      </c>
      <c r="O120" s="147" t="s">
        <v>98</v>
      </c>
      <c r="P120" s="147">
        <v>100</v>
      </c>
      <c r="Q120" s="150">
        <f t="shared" si="16"/>
        <v>0</v>
      </c>
      <c r="R120" s="151"/>
      <c r="S120" s="152">
        <v>340</v>
      </c>
      <c r="T120" s="152">
        <v>340</v>
      </c>
      <c r="U120" s="153"/>
      <c r="V120" s="154"/>
      <c r="W120" s="154"/>
      <c r="X120" s="155" t="s">
        <v>1692</v>
      </c>
      <c r="Y120" s="155" t="s">
        <v>1423</v>
      </c>
      <c r="Z120" s="155" t="s">
        <v>1442</v>
      </c>
      <c r="AA120" s="273">
        <f t="shared" si="17"/>
        <v>3.4</v>
      </c>
      <c r="AB120" s="273">
        <f t="shared" si="18"/>
        <v>3.4</v>
      </c>
      <c r="AC120" s="156">
        <f t="shared" si="19"/>
        <v>100</v>
      </c>
      <c r="AD120" s="274">
        <f t="shared" si="20"/>
        <v>340</v>
      </c>
      <c r="AE120" s="274">
        <f t="shared" si="22"/>
        <v>340</v>
      </c>
      <c r="AF120" s="129"/>
    </row>
    <row r="121" spans="1:32">
      <c r="A121" s="253" t="s">
        <v>1523</v>
      </c>
      <c r="B121" s="146" t="s">
        <v>1</v>
      </c>
      <c r="C121" s="155" t="s">
        <v>1704</v>
      </c>
      <c r="D121" s="147">
        <v>213</v>
      </c>
      <c r="E121" s="157" t="s">
        <v>1525</v>
      </c>
      <c r="F121" s="147" t="s">
        <v>106</v>
      </c>
      <c r="G121" s="147" t="s">
        <v>1429</v>
      </c>
      <c r="H121" s="147">
        <v>8</v>
      </c>
      <c r="I121" s="149">
        <f t="shared" si="15"/>
        <v>8</v>
      </c>
      <c r="J121" s="147"/>
      <c r="K121" s="336" t="s">
        <v>55</v>
      </c>
      <c r="L121" s="147">
        <v>100</v>
      </c>
      <c r="M121" s="147" t="s">
        <v>9</v>
      </c>
      <c r="N121" s="147" t="s">
        <v>1418</v>
      </c>
      <c r="O121" s="147" t="s">
        <v>98</v>
      </c>
      <c r="P121" s="147">
        <v>100</v>
      </c>
      <c r="Q121" s="150">
        <f t="shared" si="16"/>
        <v>0</v>
      </c>
      <c r="R121" s="151"/>
      <c r="S121" s="152">
        <v>320</v>
      </c>
      <c r="T121" s="152">
        <v>320</v>
      </c>
      <c r="U121" s="153"/>
      <c r="V121" s="154"/>
      <c r="W121" s="154"/>
      <c r="X121" s="155" t="s">
        <v>1692</v>
      </c>
      <c r="Y121" s="155" t="s">
        <v>1423</v>
      </c>
      <c r="Z121" s="155" t="s">
        <v>1442</v>
      </c>
      <c r="AA121" s="273">
        <f t="shared" si="17"/>
        <v>3.2</v>
      </c>
      <c r="AB121" s="273">
        <f t="shared" si="18"/>
        <v>3.2</v>
      </c>
      <c r="AC121" s="156">
        <f t="shared" si="19"/>
        <v>100</v>
      </c>
      <c r="AD121" s="274">
        <f t="shared" si="20"/>
        <v>320</v>
      </c>
      <c r="AE121" s="274">
        <f t="shared" si="22"/>
        <v>320</v>
      </c>
      <c r="AF121" s="129"/>
    </row>
    <row r="122" spans="1:32">
      <c r="A122" s="253" t="s">
        <v>1523</v>
      </c>
      <c r="B122" s="146" t="s">
        <v>1</v>
      </c>
      <c r="C122" s="155" t="s">
        <v>1704</v>
      </c>
      <c r="D122" s="147">
        <v>213</v>
      </c>
      <c r="E122" s="157" t="s">
        <v>1525</v>
      </c>
      <c r="F122" s="147" t="s">
        <v>106</v>
      </c>
      <c r="G122" s="147" t="s">
        <v>1429</v>
      </c>
      <c r="H122" s="147">
        <v>17</v>
      </c>
      <c r="I122" s="149">
        <f t="shared" si="15"/>
        <v>17</v>
      </c>
      <c r="J122" s="147"/>
      <c r="K122" s="336" t="s">
        <v>53</v>
      </c>
      <c r="L122" s="147">
        <v>100</v>
      </c>
      <c r="M122" s="147" t="s">
        <v>9</v>
      </c>
      <c r="N122" s="147" t="s">
        <v>1418</v>
      </c>
      <c r="O122" s="147" t="s">
        <v>98</v>
      </c>
      <c r="P122" s="147">
        <v>100</v>
      </c>
      <c r="Q122" s="150">
        <f t="shared" si="16"/>
        <v>0</v>
      </c>
      <c r="R122" s="151"/>
      <c r="S122" s="152">
        <v>420</v>
      </c>
      <c r="T122" s="152">
        <v>420</v>
      </c>
      <c r="U122" s="153"/>
      <c r="V122" s="154"/>
      <c r="W122" s="154"/>
      <c r="X122" s="155" t="s">
        <v>1692</v>
      </c>
      <c r="Y122" s="155" t="s">
        <v>1423</v>
      </c>
      <c r="Z122" s="155" t="s">
        <v>1442</v>
      </c>
      <c r="AA122" s="273">
        <f t="shared" si="17"/>
        <v>4.2</v>
      </c>
      <c r="AB122" s="273">
        <f t="shared" si="18"/>
        <v>4.2</v>
      </c>
      <c r="AC122" s="156">
        <f t="shared" si="19"/>
        <v>100</v>
      </c>
      <c r="AD122" s="274">
        <f t="shared" si="20"/>
        <v>420</v>
      </c>
      <c r="AE122" s="274">
        <f t="shared" si="22"/>
        <v>420</v>
      </c>
      <c r="AF122" s="129"/>
    </row>
    <row r="123" spans="1:32">
      <c r="A123" s="253" t="s">
        <v>1523</v>
      </c>
      <c r="B123" s="146" t="s">
        <v>1</v>
      </c>
      <c r="C123" s="155" t="s">
        <v>1704</v>
      </c>
      <c r="D123" s="147">
        <v>213</v>
      </c>
      <c r="E123" s="157" t="s">
        <v>1525</v>
      </c>
      <c r="F123" s="147" t="s">
        <v>106</v>
      </c>
      <c r="G123" s="147" t="s">
        <v>1429</v>
      </c>
      <c r="H123" s="147">
        <v>22</v>
      </c>
      <c r="I123" s="149">
        <f t="shared" si="15"/>
        <v>22</v>
      </c>
      <c r="J123" s="147"/>
      <c r="K123" s="336" t="s">
        <v>51</v>
      </c>
      <c r="L123" s="147">
        <v>100</v>
      </c>
      <c r="M123" s="147" t="s">
        <v>9</v>
      </c>
      <c r="N123" s="147" t="s">
        <v>1418</v>
      </c>
      <c r="O123" s="147" t="s">
        <v>98</v>
      </c>
      <c r="P123" s="147">
        <v>100</v>
      </c>
      <c r="Q123" s="150">
        <f t="shared" si="16"/>
        <v>0</v>
      </c>
      <c r="R123" s="151"/>
      <c r="S123" s="152">
        <v>440</v>
      </c>
      <c r="T123" s="152">
        <v>440</v>
      </c>
      <c r="U123" s="153"/>
      <c r="V123" s="154"/>
      <c r="W123" s="154"/>
      <c r="X123" s="155" t="s">
        <v>1692</v>
      </c>
      <c r="Y123" s="155" t="s">
        <v>1423</v>
      </c>
      <c r="Z123" s="155" t="s">
        <v>1442</v>
      </c>
      <c r="AA123" s="273">
        <f t="shared" si="17"/>
        <v>4.4000000000000004</v>
      </c>
      <c r="AB123" s="273">
        <f t="shared" si="18"/>
        <v>4.4000000000000004</v>
      </c>
      <c r="AC123" s="156">
        <f t="shared" si="19"/>
        <v>100</v>
      </c>
      <c r="AD123" s="274">
        <f t="shared" si="20"/>
        <v>440.00000000000006</v>
      </c>
      <c r="AE123" s="274">
        <f t="shared" si="22"/>
        <v>440.00000000000006</v>
      </c>
      <c r="AF123" s="129"/>
    </row>
    <row r="124" spans="1:32">
      <c r="A124" s="253" t="s">
        <v>1523</v>
      </c>
      <c r="B124" s="146" t="s">
        <v>1</v>
      </c>
      <c r="C124" s="155" t="s">
        <v>1704</v>
      </c>
      <c r="D124" s="147">
        <v>213</v>
      </c>
      <c r="E124" s="157" t="s">
        <v>1525</v>
      </c>
      <c r="F124" s="147" t="s">
        <v>106</v>
      </c>
      <c r="G124" s="147" t="s">
        <v>1429</v>
      </c>
      <c r="H124" s="147">
        <v>33</v>
      </c>
      <c r="I124" s="149">
        <f t="shared" si="15"/>
        <v>33</v>
      </c>
      <c r="J124" s="147"/>
      <c r="K124" s="336" t="s">
        <v>59</v>
      </c>
      <c r="L124" s="147">
        <v>100</v>
      </c>
      <c r="M124" s="147" t="s">
        <v>9</v>
      </c>
      <c r="N124" s="147" t="s">
        <v>1418</v>
      </c>
      <c r="O124" s="147" t="s">
        <v>98</v>
      </c>
      <c r="P124" s="147">
        <v>100</v>
      </c>
      <c r="Q124" s="150">
        <f t="shared" si="16"/>
        <v>0</v>
      </c>
      <c r="R124" s="151"/>
      <c r="S124" s="152">
        <v>640</v>
      </c>
      <c r="T124" s="152">
        <v>640</v>
      </c>
      <c r="U124" s="153"/>
      <c r="V124" s="154"/>
      <c r="W124" s="154"/>
      <c r="X124" s="155" t="s">
        <v>1692</v>
      </c>
      <c r="Y124" s="155" t="s">
        <v>1423</v>
      </c>
      <c r="Z124" s="155" t="s">
        <v>1442</v>
      </c>
      <c r="AA124" s="273">
        <f t="shared" si="17"/>
        <v>6.4</v>
      </c>
      <c r="AB124" s="273">
        <f t="shared" si="18"/>
        <v>6.4</v>
      </c>
      <c r="AC124" s="156">
        <f t="shared" si="19"/>
        <v>100</v>
      </c>
      <c r="AD124" s="274">
        <f t="shared" si="20"/>
        <v>640</v>
      </c>
      <c r="AE124" s="274">
        <f t="shared" si="22"/>
        <v>640</v>
      </c>
      <c r="AF124" s="129"/>
    </row>
    <row r="125" spans="1:32">
      <c r="A125" s="253" t="s">
        <v>1523</v>
      </c>
      <c r="B125" s="146" t="s">
        <v>1</v>
      </c>
      <c r="C125" s="155" t="s">
        <v>1704</v>
      </c>
      <c r="D125" s="147">
        <v>213</v>
      </c>
      <c r="E125" s="157" t="s">
        <v>1525</v>
      </c>
      <c r="F125" s="147" t="s">
        <v>106</v>
      </c>
      <c r="G125" s="147" t="s">
        <v>1429</v>
      </c>
      <c r="H125" s="147">
        <v>36</v>
      </c>
      <c r="I125" s="149">
        <f t="shared" si="15"/>
        <v>36</v>
      </c>
      <c r="J125" s="147"/>
      <c r="K125" s="336" t="s">
        <v>1340</v>
      </c>
      <c r="L125" s="147">
        <v>20</v>
      </c>
      <c r="M125" s="147" t="s">
        <v>9</v>
      </c>
      <c r="N125" s="147" t="s">
        <v>1416</v>
      </c>
      <c r="O125" s="147" t="s">
        <v>98</v>
      </c>
      <c r="P125" s="147">
        <v>20</v>
      </c>
      <c r="Q125" s="150">
        <f t="shared" si="16"/>
        <v>0</v>
      </c>
      <c r="R125" s="151"/>
      <c r="S125" s="152">
        <v>280</v>
      </c>
      <c r="T125" s="152">
        <v>280</v>
      </c>
      <c r="U125" s="153"/>
      <c r="V125" s="154"/>
      <c r="W125" s="154"/>
      <c r="X125" s="155" t="s">
        <v>1692</v>
      </c>
      <c r="Y125" s="155" t="s">
        <v>1423</v>
      </c>
      <c r="Z125" s="155" t="s">
        <v>1442</v>
      </c>
      <c r="AA125" s="273">
        <f t="shared" si="17"/>
        <v>14</v>
      </c>
      <c r="AB125" s="273">
        <f t="shared" si="18"/>
        <v>14</v>
      </c>
      <c r="AC125" s="156">
        <f t="shared" si="19"/>
        <v>20</v>
      </c>
      <c r="AD125" s="274">
        <f t="shared" si="20"/>
        <v>280</v>
      </c>
      <c r="AE125" s="274">
        <f t="shared" si="22"/>
        <v>280</v>
      </c>
      <c r="AF125" s="129"/>
    </row>
    <row r="126" spans="1:32">
      <c r="A126" s="253" t="s">
        <v>1523</v>
      </c>
      <c r="B126" s="146" t="s">
        <v>1</v>
      </c>
      <c r="C126" s="155" t="s">
        <v>1704</v>
      </c>
      <c r="D126" s="147">
        <v>213</v>
      </c>
      <c r="E126" s="157" t="s">
        <v>1525</v>
      </c>
      <c r="F126" s="147" t="s">
        <v>106</v>
      </c>
      <c r="G126" s="147" t="s">
        <v>1429</v>
      </c>
      <c r="H126" s="147">
        <v>36</v>
      </c>
      <c r="I126" s="149">
        <f t="shared" si="15"/>
        <v>36</v>
      </c>
      <c r="J126" s="147"/>
      <c r="K126" s="336" t="s">
        <v>1340</v>
      </c>
      <c r="L126" s="147">
        <v>40</v>
      </c>
      <c r="M126" s="147" t="s">
        <v>9</v>
      </c>
      <c r="N126" s="147" t="s">
        <v>1417</v>
      </c>
      <c r="O126" s="147" t="s">
        <v>98</v>
      </c>
      <c r="P126" s="147">
        <v>40</v>
      </c>
      <c r="Q126" s="150">
        <f t="shared" si="16"/>
        <v>0</v>
      </c>
      <c r="R126" s="151"/>
      <c r="S126" s="152">
        <v>520</v>
      </c>
      <c r="T126" s="152">
        <v>520</v>
      </c>
      <c r="U126" s="153"/>
      <c r="V126" s="154"/>
      <c r="W126" s="154"/>
      <c r="X126" s="155" t="s">
        <v>1692</v>
      </c>
      <c r="Y126" s="155" t="s">
        <v>1423</v>
      </c>
      <c r="Z126" s="155" t="s">
        <v>1442</v>
      </c>
      <c r="AA126" s="273">
        <f t="shared" si="17"/>
        <v>13</v>
      </c>
      <c r="AB126" s="273">
        <f t="shared" si="18"/>
        <v>13</v>
      </c>
      <c r="AC126" s="156">
        <f t="shared" si="19"/>
        <v>40</v>
      </c>
      <c r="AD126" s="274">
        <f t="shared" si="20"/>
        <v>520</v>
      </c>
      <c r="AE126" s="274">
        <f t="shared" si="22"/>
        <v>520</v>
      </c>
      <c r="AF126" s="129"/>
    </row>
    <row r="127" spans="1:32">
      <c r="A127" s="253" t="s">
        <v>1523</v>
      </c>
      <c r="B127" s="146" t="s">
        <v>1</v>
      </c>
      <c r="C127" s="155" t="s">
        <v>1704</v>
      </c>
      <c r="D127" s="147">
        <v>213</v>
      </c>
      <c r="E127" s="157" t="s">
        <v>1525</v>
      </c>
      <c r="F127" s="147" t="s">
        <v>106</v>
      </c>
      <c r="G127" s="147" t="s">
        <v>1429</v>
      </c>
      <c r="H127" s="147">
        <v>42</v>
      </c>
      <c r="I127" s="149">
        <f t="shared" si="15"/>
        <v>42</v>
      </c>
      <c r="J127" s="147"/>
      <c r="K127" s="336" t="s">
        <v>61</v>
      </c>
      <c r="L127" s="147">
        <v>100</v>
      </c>
      <c r="M127" s="147" t="s">
        <v>9</v>
      </c>
      <c r="N127" s="147" t="s">
        <v>1418</v>
      </c>
      <c r="O127" s="147" t="s">
        <v>98</v>
      </c>
      <c r="P127" s="147">
        <v>100</v>
      </c>
      <c r="Q127" s="150">
        <f t="shared" si="16"/>
        <v>0</v>
      </c>
      <c r="R127" s="151"/>
      <c r="S127" s="152">
        <v>380</v>
      </c>
      <c r="T127" s="152">
        <v>380</v>
      </c>
      <c r="U127" s="153"/>
      <c r="V127" s="154"/>
      <c r="W127" s="154"/>
      <c r="X127" s="155" t="s">
        <v>1692</v>
      </c>
      <c r="Y127" s="155" t="s">
        <v>1423</v>
      </c>
      <c r="Z127" s="155" t="s">
        <v>1442</v>
      </c>
      <c r="AA127" s="273">
        <f t="shared" si="17"/>
        <v>3.8</v>
      </c>
      <c r="AB127" s="273">
        <f t="shared" si="18"/>
        <v>3.8</v>
      </c>
      <c r="AC127" s="156">
        <f t="shared" si="19"/>
        <v>100</v>
      </c>
      <c r="AD127" s="274">
        <f t="shared" si="20"/>
        <v>380</v>
      </c>
      <c r="AE127" s="274">
        <f t="shared" si="22"/>
        <v>380</v>
      </c>
      <c r="AF127" s="129"/>
    </row>
    <row r="128" spans="1:32">
      <c r="A128" s="253" t="s">
        <v>1523</v>
      </c>
      <c r="B128" s="146" t="s">
        <v>1</v>
      </c>
      <c r="C128" s="155" t="s">
        <v>1704</v>
      </c>
      <c r="D128" s="147">
        <v>213</v>
      </c>
      <c r="E128" s="157" t="s">
        <v>1525</v>
      </c>
      <c r="F128" s="147" t="s">
        <v>106</v>
      </c>
      <c r="G128" s="147" t="s">
        <v>1429</v>
      </c>
      <c r="H128" s="147">
        <v>43</v>
      </c>
      <c r="I128" s="149">
        <f t="shared" si="15"/>
        <v>43</v>
      </c>
      <c r="J128" s="147"/>
      <c r="K128" s="336" t="s">
        <v>62</v>
      </c>
      <c r="L128" s="147">
        <v>100</v>
      </c>
      <c r="M128" s="147" t="s">
        <v>9</v>
      </c>
      <c r="N128" s="147" t="s">
        <v>1418</v>
      </c>
      <c r="O128" s="147" t="s">
        <v>98</v>
      </c>
      <c r="P128" s="147">
        <v>100</v>
      </c>
      <c r="Q128" s="150">
        <f t="shared" si="16"/>
        <v>0</v>
      </c>
      <c r="R128" s="151"/>
      <c r="S128" s="152">
        <v>440</v>
      </c>
      <c r="T128" s="152">
        <v>440</v>
      </c>
      <c r="U128" s="153"/>
      <c r="V128" s="154"/>
      <c r="W128" s="154"/>
      <c r="X128" s="155" t="s">
        <v>1692</v>
      </c>
      <c r="Y128" s="155" t="s">
        <v>1423</v>
      </c>
      <c r="Z128" s="155" t="s">
        <v>1442</v>
      </c>
      <c r="AA128" s="273">
        <f t="shared" si="17"/>
        <v>4.4000000000000004</v>
      </c>
      <c r="AB128" s="273">
        <f t="shared" si="18"/>
        <v>4.4000000000000004</v>
      </c>
      <c r="AC128" s="156">
        <f t="shared" si="19"/>
        <v>100</v>
      </c>
      <c r="AD128" s="274">
        <f t="shared" si="20"/>
        <v>440.00000000000006</v>
      </c>
      <c r="AE128" s="274">
        <f t="shared" si="22"/>
        <v>440.00000000000006</v>
      </c>
      <c r="AF128" s="129"/>
    </row>
    <row r="129" spans="1:32">
      <c r="A129" s="253" t="s">
        <v>1523</v>
      </c>
      <c r="B129" s="146" t="s">
        <v>1</v>
      </c>
      <c r="C129" s="155" t="s">
        <v>1704</v>
      </c>
      <c r="D129" s="147">
        <v>213</v>
      </c>
      <c r="E129" s="157" t="s">
        <v>1525</v>
      </c>
      <c r="F129" s="147" t="s">
        <v>106</v>
      </c>
      <c r="G129" s="147" t="s">
        <v>1429</v>
      </c>
      <c r="H129" s="147">
        <v>46</v>
      </c>
      <c r="I129" s="149">
        <f t="shared" si="15"/>
        <v>46</v>
      </c>
      <c r="J129" s="147"/>
      <c r="K129" s="336" t="s">
        <v>64</v>
      </c>
      <c r="L129" s="147">
        <v>100</v>
      </c>
      <c r="M129" s="147" t="s">
        <v>9</v>
      </c>
      <c r="N129" s="147" t="s">
        <v>1418</v>
      </c>
      <c r="O129" s="147" t="s">
        <v>98</v>
      </c>
      <c r="P129" s="147">
        <v>100</v>
      </c>
      <c r="Q129" s="150">
        <f t="shared" si="16"/>
        <v>0</v>
      </c>
      <c r="R129" s="151"/>
      <c r="S129" s="152">
        <v>540</v>
      </c>
      <c r="T129" s="152">
        <v>540</v>
      </c>
      <c r="U129" s="153"/>
      <c r="V129" s="154"/>
      <c r="W129" s="154"/>
      <c r="X129" s="155" t="s">
        <v>1692</v>
      </c>
      <c r="Y129" s="155" t="s">
        <v>1423</v>
      </c>
      <c r="Z129" s="155" t="s">
        <v>1442</v>
      </c>
      <c r="AA129" s="273">
        <f t="shared" si="17"/>
        <v>5.4</v>
      </c>
      <c r="AB129" s="273">
        <f t="shared" si="18"/>
        <v>5.4</v>
      </c>
      <c r="AC129" s="156">
        <f t="shared" si="19"/>
        <v>100</v>
      </c>
      <c r="AD129" s="274">
        <f t="shared" si="20"/>
        <v>540</v>
      </c>
      <c r="AE129" s="274">
        <f t="shared" si="22"/>
        <v>540</v>
      </c>
      <c r="AF129" s="129"/>
    </row>
    <row r="130" spans="1:32">
      <c r="A130" s="253" t="s">
        <v>1523</v>
      </c>
      <c r="B130" s="146" t="s">
        <v>1</v>
      </c>
      <c r="C130" s="155" t="s">
        <v>1704</v>
      </c>
      <c r="D130" s="147">
        <v>213</v>
      </c>
      <c r="E130" s="157" t="s">
        <v>1525</v>
      </c>
      <c r="F130" s="147" t="s">
        <v>106</v>
      </c>
      <c r="G130" s="147" t="s">
        <v>1429</v>
      </c>
      <c r="H130" s="147">
        <v>58</v>
      </c>
      <c r="I130" s="149">
        <f t="shared" si="15"/>
        <v>58</v>
      </c>
      <c r="J130" s="147"/>
      <c r="K130" s="336" t="s">
        <v>67</v>
      </c>
      <c r="L130" s="147">
        <v>100</v>
      </c>
      <c r="M130" s="147" t="s">
        <v>9</v>
      </c>
      <c r="N130" s="147" t="s">
        <v>1418</v>
      </c>
      <c r="O130" s="147" t="s">
        <v>98</v>
      </c>
      <c r="P130" s="147">
        <v>100</v>
      </c>
      <c r="Q130" s="150">
        <f t="shared" si="16"/>
        <v>0</v>
      </c>
      <c r="R130" s="151"/>
      <c r="S130" s="152">
        <v>380</v>
      </c>
      <c r="T130" s="152">
        <v>380</v>
      </c>
      <c r="U130" s="153"/>
      <c r="V130" s="154"/>
      <c r="W130" s="154"/>
      <c r="X130" s="155" t="s">
        <v>1692</v>
      </c>
      <c r="Y130" s="155" t="s">
        <v>1423</v>
      </c>
      <c r="Z130" s="155" t="s">
        <v>1442</v>
      </c>
      <c r="AA130" s="273">
        <f t="shared" si="17"/>
        <v>3.8</v>
      </c>
      <c r="AB130" s="273">
        <f t="shared" si="18"/>
        <v>3.8</v>
      </c>
      <c r="AC130" s="156">
        <f t="shared" si="19"/>
        <v>100</v>
      </c>
      <c r="AD130" s="274">
        <f t="shared" si="20"/>
        <v>380</v>
      </c>
      <c r="AE130" s="274">
        <f t="shared" si="22"/>
        <v>380</v>
      </c>
      <c r="AF130" s="129"/>
    </row>
    <row r="131" spans="1:32">
      <c r="A131" s="253" t="s">
        <v>1523</v>
      </c>
      <c r="B131" s="146" t="s">
        <v>1</v>
      </c>
      <c r="C131" s="155" t="s">
        <v>1704</v>
      </c>
      <c r="D131" s="147">
        <v>213</v>
      </c>
      <c r="E131" s="157" t="s">
        <v>1525</v>
      </c>
      <c r="F131" s="147" t="s">
        <v>106</v>
      </c>
      <c r="G131" s="147" t="s">
        <v>1429</v>
      </c>
      <c r="H131" s="147">
        <v>59</v>
      </c>
      <c r="I131" s="149">
        <f t="shared" si="15"/>
        <v>59</v>
      </c>
      <c r="J131" s="147"/>
      <c r="K131" s="336" t="s">
        <v>99</v>
      </c>
      <c r="L131" s="147">
        <v>100</v>
      </c>
      <c r="M131" s="147" t="s">
        <v>9</v>
      </c>
      <c r="N131" s="147" t="s">
        <v>1418</v>
      </c>
      <c r="O131" s="147" t="s">
        <v>98</v>
      </c>
      <c r="P131" s="147">
        <v>100</v>
      </c>
      <c r="Q131" s="150">
        <f t="shared" si="16"/>
        <v>0</v>
      </c>
      <c r="R131" s="151"/>
      <c r="S131" s="152">
        <v>440</v>
      </c>
      <c r="T131" s="152">
        <v>440</v>
      </c>
      <c r="U131" s="153"/>
      <c r="V131" s="154"/>
      <c r="W131" s="154"/>
      <c r="X131" s="155" t="s">
        <v>1692</v>
      </c>
      <c r="Y131" s="155" t="s">
        <v>1423</v>
      </c>
      <c r="Z131" s="155" t="s">
        <v>1442</v>
      </c>
      <c r="AA131" s="273">
        <f t="shared" si="17"/>
        <v>4.4000000000000004</v>
      </c>
      <c r="AB131" s="273">
        <f t="shared" si="18"/>
        <v>4.4000000000000004</v>
      </c>
      <c r="AC131" s="156">
        <f t="shared" si="19"/>
        <v>100</v>
      </c>
      <c r="AD131" s="274">
        <f t="shared" si="20"/>
        <v>440.00000000000006</v>
      </c>
      <c r="AE131" s="274">
        <f t="shared" si="22"/>
        <v>440.00000000000006</v>
      </c>
      <c r="AF131" s="129"/>
    </row>
    <row r="132" spans="1:32">
      <c r="A132" s="253" t="s">
        <v>1523</v>
      </c>
      <c r="B132" s="146" t="s">
        <v>1</v>
      </c>
      <c r="C132" s="155" t="s">
        <v>1704</v>
      </c>
      <c r="D132" s="147">
        <v>213</v>
      </c>
      <c r="E132" s="157" t="s">
        <v>1525</v>
      </c>
      <c r="F132" s="147" t="s">
        <v>106</v>
      </c>
      <c r="G132" s="147" t="s">
        <v>1429</v>
      </c>
      <c r="H132" s="147">
        <v>69</v>
      </c>
      <c r="I132" s="149">
        <f t="shared" si="15"/>
        <v>69</v>
      </c>
      <c r="J132" s="147"/>
      <c r="K132" s="336" t="s">
        <v>70</v>
      </c>
      <c r="L132" s="147">
        <v>100</v>
      </c>
      <c r="M132" s="147" t="s">
        <v>9</v>
      </c>
      <c r="N132" s="147" t="s">
        <v>1418</v>
      </c>
      <c r="O132" s="147" t="s">
        <v>98</v>
      </c>
      <c r="P132" s="147">
        <v>100</v>
      </c>
      <c r="Q132" s="150">
        <f t="shared" si="16"/>
        <v>0</v>
      </c>
      <c r="R132" s="151"/>
      <c r="S132" s="152">
        <v>440</v>
      </c>
      <c r="T132" s="152">
        <v>440</v>
      </c>
      <c r="U132" s="153"/>
      <c r="V132" s="154"/>
      <c r="W132" s="154"/>
      <c r="X132" s="155" t="s">
        <v>1692</v>
      </c>
      <c r="Y132" s="155" t="s">
        <v>1423</v>
      </c>
      <c r="Z132" s="155" t="s">
        <v>1442</v>
      </c>
      <c r="AA132" s="273">
        <f t="shared" si="17"/>
        <v>4.4000000000000004</v>
      </c>
      <c r="AB132" s="273">
        <f t="shared" si="18"/>
        <v>4.4000000000000004</v>
      </c>
      <c r="AC132" s="156">
        <f t="shared" si="19"/>
        <v>100</v>
      </c>
      <c r="AD132" s="274">
        <f t="shared" si="20"/>
        <v>440.00000000000006</v>
      </c>
      <c r="AE132" s="274">
        <f t="shared" si="22"/>
        <v>440.00000000000006</v>
      </c>
      <c r="AF132" s="129"/>
    </row>
    <row r="133" spans="1:32">
      <c r="A133" s="253" t="s">
        <v>1523</v>
      </c>
      <c r="B133" s="146" t="s">
        <v>1</v>
      </c>
      <c r="C133" s="155" t="s">
        <v>1704</v>
      </c>
      <c r="D133" s="147">
        <v>213</v>
      </c>
      <c r="E133" s="157" t="s">
        <v>1525</v>
      </c>
      <c r="F133" s="147" t="s">
        <v>106</v>
      </c>
      <c r="G133" s="147" t="s">
        <v>1429</v>
      </c>
      <c r="H133" s="147">
        <v>70</v>
      </c>
      <c r="I133" s="149">
        <f t="shared" si="15"/>
        <v>70</v>
      </c>
      <c r="J133" s="147"/>
      <c r="K133" s="336" t="s">
        <v>71</v>
      </c>
      <c r="L133" s="147">
        <v>100</v>
      </c>
      <c r="M133" s="147" t="s">
        <v>9</v>
      </c>
      <c r="N133" s="147" t="s">
        <v>1418</v>
      </c>
      <c r="O133" s="147" t="s">
        <v>98</v>
      </c>
      <c r="P133" s="147">
        <v>100</v>
      </c>
      <c r="Q133" s="150">
        <f t="shared" si="16"/>
        <v>0</v>
      </c>
      <c r="R133" s="151"/>
      <c r="S133" s="152">
        <v>580</v>
      </c>
      <c r="T133" s="152">
        <v>580</v>
      </c>
      <c r="U133" s="153"/>
      <c r="V133" s="154"/>
      <c r="W133" s="154"/>
      <c r="X133" s="155" t="s">
        <v>1692</v>
      </c>
      <c r="Y133" s="155" t="s">
        <v>1423</v>
      </c>
      <c r="Z133" s="155" t="s">
        <v>1442</v>
      </c>
      <c r="AA133" s="273">
        <f t="shared" si="17"/>
        <v>5.8</v>
      </c>
      <c r="AB133" s="273">
        <f t="shared" si="18"/>
        <v>5.8</v>
      </c>
      <c r="AC133" s="156">
        <f t="shared" si="19"/>
        <v>100</v>
      </c>
      <c r="AD133" s="274">
        <f t="shared" si="20"/>
        <v>580</v>
      </c>
      <c r="AE133" s="274">
        <f t="shared" si="22"/>
        <v>580</v>
      </c>
      <c r="AF133" s="129"/>
    </row>
    <row r="134" spans="1:32">
      <c r="A134" s="253" t="s">
        <v>1523</v>
      </c>
      <c r="B134" s="146" t="s">
        <v>1</v>
      </c>
      <c r="C134" s="155" t="s">
        <v>1704</v>
      </c>
      <c r="D134" s="147">
        <v>215</v>
      </c>
      <c r="E134" s="157" t="s">
        <v>1591</v>
      </c>
      <c r="F134" s="147" t="s">
        <v>106</v>
      </c>
      <c r="G134" s="147" t="s">
        <v>1429</v>
      </c>
      <c r="H134" s="147">
        <v>7</v>
      </c>
      <c r="I134" s="149">
        <f t="shared" si="15"/>
        <v>7</v>
      </c>
      <c r="J134" s="147"/>
      <c r="K134" s="336" t="s">
        <v>57</v>
      </c>
      <c r="L134" s="147">
        <v>100</v>
      </c>
      <c r="M134" s="147" t="s">
        <v>9</v>
      </c>
      <c r="N134" s="147" t="s">
        <v>1690</v>
      </c>
      <c r="O134" s="147" t="s">
        <v>98</v>
      </c>
      <c r="P134" s="147">
        <v>1000</v>
      </c>
      <c r="Q134" s="150">
        <f t="shared" si="16"/>
        <v>0</v>
      </c>
      <c r="R134" s="151"/>
      <c r="S134" s="152">
        <v>1800</v>
      </c>
      <c r="T134" s="158">
        <v>1800</v>
      </c>
      <c r="U134" s="160"/>
      <c r="V134" s="160"/>
      <c r="W134" s="160"/>
      <c r="X134" s="155" t="s">
        <v>1705</v>
      </c>
      <c r="Y134" s="155" t="s">
        <v>1423</v>
      </c>
      <c r="Z134" s="155" t="s">
        <v>1442</v>
      </c>
      <c r="AA134" s="273">
        <f t="shared" si="17"/>
        <v>1.8</v>
      </c>
      <c r="AB134" s="273">
        <f t="shared" si="18"/>
        <v>1.8</v>
      </c>
      <c r="AC134" s="156">
        <f t="shared" si="19"/>
        <v>1000</v>
      </c>
      <c r="AD134" s="274">
        <f t="shared" si="20"/>
        <v>1800</v>
      </c>
      <c r="AE134" s="274">
        <f t="shared" si="22"/>
        <v>1800</v>
      </c>
      <c r="AF134" s="129"/>
    </row>
    <row r="135" spans="1:32">
      <c r="A135" s="253" t="s">
        <v>1523</v>
      </c>
      <c r="B135" s="146" t="s">
        <v>1</v>
      </c>
      <c r="C135" s="155" t="s">
        <v>1704</v>
      </c>
      <c r="D135" s="147">
        <v>215</v>
      </c>
      <c r="E135" s="157" t="s">
        <v>1591</v>
      </c>
      <c r="F135" s="147" t="s">
        <v>106</v>
      </c>
      <c r="G135" s="147" t="s">
        <v>1429</v>
      </c>
      <c r="H135" s="147">
        <v>8</v>
      </c>
      <c r="I135" s="149">
        <f t="shared" si="15"/>
        <v>8</v>
      </c>
      <c r="J135" s="147"/>
      <c r="K135" s="336" t="s">
        <v>55</v>
      </c>
      <c r="L135" s="147">
        <v>100</v>
      </c>
      <c r="M135" s="147" t="s">
        <v>9</v>
      </c>
      <c r="N135" s="147" t="s">
        <v>1690</v>
      </c>
      <c r="O135" s="147" t="s">
        <v>98</v>
      </c>
      <c r="P135" s="147">
        <v>1000</v>
      </c>
      <c r="Q135" s="150">
        <f t="shared" si="16"/>
        <v>0</v>
      </c>
      <c r="R135" s="151"/>
      <c r="S135" s="152">
        <v>3000</v>
      </c>
      <c r="T135" s="158">
        <v>3000</v>
      </c>
      <c r="U135" s="160"/>
      <c r="V135" s="160"/>
      <c r="W135" s="160"/>
      <c r="X135" s="155" t="s">
        <v>1705</v>
      </c>
      <c r="Y135" s="155" t="s">
        <v>1423</v>
      </c>
      <c r="Z135" s="155" t="s">
        <v>1442</v>
      </c>
      <c r="AA135" s="273">
        <f t="shared" si="17"/>
        <v>3</v>
      </c>
      <c r="AB135" s="273">
        <f t="shared" si="18"/>
        <v>3</v>
      </c>
      <c r="AC135" s="156">
        <f t="shared" si="19"/>
        <v>1000</v>
      </c>
      <c r="AD135" s="274">
        <f t="shared" si="20"/>
        <v>3000</v>
      </c>
      <c r="AE135" s="274">
        <f t="shared" si="22"/>
        <v>3000</v>
      </c>
      <c r="AF135" s="129"/>
    </row>
    <row r="136" spans="1:32">
      <c r="A136" s="253" t="s">
        <v>1523</v>
      </c>
      <c r="B136" s="146" t="s">
        <v>1</v>
      </c>
      <c r="C136" s="155" t="s">
        <v>1704</v>
      </c>
      <c r="D136" s="147">
        <v>215</v>
      </c>
      <c r="E136" s="157" t="s">
        <v>1591</v>
      </c>
      <c r="F136" s="147" t="s">
        <v>106</v>
      </c>
      <c r="G136" s="147" t="s">
        <v>1429</v>
      </c>
      <c r="H136" s="147">
        <v>17</v>
      </c>
      <c r="I136" s="149">
        <f t="shared" si="15"/>
        <v>17</v>
      </c>
      <c r="J136" s="147"/>
      <c r="K136" s="336" t="s">
        <v>53</v>
      </c>
      <c r="L136" s="147">
        <v>100</v>
      </c>
      <c r="M136" s="147" t="s">
        <v>9</v>
      </c>
      <c r="N136" s="147" t="s">
        <v>1690</v>
      </c>
      <c r="O136" s="147" t="s">
        <v>106</v>
      </c>
      <c r="P136" s="147">
        <v>1000</v>
      </c>
      <c r="Q136" s="150">
        <f t="shared" si="16"/>
        <v>0</v>
      </c>
      <c r="R136" s="151"/>
      <c r="S136" s="152">
        <v>3600</v>
      </c>
      <c r="T136" s="158">
        <v>3600</v>
      </c>
      <c r="U136" s="160"/>
      <c r="V136" s="160"/>
      <c r="W136" s="160"/>
      <c r="X136" s="155" t="s">
        <v>1705</v>
      </c>
      <c r="Y136" s="155" t="s">
        <v>1423</v>
      </c>
      <c r="Z136" s="155" t="s">
        <v>1442</v>
      </c>
      <c r="AA136" s="273">
        <f t="shared" si="17"/>
        <v>3.6</v>
      </c>
      <c r="AB136" s="273">
        <f t="shared" si="18"/>
        <v>3.6</v>
      </c>
      <c r="AC136" s="156">
        <f t="shared" si="19"/>
        <v>1000</v>
      </c>
      <c r="AD136" s="274">
        <f t="shared" si="20"/>
        <v>3600</v>
      </c>
      <c r="AE136" s="274">
        <f t="shared" si="22"/>
        <v>3600</v>
      </c>
      <c r="AF136" s="129"/>
    </row>
    <row r="137" spans="1:32">
      <c r="A137" s="253" t="s">
        <v>1523</v>
      </c>
      <c r="B137" s="146" t="s">
        <v>1</v>
      </c>
      <c r="C137" s="155" t="s">
        <v>1704</v>
      </c>
      <c r="D137" s="147">
        <v>215</v>
      </c>
      <c r="E137" s="157" t="s">
        <v>1591</v>
      </c>
      <c r="F137" s="147" t="s">
        <v>106</v>
      </c>
      <c r="G137" s="147" t="s">
        <v>1429</v>
      </c>
      <c r="H137" s="147">
        <v>22</v>
      </c>
      <c r="I137" s="149">
        <f t="shared" si="15"/>
        <v>22</v>
      </c>
      <c r="J137" s="147"/>
      <c r="K137" s="336" t="s">
        <v>51</v>
      </c>
      <c r="L137" s="147">
        <v>100</v>
      </c>
      <c r="M137" s="147" t="s">
        <v>9</v>
      </c>
      <c r="N137" s="147" t="s">
        <v>1690</v>
      </c>
      <c r="O137" s="147" t="s">
        <v>98</v>
      </c>
      <c r="P137" s="147">
        <v>1000</v>
      </c>
      <c r="Q137" s="150">
        <f t="shared" si="16"/>
        <v>0</v>
      </c>
      <c r="R137" s="151"/>
      <c r="S137" s="152">
        <v>5000</v>
      </c>
      <c r="T137" s="158">
        <v>5000</v>
      </c>
      <c r="U137" s="160"/>
      <c r="V137" s="160"/>
      <c r="W137" s="160"/>
      <c r="X137" s="155" t="s">
        <v>1705</v>
      </c>
      <c r="Y137" s="155" t="s">
        <v>1423</v>
      </c>
      <c r="Z137" s="155" t="s">
        <v>1442</v>
      </c>
      <c r="AA137" s="273">
        <f t="shared" si="17"/>
        <v>5</v>
      </c>
      <c r="AB137" s="273">
        <f t="shared" si="18"/>
        <v>5</v>
      </c>
      <c r="AC137" s="156">
        <f t="shared" si="19"/>
        <v>1000</v>
      </c>
      <c r="AD137" s="274">
        <f t="shared" si="20"/>
        <v>5000</v>
      </c>
      <c r="AE137" s="274">
        <f t="shared" si="22"/>
        <v>5000</v>
      </c>
      <c r="AF137" s="129"/>
    </row>
    <row r="138" spans="1:32">
      <c r="A138" s="253" t="s">
        <v>1523</v>
      </c>
      <c r="B138" s="146" t="s">
        <v>1</v>
      </c>
      <c r="C138" s="155" t="s">
        <v>1704</v>
      </c>
      <c r="D138" s="147">
        <v>215</v>
      </c>
      <c r="E138" s="157" t="s">
        <v>1591</v>
      </c>
      <c r="F138" s="147" t="s">
        <v>106</v>
      </c>
      <c r="G138" s="147" t="s">
        <v>1429</v>
      </c>
      <c r="H138" s="147">
        <v>33</v>
      </c>
      <c r="I138" s="149">
        <f t="shared" si="15"/>
        <v>33</v>
      </c>
      <c r="J138" s="147"/>
      <c r="K138" s="336" t="s">
        <v>59</v>
      </c>
      <c r="L138" s="147">
        <v>100</v>
      </c>
      <c r="M138" s="147" t="s">
        <v>9</v>
      </c>
      <c r="N138" s="147" t="s">
        <v>1690</v>
      </c>
      <c r="O138" s="147" t="s">
        <v>98</v>
      </c>
      <c r="P138" s="147">
        <v>1000</v>
      </c>
      <c r="Q138" s="150">
        <f t="shared" si="16"/>
        <v>0</v>
      </c>
      <c r="R138" s="151"/>
      <c r="S138" s="152">
        <v>7200</v>
      </c>
      <c r="T138" s="158">
        <v>7200</v>
      </c>
      <c r="U138" s="160"/>
      <c r="V138" s="160"/>
      <c r="W138" s="160"/>
      <c r="X138" s="155" t="s">
        <v>1705</v>
      </c>
      <c r="Y138" s="155" t="s">
        <v>1423</v>
      </c>
      <c r="Z138" s="155" t="s">
        <v>1442</v>
      </c>
      <c r="AA138" s="273">
        <f t="shared" si="17"/>
        <v>7.2</v>
      </c>
      <c r="AB138" s="273">
        <f t="shared" si="18"/>
        <v>7.2</v>
      </c>
      <c r="AC138" s="156">
        <f t="shared" si="19"/>
        <v>1000</v>
      </c>
      <c r="AD138" s="274">
        <f t="shared" si="20"/>
        <v>7200</v>
      </c>
      <c r="AE138" s="274">
        <f t="shared" si="22"/>
        <v>7200</v>
      </c>
      <c r="AF138" s="129"/>
    </row>
    <row r="139" spans="1:32">
      <c r="A139" s="253" t="s">
        <v>1523</v>
      </c>
      <c r="B139" s="146" t="s">
        <v>1</v>
      </c>
      <c r="C139" s="155" t="s">
        <v>1704</v>
      </c>
      <c r="D139" s="147">
        <v>215</v>
      </c>
      <c r="E139" s="157" t="s">
        <v>1591</v>
      </c>
      <c r="F139" s="147" t="s">
        <v>106</v>
      </c>
      <c r="G139" s="147" t="s">
        <v>1429</v>
      </c>
      <c r="H139" s="147">
        <v>42</v>
      </c>
      <c r="I139" s="149">
        <f t="shared" si="15"/>
        <v>42</v>
      </c>
      <c r="J139" s="147"/>
      <c r="K139" s="336" t="s">
        <v>61</v>
      </c>
      <c r="L139" s="147">
        <v>100</v>
      </c>
      <c r="M139" s="147" t="s">
        <v>9</v>
      </c>
      <c r="N139" s="147" t="s">
        <v>1690</v>
      </c>
      <c r="O139" s="147" t="s">
        <v>98</v>
      </c>
      <c r="P139" s="147">
        <v>1000</v>
      </c>
      <c r="Q139" s="150">
        <f t="shared" si="16"/>
        <v>0</v>
      </c>
      <c r="R139" s="151"/>
      <c r="S139" s="152">
        <v>1800</v>
      </c>
      <c r="T139" s="158">
        <v>1800</v>
      </c>
      <c r="U139" s="160"/>
      <c r="V139" s="160"/>
      <c r="W139" s="160"/>
      <c r="X139" s="155" t="s">
        <v>1705</v>
      </c>
      <c r="Y139" s="155" t="s">
        <v>1423</v>
      </c>
      <c r="Z139" s="155" t="s">
        <v>1442</v>
      </c>
      <c r="AA139" s="273">
        <f t="shared" si="17"/>
        <v>1.8</v>
      </c>
      <c r="AB139" s="273">
        <f t="shared" si="18"/>
        <v>1.8</v>
      </c>
      <c r="AC139" s="156">
        <f t="shared" si="19"/>
        <v>1000</v>
      </c>
      <c r="AD139" s="274">
        <f t="shared" si="20"/>
        <v>1800</v>
      </c>
      <c r="AE139" s="274">
        <f t="shared" si="22"/>
        <v>1800</v>
      </c>
      <c r="AF139" s="129"/>
    </row>
    <row r="140" spans="1:32">
      <c r="A140" s="253" t="s">
        <v>1523</v>
      </c>
      <c r="B140" s="146" t="s">
        <v>1</v>
      </c>
      <c r="C140" s="155" t="s">
        <v>1704</v>
      </c>
      <c r="D140" s="147">
        <v>215</v>
      </c>
      <c r="E140" s="157" t="s">
        <v>1591</v>
      </c>
      <c r="F140" s="147" t="s">
        <v>106</v>
      </c>
      <c r="G140" s="147" t="s">
        <v>1429</v>
      </c>
      <c r="H140" s="147">
        <v>43</v>
      </c>
      <c r="I140" s="149">
        <f t="shared" si="15"/>
        <v>43</v>
      </c>
      <c r="J140" s="147"/>
      <c r="K140" s="336" t="s">
        <v>62</v>
      </c>
      <c r="L140" s="147">
        <v>100</v>
      </c>
      <c r="M140" s="147" t="s">
        <v>9</v>
      </c>
      <c r="N140" s="147" t="s">
        <v>1690</v>
      </c>
      <c r="O140" s="147" t="s">
        <v>98</v>
      </c>
      <c r="P140" s="147">
        <v>1000</v>
      </c>
      <c r="Q140" s="150">
        <f t="shared" si="16"/>
        <v>0</v>
      </c>
      <c r="R140" s="151"/>
      <c r="S140" s="152">
        <v>6000</v>
      </c>
      <c r="T140" s="158">
        <v>6000</v>
      </c>
      <c r="U140" s="160"/>
      <c r="V140" s="160"/>
      <c r="W140" s="160"/>
      <c r="X140" s="155" t="s">
        <v>1705</v>
      </c>
      <c r="Y140" s="155" t="s">
        <v>1423</v>
      </c>
      <c r="Z140" s="155" t="s">
        <v>1442</v>
      </c>
      <c r="AA140" s="273">
        <f t="shared" si="17"/>
        <v>6</v>
      </c>
      <c r="AB140" s="273">
        <f t="shared" si="18"/>
        <v>6</v>
      </c>
      <c r="AC140" s="156">
        <f t="shared" si="19"/>
        <v>1000</v>
      </c>
      <c r="AD140" s="274">
        <f t="shared" si="20"/>
        <v>6000</v>
      </c>
      <c r="AE140" s="274">
        <f t="shared" ref="AE140:AE166" si="23">AC140*AB140</f>
        <v>6000</v>
      </c>
      <c r="AF140" s="129"/>
    </row>
    <row r="141" spans="1:32">
      <c r="A141" s="253" t="s">
        <v>1523</v>
      </c>
      <c r="B141" s="146" t="s">
        <v>1</v>
      </c>
      <c r="C141" s="155" t="s">
        <v>1704</v>
      </c>
      <c r="D141" s="147">
        <v>215</v>
      </c>
      <c r="E141" s="157" t="s">
        <v>1591</v>
      </c>
      <c r="F141" s="147" t="s">
        <v>106</v>
      </c>
      <c r="G141" s="147" t="s">
        <v>1429</v>
      </c>
      <c r="H141" s="147">
        <v>43</v>
      </c>
      <c r="I141" s="149">
        <f t="shared" si="15"/>
        <v>43</v>
      </c>
      <c r="J141" s="147"/>
      <c r="K141" s="336" t="s">
        <v>62</v>
      </c>
      <c r="L141" s="147">
        <v>100</v>
      </c>
      <c r="M141" s="147" t="s">
        <v>9</v>
      </c>
      <c r="N141" s="147" t="s">
        <v>1690</v>
      </c>
      <c r="O141" s="147" t="s">
        <v>98</v>
      </c>
      <c r="P141" s="147">
        <v>1000</v>
      </c>
      <c r="Q141" s="150">
        <f t="shared" si="16"/>
        <v>0</v>
      </c>
      <c r="R141" s="151"/>
      <c r="S141" s="152">
        <v>5000</v>
      </c>
      <c r="T141" s="158">
        <v>5000</v>
      </c>
      <c r="U141" s="160"/>
      <c r="V141" s="160"/>
      <c r="W141" s="160"/>
      <c r="X141" s="155" t="s">
        <v>1705</v>
      </c>
      <c r="Y141" s="155" t="s">
        <v>1423</v>
      </c>
      <c r="Z141" s="155" t="s">
        <v>1442</v>
      </c>
      <c r="AA141" s="273">
        <f t="shared" si="17"/>
        <v>5</v>
      </c>
      <c r="AB141" s="273">
        <f t="shared" si="18"/>
        <v>5</v>
      </c>
      <c r="AC141" s="156">
        <f t="shared" si="19"/>
        <v>1000</v>
      </c>
      <c r="AD141" s="274">
        <f t="shared" si="20"/>
        <v>5000</v>
      </c>
      <c r="AE141" s="274">
        <f t="shared" si="23"/>
        <v>5000</v>
      </c>
      <c r="AF141" s="129"/>
    </row>
    <row r="142" spans="1:32">
      <c r="A142" s="253" t="s">
        <v>1523</v>
      </c>
      <c r="B142" s="146" t="s">
        <v>1</v>
      </c>
      <c r="C142" s="155" t="s">
        <v>1704</v>
      </c>
      <c r="D142" s="147">
        <v>215</v>
      </c>
      <c r="E142" s="157" t="s">
        <v>1591</v>
      </c>
      <c r="F142" s="147" t="s">
        <v>106</v>
      </c>
      <c r="G142" s="147" t="s">
        <v>1429</v>
      </c>
      <c r="H142" s="147">
        <v>46</v>
      </c>
      <c r="I142" s="149">
        <f t="shared" si="15"/>
        <v>46</v>
      </c>
      <c r="J142" s="147"/>
      <c r="K142" s="336" t="s">
        <v>64</v>
      </c>
      <c r="L142" s="147">
        <v>100</v>
      </c>
      <c r="M142" s="147" t="s">
        <v>9</v>
      </c>
      <c r="N142" s="147" t="s">
        <v>1690</v>
      </c>
      <c r="O142" s="147" t="s">
        <v>98</v>
      </c>
      <c r="P142" s="147">
        <v>1000</v>
      </c>
      <c r="Q142" s="150">
        <f t="shared" si="16"/>
        <v>0</v>
      </c>
      <c r="R142" s="151"/>
      <c r="S142" s="152">
        <v>5000</v>
      </c>
      <c r="T142" s="158">
        <v>5000</v>
      </c>
      <c r="U142" s="160"/>
      <c r="V142" s="160"/>
      <c r="W142" s="160"/>
      <c r="X142" s="155" t="s">
        <v>1705</v>
      </c>
      <c r="Y142" s="155" t="s">
        <v>1423</v>
      </c>
      <c r="Z142" s="155" t="s">
        <v>1442</v>
      </c>
      <c r="AA142" s="273">
        <f t="shared" si="17"/>
        <v>5</v>
      </c>
      <c r="AB142" s="273">
        <f t="shared" si="18"/>
        <v>5</v>
      </c>
      <c r="AC142" s="156">
        <f t="shared" si="19"/>
        <v>1000</v>
      </c>
      <c r="AD142" s="274">
        <f t="shared" si="20"/>
        <v>5000</v>
      </c>
      <c r="AE142" s="274">
        <f t="shared" si="23"/>
        <v>5000</v>
      </c>
      <c r="AF142" s="129"/>
    </row>
    <row r="143" spans="1:32">
      <c r="A143" s="253" t="s">
        <v>1523</v>
      </c>
      <c r="B143" s="146" t="s">
        <v>1</v>
      </c>
      <c r="C143" s="155" t="s">
        <v>1704</v>
      </c>
      <c r="D143" s="147">
        <v>215</v>
      </c>
      <c r="E143" s="157" t="s">
        <v>1591</v>
      </c>
      <c r="F143" s="147" t="s">
        <v>106</v>
      </c>
      <c r="G143" s="147" t="s">
        <v>1429</v>
      </c>
      <c r="H143" s="147">
        <v>58</v>
      </c>
      <c r="I143" s="149">
        <f t="shared" si="15"/>
        <v>58</v>
      </c>
      <c r="J143" s="147"/>
      <c r="K143" s="336" t="s">
        <v>67</v>
      </c>
      <c r="L143" s="147">
        <v>100</v>
      </c>
      <c r="M143" s="147" t="s">
        <v>9</v>
      </c>
      <c r="N143" s="147" t="s">
        <v>1690</v>
      </c>
      <c r="O143" s="147" t="s">
        <v>98</v>
      </c>
      <c r="P143" s="147">
        <v>1000</v>
      </c>
      <c r="Q143" s="150">
        <f t="shared" si="16"/>
        <v>0</v>
      </c>
      <c r="R143" s="151"/>
      <c r="S143" s="152">
        <v>4200</v>
      </c>
      <c r="T143" s="158">
        <v>4200</v>
      </c>
      <c r="U143" s="160"/>
      <c r="V143" s="160"/>
      <c r="W143" s="160"/>
      <c r="X143" s="155" t="s">
        <v>1705</v>
      </c>
      <c r="Y143" s="155" t="s">
        <v>1423</v>
      </c>
      <c r="Z143" s="155" t="s">
        <v>1442</v>
      </c>
      <c r="AA143" s="273">
        <f t="shared" si="17"/>
        <v>4.2</v>
      </c>
      <c r="AB143" s="273">
        <f t="shared" si="18"/>
        <v>4.2</v>
      </c>
      <c r="AC143" s="156">
        <f t="shared" si="19"/>
        <v>1000</v>
      </c>
      <c r="AD143" s="274">
        <f t="shared" si="20"/>
        <v>4200</v>
      </c>
      <c r="AE143" s="274">
        <f t="shared" si="23"/>
        <v>4200</v>
      </c>
      <c r="AF143" s="129"/>
    </row>
    <row r="144" spans="1:32">
      <c r="A144" s="253" t="s">
        <v>1523</v>
      </c>
      <c r="B144" s="146" t="s">
        <v>1</v>
      </c>
      <c r="C144" s="155" t="s">
        <v>1704</v>
      </c>
      <c r="D144" s="147">
        <v>215</v>
      </c>
      <c r="E144" s="157" t="s">
        <v>1591</v>
      </c>
      <c r="F144" s="147" t="s">
        <v>106</v>
      </c>
      <c r="G144" s="147" t="s">
        <v>1429</v>
      </c>
      <c r="H144" s="147">
        <v>59</v>
      </c>
      <c r="I144" s="149">
        <f t="shared" si="15"/>
        <v>59</v>
      </c>
      <c r="J144" s="147"/>
      <c r="K144" s="336" t="s">
        <v>99</v>
      </c>
      <c r="L144" s="147">
        <v>100</v>
      </c>
      <c r="M144" s="147" t="s">
        <v>9</v>
      </c>
      <c r="N144" s="147" t="s">
        <v>1690</v>
      </c>
      <c r="O144" s="147" t="s">
        <v>98</v>
      </c>
      <c r="P144" s="147">
        <v>1000</v>
      </c>
      <c r="Q144" s="150">
        <f t="shared" si="16"/>
        <v>0</v>
      </c>
      <c r="R144" s="151"/>
      <c r="S144" s="152">
        <v>4800</v>
      </c>
      <c r="T144" s="158">
        <v>4800</v>
      </c>
      <c r="U144" s="160"/>
      <c r="V144" s="160"/>
      <c r="W144" s="160"/>
      <c r="X144" s="155" t="s">
        <v>1705</v>
      </c>
      <c r="Y144" s="155" t="s">
        <v>1423</v>
      </c>
      <c r="Z144" s="155" t="s">
        <v>1442</v>
      </c>
      <c r="AA144" s="273">
        <f t="shared" si="17"/>
        <v>4.8</v>
      </c>
      <c r="AB144" s="273">
        <f t="shared" si="18"/>
        <v>4.8</v>
      </c>
      <c r="AC144" s="156">
        <f t="shared" si="19"/>
        <v>1000</v>
      </c>
      <c r="AD144" s="274">
        <f t="shared" si="20"/>
        <v>4800</v>
      </c>
      <c r="AE144" s="274">
        <f t="shared" si="23"/>
        <v>4800</v>
      </c>
      <c r="AF144" s="129"/>
    </row>
    <row r="145" spans="1:32">
      <c r="A145" s="253" t="s">
        <v>1523</v>
      </c>
      <c r="B145" s="146" t="s">
        <v>1</v>
      </c>
      <c r="C145" s="155" t="s">
        <v>1704</v>
      </c>
      <c r="D145" s="147">
        <v>215</v>
      </c>
      <c r="E145" s="157" t="s">
        <v>1591</v>
      </c>
      <c r="F145" s="147" t="s">
        <v>106</v>
      </c>
      <c r="G145" s="147" t="s">
        <v>1429</v>
      </c>
      <c r="H145" s="147">
        <v>69</v>
      </c>
      <c r="I145" s="149">
        <f t="shared" si="15"/>
        <v>69</v>
      </c>
      <c r="J145" s="147"/>
      <c r="K145" s="336" t="s">
        <v>70</v>
      </c>
      <c r="L145" s="147">
        <v>100</v>
      </c>
      <c r="M145" s="147" t="s">
        <v>9</v>
      </c>
      <c r="N145" s="147" t="s">
        <v>1690</v>
      </c>
      <c r="O145" s="147" t="s">
        <v>98</v>
      </c>
      <c r="P145" s="147">
        <v>1000</v>
      </c>
      <c r="Q145" s="150">
        <f t="shared" si="16"/>
        <v>0</v>
      </c>
      <c r="R145" s="151"/>
      <c r="S145" s="152">
        <v>3000</v>
      </c>
      <c r="T145" s="158">
        <v>3000</v>
      </c>
      <c r="U145" s="160"/>
      <c r="V145" s="160"/>
      <c r="W145" s="160"/>
      <c r="X145" s="155" t="s">
        <v>1705</v>
      </c>
      <c r="Y145" s="155" t="s">
        <v>1423</v>
      </c>
      <c r="Z145" s="155" t="s">
        <v>1442</v>
      </c>
      <c r="AA145" s="273">
        <f t="shared" si="17"/>
        <v>3</v>
      </c>
      <c r="AB145" s="273">
        <f t="shared" si="18"/>
        <v>3</v>
      </c>
      <c r="AC145" s="156">
        <f t="shared" si="19"/>
        <v>1000</v>
      </c>
      <c r="AD145" s="274">
        <f t="shared" si="20"/>
        <v>3000</v>
      </c>
      <c r="AE145" s="274">
        <f t="shared" si="23"/>
        <v>3000</v>
      </c>
      <c r="AF145" s="129"/>
    </row>
    <row r="146" spans="1:32">
      <c r="A146" s="253" t="s">
        <v>1523</v>
      </c>
      <c r="B146" s="146" t="s">
        <v>1</v>
      </c>
      <c r="C146" s="155" t="s">
        <v>1704</v>
      </c>
      <c r="D146" s="147">
        <v>215</v>
      </c>
      <c r="E146" s="157" t="s">
        <v>1591</v>
      </c>
      <c r="F146" s="147" t="s">
        <v>106</v>
      </c>
      <c r="G146" s="147" t="s">
        <v>1429</v>
      </c>
      <c r="H146" s="147">
        <v>70</v>
      </c>
      <c r="I146" s="149">
        <f t="shared" si="15"/>
        <v>70</v>
      </c>
      <c r="J146" s="147"/>
      <c r="K146" s="336" t="s">
        <v>71</v>
      </c>
      <c r="L146" s="147">
        <v>100</v>
      </c>
      <c r="M146" s="147" t="s">
        <v>9</v>
      </c>
      <c r="N146" s="147" t="s">
        <v>1690</v>
      </c>
      <c r="O146" s="147" t="s">
        <v>98</v>
      </c>
      <c r="P146" s="147">
        <v>1000</v>
      </c>
      <c r="Q146" s="150">
        <f t="shared" si="16"/>
        <v>0</v>
      </c>
      <c r="R146" s="151"/>
      <c r="S146" s="152">
        <v>5800</v>
      </c>
      <c r="T146" s="158">
        <v>5800</v>
      </c>
      <c r="U146" s="160"/>
      <c r="V146" s="160"/>
      <c r="W146" s="160"/>
      <c r="X146" s="155" t="s">
        <v>1705</v>
      </c>
      <c r="Y146" s="155" t="s">
        <v>1423</v>
      </c>
      <c r="Z146" s="155" t="s">
        <v>1442</v>
      </c>
      <c r="AA146" s="273">
        <f t="shared" si="17"/>
        <v>5.8</v>
      </c>
      <c r="AB146" s="273">
        <f t="shared" si="18"/>
        <v>5.8</v>
      </c>
      <c r="AC146" s="156">
        <f t="shared" si="19"/>
        <v>1000</v>
      </c>
      <c r="AD146" s="274">
        <f t="shared" si="20"/>
        <v>5800</v>
      </c>
      <c r="AE146" s="274">
        <f t="shared" si="23"/>
        <v>5800</v>
      </c>
      <c r="AF146" s="129"/>
    </row>
    <row r="147" spans="1:32">
      <c r="A147" s="253" t="s">
        <v>1523</v>
      </c>
      <c r="B147" s="146" t="s">
        <v>1</v>
      </c>
      <c r="C147" s="155" t="s">
        <v>1704</v>
      </c>
      <c r="D147" s="147">
        <v>242</v>
      </c>
      <c r="E147" s="157" t="s">
        <v>1689</v>
      </c>
      <c r="F147" s="147" t="s">
        <v>106</v>
      </c>
      <c r="G147" s="147" t="s">
        <v>1429</v>
      </c>
      <c r="H147" s="147">
        <v>22</v>
      </c>
      <c r="I147" s="149">
        <f t="shared" si="15"/>
        <v>22</v>
      </c>
      <c r="J147" s="147"/>
      <c r="K147" s="336" t="s">
        <v>51</v>
      </c>
      <c r="L147" s="147">
        <v>100</v>
      </c>
      <c r="M147" s="147" t="s">
        <v>9</v>
      </c>
      <c r="N147" s="147" t="s">
        <v>1690</v>
      </c>
      <c r="O147" s="147" t="s">
        <v>98</v>
      </c>
      <c r="P147" s="147">
        <v>1000</v>
      </c>
      <c r="Q147" s="150">
        <f t="shared" si="16"/>
        <v>0</v>
      </c>
      <c r="R147" s="151"/>
      <c r="S147" s="152">
        <v>1800</v>
      </c>
      <c r="T147" s="152">
        <v>1800</v>
      </c>
      <c r="U147" s="153"/>
      <c r="V147" s="154"/>
      <c r="W147" s="154"/>
      <c r="X147" s="155" t="s">
        <v>1693</v>
      </c>
      <c r="Y147" s="155" t="s">
        <v>1423</v>
      </c>
      <c r="Z147" s="155" t="s">
        <v>1442</v>
      </c>
      <c r="AA147" s="273">
        <f t="shared" si="17"/>
        <v>1.8</v>
      </c>
      <c r="AB147" s="273">
        <f t="shared" si="18"/>
        <v>1.8</v>
      </c>
      <c r="AC147" s="156">
        <f t="shared" si="19"/>
        <v>1000</v>
      </c>
      <c r="AD147" s="274">
        <f t="shared" si="20"/>
        <v>1800</v>
      </c>
      <c r="AE147" s="274">
        <f t="shared" si="23"/>
        <v>1800</v>
      </c>
      <c r="AF147" s="129"/>
    </row>
    <row r="148" spans="1:32">
      <c r="A148" s="253" t="s">
        <v>1523</v>
      </c>
      <c r="B148" s="146" t="s">
        <v>1</v>
      </c>
      <c r="C148" s="155" t="s">
        <v>1704</v>
      </c>
      <c r="D148" s="147">
        <v>242</v>
      </c>
      <c r="E148" s="157" t="s">
        <v>1689</v>
      </c>
      <c r="F148" s="147" t="s">
        <v>106</v>
      </c>
      <c r="G148" s="147" t="s">
        <v>1429</v>
      </c>
      <c r="H148" s="147">
        <v>33</v>
      </c>
      <c r="I148" s="149">
        <f t="shared" si="15"/>
        <v>33</v>
      </c>
      <c r="J148" s="147"/>
      <c r="K148" s="336" t="s">
        <v>59</v>
      </c>
      <c r="L148" s="147">
        <v>100</v>
      </c>
      <c r="M148" s="147" t="s">
        <v>9</v>
      </c>
      <c r="N148" s="147" t="s">
        <v>1631</v>
      </c>
      <c r="O148" s="147" t="s">
        <v>98</v>
      </c>
      <c r="P148" s="147">
        <v>100</v>
      </c>
      <c r="Q148" s="150">
        <f t="shared" si="16"/>
        <v>0</v>
      </c>
      <c r="R148" s="151"/>
      <c r="S148" s="152">
        <v>220</v>
      </c>
      <c r="T148" s="152">
        <v>220</v>
      </c>
      <c r="U148" s="153"/>
      <c r="V148" s="154"/>
      <c r="W148" s="154"/>
      <c r="X148" s="155" t="s">
        <v>1693</v>
      </c>
      <c r="Y148" s="155" t="s">
        <v>1423</v>
      </c>
      <c r="Z148" s="155" t="s">
        <v>1442</v>
      </c>
      <c r="AA148" s="273">
        <f t="shared" si="17"/>
        <v>2.2000000000000002</v>
      </c>
      <c r="AB148" s="273">
        <f t="shared" si="18"/>
        <v>2.2000000000000002</v>
      </c>
      <c r="AC148" s="156">
        <f t="shared" si="19"/>
        <v>100</v>
      </c>
      <c r="AD148" s="274">
        <f t="shared" si="20"/>
        <v>220.00000000000003</v>
      </c>
      <c r="AE148" s="274">
        <f t="shared" si="23"/>
        <v>220.00000000000003</v>
      </c>
      <c r="AF148" s="129"/>
    </row>
    <row r="149" spans="1:32">
      <c r="A149" s="253" t="s">
        <v>1523</v>
      </c>
      <c r="B149" s="146" t="s">
        <v>1</v>
      </c>
      <c r="C149" s="155" t="s">
        <v>1704</v>
      </c>
      <c r="D149" s="147">
        <v>242</v>
      </c>
      <c r="E149" s="157" t="s">
        <v>1689</v>
      </c>
      <c r="F149" s="147" t="s">
        <v>106</v>
      </c>
      <c r="G149" s="147" t="s">
        <v>1429</v>
      </c>
      <c r="H149" s="147">
        <v>42</v>
      </c>
      <c r="I149" s="149">
        <f t="shared" ref="I149:I212" si="24">IF(AND(F149="SI",J149&lt;&gt;"",J149&lt;&gt;"NA"),CONCATENATE(H149,"_",J149),IF(F149="SI",H149,CONCATENATE(" REGISTRO COTIZACION NO EVALUADA: ",H149)))</f>
        <v>42</v>
      </c>
      <c r="J149" s="147"/>
      <c r="K149" s="336" t="s">
        <v>61</v>
      </c>
      <c r="L149" s="147">
        <v>100</v>
      </c>
      <c r="M149" s="147" t="s">
        <v>9</v>
      </c>
      <c r="N149" s="147" t="s">
        <v>1690</v>
      </c>
      <c r="O149" s="147" t="s">
        <v>98</v>
      </c>
      <c r="P149" s="147">
        <v>1000</v>
      </c>
      <c r="Q149" s="150">
        <f t="shared" ref="Q149:Q212" si="25">(T149-S149)/S149</f>
        <v>0</v>
      </c>
      <c r="R149" s="151"/>
      <c r="S149" s="152">
        <v>750</v>
      </c>
      <c r="T149" s="152">
        <v>750</v>
      </c>
      <c r="U149" s="153"/>
      <c r="V149" s="154"/>
      <c r="W149" s="154"/>
      <c r="X149" s="155" t="s">
        <v>1693</v>
      </c>
      <c r="Y149" s="155" t="s">
        <v>1423</v>
      </c>
      <c r="Z149" s="155" t="s">
        <v>1442</v>
      </c>
      <c r="AA149" s="273">
        <f t="shared" ref="AA149:AA212" si="26">S149/P149</f>
        <v>0.75</v>
      </c>
      <c r="AB149" s="273">
        <f t="shared" ref="AB149:AB212" si="27">T149/P149</f>
        <v>0.75</v>
      </c>
      <c r="AC149" s="156">
        <f t="shared" ref="AC149:AC212" si="28">P149</f>
        <v>1000</v>
      </c>
      <c r="AD149" s="274">
        <f t="shared" ref="AD149:AD212" si="29">AA149*AC149</f>
        <v>750</v>
      </c>
      <c r="AE149" s="274">
        <f t="shared" si="23"/>
        <v>750</v>
      </c>
      <c r="AF149" s="129"/>
    </row>
    <row r="150" spans="1:32">
      <c r="A150" s="253" t="s">
        <v>1523</v>
      </c>
      <c r="B150" s="146" t="s">
        <v>1</v>
      </c>
      <c r="C150" s="155" t="s">
        <v>1704</v>
      </c>
      <c r="D150" s="147">
        <v>242</v>
      </c>
      <c r="E150" s="157" t="s">
        <v>1689</v>
      </c>
      <c r="F150" s="147" t="s">
        <v>106</v>
      </c>
      <c r="G150" s="147" t="s">
        <v>1429</v>
      </c>
      <c r="H150" s="147">
        <v>46</v>
      </c>
      <c r="I150" s="149">
        <f t="shared" si="24"/>
        <v>46</v>
      </c>
      <c r="J150" s="147"/>
      <c r="K150" s="336" t="s">
        <v>64</v>
      </c>
      <c r="L150" s="147">
        <v>100</v>
      </c>
      <c r="M150" s="147" t="s">
        <v>9</v>
      </c>
      <c r="N150" s="147" t="s">
        <v>1690</v>
      </c>
      <c r="O150" s="147" t="s">
        <v>98</v>
      </c>
      <c r="P150" s="147">
        <v>1000</v>
      </c>
      <c r="Q150" s="150">
        <f t="shared" si="25"/>
        <v>0</v>
      </c>
      <c r="R150" s="151"/>
      <c r="S150" s="152">
        <v>1500</v>
      </c>
      <c r="T150" s="152">
        <v>1500</v>
      </c>
      <c r="U150" s="153"/>
      <c r="V150" s="154"/>
      <c r="W150" s="154"/>
      <c r="X150" s="155" t="s">
        <v>1693</v>
      </c>
      <c r="Y150" s="155" t="s">
        <v>1423</v>
      </c>
      <c r="Z150" s="155" t="s">
        <v>1442</v>
      </c>
      <c r="AA150" s="273">
        <f t="shared" si="26"/>
        <v>1.5</v>
      </c>
      <c r="AB150" s="273">
        <f t="shared" si="27"/>
        <v>1.5</v>
      </c>
      <c r="AC150" s="156">
        <f t="shared" si="28"/>
        <v>1000</v>
      </c>
      <c r="AD150" s="274">
        <f t="shared" si="29"/>
        <v>1500</v>
      </c>
      <c r="AE150" s="274">
        <f t="shared" si="23"/>
        <v>1500</v>
      </c>
      <c r="AF150" s="129"/>
    </row>
    <row r="151" spans="1:32">
      <c r="A151" s="253" t="s">
        <v>1523</v>
      </c>
      <c r="B151" s="146" t="s">
        <v>1</v>
      </c>
      <c r="C151" s="155" t="s">
        <v>1704</v>
      </c>
      <c r="D151" s="147">
        <v>242</v>
      </c>
      <c r="E151" s="157" t="s">
        <v>1689</v>
      </c>
      <c r="F151" s="147" t="s">
        <v>106</v>
      </c>
      <c r="G151" s="147" t="s">
        <v>1429</v>
      </c>
      <c r="H151" s="147">
        <v>58</v>
      </c>
      <c r="I151" s="149">
        <f t="shared" si="24"/>
        <v>58</v>
      </c>
      <c r="J151" s="147"/>
      <c r="K151" s="336" t="s">
        <v>67</v>
      </c>
      <c r="L151" s="147">
        <v>100</v>
      </c>
      <c r="M151" s="147" t="s">
        <v>9</v>
      </c>
      <c r="N151" s="147" t="s">
        <v>1690</v>
      </c>
      <c r="O151" s="147" t="s">
        <v>98</v>
      </c>
      <c r="P151" s="147">
        <v>1000</v>
      </c>
      <c r="Q151" s="150">
        <f t="shared" si="25"/>
        <v>0</v>
      </c>
      <c r="R151" s="151"/>
      <c r="S151" s="152">
        <v>1500</v>
      </c>
      <c r="T151" s="152">
        <v>1500</v>
      </c>
      <c r="U151" s="153"/>
      <c r="V151" s="154"/>
      <c r="W151" s="154"/>
      <c r="X151" s="155" t="s">
        <v>1693</v>
      </c>
      <c r="Y151" s="155" t="s">
        <v>1423</v>
      </c>
      <c r="Z151" s="155" t="s">
        <v>1442</v>
      </c>
      <c r="AA151" s="273">
        <f t="shared" si="26"/>
        <v>1.5</v>
      </c>
      <c r="AB151" s="273">
        <f t="shared" si="27"/>
        <v>1.5</v>
      </c>
      <c r="AC151" s="156">
        <f t="shared" si="28"/>
        <v>1000</v>
      </c>
      <c r="AD151" s="274">
        <f t="shared" si="29"/>
        <v>1500</v>
      </c>
      <c r="AE151" s="274">
        <f t="shared" si="23"/>
        <v>1500</v>
      </c>
      <c r="AF151" s="129"/>
    </row>
    <row r="152" spans="1:32">
      <c r="A152" s="253" t="s">
        <v>1523</v>
      </c>
      <c r="B152" s="146" t="s">
        <v>1</v>
      </c>
      <c r="C152" s="155" t="s">
        <v>1704</v>
      </c>
      <c r="D152" s="147">
        <v>242</v>
      </c>
      <c r="E152" s="157" t="s">
        <v>1689</v>
      </c>
      <c r="F152" s="147" t="s">
        <v>106</v>
      </c>
      <c r="G152" s="147" t="s">
        <v>1429</v>
      </c>
      <c r="H152" s="147">
        <v>59</v>
      </c>
      <c r="I152" s="149">
        <f t="shared" si="24"/>
        <v>59</v>
      </c>
      <c r="J152" s="147"/>
      <c r="K152" s="336" t="s">
        <v>99</v>
      </c>
      <c r="L152" s="147">
        <v>100</v>
      </c>
      <c r="M152" s="147" t="s">
        <v>9</v>
      </c>
      <c r="N152" s="147" t="s">
        <v>1690</v>
      </c>
      <c r="O152" s="147" t="s">
        <v>98</v>
      </c>
      <c r="P152" s="147">
        <v>1000</v>
      </c>
      <c r="Q152" s="150">
        <f t="shared" si="25"/>
        <v>0</v>
      </c>
      <c r="R152" s="151"/>
      <c r="S152" s="152">
        <v>4200</v>
      </c>
      <c r="T152" s="152">
        <v>4200</v>
      </c>
      <c r="U152" s="153"/>
      <c r="V152" s="154"/>
      <c r="W152" s="154"/>
      <c r="X152" s="155" t="s">
        <v>1693</v>
      </c>
      <c r="Y152" s="155" t="s">
        <v>1423</v>
      </c>
      <c r="Z152" s="155" t="s">
        <v>1442</v>
      </c>
      <c r="AA152" s="273">
        <f t="shared" si="26"/>
        <v>4.2</v>
      </c>
      <c r="AB152" s="273">
        <f t="shared" si="27"/>
        <v>4.2</v>
      </c>
      <c r="AC152" s="156">
        <f t="shared" si="28"/>
        <v>1000</v>
      </c>
      <c r="AD152" s="274">
        <f t="shared" si="29"/>
        <v>4200</v>
      </c>
      <c r="AE152" s="274">
        <f t="shared" si="23"/>
        <v>4200</v>
      </c>
      <c r="AF152" s="129"/>
    </row>
    <row r="153" spans="1:32">
      <c r="A153" s="253" t="s">
        <v>1523</v>
      </c>
      <c r="B153" s="146" t="s">
        <v>1</v>
      </c>
      <c r="C153" s="155" t="s">
        <v>1704</v>
      </c>
      <c r="D153" s="147">
        <v>209</v>
      </c>
      <c r="E153" s="157" t="s">
        <v>1688</v>
      </c>
      <c r="F153" s="147" t="s">
        <v>106</v>
      </c>
      <c r="G153" s="147" t="s">
        <v>1429</v>
      </c>
      <c r="H153" s="147">
        <v>7</v>
      </c>
      <c r="I153" s="149">
        <f t="shared" si="24"/>
        <v>7</v>
      </c>
      <c r="J153" s="147"/>
      <c r="K153" s="336" t="s">
        <v>57</v>
      </c>
      <c r="L153" s="147">
        <v>100</v>
      </c>
      <c r="M153" s="147" t="s">
        <v>9</v>
      </c>
      <c r="N153" s="147" t="s">
        <v>1418</v>
      </c>
      <c r="O153" s="147" t="s">
        <v>98</v>
      </c>
      <c r="P153" s="147">
        <v>100</v>
      </c>
      <c r="Q153" s="150">
        <f t="shared" si="25"/>
        <v>0</v>
      </c>
      <c r="R153" s="151"/>
      <c r="S153" s="152">
        <v>210</v>
      </c>
      <c r="T153" s="152">
        <v>210</v>
      </c>
      <c r="U153" s="153"/>
      <c r="V153" s="154"/>
      <c r="W153" s="154"/>
      <c r="X153" s="155" t="s">
        <v>1693</v>
      </c>
      <c r="Y153" s="155" t="s">
        <v>1423</v>
      </c>
      <c r="Z153" s="155" t="s">
        <v>1442</v>
      </c>
      <c r="AA153" s="273">
        <f t="shared" si="26"/>
        <v>2.1</v>
      </c>
      <c r="AB153" s="273">
        <f t="shared" si="27"/>
        <v>2.1</v>
      </c>
      <c r="AC153" s="156">
        <f t="shared" si="28"/>
        <v>100</v>
      </c>
      <c r="AD153" s="274">
        <f t="shared" si="29"/>
        <v>210</v>
      </c>
      <c r="AE153" s="274">
        <f t="shared" si="23"/>
        <v>210</v>
      </c>
      <c r="AF153" s="129"/>
    </row>
    <row r="154" spans="1:32">
      <c r="A154" s="253" t="s">
        <v>1523</v>
      </c>
      <c r="B154" s="146" t="s">
        <v>1</v>
      </c>
      <c r="C154" s="155" t="s">
        <v>1704</v>
      </c>
      <c r="D154" s="147">
        <v>209</v>
      </c>
      <c r="E154" s="157" t="s">
        <v>1688</v>
      </c>
      <c r="F154" s="147" t="s">
        <v>106</v>
      </c>
      <c r="G154" s="147" t="s">
        <v>1429</v>
      </c>
      <c r="H154" s="147">
        <v>8</v>
      </c>
      <c r="I154" s="149">
        <f t="shared" si="24"/>
        <v>8</v>
      </c>
      <c r="J154" s="147"/>
      <c r="K154" s="336" t="s">
        <v>55</v>
      </c>
      <c r="L154" s="147">
        <v>100</v>
      </c>
      <c r="M154" s="147" t="s">
        <v>9</v>
      </c>
      <c r="N154" s="147" t="s">
        <v>1418</v>
      </c>
      <c r="O154" s="147" t="s">
        <v>98</v>
      </c>
      <c r="P154" s="147">
        <v>100</v>
      </c>
      <c r="Q154" s="150">
        <f t="shared" si="25"/>
        <v>0</v>
      </c>
      <c r="R154" s="151"/>
      <c r="S154" s="152">
        <v>350</v>
      </c>
      <c r="T154" s="152">
        <v>350</v>
      </c>
      <c r="U154" s="153"/>
      <c r="V154" s="154"/>
      <c r="W154" s="154"/>
      <c r="X154" s="155" t="s">
        <v>1693</v>
      </c>
      <c r="Y154" s="155" t="s">
        <v>1423</v>
      </c>
      <c r="Z154" s="155" t="s">
        <v>1442</v>
      </c>
      <c r="AA154" s="273">
        <f t="shared" si="26"/>
        <v>3.5</v>
      </c>
      <c r="AB154" s="273">
        <f t="shared" si="27"/>
        <v>3.5</v>
      </c>
      <c r="AC154" s="156">
        <f t="shared" si="28"/>
        <v>100</v>
      </c>
      <c r="AD154" s="274">
        <f t="shared" si="29"/>
        <v>350</v>
      </c>
      <c r="AE154" s="274">
        <f t="shared" si="23"/>
        <v>350</v>
      </c>
      <c r="AF154" s="129"/>
    </row>
    <row r="155" spans="1:32">
      <c r="A155" s="253" t="s">
        <v>1523</v>
      </c>
      <c r="B155" s="146" t="s">
        <v>1</v>
      </c>
      <c r="C155" s="155" t="s">
        <v>1704</v>
      </c>
      <c r="D155" s="147">
        <v>209</v>
      </c>
      <c r="E155" s="157" t="s">
        <v>1688</v>
      </c>
      <c r="F155" s="147" t="s">
        <v>106</v>
      </c>
      <c r="G155" s="147" t="s">
        <v>1429</v>
      </c>
      <c r="H155" s="147">
        <v>17</v>
      </c>
      <c r="I155" s="149">
        <f t="shared" si="24"/>
        <v>17</v>
      </c>
      <c r="J155" s="147"/>
      <c r="K155" s="336" t="s">
        <v>53</v>
      </c>
      <c r="L155" s="147">
        <v>100</v>
      </c>
      <c r="M155" s="147" t="s">
        <v>9</v>
      </c>
      <c r="N155" s="147" t="s">
        <v>1418</v>
      </c>
      <c r="O155" s="147" t="s">
        <v>98</v>
      </c>
      <c r="P155" s="147">
        <v>100</v>
      </c>
      <c r="Q155" s="150">
        <f t="shared" si="25"/>
        <v>0</v>
      </c>
      <c r="R155" s="151"/>
      <c r="S155" s="152">
        <v>350</v>
      </c>
      <c r="T155" s="152">
        <v>350</v>
      </c>
      <c r="U155" s="153"/>
      <c r="V155" s="154"/>
      <c r="W155" s="154"/>
      <c r="X155" s="155" t="s">
        <v>1693</v>
      </c>
      <c r="Y155" s="155" t="s">
        <v>1423</v>
      </c>
      <c r="Z155" s="155" t="s">
        <v>1442</v>
      </c>
      <c r="AA155" s="273">
        <f t="shared" si="26"/>
        <v>3.5</v>
      </c>
      <c r="AB155" s="273">
        <f t="shared" si="27"/>
        <v>3.5</v>
      </c>
      <c r="AC155" s="156">
        <f t="shared" si="28"/>
        <v>100</v>
      </c>
      <c r="AD155" s="274">
        <f t="shared" si="29"/>
        <v>350</v>
      </c>
      <c r="AE155" s="274">
        <f t="shared" si="23"/>
        <v>350</v>
      </c>
      <c r="AF155" s="129"/>
    </row>
    <row r="156" spans="1:32">
      <c r="A156" s="253" t="s">
        <v>1523</v>
      </c>
      <c r="B156" s="146" t="s">
        <v>1</v>
      </c>
      <c r="C156" s="155" t="s">
        <v>1704</v>
      </c>
      <c r="D156" s="147">
        <v>209</v>
      </c>
      <c r="E156" s="157" t="s">
        <v>1688</v>
      </c>
      <c r="F156" s="147" t="s">
        <v>106</v>
      </c>
      <c r="G156" s="147" t="s">
        <v>1429</v>
      </c>
      <c r="H156" s="147">
        <v>22</v>
      </c>
      <c r="I156" s="149">
        <f t="shared" si="24"/>
        <v>22</v>
      </c>
      <c r="J156" s="147"/>
      <c r="K156" s="336" t="s">
        <v>51</v>
      </c>
      <c r="L156" s="147">
        <v>100</v>
      </c>
      <c r="M156" s="147" t="s">
        <v>9</v>
      </c>
      <c r="N156" s="147" t="s">
        <v>1418</v>
      </c>
      <c r="O156" s="147" t="s">
        <v>98</v>
      </c>
      <c r="P156" s="147">
        <v>100</v>
      </c>
      <c r="Q156" s="150">
        <f t="shared" si="25"/>
        <v>0</v>
      </c>
      <c r="R156" s="151"/>
      <c r="S156" s="152">
        <v>508</v>
      </c>
      <c r="T156" s="152">
        <v>508</v>
      </c>
      <c r="U156" s="153"/>
      <c r="V156" s="154"/>
      <c r="W156" s="154"/>
      <c r="X156" s="155" t="s">
        <v>1693</v>
      </c>
      <c r="Y156" s="155" t="s">
        <v>1423</v>
      </c>
      <c r="Z156" s="155" t="s">
        <v>1442</v>
      </c>
      <c r="AA156" s="273">
        <f t="shared" si="26"/>
        <v>5.08</v>
      </c>
      <c r="AB156" s="273">
        <f t="shared" si="27"/>
        <v>5.08</v>
      </c>
      <c r="AC156" s="156">
        <f t="shared" si="28"/>
        <v>100</v>
      </c>
      <c r="AD156" s="274">
        <f t="shared" si="29"/>
        <v>508</v>
      </c>
      <c r="AE156" s="274">
        <f t="shared" si="23"/>
        <v>508</v>
      </c>
      <c r="AF156" s="129"/>
    </row>
    <row r="157" spans="1:32">
      <c r="A157" s="253" t="s">
        <v>1523</v>
      </c>
      <c r="B157" s="146" t="s">
        <v>1</v>
      </c>
      <c r="C157" s="155" t="s">
        <v>1704</v>
      </c>
      <c r="D157" s="147">
        <v>209</v>
      </c>
      <c r="E157" s="157" t="s">
        <v>1688</v>
      </c>
      <c r="F157" s="147" t="s">
        <v>106</v>
      </c>
      <c r="G157" s="147" t="s">
        <v>1429</v>
      </c>
      <c r="H157" s="147">
        <v>33</v>
      </c>
      <c r="I157" s="149">
        <f t="shared" si="24"/>
        <v>33</v>
      </c>
      <c r="J157" s="147"/>
      <c r="K157" s="336" t="s">
        <v>59</v>
      </c>
      <c r="L157" s="147">
        <v>100</v>
      </c>
      <c r="M157" s="147" t="s">
        <v>9</v>
      </c>
      <c r="N157" s="147" t="s">
        <v>1418</v>
      </c>
      <c r="O157" s="147" t="s">
        <v>98</v>
      </c>
      <c r="P157" s="147">
        <v>100</v>
      </c>
      <c r="Q157" s="150">
        <f t="shared" si="25"/>
        <v>0</v>
      </c>
      <c r="R157" s="151"/>
      <c r="S157" s="152">
        <v>480</v>
      </c>
      <c r="T157" s="152">
        <v>480</v>
      </c>
      <c r="U157" s="153"/>
      <c r="V157" s="154"/>
      <c r="W157" s="154"/>
      <c r="X157" s="155" t="s">
        <v>1693</v>
      </c>
      <c r="Y157" s="155" t="s">
        <v>1423</v>
      </c>
      <c r="Z157" s="155" t="s">
        <v>1442</v>
      </c>
      <c r="AA157" s="273">
        <f t="shared" si="26"/>
        <v>4.8</v>
      </c>
      <c r="AB157" s="273">
        <f t="shared" si="27"/>
        <v>4.8</v>
      </c>
      <c r="AC157" s="156">
        <f t="shared" si="28"/>
        <v>100</v>
      </c>
      <c r="AD157" s="274">
        <f t="shared" si="29"/>
        <v>480</v>
      </c>
      <c r="AE157" s="274">
        <f t="shared" si="23"/>
        <v>480</v>
      </c>
      <c r="AF157" s="129"/>
    </row>
    <row r="158" spans="1:32">
      <c r="A158" s="253" t="s">
        <v>1523</v>
      </c>
      <c r="B158" s="146" t="s">
        <v>1</v>
      </c>
      <c r="C158" s="155" t="s">
        <v>1704</v>
      </c>
      <c r="D158" s="147">
        <v>209</v>
      </c>
      <c r="E158" s="157" t="s">
        <v>1688</v>
      </c>
      <c r="F158" s="147" t="s">
        <v>106</v>
      </c>
      <c r="G158" s="147" t="s">
        <v>1429</v>
      </c>
      <c r="H158" s="147">
        <v>36</v>
      </c>
      <c r="I158" s="149">
        <f t="shared" si="24"/>
        <v>36</v>
      </c>
      <c r="J158" s="147"/>
      <c r="K158" s="336" t="s">
        <v>1340</v>
      </c>
      <c r="L158" s="147">
        <v>20</v>
      </c>
      <c r="M158" s="147" t="s">
        <v>9</v>
      </c>
      <c r="N158" s="147" t="s">
        <v>1416</v>
      </c>
      <c r="O158" s="147" t="s">
        <v>98</v>
      </c>
      <c r="P158" s="147">
        <v>20</v>
      </c>
      <c r="Q158" s="150">
        <f t="shared" si="25"/>
        <v>0</v>
      </c>
      <c r="R158" s="151"/>
      <c r="S158" s="152">
        <v>400</v>
      </c>
      <c r="T158" s="152">
        <v>400</v>
      </c>
      <c r="U158" s="153"/>
      <c r="V158" s="154"/>
      <c r="W158" s="154"/>
      <c r="X158" s="155" t="s">
        <v>1693</v>
      </c>
      <c r="Y158" s="155" t="s">
        <v>1423</v>
      </c>
      <c r="Z158" s="155" t="s">
        <v>1442</v>
      </c>
      <c r="AA158" s="273">
        <f t="shared" si="26"/>
        <v>20</v>
      </c>
      <c r="AB158" s="273">
        <f t="shared" si="27"/>
        <v>20</v>
      </c>
      <c r="AC158" s="156">
        <f t="shared" si="28"/>
        <v>20</v>
      </c>
      <c r="AD158" s="274">
        <f t="shared" si="29"/>
        <v>400</v>
      </c>
      <c r="AE158" s="274">
        <f t="shared" si="23"/>
        <v>400</v>
      </c>
      <c r="AF158" s="129"/>
    </row>
    <row r="159" spans="1:32">
      <c r="A159" s="253" t="s">
        <v>1523</v>
      </c>
      <c r="B159" s="146" t="s">
        <v>1</v>
      </c>
      <c r="C159" s="155" t="s">
        <v>1704</v>
      </c>
      <c r="D159" s="147">
        <v>209</v>
      </c>
      <c r="E159" s="157" t="s">
        <v>1688</v>
      </c>
      <c r="F159" s="147" t="s">
        <v>106</v>
      </c>
      <c r="G159" s="147" t="s">
        <v>1429</v>
      </c>
      <c r="H159" s="147">
        <v>36</v>
      </c>
      <c r="I159" s="149">
        <f t="shared" si="24"/>
        <v>36</v>
      </c>
      <c r="J159" s="147"/>
      <c r="K159" s="336" t="s">
        <v>1340</v>
      </c>
      <c r="L159" s="147">
        <v>40</v>
      </c>
      <c r="M159" s="147" t="s">
        <v>9</v>
      </c>
      <c r="N159" s="147" t="s">
        <v>1417</v>
      </c>
      <c r="O159" s="147" t="s">
        <v>98</v>
      </c>
      <c r="P159" s="147">
        <v>40</v>
      </c>
      <c r="Q159" s="150">
        <f t="shared" si="25"/>
        <v>0</v>
      </c>
      <c r="R159" s="151"/>
      <c r="S159" s="152">
        <v>800</v>
      </c>
      <c r="T159" s="152">
        <v>800</v>
      </c>
      <c r="U159" s="153"/>
      <c r="V159" s="154"/>
      <c r="W159" s="154"/>
      <c r="X159" s="155" t="s">
        <v>1693</v>
      </c>
      <c r="Y159" s="155" t="s">
        <v>1423</v>
      </c>
      <c r="Z159" s="155" t="s">
        <v>1442</v>
      </c>
      <c r="AA159" s="273">
        <f t="shared" si="26"/>
        <v>20</v>
      </c>
      <c r="AB159" s="273">
        <f t="shared" si="27"/>
        <v>20</v>
      </c>
      <c r="AC159" s="156">
        <f t="shared" si="28"/>
        <v>40</v>
      </c>
      <c r="AD159" s="274">
        <f t="shared" si="29"/>
        <v>800</v>
      </c>
      <c r="AE159" s="274">
        <f t="shared" si="23"/>
        <v>800</v>
      </c>
      <c r="AF159" s="129"/>
    </row>
    <row r="160" spans="1:32">
      <c r="A160" s="253" t="s">
        <v>1523</v>
      </c>
      <c r="B160" s="146" t="s">
        <v>1</v>
      </c>
      <c r="C160" s="155" t="s">
        <v>1704</v>
      </c>
      <c r="D160" s="147">
        <v>209</v>
      </c>
      <c r="E160" s="157" t="s">
        <v>1688</v>
      </c>
      <c r="F160" s="147" t="s">
        <v>106</v>
      </c>
      <c r="G160" s="147" t="s">
        <v>1429</v>
      </c>
      <c r="H160" s="147">
        <v>42</v>
      </c>
      <c r="I160" s="149">
        <f t="shared" si="24"/>
        <v>42</v>
      </c>
      <c r="J160" s="147"/>
      <c r="K160" s="336" t="s">
        <v>61</v>
      </c>
      <c r="L160" s="147">
        <v>100</v>
      </c>
      <c r="M160" s="147" t="s">
        <v>9</v>
      </c>
      <c r="N160" s="147" t="s">
        <v>1418</v>
      </c>
      <c r="O160" s="147" t="s">
        <v>98</v>
      </c>
      <c r="P160" s="147">
        <v>100</v>
      </c>
      <c r="Q160" s="150">
        <f t="shared" si="25"/>
        <v>0</v>
      </c>
      <c r="R160" s="151"/>
      <c r="S160" s="152">
        <v>420</v>
      </c>
      <c r="T160" s="152">
        <v>420</v>
      </c>
      <c r="U160" s="153"/>
      <c r="V160" s="154"/>
      <c r="W160" s="154"/>
      <c r="X160" s="155" t="s">
        <v>1693</v>
      </c>
      <c r="Y160" s="155" t="s">
        <v>1423</v>
      </c>
      <c r="Z160" s="155" t="s">
        <v>1442</v>
      </c>
      <c r="AA160" s="273">
        <f t="shared" si="26"/>
        <v>4.2</v>
      </c>
      <c r="AB160" s="273">
        <f t="shared" si="27"/>
        <v>4.2</v>
      </c>
      <c r="AC160" s="156">
        <f t="shared" si="28"/>
        <v>100</v>
      </c>
      <c r="AD160" s="274">
        <f t="shared" si="29"/>
        <v>420</v>
      </c>
      <c r="AE160" s="274">
        <f t="shared" si="23"/>
        <v>420</v>
      </c>
      <c r="AF160" s="129"/>
    </row>
    <row r="161" spans="1:32">
      <c r="A161" s="253" t="s">
        <v>1523</v>
      </c>
      <c r="B161" s="146" t="s">
        <v>1</v>
      </c>
      <c r="C161" s="155" t="s">
        <v>1704</v>
      </c>
      <c r="D161" s="147">
        <v>209</v>
      </c>
      <c r="E161" s="157" t="s">
        <v>1688</v>
      </c>
      <c r="F161" s="147" t="s">
        <v>106</v>
      </c>
      <c r="G161" s="147" t="s">
        <v>1429</v>
      </c>
      <c r="H161" s="147">
        <v>43</v>
      </c>
      <c r="I161" s="149">
        <f t="shared" si="24"/>
        <v>43</v>
      </c>
      <c r="J161" s="147"/>
      <c r="K161" s="336" t="s">
        <v>62</v>
      </c>
      <c r="L161" s="147">
        <v>100</v>
      </c>
      <c r="M161" s="147" t="s">
        <v>9</v>
      </c>
      <c r="N161" s="147" t="s">
        <v>1418</v>
      </c>
      <c r="O161" s="147" t="s">
        <v>98</v>
      </c>
      <c r="P161" s="147">
        <v>100</v>
      </c>
      <c r="Q161" s="150">
        <f t="shared" si="25"/>
        <v>0</v>
      </c>
      <c r="R161" s="151"/>
      <c r="S161" s="152">
        <v>430</v>
      </c>
      <c r="T161" s="152">
        <v>430</v>
      </c>
      <c r="U161" s="153"/>
      <c r="V161" s="154"/>
      <c r="W161" s="154"/>
      <c r="X161" s="155" t="s">
        <v>1693</v>
      </c>
      <c r="Y161" s="155" t="s">
        <v>1423</v>
      </c>
      <c r="Z161" s="155" t="s">
        <v>1442</v>
      </c>
      <c r="AA161" s="273">
        <f t="shared" si="26"/>
        <v>4.3</v>
      </c>
      <c r="AB161" s="273">
        <f t="shared" si="27"/>
        <v>4.3</v>
      </c>
      <c r="AC161" s="156">
        <f t="shared" si="28"/>
        <v>100</v>
      </c>
      <c r="AD161" s="274">
        <f t="shared" si="29"/>
        <v>430</v>
      </c>
      <c r="AE161" s="274">
        <f t="shared" si="23"/>
        <v>430</v>
      </c>
      <c r="AF161" s="129"/>
    </row>
    <row r="162" spans="1:32">
      <c r="A162" s="253" t="s">
        <v>1523</v>
      </c>
      <c r="B162" s="146" t="s">
        <v>1</v>
      </c>
      <c r="C162" s="155" t="s">
        <v>1704</v>
      </c>
      <c r="D162" s="147">
        <v>209</v>
      </c>
      <c r="E162" s="157" t="s">
        <v>1688</v>
      </c>
      <c r="F162" s="147" t="s">
        <v>106</v>
      </c>
      <c r="G162" s="147" t="s">
        <v>1429</v>
      </c>
      <c r="H162" s="147">
        <v>46</v>
      </c>
      <c r="I162" s="149">
        <f t="shared" si="24"/>
        <v>46</v>
      </c>
      <c r="J162" s="147"/>
      <c r="K162" s="336" t="s">
        <v>64</v>
      </c>
      <c r="L162" s="147">
        <v>100</v>
      </c>
      <c r="M162" s="147" t="s">
        <v>9</v>
      </c>
      <c r="N162" s="147" t="s">
        <v>1418</v>
      </c>
      <c r="O162" s="147" t="s">
        <v>98</v>
      </c>
      <c r="P162" s="147">
        <v>100</v>
      </c>
      <c r="Q162" s="150">
        <f t="shared" si="25"/>
        <v>0</v>
      </c>
      <c r="R162" s="151"/>
      <c r="S162" s="152">
        <v>489</v>
      </c>
      <c r="T162" s="152">
        <v>489</v>
      </c>
      <c r="U162" s="153"/>
      <c r="V162" s="154"/>
      <c r="W162" s="154"/>
      <c r="X162" s="155" t="s">
        <v>1693</v>
      </c>
      <c r="Y162" s="155" t="s">
        <v>1423</v>
      </c>
      <c r="Z162" s="155" t="s">
        <v>1442</v>
      </c>
      <c r="AA162" s="273">
        <f t="shared" si="26"/>
        <v>4.8899999999999997</v>
      </c>
      <c r="AB162" s="273">
        <f t="shared" si="27"/>
        <v>4.8899999999999997</v>
      </c>
      <c r="AC162" s="156">
        <f t="shared" si="28"/>
        <v>100</v>
      </c>
      <c r="AD162" s="274">
        <f t="shared" si="29"/>
        <v>488.99999999999994</v>
      </c>
      <c r="AE162" s="274">
        <f t="shared" si="23"/>
        <v>488.99999999999994</v>
      </c>
      <c r="AF162" s="129"/>
    </row>
    <row r="163" spans="1:32">
      <c r="A163" s="253" t="s">
        <v>1523</v>
      </c>
      <c r="B163" s="146" t="s">
        <v>1</v>
      </c>
      <c r="C163" s="155" t="s">
        <v>1704</v>
      </c>
      <c r="D163" s="147">
        <v>209</v>
      </c>
      <c r="E163" s="157" t="s">
        <v>1688</v>
      </c>
      <c r="F163" s="147" t="s">
        <v>106</v>
      </c>
      <c r="G163" s="147" t="s">
        <v>1429</v>
      </c>
      <c r="H163" s="147">
        <v>58</v>
      </c>
      <c r="I163" s="149">
        <f t="shared" si="24"/>
        <v>58</v>
      </c>
      <c r="J163" s="147"/>
      <c r="K163" s="336" t="s">
        <v>67</v>
      </c>
      <c r="L163" s="147">
        <v>100</v>
      </c>
      <c r="M163" s="147" t="s">
        <v>9</v>
      </c>
      <c r="N163" s="147" t="s">
        <v>1418</v>
      </c>
      <c r="O163" s="147" t="s">
        <v>98</v>
      </c>
      <c r="P163" s="147">
        <v>100</v>
      </c>
      <c r="Q163" s="150">
        <f t="shared" si="25"/>
        <v>0</v>
      </c>
      <c r="R163" s="151"/>
      <c r="S163" s="152">
        <v>580</v>
      </c>
      <c r="T163" s="152">
        <v>580</v>
      </c>
      <c r="U163" s="153"/>
      <c r="V163" s="154"/>
      <c r="W163" s="154"/>
      <c r="X163" s="155" t="s">
        <v>1693</v>
      </c>
      <c r="Y163" s="155" t="s">
        <v>1423</v>
      </c>
      <c r="Z163" s="155" t="s">
        <v>1442</v>
      </c>
      <c r="AA163" s="273">
        <f t="shared" si="26"/>
        <v>5.8</v>
      </c>
      <c r="AB163" s="273">
        <f t="shared" si="27"/>
        <v>5.8</v>
      </c>
      <c r="AC163" s="156">
        <f t="shared" si="28"/>
        <v>100</v>
      </c>
      <c r="AD163" s="274">
        <f t="shared" si="29"/>
        <v>580</v>
      </c>
      <c r="AE163" s="274">
        <f t="shared" si="23"/>
        <v>580</v>
      </c>
      <c r="AF163" s="129"/>
    </row>
    <row r="164" spans="1:32">
      <c r="A164" s="253" t="s">
        <v>1523</v>
      </c>
      <c r="B164" s="146" t="s">
        <v>1</v>
      </c>
      <c r="C164" s="155" t="s">
        <v>1704</v>
      </c>
      <c r="D164" s="147">
        <v>209</v>
      </c>
      <c r="E164" s="157" t="s">
        <v>1688</v>
      </c>
      <c r="F164" s="147" t="s">
        <v>106</v>
      </c>
      <c r="G164" s="147" t="s">
        <v>1429</v>
      </c>
      <c r="H164" s="147">
        <v>59</v>
      </c>
      <c r="I164" s="149">
        <f t="shared" si="24"/>
        <v>59</v>
      </c>
      <c r="J164" s="147"/>
      <c r="K164" s="336" t="s">
        <v>99</v>
      </c>
      <c r="L164" s="147">
        <v>100</v>
      </c>
      <c r="M164" s="147" t="s">
        <v>9</v>
      </c>
      <c r="N164" s="147" t="s">
        <v>1418</v>
      </c>
      <c r="O164" s="147" t="s">
        <v>98</v>
      </c>
      <c r="P164" s="147">
        <v>100</v>
      </c>
      <c r="Q164" s="150">
        <f t="shared" si="25"/>
        <v>0</v>
      </c>
      <c r="R164" s="151"/>
      <c r="S164" s="152">
        <v>700</v>
      </c>
      <c r="T164" s="152">
        <v>700</v>
      </c>
      <c r="U164" s="153"/>
      <c r="V164" s="154"/>
      <c r="W164" s="154"/>
      <c r="X164" s="155" t="s">
        <v>1693</v>
      </c>
      <c r="Y164" s="155" t="s">
        <v>1423</v>
      </c>
      <c r="Z164" s="155" t="s">
        <v>1442</v>
      </c>
      <c r="AA164" s="273">
        <f t="shared" si="26"/>
        <v>7</v>
      </c>
      <c r="AB164" s="273">
        <f t="shared" si="27"/>
        <v>7</v>
      </c>
      <c r="AC164" s="156">
        <f t="shared" si="28"/>
        <v>100</v>
      </c>
      <c r="AD164" s="274">
        <f t="shared" si="29"/>
        <v>700</v>
      </c>
      <c r="AE164" s="274">
        <f t="shared" si="23"/>
        <v>700</v>
      </c>
      <c r="AF164" s="129"/>
    </row>
    <row r="165" spans="1:32">
      <c r="A165" s="253" t="s">
        <v>1523</v>
      </c>
      <c r="B165" s="146" t="s">
        <v>1</v>
      </c>
      <c r="C165" s="155" t="s">
        <v>1704</v>
      </c>
      <c r="D165" s="147">
        <v>209</v>
      </c>
      <c r="E165" s="157" t="s">
        <v>1688</v>
      </c>
      <c r="F165" s="147" t="s">
        <v>106</v>
      </c>
      <c r="G165" s="147" t="s">
        <v>1429</v>
      </c>
      <c r="H165" s="147">
        <v>69</v>
      </c>
      <c r="I165" s="149">
        <f t="shared" si="24"/>
        <v>69</v>
      </c>
      <c r="J165" s="147"/>
      <c r="K165" s="336" t="s">
        <v>70</v>
      </c>
      <c r="L165" s="147">
        <v>100</v>
      </c>
      <c r="M165" s="147" t="s">
        <v>9</v>
      </c>
      <c r="N165" s="147" t="s">
        <v>1418</v>
      </c>
      <c r="O165" s="147" t="s">
        <v>98</v>
      </c>
      <c r="P165" s="147">
        <v>100</v>
      </c>
      <c r="Q165" s="150">
        <f t="shared" si="25"/>
        <v>0</v>
      </c>
      <c r="R165" s="151"/>
      <c r="S165" s="152">
        <v>480</v>
      </c>
      <c r="T165" s="152">
        <v>480</v>
      </c>
      <c r="U165" s="153"/>
      <c r="V165" s="154"/>
      <c r="W165" s="154"/>
      <c r="X165" s="155" t="s">
        <v>1693</v>
      </c>
      <c r="Y165" s="155" t="s">
        <v>1423</v>
      </c>
      <c r="Z165" s="155" t="s">
        <v>1442</v>
      </c>
      <c r="AA165" s="273">
        <f t="shared" si="26"/>
        <v>4.8</v>
      </c>
      <c r="AB165" s="273">
        <f t="shared" si="27"/>
        <v>4.8</v>
      </c>
      <c r="AC165" s="156">
        <f t="shared" si="28"/>
        <v>100</v>
      </c>
      <c r="AD165" s="274">
        <f t="shared" si="29"/>
        <v>480</v>
      </c>
      <c r="AE165" s="274">
        <f t="shared" si="23"/>
        <v>480</v>
      </c>
      <c r="AF165" s="129"/>
    </row>
    <row r="166" spans="1:32">
      <c r="A166" s="253" t="s">
        <v>1523</v>
      </c>
      <c r="B166" s="146" t="s">
        <v>1</v>
      </c>
      <c r="C166" s="155" t="s">
        <v>1704</v>
      </c>
      <c r="D166" s="147">
        <v>209</v>
      </c>
      <c r="E166" s="157" t="s">
        <v>1688</v>
      </c>
      <c r="F166" s="147" t="s">
        <v>106</v>
      </c>
      <c r="G166" s="147" t="s">
        <v>1429</v>
      </c>
      <c r="H166" s="147">
        <v>70</v>
      </c>
      <c r="I166" s="149">
        <f t="shared" si="24"/>
        <v>70</v>
      </c>
      <c r="J166" s="147"/>
      <c r="K166" s="336" t="s">
        <v>71</v>
      </c>
      <c r="L166" s="147">
        <v>100</v>
      </c>
      <c r="M166" s="147" t="s">
        <v>9</v>
      </c>
      <c r="N166" s="147" t="s">
        <v>1418</v>
      </c>
      <c r="O166" s="147" t="s">
        <v>98</v>
      </c>
      <c r="P166" s="147">
        <v>100</v>
      </c>
      <c r="Q166" s="150">
        <f t="shared" si="25"/>
        <v>0</v>
      </c>
      <c r="R166" s="151"/>
      <c r="S166" s="152">
        <v>480</v>
      </c>
      <c r="T166" s="152">
        <v>480</v>
      </c>
      <c r="U166" s="153"/>
      <c r="V166" s="154"/>
      <c r="W166" s="154"/>
      <c r="X166" s="155" t="s">
        <v>1693</v>
      </c>
      <c r="Y166" s="155" t="s">
        <v>1423</v>
      </c>
      <c r="Z166" s="155" t="s">
        <v>1442</v>
      </c>
      <c r="AA166" s="273">
        <f t="shared" si="26"/>
        <v>4.8</v>
      </c>
      <c r="AB166" s="273">
        <f t="shared" si="27"/>
        <v>4.8</v>
      </c>
      <c r="AC166" s="156">
        <f t="shared" si="28"/>
        <v>100</v>
      </c>
      <c r="AD166" s="274">
        <f t="shared" si="29"/>
        <v>480</v>
      </c>
      <c r="AE166" s="274">
        <f t="shared" si="23"/>
        <v>480</v>
      </c>
      <c r="AF166" s="129"/>
    </row>
    <row r="167" spans="1:32">
      <c r="A167" s="253" t="s">
        <v>1523</v>
      </c>
      <c r="B167" s="146" t="s">
        <v>1</v>
      </c>
      <c r="C167" s="155" t="s">
        <v>1704</v>
      </c>
      <c r="D167" s="147">
        <v>251</v>
      </c>
      <c r="E167" s="157" t="s">
        <v>1592</v>
      </c>
      <c r="F167" s="147" t="s">
        <v>106</v>
      </c>
      <c r="G167" s="147" t="s">
        <v>1429</v>
      </c>
      <c r="H167" s="147">
        <v>8</v>
      </c>
      <c r="I167" s="149">
        <f t="shared" si="24"/>
        <v>8</v>
      </c>
      <c r="J167" s="147"/>
      <c r="K167" s="336" t="s">
        <v>55</v>
      </c>
      <c r="L167" s="147">
        <v>100</v>
      </c>
      <c r="M167" s="147" t="s">
        <v>9</v>
      </c>
      <c r="N167" s="147" t="s">
        <v>1518</v>
      </c>
      <c r="O167" s="147" t="s">
        <v>98</v>
      </c>
      <c r="P167" s="147">
        <v>1000</v>
      </c>
      <c r="Q167" s="150">
        <f t="shared" si="25"/>
        <v>0</v>
      </c>
      <c r="R167" s="151"/>
      <c r="S167" s="158">
        <v>2500</v>
      </c>
      <c r="T167" s="158">
        <v>2500</v>
      </c>
      <c r="U167" s="160"/>
      <c r="V167" s="160"/>
      <c r="W167" s="160"/>
      <c r="X167" s="155" t="s">
        <v>1705</v>
      </c>
      <c r="Y167" s="155" t="s">
        <v>1423</v>
      </c>
      <c r="Z167" s="155" t="s">
        <v>1442</v>
      </c>
      <c r="AA167" s="273">
        <f t="shared" si="26"/>
        <v>2.5</v>
      </c>
      <c r="AB167" s="273">
        <f t="shared" si="27"/>
        <v>2.5</v>
      </c>
      <c r="AC167" s="156">
        <f t="shared" si="28"/>
        <v>1000</v>
      </c>
      <c r="AD167" s="274">
        <f t="shared" si="29"/>
        <v>2500</v>
      </c>
      <c r="AE167" s="274">
        <f>AB167*AC167</f>
        <v>2500</v>
      </c>
      <c r="AF167" s="129"/>
    </row>
    <row r="168" spans="1:32">
      <c r="A168" s="253" t="s">
        <v>1523</v>
      </c>
      <c r="B168" s="146" t="s">
        <v>1</v>
      </c>
      <c r="C168" s="155" t="s">
        <v>1704</v>
      </c>
      <c r="D168" s="147">
        <v>212</v>
      </c>
      <c r="E168" s="157" t="s">
        <v>1515</v>
      </c>
      <c r="F168" s="147" t="s">
        <v>106</v>
      </c>
      <c r="G168" s="147" t="s">
        <v>1429</v>
      </c>
      <c r="H168" s="147">
        <v>7</v>
      </c>
      <c r="I168" s="149">
        <f t="shared" si="24"/>
        <v>7</v>
      </c>
      <c r="J168" s="147"/>
      <c r="K168" s="336" t="s">
        <v>57</v>
      </c>
      <c r="L168" s="147"/>
      <c r="M168" s="147"/>
      <c r="N168" s="147" t="s">
        <v>1690</v>
      </c>
      <c r="O168" s="147" t="s">
        <v>98</v>
      </c>
      <c r="P168" s="147">
        <v>1000</v>
      </c>
      <c r="Q168" s="150">
        <f t="shared" si="25"/>
        <v>0</v>
      </c>
      <c r="R168" s="151">
        <v>18</v>
      </c>
      <c r="S168" s="152">
        <v>1900</v>
      </c>
      <c r="T168" s="152">
        <v>1900</v>
      </c>
      <c r="U168" s="153"/>
      <c r="V168" s="154"/>
      <c r="W168" s="154"/>
      <c r="X168" s="155" t="s">
        <v>1694</v>
      </c>
      <c r="Y168" s="155" t="s">
        <v>1423</v>
      </c>
      <c r="Z168" s="155" t="s">
        <v>1442</v>
      </c>
      <c r="AA168" s="273">
        <f t="shared" si="26"/>
        <v>1.9</v>
      </c>
      <c r="AB168" s="273">
        <f t="shared" si="27"/>
        <v>1.9</v>
      </c>
      <c r="AC168" s="156">
        <f t="shared" si="28"/>
        <v>1000</v>
      </c>
      <c r="AD168" s="274">
        <f t="shared" si="29"/>
        <v>1900</v>
      </c>
      <c r="AE168" s="274">
        <f t="shared" ref="AE168:AE194" si="30">AC168*AB168</f>
        <v>1900</v>
      </c>
      <c r="AF168" s="129"/>
    </row>
    <row r="169" spans="1:32">
      <c r="A169" s="253" t="s">
        <v>1523</v>
      </c>
      <c r="B169" s="146" t="s">
        <v>1</v>
      </c>
      <c r="C169" s="155" t="s">
        <v>1704</v>
      </c>
      <c r="D169" s="147">
        <v>212</v>
      </c>
      <c r="E169" s="157" t="s">
        <v>1515</v>
      </c>
      <c r="F169" s="147" t="s">
        <v>106</v>
      </c>
      <c r="G169" s="147" t="s">
        <v>1429</v>
      </c>
      <c r="H169" s="147">
        <v>8</v>
      </c>
      <c r="I169" s="149">
        <f t="shared" si="24"/>
        <v>8</v>
      </c>
      <c r="J169" s="147"/>
      <c r="K169" s="336" t="s">
        <v>55</v>
      </c>
      <c r="L169" s="147"/>
      <c r="M169" s="147"/>
      <c r="N169" s="147" t="s">
        <v>1690</v>
      </c>
      <c r="O169" s="147" t="s">
        <v>98</v>
      </c>
      <c r="P169" s="147">
        <v>1000</v>
      </c>
      <c r="Q169" s="150">
        <f t="shared" si="25"/>
        <v>0</v>
      </c>
      <c r="R169" s="151">
        <v>18</v>
      </c>
      <c r="S169" s="152">
        <v>2100</v>
      </c>
      <c r="T169" s="152">
        <v>2100</v>
      </c>
      <c r="U169" s="153"/>
      <c r="V169" s="154"/>
      <c r="W169" s="154"/>
      <c r="X169" s="155" t="s">
        <v>1694</v>
      </c>
      <c r="Y169" s="155" t="s">
        <v>1423</v>
      </c>
      <c r="Z169" s="155" t="s">
        <v>1442</v>
      </c>
      <c r="AA169" s="273">
        <f t="shared" si="26"/>
        <v>2.1</v>
      </c>
      <c r="AB169" s="273">
        <f t="shared" si="27"/>
        <v>2.1</v>
      </c>
      <c r="AC169" s="156">
        <f t="shared" si="28"/>
        <v>1000</v>
      </c>
      <c r="AD169" s="274">
        <f t="shared" si="29"/>
        <v>2100</v>
      </c>
      <c r="AE169" s="274">
        <f t="shared" si="30"/>
        <v>2100</v>
      </c>
      <c r="AF169" s="129"/>
    </row>
    <row r="170" spans="1:32">
      <c r="A170" s="253" t="s">
        <v>1523</v>
      </c>
      <c r="B170" s="146" t="s">
        <v>1</v>
      </c>
      <c r="C170" s="155" t="s">
        <v>1704</v>
      </c>
      <c r="D170" s="147">
        <v>212</v>
      </c>
      <c r="E170" s="157" t="s">
        <v>1515</v>
      </c>
      <c r="F170" s="147" t="s">
        <v>106</v>
      </c>
      <c r="G170" s="147" t="s">
        <v>1429</v>
      </c>
      <c r="H170" s="147">
        <v>17</v>
      </c>
      <c r="I170" s="149">
        <f t="shared" si="24"/>
        <v>17</v>
      </c>
      <c r="J170" s="147"/>
      <c r="K170" s="336" t="s">
        <v>53</v>
      </c>
      <c r="L170" s="147"/>
      <c r="M170" s="147"/>
      <c r="N170" s="147" t="s">
        <v>1690</v>
      </c>
      <c r="O170" s="147" t="s">
        <v>98</v>
      </c>
      <c r="P170" s="147">
        <v>1000</v>
      </c>
      <c r="Q170" s="150">
        <f t="shared" si="25"/>
        <v>0</v>
      </c>
      <c r="R170" s="151">
        <v>25</v>
      </c>
      <c r="S170" s="152">
        <v>2400</v>
      </c>
      <c r="T170" s="152">
        <v>2400</v>
      </c>
      <c r="U170" s="153"/>
      <c r="V170" s="154"/>
      <c r="W170" s="154"/>
      <c r="X170" s="155" t="s">
        <v>1694</v>
      </c>
      <c r="Y170" s="155" t="s">
        <v>1423</v>
      </c>
      <c r="Z170" s="155" t="s">
        <v>1442</v>
      </c>
      <c r="AA170" s="273">
        <f t="shared" si="26"/>
        <v>2.4</v>
      </c>
      <c r="AB170" s="273">
        <f t="shared" si="27"/>
        <v>2.4</v>
      </c>
      <c r="AC170" s="156">
        <f t="shared" si="28"/>
        <v>1000</v>
      </c>
      <c r="AD170" s="274">
        <f t="shared" si="29"/>
        <v>2400</v>
      </c>
      <c r="AE170" s="274">
        <f t="shared" si="30"/>
        <v>2400</v>
      </c>
      <c r="AF170" s="129"/>
    </row>
    <row r="171" spans="1:32">
      <c r="A171" s="253" t="s">
        <v>1523</v>
      </c>
      <c r="B171" s="146" t="s">
        <v>1</v>
      </c>
      <c r="C171" s="155" t="s">
        <v>1704</v>
      </c>
      <c r="D171" s="147">
        <v>212</v>
      </c>
      <c r="E171" s="157" t="s">
        <v>1515</v>
      </c>
      <c r="F171" s="147" t="s">
        <v>106</v>
      </c>
      <c r="G171" s="147" t="s">
        <v>1429</v>
      </c>
      <c r="H171" s="147">
        <v>22</v>
      </c>
      <c r="I171" s="149">
        <f t="shared" si="24"/>
        <v>22</v>
      </c>
      <c r="J171" s="147"/>
      <c r="K171" s="336" t="s">
        <v>51</v>
      </c>
      <c r="L171" s="147"/>
      <c r="M171" s="147"/>
      <c r="N171" s="147" t="s">
        <v>1690</v>
      </c>
      <c r="O171" s="147" t="s">
        <v>98</v>
      </c>
      <c r="P171" s="147">
        <v>1000</v>
      </c>
      <c r="Q171" s="150">
        <f t="shared" si="25"/>
        <v>0</v>
      </c>
      <c r="R171" s="151">
        <v>14</v>
      </c>
      <c r="S171" s="152">
        <v>5200</v>
      </c>
      <c r="T171" s="152">
        <v>5200</v>
      </c>
      <c r="U171" s="153"/>
      <c r="V171" s="154"/>
      <c r="W171" s="154"/>
      <c r="X171" s="155" t="s">
        <v>1695</v>
      </c>
      <c r="Y171" s="155" t="s">
        <v>1423</v>
      </c>
      <c r="Z171" s="155" t="s">
        <v>1442</v>
      </c>
      <c r="AA171" s="273">
        <f t="shared" si="26"/>
        <v>5.2</v>
      </c>
      <c r="AB171" s="273">
        <f t="shared" si="27"/>
        <v>5.2</v>
      </c>
      <c r="AC171" s="156">
        <f t="shared" si="28"/>
        <v>1000</v>
      </c>
      <c r="AD171" s="274">
        <f t="shared" si="29"/>
        <v>5200</v>
      </c>
      <c r="AE171" s="274">
        <f t="shared" si="30"/>
        <v>5200</v>
      </c>
      <c r="AF171" s="129"/>
    </row>
    <row r="172" spans="1:32">
      <c r="A172" s="253" t="s">
        <v>1523</v>
      </c>
      <c r="B172" s="146" t="s">
        <v>1</v>
      </c>
      <c r="C172" s="155" t="s">
        <v>1704</v>
      </c>
      <c r="D172" s="147">
        <v>212</v>
      </c>
      <c r="E172" s="157" t="s">
        <v>1515</v>
      </c>
      <c r="F172" s="147" t="s">
        <v>106</v>
      </c>
      <c r="G172" s="147" t="s">
        <v>1429</v>
      </c>
      <c r="H172" s="147">
        <v>33</v>
      </c>
      <c r="I172" s="149">
        <f t="shared" si="24"/>
        <v>33</v>
      </c>
      <c r="J172" s="147"/>
      <c r="K172" s="336" t="s">
        <v>59</v>
      </c>
      <c r="L172" s="147"/>
      <c r="M172" s="147"/>
      <c r="N172" s="147" t="s">
        <v>1690</v>
      </c>
      <c r="O172" s="147" t="s">
        <v>98</v>
      </c>
      <c r="P172" s="147">
        <v>1000</v>
      </c>
      <c r="Q172" s="150">
        <f t="shared" si="25"/>
        <v>0</v>
      </c>
      <c r="R172" s="151">
        <v>8</v>
      </c>
      <c r="S172" s="152">
        <v>4200</v>
      </c>
      <c r="T172" s="152">
        <v>4200</v>
      </c>
      <c r="U172" s="153"/>
      <c r="V172" s="154"/>
      <c r="W172" s="154"/>
      <c r="X172" s="155" t="s">
        <v>1695</v>
      </c>
      <c r="Y172" s="155" t="s">
        <v>1423</v>
      </c>
      <c r="Z172" s="155" t="s">
        <v>1442</v>
      </c>
      <c r="AA172" s="273">
        <f t="shared" si="26"/>
        <v>4.2</v>
      </c>
      <c r="AB172" s="273">
        <f t="shared" si="27"/>
        <v>4.2</v>
      </c>
      <c r="AC172" s="156">
        <f t="shared" si="28"/>
        <v>1000</v>
      </c>
      <c r="AD172" s="274">
        <f t="shared" si="29"/>
        <v>4200</v>
      </c>
      <c r="AE172" s="274">
        <f t="shared" si="30"/>
        <v>4200</v>
      </c>
      <c r="AF172" s="129"/>
    </row>
    <row r="173" spans="1:32">
      <c r="A173" s="253" t="s">
        <v>1523</v>
      </c>
      <c r="B173" s="146" t="s">
        <v>1</v>
      </c>
      <c r="C173" s="155" t="s">
        <v>1704</v>
      </c>
      <c r="D173" s="147">
        <v>212</v>
      </c>
      <c r="E173" s="157" t="s">
        <v>1515</v>
      </c>
      <c r="F173" s="147" t="s">
        <v>106</v>
      </c>
      <c r="G173" s="147" t="s">
        <v>1429</v>
      </c>
      <c r="H173" s="147">
        <v>36</v>
      </c>
      <c r="I173" s="149">
        <f t="shared" si="24"/>
        <v>36</v>
      </c>
      <c r="J173" s="147"/>
      <c r="K173" s="336" t="s">
        <v>1340</v>
      </c>
      <c r="L173" s="147" t="s">
        <v>1691</v>
      </c>
      <c r="M173" s="147" t="s">
        <v>9</v>
      </c>
      <c r="N173" s="147" t="s">
        <v>1690</v>
      </c>
      <c r="O173" s="147" t="s">
        <v>98</v>
      </c>
      <c r="P173" s="147">
        <v>1000</v>
      </c>
      <c r="Q173" s="150">
        <f t="shared" si="25"/>
        <v>0</v>
      </c>
      <c r="R173" s="151">
        <v>10</v>
      </c>
      <c r="S173" s="152">
        <v>12500</v>
      </c>
      <c r="T173" s="152">
        <v>12500</v>
      </c>
      <c r="U173" s="153"/>
      <c r="V173" s="154"/>
      <c r="W173" s="154"/>
      <c r="X173" s="155" t="s">
        <v>1703</v>
      </c>
      <c r="Y173" s="155" t="s">
        <v>1423</v>
      </c>
      <c r="Z173" s="155" t="s">
        <v>1442</v>
      </c>
      <c r="AA173" s="273">
        <f t="shared" si="26"/>
        <v>12.5</v>
      </c>
      <c r="AB173" s="273">
        <f t="shared" si="27"/>
        <v>12.5</v>
      </c>
      <c r="AC173" s="156">
        <f t="shared" si="28"/>
        <v>1000</v>
      </c>
      <c r="AD173" s="274">
        <f t="shared" si="29"/>
        <v>12500</v>
      </c>
      <c r="AE173" s="274">
        <f t="shared" si="30"/>
        <v>12500</v>
      </c>
      <c r="AF173" s="129"/>
    </row>
    <row r="174" spans="1:32">
      <c r="A174" s="253" t="s">
        <v>1523</v>
      </c>
      <c r="B174" s="146" t="s">
        <v>1</v>
      </c>
      <c r="C174" s="155" t="s">
        <v>1704</v>
      </c>
      <c r="D174" s="147">
        <v>212</v>
      </c>
      <c r="E174" s="157" t="s">
        <v>1515</v>
      </c>
      <c r="F174" s="147" t="s">
        <v>106</v>
      </c>
      <c r="G174" s="147" t="s">
        <v>1429</v>
      </c>
      <c r="H174" s="147">
        <v>42</v>
      </c>
      <c r="I174" s="149">
        <f t="shared" si="24"/>
        <v>42</v>
      </c>
      <c r="J174" s="147"/>
      <c r="K174" s="336" t="s">
        <v>61</v>
      </c>
      <c r="L174" s="147"/>
      <c r="M174" s="147"/>
      <c r="N174" s="147" t="s">
        <v>1690</v>
      </c>
      <c r="O174" s="147" t="s">
        <v>98</v>
      </c>
      <c r="P174" s="147">
        <v>1000</v>
      </c>
      <c r="Q174" s="150">
        <f t="shared" si="25"/>
        <v>0</v>
      </c>
      <c r="R174" s="151">
        <v>20</v>
      </c>
      <c r="S174" s="152">
        <v>3500</v>
      </c>
      <c r="T174" s="152">
        <v>3500</v>
      </c>
      <c r="U174" s="153"/>
      <c r="V174" s="154"/>
      <c r="W174" s="154"/>
      <c r="X174" s="155" t="s">
        <v>1696</v>
      </c>
      <c r="Y174" s="155" t="s">
        <v>1423</v>
      </c>
      <c r="Z174" s="155" t="s">
        <v>1442</v>
      </c>
      <c r="AA174" s="273">
        <f t="shared" si="26"/>
        <v>3.5</v>
      </c>
      <c r="AB174" s="273">
        <f t="shared" si="27"/>
        <v>3.5</v>
      </c>
      <c r="AC174" s="156">
        <f t="shared" si="28"/>
        <v>1000</v>
      </c>
      <c r="AD174" s="274">
        <f t="shared" si="29"/>
        <v>3500</v>
      </c>
      <c r="AE174" s="274">
        <f t="shared" si="30"/>
        <v>3500</v>
      </c>
      <c r="AF174" s="129"/>
    </row>
    <row r="175" spans="1:32">
      <c r="A175" s="253" t="s">
        <v>1523</v>
      </c>
      <c r="B175" s="146" t="s">
        <v>1</v>
      </c>
      <c r="C175" s="155" t="s">
        <v>1704</v>
      </c>
      <c r="D175" s="147">
        <v>212</v>
      </c>
      <c r="E175" s="157" t="s">
        <v>1515</v>
      </c>
      <c r="F175" s="147" t="s">
        <v>106</v>
      </c>
      <c r="G175" s="147" t="s">
        <v>1429</v>
      </c>
      <c r="H175" s="147">
        <v>43</v>
      </c>
      <c r="I175" s="149">
        <f t="shared" si="24"/>
        <v>43</v>
      </c>
      <c r="J175" s="147"/>
      <c r="K175" s="336" t="s">
        <v>62</v>
      </c>
      <c r="L175" s="147"/>
      <c r="M175" s="147"/>
      <c r="N175" s="147" t="s">
        <v>1690</v>
      </c>
      <c r="O175" s="147" t="s">
        <v>98</v>
      </c>
      <c r="P175" s="147">
        <v>1000</v>
      </c>
      <c r="Q175" s="150">
        <f t="shared" si="25"/>
        <v>0</v>
      </c>
      <c r="R175" s="151">
        <v>14</v>
      </c>
      <c r="S175" s="152">
        <v>3500</v>
      </c>
      <c r="T175" s="152">
        <v>3500</v>
      </c>
      <c r="U175" s="153"/>
      <c r="V175" s="154"/>
      <c r="W175" s="154"/>
      <c r="X175" s="155" t="s">
        <v>1697</v>
      </c>
      <c r="Y175" s="155" t="s">
        <v>1423</v>
      </c>
      <c r="Z175" s="155" t="s">
        <v>1442</v>
      </c>
      <c r="AA175" s="273">
        <f t="shared" si="26"/>
        <v>3.5</v>
      </c>
      <c r="AB175" s="273">
        <f t="shared" si="27"/>
        <v>3.5</v>
      </c>
      <c r="AC175" s="156">
        <f t="shared" si="28"/>
        <v>1000</v>
      </c>
      <c r="AD175" s="274">
        <f t="shared" si="29"/>
        <v>3500</v>
      </c>
      <c r="AE175" s="274">
        <f t="shared" si="30"/>
        <v>3500</v>
      </c>
      <c r="AF175" s="129"/>
    </row>
    <row r="176" spans="1:32">
      <c r="A176" s="253" t="s">
        <v>1523</v>
      </c>
      <c r="B176" s="146" t="s">
        <v>1</v>
      </c>
      <c r="C176" s="155" t="s">
        <v>1704</v>
      </c>
      <c r="D176" s="147">
        <v>212</v>
      </c>
      <c r="E176" s="157" t="s">
        <v>1515</v>
      </c>
      <c r="F176" s="147" t="s">
        <v>106</v>
      </c>
      <c r="G176" s="147" t="s">
        <v>1429</v>
      </c>
      <c r="H176" s="147">
        <v>46</v>
      </c>
      <c r="I176" s="149">
        <f t="shared" si="24"/>
        <v>46</v>
      </c>
      <c r="J176" s="147"/>
      <c r="K176" s="336" t="s">
        <v>64</v>
      </c>
      <c r="L176" s="147">
        <v>100</v>
      </c>
      <c r="M176" s="147" t="s">
        <v>9</v>
      </c>
      <c r="N176" s="147" t="s">
        <v>1400</v>
      </c>
      <c r="O176" s="147" t="s">
        <v>98</v>
      </c>
      <c r="P176" s="147">
        <v>200</v>
      </c>
      <c r="Q176" s="150">
        <f t="shared" si="25"/>
        <v>0</v>
      </c>
      <c r="R176" s="151">
        <v>1</v>
      </c>
      <c r="S176" s="152">
        <v>750</v>
      </c>
      <c r="T176" s="152">
        <v>750</v>
      </c>
      <c r="U176" s="153"/>
      <c r="V176" s="154"/>
      <c r="W176" s="154"/>
      <c r="X176" s="155" t="s">
        <v>1698</v>
      </c>
      <c r="Y176" s="155" t="s">
        <v>1423</v>
      </c>
      <c r="Z176" s="155" t="s">
        <v>1442</v>
      </c>
      <c r="AA176" s="273">
        <f t="shared" si="26"/>
        <v>3.75</v>
      </c>
      <c r="AB176" s="273">
        <f t="shared" si="27"/>
        <v>3.75</v>
      </c>
      <c r="AC176" s="156">
        <f t="shared" si="28"/>
        <v>200</v>
      </c>
      <c r="AD176" s="274">
        <f t="shared" si="29"/>
        <v>750</v>
      </c>
      <c r="AE176" s="274">
        <f t="shared" si="30"/>
        <v>750</v>
      </c>
      <c r="AF176" s="129"/>
    </row>
    <row r="177" spans="1:32">
      <c r="A177" s="253" t="s">
        <v>1523</v>
      </c>
      <c r="B177" s="146" t="s">
        <v>1</v>
      </c>
      <c r="C177" s="155" t="s">
        <v>1704</v>
      </c>
      <c r="D177" s="147">
        <v>212</v>
      </c>
      <c r="E177" s="157" t="s">
        <v>1515</v>
      </c>
      <c r="F177" s="147" t="s">
        <v>106</v>
      </c>
      <c r="G177" s="147" t="s">
        <v>1429</v>
      </c>
      <c r="H177" s="147">
        <v>58</v>
      </c>
      <c r="I177" s="149">
        <f t="shared" si="24"/>
        <v>58</v>
      </c>
      <c r="J177" s="147"/>
      <c r="K177" s="336" t="s">
        <v>67</v>
      </c>
      <c r="L177" s="147">
        <v>100</v>
      </c>
      <c r="M177" s="147" t="s">
        <v>9</v>
      </c>
      <c r="N177" s="147" t="s">
        <v>1519</v>
      </c>
      <c r="O177" s="147" t="s">
        <v>98</v>
      </c>
      <c r="P177" s="147">
        <v>220</v>
      </c>
      <c r="Q177" s="150">
        <f t="shared" si="25"/>
        <v>0</v>
      </c>
      <c r="R177" s="151">
        <v>1</v>
      </c>
      <c r="S177" s="152">
        <v>900</v>
      </c>
      <c r="T177" s="152">
        <v>900</v>
      </c>
      <c r="U177" s="153"/>
      <c r="V177" s="154"/>
      <c r="W177" s="154"/>
      <c r="X177" s="155" t="s">
        <v>1699</v>
      </c>
      <c r="Y177" s="155" t="s">
        <v>1423</v>
      </c>
      <c r="Z177" s="155" t="s">
        <v>1442</v>
      </c>
      <c r="AA177" s="273">
        <f t="shared" si="26"/>
        <v>4.0909090909090908</v>
      </c>
      <c r="AB177" s="273">
        <f t="shared" si="27"/>
        <v>4.0909090909090908</v>
      </c>
      <c r="AC177" s="156">
        <f t="shared" si="28"/>
        <v>220</v>
      </c>
      <c r="AD177" s="274">
        <f t="shared" si="29"/>
        <v>900</v>
      </c>
      <c r="AE177" s="274">
        <f t="shared" si="30"/>
        <v>900</v>
      </c>
      <c r="AF177" s="129"/>
    </row>
    <row r="178" spans="1:32">
      <c r="A178" s="253" t="s">
        <v>1523</v>
      </c>
      <c r="B178" s="146" t="s">
        <v>1</v>
      </c>
      <c r="C178" s="155" t="s">
        <v>1704</v>
      </c>
      <c r="D178" s="147">
        <v>212</v>
      </c>
      <c r="E178" s="157" t="s">
        <v>1515</v>
      </c>
      <c r="F178" s="147" t="s">
        <v>106</v>
      </c>
      <c r="G178" s="147" t="s">
        <v>1429</v>
      </c>
      <c r="H178" s="147">
        <v>59</v>
      </c>
      <c r="I178" s="149">
        <f t="shared" si="24"/>
        <v>59</v>
      </c>
      <c r="J178" s="147"/>
      <c r="K178" s="336" t="s">
        <v>99</v>
      </c>
      <c r="L178" s="147">
        <v>100</v>
      </c>
      <c r="M178" s="147" t="s">
        <v>9</v>
      </c>
      <c r="N178" s="147" t="s">
        <v>1690</v>
      </c>
      <c r="O178" s="147" t="s">
        <v>98</v>
      </c>
      <c r="P178" s="147">
        <v>1000</v>
      </c>
      <c r="Q178" s="150">
        <f t="shared" si="25"/>
        <v>0</v>
      </c>
      <c r="R178" s="151">
        <v>10</v>
      </c>
      <c r="S178" s="152">
        <v>4900</v>
      </c>
      <c r="T178" s="152">
        <v>4900</v>
      </c>
      <c r="U178" s="153"/>
      <c r="V178" s="154"/>
      <c r="W178" s="154"/>
      <c r="X178" s="155" t="s">
        <v>1700</v>
      </c>
      <c r="Y178" s="155" t="s">
        <v>1423</v>
      </c>
      <c r="Z178" s="155" t="s">
        <v>1442</v>
      </c>
      <c r="AA178" s="273">
        <f t="shared" si="26"/>
        <v>4.9000000000000004</v>
      </c>
      <c r="AB178" s="273">
        <f t="shared" si="27"/>
        <v>4.9000000000000004</v>
      </c>
      <c r="AC178" s="156">
        <f t="shared" si="28"/>
        <v>1000</v>
      </c>
      <c r="AD178" s="274">
        <f t="shared" si="29"/>
        <v>4900</v>
      </c>
      <c r="AE178" s="274">
        <f t="shared" si="30"/>
        <v>4900</v>
      </c>
      <c r="AF178" s="129"/>
    </row>
    <row r="179" spans="1:32">
      <c r="A179" s="253" t="s">
        <v>1523</v>
      </c>
      <c r="B179" s="146" t="s">
        <v>1</v>
      </c>
      <c r="C179" s="155" t="s">
        <v>1704</v>
      </c>
      <c r="D179" s="147">
        <v>212</v>
      </c>
      <c r="E179" s="157" t="s">
        <v>1515</v>
      </c>
      <c r="F179" s="147" t="s">
        <v>106</v>
      </c>
      <c r="G179" s="147" t="s">
        <v>1429</v>
      </c>
      <c r="H179" s="147">
        <v>69</v>
      </c>
      <c r="I179" s="149">
        <f t="shared" si="24"/>
        <v>69</v>
      </c>
      <c r="J179" s="147"/>
      <c r="K179" s="336" t="s">
        <v>70</v>
      </c>
      <c r="L179" s="147">
        <v>100</v>
      </c>
      <c r="M179" s="147" t="s">
        <v>9</v>
      </c>
      <c r="N179" s="147" t="s">
        <v>1520</v>
      </c>
      <c r="O179" s="147" t="s">
        <v>98</v>
      </c>
      <c r="P179" s="147">
        <v>400</v>
      </c>
      <c r="Q179" s="150">
        <f t="shared" si="25"/>
        <v>0</v>
      </c>
      <c r="R179" s="151">
        <v>25</v>
      </c>
      <c r="S179" s="152">
        <v>1600</v>
      </c>
      <c r="T179" s="152">
        <v>1600</v>
      </c>
      <c r="U179" s="153"/>
      <c r="V179" s="154"/>
      <c r="W179" s="154"/>
      <c r="X179" s="155" t="s">
        <v>1701</v>
      </c>
      <c r="Y179" s="155" t="s">
        <v>1423</v>
      </c>
      <c r="Z179" s="155" t="s">
        <v>1442</v>
      </c>
      <c r="AA179" s="273">
        <f t="shared" si="26"/>
        <v>4</v>
      </c>
      <c r="AB179" s="273">
        <f t="shared" si="27"/>
        <v>4</v>
      </c>
      <c r="AC179" s="156">
        <f t="shared" si="28"/>
        <v>400</v>
      </c>
      <c r="AD179" s="274">
        <f t="shared" si="29"/>
        <v>1600</v>
      </c>
      <c r="AE179" s="274">
        <f t="shared" si="30"/>
        <v>1600</v>
      </c>
      <c r="AF179" s="129"/>
    </row>
    <row r="180" spans="1:32">
      <c r="A180" s="253" t="s">
        <v>1523</v>
      </c>
      <c r="B180" s="146" t="s">
        <v>1</v>
      </c>
      <c r="C180" s="155" t="s">
        <v>1704</v>
      </c>
      <c r="D180" s="147">
        <v>212</v>
      </c>
      <c r="E180" s="157" t="s">
        <v>1515</v>
      </c>
      <c r="F180" s="147" t="s">
        <v>106</v>
      </c>
      <c r="G180" s="147" t="s">
        <v>1429</v>
      </c>
      <c r="H180" s="147">
        <v>70</v>
      </c>
      <c r="I180" s="149">
        <f t="shared" si="24"/>
        <v>70</v>
      </c>
      <c r="J180" s="147"/>
      <c r="K180" s="336" t="s">
        <v>71</v>
      </c>
      <c r="L180" s="147">
        <v>100</v>
      </c>
      <c r="M180" s="147" t="s">
        <v>9</v>
      </c>
      <c r="N180" s="147" t="s">
        <v>1690</v>
      </c>
      <c r="O180" s="147" t="s">
        <v>98</v>
      </c>
      <c r="P180" s="147">
        <v>1000</v>
      </c>
      <c r="Q180" s="150">
        <f t="shared" si="25"/>
        <v>0</v>
      </c>
      <c r="R180" s="151">
        <v>8</v>
      </c>
      <c r="S180" s="152">
        <v>7500</v>
      </c>
      <c r="T180" s="152">
        <v>7500</v>
      </c>
      <c r="U180" s="153"/>
      <c r="V180" s="154"/>
      <c r="W180" s="154"/>
      <c r="X180" s="155" t="s">
        <v>1702</v>
      </c>
      <c r="Y180" s="155" t="s">
        <v>1423</v>
      </c>
      <c r="Z180" s="155" t="s">
        <v>1442</v>
      </c>
      <c r="AA180" s="273">
        <f t="shared" si="26"/>
        <v>7.5</v>
      </c>
      <c r="AB180" s="273">
        <f t="shared" si="27"/>
        <v>7.5</v>
      </c>
      <c r="AC180" s="156">
        <f t="shared" si="28"/>
        <v>1000</v>
      </c>
      <c r="AD180" s="274">
        <f t="shared" si="29"/>
        <v>7500</v>
      </c>
      <c r="AE180" s="274">
        <f t="shared" si="30"/>
        <v>7500</v>
      </c>
      <c r="AF180" s="129"/>
    </row>
    <row r="181" spans="1:32">
      <c r="A181" s="253" t="s">
        <v>1523</v>
      </c>
      <c r="B181" s="146" t="s">
        <v>1</v>
      </c>
      <c r="C181" s="155" t="s">
        <v>1704</v>
      </c>
      <c r="D181" s="147">
        <v>222</v>
      </c>
      <c r="E181" s="157" t="s">
        <v>1646</v>
      </c>
      <c r="F181" s="147" t="s">
        <v>106</v>
      </c>
      <c r="G181" s="147" t="s">
        <v>1429</v>
      </c>
      <c r="H181" s="147">
        <v>7</v>
      </c>
      <c r="I181" s="149">
        <f t="shared" si="24"/>
        <v>7</v>
      </c>
      <c r="J181" s="147"/>
      <c r="K181" s="336" t="s">
        <v>57</v>
      </c>
      <c r="L181" s="147">
        <v>100</v>
      </c>
      <c r="M181" s="147" t="s">
        <v>9</v>
      </c>
      <c r="N181" s="147" t="s">
        <v>1690</v>
      </c>
      <c r="O181" s="147" t="s">
        <v>98</v>
      </c>
      <c r="P181" s="147">
        <v>1000</v>
      </c>
      <c r="Q181" s="150">
        <f t="shared" si="25"/>
        <v>0</v>
      </c>
      <c r="R181" s="151"/>
      <c r="S181" s="152">
        <v>4620</v>
      </c>
      <c r="T181" s="152">
        <v>4620</v>
      </c>
      <c r="U181" s="153"/>
      <c r="V181" s="154"/>
      <c r="W181" s="154"/>
      <c r="X181" s="155" t="s">
        <v>1692</v>
      </c>
      <c r="Y181" s="155" t="s">
        <v>1423</v>
      </c>
      <c r="Z181" s="155" t="s">
        <v>1442</v>
      </c>
      <c r="AA181" s="273">
        <f t="shared" si="26"/>
        <v>4.62</v>
      </c>
      <c r="AB181" s="273">
        <f t="shared" si="27"/>
        <v>4.62</v>
      </c>
      <c r="AC181" s="156">
        <f t="shared" si="28"/>
        <v>1000</v>
      </c>
      <c r="AD181" s="274">
        <f t="shared" si="29"/>
        <v>4620</v>
      </c>
      <c r="AE181" s="274">
        <f t="shared" si="30"/>
        <v>4620</v>
      </c>
      <c r="AF181" s="129"/>
    </row>
    <row r="182" spans="1:32">
      <c r="A182" s="253" t="s">
        <v>1523</v>
      </c>
      <c r="B182" s="146" t="s">
        <v>1</v>
      </c>
      <c r="C182" s="155" t="s">
        <v>1704</v>
      </c>
      <c r="D182" s="147">
        <v>222</v>
      </c>
      <c r="E182" s="157" t="s">
        <v>1646</v>
      </c>
      <c r="F182" s="147" t="s">
        <v>106</v>
      </c>
      <c r="G182" s="147" t="s">
        <v>1429</v>
      </c>
      <c r="H182" s="147">
        <v>8</v>
      </c>
      <c r="I182" s="149">
        <f t="shared" si="24"/>
        <v>8</v>
      </c>
      <c r="J182" s="147"/>
      <c r="K182" s="336" t="s">
        <v>55</v>
      </c>
      <c r="L182" s="147">
        <v>100</v>
      </c>
      <c r="M182" s="147" t="s">
        <v>9</v>
      </c>
      <c r="N182" s="147" t="s">
        <v>1690</v>
      </c>
      <c r="O182" s="147" t="s">
        <v>98</v>
      </c>
      <c r="P182" s="147">
        <v>1000</v>
      </c>
      <c r="Q182" s="150">
        <f t="shared" si="25"/>
        <v>0</v>
      </c>
      <c r="R182" s="151"/>
      <c r="S182" s="152">
        <v>5200</v>
      </c>
      <c r="T182" s="152">
        <v>5200</v>
      </c>
      <c r="U182" s="153"/>
      <c r="V182" s="154"/>
      <c r="W182" s="154"/>
      <c r="X182" s="155" t="s">
        <v>1692</v>
      </c>
      <c r="Y182" s="155" t="s">
        <v>1423</v>
      </c>
      <c r="Z182" s="155" t="s">
        <v>1442</v>
      </c>
      <c r="AA182" s="273">
        <f t="shared" si="26"/>
        <v>5.2</v>
      </c>
      <c r="AB182" s="273">
        <f t="shared" si="27"/>
        <v>5.2</v>
      </c>
      <c r="AC182" s="156">
        <f t="shared" si="28"/>
        <v>1000</v>
      </c>
      <c r="AD182" s="274">
        <f t="shared" si="29"/>
        <v>5200</v>
      </c>
      <c r="AE182" s="274">
        <f t="shared" si="30"/>
        <v>5200</v>
      </c>
      <c r="AF182" s="129"/>
    </row>
    <row r="183" spans="1:32">
      <c r="A183" s="253" t="s">
        <v>1523</v>
      </c>
      <c r="B183" s="146" t="s">
        <v>1</v>
      </c>
      <c r="C183" s="155" t="s">
        <v>1704</v>
      </c>
      <c r="D183" s="147">
        <v>222</v>
      </c>
      <c r="E183" s="157" t="s">
        <v>1646</v>
      </c>
      <c r="F183" s="147" t="s">
        <v>106</v>
      </c>
      <c r="G183" s="147" t="s">
        <v>1429</v>
      </c>
      <c r="H183" s="147">
        <v>17</v>
      </c>
      <c r="I183" s="149">
        <f t="shared" si="24"/>
        <v>17</v>
      </c>
      <c r="J183" s="147"/>
      <c r="K183" s="336" t="s">
        <v>53</v>
      </c>
      <c r="L183" s="147">
        <v>100</v>
      </c>
      <c r="M183" s="147" t="s">
        <v>9</v>
      </c>
      <c r="N183" s="147" t="s">
        <v>1690</v>
      </c>
      <c r="O183" s="147" t="s">
        <v>98</v>
      </c>
      <c r="P183" s="147">
        <v>1000</v>
      </c>
      <c r="Q183" s="150">
        <f t="shared" si="25"/>
        <v>0</v>
      </c>
      <c r="R183" s="151"/>
      <c r="S183" s="152">
        <v>7090</v>
      </c>
      <c r="T183" s="152">
        <v>7090</v>
      </c>
      <c r="U183" s="153"/>
      <c r="V183" s="154"/>
      <c r="W183" s="154"/>
      <c r="X183" s="155" t="s">
        <v>1692</v>
      </c>
      <c r="Y183" s="155" t="s">
        <v>1423</v>
      </c>
      <c r="Z183" s="155" t="s">
        <v>1442</v>
      </c>
      <c r="AA183" s="273">
        <f t="shared" si="26"/>
        <v>7.09</v>
      </c>
      <c r="AB183" s="273">
        <f t="shared" si="27"/>
        <v>7.09</v>
      </c>
      <c r="AC183" s="156">
        <f t="shared" si="28"/>
        <v>1000</v>
      </c>
      <c r="AD183" s="274">
        <f t="shared" si="29"/>
        <v>7090</v>
      </c>
      <c r="AE183" s="274">
        <f t="shared" si="30"/>
        <v>7090</v>
      </c>
      <c r="AF183" s="129"/>
    </row>
    <row r="184" spans="1:32">
      <c r="A184" s="253" t="s">
        <v>1523</v>
      </c>
      <c r="B184" s="146" t="s">
        <v>1</v>
      </c>
      <c r="C184" s="155" t="s">
        <v>1704</v>
      </c>
      <c r="D184" s="147">
        <v>222</v>
      </c>
      <c r="E184" s="157" t="s">
        <v>1646</v>
      </c>
      <c r="F184" s="147" t="s">
        <v>106</v>
      </c>
      <c r="G184" s="147" t="s">
        <v>1429</v>
      </c>
      <c r="H184" s="147">
        <v>22</v>
      </c>
      <c r="I184" s="149">
        <f t="shared" si="24"/>
        <v>22</v>
      </c>
      <c r="J184" s="147"/>
      <c r="K184" s="336" t="s">
        <v>51</v>
      </c>
      <c r="L184" s="147">
        <v>100</v>
      </c>
      <c r="M184" s="147" t="s">
        <v>9</v>
      </c>
      <c r="N184" s="147" t="s">
        <v>1690</v>
      </c>
      <c r="O184" s="147" t="s">
        <v>98</v>
      </c>
      <c r="P184" s="147">
        <v>1000</v>
      </c>
      <c r="Q184" s="150">
        <f t="shared" si="25"/>
        <v>0</v>
      </c>
      <c r="R184" s="151"/>
      <c r="S184" s="152">
        <v>11150</v>
      </c>
      <c r="T184" s="152">
        <v>11150</v>
      </c>
      <c r="U184" s="153"/>
      <c r="V184" s="154"/>
      <c r="W184" s="154"/>
      <c r="X184" s="155" t="s">
        <v>1692</v>
      </c>
      <c r="Y184" s="155" t="s">
        <v>1423</v>
      </c>
      <c r="Z184" s="155" t="s">
        <v>1442</v>
      </c>
      <c r="AA184" s="273">
        <f t="shared" si="26"/>
        <v>11.15</v>
      </c>
      <c r="AB184" s="273">
        <f t="shared" si="27"/>
        <v>11.15</v>
      </c>
      <c r="AC184" s="156">
        <f t="shared" si="28"/>
        <v>1000</v>
      </c>
      <c r="AD184" s="274">
        <f t="shared" si="29"/>
        <v>11150</v>
      </c>
      <c r="AE184" s="274">
        <f t="shared" si="30"/>
        <v>11150</v>
      </c>
      <c r="AF184" s="129"/>
    </row>
    <row r="185" spans="1:32">
      <c r="A185" s="253" t="s">
        <v>1523</v>
      </c>
      <c r="B185" s="146" t="s">
        <v>1</v>
      </c>
      <c r="C185" s="155" t="s">
        <v>1704</v>
      </c>
      <c r="D185" s="147">
        <v>222</v>
      </c>
      <c r="E185" s="157" t="s">
        <v>1646</v>
      </c>
      <c r="F185" s="147" t="s">
        <v>106</v>
      </c>
      <c r="G185" s="147" t="s">
        <v>1429</v>
      </c>
      <c r="H185" s="147">
        <v>33</v>
      </c>
      <c r="I185" s="149">
        <f t="shared" si="24"/>
        <v>33</v>
      </c>
      <c r="J185" s="147"/>
      <c r="K185" s="336" t="s">
        <v>59</v>
      </c>
      <c r="L185" s="147">
        <v>100</v>
      </c>
      <c r="M185" s="147" t="s">
        <v>9</v>
      </c>
      <c r="N185" s="147" t="s">
        <v>1690</v>
      </c>
      <c r="O185" s="147" t="s">
        <v>98</v>
      </c>
      <c r="P185" s="147">
        <v>1000</v>
      </c>
      <c r="Q185" s="150">
        <f t="shared" si="25"/>
        <v>0</v>
      </c>
      <c r="R185" s="151"/>
      <c r="S185" s="152">
        <v>8830</v>
      </c>
      <c r="T185" s="152">
        <v>8830</v>
      </c>
      <c r="U185" s="153"/>
      <c r="V185" s="154"/>
      <c r="W185" s="154"/>
      <c r="X185" s="155" t="s">
        <v>1692</v>
      </c>
      <c r="Y185" s="155" t="s">
        <v>1423</v>
      </c>
      <c r="Z185" s="155" t="s">
        <v>1442</v>
      </c>
      <c r="AA185" s="273">
        <f t="shared" si="26"/>
        <v>8.83</v>
      </c>
      <c r="AB185" s="273">
        <f t="shared" si="27"/>
        <v>8.83</v>
      </c>
      <c r="AC185" s="156">
        <f t="shared" si="28"/>
        <v>1000</v>
      </c>
      <c r="AD185" s="274">
        <f t="shared" si="29"/>
        <v>8830</v>
      </c>
      <c r="AE185" s="274">
        <f t="shared" si="30"/>
        <v>8830</v>
      </c>
      <c r="AF185" s="129"/>
    </row>
    <row r="186" spans="1:32">
      <c r="A186" s="253" t="s">
        <v>1523</v>
      </c>
      <c r="B186" s="146" t="s">
        <v>1</v>
      </c>
      <c r="C186" s="155" t="s">
        <v>1704</v>
      </c>
      <c r="D186" s="147">
        <v>222</v>
      </c>
      <c r="E186" s="157" t="s">
        <v>1646</v>
      </c>
      <c r="F186" s="147" t="s">
        <v>106</v>
      </c>
      <c r="G186" s="147" t="s">
        <v>1429</v>
      </c>
      <c r="H186" s="147">
        <v>36</v>
      </c>
      <c r="I186" s="149">
        <f t="shared" si="24"/>
        <v>36</v>
      </c>
      <c r="J186" s="147"/>
      <c r="K186" s="336" t="s">
        <v>1340</v>
      </c>
      <c r="L186" s="147">
        <v>20</v>
      </c>
      <c r="M186" s="147" t="s">
        <v>9</v>
      </c>
      <c r="N186" s="147" t="s">
        <v>1690</v>
      </c>
      <c r="O186" s="147" t="s">
        <v>98</v>
      </c>
      <c r="P186" s="147">
        <v>1000</v>
      </c>
      <c r="Q186" s="150">
        <f t="shared" si="25"/>
        <v>0</v>
      </c>
      <c r="R186" s="151"/>
      <c r="S186" s="152">
        <v>9650</v>
      </c>
      <c r="T186" s="152">
        <v>9650</v>
      </c>
      <c r="U186" s="153"/>
      <c r="V186" s="154"/>
      <c r="W186" s="154"/>
      <c r="X186" s="155" t="s">
        <v>1692</v>
      </c>
      <c r="Y186" s="155" t="s">
        <v>1423</v>
      </c>
      <c r="Z186" s="155" t="s">
        <v>1442</v>
      </c>
      <c r="AA186" s="273">
        <f t="shared" si="26"/>
        <v>9.65</v>
      </c>
      <c r="AB186" s="273">
        <f t="shared" si="27"/>
        <v>9.65</v>
      </c>
      <c r="AC186" s="156">
        <f t="shared" si="28"/>
        <v>1000</v>
      </c>
      <c r="AD186" s="274">
        <f t="shared" si="29"/>
        <v>9650</v>
      </c>
      <c r="AE186" s="274">
        <f t="shared" si="30"/>
        <v>9650</v>
      </c>
      <c r="AF186" s="129"/>
    </row>
    <row r="187" spans="1:32">
      <c r="A187" s="253" t="s">
        <v>1523</v>
      </c>
      <c r="B187" s="146" t="s">
        <v>1</v>
      </c>
      <c r="C187" s="155" t="s">
        <v>1704</v>
      </c>
      <c r="D187" s="147">
        <v>222</v>
      </c>
      <c r="E187" s="157" t="s">
        <v>1646</v>
      </c>
      <c r="F187" s="147" t="s">
        <v>106</v>
      </c>
      <c r="G187" s="147" t="s">
        <v>1429</v>
      </c>
      <c r="H187" s="147">
        <v>36</v>
      </c>
      <c r="I187" s="149">
        <f t="shared" si="24"/>
        <v>36</v>
      </c>
      <c r="J187" s="147"/>
      <c r="K187" s="336" t="s">
        <v>1340</v>
      </c>
      <c r="L187" s="147">
        <v>40</v>
      </c>
      <c r="M187" s="147" t="s">
        <v>9</v>
      </c>
      <c r="N187" s="147" t="s">
        <v>1690</v>
      </c>
      <c r="O187" s="147" t="s">
        <v>98</v>
      </c>
      <c r="P187" s="147">
        <v>1000</v>
      </c>
      <c r="Q187" s="150">
        <f t="shared" si="25"/>
        <v>0</v>
      </c>
      <c r="R187" s="151"/>
      <c r="S187" s="152">
        <v>9650</v>
      </c>
      <c r="T187" s="152">
        <v>9650</v>
      </c>
      <c r="U187" s="153"/>
      <c r="V187" s="154"/>
      <c r="W187" s="154"/>
      <c r="X187" s="155" t="s">
        <v>1692</v>
      </c>
      <c r="Y187" s="155" t="s">
        <v>1423</v>
      </c>
      <c r="Z187" s="155" t="s">
        <v>1442</v>
      </c>
      <c r="AA187" s="273">
        <f t="shared" si="26"/>
        <v>9.65</v>
      </c>
      <c r="AB187" s="273">
        <f t="shared" si="27"/>
        <v>9.65</v>
      </c>
      <c r="AC187" s="156">
        <f t="shared" si="28"/>
        <v>1000</v>
      </c>
      <c r="AD187" s="274">
        <f t="shared" si="29"/>
        <v>9650</v>
      </c>
      <c r="AE187" s="274">
        <f t="shared" si="30"/>
        <v>9650</v>
      </c>
      <c r="AF187" s="129"/>
    </row>
    <row r="188" spans="1:32">
      <c r="A188" s="253" t="s">
        <v>1523</v>
      </c>
      <c r="B188" s="146" t="s">
        <v>1</v>
      </c>
      <c r="C188" s="155" t="s">
        <v>1704</v>
      </c>
      <c r="D188" s="147">
        <v>222</v>
      </c>
      <c r="E188" s="157" t="s">
        <v>1646</v>
      </c>
      <c r="F188" s="147" t="s">
        <v>106</v>
      </c>
      <c r="G188" s="147" t="s">
        <v>1429</v>
      </c>
      <c r="H188" s="147">
        <v>42</v>
      </c>
      <c r="I188" s="149">
        <f t="shared" si="24"/>
        <v>42</v>
      </c>
      <c r="J188" s="147"/>
      <c r="K188" s="336" t="s">
        <v>61</v>
      </c>
      <c r="L188" s="147">
        <v>100</v>
      </c>
      <c r="M188" s="147" t="s">
        <v>9</v>
      </c>
      <c r="N188" s="147" t="s">
        <v>1690</v>
      </c>
      <c r="O188" s="147" t="s">
        <v>98</v>
      </c>
      <c r="P188" s="147">
        <v>1000</v>
      </c>
      <c r="Q188" s="150">
        <f t="shared" si="25"/>
        <v>0</v>
      </c>
      <c r="R188" s="151"/>
      <c r="S188" s="152">
        <v>8100</v>
      </c>
      <c r="T188" s="152">
        <v>8100</v>
      </c>
      <c r="U188" s="153"/>
      <c r="V188" s="154"/>
      <c r="W188" s="154"/>
      <c r="X188" s="155" t="s">
        <v>1692</v>
      </c>
      <c r="Y188" s="155" t="s">
        <v>1423</v>
      </c>
      <c r="Z188" s="155" t="s">
        <v>1442</v>
      </c>
      <c r="AA188" s="273">
        <f t="shared" si="26"/>
        <v>8.1</v>
      </c>
      <c r="AB188" s="273">
        <f t="shared" si="27"/>
        <v>8.1</v>
      </c>
      <c r="AC188" s="156">
        <f t="shared" si="28"/>
        <v>1000</v>
      </c>
      <c r="AD188" s="274">
        <f t="shared" si="29"/>
        <v>8100</v>
      </c>
      <c r="AE188" s="274">
        <f t="shared" si="30"/>
        <v>8100</v>
      </c>
      <c r="AF188" s="129"/>
    </row>
    <row r="189" spans="1:32">
      <c r="A189" s="253" t="s">
        <v>1523</v>
      </c>
      <c r="B189" s="146" t="s">
        <v>1</v>
      </c>
      <c r="C189" s="155" t="s">
        <v>1704</v>
      </c>
      <c r="D189" s="147">
        <v>222</v>
      </c>
      <c r="E189" s="157" t="s">
        <v>1646</v>
      </c>
      <c r="F189" s="147" t="s">
        <v>106</v>
      </c>
      <c r="G189" s="147" t="s">
        <v>1429</v>
      </c>
      <c r="H189" s="147">
        <v>43</v>
      </c>
      <c r="I189" s="149">
        <f t="shared" si="24"/>
        <v>43</v>
      </c>
      <c r="J189" s="147"/>
      <c r="K189" s="336" t="s">
        <v>62</v>
      </c>
      <c r="L189" s="147">
        <v>100</v>
      </c>
      <c r="M189" s="147" t="s">
        <v>9</v>
      </c>
      <c r="N189" s="147" t="s">
        <v>1690</v>
      </c>
      <c r="O189" s="147" t="s">
        <v>98</v>
      </c>
      <c r="P189" s="147">
        <v>1000</v>
      </c>
      <c r="Q189" s="150">
        <f t="shared" si="25"/>
        <v>0</v>
      </c>
      <c r="R189" s="151"/>
      <c r="S189" s="152">
        <v>9410</v>
      </c>
      <c r="T189" s="152">
        <v>9410</v>
      </c>
      <c r="U189" s="153"/>
      <c r="V189" s="154"/>
      <c r="W189" s="154"/>
      <c r="X189" s="155" t="s">
        <v>1692</v>
      </c>
      <c r="Y189" s="155" t="s">
        <v>1423</v>
      </c>
      <c r="Z189" s="155" t="s">
        <v>1442</v>
      </c>
      <c r="AA189" s="273">
        <f t="shared" si="26"/>
        <v>9.41</v>
      </c>
      <c r="AB189" s="273">
        <f t="shared" si="27"/>
        <v>9.41</v>
      </c>
      <c r="AC189" s="156">
        <f t="shared" si="28"/>
        <v>1000</v>
      </c>
      <c r="AD189" s="274">
        <f t="shared" si="29"/>
        <v>9410</v>
      </c>
      <c r="AE189" s="274">
        <f t="shared" si="30"/>
        <v>9410</v>
      </c>
      <c r="AF189" s="129"/>
    </row>
    <row r="190" spans="1:32">
      <c r="A190" s="253" t="s">
        <v>1523</v>
      </c>
      <c r="B190" s="146" t="s">
        <v>1</v>
      </c>
      <c r="C190" s="155" t="s">
        <v>1704</v>
      </c>
      <c r="D190" s="147">
        <v>222</v>
      </c>
      <c r="E190" s="157" t="s">
        <v>1646</v>
      </c>
      <c r="F190" s="147" t="s">
        <v>106</v>
      </c>
      <c r="G190" s="147" t="s">
        <v>1429</v>
      </c>
      <c r="H190" s="147">
        <v>46</v>
      </c>
      <c r="I190" s="149">
        <f t="shared" si="24"/>
        <v>46</v>
      </c>
      <c r="J190" s="147"/>
      <c r="K190" s="336" t="s">
        <v>64</v>
      </c>
      <c r="L190" s="147">
        <v>100</v>
      </c>
      <c r="M190" s="147" t="s">
        <v>9</v>
      </c>
      <c r="N190" s="147" t="s">
        <v>1690</v>
      </c>
      <c r="O190" s="147" t="s">
        <v>98</v>
      </c>
      <c r="P190" s="147">
        <v>1000</v>
      </c>
      <c r="Q190" s="150">
        <f t="shared" si="25"/>
        <v>0</v>
      </c>
      <c r="R190" s="151"/>
      <c r="S190" s="152">
        <v>8000</v>
      </c>
      <c r="T190" s="152">
        <v>8000</v>
      </c>
      <c r="U190" s="153"/>
      <c r="V190" s="154"/>
      <c r="W190" s="154"/>
      <c r="X190" s="155" t="s">
        <v>1692</v>
      </c>
      <c r="Y190" s="155" t="s">
        <v>1423</v>
      </c>
      <c r="Z190" s="155" t="s">
        <v>1442</v>
      </c>
      <c r="AA190" s="273">
        <f t="shared" si="26"/>
        <v>8</v>
      </c>
      <c r="AB190" s="273">
        <f t="shared" si="27"/>
        <v>8</v>
      </c>
      <c r="AC190" s="156">
        <f t="shared" si="28"/>
        <v>1000</v>
      </c>
      <c r="AD190" s="274">
        <f t="shared" si="29"/>
        <v>8000</v>
      </c>
      <c r="AE190" s="274">
        <f t="shared" si="30"/>
        <v>8000</v>
      </c>
      <c r="AF190" s="129"/>
    </row>
    <row r="191" spans="1:32">
      <c r="A191" s="253" t="s">
        <v>1523</v>
      </c>
      <c r="B191" s="146" t="s">
        <v>1</v>
      </c>
      <c r="C191" s="155" t="s">
        <v>1704</v>
      </c>
      <c r="D191" s="147">
        <v>222</v>
      </c>
      <c r="E191" s="157" t="s">
        <v>1646</v>
      </c>
      <c r="F191" s="147" t="s">
        <v>106</v>
      </c>
      <c r="G191" s="147" t="s">
        <v>1429</v>
      </c>
      <c r="H191" s="147">
        <v>58</v>
      </c>
      <c r="I191" s="149">
        <f t="shared" si="24"/>
        <v>58</v>
      </c>
      <c r="J191" s="147"/>
      <c r="K191" s="336" t="s">
        <v>67</v>
      </c>
      <c r="L191" s="147">
        <v>100</v>
      </c>
      <c r="M191" s="147" t="s">
        <v>9</v>
      </c>
      <c r="N191" s="147" t="s">
        <v>1690</v>
      </c>
      <c r="O191" s="147" t="s">
        <v>98</v>
      </c>
      <c r="P191" s="147">
        <v>1000</v>
      </c>
      <c r="Q191" s="150">
        <f t="shared" si="25"/>
        <v>0</v>
      </c>
      <c r="R191" s="151"/>
      <c r="S191" s="152">
        <v>8150</v>
      </c>
      <c r="T191" s="152">
        <v>8150</v>
      </c>
      <c r="U191" s="153"/>
      <c r="V191" s="154"/>
      <c r="W191" s="154"/>
      <c r="X191" s="155" t="s">
        <v>1692</v>
      </c>
      <c r="Y191" s="155" t="s">
        <v>1423</v>
      </c>
      <c r="Z191" s="155" t="s">
        <v>1442</v>
      </c>
      <c r="AA191" s="273">
        <f t="shared" si="26"/>
        <v>8.15</v>
      </c>
      <c r="AB191" s="273">
        <f t="shared" si="27"/>
        <v>8.15</v>
      </c>
      <c r="AC191" s="156">
        <f t="shared" si="28"/>
        <v>1000</v>
      </c>
      <c r="AD191" s="274">
        <f t="shared" si="29"/>
        <v>8150</v>
      </c>
      <c r="AE191" s="274">
        <f t="shared" si="30"/>
        <v>8150</v>
      </c>
      <c r="AF191" s="129"/>
    </row>
    <row r="192" spans="1:32">
      <c r="A192" s="253" t="s">
        <v>1523</v>
      </c>
      <c r="B192" s="146" t="s">
        <v>1</v>
      </c>
      <c r="C192" s="155" t="s">
        <v>1704</v>
      </c>
      <c r="D192" s="147">
        <v>222</v>
      </c>
      <c r="E192" s="157" t="s">
        <v>1646</v>
      </c>
      <c r="F192" s="147" t="s">
        <v>106</v>
      </c>
      <c r="G192" s="147" t="s">
        <v>1429</v>
      </c>
      <c r="H192" s="147">
        <v>59</v>
      </c>
      <c r="I192" s="149">
        <f t="shared" si="24"/>
        <v>59</v>
      </c>
      <c r="J192" s="147"/>
      <c r="K192" s="336" t="s">
        <v>99</v>
      </c>
      <c r="L192" s="147">
        <v>100</v>
      </c>
      <c r="M192" s="147" t="s">
        <v>9</v>
      </c>
      <c r="N192" s="147" t="s">
        <v>1690</v>
      </c>
      <c r="O192" s="147" t="s">
        <v>98</v>
      </c>
      <c r="P192" s="147">
        <v>1000</v>
      </c>
      <c r="Q192" s="150">
        <f t="shared" si="25"/>
        <v>0</v>
      </c>
      <c r="R192" s="151"/>
      <c r="S192" s="152">
        <v>9990</v>
      </c>
      <c r="T192" s="152">
        <v>9990</v>
      </c>
      <c r="U192" s="153"/>
      <c r="V192" s="154"/>
      <c r="W192" s="154"/>
      <c r="X192" s="155" t="s">
        <v>1692</v>
      </c>
      <c r="Y192" s="155" t="s">
        <v>1423</v>
      </c>
      <c r="Z192" s="155" t="s">
        <v>1442</v>
      </c>
      <c r="AA192" s="273">
        <f t="shared" si="26"/>
        <v>9.99</v>
      </c>
      <c r="AB192" s="273">
        <f t="shared" si="27"/>
        <v>9.99</v>
      </c>
      <c r="AC192" s="156">
        <f t="shared" si="28"/>
        <v>1000</v>
      </c>
      <c r="AD192" s="274">
        <f t="shared" si="29"/>
        <v>9990</v>
      </c>
      <c r="AE192" s="274">
        <f t="shared" si="30"/>
        <v>9990</v>
      </c>
      <c r="AF192" s="129"/>
    </row>
    <row r="193" spans="1:32">
      <c r="A193" s="253" t="s">
        <v>1523</v>
      </c>
      <c r="B193" s="146" t="s">
        <v>1</v>
      </c>
      <c r="C193" s="155" t="s">
        <v>1704</v>
      </c>
      <c r="D193" s="147">
        <v>222</v>
      </c>
      <c r="E193" s="157" t="s">
        <v>1646</v>
      </c>
      <c r="F193" s="147" t="s">
        <v>106</v>
      </c>
      <c r="G193" s="147" t="s">
        <v>1429</v>
      </c>
      <c r="H193" s="147">
        <v>69</v>
      </c>
      <c r="I193" s="149">
        <f t="shared" si="24"/>
        <v>69</v>
      </c>
      <c r="J193" s="147"/>
      <c r="K193" s="336" t="s">
        <v>70</v>
      </c>
      <c r="L193" s="147">
        <v>100</v>
      </c>
      <c r="M193" s="147" t="s">
        <v>9</v>
      </c>
      <c r="N193" s="147" t="s">
        <v>1690</v>
      </c>
      <c r="O193" s="147" t="s">
        <v>98</v>
      </c>
      <c r="P193" s="147">
        <v>1000</v>
      </c>
      <c r="Q193" s="150">
        <f t="shared" si="25"/>
        <v>0</v>
      </c>
      <c r="R193" s="151"/>
      <c r="S193" s="152">
        <v>8830</v>
      </c>
      <c r="T193" s="152">
        <v>8830</v>
      </c>
      <c r="U193" s="153"/>
      <c r="V193" s="154"/>
      <c r="W193" s="154"/>
      <c r="X193" s="155" t="s">
        <v>1692</v>
      </c>
      <c r="Y193" s="155" t="s">
        <v>1423</v>
      </c>
      <c r="Z193" s="155" t="s">
        <v>1442</v>
      </c>
      <c r="AA193" s="273">
        <f t="shared" si="26"/>
        <v>8.83</v>
      </c>
      <c r="AB193" s="273">
        <f t="shared" si="27"/>
        <v>8.83</v>
      </c>
      <c r="AC193" s="156">
        <f t="shared" si="28"/>
        <v>1000</v>
      </c>
      <c r="AD193" s="274">
        <f t="shared" si="29"/>
        <v>8830</v>
      </c>
      <c r="AE193" s="274">
        <f t="shared" si="30"/>
        <v>8830</v>
      </c>
      <c r="AF193" s="129"/>
    </row>
    <row r="194" spans="1:32">
      <c r="A194" s="253" t="s">
        <v>1523</v>
      </c>
      <c r="B194" s="146" t="s">
        <v>1</v>
      </c>
      <c r="C194" s="155" t="s">
        <v>1704</v>
      </c>
      <c r="D194" s="147">
        <v>222</v>
      </c>
      <c r="E194" s="157" t="s">
        <v>1646</v>
      </c>
      <c r="F194" s="147" t="s">
        <v>106</v>
      </c>
      <c r="G194" s="147" t="s">
        <v>1429</v>
      </c>
      <c r="H194" s="147">
        <v>70</v>
      </c>
      <c r="I194" s="149">
        <f t="shared" si="24"/>
        <v>70</v>
      </c>
      <c r="J194" s="147"/>
      <c r="K194" s="336" t="s">
        <v>71</v>
      </c>
      <c r="L194" s="147">
        <v>100</v>
      </c>
      <c r="M194" s="147" t="s">
        <v>9</v>
      </c>
      <c r="N194" s="147" t="s">
        <v>1690</v>
      </c>
      <c r="O194" s="147" t="s">
        <v>98</v>
      </c>
      <c r="P194" s="147">
        <v>1000</v>
      </c>
      <c r="Q194" s="150">
        <f t="shared" si="25"/>
        <v>0</v>
      </c>
      <c r="R194" s="151"/>
      <c r="S194" s="152">
        <v>8830</v>
      </c>
      <c r="T194" s="152">
        <v>8830</v>
      </c>
      <c r="U194" s="153"/>
      <c r="V194" s="154"/>
      <c r="W194" s="154"/>
      <c r="X194" s="155" t="s">
        <v>1692</v>
      </c>
      <c r="Y194" s="155" t="s">
        <v>1423</v>
      </c>
      <c r="Z194" s="155" t="s">
        <v>1442</v>
      </c>
      <c r="AA194" s="273">
        <f t="shared" si="26"/>
        <v>8.83</v>
      </c>
      <c r="AB194" s="273">
        <f t="shared" si="27"/>
        <v>8.83</v>
      </c>
      <c r="AC194" s="156">
        <f t="shared" si="28"/>
        <v>1000</v>
      </c>
      <c r="AD194" s="274">
        <f t="shared" si="29"/>
        <v>8830</v>
      </c>
      <c r="AE194" s="274">
        <f t="shared" si="30"/>
        <v>8830</v>
      </c>
      <c r="AF194" s="129"/>
    </row>
    <row r="195" spans="1:32">
      <c r="A195" s="337" t="s">
        <v>1523</v>
      </c>
      <c r="B195" s="146" t="s">
        <v>1</v>
      </c>
      <c r="C195" s="155" t="s">
        <v>1512</v>
      </c>
      <c r="D195" s="147"/>
      <c r="E195" s="148" t="s">
        <v>1463</v>
      </c>
      <c r="F195" s="147" t="s">
        <v>106</v>
      </c>
      <c r="G195" s="147" t="s">
        <v>1429</v>
      </c>
      <c r="H195" s="147">
        <v>7</v>
      </c>
      <c r="I195" s="149">
        <f t="shared" si="24"/>
        <v>7</v>
      </c>
      <c r="J195" s="147"/>
      <c r="K195" s="336" t="s">
        <v>57</v>
      </c>
      <c r="L195" s="147">
        <v>100</v>
      </c>
      <c r="M195" s="147" t="s">
        <v>9</v>
      </c>
      <c r="N195" s="147"/>
      <c r="O195" s="147" t="s">
        <v>98</v>
      </c>
      <c r="P195" s="147">
        <v>1000</v>
      </c>
      <c r="Q195" s="150">
        <f t="shared" si="25"/>
        <v>0</v>
      </c>
      <c r="R195" s="151"/>
      <c r="S195" s="152">
        <v>993</v>
      </c>
      <c r="T195" s="158">
        <v>993</v>
      </c>
      <c r="U195" s="153"/>
      <c r="V195" s="154"/>
      <c r="W195" s="154"/>
      <c r="X195" s="155"/>
      <c r="Y195" s="155" t="s">
        <v>1394</v>
      </c>
      <c r="Z195" s="155" t="s">
        <v>1442</v>
      </c>
      <c r="AA195" s="273">
        <f t="shared" si="26"/>
        <v>0.99299999999999999</v>
      </c>
      <c r="AB195" s="273">
        <f t="shared" si="27"/>
        <v>0.99299999999999999</v>
      </c>
      <c r="AC195" s="156">
        <f t="shared" si="28"/>
        <v>1000</v>
      </c>
      <c r="AD195" s="274">
        <f t="shared" si="29"/>
        <v>993</v>
      </c>
      <c r="AE195" s="274">
        <f t="shared" ref="AE195:AE258" si="31">AB195*AC195</f>
        <v>993</v>
      </c>
      <c r="AF195" s="337"/>
    </row>
    <row r="196" spans="1:32">
      <c r="A196" s="337" t="s">
        <v>1523</v>
      </c>
      <c r="B196" s="146" t="s">
        <v>1</v>
      </c>
      <c r="C196" s="155" t="s">
        <v>1512</v>
      </c>
      <c r="D196" s="147"/>
      <c r="E196" s="148" t="s">
        <v>1463</v>
      </c>
      <c r="F196" s="147" t="s">
        <v>106</v>
      </c>
      <c r="G196" s="147" t="s">
        <v>1429</v>
      </c>
      <c r="H196" s="147">
        <v>8</v>
      </c>
      <c r="I196" s="149">
        <f t="shared" si="24"/>
        <v>8</v>
      </c>
      <c r="J196" s="147"/>
      <c r="K196" s="336" t="s">
        <v>55</v>
      </c>
      <c r="L196" s="147">
        <v>100</v>
      </c>
      <c r="M196" s="147" t="s">
        <v>9</v>
      </c>
      <c r="N196" s="147"/>
      <c r="O196" s="147" t="s">
        <v>98</v>
      </c>
      <c r="P196" s="147">
        <v>1000</v>
      </c>
      <c r="Q196" s="150">
        <f t="shared" si="25"/>
        <v>0</v>
      </c>
      <c r="R196" s="151"/>
      <c r="S196" s="152">
        <v>1295</v>
      </c>
      <c r="T196" s="158">
        <v>1295</v>
      </c>
      <c r="U196" s="153"/>
      <c r="V196" s="154"/>
      <c r="W196" s="154"/>
      <c r="X196" s="155"/>
      <c r="Y196" s="155" t="s">
        <v>1394</v>
      </c>
      <c r="Z196" s="155" t="s">
        <v>1442</v>
      </c>
      <c r="AA196" s="273">
        <f t="shared" si="26"/>
        <v>1.2949999999999999</v>
      </c>
      <c r="AB196" s="273">
        <f t="shared" si="27"/>
        <v>1.2949999999999999</v>
      </c>
      <c r="AC196" s="156">
        <f t="shared" si="28"/>
        <v>1000</v>
      </c>
      <c r="AD196" s="274">
        <f t="shared" si="29"/>
        <v>1295</v>
      </c>
      <c r="AE196" s="274">
        <f t="shared" si="31"/>
        <v>1295</v>
      </c>
      <c r="AF196" s="337"/>
    </row>
    <row r="197" spans="1:32">
      <c r="A197" s="337" t="s">
        <v>1523</v>
      </c>
      <c r="B197" s="146" t="s">
        <v>1</v>
      </c>
      <c r="C197" s="155" t="s">
        <v>1512</v>
      </c>
      <c r="D197" s="147"/>
      <c r="E197" s="148" t="s">
        <v>1463</v>
      </c>
      <c r="F197" s="147" t="s">
        <v>106</v>
      </c>
      <c r="G197" s="147" t="s">
        <v>1429</v>
      </c>
      <c r="H197" s="147">
        <v>17</v>
      </c>
      <c r="I197" s="149">
        <f t="shared" si="24"/>
        <v>17</v>
      </c>
      <c r="J197" s="147"/>
      <c r="K197" s="336" t="s">
        <v>53</v>
      </c>
      <c r="L197" s="147">
        <v>100</v>
      </c>
      <c r="M197" s="147" t="s">
        <v>9</v>
      </c>
      <c r="N197" s="147"/>
      <c r="O197" s="147" t="s">
        <v>98</v>
      </c>
      <c r="P197" s="147">
        <v>1000</v>
      </c>
      <c r="Q197" s="150">
        <f t="shared" si="25"/>
        <v>0</v>
      </c>
      <c r="R197" s="151"/>
      <c r="S197" s="152">
        <v>1500</v>
      </c>
      <c r="T197" s="158">
        <v>1500</v>
      </c>
      <c r="U197" s="153"/>
      <c r="V197" s="154"/>
      <c r="W197" s="154"/>
      <c r="X197" s="155"/>
      <c r="Y197" s="155" t="s">
        <v>1394</v>
      </c>
      <c r="Z197" s="155" t="s">
        <v>1442</v>
      </c>
      <c r="AA197" s="273">
        <f t="shared" si="26"/>
        <v>1.5</v>
      </c>
      <c r="AB197" s="273">
        <f t="shared" si="27"/>
        <v>1.5</v>
      </c>
      <c r="AC197" s="156">
        <f t="shared" si="28"/>
        <v>1000</v>
      </c>
      <c r="AD197" s="274">
        <f t="shared" si="29"/>
        <v>1500</v>
      </c>
      <c r="AE197" s="274">
        <f t="shared" si="31"/>
        <v>1500</v>
      </c>
      <c r="AF197" s="337"/>
    </row>
    <row r="198" spans="1:32">
      <c r="A198" s="337" t="s">
        <v>1523</v>
      </c>
      <c r="B198" s="146" t="s">
        <v>1</v>
      </c>
      <c r="C198" s="155" t="s">
        <v>1512</v>
      </c>
      <c r="D198" s="147"/>
      <c r="E198" s="148" t="s">
        <v>1463</v>
      </c>
      <c r="F198" s="147" t="s">
        <v>106</v>
      </c>
      <c r="G198" s="147" t="s">
        <v>1429</v>
      </c>
      <c r="H198" s="147">
        <v>22</v>
      </c>
      <c r="I198" s="149">
        <f t="shared" si="24"/>
        <v>22</v>
      </c>
      <c r="J198" s="147"/>
      <c r="K198" s="336" t="s">
        <v>51</v>
      </c>
      <c r="L198" s="147">
        <v>100</v>
      </c>
      <c r="M198" s="147" t="s">
        <v>9</v>
      </c>
      <c r="N198" s="147"/>
      <c r="O198" s="147" t="s">
        <v>98</v>
      </c>
      <c r="P198" s="147">
        <v>1000</v>
      </c>
      <c r="Q198" s="150">
        <f t="shared" si="25"/>
        <v>0</v>
      </c>
      <c r="R198" s="151"/>
      <c r="S198" s="152">
        <v>5000</v>
      </c>
      <c r="T198" s="158">
        <v>5000</v>
      </c>
      <c r="U198" s="153"/>
      <c r="V198" s="154"/>
      <c r="W198" s="154"/>
      <c r="X198" s="155"/>
      <c r="Y198" s="155" t="s">
        <v>1394</v>
      </c>
      <c r="Z198" s="155" t="s">
        <v>1442</v>
      </c>
      <c r="AA198" s="273">
        <f t="shared" si="26"/>
        <v>5</v>
      </c>
      <c r="AB198" s="273">
        <f t="shared" si="27"/>
        <v>5</v>
      </c>
      <c r="AC198" s="156">
        <f t="shared" si="28"/>
        <v>1000</v>
      </c>
      <c r="AD198" s="274">
        <f t="shared" si="29"/>
        <v>5000</v>
      </c>
      <c r="AE198" s="274">
        <f t="shared" si="31"/>
        <v>5000</v>
      </c>
      <c r="AF198" s="337"/>
    </row>
    <row r="199" spans="1:32">
      <c r="A199" s="337" t="s">
        <v>1523</v>
      </c>
      <c r="B199" s="146" t="s">
        <v>1</v>
      </c>
      <c r="C199" s="155" t="s">
        <v>1512</v>
      </c>
      <c r="D199" s="147"/>
      <c r="E199" s="148" t="s">
        <v>1463</v>
      </c>
      <c r="F199" s="147" t="s">
        <v>106</v>
      </c>
      <c r="G199" s="147" t="s">
        <v>1429</v>
      </c>
      <c r="H199" s="147">
        <v>33</v>
      </c>
      <c r="I199" s="149">
        <f t="shared" si="24"/>
        <v>33</v>
      </c>
      <c r="J199" s="147"/>
      <c r="K199" s="336" t="s">
        <v>59</v>
      </c>
      <c r="L199" s="147">
        <v>100</v>
      </c>
      <c r="M199" s="147" t="s">
        <v>9</v>
      </c>
      <c r="N199" s="147"/>
      <c r="O199" s="147" t="s">
        <v>98</v>
      </c>
      <c r="P199" s="147">
        <v>1000</v>
      </c>
      <c r="Q199" s="150">
        <f t="shared" si="25"/>
        <v>0</v>
      </c>
      <c r="R199" s="151"/>
      <c r="S199" s="152">
        <v>3198</v>
      </c>
      <c r="T199" s="158">
        <v>3198</v>
      </c>
      <c r="U199" s="153"/>
      <c r="V199" s="154"/>
      <c r="W199" s="154"/>
      <c r="X199" s="155"/>
      <c r="Y199" s="155" t="s">
        <v>1394</v>
      </c>
      <c r="Z199" s="155" t="s">
        <v>1442</v>
      </c>
      <c r="AA199" s="273">
        <f t="shared" si="26"/>
        <v>3.198</v>
      </c>
      <c r="AB199" s="273">
        <f t="shared" si="27"/>
        <v>3.198</v>
      </c>
      <c r="AC199" s="156">
        <f t="shared" si="28"/>
        <v>1000</v>
      </c>
      <c r="AD199" s="274">
        <f t="shared" si="29"/>
        <v>3198</v>
      </c>
      <c r="AE199" s="274">
        <f t="shared" si="31"/>
        <v>3198</v>
      </c>
      <c r="AF199" s="337"/>
    </row>
    <row r="200" spans="1:32">
      <c r="A200" s="337" t="s">
        <v>1523</v>
      </c>
      <c r="B200" s="146" t="s">
        <v>1</v>
      </c>
      <c r="C200" s="155" t="s">
        <v>1512</v>
      </c>
      <c r="D200" s="147"/>
      <c r="E200" s="148" t="s">
        <v>1463</v>
      </c>
      <c r="F200" s="147" t="s">
        <v>106</v>
      </c>
      <c r="G200" s="147" t="s">
        <v>1429</v>
      </c>
      <c r="H200" s="147">
        <v>42</v>
      </c>
      <c r="I200" s="149">
        <f t="shared" si="24"/>
        <v>42</v>
      </c>
      <c r="J200" s="147"/>
      <c r="K200" s="336" t="s">
        <v>61</v>
      </c>
      <c r="L200" s="147">
        <v>100</v>
      </c>
      <c r="M200" s="147" t="s">
        <v>9</v>
      </c>
      <c r="N200" s="147"/>
      <c r="O200" s="147" t="s">
        <v>98</v>
      </c>
      <c r="P200" s="147">
        <v>1000</v>
      </c>
      <c r="Q200" s="150">
        <f t="shared" si="25"/>
        <v>0</v>
      </c>
      <c r="R200" s="151"/>
      <c r="S200" s="152">
        <v>3033</v>
      </c>
      <c r="T200" s="158">
        <v>3033</v>
      </c>
      <c r="U200" s="153"/>
      <c r="V200" s="154"/>
      <c r="W200" s="154"/>
      <c r="X200" s="155"/>
      <c r="Y200" s="155" t="s">
        <v>1394</v>
      </c>
      <c r="Z200" s="155" t="s">
        <v>1442</v>
      </c>
      <c r="AA200" s="273">
        <f t="shared" si="26"/>
        <v>3.0329999999999999</v>
      </c>
      <c r="AB200" s="273">
        <f t="shared" si="27"/>
        <v>3.0329999999999999</v>
      </c>
      <c r="AC200" s="156">
        <f t="shared" si="28"/>
        <v>1000</v>
      </c>
      <c r="AD200" s="274">
        <f t="shared" si="29"/>
        <v>3033</v>
      </c>
      <c r="AE200" s="274">
        <f t="shared" si="31"/>
        <v>3033</v>
      </c>
      <c r="AF200" s="337"/>
    </row>
    <row r="201" spans="1:32">
      <c r="A201" s="337" t="s">
        <v>1523</v>
      </c>
      <c r="B201" s="146" t="s">
        <v>1</v>
      </c>
      <c r="C201" s="155" t="s">
        <v>1512</v>
      </c>
      <c r="D201" s="147"/>
      <c r="E201" s="148" t="s">
        <v>1463</v>
      </c>
      <c r="F201" s="147" t="s">
        <v>106</v>
      </c>
      <c r="G201" s="147" t="s">
        <v>1429</v>
      </c>
      <c r="H201" s="147">
        <v>43</v>
      </c>
      <c r="I201" s="149">
        <f t="shared" si="24"/>
        <v>43</v>
      </c>
      <c r="J201" s="147"/>
      <c r="K201" s="336" t="s">
        <v>1504</v>
      </c>
      <c r="L201" s="147">
        <v>100</v>
      </c>
      <c r="M201" s="147" t="s">
        <v>9</v>
      </c>
      <c r="N201" s="147"/>
      <c r="O201" s="147" t="s">
        <v>98</v>
      </c>
      <c r="P201" s="147">
        <v>1000</v>
      </c>
      <c r="Q201" s="150">
        <f t="shared" si="25"/>
        <v>0</v>
      </c>
      <c r="R201" s="151"/>
      <c r="S201" s="152">
        <v>1524</v>
      </c>
      <c r="T201" s="158">
        <v>1524</v>
      </c>
      <c r="U201" s="153"/>
      <c r="V201" s="154"/>
      <c r="W201" s="154"/>
      <c r="X201" s="155"/>
      <c r="Y201" s="155" t="s">
        <v>1394</v>
      </c>
      <c r="Z201" s="155" t="s">
        <v>1442</v>
      </c>
      <c r="AA201" s="273">
        <f t="shared" si="26"/>
        <v>1.524</v>
      </c>
      <c r="AB201" s="273">
        <f t="shared" si="27"/>
        <v>1.524</v>
      </c>
      <c r="AC201" s="156">
        <f t="shared" si="28"/>
        <v>1000</v>
      </c>
      <c r="AD201" s="274">
        <f t="shared" si="29"/>
        <v>1524</v>
      </c>
      <c r="AE201" s="274">
        <f t="shared" si="31"/>
        <v>1524</v>
      </c>
      <c r="AF201" s="337"/>
    </row>
    <row r="202" spans="1:32">
      <c r="A202" s="337" t="s">
        <v>1523</v>
      </c>
      <c r="B202" s="146" t="s">
        <v>1</v>
      </c>
      <c r="C202" s="155" t="s">
        <v>1512</v>
      </c>
      <c r="D202" s="147"/>
      <c r="E202" s="148" t="s">
        <v>1463</v>
      </c>
      <c r="F202" s="147" t="s">
        <v>106</v>
      </c>
      <c r="G202" s="147" t="s">
        <v>1429</v>
      </c>
      <c r="H202" s="147">
        <v>46</v>
      </c>
      <c r="I202" s="149">
        <f t="shared" si="24"/>
        <v>46</v>
      </c>
      <c r="J202" s="147"/>
      <c r="K202" s="336" t="s">
        <v>1506</v>
      </c>
      <c r="L202" s="147">
        <v>100</v>
      </c>
      <c r="M202" s="147" t="s">
        <v>9</v>
      </c>
      <c r="N202" s="147"/>
      <c r="O202" s="147" t="s">
        <v>98</v>
      </c>
      <c r="P202" s="147">
        <v>1000</v>
      </c>
      <c r="Q202" s="150">
        <f t="shared" si="25"/>
        <v>0</v>
      </c>
      <c r="R202" s="151"/>
      <c r="S202" s="152">
        <v>2789</v>
      </c>
      <c r="T202" s="158">
        <v>2789</v>
      </c>
      <c r="U202" s="153"/>
      <c r="V202" s="154"/>
      <c r="W202" s="154"/>
      <c r="X202" s="155"/>
      <c r="Y202" s="155" t="s">
        <v>1394</v>
      </c>
      <c r="Z202" s="155" t="s">
        <v>1442</v>
      </c>
      <c r="AA202" s="273">
        <f t="shared" si="26"/>
        <v>2.7890000000000001</v>
      </c>
      <c r="AB202" s="273">
        <f t="shared" si="27"/>
        <v>2.7890000000000001</v>
      </c>
      <c r="AC202" s="156">
        <f t="shared" si="28"/>
        <v>1000</v>
      </c>
      <c r="AD202" s="274">
        <f t="shared" si="29"/>
        <v>2789</v>
      </c>
      <c r="AE202" s="274">
        <f t="shared" si="31"/>
        <v>2789</v>
      </c>
      <c r="AF202" s="337"/>
    </row>
    <row r="203" spans="1:32">
      <c r="A203" s="337" t="s">
        <v>1523</v>
      </c>
      <c r="B203" s="146" t="s">
        <v>1</v>
      </c>
      <c r="C203" s="155" t="s">
        <v>1512</v>
      </c>
      <c r="D203" s="147"/>
      <c r="E203" s="148" t="s">
        <v>1463</v>
      </c>
      <c r="F203" s="147" t="s">
        <v>106</v>
      </c>
      <c r="G203" s="147" t="s">
        <v>1429</v>
      </c>
      <c r="H203" s="147">
        <v>46</v>
      </c>
      <c r="I203" s="149">
        <f t="shared" si="24"/>
        <v>46</v>
      </c>
      <c r="J203" s="147"/>
      <c r="K203" s="336" t="s">
        <v>1507</v>
      </c>
      <c r="L203" s="147">
        <v>100</v>
      </c>
      <c r="M203" s="147" t="s">
        <v>9</v>
      </c>
      <c r="N203" s="147"/>
      <c r="O203" s="147" t="s">
        <v>98</v>
      </c>
      <c r="P203" s="147">
        <v>1000</v>
      </c>
      <c r="Q203" s="150">
        <f t="shared" si="25"/>
        <v>0</v>
      </c>
      <c r="R203" s="151"/>
      <c r="S203" s="152">
        <v>5270</v>
      </c>
      <c r="T203" s="158">
        <v>5270</v>
      </c>
      <c r="U203" s="153"/>
      <c r="V203" s="154"/>
      <c r="W203" s="154"/>
      <c r="X203" s="155"/>
      <c r="Y203" s="155" t="s">
        <v>1394</v>
      </c>
      <c r="Z203" s="155" t="s">
        <v>1442</v>
      </c>
      <c r="AA203" s="273">
        <f t="shared" si="26"/>
        <v>5.27</v>
      </c>
      <c r="AB203" s="273">
        <f t="shared" si="27"/>
        <v>5.27</v>
      </c>
      <c r="AC203" s="156">
        <f t="shared" si="28"/>
        <v>1000</v>
      </c>
      <c r="AD203" s="274">
        <f t="shared" si="29"/>
        <v>5270</v>
      </c>
      <c r="AE203" s="274">
        <f t="shared" si="31"/>
        <v>5270</v>
      </c>
      <c r="AF203" s="337"/>
    </row>
    <row r="204" spans="1:32">
      <c r="A204" s="337" t="s">
        <v>1523</v>
      </c>
      <c r="B204" s="146" t="s">
        <v>1</v>
      </c>
      <c r="C204" s="155" t="s">
        <v>1512</v>
      </c>
      <c r="D204" s="147"/>
      <c r="E204" s="148" t="s">
        <v>1463</v>
      </c>
      <c r="F204" s="147" t="s">
        <v>106</v>
      </c>
      <c r="G204" s="147" t="s">
        <v>1429</v>
      </c>
      <c r="H204" s="147">
        <v>46</v>
      </c>
      <c r="I204" s="149">
        <f t="shared" si="24"/>
        <v>46</v>
      </c>
      <c r="J204" s="147"/>
      <c r="K204" s="336" t="s">
        <v>1508</v>
      </c>
      <c r="L204" s="147">
        <v>100</v>
      </c>
      <c r="M204" s="147" t="s">
        <v>9</v>
      </c>
      <c r="N204" s="147"/>
      <c r="O204" s="147" t="s">
        <v>98</v>
      </c>
      <c r="P204" s="147">
        <v>1000</v>
      </c>
      <c r="Q204" s="150">
        <f t="shared" si="25"/>
        <v>0</v>
      </c>
      <c r="R204" s="151"/>
      <c r="S204" s="152">
        <v>5698</v>
      </c>
      <c r="T204" s="158">
        <v>5698</v>
      </c>
      <c r="U204" s="153"/>
      <c r="V204" s="154"/>
      <c r="W204" s="154"/>
      <c r="X204" s="155"/>
      <c r="Y204" s="155" t="s">
        <v>1394</v>
      </c>
      <c r="Z204" s="155" t="s">
        <v>1442</v>
      </c>
      <c r="AA204" s="273">
        <f t="shared" si="26"/>
        <v>5.6980000000000004</v>
      </c>
      <c r="AB204" s="273">
        <f t="shared" si="27"/>
        <v>5.6980000000000004</v>
      </c>
      <c r="AC204" s="156">
        <f t="shared" si="28"/>
        <v>1000</v>
      </c>
      <c r="AD204" s="274">
        <f t="shared" si="29"/>
        <v>5698</v>
      </c>
      <c r="AE204" s="274">
        <f t="shared" si="31"/>
        <v>5698</v>
      </c>
      <c r="AF204" s="337"/>
    </row>
    <row r="205" spans="1:32">
      <c r="A205" s="337" t="s">
        <v>1523</v>
      </c>
      <c r="B205" s="146" t="s">
        <v>1</v>
      </c>
      <c r="C205" s="155" t="s">
        <v>1512</v>
      </c>
      <c r="D205" s="147"/>
      <c r="E205" s="148" t="s">
        <v>1463</v>
      </c>
      <c r="F205" s="147" t="s">
        <v>106</v>
      </c>
      <c r="G205" s="147" t="s">
        <v>1429</v>
      </c>
      <c r="H205" s="147">
        <v>59</v>
      </c>
      <c r="I205" s="149">
        <f t="shared" si="24"/>
        <v>59</v>
      </c>
      <c r="J205" s="147"/>
      <c r="K205" s="336" t="s">
        <v>99</v>
      </c>
      <c r="L205" s="147">
        <v>100</v>
      </c>
      <c r="M205" s="147" t="s">
        <v>9</v>
      </c>
      <c r="N205" s="147"/>
      <c r="O205" s="147" t="s">
        <v>98</v>
      </c>
      <c r="P205" s="147">
        <v>1000</v>
      </c>
      <c r="Q205" s="150">
        <f t="shared" si="25"/>
        <v>0</v>
      </c>
      <c r="R205" s="151"/>
      <c r="S205" s="152">
        <v>3000</v>
      </c>
      <c r="T205" s="158">
        <v>3000</v>
      </c>
      <c r="U205" s="153"/>
      <c r="V205" s="154"/>
      <c r="W205" s="154"/>
      <c r="X205" s="155"/>
      <c r="Y205" s="155" t="s">
        <v>1394</v>
      </c>
      <c r="Z205" s="155" t="s">
        <v>1442</v>
      </c>
      <c r="AA205" s="273">
        <f t="shared" si="26"/>
        <v>3</v>
      </c>
      <c r="AB205" s="273">
        <f t="shared" si="27"/>
        <v>3</v>
      </c>
      <c r="AC205" s="156">
        <f t="shared" si="28"/>
        <v>1000</v>
      </c>
      <c r="AD205" s="274">
        <f t="shared" si="29"/>
        <v>3000</v>
      </c>
      <c r="AE205" s="274">
        <f t="shared" si="31"/>
        <v>3000</v>
      </c>
      <c r="AF205" s="337"/>
    </row>
    <row r="206" spans="1:32">
      <c r="A206" s="337" t="s">
        <v>1523</v>
      </c>
      <c r="B206" s="146" t="s">
        <v>1</v>
      </c>
      <c r="C206" s="155" t="s">
        <v>1512</v>
      </c>
      <c r="D206" s="147"/>
      <c r="E206" s="148" t="s">
        <v>1463</v>
      </c>
      <c r="F206" s="147" t="s">
        <v>106</v>
      </c>
      <c r="G206" s="147" t="s">
        <v>1429</v>
      </c>
      <c r="H206" s="147">
        <v>69</v>
      </c>
      <c r="I206" s="149">
        <f t="shared" si="24"/>
        <v>69</v>
      </c>
      <c r="J206" s="147"/>
      <c r="K206" s="336" t="s">
        <v>1509</v>
      </c>
      <c r="L206" s="147">
        <v>100</v>
      </c>
      <c r="M206" s="147" t="s">
        <v>9</v>
      </c>
      <c r="N206" s="147"/>
      <c r="O206" s="147" t="s">
        <v>98</v>
      </c>
      <c r="P206" s="147">
        <v>1000</v>
      </c>
      <c r="Q206" s="150">
        <f t="shared" si="25"/>
        <v>0</v>
      </c>
      <c r="R206" s="151"/>
      <c r="S206" s="152">
        <v>3951</v>
      </c>
      <c r="T206" s="158">
        <v>3951</v>
      </c>
      <c r="U206" s="153"/>
      <c r="V206" s="154"/>
      <c r="W206" s="154"/>
      <c r="X206" s="155"/>
      <c r="Y206" s="155" t="s">
        <v>1394</v>
      </c>
      <c r="Z206" s="155" t="s">
        <v>1442</v>
      </c>
      <c r="AA206" s="273">
        <f t="shared" si="26"/>
        <v>3.9510000000000001</v>
      </c>
      <c r="AB206" s="273">
        <f t="shared" si="27"/>
        <v>3.9510000000000001</v>
      </c>
      <c r="AC206" s="156">
        <f t="shared" si="28"/>
        <v>1000</v>
      </c>
      <c r="AD206" s="274">
        <f t="shared" si="29"/>
        <v>3951</v>
      </c>
      <c r="AE206" s="274">
        <f t="shared" si="31"/>
        <v>3951</v>
      </c>
      <c r="AF206" s="337"/>
    </row>
    <row r="207" spans="1:32">
      <c r="A207" s="337" t="s">
        <v>1523</v>
      </c>
      <c r="B207" s="146" t="s">
        <v>1</v>
      </c>
      <c r="C207" s="155" t="s">
        <v>1512</v>
      </c>
      <c r="D207" s="147"/>
      <c r="E207" s="148" t="s">
        <v>1463</v>
      </c>
      <c r="F207" s="147" t="s">
        <v>106</v>
      </c>
      <c r="G207" s="147" t="s">
        <v>1429</v>
      </c>
      <c r="H207" s="147">
        <v>70</v>
      </c>
      <c r="I207" s="149">
        <f t="shared" si="24"/>
        <v>70</v>
      </c>
      <c r="J207" s="147"/>
      <c r="K207" s="336" t="s">
        <v>1510</v>
      </c>
      <c r="L207" s="147">
        <v>100</v>
      </c>
      <c r="M207" s="147" t="s">
        <v>9</v>
      </c>
      <c r="N207" s="147"/>
      <c r="O207" s="147" t="s">
        <v>98</v>
      </c>
      <c r="P207" s="147">
        <v>1000</v>
      </c>
      <c r="Q207" s="150">
        <f t="shared" si="25"/>
        <v>0</v>
      </c>
      <c r="R207" s="151"/>
      <c r="S207" s="152">
        <v>4729</v>
      </c>
      <c r="T207" s="158">
        <v>4729</v>
      </c>
      <c r="U207" s="153"/>
      <c r="V207" s="154"/>
      <c r="W207" s="154"/>
      <c r="X207" s="155"/>
      <c r="Y207" s="155" t="s">
        <v>1394</v>
      </c>
      <c r="Z207" s="155" t="s">
        <v>1442</v>
      </c>
      <c r="AA207" s="273">
        <f t="shared" si="26"/>
        <v>4.7290000000000001</v>
      </c>
      <c r="AB207" s="273">
        <f t="shared" si="27"/>
        <v>4.7290000000000001</v>
      </c>
      <c r="AC207" s="156">
        <f t="shared" si="28"/>
        <v>1000</v>
      </c>
      <c r="AD207" s="274">
        <f t="shared" si="29"/>
        <v>4729</v>
      </c>
      <c r="AE207" s="274">
        <f t="shared" si="31"/>
        <v>4729</v>
      </c>
      <c r="AF207" s="337"/>
    </row>
    <row r="208" spans="1:32">
      <c r="A208" s="337" t="s">
        <v>1523</v>
      </c>
      <c r="B208" s="146" t="s">
        <v>1</v>
      </c>
      <c r="C208" s="155" t="s">
        <v>1512</v>
      </c>
      <c r="D208" s="147"/>
      <c r="E208" s="148" t="s">
        <v>1463</v>
      </c>
      <c r="F208" s="147" t="s">
        <v>106</v>
      </c>
      <c r="G208" s="147" t="s">
        <v>1429</v>
      </c>
      <c r="H208" s="147">
        <v>70</v>
      </c>
      <c r="I208" s="149">
        <f t="shared" si="24"/>
        <v>70</v>
      </c>
      <c r="J208" s="147"/>
      <c r="K208" s="336" t="s">
        <v>1511</v>
      </c>
      <c r="L208" s="147">
        <v>100</v>
      </c>
      <c r="M208" s="147" t="s">
        <v>9</v>
      </c>
      <c r="N208" s="147"/>
      <c r="O208" s="147" t="s">
        <v>98</v>
      </c>
      <c r="P208" s="147">
        <v>1000</v>
      </c>
      <c r="Q208" s="150">
        <f t="shared" si="25"/>
        <v>0</v>
      </c>
      <c r="R208" s="151"/>
      <c r="S208" s="152">
        <v>4729</v>
      </c>
      <c r="T208" s="158">
        <v>4729</v>
      </c>
      <c r="U208" s="153"/>
      <c r="V208" s="154"/>
      <c r="W208" s="154"/>
      <c r="X208" s="155"/>
      <c r="Y208" s="155" t="s">
        <v>1394</v>
      </c>
      <c r="Z208" s="155" t="s">
        <v>1442</v>
      </c>
      <c r="AA208" s="273">
        <f t="shared" si="26"/>
        <v>4.7290000000000001</v>
      </c>
      <c r="AB208" s="273">
        <f t="shared" si="27"/>
        <v>4.7290000000000001</v>
      </c>
      <c r="AC208" s="156">
        <f t="shared" si="28"/>
        <v>1000</v>
      </c>
      <c r="AD208" s="274">
        <f t="shared" si="29"/>
        <v>4729</v>
      </c>
      <c r="AE208" s="274">
        <f t="shared" si="31"/>
        <v>4729</v>
      </c>
      <c r="AF208" s="337"/>
    </row>
    <row r="209" spans="1:32">
      <c r="A209" s="337" t="s">
        <v>1523</v>
      </c>
      <c r="B209" s="146" t="s">
        <v>1</v>
      </c>
      <c r="C209" s="155" t="s">
        <v>1512</v>
      </c>
      <c r="D209" s="147"/>
      <c r="E209" s="148" t="s">
        <v>1472</v>
      </c>
      <c r="F209" s="147" t="s">
        <v>106</v>
      </c>
      <c r="G209" s="147" t="s">
        <v>1429</v>
      </c>
      <c r="H209" s="147">
        <v>7</v>
      </c>
      <c r="I209" s="149">
        <f t="shared" si="24"/>
        <v>7</v>
      </c>
      <c r="J209" s="147"/>
      <c r="K209" s="336" t="s">
        <v>57</v>
      </c>
      <c r="L209" s="147">
        <v>100</v>
      </c>
      <c r="M209" s="147" t="s">
        <v>9</v>
      </c>
      <c r="N209" s="147"/>
      <c r="O209" s="147" t="s">
        <v>98</v>
      </c>
      <c r="P209" s="147">
        <v>1000</v>
      </c>
      <c r="Q209" s="150">
        <f t="shared" si="25"/>
        <v>0</v>
      </c>
      <c r="R209" s="151"/>
      <c r="S209" s="152">
        <v>1000</v>
      </c>
      <c r="T209" s="158">
        <v>1000</v>
      </c>
      <c r="U209" s="153"/>
      <c r="V209" s="154"/>
      <c r="W209" s="154"/>
      <c r="X209" s="155"/>
      <c r="Y209" s="155" t="s">
        <v>1394</v>
      </c>
      <c r="Z209" s="155" t="s">
        <v>1442</v>
      </c>
      <c r="AA209" s="273">
        <f t="shared" si="26"/>
        <v>1</v>
      </c>
      <c r="AB209" s="273">
        <f t="shared" si="27"/>
        <v>1</v>
      </c>
      <c r="AC209" s="156">
        <f t="shared" si="28"/>
        <v>1000</v>
      </c>
      <c r="AD209" s="274">
        <f t="shared" si="29"/>
        <v>1000</v>
      </c>
      <c r="AE209" s="274">
        <f t="shared" si="31"/>
        <v>1000</v>
      </c>
      <c r="AF209" s="337"/>
    </row>
    <row r="210" spans="1:32">
      <c r="A210" s="337" t="s">
        <v>1523</v>
      </c>
      <c r="B210" s="146" t="s">
        <v>1</v>
      </c>
      <c r="C210" s="155" t="s">
        <v>1512</v>
      </c>
      <c r="D210" s="147"/>
      <c r="E210" s="148" t="s">
        <v>1472</v>
      </c>
      <c r="F210" s="147" t="s">
        <v>106</v>
      </c>
      <c r="G210" s="147" t="s">
        <v>1429</v>
      </c>
      <c r="H210" s="147">
        <v>8</v>
      </c>
      <c r="I210" s="149">
        <f t="shared" si="24"/>
        <v>8</v>
      </c>
      <c r="J210" s="147"/>
      <c r="K210" s="336" t="s">
        <v>55</v>
      </c>
      <c r="L210" s="147">
        <v>100</v>
      </c>
      <c r="M210" s="147" t="s">
        <v>9</v>
      </c>
      <c r="N210" s="147"/>
      <c r="O210" s="147" t="s">
        <v>98</v>
      </c>
      <c r="P210" s="147">
        <v>1000</v>
      </c>
      <c r="Q210" s="150">
        <f t="shared" si="25"/>
        <v>0</v>
      </c>
      <c r="R210" s="151"/>
      <c r="S210" s="152">
        <v>1250</v>
      </c>
      <c r="T210" s="158">
        <v>1250</v>
      </c>
      <c r="U210" s="153"/>
      <c r="V210" s="154"/>
      <c r="W210" s="154"/>
      <c r="X210" s="155"/>
      <c r="Y210" s="155" t="s">
        <v>1394</v>
      </c>
      <c r="Z210" s="155" t="s">
        <v>1442</v>
      </c>
      <c r="AA210" s="273">
        <f t="shared" si="26"/>
        <v>1.25</v>
      </c>
      <c r="AB210" s="273">
        <f t="shared" si="27"/>
        <v>1.25</v>
      </c>
      <c r="AC210" s="156">
        <f t="shared" si="28"/>
        <v>1000</v>
      </c>
      <c r="AD210" s="274">
        <f t="shared" si="29"/>
        <v>1250</v>
      </c>
      <c r="AE210" s="274">
        <f t="shared" si="31"/>
        <v>1250</v>
      </c>
      <c r="AF210" s="337"/>
    </row>
    <row r="211" spans="1:32">
      <c r="A211" s="337" t="s">
        <v>1523</v>
      </c>
      <c r="B211" s="146" t="s">
        <v>1</v>
      </c>
      <c r="C211" s="155" t="s">
        <v>1512</v>
      </c>
      <c r="D211" s="147"/>
      <c r="E211" s="148" t="s">
        <v>1472</v>
      </c>
      <c r="F211" s="147" t="s">
        <v>106</v>
      </c>
      <c r="G211" s="147" t="s">
        <v>1429</v>
      </c>
      <c r="H211" s="147">
        <v>17</v>
      </c>
      <c r="I211" s="149">
        <f t="shared" si="24"/>
        <v>17</v>
      </c>
      <c r="J211" s="147"/>
      <c r="K211" s="336" t="s">
        <v>53</v>
      </c>
      <c r="L211" s="147">
        <v>100</v>
      </c>
      <c r="M211" s="147" t="s">
        <v>9</v>
      </c>
      <c r="N211" s="147"/>
      <c r="O211" s="147" t="s">
        <v>98</v>
      </c>
      <c r="P211" s="147">
        <v>1000</v>
      </c>
      <c r="Q211" s="150">
        <f t="shared" si="25"/>
        <v>0</v>
      </c>
      <c r="R211" s="151"/>
      <c r="S211" s="152">
        <v>2828</v>
      </c>
      <c r="T211" s="158">
        <v>2828</v>
      </c>
      <c r="U211" s="153"/>
      <c r="V211" s="154"/>
      <c r="W211" s="154"/>
      <c r="X211" s="155"/>
      <c r="Y211" s="155" t="s">
        <v>1394</v>
      </c>
      <c r="Z211" s="155" t="s">
        <v>1442</v>
      </c>
      <c r="AA211" s="273">
        <f t="shared" si="26"/>
        <v>2.8279999999999998</v>
      </c>
      <c r="AB211" s="273">
        <f t="shared" si="27"/>
        <v>2.8279999999999998</v>
      </c>
      <c r="AC211" s="156">
        <f t="shared" si="28"/>
        <v>1000</v>
      </c>
      <c r="AD211" s="274">
        <f t="shared" si="29"/>
        <v>2828</v>
      </c>
      <c r="AE211" s="274">
        <f t="shared" si="31"/>
        <v>2828</v>
      </c>
      <c r="AF211" s="337"/>
    </row>
    <row r="212" spans="1:32">
      <c r="A212" s="337" t="s">
        <v>1523</v>
      </c>
      <c r="B212" s="146" t="s">
        <v>1</v>
      </c>
      <c r="C212" s="155" t="s">
        <v>1512</v>
      </c>
      <c r="D212" s="147"/>
      <c r="E212" s="148" t="s">
        <v>1472</v>
      </c>
      <c r="F212" s="147" t="s">
        <v>106</v>
      </c>
      <c r="G212" s="147" t="s">
        <v>1429</v>
      </c>
      <c r="H212" s="147">
        <v>22</v>
      </c>
      <c r="I212" s="149">
        <f t="shared" si="24"/>
        <v>22</v>
      </c>
      <c r="J212" s="147"/>
      <c r="K212" s="336" t="s">
        <v>51</v>
      </c>
      <c r="L212" s="147">
        <v>100</v>
      </c>
      <c r="M212" s="147" t="s">
        <v>9</v>
      </c>
      <c r="N212" s="147"/>
      <c r="O212" s="147" t="s">
        <v>98</v>
      </c>
      <c r="P212" s="147">
        <v>1000</v>
      </c>
      <c r="Q212" s="150">
        <f t="shared" si="25"/>
        <v>0</v>
      </c>
      <c r="R212" s="151"/>
      <c r="S212" s="152">
        <v>4841</v>
      </c>
      <c r="T212" s="158">
        <v>4841</v>
      </c>
      <c r="U212" s="153"/>
      <c r="V212" s="154"/>
      <c r="W212" s="154"/>
      <c r="X212" s="155"/>
      <c r="Y212" s="155" t="s">
        <v>1394</v>
      </c>
      <c r="Z212" s="155" t="s">
        <v>1442</v>
      </c>
      <c r="AA212" s="273">
        <f t="shared" si="26"/>
        <v>4.8410000000000002</v>
      </c>
      <c r="AB212" s="273">
        <f t="shared" si="27"/>
        <v>4.8410000000000002</v>
      </c>
      <c r="AC212" s="156">
        <f t="shared" si="28"/>
        <v>1000</v>
      </c>
      <c r="AD212" s="274">
        <f t="shared" si="29"/>
        <v>4841</v>
      </c>
      <c r="AE212" s="274">
        <f t="shared" si="31"/>
        <v>4841</v>
      </c>
      <c r="AF212" s="337"/>
    </row>
    <row r="213" spans="1:32">
      <c r="A213" s="337" t="s">
        <v>1523</v>
      </c>
      <c r="B213" s="146" t="s">
        <v>1</v>
      </c>
      <c r="C213" s="155" t="s">
        <v>1512</v>
      </c>
      <c r="D213" s="147"/>
      <c r="E213" s="148" t="s">
        <v>1472</v>
      </c>
      <c r="F213" s="147" t="s">
        <v>106</v>
      </c>
      <c r="G213" s="147" t="s">
        <v>1429</v>
      </c>
      <c r="H213" s="147">
        <v>33</v>
      </c>
      <c r="I213" s="149">
        <f t="shared" ref="I213:I276" si="32">IF(AND(F213="SI",J213&lt;&gt;"",J213&lt;&gt;"NA"),CONCATENATE(H213,"_",J213),IF(F213="SI",H213,CONCATENATE(" REGISTRO COTIZACION NO EVALUADA: ",H213)))</f>
        <v>33</v>
      </c>
      <c r="J213" s="147"/>
      <c r="K213" s="336" t="s">
        <v>59</v>
      </c>
      <c r="L213" s="147">
        <v>100</v>
      </c>
      <c r="M213" s="147" t="s">
        <v>9</v>
      </c>
      <c r="N213" s="147"/>
      <c r="O213" s="147" t="s">
        <v>98</v>
      </c>
      <c r="P213" s="147">
        <v>1000</v>
      </c>
      <c r="Q213" s="150">
        <f t="shared" ref="Q213:Q276" si="33">(T213-S213)/S213</f>
        <v>0</v>
      </c>
      <c r="R213" s="151"/>
      <c r="S213" s="152">
        <v>3230</v>
      </c>
      <c r="T213" s="158">
        <v>3230</v>
      </c>
      <c r="U213" s="153"/>
      <c r="V213" s="154"/>
      <c r="W213" s="154"/>
      <c r="X213" s="155"/>
      <c r="Y213" s="155" t="s">
        <v>1394</v>
      </c>
      <c r="Z213" s="155" t="s">
        <v>1442</v>
      </c>
      <c r="AA213" s="273">
        <f t="shared" ref="AA213:AA276" si="34">S213/P213</f>
        <v>3.23</v>
      </c>
      <c r="AB213" s="273">
        <f t="shared" ref="AB213:AB276" si="35">T213/P213</f>
        <v>3.23</v>
      </c>
      <c r="AC213" s="156">
        <f t="shared" ref="AC213:AC276" si="36">P213</f>
        <v>1000</v>
      </c>
      <c r="AD213" s="274">
        <f t="shared" ref="AD213:AD276" si="37">AA213*AC213</f>
        <v>3230</v>
      </c>
      <c r="AE213" s="274">
        <f t="shared" si="31"/>
        <v>3230</v>
      </c>
      <c r="AF213" s="337"/>
    </row>
    <row r="214" spans="1:32">
      <c r="A214" s="337" t="s">
        <v>1523</v>
      </c>
      <c r="B214" s="146" t="s">
        <v>1</v>
      </c>
      <c r="C214" s="155" t="s">
        <v>1512</v>
      </c>
      <c r="D214" s="147"/>
      <c r="E214" s="148" t="s">
        <v>1472</v>
      </c>
      <c r="F214" s="147" t="s">
        <v>106</v>
      </c>
      <c r="G214" s="147" t="s">
        <v>1429</v>
      </c>
      <c r="H214" s="147">
        <v>42</v>
      </c>
      <c r="I214" s="149">
        <f t="shared" si="32"/>
        <v>42</v>
      </c>
      <c r="J214" s="147"/>
      <c r="K214" s="336" t="s">
        <v>61</v>
      </c>
      <c r="L214" s="147">
        <v>100</v>
      </c>
      <c r="M214" s="147" t="s">
        <v>9</v>
      </c>
      <c r="N214" s="147"/>
      <c r="O214" s="147" t="s">
        <v>98</v>
      </c>
      <c r="P214" s="147">
        <v>1000</v>
      </c>
      <c r="Q214" s="150">
        <f t="shared" si="33"/>
        <v>0</v>
      </c>
      <c r="R214" s="151"/>
      <c r="S214" s="152">
        <v>4395</v>
      </c>
      <c r="T214" s="158">
        <v>4395</v>
      </c>
      <c r="U214" s="153"/>
      <c r="V214" s="154"/>
      <c r="W214" s="154"/>
      <c r="X214" s="155"/>
      <c r="Y214" s="155" t="s">
        <v>1394</v>
      </c>
      <c r="Z214" s="155" t="s">
        <v>1442</v>
      </c>
      <c r="AA214" s="273">
        <f t="shared" si="34"/>
        <v>4.3949999999999996</v>
      </c>
      <c r="AB214" s="273">
        <f t="shared" si="35"/>
        <v>4.3949999999999996</v>
      </c>
      <c r="AC214" s="156">
        <f t="shared" si="36"/>
        <v>1000</v>
      </c>
      <c r="AD214" s="274">
        <f t="shared" si="37"/>
        <v>4395</v>
      </c>
      <c r="AE214" s="274">
        <f t="shared" si="31"/>
        <v>4395</v>
      </c>
      <c r="AF214" s="337"/>
    </row>
    <row r="215" spans="1:32">
      <c r="A215" s="337" t="s">
        <v>1523</v>
      </c>
      <c r="B215" s="146" t="s">
        <v>1</v>
      </c>
      <c r="C215" s="155" t="s">
        <v>1512</v>
      </c>
      <c r="D215" s="147"/>
      <c r="E215" s="148" t="s">
        <v>1472</v>
      </c>
      <c r="F215" s="147" t="s">
        <v>106</v>
      </c>
      <c r="G215" s="147" t="s">
        <v>1429</v>
      </c>
      <c r="H215" s="147">
        <v>46</v>
      </c>
      <c r="I215" s="149">
        <f t="shared" si="32"/>
        <v>46</v>
      </c>
      <c r="J215" s="147"/>
      <c r="K215" s="336" t="s">
        <v>1506</v>
      </c>
      <c r="L215" s="147">
        <v>100</v>
      </c>
      <c r="M215" s="147" t="s">
        <v>9</v>
      </c>
      <c r="N215" s="147"/>
      <c r="O215" s="147" t="s">
        <v>98</v>
      </c>
      <c r="P215" s="147">
        <v>1000</v>
      </c>
      <c r="Q215" s="150">
        <f t="shared" si="33"/>
        <v>0</v>
      </c>
      <c r="R215" s="151"/>
      <c r="S215" s="152">
        <v>3700</v>
      </c>
      <c r="T215" s="158">
        <v>3700</v>
      </c>
      <c r="U215" s="153"/>
      <c r="V215" s="154"/>
      <c r="W215" s="154"/>
      <c r="X215" s="155"/>
      <c r="Y215" s="155" t="s">
        <v>1394</v>
      </c>
      <c r="Z215" s="155" t="s">
        <v>1442</v>
      </c>
      <c r="AA215" s="273">
        <f t="shared" si="34"/>
        <v>3.7</v>
      </c>
      <c r="AB215" s="273">
        <f t="shared" si="35"/>
        <v>3.7</v>
      </c>
      <c r="AC215" s="156">
        <f t="shared" si="36"/>
        <v>1000</v>
      </c>
      <c r="AD215" s="274">
        <f t="shared" si="37"/>
        <v>3700</v>
      </c>
      <c r="AE215" s="274">
        <f t="shared" si="31"/>
        <v>3700</v>
      </c>
      <c r="AF215" s="337"/>
    </row>
    <row r="216" spans="1:32">
      <c r="A216" s="337" t="s">
        <v>1523</v>
      </c>
      <c r="B216" s="146" t="s">
        <v>1</v>
      </c>
      <c r="C216" s="155" t="s">
        <v>1512</v>
      </c>
      <c r="D216" s="147"/>
      <c r="E216" s="148" t="s">
        <v>1472</v>
      </c>
      <c r="F216" s="147" t="s">
        <v>106</v>
      </c>
      <c r="G216" s="147" t="s">
        <v>1429</v>
      </c>
      <c r="H216" s="147">
        <v>46</v>
      </c>
      <c r="I216" s="149">
        <f t="shared" si="32"/>
        <v>46</v>
      </c>
      <c r="J216" s="147"/>
      <c r="K216" s="336" t="s">
        <v>1507</v>
      </c>
      <c r="L216" s="147">
        <v>100</v>
      </c>
      <c r="M216" s="147" t="s">
        <v>9</v>
      </c>
      <c r="N216" s="147"/>
      <c r="O216" s="147" t="s">
        <v>98</v>
      </c>
      <c r="P216" s="147">
        <v>1000</v>
      </c>
      <c r="Q216" s="150">
        <f t="shared" si="33"/>
        <v>0</v>
      </c>
      <c r="R216" s="151"/>
      <c r="S216" s="152">
        <v>5232</v>
      </c>
      <c r="T216" s="158">
        <v>5232</v>
      </c>
      <c r="U216" s="153"/>
      <c r="V216" s="154"/>
      <c r="W216" s="154"/>
      <c r="X216" s="155"/>
      <c r="Y216" s="155" t="s">
        <v>1394</v>
      </c>
      <c r="Z216" s="155" t="s">
        <v>1442</v>
      </c>
      <c r="AA216" s="273">
        <f t="shared" si="34"/>
        <v>5.2320000000000002</v>
      </c>
      <c r="AB216" s="273">
        <f t="shared" si="35"/>
        <v>5.2320000000000002</v>
      </c>
      <c r="AC216" s="156">
        <f t="shared" si="36"/>
        <v>1000</v>
      </c>
      <c r="AD216" s="274">
        <f t="shared" si="37"/>
        <v>5232</v>
      </c>
      <c r="AE216" s="274">
        <f t="shared" si="31"/>
        <v>5232</v>
      </c>
      <c r="AF216" s="337"/>
    </row>
    <row r="217" spans="1:32">
      <c r="A217" s="337" t="s">
        <v>1523</v>
      </c>
      <c r="B217" s="146" t="s">
        <v>1</v>
      </c>
      <c r="C217" s="155" t="s">
        <v>1512</v>
      </c>
      <c r="D217" s="147"/>
      <c r="E217" s="148" t="s">
        <v>1472</v>
      </c>
      <c r="F217" s="147" t="s">
        <v>106</v>
      </c>
      <c r="G217" s="147" t="s">
        <v>1429</v>
      </c>
      <c r="H217" s="147">
        <v>46</v>
      </c>
      <c r="I217" s="149">
        <f t="shared" si="32"/>
        <v>46</v>
      </c>
      <c r="J217" s="147"/>
      <c r="K217" s="336" t="s">
        <v>1508</v>
      </c>
      <c r="L217" s="147">
        <v>100</v>
      </c>
      <c r="M217" s="147" t="s">
        <v>9</v>
      </c>
      <c r="N217" s="147"/>
      <c r="O217" s="147" t="s">
        <v>98</v>
      </c>
      <c r="P217" s="147">
        <v>1000</v>
      </c>
      <c r="Q217" s="150">
        <f t="shared" si="33"/>
        <v>0</v>
      </c>
      <c r="R217" s="151"/>
      <c r="S217" s="152">
        <v>4994</v>
      </c>
      <c r="T217" s="158">
        <v>4994</v>
      </c>
      <c r="U217" s="153"/>
      <c r="V217" s="154"/>
      <c r="W217" s="154"/>
      <c r="X217" s="155"/>
      <c r="Y217" s="155" t="s">
        <v>1394</v>
      </c>
      <c r="Z217" s="155" t="s">
        <v>1442</v>
      </c>
      <c r="AA217" s="273">
        <f t="shared" si="34"/>
        <v>4.9939999999999998</v>
      </c>
      <c r="AB217" s="273">
        <f t="shared" si="35"/>
        <v>4.9939999999999998</v>
      </c>
      <c r="AC217" s="156">
        <f t="shared" si="36"/>
        <v>1000</v>
      </c>
      <c r="AD217" s="274">
        <f t="shared" si="37"/>
        <v>4994</v>
      </c>
      <c r="AE217" s="274">
        <f t="shared" si="31"/>
        <v>4994</v>
      </c>
      <c r="AF217" s="337"/>
    </row>
    <row r="218" spans="1:32">
      <c r="A218" s="337" t="s">
        <v>1523</v>
      </c>
      <c r="B218" s="146" t="s">
        <v>1</v>
      </c>
      <c r="C218" s="155" t="s">
        <v>1512</v>
      </c>
      <c r="D218" s="147"/>
      <c r="E218" s="148" t="s">
        <v>1472</v>
      </c>
      <c r="F218" s="147" t="s">
        <v>106</v>
      </c>
      <c r="G218" s="147" t="s">
        <v>1429</v>
      </c>
      <c r="H218" s="147">
        <v>58</v>
      </c>
      <c r="I218" s="149">
        <f t="shared" si="32"/>
        <v>58</v>
      </c>
      <c r="J218" s="147"/>
      <c r="K218" s="336" t="s">
        <v>67</v>
      </c>
      <c r="L218" s="147">
        <v>100</v>
      </c>
      <c r="M218" s="147" t="s">
        <v>9</v>
      </c>
      <c r="N218" s="147"/>
      <c r="O218" s="147" t="s">
        <v>98</v>
      </c>
      <c r="P218" s="147">
        <v>1000</v>
      </c>
      <c r="Q218" s="150">
        <f t="shared" si="33"/>
        <v>0</v>
      </c>
      <c r="R218" s="151"/>
      <c r="S218" s="152">
        <v>2251</v>
      </c>
      <c r="T218" s="158">
        <v>2251</v>
      </c>
      <c r="U218" s="153"/>
      <c r="V218" s="154"/>
      <c r="W218" s="154"/>
      <c r="X218" s="155"/>
      <c r="Y218" s="155" t="s">
        <v>1394</v>
      </c>
      <c r="Z218" s="155" t="s">
        <v>1442</v>
      </c>
      <c r="AA218" s="273">
        <f t="shared" si="34"/>
        <v>2.2509999999999999</v>
      </c>
      <c r="AB218" s="273">
        <f t="shared" si="35"/>
        <v>2.2509999999999999</v>
      </c>
      <c r="AC218" s="156">
        <f t="shared" si="36"/>
        <v>1000</v>
      </c>
      <c r="AD218" s="274">
        <f t="shared" si="37"/>
        <v>2251</v>
      </c>
      <c r="AE218" s="274">
        <f t="shared" si="31"/>
        <v>2251</v>
      </c>
      <c r="AF218" s="337"/>
    </row>
    <row r="219" spans="1:32">
      <c r="A219" s="337" t="s">
        <v>1523</v>
      </c>
      <c r="B219" s="146" t="s">
        <v>1</v>
      </c>
      <c r="C219" s="155" t="s">
        <v>1512</v>
      </c>
      <c r="D219" s="147"/>
      <c r="E219" s="148" t="s">
        <v>1472</v>
      </c>
      <c r="F219" s="147" t="s">
        <v>106</v>
      </c>
      <c r="G219" s="147" t="s">
        <v>1429</v>
      </c>
      <c r="H219" s="147">
        <v>59</v>
      </c>
      <c r="I219" s="149">
        <f t="shared" si="32"/>
        <v>59</v>
      </c>
      <c r="J219" s="147"/>
      <c r="K219" s="336" t="s">
        <v>99</v>
      </c>
      <c r="L219" s="147">
        <v>100</v>
      </c>
      <c r="M219" s="147" t="s">
        <v>9</v>
      </c>
      <c r="N219" s="147"/>
      <c r="O219" s="147" t="s">
        <v>98</v>
      </c>
      <c r="P219" s="147">
        <v>1000</v>
      </c>
      <c r="Q219" s="150">
        <f t="shared" si="33"/>
        <v>0</v>
      </c>
      <c r="R219" s="151"/>
      <c r="S219" s="152">
        <v>3520</v>
      </c>
      <c r="T219" s="158">
        <v>3520</v>
      </c>
      <c r="U219" s="153"/>
      <c r="V219" s="154"/>
      <c r="W219" s="154"/>
      <c r="X219" s="155"/>
      <c r="Y219" s="155" t="s">
        <v>1394</v>
      </c>
      <c r="Z219" s="155" t="s">
        <v>1442</v>
      </c>
      <c r="AA219" s="273">
        <f t="shared" si="34"/>
        <v>3.52</v>
      </c>
      <c r="AB219" s="273">
        <f t="shared" si="35"/>
        <v>3.52</v>
      </c>
      <c r="AC219" s="156">
        <f t="shared" si="36"/>
        <v>1000</v>
      </c>
      <c r="AD219" s="274">
        <f t="shared" si="37"/>
        <v>3520</v>
      </c>
      <c r="AE219" s="274">
        <f t="shared" si="31"/>
        <v>3520</v>
      </c>
      <c r="AF219" s="337"/>
    </row>
    <row r="220" spans="1:32">
      <c r="A220" s="337" t="s">
        <v>1523</v>
      </c>
      <c r="B220" s="146" t="s">
        <v>1</v>
      </c>
      <c r="C220" s="155" t="s">
        <v>1512</v>
      </c>
      <c r="D220" s="147"/>
      <c r="E220" s="148" t="s">
        <v>1472</v>
      </c>
      <c r="F220" s="147" t="s">
        <v>106</v>
      </c>
      <c r="G220" s="147" t="s">
        <v>1429</v>
      </c>
      <c r="H220" s="147">
        <v>69</v>
      </c>
      <c r="I220" s="149">
        <f t="shared" si="32"/>
        <v>69</v>
      </c>
      <c r="J220" s="147"/>
      <c r="K220" s="336" t="s">
        <v>1509</v>
      </c>
      <c r="L220" s="147">
        <v>100</v>
      </c>
      <c r="M220" s="147" t="s">
        <v>9</v>
      </c>
      <c r="N220" s="147"/>
      <c r="O220" s="147" t="s">
        <v>98</v>
      </c>
      <c r="P220" s="147">
        <v>1000</v>
      </c>
      <c r="Q220" s="150">
        <f t="shared" si="33"/>
        <v>0</v>
      </c>
      <c r="R220" s="151"/>
      <c r="S220" s="152">
        <v>2867</v>
      </c>
      <c r="T220" s="158">
        <v>2867</v>
      </c>
      <c r="U220" s="153"/>
      <c r="V220" s="154"/>
      <c r="W220" s="154"/>
      <c r="X220" s="155"/>
      <c r="Y220" s="155" t="s">
        <v>1394</v>
      </c>
      <c r="Z220" s="155" t="s">
        <v>1442</v>
      </c>
      <c r="AA220" s="273">
        <f t="shared" si="34"/>
        <v>2.867</v>
      </c>
      <c r="AB220" s="273">
        <f t="shared" si="35"/>
        <v>2.867</v>
      </c>
      <c r="AC220" s="156">
        <f t="shared" si="36"/>
        <v>1000</v>
      </c>
      <c r="AD220" s="274">
        <f t="shared" si="37"/>
        <v>2867</v>
      </c>
      <c r="AE220" s="274">
        <f t="shared" si="31"/>
        <v>2867</v>
      </c>
      <c r="AF220" s="337"/>
    </row>
    <row r="221" spans="1:32">
      <c r="A221" s="337" t="s">
        <v>1523</v>
      </c>
      <c r="B221" s="146" t="s">
        <v>1</v>
      </c>
      <c r="C221" s="155" t="s">
        <v>1512</v>
      </c>
      <c r="D221" s="147"/>
      <c r="E221" s="148" t="s">
        <v>1472</v>
      </c>
      <c r="F221" s="147" t="s">
        <v>106</v>
      </c>
      <c r="G221" s="147" t="s">
        <v>1429</v>
      </c>
      <c r="H221" s="147">
        <v>70</v>
      </c>
      <c r="I221" s="149">
        <f t="shared" si="32"/>
        <v>70</v>
      </c>
      <c r="J221" s="147"/>
      <c r="K221" s="336" t="s">
        <v>1510</v>
      </c>
      <c r="L221" s="147">
        <v>100</v>
      </c>
      <c r="M221" s="147" t="s">
        <v>9</v>
      </c>
      <c r="N221" s="147"/>
      <c r="O221" s="147" t="s">
        <v>98</v>
      </c>
      <c r="P221" s="147">
        <v>1000</v>
      </c>
      <c r="Q221" s="150">
        <f t="shared" si="33"/>
        <v>0</v>
      </c>
      <c r="R221" s="151"/>
      <c r="S221" s="152">
        <v>3845</v>
      </c>
      <c r="T221" s="158">
        <v>3845</v>
      </c>
      <c r="U221" s="153"/>
      <c r="V221" s="154"/>
      <c r="W221" s="154"/>
      <c r="X221" s="155"/>
      <c r="Y221" s="155" t="s">
        <v>1394</v>
      </c>
      <c r="Z221" s="155" t="s">
        <v>1442</v>
      </c>
      <c r="AA221" s="273">
        <f t="shared" si="34"/>
        <v>3.8450000000000002</v>
      </c>
      <c r="AB221" s="273">
        <f t="shared" si="35"/>
        <v>3.8450000000000002</v>
      </c>
      <c r="AC221" s="156">
        <f t="shared" si="36"/>
        <v>1000</v>
      </c>
      <c r="AD221" s="274">
        <f t="shared" si="37"/>
        <v>3845</v>
      </c>
      <c r="AE221" s="274">
        <f t="shared" si="31"/>
        <v>3845</v>
      </c>
      <c r="AF221" s="337"/>
    </row>
    <row r="222" spans="1:32">
      <c r="A222" s="337" t="s">
        <v>1523</v>
      </c>
      <c r="B222" s="146" t="s">
        <v>1</v>
      </c>
      <c r="C222" s="155" t="s">
        <v>1512</v>
      </c>
      <c r="D222" s="147"/>
      <c r="E222" s="148" t="s">
        <v>1472</v>
      </c>
      <c r="F222" s="147" t="s">
        <v>106</v>
      </c>
      <c r="G222" s="147" t="s">
        <v>1429</v>
      </c>
      <c r="H222" s="147">
        <v>70</v>
      </c>
      <c r="I222" s="149">
        <f t="shared" si="32"/>
        <v>70</v>
      </c>
      <c r="J222" s="147"/>
      <c r="K222" s="336" t="s">
        <v>1511</v>
      </c>
      <c r="L222" s="147">
        <v>100</v>
      </c>
      <c r="M222" s="147" t="s">
        <v>9</v>
      </c>
      <c r="N222" s="147"/>
      <c r="O222" s="147" t="s">
        <v>98</v>
      </c>
      <c r="P222" s="147">
        <v>1000</v>
      </c>
      <c r="Q222" s="150">
        <f t="shared" si="33"/>
        <v>0</v>
      </c>
      <c r="R222" s="151"/>
      <c r="S222" s="152">
        <v>4341</v>
      </c>
      <c r="T222" s="158">
        <v>4341</v>
      </c>
      <c r="U222" s="153"/>
      <c r="V222" s="154"/>
      <c r="W222" s="154"/>
      <c r="X222" s="155"/>
      <c r="Y222" s="155" t="s">
        <v>1394</v>
      </c>
      <c r="Z222" s="155" t="s">
        <v>1442</v>
      </c>
      <c r="AA222" s="273">
        <f t="shared" si="34"/>
        <v>4.3410000000000002</v>
      </c>
      <c r="AB222" s="273">
        <f t="shared" si="35"/>
        <v>4.3410000000000002</v>
      </c>
      <c r="AC222" s="156">
        <f t="shared" si="36"/>
        <v>1000</v>
      </c>
      <c r="AD222" s="274">
        <f t="shared" si="37"/>
        <v>4341</v>
      </c>
      <c r="AE222" s="274">
        <f t="shared" si="31"/>
        <v>4341</v>
      </c>
      <c r="AF222" s="337"/>
    </row>
    <row r="223" spans="1:32">
      <c r="A223" s="337" t="s">
        <v>1523</v>
      </c>
      <c r="B223" s="146" t="s">
        <v>1</v>
      </c>
      <c r="C223" s="155" t="s">
        <v>1512</v>
      </c>
      <c r="D223" s="147"/>
      <c r="E223" s="148" t="s">
        <v>1473</v>
      </c>
      <c r="F223" s="147" t="s">
        <v>106</v>
      </c>
      <c r="G223" s="147" t="s">
        <v>1429</v>
      </c>
      <c r="H223" s="147">
        <v>7</v>
      </c>
      <c r="I223" s="149">
        <f t="shared" si="32"/>
        <v>7</v>
      </c>
      <c r="J223" s="147"/>
      <c r="K223" s="336" t="s">
        <v>57</v>
      </c>
      <c r="L223" s="147">
        <v>100</v>
      </c>
      <c r="M223" s="147" t="s">
        <v>9</v>
      </c>
      <c r="N223" s="147"/>
      <c r="O223" s="147" t="s">
        <v>98</v>
      </c>
      <c r="P223" s="147">
        <v>1000</v>
      </c>
      <c r="Q223" s="150">
        <f t="shared" si="33"/>
        <v>0</v>
      </c>
      <c r="R223" s="151"/>
      <c r="S223" s="152">
        <v>1000</v>
      </c>
      <c r="T223" s="158">
        <v>1000</v>
      </c>
      <c r="U223" s="153"/>
      <c r="V223" s="154"/>
      <c r="W223" s="154"/>
      <c r="X223" s="155"/>
      <c r="Y223" s="155" t="s">
        <v>1394</v>
      </c>
      <c r="Z223" s="155" t="s">
        <v>1442</v>
      </c>
      <c r="AA223" s="273">
        <f t="shared" si="34"/>
        <v>1</v>
      </c>
      <c r="AB223" s="273">
        <f t="shared" si="35"/>
        <v>1</v>
      </c>
      <c r="AC223" s="156">
        <f t="shared" si="36"/>
        <v>1000</v>
      </c>
      <c r="AD223" s="274">
        <f t="shared" si="37"/>
        <v>1000</v>
      </c>
      <c r="AE223" s="274">
        <f t="shared" si="31"/>
        <v>1000</v>
      </c>
      <c r="AF223" s="337"/>
    </row>
    <row r="224" spans="1:32">
      <c r="A224" s="337" t="s">
        <v>1523</v>
      </c>
      <c r="B224" s="146" t="s">
        <v>1</v>
      </c>
      <c r="C224" s="155" t="s">
        <v>1512</v>
      </c>
      <c r="D224" s="147"/>
      <c r="E224" s="148" t="s">
        <v>1473</v>
      </c>
      <c r="F224" s="147" t="s">
        <v>106</v>
      </c>
      <c r="G224" s="147" t="s">
        <v>1429</v>
      </c>
      <c r="H224" s="147">
        <v>8</v>
      </c>
      <c r="I224" s="149">
        <f t="shared" si="32"/>
        <v>8</v>
      </c>
      <c r="J224" s="147"/>
      <c r="K224" s="336" t="s">
        <v>55</v>
      </c>
      <c r="L224" s="147">
        <v>100</v>
      </c>
      <c r="M224" s="147" t="s">
        <v>9</v>
      </c>
      <c r="N224" s="147"/>
      <c r="O224" s="147" t="s">
        <v>98</v>
      </c>
      <c r="P224" s="147">
        <v>1000</v>
      </c>
      <c r="Q224" s="150">
        <f t="shared" si="33"/>
        <v>0</v>
      </c>
      <c r="R224" s="151"/>
      <c r="S224" s="152">
        <v>1250</v>
      </c>
      <c r="T224" s="158">
        <v>1250</v>
      </c>
      <c r="U224" s="153"/>
      <c r="V224" s="154"/>
      <c r="W224" s="154"/>
      <c r="X224" s="155"/>
      <c r="Y224" s="155" t="s">
        <v>1394</v>
      </c>
      <c r="Z224" s="155" t="s">
        <v>1442</v>
      </c>
      <c r="AA224" s="273">
        <f t="shared" si="34"/>
        <v>1.25</v>
      </c>
      <c r="AB224" s="273">
        <f t="shared" si="35"/>
        <v>1.25</v>
      </c>
      <c r="AC224" s="156">
        <f t="shared" si="36"/>
        <v>1000</v>
      </c>
      <c r="AD224" s="274">
        <f t="shared" si="37"/>
        <v>1250</v>
      </c>
      <c r="AE224" s="274">
        <f t="shared" si="31"/>
        <v>1250</v>
      </c>
      <c r="AF224" s="337"/>
    </row>
    <row r="225" spans="1:32">
      <c r="A225" s="337" t="s">
        <v>1523</v>
      </c>
      <c r="B225" s="146" t="s">
        <v>1</v>
      </c>
      <c r="C225" s="155" t="s">
        <v>1512</v>
      </c>
      <c r="D225" s="147"/>
      <c r="E225" s="148" t="s">
        <v>1473</v>
      </c>
      <c r="F225" s="147" t="s">
        <v>106</v>
      </c>
      <c r="G225" s="147" t="s">
        <v>1429</v>
      </c>
      <c r="H225" s="147">
        <v>17</v>
      </c>
      <c r="I225" s="149">
        <f t="shared" si="32"/>
        <v>17</v>
      </c>
      <c r="J225" s="147"/>
      <c r="K225" s="336" t="s">
        <v>53</v>
      </c>
      <c r="L225" s="147">
        <v>100</v>
      </c>
      <c r="M225" s="147" t="s">
        <v>9</v>
      </c>
      <c r="N225" s="147"/>
      <c r="O225" s="147" t="s">
        <v>98</v>
      </c>
      <c r="P225" s="147">
        <v>1000</v>
      </c>
      <c r="Q225" s="150">
        <f t="shared" si="33"/>
        <v>0</v>
      </c>
      <c r="R225" s="151"/>
      <c r="S225" s="152">
        <v>2839</v>
      </c>
      <c r="T225" s="158">
        <v>2839</v>
      </c>
      <c r="U225" s="153"/>
      <c r="V225" s="154"/>
      <c r="W225" s="154"/>
      <c r="X225" s="155"/>
      <c r="Y225" s="155" t="s">
        <v>1394</v>
      </c>
      <c r="Z225" s="155" t="s">
        <v>1442</v>
      </c>
      <c r="AA225" s="273">
        <f t="shared" si="34"/>
        <v>2.839</v>
      </c>
      <c r="AB225" s="273">
        <f t="shared" si="35"/>
        <v>2.839</v>
      </c>
      <c r="AC225" s="156">
        <f t="shared" si="36"/>
        <v>1000</v>
      </c>
      <c r="AD225" s="274">
        <f t="shared" si="37"/>
        <v>2839</v>
      </c>
      <c r="AE225" s="274">
        <f t="shared" si="31"/>
        <v>2839</v>
      </c>
      <c r="AF225" s="337"/>
    </row>
    <row r="226" spans="1:32">
      <c r="A226" s="337" t="s">
        <v>1523</v>
      </c>
      <c r="B226" s="146" t="s">
        <v>1</v>
      </c>
      <c r="C226" s="155" t="s">
        <v>1512</v>
      </c>
      <c r="D226" s="147"/>
      <c r="E226" s="148" t="s">
        <v>1473</v>
      </c>
      <c r="F226" s="147" t="s">
        <v>106</v>
      </c>
      <c r="G226" s="147" t="s">
        <v>1429</v>
      </c>
      <c r="H226" s="147">
        <v>22</v>
      </c>
      <c r="I226" s="149">
        <f t="shared" si="32"/>
        <v>22</v>
      </c>
      <c r="J226" s="147"/>
      <c r="K226" s="336" t="s">
        <v>51</v>
      </c>
      <c r="L226" s="147">
        <v>100</v>
      </c>
      <c r="M226" s="147" t="s">
        <v>9</v>
      </c>
      <c r="N226" s="147"/>
      <c r="O226" s="147" t="s">
        <v>98</v>
      </c>
      <c r="P226" s="147">
        <v>1000</v>
      </c>
      <c r="Q226" s="150">
        <f t="shared" si="33"/>
        <v>0</v>
      </c>
      <c r="R226" s="151"/>
      <c r="S226" s="152">
        <v>4767</v>
      </c>
      <c r="T226" s="158">
        <v>4767</v>
      </c>
      <c r="U226" s="153"/>
      <c r="V226" s="154"/>
      <c r="W226" s="154"/>
      <c r="X226" s="155"/>
      <c r="Y226" s="155" t="s">
        <v>1394</v>
      </c>
      <c r="Z226" s="155" t="s">
        <v>1442</v>
      </c>
      <c r="AA226" s="273">
        <f t="shared" si="34"/>
        <v>4.7670000000000003</v>
      </c>
      <c r="AB226" s="273">
        <f t="shared" si="35"/>
        <v>4.7670000000000003</v>
      </c>
      <c r="AC226" s="156">
        <f t="shared" si="36"/>
        <v>1000</v>
      </c>
      <c r="AD226" s="274">
        <f t="shared" si="37"/>
        <v>4767</v>
      </c>
      <c r="AE226" s="274">
        <f t="shared" si="31"/>
        <v>4767</v>
      </c>
      <c r="AF226" s="337"/>
    </row>
    <row r="227" spans="1:32">
      <c r="A227" s="337" t="s">
        <v>1523</v>
      </c>
      <c r="B227" s="146" t="s">
        <v>1</v>
      </c>
      <c r="C227" s="155" t="s">
        <v>1512</v>
      </c>
      <c r="D227" s="147"/>
      <c r="E227" s="148" t="s">
        <v>1473</v>
      </c>
      <c r="F227" s="147" t="s">
        <v>106</v>
      </c>
      <c r="G227" s="147" t="s">
        <v>1429</v>
      </c>
      <c r="H227" s="147">
        <v>33</v>
      </c>
      <c r="I227" s="149">
        <f t="shared" si="32"/>
        <v>33</v>
      </c>
      <c r="J227" s="147"/>
      <c r="K227" s="336" t="s">
        <v>59</v>
      </c>
      <c r="L227" s="147">
        <v>100</v>
      </c>
      <c r="M227" s="147" t="s">
        <v>9</v>
      </c>
      <c r="N227" s="147"/>
      <c r="O227" s="147" t="s">
        <v>98</v>
      </c>
      <c r="P227" s="147">
        <v>1000</v>
      </c>
      <c r="Q227" s="150">
        <f t="shared" si="33"/>
        <v>0</v>
      </c>
      <c r="R227" s="151"/>
      <c r="S227" s="152">
        <v>2800</v>
      </c>
      <c r="T227" s="158">
        <v>2800</v>
      </c>
      <c r="U227" s="153"/>
      <c r="V227" s="154"/>
      <c r="W227" s="154"/>
      <c r="X227" s="155"/>
      <c r="Y227" s="155" t="s">
        <v>1394</v>
      </c>
      <c r="Z227" s="155" t="s">
        <v>1442</v>
      </c>
      <c r="AA227" s="273">
        <f t="shared" si="34"/>
        <v>2.8</v>
      </c>
      <c r="AB227" s="273">
        <f t="shared" si="35"/>
        <v>2.8</v>
      </c>
      <c r="AC227" s="156">
        <f t="shared" si="36"/>
        <v>1000</v>
      </c>
      <c r="AD227" s="274">
        <f t="shared" si="37"/>
        <v>2800</v>
      </c>
      <c r="AE227" s="274">
        <f t="shared" si="31"/>
        <v>2800</v>
      </c>
      <c r="AF227" s="337"/>
    </row>
    <row r="228" spans="1:32">
      <c r="A228" s="337" t="s">
        <v>1523</v>
      </c>
      <c r="B228" s="146" t="s">
        <v>1</v>
      </c>
      <c r="C228" s="155" t="s">
        <v>1512</v>
      </c>
      <c r="D228" s="147"/>
      <c r="E228" s="148" t="s">
        <v>1473</v>
      </c>
      <c r="F228" s="147" t="s">
        <v>106</v>
      </c>
      <c r="G228" s="147" t="s">
        <v>1429</v>
      </c>
      <c r="H228" s="147">
        <v>42</v>
      </c>
      <c r="I228" s="149">
        <f t="shared" si="32"/>
        <v>42</v>
      </c>
      <c r="J228" s="147"/>
      <c r="K228" s="336" t="s">
        <v>61</v>
      </c>
      <c r="L228" s="147">
        <v>100</v>
      </c>
      <c r="M228" s="147" t="s">
        <v>9</v>
      </c>
      <c r="N228" s="147"/>
      <c r="O228" s="147" t="s">
        <v>98</v>
      </c>
      <c r="P228" s="147">
        <v>1000</v>
      </c>
      <c r="Q228" s="150">
        <f t="shared" si="33"/>
        <v>0</v>
      </c>
      <c r="R228" s="151"/>
      <c r="S228" s="152">
        <v>4199</v>
      </c>
      <c r="T228" s="158">
        <v>4199</v>
      </c>
      <c r="U228" s="153"/>
      <c r="V228" s="154"/>
      <c r="W228" s="154"/>
      <c r="X228" s="155"/>
      <c r="Y228" s="155" t="s">
        <v>1394</v>
      </c>
      <c r="Z228" s="155" t="s">
        <v>1442</v>
      </c>
      <c r="AA228" s="273">
        <f t="shared" si="34"/>
        <v>4.1989999999999998</v>
      </c>
      <c r="AB228" s="273">
        <f t="shared" si="35"/>
        <v>4.1989999999999998</v>
      </c>
      <c r="AC228" s="156">
        <f t="shared" si="36"/>
        <v>1000</v>
      </c>
      <c r="AD228" s="274">
        <f t="shared" si="37"/>
        <v>4199</v>
      </c>
      <c r="AE228" s="274">
        <f t="shared" si="31"/>
        <v>4199</v>
      </c>
      <c r="AF228" s="337"/>
    </row>
    <row r="229" spans="1:32">
      <c r="A229" s="337" t="s">
        <v>1523</v>
      </c>
      <c r="B229" s="146" t="s">
        <v>1</v>
      </c>
      <c r="C229" s="155" t="s">
        <v>1512</v>
      </c>
      <c r="D229" s="147"/>
      <c r="E229" s="148" t="s">
        <v>1473</v>
      </c>
      <c r="F229" s="147" t="s">
        <v>106</v>
      </c>
      <c r="G229" s="147" t="s">
        <v>1429</v>
      </c>
      <c r="H229" s="147">
        <v>46</v>
      </c>
      <c r="I229" s="149">
        <f t="shared" si="32"/>
        <v>46</v>
      </c>
      <c r="J229" s="147"/>
      <c r="K229" s="336" t="s">
        <v>1506</v>
      </c>
      <c r="L229" s="147">
        <v>100</v>
      </c>
      <c r="M229" s="147" t="s">
        <v>9</v>
      </c>
      <c r="N229" s="147"/>
      <c r="O229" s="147" t="s">
        <v>98</v>
      </c>
      <c r="P229" s="147">
        <v>1000</v>
      </c>
      <c r="Q229" s="150">
        <f t="shared" si="33"/>
        <v>0</v>
      </c>
      <c r="R229" s="151"/>
      <c r="S229" s="152">
        <v>3625</v>
      </c>
      <c r="T229" s="158">
        <v>3625</v>
      </c>
      <c r="U229" s="153"/>
      <c r="V229" s="154"/>
      <c r="W229" s="154"/>
      <c r="X229" s="155"/>
      <c r="Y229" s="155" t="s">
        <v>1394</v>
      </c>
      <c r="Z229" s="155" t="s">
        <v>1442</v>
      </c>
      <c r="AA229" s="273">
        <f t="shared" si="34"/>
        <v>3.625</v>
      </c>
      <c r="AB229" s="273">
        <f t="shared" si="35"/>
        <v>3.625</v>
      </c>
      <c r="AC229" s="156">
        <f t="shared" si="36"/>
        <v>1000</v>
      </c>
      <c r="AD229" s="274">
        <f t="shared" si="37"/>
        <v>3625</v>
      </c>
      <c r="AE229" s="274">
        <f t="shared" si="31"/>
        <v>3625</v>
      </c>
      <c r="AF229" s="337"/>
    </row>
    <row r="230" spans="1:32">
      <c r="A230" s="337" t="s">
        <v>1523</v>
      </c>
      <c r="B230" s="146" t="s">
        <v>1</v>
      </c>
      <c r="C230" s="155" t="s">
        <v>1512</v>
      </c>
      <c r="D230" s="147"/>
      <c r="E230" s="148" t="s">
        <v>1473</v>
      </c>
      <c r="F230" s="147" t="s">
        <v>106</v>
      </c>
      <c r="G230" s="147" t="s">
        <v>1429</v>
      </c>
      <c r="H230" s="147">
        <v>46</v>
      </c>
      <c r="I230" s="149">
        <f t="shared" si="32"/>
        <v>46</v>
      </c>
      <c r="J230" s="147"/>
      <c r="K230" s="336" t="s">
        <v>1507</v>
      </c>
      <c r="L230" s="147">
        <v>100</v>
      </c>
      <c r="M230" s="147" t="s">
        <v>9</v>
      </c>
      <c r="N230" s="147"/>
      <c r="O230" s="147" t="s">
        <v>98</v>
      </c>
      <c r="P230" s="147">
        <v>1000</v>
      </c>
      <c r="Q230" s="150">
        <f t="shared" si="33"/>
        <v>0</v>
      </c>
      <c r="R230" s="151"/>
      <c r="S230" s="152">
        <v>5253</v>
      </c>
      <c r="T230" s="158">
        <v>5253</v>
      </c>
      <c r="U230" s="153"/>
      <c r="V230" s="154"/>
      <c r="W230" s="154"/>
      <c r="X230" s="155"/>
      <c r="Y230" s="155" t="s">
        <v>1394</v>
      </c>
      <c r="Z230" s="155" t="s">
        <v>1442</v>
      </c>
      <c r="AA230" s="273">
        <f t="shared" si="34"/>
        <v>5.2530000000000001</v>
      </c>
      <c r="AB230" s="273">
        <f t="shared" si="35"/>
        <v>5.2530000000000001</v>
      </c>
      <c r="AC230" s="156">
        <f t="shared" si="36"/>
        <v>1000</v>
      </c>
      <c r="AD230" s="274">
        <f t="shared" si="37"/>
        <v>5253</v>
      </c>
      <c r="AE230" s="274">
        <f t="shared" si="31"/>
        <v>5253</v>
      </c>
      <c r="AF230" s="337"/>
    </row>
    <row r="231" spans="1:32">
      <c r="A231" s="337" t="s">
        <v>1523</v>
      </c>
      <c r="B231" s="146" t="s">
        <v>1</v>
      </c>
      <c r="C231" s="155" t="s">
        <v>1512</v>
      </c>
      <c r="D231" s="147"/>
      <c r="E231" s="148" t="s">
        <v>1473</v>
      </c>
      <c r="F231" s="147" t="s">
        <v>106</v>
      </c>
      <c r="G231" s="147" t="s">
        <v>1429</v>
      </c>
      <c r="H231" s="147">
        <v>46</v>
      </c>
      <c r="I231" s="149">
        <f t="shared" si="32"/>
        <v>46</v>
      </c>
      <c r="J231" s="147"/>
      <c r="K231" s="336" t="s">
        <v>1508</v>
      </c>
      <c r="L231" s="147">
        <v>100</v>
      </c>
      <c r="M231" s="147" t="s">
        <v>9</v>
      </c>
      <c r="N231" s="147"/>
      <c r="O231" s="147" t="s">
        <v>98</v>
      </c>
      <c r="P231" s="147">
        <v>1000</v>
      </c>
      <c r="Q231" s="150">
        <f t="shared" si="33"/>
        <v>0</v>
      </c>
      <c r="R231" s="151"/>
      <c r="S231" s="152">
        <v>4655</v>
      </c>
      <c r="T231" s="158">
        <v>4655</v>
      </c>
      <c r="U231" s="153"/>
      <c r="V231" s="154"/>
      <c r="W231" s="154"/>
      <c r="X231" s="155"/>
      <c r="Y231" s="155" t="s">
        <v>1394</v>
      </c>
      <c r="Z231" s="155" t="s">
        <v>1442</v>
      </c>
      <c r="AA231" s="273">
        <f t="shared" si="34"/>
        <v>4.6550000000000002</v>
      </c>
      <c r="AB231" s="273">
        <f t="shared" si="35"/>
        <v>4.6550000000000002</v>
      </c>
      <c r="AC231" s="156">
        <f t="shared" si="36"/>
        <v>1000</v>
      </c>
      <c r="AD231" s="274">
        <f t="shared" si="37"/>
        <v>4655</v>
      </c>
      <c r="AE231" s="274">
        <f t="shared" si="31"/>
        <v>4655</v>
      </c>
      <c r="AF231" s="337"/>
    </row>
    <row r="232" spans="1:32">
      <c r="A232" s="337" t="s">
        <v>1523</v>
      </c>
      <c r="B232" s="146" t="s">
        <v>1</v>
      </c>
      <c r="C232" s="155" t="s">
        <v>1512</v>
      </c>
      <c r="D232" s="147"/>
      <c r="E232" s="148" t="s">
        <v>1473</v>
      </c>
      <c r="F232" s="147" t="s">
        <v>106</v>
      </c>
      <c r="G232" s="147" t="s">
        <v>1429</v>
      </c>
      <c r="H232" s="147">
        <v>58</v>
      </c>
      <c r="I232" s="149">
        <f t="shared" si="32"/>
        <v>58</v>
      </c>
      <c r="J232" s="147"/>
      <c r="K232" s="336" t="s">
        <v>67</v>
      </c>
      <c r="L232" s="147">
        <v>100</v>
      </c>
      <c r="M232" s="147" t="s">
        <v>9</v>
      </c>
      <c r="N232" s="147"/>
      <c r="O232" s="147" t="s">
        <v>98</v>
      </c>
      <c r="P232" s="147">
        <v>1000</v>
      </c>
      <c r="Q232" s="150">
        <f t="shared" si="33"/>
        <v>0</v>
      </c>
      <c r="R232" s="151"/>
      <c r="S232" s="152">
        <v>1825</v>
      </c>
      <c r="T232" s="158">
        <v>1825</v>
      </c>
      <c r="U232" s="153"/>
      <c r="V232" s="154"/>
      <c r="W232" s="154"/>
      <c r="X232" s="155"/>
      <c r="Y232" s="155" t="s">
        <v>1394</v>
      </c>
      <c r="Z232" s="155" t="s">
        <v>1442</v>
      </c>
      <c r="AA232" s="273">
        <f t="shared" si="34"/>
        <v>1.825</v>
      </c>
      <c r="AB232" s="273">
        <f t="shared" si="35"/>
        <v>1.825</v>
      </c>
      <c r="AC232" s="156">
        <f t="shared" si="36"/>
        <v>1000</v>
      </c>
      <c r="AD232" s="274">
        <f t="shared" si="37"/>
        <v>1825</v>
      </c>
      <c r="AE232" s="274">
        <f t="shared" si="31"/>
        <v>1825</v>
      </c>
      <c r="AF232" s="337"/>
    </row>
    <row r="233" spans="1:32">
      <c r="A233" s="337" t="s">
        <v>1523</v>
      </c>
      <c r="B233" s="146" t="s">
        <v>1</v>
      </c>
      <c r="C233" s="155" t="s">
        <v>1512</v>
      </c>
      <c r="D233" s="147"/>
      <c r="E233" s="148" t="s">
        <v>1473</v>
      </c>
      <c r="F233" s="147" t="s">
        <v>106</v>
      </c>
      <c r="G233" s="147" t="s">
        <v>1429</v>
      </c>
      <c r="H233" s="147">
        <v>59</v>
      </c>
      <c r="I233" s="149">
        <f t="shared" si="32"/>
        <v>59</v>
      </c>
      <c r="J233" s="147"/>
      <c r="K233" s="336" t="s">
        <v>99</v>
      </c>
      <c r="L233" s="147">
        <v>100</v>
      </c>
      <c r="M233" s="147" t="s">
        <v>9</v>
      </c>
      <c r="N233" s="147"/>
      <c r="O233" s="147" t="s">
        <v>98</v>
      </c>
      <c r="P233" s="147">
        <v>1000</v>
      </c>
      <c r="Q233" s="150">
        <f t="shared" si="33"/>
        <v>0</v>
      </c>
      <c r="R233" s="151"/>
      <c r="S233" s="152">
        <v>3313</v>
      </c>
      <c r="T233" s="158">
        <v>3313</v>
      </c>
      <c r="U233" s="153"/>
      <c r="V233" s="154"/>
      <c r="W233" s="154"/>
      <c r="X233" s="155"/>
      <c r="Y233" s="155" t="s">
        <v>1394</v>
      </c>
      <c r="Z233" s="155" t="s">
        <v>1442</v>
      </c>
      <c r="AA233" s="273">
        <f t="shared" si="34"/>
        <v>3.3130000000000002</v>
      </c>
      <c r="AB233" s="273">
        <f t="shared" si="35"/>
        <v>3.3130000000000002</v>
      </c>
      <c r="AC233" s="156">
        <f t="shared" si="36"/>
        <v>1000</v>
      </c>
      <c r="AD233" s="274">
        <f t="shared" si="37"/>
        <v>3313</v>
      </c>
      <c r="AE233" s="274">
        <f t="shared" si="31"/>
        <v>3313</v>
      </c>
      <c r="AF233" s="337"/>
    </row>
    <row r="234" spans="1:32">
      <c r="A234" s="337" t="s">
        <v>1523</v>
      </c>
      <c r="B234" s="146" t="s">
        <v>1</v>
      </c>
      <c r="C234" s="155" t="s">
        <v>1512</v>
      </c>
      <c r="D234" s="147"/>
      <c r="E234" s="148" t="s">
        <v>1473</v>
      </c>
      <c r="F234" s="147" t="s">
        <v>106</v>
      </c>
      <c r="G234" s="147" t="s">
        <v>1429</v>
      </c>
      <c r="H234" s="147">
        <v>69</v>
      </c>
      <c r="I234" s="149">
        <f t="shared" si="32"/>
        <v>69</v>
      </c>
      <c r="J234" s="147"/>
      <c r="K234" s="336" t="s">
        <v>1509</v>
      </c>
      <c r="L234" s="147">
        <v>100</v>
      </c>
      <c r="M234" s="147" t="s">
        <v>9</v>
      </c>
      <c r="N234" s="147"/>
      <c r="O234" s="147" t="s">
        <v>98</v>
      </c>
      <c r="P234" s="147">
        <v>1000</v>
      </c>
      <c r="Q234" s="150">
        <f t="shared" si="33"/>
        <v>0</v>
      </c>
      <c r="R234" s="151"/>
      <c r="S234" s="152">
        <v>2951</v>
      </c>
      <c r="T234" s="158">
        <v>2951</v>
      </c>
      <c r="U234" s="153"/>
      <c r="V234" s="154"/>
      <c r="W234" s="154"/>
      <c r="X234" s="155"/>
      <c r="Y234" s="155" t="s">
        <v>1394</v>
      </c>
      <c r="Z234" s="155" t="s">
        <v>1442</v>
      </c>
      <c r="AA234" s="273">
        <f t="shared" si="34"/>
        <v>2.9510000000000001</v>
      </c>
      <c r="AB234" s="273">
        <f t="shared" si="35"/>
        <v>2.9510000000000001</v>
      </c>
      <c r="AC234" s="156">
        <f t="shared" si="36"/>
        <v>1000</v>
      </c>
      <c r="AD234" s="274">
        <f t="shared" si="37"/>
        <v>2951</v>
      </c>
      <c r="AE234" s="274">
        <f t="shared" si="31"/>
        <v>2951</v>
      </c>
      <c r="AF234" s="337"/>
    </row>
    <row r="235" spans="1:32">
      <c r="A235" s="337" t="s">
        <v>1523</v>
      </c>
      <c r="B235" s="146" t="s">
        <v>1</v>
      </c>
      <c r="C235" s="155" t="s">
        <v>1512</v>
      </c>
      <c r="D235" s="147"/>
      <c r="E235" s="148" t="s">
        <v>1473</v>
      </c>
      <c r="F235" s="147" t="s">
        <v>106</v>
      </c>
      <c r="G235" s="147" t="s">
        <v>1429</v>
      </c>
      <c r="H235" s="147">
        <v>70</v>
      </c>
      <c r="I235" s="149">
        <f t="shared" si="32"/>
        <v>70</v>
      </c>
      <c r="J235" s="147"/>
      <c r="K235" s="336" t="s">
        <v>1510</v>
      </c>
      <c r="L235" s="147">
        <v>100</v>
      </c>
      <c r="M235" s="147" t="s">
        <v>9</v>
      </c>
      <c r="N235" s="147"/>
      <c r="O235" s="147" t="s">
        <v>98</v>
      </c>
      <c r="P235" s="147">
        <v>1000</v>
      </c>
      <c r="Q235" s="150">
        <f t="shared" si="33"/>
        <v>0</v>
      </c>
      <c r="R235" s="151"/>
      <c r="S235" s="152">
        <v>3782</v>
      </c>
      <c r="T235" s="158">
        <v>3782</v>
      </c>
      <c r="U235" s="153"/>
      <c r="V235" s="154"/>
      <c r="W235" s="154"/>
      <c r="X235" s="155"/>
      <c r="Y235" s="155" t="s">
        <v>1394</v>
      </c>
      <c r="Z235" s="155" t="s">
        <v>1442</v>
      </c>
      <c r="AA235" s="273">
        <f t="shared" si="34"/>
        <v>3.782</v>
      </c>
      <c r="AB235" s="273">
        <f t="shared" si="35"/>
        <v>3.782</v>
      </c>
      <c r="AC235" s="156">
        <f t="shared" si="36"/>
        <v>1000</v>
      </c>
      <c r="AD235" s="274">
        <f t="shared" si="37"/>
        <v>3782</v>
      </c>
      <c r="AE235" s="274">
        <f t="shared" si="31"/>
        <v>3782</v>
      </c>
      <c r="AF235" s="337"/>
    </row>
    <row r="236" spans="1:32">
      <c r="A236" s="337" t="s">
        <v>1523</v>
      </c>
      <c r="B236" s="146" t="s">
        <v>1</v>
      </c>
      <c r="C236" s="155" t="s">
        <v>1512</v>
      </c>
      <c r="D236" s="147"/>
      <c r="E236" s="148" t="s">
        <v>1473</v>
      </c>
      <c r="F236" s="147" t="s">
        <v>106</v>
      </c>
      <c r="G236" s="147" t="s">
        <v>1429</v>
      </c>
      <c r="H236" s="147">
        <v>70</v>
      </c>
      <c r="I236" s="149">
        <f t="shared" si="32"/>
        <v>70</v>
      </c>
      <c r="J236" s="147"/>
      <c r="K236" s="336" t="s">
        <v>1511</v>
      </c>
      <c r="L236" s="147">
        <v>100</v>
      </c>
      <c r="M236" s="147" t="s">
        <v>9</v>
      </c>
      <c r="N236" s="147"/>
      <c r="O236" s="147" t="s">
        <v>98</v>
      </c>
      <c r="P236" s="147">
        <v>1000</v>
      </c>
      <c r="Q236" s="150">
        <f t="shared" si="33"/>
        <v>0</v>
      </c>
      <c r="R236" s="151"/>
      <c r="S236" s="152">
        <v>4108</v>
      </c>
      <c r="T236" s="158">
        <v>4108</v>
      </c>
      <c r="U236" s="153"/>
      <c r="V236" s="154"/>
      <c r="W236" s="154"/>
      <c r="X236" s="155"/>
      <c r="Y236" s="155" t="s">
        <v>1394</v>
      </c>
      <c r="Z236" s="155" t="s">
        <v>1442</v>
      </c>
      <c r="AA236" s="273">
        <f t="shared" si="34"/>
        <v>4.1079999999999997</v>
      </c>
      <c r="AB236" s="273">
        <f t="shared" si="35"/>
        <v>4.1079999999999997</v>
      </c>
      <c r="AC236" s="156">
        <f t="shared" si="36"/>
        <v>1000</v>
      </c>
      <c r="AD236" s="274">
        <f t="shared" si="37"/>
        <v>4108</v>
      </c>
      <c r="AE236" s="274">
        <f t="shared" si="31"/>
        <v>4108</v>
      </c>
      <c r="AF236" s="337"/>
    </row>
    <row r="237" spans="1:32">
      <c r="A237" s="337" t="s">
        <v>1523</v>
      </c>
      <c r="B237" s="146" t="s">
        <v>1</v>
      </c>
      <c r="C237" s="155" t="s">
        <v>1512</v>
      </c>
      <c r="D237" s="147"/>
      <c r="E237" s="148" t="s">
        <v>1474</v>
      </c>
      <c r="F237" s="147" t="s">
        <v>106</v>
      </c>
      <c r="G237" s="147" t="s">
        <v>1429</v>
      </c>
      <c r="H237" s="147">
        <v>7</v>
      </c>
      <c r="I237" s="149">
        <f t="shared" si="32"/>
        <v>7</v>
      </c>
      <c r="J237" s="147"/>
      <c r="K237" s="336" t="s">
        <v>57</v>
      </c>
      <c r="L237" s="147">
        <v>100</v>
      </c>
      <c r="M237" s="147" t="s">
        <v>9</v>
      </c>
      <c r="N237" s="147"/>
      <c r="O237" s="147" t="s">
        <v>98</v>
      </c>
      <c r="P237" s="147">
        <v>1000</v>
      </c>
      <c r="Q237" s="150">
        <f t="shared" si="33"/>
        <v>0</v>
      </c>
      <c r="R237" s="151"/>
      <c r="S237" s="152">
        <v>1000</v>
      </c>
      <c r="T237" s="158">
        <v>1000</v>
      </c>
      <c r="U237" s="153"/>
      <c r="V237" s="154"/>
      <c r="W237" s="154"/>
      <c r="X237" s="155"/>
      <c r="Y237" s="155" t="s">
        <v>1394</v>
      </c>
      <c r="Z237" s="155" t="s">
        <v>1442</v>
      </c>
      <c r="AA237" s="273">
        <f t="shared" si="34"/>
        <v>1</v>
      </c>
      <c r="AB237" s="273">
        <f t="shared" si="35"/>
        <v>1</v>
      </c>
      <c r="AC237" s="156">
        <f t="shared" si="36"/>
        <v>1000</v>
      </c>
      <c r="AD237" s="274">
        <f t="shared" si="37"/>
        <v>1000</v>
      </c>
      <c r="AE237" s="274">
        <f t="shared" si="31"/>
        <v>1000</v>
      </c>
      <c r="AF237" s="337"/>
    </row>
    <row r="238" spans="1:32">
      <c r="A238" s="337" t="s">
        <v>1523</v>
      </c>
      <c r="B238" s="146" t="s">
        <v>1</v>
      </c>
      <c r="C238" s="155" t="s">
        <v>1512</v>
      </c>
      <c r="D238" s="147"/>
      <c r="E238" s="148" t="s">
        <v>1474</v>
      </c>
      <c r="F238" s="147" t="s">
        <v>106</v>
      </c>
      <c r="G238" s="147" t="s">
        <v>1429</v>
      </c>
      <c r="H238" s="147">
        <v>8</v>
      </c>
      <c r="I238" s="149">
        <f t="shared" si="32"/>
        <v>8</v>
      </c>
      <c r="J238" s="147"/>
      <c r="K238" s="336" t="s">
        <v>55</v>
      </c>
      <c r="L238" s="147">
        <v>100</v>
      </c>
      <c r="M238" s="147" t="s">
        <v>9</v>
      </c>
      <c r="N238" s="147"/>
      <c r="O238" s="147" t="s">
        <v>98</v>
      </c>
      <c r="P238" s="147">
        <v>1000</v>
      </c>
      <c r="Q238" s="150">
        <f t="shared" si="33"/>
        <v>0</v>
      </c>
      <c r="R238" s="151"/>
      <c r="S238" s="152">
        <v>1250</v>
      </c>
      <c r="T238" s="158">
        <v>1250</v>
      </c>
      <c r="U238" s="153"/>
      <c r="V238" s="154"/>
      <c r="W238" s="154"/>
      <c r="X238" s="155"/>
      <c r="Y238" s="155" t="s">
        <v>1394</v>
      </c>
      <c r="Z238" s="155" t="s">
        <v>1442</v>
      </c>
      <c r="AA238" s="273">
        <f t="shared" si="34"/>
        <v>1.25</v>
      </c>
      <c r="AB238" s="273">
        <f t="shared" si="35"/>
        <v>1.25</v>
      </c>
      <c r="AC238" s="156">
        <f t="shared" si="36"/>
        <v>1000</v>
      </c>
      <c r="AD238" s="274">
        <f t="shared" si="37"/>
        <v>1250</v>
      </c>
      <c r="AE238" s="274">
        <f t="shared" si="31"/>
        <v>1250</v>
      </c>
      <c r="AF238" s="337"/>
    </row>
    <row r="239" spans="1:32">
      <c r="A239" s="337" t="s">
        <v>1523</v>
      </c>
      <c r="B239" s="146" t="s">
        <v>1</v>
      </c>
      <c r="C239" s="155" t="s">
        <v>1512</v>
      </c>
      <c r="D239" s="147"/>
      <c r="E239" s="148" t="s">
        <v>1474</v>
      </c>
      <c r="F239" s="147" t="s">
        <v>106</v>
      </c>
      <c r="G239" s="147" t="s">
        <v>1429</v>
      </c>
      <c r="H239" s="147">
        <v>17</v>
      </c>
      <c r="I239" s="149">
        <f t="shared" si="32"/>
        <v>17</v>
      </c>
      <c r="J239" s="147"/>
      <c r="K239" s="336" t="s">
        <v>53</v>
      </c>
      <c r="L239" s="147">
        <v>100</v>
      </c>
      <c r="M239" s="147" t="s">
        <v>9</v>
      </c>
      <c r="N239" s="147"/>
      <c r="O239" s="147" t="s">
        <v>98</v>
      </c>
      <c r="P239" s="147">
        <v>1000</v>
      </c>
      <c r="Q239" s="150">
        <f t="shared" si="33"/>
        <v>0</v>
      </c>
      <c r="R239" s="151"/>
      <c r="S239" s="152">
        <v>2544</v>
      </c>
      <c r="T239" s="158">
        <v>2544</v>
      </c>
      <c r="U239" s="153"/>
      <c r="V239" s="154"/>
      <c r="W239" s="154"/>
      <c r="X239" s="155"/>
      <c r="Y239" s="155" t="s">
        <v>1394</v>
      </c>
      <c r="Z239" s="155" t="s">
        <v>1442</v>
      </c>
      <c r="AA239" s="273">
        <f t="shared" si="34"/>
        <v>2.544</v>
      </c>
      <c r="AB239" s="273">
        <f t="shared" si="35"/>
        <v>2.544</v>
      </c>
      <c r="AC239" s="156">
        <f t="shared" si="36"/>
        <v>1000</v>
      </c>
      <c r="AD239" s="274">
        <f t="shared" si="37"/>
        <v>2544</v>
      </c>
      <c r="AE239" s="274">
        <f t="shared" si="31"/>
        <v>2544</v>
      </c>
      <c r="AF239" s="337"/>
    </row>
    <row r="240" spans="1:32">
      <c r="A240" s="337" t="s">
        <v>1523</v>
      </c>
      <c r="B240" s="146" t="s">
        <v>1</v>
      </c>
      <c r="C240" s="155" t="s">
        <v>1512</v>
      </c>
      <c r="D240" s="147"/>
      <c r="E240" s="148" t="s">
        <v>1474</v>
      </c>
      <c r="F240" s="147" t="s">
        <v>106</v>
      </c>
      <c r="G240" s="147" t="s">
        <v>1429</v>
      </c>
      <c r="H240" s="147">
        <v>22</v>
      </c>
      <c r="I240" s="149">
        <f t="shared" si="32"/>
        <v>22</v>
      </c>
      <c r="J240" s="147"/>
      <c r="K240" s="336" t="s">
        <v>51</v>
      </c>
      <c r="L240" s="147">
        <v>100</v>
      </c>
      <c r="M240" s="147" t="s">
        <v>9</v>
      </c>
      <c r="N240" s="147"/>
      <c r="O240" s="147" t="s">
        <v>98</v>
      </c>
      <c r="P240" s="147">
        <v>1000</v>
      </c>
      <c r="Q240" s="150">
        <f t="shared" si="33"/>
        <v>0</v>
      </c>
      <c r="R240" s="151"/>
      <c r="S240" s="152">
        <v>4958</v>
      </c>
      <c r="T240" s="158">
        <v>4958</v>
      </c>
      <c r="U240" s="153"/>
      <c r="V240" s="154"/>
      <c r="W240" s="154"/>
      <c r="X240" s="155"/>
      <c r="Y240" s="155" t="s">
        <v>1394</v>
      </c>
      <c r="Z240" s="155" t="s">
        <v>1442</v>
      </c>
      <c r="AA240" s="273">
        <f t="shared" si="34"/>
        <v>4.9580000000000002</v>
      </c>
      <c r="AB240" s="273">
        <f t="shared" si="35"/>
        <v>4.9580000000000002</v>
      </c>
      <c r="AC240" s="156">
        <f t="shared" si="36"/>
        <v>1000</v>
      </c>
      <c r="AD240" s="274">
        <f t="shared" si="37"/>
        <v>4958</v>
      </c>
      <c r="AE240" s="274">
        <f t="shared" si="31"/>
        <v>4958</v>
      </c>
      <c r="AF240" s="337"/>
    </row>
    <row r="241" spans="1:32">
      <c r="A241" s="337" t="s">
        <v>1523</v>
      </c>
      <c r="B241" s="146" t="s">
        <v>1</v>
      </c>
      <c r="C241" s="155" t="s">
        <v>1512</v>
      </c>
      <c r="D241" s="147"/>
      <c r="E241" s="148" t="s">
        <v>1474</v>
      </c>
      <c r="F241" s="147" t="s">
        <v>106</v>
      </c>
      <c r="G241" s="147" t="s">
        <v>1429</v>
      </c>
      <c r="H241" s="147">
        <v>33</v>
      </c>
      <c r="I241" s="149">
        <f t="shared" si="32"/>
        <v>33</v>
      </c>
      <c r="J241" s="147"/>
      <c r="K241" s="336" t="s">
        <v>59</v>
      </c>
      <c r="L241" s="147">
        <v>100</v>
      </c>
      <c r="M241" s="147" t="s">
        <v>9</v>
      </c>
      <c r="N241" s="147"/>
      <c r="O241" s="147" t="s">
        <v>98</v>
      </c>
      <c r="P241" s="147">
        <v>1000</v>
      </c>
      <c r="Q241" s="150">
        <f t="shared" si="33"/>
        <v>0</v>
      </c>
      <c r="R241" s="151"/>
      <c r="S241" s="152">
        <v>2693</v>
      </c>
      <c r="T241" s="158">
        <v>2693</v>
      </c>
      <c r="U241" s="153"/>
      <c r="V241" s="154"/>
      <c r="W241" s="154"/>
      <c r="X241" s="155"/>
      <c r="Y241" s="155" t="s">
        <v>1394</v>
      </c>
      <c r="Z241" s="155" t="s">
        <v>1442</v>
      </c>
      <c r="AA241" s="273">
        <f t="shared" si="34"/>
        <v>2.6930000000000001</v>
      </c>
      <c r="AB241" s="273">
        <f t="shared" si="35"/>
        <v>2.6930000000000001</v>
      </c>
      <c r="AC241" s="156">
        <f t="shared" si="36"/>
        <v>1000</v>
      </c>
      <c r="AD241" s="274">
        <f t="shared" si="37"/>
        <v>2693</v>
      </c>
      <c r="AE241" s="274">
        <f t="shared" si="31"/>
        <v>2693</v>
      </c>
      <c r="AF241" s="337"/>
    </row>
    <row r="242" spans="1:32">
      <c r="A242" s="337" t="s">
        <v>1523</v>
      </c>
      <c r="B242" s="146" t="s">
        <v>1</v>
      </c>
      <c r="C242" s="155" t="s">
        <v>1512</v>
      </c>
      <c r="D242" s="147"/>
      <c r="E242" s="148" t="s">
        <v>1474</v>
      </c>
      <c r="F242" s="147" t="s">
        <v>106</v>
      </c>
      <c r="G242" s="147" t="s">
        <v>1429</v>
      </c>
      <c r="H242" s="147">
        <v>42</v>
      </c>
      <c r="I242" s="149">
        <f t="shared" si="32"/>
        <v>42</v>
      </c>
      <c r="J242" s="147"/>
      <c r="K242" s="336" t="s">
        <v>61</v>
      </c>
      <c r="L242" s="147">
        <v>100</v>
      </c>
      <c r="M242" s="147" t="s">
        <v>9</v>
      </c>
      <c r="N242" s="147"/>
      <c r="O242" s="147" t="s">
        <v>98</v>
      </c>
      <c r="P242" s="147">
        <v>1000</v>
      </c>
      <c r="Q242" s="150">
        <f t="shared" si="33"/>
        <v>0</v>
      </c>
      <c r="R242" s="151"/>
      <c r="S242" s="152">
        <v>4193</v>
      </c>
      <c r="T242" s="158">
        <v>4193</v>
      </c>
      <c r="U242" s="153"/>
      <c r="V242" s="154"/>
      <c r="W242" s="154"/>
      <c r="X242" s="155"/>
      <c r="Y242" s="155" t="s">
        <v>1394</v>
      </c>
      <c r="Z242" s="155" t="s">
        <v>1442</v>
      </c>
      <c r="AA242" s="273">
        <f t="shared" si="34"/>
        <v>4.1929999999999996</v>
      </c>
      <c r="AB242" s="273">
        <f t="shared" si="35"/>
        <v>4.1929999999999996</v>
      </c>
      <c r="AC242" s="156">
        <f t="shared" si="36"/>
        <v>1000</v>
      </c>
      <c r="AD242" s="274">
        <f t="shared" si="37"/>
        <v>4193</v>
      </c>
      <c r="AE242" s="274">
        <f t="shared" si="31"/>
        <v>4193</v>
      </c>
      <c r="AF242" s="337"/>
    </row>
    <row r="243" spans="1:32">
      <c r="A243" s="337" t="s">
        <v>1523</v>
      </c>
      <c r="B243" s="146" t="s">
        <v>1</v>
      </c>
      <c r="C243" s="155" t="s">
        <v>1512</v>
      </c>
      <c r="D243" s="147"/>
      <c r="E243" s="148" t="s">
        <v>1474</v>
      </c>
      <c r="F243" s="147" t="s">
        <v>106</v>
      </c>
      <c r="G243" s="147" t="s">
        <v>1429</v>
      </c>
      <c r="H243" s="147">
        <v>46</v>
      </c>
      <c r="I243" s="149">
        <f t="shared" si="32"/>
        <v>46</v>
      </c>
      <c r="J243" s="147"/>
      <c r="K243" s="336" t="s">
        <v>1506</v>
      </c>
      <c r="L243" s="147">
        <v>100</v>
      </c>
      <c r="M243" s="147" t="s">
        <v>9</v>
      </c>
      <c r="N243" s="147"/>
      <c r="O243" s="147" t="s">
        <v>98</v>
      </c>
      <c r="P243" s="147">
        <v>1000</v>
      </c>
      <c r="Q243" s="150">
        <f t="shared" si="33"/>
        <v>0</v>
      </c>
      <c r="R243" s="151"/>
      <c r="S243" s="152">
        <v>3542</v>
      </c>
      <c r="T243" s="158">
        <v>3542</v>
      </c>
      <c r="U243" s="153"/>
      <c r="V243" s="154"/>
      <c r="W243" s="154"/>
      <c r="X243" s="155"/>
      <c r="Y243" s="155" t="s">
        <v>1394</v>
      </c>
      <c r="Z243" s="155" t="s">
        <v>1442</v>
      </c>
      <c r="AA243" s="273">
        <f t="shared" si="34"/>
        <v>3.5419999999999998</v>
      </c>
      <c r="AB243" s="273">
        <f t="shared" si="35"/>
        <v>3.5419999999999998</v>
      </c>
      <c r="AC243" s="156">
        <f t="shared" si="36"/>
        <v>1000</v>
      </c>
      <c r="AD243" s="274">
        <f t="shared" si="37"/>
        <v>3542</v>
      </c>
      <c r="AE243" s="274">
        <f t="shared" si="31"/>
        <v>3542</v>
      </c>
      <c r="AF243" s="337"/>
    </row>
    <row r="244" spans="1:32">
      <c r="A244" s="337" t="s">
        <v>1523</v>
      </c>
      <c r="B244" s="146" t="s">
        <v>1</v>
      </c>
      <c r="C244" s="155" t="s">
        <v>1512</v>
      </c>
      <c r="D244" s="147"/>
      <c r="E244" s="148" t="s">
        <v>1474</v>
      </c>
      <c r="F244" s="147" t="s">
        <v>106</v>
      </c>
      <c r="G244" s="147" t="s">
        <v>1429</v>
      </c>
      <c r="H244" s="147">
        <v>46</v>
      </c>
      <c r="I244" s="149">
        <f t="shared" si="32"/>
        <v>46</v>
      </c>
      <c r="J244" s="147"/>
      <c r="K244" s="336" t="s">
        <v>1507</v>
      </c>
      <c r="L244" s="147">
        <v>100</v>
      </c>
      <c r="M244" s="147" t="s">
        <v>9</v>
      </c>
      <c r="N244" s="147"/>
      <c r="O244" s="147" t="s">
        <v>98</v>
      </c>
      <c r="P244" s="147">
        <v>1000</v>
      </c>
      <c r="Q244" s="150">
        <f t="shared" si="33"/>
        <v>0</v>
      </c>
      <c r="R244" s="151"/>
      <c r="S244" s="152">
        <v>5197</v>
      </c>
      <c r="T244" s="158">
        <v>5197</v>
      </c>
      <c r="U244" s="153"/>
      <c r="V244" s="154"/>
      <c r="W244" s="154"/>
      <c r="X244" s="155"/>
      <c r="Y244" s="155" t="s">
        <v>1394</v>
      </c>
      <c r="Z244" s="155" t="s">
        <v>1442</v>
      </c>
      <c r="AA244" s="273">
        <f t="shared" si="34"/>
        <v>5.1970000000000001</v>
      </c>
      <c r="AB244" s="273">
        <f t="shared" si="35"/>
        <v>5.1970000000000001</v>
      </c>
      <c r="AC244" s="156">
        <f t="shared" si="36"/>
        <v>1000</v>
      </c>
      <c r="AD244" s="274">
        <f t="shared" si="37"/>
        <v>5197</v>
      </c>
      <c r="AE244" s="274">
        <f t="shared" si="31"/>
        <v>5197</v>
      </c>
      <c r="AF244" s="337"/>
    </row>
    <row r="245" spans="1:32">
      <c r="A245" s="337" t="s">
        <v>1523</v>
      </c>
      <c r="B245" s="146" t="s">
        <v>1</v>
      </c>
      <c r="C245" s="155" t="s">
        <v>1512</v>
      </c>
      <c r="D245" s="147"/>
      <c r="E245" s="148" t="s">
        <v>1474</v>
      </c>
      <c r="F245" s="147" t="s">
        <v>106</v>
      </c>
      <c r="G245" s="147" t="s">
        <v>1429</v>
      </c>
      <c r="H245" s="147">
        <v>46</v>
      </c>
      <c r="I245" s="149">
        <f t="shared" si="32"/>
        <v>46</v>
      </c>
      <c r="J245" s="147"/>
      <c r="K245" s="336" t="s">
        <v>1508</v>
      </c>
      <c r="L245" s="147">
        <v>100</v>
      </c>
      <c r="M245" s="147" t="s">
        <v>9</v>
      </c>
      <c r="N245" s="147"/>
      <c r="O245" s="147" t="s">
        <v>98</v>
      </c>
      <c r="P245" s="147">
        <v>1000</v>
      </c>
      <c r="Q245" s="150">
        <f t="shared" si="33"/>
        <v>0</v>
      </c>
      <c r="R245" s="151"/>
      <c r="S245" s="152">
        <v>4507</v>
      </c>
      <c r="T245" s="158">
        <v>4507</v>
      </c>
      <c r="U245" s="153"/>
      <c r="V245" s="154"/>
      <c r="W245" s="154"/>
      <c r="X245" s="155"/>
      <c r="Y245" s="155" t="s">
        <v>1394</v>
      </c>
      <c r="Z245" s="155" t="s">
        <v>1442</v>
      </c>
      <c r="AA245" s="273">
        <f t="shared" si="34"/>
        <v>4.5069999999999997</v>
      </c>
      <c r="AB245" s="273">
        <f t="shared" si="35"/>
        <v>4.5069999999999997</v>
      </c>
      <c r="AC245" s="156">
        <f t="shared" si="36"/>
        <v>1000</v>
      </c>
      <c r="AD245" s="274">
        <f t="shared" si="37"/>
        <v>4507</v>
      </c>
      <c r="AE245" s="274">
        <f t="shared" si="31"/>
        <v>4507</v>
      </c>
      <c r="AF245" s="337"/>
    </row>
    <row r="246" spans="1:32">
      <c r="A246" s="337" t="s">
        <v>1523</v>
      </c>
      <c r="B246" s="146" t="s">
        <v>1</v>
      </c>
      <c r="C246" s="155" t="s">
        <v>1512</v>
      </c>
      <c r="D246" s="147"/>
      <c r="E246" s="148" t="s">
        <v>1474</v>
      </c>
      <c r="F246" s="147" t="s">
        <v>106</v>
      </c>
      <c r="G246" s="147" t="s">
        <v>1429</v>
      </c>
      <c r="H246" s="147">
        <v>58</v>
      </c>
      <c r="I246" s="149">
        <f t="shared" si="32"/>
        <v>58</v>
      </c>
      <c r="J246" s="147"/>
      <c r="K246" s="336" t="s">
        <v>67</v>
      </c>
      <c r="L246" s="147">
        <v>100</v>
      </c>
      <c r="M246" s="147" t="s">
        <v>9</v>
      </c>
      <c r="N246" s="147"/>
      <c r="O246" s="147" t="s">
        <v>98</v>
      </c>
      <c r="P246" s="147">
        <v>1000</v>
      </c>
      <c r="Q246" s="150">
        <f t="shared" si="33"/>
        <v>0</v>
      </c>
      <c r="R246" s="151"/>
      <c r="S246" s="152">
        <v>1657</v>
      </c>
      <c r="T246" s="158">
        <v>1657</v>
      </c>
      <c r="U246" s="153"/>
      <c r="V246" s="154"/>
      <c r="W246" s="154"/>
      <c r="X246" s="155"/>
      <c r="Y246" s="155" t="s">
        <v>1394</v>
      </c>
      <c r="Z246" s="155" t="s">
        <v>1442</v>
      </c>
      <c r="AA246" s="273">
        <f t="shared" si="34"/>
        <v>1.657</v>
      </c>
      <c r="AB246" s="273">
        <f t="shared" si="35"/>
        <v>1.657</v>
      </c>
      <c r="AC246" s="156">
        <f t="shared" si="36"/>
        <v>1000</v>
      </c>
      <c r="AD246" s="274">
        <f t="shared" si="37"/>
        <v>1657</v>
      </c>
      <c r="AE246" s="274">
        <f t="shared" si="31"/>
        <v>1657</v>
      </c>
      <c r="AF246" s="337"/>
    </row>
    <row r="247" spans="1:32">
      <c r="A247" s="337" t="s">
        <v>1523</v>
      </c>
      <c r="B247" s="146" t="s">
        <v>1</v>
      </c>
      <c r="C247" s="155" t="s">
        <v>1512</v>
      </c>
      <c r="D247" s="147"/>
      <c r="E247" s="148" t="s">
        <v>1474</v>
      </c>
      <c r="F247" s="147" t="s">
        <v>106</v>
      </c>
      <c r="G247" s="147" t="s">
        <v>1429</v>
      </c>
      <c r="H247" s="147">
        <v>59</v>
      </c>
      <c r="I247" s="149">
        <f t="shared" si="32"/>
        <v>59</v>
      </c>
      <c r="J247" s="147"/>
      <c r="K247" s="336" t="s">
        <v>99</v>
      </c>
      <c r="L247" s="147">
        <v>100</v>
      </c>
      <c r="M247" s="147" t="s">
        <v>9</v>
      </c>
      <c r="N247" s="147"/>
      <c r="O247" s="147" t="s">
        <v>98</v>
      </c>
      <c r="P247" s="147">
        <v>1000</v>
      </c>
      <c r="Q247" s="150">
        <f t="shared" si="33"/>
        <v>0</v>
      </c>
      <c r="R247" s="151"/>
      <c r="S247" s="152">
        <v>3139</v>
      </c>
      <c r="T247" s="158">
        <v>3139</v>
      </c>
      <c r="U247" s="153"/>
      <c r="V247" s="154"/>
      <c r="W247" s="154"/>
      <c r="X247" s="155"/>
      <c r="Y247" s="155" t="s">
        <v>1394</v>
      </c>
      <c r="Z247" s="155" t="s">
        <v>1442</v>
      </c>
      <c r="AA247" s="273">
        <f t="shared" si="34"/>
        <v>3.1389999999999998</v>
      </c>
      <c r="AB247" s="273">
        <f t="shared" si="35"/>
        <v>3.1389999999999998</v>
      </c>
      <c r="AC247" s="156">
        <f t="shared" si="36"/>
        <v>1000</v>
      </c>
      <c r="AD247" s="274">
        <f t="shared" si="37"/>
        <v>3139</v>
      </c>
      <c r="AE247" s="274">
        <f t="shared" si="31"/>
        <v>3139</v>
      </c>
      <c r="AF247" s="337"/>
    </row>
    <row r="248" spans="1:32">
      <c r="A248" s="337" t="s">
        <v>1523</v>
      </c>
      <c r="B248" s="146" t="s">
        <v>1</v>
      </c>
      <c r="C248" s="155" t="s">
        <v>1512</v>
      </c>
      <c r="D248" s="147"/>
      <c r="E248" s="148" t="s">
        <v>1474</v>
      </c>
      <c r="F248" s="147" t="s">
        <v>106</v>
      </c>
      <c r="G248" s="147" t="s">
        <v>1429</v>
      </c>
      <c r="H248" s="147">
        <v>69</v>
      </c>
      <c r="I248" s="149">
        <f t="shared" si="32"/>
        <v>69</v>
      </c>
      <c r="J248" s="147"/>
      <c r="K248" s="336" t="s">
        <v>1509</v>
      </c>
      <c r="L248" s="147">
        <v>100</v>
      </c>
      <c r="M248" s="147" t="s">
        <v>9</v>
      </c>
      <c r="N248" s="147"/>
      <c r="O248" s="147" t="s">
        <v>98</v>
      </c>
      <c r="P248" s="147">
        <v>1000</v>
      </c>
      <c r="Q248" s="150">
        <f t="shared" si="33"/>
        <v>0</v>
      </c>
      <c r="R248" s="151"/>
      <c r="S248" s="152">
        <v>2910</v>
      </c>
      <c r="T248" s="158">
        <v>2910</v>
      </c>
      <c r="U248" s="153"/>
      <c r="V248" s="154"/>
      <c r="W248" s="154"/>
      <c r="X248" s="155"/>
      <c r="Y248" s="155" t="s">
        <v>1394</v>
      </c>
      <c r="Z248" s="155" t="s">
        <v>1442</v>
      </c>
      <c r="AA248" s="273">
        <f t="shared" si="34"/>
        <v>2.91</v>
      </c>
      <c r="AB248" s="273">
        <f t="shared" si="35"/>
        <v>2.91</v>
      </c>
      <c r="AC248" s="156">
        <f t="shared" si="36"/>
        <v>1000</v>
      </c>
      <c r="AD248" s="274">
        <f t="shared" si="37"/>
        <v>2910</v>
      </c>
      <c r="AE248" s="274">
        <f t="shared" si="31"/>
        <v>2910</v>
      </c>
      <c r="AF248" s="337"/>
    </row>
    <row r="249" spans="1:32">
      <c r="A249" s="337" t="s">
        <v>1523</v>
      </c>
      <c r="B249" s="146" t="s">
        <v>1</v>
      </c>
      <c r="C249" s="155" t="s">
        <v>1512</v>
      </c>
      <c r="D249" s="147"/>
      <c r="E249" s="148" t="s">
        <v>1474</v>
      </c>
      <c r="F249" s="147" t="s">
        <v>106</v>
      </c>
      <c r="G249" s="147" t="s">
        <v>1429</v>
      </c>
      <c r="H249" s="147">
        <v>70</v>
      </c>
      <c r="I249" s="149">
        <f t="shared" si="32"/>
        <v>70</v>
      </c>
      <c r="J249" s="147"/>
      <c r="K249" s="336" t="s">
        <v>1510</v>
      </c>
      <c r="L249" s="147">
        <v>100</v>
      </c>
      <c r="M249" s="147" t="s">
        <v>9</v>
      </c>
      <c r="N249" s="147"/>
      <c r="O249" s="147" t="s">
        <v>98</v>
      </c>
      <c r="P249" s="147">
        <v>1000</v>
      </c>
      <c r="Q249" s="150">
        <f t="shared" si="33"/>
        <v>0</v>
      </c>
      <c r="R249" s="151"/>
      <c r="S249" s="152">
        <v>3848</v>
      </c>
      <c r="T249" s="158">
        <v>3848</v>
      </c>
      <c r="U249" s="153"/>
      <c r="V249" s="154"/>
      <c r="W249" s="154"/>
      <c r="X249" s="155"/>
      <c r="Y249" s="155" t="s">
        <v>1394</v>
      </c>
      <c r="Z249" s="155" t="s">
        <v>1442</v>
      </c>
      <c r="AA249" s="273">
        <f t="shared" si="34"/>
        <v>3.8479999999999999</v>
      </c>
      <c r="AB249" s="273">
        <f t="shared" si="35"/>
        <v>3.8479999999999999</v>
      </c>
      <c r="AC249" s="156">
        <f t="shared" si="36"/>
        <v>1000</v>
      </c>
      <c r="AD249" s="274">
        <f t="shared" si="37"/>
        <v>3848</v>
      </c>
      <c r="AE249" s="274">
        <f t="shared" si="31"/>
        <v>3848</v>
      </c>
      <c r="AF249" s="337"/>
    </row>
    <row r="250" spans="1:32">
      <c r="A250" s="337" t="s">
        <v>1523</v>
      </c>
      <c r="B250" s="146" t="s">
        <v>1</v>
      </c>
      <c r="C250" s="155" t="s">
        <v>1512</v>
      </c>
      <c r="D250" s="147"/>
      <c r="E250" s="148" t="s">
        <v>1474</v>
      </c>
      <c r="F250" s="147" t="s">
        <v>106</v>
      </c>
      <c r="G250" s="147" t="s">
        <v>1429</v>
      </c>
      <c r="H250" s="147">
        <v>70</v>
      </c>
      <c r="I250" s="149">
        <f t="shared" si="32"/>
        <v>70</v>
      </c>
      <c r="J250" s="147"/>
      <c r="K250" s="336" t="s">
        <v>1511</v>
      </c>
      <c r="L250" s="147">
        <v>100</v>
      </c>
      <c r="M250" s="147" t="s">
        <v>9</v>
      </c>
      <c r="N250" s="147"/>
      <c r="O250" s="147" t="s">
        <v>98</v>
      </c>
      <c r="P250" s="147">
        <v>1000</v>
      </c>
      <c r="Q250" s="150">
        <f t="shared" si="33"/>
        <v>0</v>
      </c>
      <c r="R250" s="151"/>
      <c r="S250" s="152">
        <v>3966</v>
      </c>
      <c r="T250" s="158">
        <v>3966</v>
      </c>
      <c r="U250" s="153"/>
      <c r="V250" s="154"/>
      <c r="W250" s="154"/>
      <c r="X250" s="155"/>
      <c r="Y250" s="155" t="s">
        <v>1394</v>
      </c>
      <c r="Z250" s="155" t="s">
        <v>1442</v>
      </c>
      <c r="AA250" s="273">
        <f t="shared" si="34"/>
        <v>3.9660000000000002</v>
      </c>
      <c r="AB250" s="273">
        <f t="shared" si="35"/>
        <v>3.9660000000000002</v>
      </c>
      <c r="AC250" s="156">
        <f t="shared" si="36"/>
        <v>1000</v>
      </c>
      <c r="AD250" s="274">
        <f t="shared" si="37"/>
        <v>3966</v>
      </c>
      <c r="AE250" s="274">
        <f t="shared" si="31"/>
        <v>3966</v>
      </c>
      <c r="AF250" s="337"/>
    </row>
    <row r="251" spans="1:32">
      <c r="A251" s="337" t="s">
        <v>1523</v>
      </c>
      <c r="B251" s="146" t="s">
        <v>1</v>
      </c>
      <c r="C251" s="155" t="s">
        <v>1512</v>
      </c>
      <c r="D251" s="147"/>
      <c r="E251" s="148" t="s">
        <v>1475</v>
      </c>
      <c r="F251" s="147" t="s">
        <v>106</v>
      </c>
      <c r="G251" s="147" t="s">
        <v>1429</v>
      </c>
      <c r="H251" s="147">
        <v>7</v>
      </c>
      <c r="I251" s="149">
        <f t="shared" si="32"/>
        <v>7</v>
      </c>
      <c r="J251" s="147"/>
      <c r="K251" s="336" t="s">
        <v>57</v>
      </c>
      <c r="L251" s="147">
        <v>100</v>
      </c>
      <c r="M251" s="147" t="s">
        <v>9</v>
      </c>
      <c r="N251" s="147"/>
      <c r="O251" s="147" t="s">
        <v>98</v>
      </c>
      <c r="P251" s="147">
        <v>1000</v>
      </c>
      <c r="Q251" s="150">
        <f t="shared" si="33"/>
        <v>0</v>
      </c>
      <c r="R251" s="151"/>
      <c r="S251" s="152">
        <v>1000</v>
      </c>
      <c r="T251" s="158">
        <v>1000</v>
      </c>
      <c r="U251" s="153"/>
      <c r="V251" s="154"/>
      <c r="W251" s="154"/>
      <c r="X251" s="155"/>
      <c r="Y251" s="155" t="s">
        <v>1394</v>
      </c>
      <c r="Z251" s="155" t="s">
        <v>1442</v>
      </c>
      <c r="AA251" s="273">
        <f t="shared" si="34"/>
        <v>1</v>
      </c>
      <c r="AB251" s="273">
        <f t="shared" si="35"/>
        <v>1</v>
      </c>
      <c r="AC251" s="156">
        <f t="shared" si="36"/>
        <v>1000</v>
      </c>
      <c r="AD251" s="274">
        <f t="shared" si="37"/>
        <v>1000</v>
      </c>
      <c r="AE251" s="274">
        <f t="shared" si="31"/>
        <v>1000</v>
      </c>
      <c r="AF251" s="337"/>
    </row>
    <row r="252" spans="1:32">
      <c r="A252" s="337" t="s">
        <v>1523</v>
      </c>
      <c r="B252" s="146" t="s">
        <v>1</v>
      </c>
      <c r="C252" s="155" t="s">
        <v>1512</v>
      </c>
      <c r="D252" s="147"/>
      <c r="E252" s="148" t="s">
        <v>1475</v>
      </c>
      <c r="F252" s="147" t="s">
        <v>106</v>
      </c>
      <c r="G252" s="147" t="s">
        <v>1429</v>
      </c>
      <c r="H252" s="147">
        <v>8</v>
      </c>
      <c r="I252" s="149">
        <f t="shared" si="32"/>
        <v>8</v>
      </c>
      <c r="J252" s="147"/>
      <c r="K252" s="336" t="s">
        <v>55</v>
      </c>
      <c r="L252" s="147">
        <v>100</v>
      </c>
      <c r="M252" s="147" t="s">
        <v>9</v>
      </c>
      <c r="N252" s="147"/>
      <c r="O252" s="147" t="s">
        <v>98</v>
      </c>
      <c r="P252" s="147">
        <v>1000</v>
      </c>
      <c r="Q252" s="150">
        <f t="shared" si="33"/>
        <v>0</v>
      </c>
      <c r="R252" s="151"/>
      <c r="S252" s="152">
        <v>1250</v>
      </c>
      <c r="T252" s="158">
        <v>1250</v>
      </c>
      <c r="U252" s="153"/>
      <c r="V252" s="154"/>
      <c r="W252" s="154"/>
      <c r="X252" s="155"/>
      <c r="Y252" s="155" t="s">
        <v>1394</v>
      </c>
      <c r="Z252" s="155" t="s">
        <v>1442</v>
      </c>
      <c r="AA252" s="273">
        <f t="shared" si="34"/>
        <v>1.25</v>
      </c>
      <c r="AB252" s="273">
        <f t="shared" si="35"/>
        <v>1.25</v>
      </c>
      <c r="AC252" s="156">
        <f t="shared" si="36"/>
        <v>1000</v>
      </c>
      <c r="AD252" s="274">
        <f t="shared" si="37"/>
        <v>1250</v>
      </c>
      <c r="AE252" s="274">
        <f t="shared" si="31"/>
        <v>1250</v>
      </c>
      <c r="AF252" s="337"/>
    </row>
    <row r="253" spans="1:32">
      <c r="A253" s="337" t="s">
        <v>1523</v>
      </c>
      <c r="B253" s="146" t="s">
        <v>1</v>
      </c>
      <c r="C253" s="155" t="s">
        <v>1512</v>
      </c>
      <c r="D253" s="147"/>
      <c r="E253" s="148" t="s">
        <v>1475</v>
      </c>
      <c r="F253" s="147" t="s">
        <v>106</v>
      </c>
      <c r="G253" s="147" t="s">
        <v>1429</v>
      </c>
      <c r="H253" s="147">
        <v>17</v>
      </c>
      <c r="I253" s="149">
        <f t="shared" si="32"/>
        <v>17</v>
      </c>
      <c r="J253" s="147"/>
      <c r="K253" s="336" t="s">
        <v>53</v>
      </c>
      <c r="L253" s="147">
        <v>100</v>
      </c>
      <c r="M253" s="147" t="s">
        <v>9</v>
      </c>
      <c r="N253" s="147"/>
      <c r="O253" s="147" t="s">
        <v>98</v>
      </c>
      <c r="P253" s="147">
        <v>1000</v>
      </c>
      <c r="Q253" s="150">
        <f t="shared" si="33"/>
        <v>0</v>
      </c>
      <c r="R253" s="151"/>
      <c r="S253" s="152">
        <v>2433</v>
      </c>
      <c r="T253" s="158">
        <v>2433</v>
      </c>
      <c r="U253" s="153"/>
      <c r="V253" s="154"/>
      <c r="W253" s="154"/>
      <c r="X253" s="155"/>
      <c r="Y253" s="155" t="s">
        <v>1394</v>
      </c>
      <c r="Z253" s="155" t="s">
        <v>1442</v>
      </c>
      <c r="AA253" s="273">
        <f t="shared" si="34"/>
        <v>2.4329999999999998</v>
      </c>
      <c r="AB253" s="273">
        <f t="shared" si="35"/>
        <v>2.4329999999999998</v>
      </c>
      <c r="AC253" s="156">
        <f t="shared" si="36"/>
        <v>1000</v>
      </c>
      <c r="AD253" s="274">
        <f t="shared" si="37"/>
        <v>2433</v>
      </c>
      <c r="AE253" s="274">
        <f t="shared" si="31"/>
        <v>2433</v>
      </c>
      <c r="AF253" s="337"/>
    </row>
    <row r="254" spans="1:32">
      <c r="A254" s="337" t="s">
        <v>1523</v>
      </c>
      <c r="B254" s="146" t="s">
        <v>1</v>
      </c>
      <c r="C254" s="155" t="s">
        <v>1512</v>
      </c>
      <c r="D254" s="147"/>
      <c r="E254" s="148" t="s">
        <v>1475</v>
      </c>
      <c r="F254" s="147" t="s">
        <v>106</v>
      </c>
      <c r="G254" s="147" t="s">
        <v>1429</v>
      </c>
      <c r="H254" s="147">
        <v>22</v>
      </c>
      <c r="I254" s="149">
        <f t="shared" si="32"/>
        <v>22</v>
      </c>
      <c r="J254" s="147"/>
      <c r="K254" s="336" t="s">
        <v>51</v>
      </c>
      <c r="L254" s="147">
        <v>100</v>
      </c>
      <c r="M254" s="147" t="s">
        <v>9</v>
      </c>
      <c r="N254" s="147"/>
      <c r="O254" s="147" t="s">
        <v>98</v>
      </c>
      <c r="P254" s="147">
        <v>1000</v>
      </c>
      <c r="Q254" s="150">
        <f t="shared" si="33"/>
        <v>0</v>
      </c>
      <c r="R254" s="151"/>
      <c r="S254" s="152">
        <v>4994</v>
      </c>
      <c r="T254" s="158">
        <v>4994</v>
      </c>
      <c r="U254" s="153"/>
      <c r="V254" s="154"/>
      <c r="W254" s="154"/>
      <c r="X254" s="155"/>
      <c r="Y254" s="155" t="s">
        <v>1394</v>
      </c>
      <c r="Z254" s="155" t="s">
        <v>1442</v>
      </c>
      <c r="AA254" s="273">
        <f t="shared" si="34"/>
        <v>4.9939999999999998</v>
      </c>
      <c r="AB254" s="273">
        <f t="shared" si="35"/>
        <v>4.9939999999999998</v>
      </c>
      <c r="AC254" s="156">
        <f t="shared" si="36"/>
        <v>1000</v>
      </c>
      <c r="AD254" s="274">
        <f t="shared" si="37"/>
        <v>4994</v>
      </c>
      <c r="AE254" s="274">
        <f t="shared" si="31"/>
        <v>4994</v>
      </c>
      <c r="AF254" s="337"/>
    </row>
    <row r="255" spans="1:32">
      <c r="A255" s="337" t="s">
        <v>1523</v>
      </c>
      <c r="B255" s="146" t="s">
        <v>1</v>
      </c>
      <c r="C255" s="155" t="s">
        <v>1512</v>
      </c>
      <c r="D255" s="147"/>
      <c r="E255" s="148" t="s">
        <v>1475</v>
      </c>
      <c r="F255" s="147" t="s">
        <v>106</v>
      </c>
      <c r="G255" s="147" t="s">
        <v>1429</v>
      </c>
      <c r="H255" s="147">
        <v>33</v>
      </c>
      <c r="I255" s="149">
        <f t="shared" si="32"/>
        <v>33</v>
      </c>
      <c r="J255" s="147"/>
      <c r="K255" s="336" t="s">
        <v>59</v>
      </c>
      <c r="L255" s="147">
        <v>100</v>
      </c>
      <c r="M255" s="147" t="s">
        <v>9</v>
      </c>
      <c r="N255" s="147"/>
      <c r="O255" s="147" t="s">
        <v>98</v>
      </c>
      <c r="P255" s="147">
        <v>1000</v>
      </c>
      <c r="Q255" s="150">
        <f t="shared" si="33"/>
        <v>0</v>
      </c>
      <c r="R255" s="151"/>
      <c r="S255" s="152">
        <v>2896</v>
      </c>
      <c r="T255" s="158">
        <v>2896</v>
      </c>
      <c r="U255" s="153"/>
      <c r="V255" s="154"/>
      <c r="W255" s="154"/>
      <c r="X255" s="155"/>
      <c r="Y255" s="155" t="s">
        <v>1394</v>
      </c>
      <c r="Z255" s="155" t="s">
        <v>1442</v>
      </c>
      <c r="AA255" s="273">
        <f t="shared" si="34"/>
        <v>2.8959999999999999</v>
      </c>
      <c r="AB255" s="273">
        <f t="shared" si="35"/>
        <v>2.8959999999999999</v>
      </c>
      <c r="AC255" s="156">
        <f t="shared" si="36"/>
        <v>1000</v>
      </c>
      <c r="AD255" s="274">
        <f t="shared" si="37"/>
        <v>2896</v>
      </c>
      <c r="AE255" s="274">
        <f t="shared" si="31"/>
        <v>2896</v>
      </c>
      <c r="AF255" s="337"/>
    </row>
    <row r="256" spans="1:32">
      <c r="A256" s="337" t="s">
        <v>1523</v>
      </c>
      <c r="B256" s="146" t="s">
        <v>1</v>
      </c>
      <c r="C256" s="155" t="s">
        <v>1512</v>
      </c>
      <c r="D256" s="147"/>
      <c r="E256" s="148" t="s">
        <v>1475</v>
      </c>
      <c r="F256" s="147" t="s">
        <v>106</v>
      </c>
      <c r="G256" s="147" t="s">
        <v>1429</v>
      </c>
      <c r="H256" s="147">
        <v>42</v>
      </c>
      <c r="I256" s="149">
        <f t="shared" si="32"/>
        <v>42</v>
      </c>
      <c r="J256" s="147"/>
      <c r="K256" s="336" t="s">
        <v>61</v>
      </c>
      <c r="L256" s="147">
        <v>100</v>
      </c>
      <c r="M256" s="147" t="s">
        <v>9</v>
      </c>
      <c r="N256" s="147"/>
      <c r="O256" s="147" t="s">
        <v>98</v>
      </c>
      <c r="P256" s="147">
        <v>1000</v>
      </c>
      <c r="Q256" s="150">
        <f t="shared" si="33"/>
        <v>0</v>
      </c>
      <c r="R256" s="151"/>
      <c r="S256" s="152">
        <v>4207</v>
      </c>
      <c r="T256" s="158">
        <v>4207</v>
      </c>
      <c r="U256" s="153"/>
      <c r="V256" s="154"/>
      <c r="W256" s="154"/>
      <c r="X256" s="155"/>
      <c r="Y256" s="155" t="s">
        <v>1394</v>
      </c>
      <c r="Z256" s="155" t="s">
        <v>1442</v>
      </c>
      <c r="AA256" s="273">
        <f t="shared" si="34"/>
        <v>4.2069999999999999</v>
      </c>
      <c r="AB256" s="273">
        <f t="shared" si="35"/>
        <v>4.2069999999999999</v>
      </c>
      <c r="AC256" s="156">
        <f t="shared" si="36"/>
        <v>1000</v>
      </c>
      <c r="AD256" s="274">
        <f t="shared" si="37"/>
        <v>4207</v>
      </c>
      <c r="AE256" s="274">
        <f t="shared" si="31"/>
        <v>4207</v>
      </c>
      <c r="AF256" s="337"/>
    </row>
    <row r="257" spans="1:32">
      <c r="A257" s="337" t="s">
        <v>1523</v>
      </c>
      <c r="B257" s="146" t="s">
        <v>1</v>
      </c>
      <c r="C257" s="155" t="s">
        <v>1512</v>
      </c>
      <c r="D257" s="147"/>
      <c r="E257" s="148" t="s">
        <v>1475</v>
      </c>
      <c r="F257" s="147" t="s">
        <v>106</v>
      </c>
      <c r="G257" s="147" t="s">
        <v>1429</v>
      </c>
      <c r="H257" s="147">
        <v>46</v>
      </c>
      <c r="I257" s="149">
        <f t="shared" si="32"/>
        <v>46</v>
      </c>
      <c r="J257" s="147"/>
      <c r="K257" s="336" t="s">
        <v>1506</v>
      </c>
      <c r="L257" s="147">
        <v>100</v>
      </c>
      <c r="M257" s="147" t="s">
        <v>9</v>
      </c>
      <c r="N257" s="147"/>
      <c r="O257" s="147" t="s">
        <v>98</v>
      </c>
      <c r="P257" s="147">
        <v>1000</v>
      </c>
      <c r="Q257" s="150">
        <f t="shared" si="33"/>
        <v>0</v>
      </c>
      <c r="R257" s="151"/>
      <c r="S257" s="152">
        <v>3707</v>
      </c>
      <c r="T257" s="158">
        <v>3707</v>
      </c>
      <c r="U257" s="153"/>
      <c r="V257" s="154"/>
      <c r="W257" s="154"/>
      <c r="X257" s="155"/>
      <c r="Y257" s="155" t="s">
        <v>1394</v>
      </c>
      <c r="Z257" s="155" t="s">
        <v>1442</v>
      </c>
      <c r="AA257" s="273">
        <f t="shared" si="34"/>
        <v>3.7069999999999999</v>
      </c>
      <c r="AB257" s="273">
        <f t="shared" si="35"/>
        <v>3.7069999999999999</v>
      </c>
      <c r="AC257" s="156">
        <f t="shared" si="36"/>
        <v>1000</v>
      </c>
      <c r="AD257" s="274">
        <f t="shared" si="37"/>
        <v>3707</v>
      </c>
      <c r="AE257" s="274">
        <f t="shared" si="31"/>
        <v>3707</v>
      </c>
      <c r="AF257" s="337"/>
    </row>
    <row r="258" spans="1:32">
      <c r="A258" s="337" t="s">
        <v>1523</v>
      </c>
      <c r="B258" s="146" t="s">
        <v>1</v>
      </c>
      <c r="C258" s="155" t="s">
        <v>1512</v>
      </c>
      <c r="D258" s="147"/>
      <c r="E258" s="148" t="s">
        <v>1475</v>
      </c>
      <c r="F258" s="147" t="s">
        <v>106</v>
      </c>
      <c r="G258" s="147" t="s">
        <v>1429</v>
      </c>
      <c r="H258" s="147">
        <v>46</v>
      </c>
      <c r="I258" s="149">
        <f t="shared" si="32"/>
        <v>46</v>
      </c>
      <c r="J258" s="147"/>
      <c r="K258" s="336" t="s">
        <v>1507</v>
      </c>
      <c r="L258" s="147">
        <v>100</v>
      </c>
      <c r="M258" s="147" t="s">
        <v>9</v>
      </c>
      <c r="N258" s="147"/>
      <c r="O258" s="147" t="s">
        <v>98</v>
      </c>
      <c r="P258" s="147">
        <v>1000</v>
      </c>
      <c r="Q258" s="150">
        <f t="shared" si="33"/>
        <v>0</v>
      </c>
      <c r="R258" s="151"/>
      <c r="S258" s="152">
        <v>5187</v>
      </c>
      <c r="T258" s="158">
        <v>5187</v>
      </c>
      <c r="U258" s="153"/>
      <c r="V258" s="154"/>
      <c r="W258" s="154"/>
      <c r="X258" s="155"/>
      <c r="Y258" s="155" t="s">
        <v>1394</v>
      </c>
      <c r="Z258" s="155" t="s">
        <v>1442</v>
      </c>
      <c r="AA258" s="273">
        <f t="shared" si="34"/>
        <v>5.1870000000000003</v>
      </c>
      <c r="AB258" s="273">
        <f t="shared" si="35"/>
        <v>5.1870000000000003</v>
      </c>
      <c r="AC258" s="156">
        <f t="shared" si="36"/>
        <v>1000</v>
      </c>
      <c r="AD258" s="274">
        <f t="shared" si="37"/>
        <v>5187</v>
      </c>
      <c r="AE258" s="274">
        <f t="shared" si="31"/>
        <v>5187</v>
      </c>
      <c r="AF258" s="337"/>
    </row>
    <row r="259" spans="1:32">
      <c r="A259" s="337" t="s">
        <v>1523</v>
      </c>
      <c r="B259" s="146" t="s">
        <v>1</v>
      </c>
      <c r="C259" s="155" t="s">
        <v>1512</v>
      </c>
      <c r="D259" s="147"/>
      <c r="E259" s="148" t="s">
        <v>1475</v>
      </c>
      <c r="F259" s="147" t="s">
        <v>106</v>
      </c>
      <c r="G259" s="147" t="s">
        <v>1429</v>
      </c>
      <c r="H259" s="147">
        <v>46</v>
      </c>
      <c r="I259" s="149">
        <f t="shared" si="32"/>
        <v>46</v>
      </c>
      <c r="J259" s="147"/>
      <c r="K259" s="336" t="s">
        <v>1508</v>
      </c>
      <c r="L259" s="147">
        <v>100</v>
      </c>
      <c r="M259" s="147" t="s">
        <v>9</v>
      </c>
      <c r="N259" s="147"/>
      <c r="O259" s="147" t="s">
        <v>98</v>
      </c>
      <c r="P259" s="147">
        <v>1000</v>
      </c>
      <c r="Q259" s="150">
        <f t="shared" si="33"/>
        <v>0</v>
      </c>
      <c r="R259" s="151"/>
      <c r="S259" s="152">
        <v>4534</v>
      </c>
      <c r="T259" s="158">
        <v>4534</v>
      </c>
      <c r="U259" s="153"/>
      <c r="V259" s="154"/>
      <c r="W259" s="154"/>
      <c r="X259" s="155"/>
      <c r="Y259" s="155" t="s">
        <v>1394</v>
      </c>
      <c r="Z259" s="155" t="s">
        <v>1442</v>
      </c>
      <c r="AA259" s="273">
        <f t="shared" si="34"/>
        <v>4.5339999999999998</v>
      </c>
      <c r="AB259" s="273">
        <f t="shared" si="35"/>
        <v>4.5339999999999998</v>
      </c>
      <c r="AC259" s="156">
        <f t="shared" si="36"/>
        <v>1000</v>
      </c>
      <c r="AD259" s="274">
        <f t="shared" si="37"/>
        <v>4534</v>
      </c>
      <c r="AE259" s="274">
        <f t="shared" ref="AE259:AE322" si="38">AB259*AC259</f>
        <v>4534</v>
      </c>
      <c r="AF259" s="337"/>
    </row>
    <row r="260" spans="1:32">
      <c r="A260" s="337" t="s">
        <v>1523</v>
      </c>
      <c r="B260" s="146" t="s">
        <v>1</v>
      </c>
      <c r="C260" s="155" t="s">
        <v>1512</v>
      </c>
      <c r="D260" s="147"/>
      <c r="E260" s="148" t="s">
        <v>1475</v>
      </c>
      <c r="F260" s="147" t="s">
        <v>106</v>
      </c>
      <c r="G260" s="147" t="s">
        <v>1429</v>
      </c>
      <c r="H260" s="147">
        <v>58</v>
      </c>
      <c r="I260" s="149">
        <f t="shared" si="32"/>
        <v>58</v>
      </c>
      <c r="J260" s="147"/>
      <c r="K260" s="336" t="s">
        <v>67</v>
      </c>
      <c r="L260" s="147">
        <v>100</v>
      </c>
      <c r="M260" s="147" t="s">
        <v>9</v>
      </c>
      <c r="N260" s="147"/>
      <c r="O260" s="147" t="s">
        <v>98</v>
      </c>
      <c r="P260" s="147">
        <v>1000</v>
      </c>
      <c r="Q260" s="150">
        <f t="shared" si="33"/>
        <v>0</v>
      </c>
      <c r="R260" s="151"/>
      <c r="S260" s="152">
        <v>1658</v>
      </c>
      <c r="T260" s="158">
        <v>1658</v>
      </c>
      <c r="U260" s="153"/>
      <c r="V260" s="154"/>
      <c r="W260" s="154"/>
      <c r="X260" s="155"/>
      <c r="Y260" s="155" t="s">
        <v>1394</v>
      </c>
      <c r="Z260" s="155" t="s">
        <v>1442</v>
      </c>
      <c r="AA260" s="273">
        <f t="shared" si="34"/>
        <v>1.6579999999999999</v>
      </c>
      <c r="AB260" s="273">
        <f t="shared" si="35"/>
        <v>1.6579999999999999</v>
      </c>
      <c r="AC260" s="156">
        <f t="shared" si="36"/>
        <v>1000</v>
      </c>
      <c r="AD260" s="274">
        <f t="shared" si="37"/>
        <v>1658</v>
      </c>
      <c r="AE260" s="274">
        <f t="shared" si="38"/>
        <v>1658</v>
      </c>
      <c r="AF260" s="337"/>
    </row>
    <row r="261" spans="1:32">
      <c r="A261" s="337" t="s">
        <v>1523</v>
      </c>
      <c r="B261" s="146" t="s">
        <v>1</v>
      </c>
      <c r="C261" s="155" t="s">
        <v>1512</v>
      </c>
      <c r="D261" s="147"/>
      <c r="E261" s="148" t="s">
        <v>1475</v>
      </c>
      <c r="F261" s="147" t="s">
        <v>106</v>
      </c>
      <c r="G261" s="147" t="s">
        <v>1429</v>
      </c>
      <c r="H261" s="147">
        <v>59</v>
      </c>
      <c r="I261" s="149">
        <f t="shared" si="32"/>
        <v>59</v>
      </c>
      <c r="J261" s="147"/>
      <c r="K261" s="336" t="s">
        <v>99</v>
      </c>
      <c r="L261" s="147">
        <v>100</v>
      </c>
      <c r="M261" s="147" t="s">
        <v>9</v>
      </c>
      <c r="N261" s="147"/>
      <c r="O261" s="147" t="s">
        <v>98</v>
      </c>
      <c r="P261" s="147">
        <v>1000</v>
      </c>
      <c r="Q261" s="150">
        <f t="shared" si="33"/>
        <v>0</v>
      </c>
      <c r="R261" s="151"/>
      <c r="S261" s="152">
        <v>3455</v>
      </c>
      <c r="T261" s="158">
        <v>3455</v>
      </c>
      <c r="U261" s="153"/>
      <c r="V261" s="154"/>
      <c r="W261" s="154"/>
      <c r="X261" s="155"/>
      <c r="Y261" s="155" t="s">
        <v>1394</v>
      </c>
      <c r="Z261" s="155" t="s">
        <v>1442</v>
      </c>
      <c r="AA261" s="273">
        <f t="shared" si="34"/>
        <v>3.4550000000000001</v>
      </c>
      <c r="AB261" s="273">
        <f t="shared" si="35"/>
        <v>3.4550000000000001</v>
      </c>
      <c r="AC261" s="156">
        <f t="shared" si="36"/>
        <v>1000</v>
      </c>
      <c r="AD261" s="274">
        <f t="shared" si="37"/>
        <v>3455</v>
      </c>
      <c r="AE261" s="274">
        <f t="shared" si="38"/>
        <v>3455</v>
      </c>
      <c r="AF261" s="337"/>
    </row>
    <row r="262" spans="1:32">
      <c r="A262" s="337" t="s">
        <v>1523</v>
      </c>
      <c r="B262" s="146" t="s">
        <v>1</v>
      </c>
      <c r="C262" s="155" t="s">
        <v>1512</v>
      </c>
      <c r="D262" s="147"/>
      <c r="E262" s="148" t="s">
        <v>1475</v>
      </c>
      <c r="F262" s="147" t="s">
        <v>106</v>
      </c>
      <c r="G262" s="147" t="s">
        <v>1429</v>
      </c>
      <c r="H262" s="147">
        <v>69</v>
      </c>
      <c r="I262" s="149">
        <f t="shared" si="32"/>
        <v>69</v>
      </c>
      <c r="J262" s="147"/>
      <c r="K262" s="336" t="s">
        <v>1509</v>
      </c>
      <c r="L262" s="147">
        <v>100</v>
      </c>
      <c r="M262" s="147" t="s">
        <v>9</v>
      </c>
      <c r="N262" s="147"/>
      <c r="O262" s="147" t="s">
        <v>98</v>
      </c>
      <c r="P262" s="147">
        <v>1000</v>
      </c>
      <c r="Q262" s="150">
        <f t="shared" si="33"/>
        <v>0</v>
      </c>
      <c r="R262" s="151"/>
      <c r="S262" s="152">
        <v>2852</v>
      </c>
      <c r="T262" s="158">
        <v>2852</v>
      </c>
      <c r="U262" s="153"/>
      <c r="V262" s="154"/>
      <c r="W262" s="154"/>
      <c r="X262" s="155"/>
      <c r="Y262" s="155" t="s">
        <v>1394</v>
      </c>
      <c r="Z262" s="155" t="s">
        <v>1442</v>
      </c>
      <c r="AA262" s="273">
        <f t="shared" si="34"/>
        <v>2.8519999999999999</v>
      </c>
      <c r="AB262" s="273">
        <f t="shared" si="35"/>
        <v>2.8519999999999999</v>
      </c>
      <c r="AC262" s="156">
        <f t="shared" si="36"/>
        <v>1000</v>
      </c>
      <c r="AD262" s="274">
        <f t="shared" si="37"/>
        <v>2852</v>
      </c>
      <c r="AE262" s="274">
        <f t="shared" si="38"/>
        <v>2852</v>
      </c>
      <c r="AF262" s="337"/>
    </row>
    <row r="263" spans="1:32">
      <c r="A263" s="337" t="s">
        <v>1523</v>
      </c>
      <c r="B263" s="146" t="s">
        <v>1</v>
      </c>
      <c r="C263" s="155" t="s">
        <v>1512</v>
      </c>
      <c r="D263" s="147"/>
      <c r="E263" s="148" t="s">
        <v>1475</v>
      </c>
      <c r="F263" s="147" t="s">
        <v>106</v>
      </c>
      <c r="G263" s="147" t="s">
        <v>1429</v>
      </c>
      <c r="H263" s="147">
        <v>70</v>
      </c>
      <c r="I263" s="149">
        <f t="shared" si="32"/>
        <v>70</v>
      </c>
      <c r="J263" s="147"/>
      <c r="K263" s="336" t="s">
        <v>1510</v>
      </c>
      <c r="L263" s="147">
        <v>100</v>
      </c>
      <c r="M263" s="147" t="s">
        <v>9</v>
      </c>
      <c r="N263" s="147"/>
      <c r="O263" s="147" t="s">
        <v>98</v>
      </c>
      <c r="P263" s="147">
        <v>1000</v>
      </c>
      <c r="Q263" s="150">
        <f t="shared" si="33"/>
        <v>0</v>
      </c>
      <c r="R263" s="151"/>
      <c r="S263" s="152">
        <v>3860</v>
      </c>
      <c r="T263" s="158">
        <v>3860</v>
      </c>
      <c r="U263" s="153"/>
      <c r="V263" s="154"/>
      <c r="W263" s="154"/>
      <c r="X263" s="155"/>
      <c r="Y263" s="155" t="s">
        <v>1394</v>
      </c>
      <c r="Z263" s="155" t="s">
        <v>1442</v>
      </c>
      <c r="AA263" s="273">
        <f t="shared" si="34"/>
        <v>3.86</v>
      </c>
      <c r="AB263" s="273">
        <f t="shared" si="35"/>
        <v>3.86</v>
      </c>
      <c r="AC263" s="156">
        <f t="shared" si="36"/>
        <v>1000</v>
      </c>
      <c r="AD263" s="274">
        <f t="shared" si="37"/>
        <v>3860</v>
      </c>
      <c r="AE263" s="274">
        <f t="shared" si="38"/>
        <v>3860</v>
      </c>
      <c r="AF263" s="337"/>
    </row>
    <row r="264" spans="1:32">
      <c r="A264" s="337" t="s">
        <v>1523</v>
      </c>
      <c r="B264" s="146" t="s">
        <v>1</v>
      </c>
      <c r="C264" s="155" t="s">
        <v>1512</v>
      </c>
      <c r="D264" s="147"/>
      <c r="E264" s="148" t="s">
        <v>1475</v>
      </c>
      <c r="F264" s="147" t="s">
        <v>106</v>
      </c>
      <c r="G264" s="147" t="s">
        <v>1429</v>
      </c>
      <c r="H264" s="147">
        <v>70</v>
      </c>
      <c r="I264" s="149">
        <f t="shared" si="32"/>
        <v>70</v>
      </c>
      <c r="J264" s="147"/>
      <c r="K264" s="336" t="s">
        <v>1511</v>
      </c>
      <c r="L264" s="147">
        <v>100</v>
      </c>
      <c r="M264" s="147" t="s">
        <v>9</v>
      </c>
      <c r="N264" s="147"/>
      <c r="O264" s="147" t="s">
        <v>98</v>
      </c>
      <c r="P264" s="147">
        <v>1000</v>
      </c>
      <c r="Q264" s="150">
        <f t="shared" si="33"/>
        <v>0</v>
      </c>
      <c r="R264" s="151"/>
      <c r="S264" s="152">
        <v>3933</v>
      </c>
      <c r="T264" s="158">
        <v>3933</v>
      </c>
      <c r="U264" s="153"/>
      <c r="V264" s="154"/>
      <c r="W264" s="154"/>
      <c r="X264" s="155"/>
      <c r="Y264" s="155" t="s">
        <v>1394</v>
      </c>
      <c r="Z264" s="155" t="s">
        <v>1442</v>
      </c>
      <c r="AA264" s="273">
        <f t="shared" si="34"/>
        <v>3.9329999999999998</v>
      </c>
      <c r="AB264" s="273">
        <f t="shared" si="35"/>
        <v>3.9329999999999998</v>
      </c>
      <c r="AC264" s="156">
        <f t="shared" si="36"/>
        <v>1000</v>
      </c>
      <c r="AD264" s="274">
        <f t="shared" si="37"/>
        <v>3933</v>
      </c>
      <c r="AE264" s="274">
        <f t="shared" si="38"/>
        <v>3933</v>
      </c>
      <c r="AF264" s="337"/>
    </row>
    <row r="265" spans="1:32">
      <c r="A265" s="337" t="s">
        <v>1523</v>
      </c>
      <c r="B265" s="146" t="s">
        <v>1</v>
      </c>
      <c r="C265" s="155" t="s">
        <v>1512</v>
      </c>
      <c r="D265" s="147"/>
      <c r="E265" s="148" t="s">
        <v>1476</v>
      </c>
      <c r="F265" s="147" t="s">
        <v>106</v>
      </c>
      <c r="G265" s="147" t="s">
        <v>1429</v>
      </c>
      <c r="H265" s="147">
        <v>7</v>
      </c>
      <c r="I265" s="149">
        <f t="shared" si="32"/>
        <v>7</v>
      </c>
      <c r="J265" s="147"/>
      <c r="K265" s="336" t="s">
        <v>57</v>
      </c>
      <c r="L265" s="147">
        <v>100</v>
      </c>
      <c r="M265" s="147" t="s">
        <v>9</v>
      </c>
      <c r="N265" s="147"/>
      <c r="O265" s="147" t="s">
        <v>98</v>
      </c>
      <c r="P265" s="147">
        <v>1000</v>
      </c>
      <c r="Q265" s="150">
        <f t="shared" si="33"/>
        <v>0</v>
      </c>
      <c r="R265" s="151"/>
      <c r="S265" s="152">
        <v>1000</v>
      </c>
      <c r="T265" s="158">
        <v>1000</v>
      </c>
      <c r="U265" s="153"/>
      <c r="V265" s="154"/>
      <c r="W265" s="154"/>
      <c r="X265" s="155"/>
      <c r="Y265" s="155" t="s">
        <v>1394</v>
      </c>
      <c r="Z265" s="155" t="s">
        <v>1442</v>
      </c>
      <c r="AA265" s="273">
        <f t="shared" si="34"/>
        <v>1</v>
      </c>
      <c r="AB265" s="273">
        <f t="shared" si="35"/>
        <v>1</v>
      </c>
      <c r="AC265" s="156">
        <f t="shared" si="36"/>
        <v>1000</v>
      </c>
      <c r="AD265" s="274">
        <f t="shared" si="37"/>
        <v>1000</v>
      </c>
      <c r="AE265" s="274">
        <f t="shared" si="38"/>
        <v>1000</v>
      </c>
      <c r="AF265" s="337"/>
    </row>
    <row r="266" spans="1:32">
      <c r="A266" s="337" t="s">
        <v>1523</v>
      </c>
      <c r="B266" s="146" t="s">
        <v>1</v>
      </c>
      <c r="C266" s="155" t="s">
        <v>1512</v>
      </c>
      <c r="D266" s="147"/>
      <c r="E266" s="148" t="s">
        <v>1476</v>
      </c>
      <c r="F266" s="147" t="s">
        <v>106</v>
      </c>
      <c r="G266" s="147" t="s">
        <v>1429</v>
      </c>
      <c r="H266" s="147">
        <v>8</v>
      </c>
      <c r="I266" s="149">
        <f t="shared" si="32"/>
        <v>8</v>
      </c>
      <c r="J266" s="147"/>
      <c r="K266" s="336" t="s">
        <v>55</v>
      </c>
      <c r="L266" s="147">
        <v>100</v>
      </c>
      <c r="M266" s="147" t="s">
        <v>9</v>
      </c>
      <c r="N266" s="147"/>
      <c r="O266" s="147" t="s">
        <v>98</v>
      </c>
      <c r="P266" s="147">
        <v>1000</v>
      </c>
      <c r="Q266" s="150">
        <f t="shared" si="33"/>
        <v>0</v>
      </c>
      <c r="R266" s="151"/>
      <c r="S266" s="152">
        <v>1250</v>
      </c>
      <c r="T266" s="158">
        <v>1250</v>
      </c>
      <c r="U266" s="153"/>
      <c r="V266" s="154"/>
      <c r="W266" s="154"/>
      <c r="X266" s="155"/>
      <c r="Y266" s="155" t="s">
        <v>1394</v>
      </c>
      <c r="Z266" s="155" t="s">
        <v>1442</v>
      </c>
      <c r="AA266" s="273">
        <f t="shared" si="34"/>
        <v>1.25</v>
      </c>
      <c r="AB266" s="273">
        <f t="shared" si="35"/>
        <v>1.25</v>
      </c>
      <c r="AC266" s="156">
        <f t="shared" si="36"/>
        <v>1000</v>
      </c>
      <c r="AD266" s="274">
        <f t="shared" si="37"/>
        <v>1250</v>
      </c>
      <c r="AE266" s="274">
        <f t="shared" si="38"/>
        <v>1250</v>
      </c>
      <c r="AF266" s="337"/>
    </row>
    <row r="267" spans="1:32">
      <c r="A267" s="337" t="s">
        <v>1523</v>
      </c>
      <c r="B267" s="146" t="s">
        <v>1</v>
      </c>
      <c r="C267" s="155" t="s">
        <v>1512</v>
      </c>
      <c r="D267" s="147"/>
      <c r="E267" s="148" t="s">
        <v>1476</v>
      </c>
      <c r="F267" s="147" t="s">
        <v>106</v>
      </c>
      <c r="G267" s="147" t="s">
        <v>1429</v>
      </c>
      <c r="H267" s="147">
        <v>17</v>
      </c>
      <c r="I267" s="149">
        <f t="shared" si="32"/>
        <v>17</v>
      </c>
      <c r="J267" s="147"/>
      <c r="K267" s="336" t="s">
        <v>53</v>
      </c>
      <c r="L267" s="147">
        <v>100</v>
      </c>
      <c r="M267" s="147" t="s">
        <v>9</v>
      </c>
      <c r="N267" s="147"/>
      <c r="O267" s="147" t="s">
        <v>98</v>
      </c>
      <c r="P267" s="147">
        <v>1000</v>
      </c>
      <c r="Q267" s="150">
        <f t="shared" si="33"/>
        <v>0</v>
      </c>
      <c r="R267" s="151"/>
      <c r="S267" s="152">
        <v>2611</v>
      </c>
      <c r="T267" s="158">
        <v>2611</v>
      </c>
      <c r="U267" s="153"/>
      <c r="V267" s="154"/>
      <c r="W267" s="154"/>
      <c r="X267" s="155"/>
      <c r="Y267" s="155" t="s">
        <v>1394</v>
      </c>
      <c r="Z267" s="155" t="s">
        <v>1442</v>
      </c>
      <c r="AA267" s="273">
        <f t="shared" si="34"/>
        <v>2.6110000000000002</v>
      </c>
      <c r="AB267" s="273">
        <f t="shared" si="35"/>
        <v>2.6110000000000002</v>
      </c>
      <c r="AC267" s="156">
        <f t="shared" si="36"/>
        <v>1000</v>
      </c>
      <c r="AD267" s="274">
        <f t="shared" si="37"/>
        <v>2611</v>
      </c>
      <c r="AE267" s="274">
        <f t="shared" si="38"/>
        <v>2611</v>
      </c>
      <c r="AF267" s="337"/>
    </row>
    <row r="268" spans="1:32">
      <c r="A268" s="337" t="s">
        <v>1523</v>
      </c>
      <c r="B268" s="146" t="s">
        <v>1</v>
      </c>
      <c r="C268" s="155" t="s">
        <v>1512</v>
      </c>
      <c r="D268" s="147"/>
      <c r="E268" s="148" t="s">
        <v>1476</v>
      </c>
      <c r="F268" s="147" t="s">
        <v>106</v>
      </c>
      <c r="G268" s="147" t="s">
        <v>1429</v>
      </c>
      <c r="H268" s="147">
        <v>22</v>
      </c>
      <c r="I268" s="149">
        <f t="shared" si="32"/>
        <v>22</v>
      </c>
      <c r="J268" s="147"/>
      <c r="K268" s="336" t="s">
        <v>51</v>
      </c>
      <c r="L268" s="147">
        <v>100</v>
      </c>
      <c r="M268" s="147" t="s">
        <v>9</v>
      </c>
      <c r="N268" s="147"/>
      <c r="O268" s="147" t="s">
        <v>98</v>
      </c>
      <c r="P268" s="147">
        <v>1000</v>
      </c>
      <c r="Q268" s="150">
        <f t="shared" si="33"/>
        <v>0</v>
      </c>
      <c r="R268" s="151"/>
      <c r="S268" s="152">
        <v>4886</v>
      </c>
      <c r="T268" s="158">
        <v>4886</v>
      </c>
      <c r="U268" s="153"/>
      <c r="V268" s="154"/>
      <c r="W268" s="154"/>
      <c r="X268" s="155"/>
      <c r="Y268" s="155" t="s">
        <v>1394</v>
      </c>
      <c r="Z268" s="155" t="s">
        <v>1442</v>
      </c>
      <c r="AA268" s="273">
        <f t="shared" si="34"/>
        <v>4.8860000000000001</v>
      </c>
      <c r="AB268" s="273">
        <f t="shared" si="35"/>
        <v>4.8860000000000001</v>
      </c>
      <c r="AC268" s="156">
        <f t="shared" si="36"/>
        <v>1000</v>
      </c>
      <c r="AD268" s="274">
        <f t="shared" si="37"/>
        <v>4886</v>
      </c>
      <c r="AE268" s="274">
        <f t="shared" si="38"/>
        <v>4886</v>
      </c>
      <c r="AF268" s="337"/>
    </row>
    <row r="269" spans="1:32">
      <c r="A269" s="337" t="s">
        <v>1523</v>
      </c>
      <c r="B269" s="146" t="s">
        <v>1</v>
      </c>
      <c r="C269" s="155" t="s">
        <v>1512</v>
      </c>
      <c r="D269" s="147"/>
      <c r="E269" s="148" t="s">
        <v>1476</v>
      </c>
      <c r="F269" s="147" t="s">
        <v>106</v>
      </c>
      <c r="G269" s="147" t="s">
        <v>1429</v>
      </c>
      <c r="H269" s="147">
        <v>33</v>
      </c>
      <c r="I269" s="149">
        <f t="shared" si="32"/>
        <v>33</v>
      </c>
      <c r="J269" s="147"/>
      <c r="K269" s="336" t="s">
        <v>59</v>
      </c>
      <c r="L269" s="147">
        <v>100</v>
      </c>
      <c r="M269" s="147" t="s">
        <v>9</v>
      </c>
      <c r="N269" s="147"/>
      <c r="O269" s="147" t="s">
        <v>98</v>
      </c>
      <c r="P269" s="147">
        <v>1000</v>
      </c>
      <c r="Q269" s="150">
        <f t="shared" si="33"/>
        <v>0</v>
      </c>
      <c r="R269" s="151"/>
      <c r="S269" s="152">
        <v>2605</v>
      </c>
      <c r="T269" s="158">
        <v>2605</v>
      </c>
      <c r="U269" s="153"/>
      <c r="V269" s="154"/>
      <c r="W269" s="154"/>
      <c r="X269" s="155"/>
      <c r="Y269" s="155" t="s">
        <v>1394</v>
      </c>
      <c r="Z269" s="155" t="s">
        <v>1442</v>
      </c>
      <c r="AA269" s="273">
        <f t="shared" si="34"/>
        <v>2.605</v>
      </c>
      <c r="AB269" s="273">
        <f t="shared" si="35"/>
        <v>2.605</v>
      </c>
      <c r="AC269" s="156">
        <f t="shared" si="36"/>
        <v>1000</v>
      </c>
      <c r="AD269" s="274">
        <f t="shared" si="37"/>
        <v>2605</v>
      </c>
      <c r="AE269" s="274">
        <f t="shared" si="38"/>
        <v>2605</v>
      </c>
      <c r="AF269" s="337"/>
    </row>
    <row r="270" spans="1:32">
      <c r="A270" s="337" t="s">
        <v>1523</v>
      </c>
      <c r="B270" s="146" t="s">
        <v>1</v>
      </c>
      <c r="C270" s="155" t="s">
        <v>1512</v>
      </c>
      <c r="D270" s="147"/>
      <c r="E270" s="148" t="s">
        <v>1476</v>
      </c>
      <c r="F270" s="147" t="s">
        <v>106</v>
      </c>
      <c r="G270" s="147" t="s">
        <v>1429</v>
      </c>
      <c r="H270" s="147">
        <v>42</v>
      </c>
      <c r="I270" s="149">
        <f t="shared" si="32"/>
        <v>42</v>
      </c>
      <c r="J270" s="147"/>
      <c r="K270" s="336" t="s">
        <v>61</v>
      </c>
      <c r="L270" s="147">
        <v>100</v>
      </c>
      <c r="M270" s="147" t="s">
        <v>9</v>
      </c>
      <c r="N270" s="147"/>
      <c r="O270" s="147" t="s">
        <v>98</v>
      </c>
      <c r="P270" s="147">
        <v>1000</v>
      </c>
      <c r="Q270" s="150">
        <f t="shared" si="33"/>
        <v>0</v>
      </c>
      <c r="R270" s="151"/>
      <c r="S270" s="152">
        <v>3312</v>
      </c>
      <c r="T270" s="158">
        <v>3312</v>
      </c>
      <c r="U270" s="153"/>
      <c r="V270" s="154"/>
      <c r="W270" s="154"/>
      <c r="X270" s="155"/>
      <c r="Y270" s="155" t="s">
        <v>1394</v>
      </c>
      <c r="Z270" s="155" t="s">
        <v>1442</v>
      </c>
      <c r="AA270" s="273">
        <f t="shared" si="34"/>
        <v>3.3119999999999998</v>
      </c>
      <c r="AB270" s="273">
        <f t="shared" si="35"/>
        <v>3.3119999999999998</v>
      </c>
      <c r="AC270" s="156">
        <f t="shared" si="36"/>
        <v>1000</v>
      </c>
      <c r="AD270" s="274">
        <f t="shared" si="37"/>
        <v>3312</v>
      </c>
      <c r="AE270" s="274">
        <f t="shared" si="38"/>
        <v>3312</v>
      </c>
      <c r="AF270" s="337"/>
    </row>
    <row r="271" spans="1:32">
      <c r="A271" s="337" t="s">
        <v>1523</v>
      </c>
      <c r="B271" s="146" t="s">
        <v>1</v>
      </c>
      <c r="C271" s="155" t="s">
        <v>1512</v>
      </c>
      <c r="D271" s="147"/>
      <c r="E271" s="148" t="s">
        <v>1476</v>
      </c>
      <c r="F271" s="147" t="s">
        <v>106</v>
      </c>
      <c r="G271" s="147" t="s">
        <v>1429</v>
      </c>
      <c r="H271" s="147">
        <v>46</v>
      </c>
      <c r="I271" s="149">
        <f t="shared" si="32"/>
        <v>46</v>
      </c>
      <c r="J271" s="147"/>
      <c r="K271" s="336" t="s">
        <v>1506</v>
      </c>
      <c r="L271" s="147">
        <v>100</v>
      </c>
      <c r="M271" s="147" t="s">
        <v>9</v>
      </c>
      <c r="N271" s="147"/>
      <c r="O271" s="147" t="s">
        <v>98</v>
      </c>
      <c r="P271" s="147">
        <v>1000</v>
      </c>
      <c r="Q271" s="150">
        <f t="shared" si="33"/>
        <v>0</v>
      </c>
      <c r="R271" s="151"/>
      <c r="S271" s="152">
        <v>3382</v>
      </c>
      <c r="T271" s="158">
        <v>3382</v>
      </c>
      <c r="U271" s="153"/>
      <c r="V271" s="154"/>
      <c r="W271" s="154"/>
      <c r="X271" s="155"/>
      <c r="Y271" s="155" t="s">
        <v>1394</v>
      </c>
      <c r="Z271" s="155" t="s">
        <v>1442</v>
      </c>
      <c r="AA271" s="273">
        <f t="shared" si="34"/>
        <v>3.3820000000000001</v>
      </c>
      <c r="AB271" s="273">
        <f t="shared" si="35"/>
        <v>3.3820000000000001</v>
      </c>
      <c r="AC271" s="156">
        <f t="shared" si="36"/>
        <v>1000</v>
      </c>
      <c r="AD271" s="274">
        <f t="shared" si="37"/>
        <v>3382</v>
      </c>
      <c r="AE271" s="274">
        <f t="shared" si="38"/>
        <v>3382</v>
      </c>
      <c r="AF271" s="337"/>
    </row>
    <row r="272" spans="1:32">
      <c r="A272" s="337" t="s">
        <v>1523</v>
      </c>
      <c r="B272" s="146" t="s">
        <v>1</v>
      </c>
      <c r="C272" s="155" t="s">
        <v>1512</v>
      </c>
      <c r="D272" s="147"/>
      <c r="E272" s="148" t="s">
        <v>1476</v>
      </c>
      <c r="F272" s="147" t="s">
        <v>106</v>
      </c>
      <c r="G272" s="147" t="s">
        <v>1429</v>
      </c>
      <c r="H272" s="147">
        <v>46</v>
      </c>
      <c r="I272" s="149">
        <f t="shared" si="32"/>
        <v>46</v>
      </c>
      <c r="J272" s="147"/>
      <c r="K272" s="336" t="s">
        <v>1507</v>
      </c>
      <c r="L272" s="147">
        <v>100</v>
      </c>
      <c r="M272" s="147" t="s">
        <v>9</v>
      </c>
      <c r="N272" s="147"/>
      <c r="O272" s="147" t="s">
        <v>98</v>
      </c>
      <c r="P272" s="147">
        <v>1000</v>
      </c>
      <c r="Q272" s="150">
        <f t="shared" si="33"/>
        <v>0</v>
      </c>
      <c r="R272" s="151"/>
      <c r="S272" s="152">
        <v>5097</v>
      </c>
      <c r="T272" s="158">
        <v>5097</v>
      </c>
      <c r="U272" s="153"/>
      <c r="V272" s="154"/>
      <c r="W272" s="154"/>
      <c r="X272" s="155"/>
      <c r="Y272" s="155" t="s">
        <v>1394</v>
      </c>
      <c r="Z272" s="155" t="s">
        <v>1442</v>
      </c>
      <c r="AA272" s="273">
        <f t="shared" si="34"/>
        <v>5.0970000000000004</v>
      </c>
      <c r="AB272" s="273">
        <f t="shared" si="35"/>
        <v>5.0970000000000004</v>
      </c>
      <c r="AC272" s="156">
        <f t="shared" si="36"/>
        <v>1000</v>
      </c>
      <c r="AD272" s="274">
        <f t="shared" si="37"/>
        <v>5097</v>
      </c>
      <c r="AE272" s="274">
        <f t="shared" si="38"/>
        <v>5097</v>
      </c>
      <c r="AF272" s="337"/>
    </row>
    <row r="273" spans="1:32">
      <c r="A273" s="337" t="s">
        <v>1523</v>
      </c>
      <c r="B273" s="146" t="s">
        <v>1</v>
      </c>
      <c r="C273" s="155" t="s">
        <v>1512</v>
      </c>
      <c r="D273" s="147"/>
      <c r="E273" s="148" t="s">
        <v>1476</v>
      </c>
      <c r="F273" s="147" t="s">
        <v>106</v>
      </c>
      <c r="G273" s="147" t="s">
        <v>1429</v>
      </c>
      <c r="H273" s="147">
        <v>46</v>
      </c>
      <c r="I273" s="149">
        <f t="shared" si="32"/>
        <v>46</v>
      </c>
      <c r="J273" s="147"/>
      <c r="K273" s="336" t="s">
        <v>1508</v>
      </c>
      <c r="L273" s="147">
        <v>100</v>
      </c>
      <c r="M273" s="147" t="s">
        <v>9</v>
      </c>
      <c r="N273" s="147"/>
      <c r="O273" s="147" t="s">
        <v>98</v>
      </c>
      <c r="P273" s="147">
        <v>1000</v>
      </c>
      <c r="Q273" s="150">
        <f t="shared" si="33"/>
        <v>0</v>
      </c>
      <c r="R273" s="151"/>
      <c r="S273" s="152">
        <v>4412</v>
      </c>
      <c r="T273" s="158">
        <v>4412</v>
      </c>
      <c r="U273" s="153"/>
      <c r="V273" s="154"/>
      <c r="W273" s="154"/>
      <c r="X273" s="155"/>
      <c r="Y273" s="155" t="s">
        <v>1394</v>
      </c>
      <c r="Z273" s="155" t="s">
        <v>1442</v>
      </c>
      <c r="AA273" s="273">
        <f t="shared" si="34"/>
        <v>4.4119999999999999</v>
      </c>
      <c r="AB273" s="273">
        <f t="shared" si="35"/>
        <v>4.4119999999999999</v>
      </c>
      <c r="AC273" s="156">
        <f t="shared" si="36"/>
        <v>1000</v>
      </c>
      <c r="AD273" s="274">
        <f t="shared" si="37"/>
        <v>4412</v>
      </c>
      <c r="AE273" s="274">
        <f t="shared" si="38"/>
        <v>4412</v>
      </c>
      <c r="AF273" s="337"/>
    </row>
    <row r="274" spans="1:32">
      <c r="A274" s="337" t="s">
        <v>1523</v>
      </c>
      <c r="B274" s="146" t="s">
        <v>1</v>
      </c>
      <c r="C274" s="155" t="s">
        <v>1512</v>
      </c>
      <c r="D274" s="147"/>
      <c r="E274" s="148" t="s">
        <v>1476</v>
      </c>
      <c r="F274" s="147" t="s">
        <v>106</v>
      </c>
      <c r="G274" s="147" t="s">
        <v>1429</v>
      </c>
      <c r="H274" s="147">
        <v>58</v>
      </c>
      <c r="I274" s="149">
        <f t="shared" si="32"/>
        <v>58</v>
      </c>
      <c r="J274" s="147"/>
      <c r="K274" s="336" t="s">
        <v>67</v>
      </c>
      <c r="L274" s="147">
        <v>100</v>
      </c>
      <c r="M274" s="147" t="s">
        <v>9</v>
      </c>
      <c r="N274" s="147"/>
      <c r="O274" s="147" t="s">
        <v>98</v>
      </c>
      <c r="P274" s="147">
        <v>1000</v>
      </c>
      <c r="Q274" s="150">
        <f t="shared" si="33"/>
        <v>0</v>
      </c>
      <c r="R274" s="151"/>
      <c r="S274" s="152">
        <v>1576</v>
      </c>
      <c r="T274" s="158">
        <v>1576</v>
      </c>
      <c r="U274" s="153"/>
      <c r="V274" s="154"/>
      <c r="W274" s="154"/>
      <c r="X274" s="155"/>
      <c r="Y274" s="155" t="s">
        <v>1394</v>
      </c>
      <c r="Z274" s="155" t="s">
        <v>1442</v>
      </c>
      <c r="AA274" s="273">
        <f t="shared" si="34"/>
        <v>1.5760000000000001</v>
      </c>
      <c r="AB274" s="273">
        <f t="shared" si="35"/>
        <v>1.5760000000000001</v>
      </c>
      <c r="AC274" s="156">
        <f t="shared" si="36"/>
        <v>1000</v>
      </c>
      <c r="AD274" s="274">
        <f t="shared" si="37"/>
        <v>1576</v>
      </c>
      <c r="AE274" s="274">
        <f t="shared" si="38"/>
        <v>1576</v>
      </c>
      <c r="AF274" s="337"/>
    </row>
    <row r="275" spans="1:32">
      <c r="A275" s="337" t="s">
        <v>1523</v>
      </c>
      <c r="B275" s="146" t="s">
        <v>1</v>
      </c>
      <c r="C275" s="155" t="s">
        <v>1512</v>
      </c>
      <c r="D275" s="147"/>
      <c r="E275" s="148" t="s">
        <v>1476</v>
      </c>
      <c r="F275" s="147" t="s">
        <v>106</v>
      </c>
      <c r="G275" s="147" t="s">
        <v>1429</v>
      </c>
      <c r="H275" s="147">
        <v>59</v>
      </c>
      <c r="I275" s="149">
        <f t="shared" si="32"/>
        <v>59</v>
      </c>
      <c r="J275" s="147"/>
      <c r="K275" s="336" t="s">
        <v>99</v>
      </c>
      <c r="L275" s="147">
        <v>100</v>
      </c>
      <c r="M275" s="147" t="s">
        <v>9</v>
      </c>
      <c r="N275" s="147"/>
      <c r="O275" s="147" t="s">
        <v>98</v>
      </c>
      <c r="P275" s="147">
        <v>1000</v>
      </c>
      <c r="Q275" s="150">
        <f t="shared" si="33"/>
        <v>0</v>
      </c>
      <c r="R275" s="151"/>
      <c r="S275" s="152">
        <v>3478</v>
      </c>
      <c r="T275" s="158">
        <v>3478</v>
      </c>
      <c r="U275" s="153"/>
      <c r="V275" s="154"/>
      <c r="W275" s="154"/>
      <c r="X275" s="155"/>
      <c r="Y275" s="155" t="s">
        <v>1394</v>
      </c>
      <c r="Z275" s="155" t="s">
        <v>1442</v>
      </c>
      <c r="AA275" s="273">
        <f t="shared" si="34"/>
        <v>3.4780000000000002</v>
      </c>
      <c r="AB275" s="273">
        <f t="shared" si="35"/>
        <v>3.4780000000000002</v>
      </c>
      <c r="AC275" s="156">
        <f t="shared" si="36"/>
        <v>1000</v>
      </c>
      <c r="AD275" s="274">
        <f t="shared" si="37"/>
        <v>3478</v>
      </c>
      <c r="AE275" s="274">
        <f t="shared" si="38"/>
        <v>3478</v>
      </c>
      <c r="AF275" s="337"/>
    </row>
    <row r="276" spans="1:32">
      <c r="A276" s="337" t="s">
        <v>1523</v>
      </c>
      <c r="B276" s="146" t="s">
        <v>1</v>
      </c>
      <c r="C276" s="155" t="s">
        <v>1512</v>
      </c>
      <c r="D276" s="147"/>
      <c r="E276" s="148" t="s">
        <v>1476</v>
      </c>
      <c r="F276" s="147" t="s">
        <v>106</v>
      </c>
      <c r="G276" s="147" t="s">
        <v>1429</v>
      </c>
      <c r="H276" s="147">
        <v>69</v>
      </c>
      <c r="I276" s="149">
        <f t="shared" si="32"/>
        <v>69</v>
      </c>
      <c r="J276" s="147"/>
      <c r="K276" s="336" t="s">
        <v>1509</v>
      </c>
      <c r="L276" s="147">
        <v>100</v>
      </c>
      <c r="M276" s="147" t="s">
        <v>9</v>
      </c>
      <c r="N276" s="147"/>
      <c r="O276" s="147" t="s">
        <v>98</v>
      </c>
      <c r="P276" s="147">
        <v>1000</v>
      </c>
      <c r="Q276" s="150">
        <f t="shared" si="33"/>
        <v>0</v>
      </c>
      <c r="R276" s="151"/>
      <c r="S276" s="152">
        <v>2718</v>
      </c>
      <c r="T276" s="158">
        <v>2718</v>
      </c>
      <c r="U276" s="153"/>
      <c r="V276" s="154"/>
      <c r="W276" s="154"/>
      <c r="X276" s="155"/>
      <c r="Y276" s="155" t="s">
        <v>1394</v>
      </c>
      <c r="Z276" s="155" t="s">
        <v>1442</v>
      </c>
      <c r="AA276" s="273">
        <f t="shared" si="34"/>
        <v>2.718</v>
      </c>
      <c r="AB276" s="273">
        <f t="shared" si="35"/>
        <v>2.718</v>
      </c>
      <c r="AC276" s="156">
        <f t="shared" si="36"/>
        <v>1000</v>
      </c>
      <c r="AD276" s="274">
        <f t="shared" si="37"/>
        <v>2718</v>
      </c>
      <c r="AE276" s="274">
        <f t="shared" si="38"/>
        <v>2718</v>
      </c>
      <c r="AF276" s="337"/>
    </row>
    <row r="277" spans="1:32">
      <c r="A277" s="337" t="s">
        <v>1523</v>
      </c>
      <c r="B277" s="146" t="s">
        <v>1</v>
      </c>
      <c r="C277" s="155" t="s">
        <v>1512</v>
      </c>
      <c r="D277" s="147"/>
      <c r="E277" s="148" t="s">
        <v>1476</v>
      </c>
      <c r="F277" s="147" t="s">
        <v>106</v>
      </c>
      <c r="G277" s="147" t="s">
        <v>1429</v>
      </c>
      <c r="H277" s="147">
        <v>70</v>
      </c>
      <c r="I277" s="149">
        <f t="shared" ref="I277:I340" si="39">IF(AND(F277="SI",J277&lt;&gt;"",J277&lt;&gt;"NA"),CONCATENATE(H277,"_",J277),IF(F277="SI",H277,CONCATENATE(" REGISTRO COTIZACION NO EVALUADA: ",H277)))</f>
        <v>70</v>
      </c>
      <c r="J277" s="147"/>
      <c r="K277" s="336" t="s">
        <v>1510</v>
      </c>
      <c r="L277" s="147">
        <v>100</v>
      </c>
      <c r="M277" s="147" t="s">
        <v>9</v>
      </c>
      <c r="N277" s="147"/>
      <c r="O277" s="147" t="s">
        <v>98</v>
      </c>
      <c r="P277" s="147">
        <v>1000</v>
      </c>
      <c r="Q277" s="150">
        <f t="shared" ref="Q277:Q340" si="40">(T277-S277)/S277</f>
        <v>0</v>
      </c>
      <c r="R277" s="151"/>
      <c r="S277" s="152">
        <v>4046</v>
      </c>
      <c r="T277" s="158">
        <v>4046</v>
      </c>
      <c r="U277" s="153"/>
      <c r="V277" s="154"/>
      <c r="W277" s="154"/>
      <c r="X277" s="155"/>
      <c r="Y277" s="155" t="s">
        <v>1394</v>
      </c>
      <c r="Z277" s="155" t="s">
        <v>1442</v>
      </c>
      <c r="AA277" s="273">
        <f t="shared" ref="AA277:AA340" si="41">S277/P277</f>
        <v>4.0460000000000003</v>
      </c>
      <c r="AB277" s="273">
        <f t="shared" ref="AB277:AB340" si="42">T277/P277</f>
        <v>4.0460000000000003</v>
      </c>
      <c r="AC277" s="156">
        <f t="shared" ref="AC277:AC340" si="43">P277</f>
        <v>1000</v>
      </c>
      <c r="AD277" s="274">
        <f t="shared" ref="AD277:AD340" si="44">AA277*AC277</f>
        <v>4046.0000000000005</v>
      </c>
      <c r="AE277" s="274">
        <f t="shared" si="38"/>
        <v>4046.0000000000005</v>
      </c>
      <c r="AF277" s="337"/>
    </row>
    <row r="278" spans="1:32">
      <c r="A278" s="337" t="s">
        <v>1523</v>
      </c>
      <c r="B278" s="146" t="s">
        <v>1</v>
      </c>
      <c r="C278" s="155" t="s">
        <v>1512</v>
      </c>
      <c r="D278" s="147"/>
      <c r="E278" s="148" t="s">
        <v>1476</v>
      </c>
      <c r="F278" s="147" t="s">
        <v>106</v>
      </c>
      <c r="G278" s="147" t="s">
        <v>1429</v>
      </c>
      <c r="H278" s="147">
        <v>70</v>
      </c>
      <c r="I278" s="149">
        <f t="shared" si="39"/>
        <v>70</v>
      </c>
      <c r="J278" s="147"/>
      <c r="K278" s="336" t="s">
        <v>1511</v>
      </c>
      <c r="L278" s="147">
        <v>100</v>
      </c>
      <c r="M278" s="147" t="s">
        <v>9</v>
      </c>
      <c r="N278" s="147"/>
      <c r="O278" s="147" t="s">
        <v>98</v>
      </c>
      <c r="P278" s="147">
        <v>1000</v>
      </c>
      <c r="Q278" s="150">
        <f t="shared" si="40"/>
        <v>0</v>
      </c>
      <c r="R278" s="151"/>
      <c r="S278" s="152">
        <v>4035</v>
      </c>
      <c r="T278" s="158">
        <v>4035</v>
      </c>
      <c r="U278" s="153"/>
      <c r="V278" s="154"/>
      <c r="W278" s="154"/>
      <c r="X278" s="155"/>
      <c r="Y278" s="155" t="s">
        <v>1394</v>
      </c>
      <c r="Z278" s="155" t="s">
        <v>1442</v>
      </c>
      <c r="AA278" s="273">
        <f t="shared" si="41"/>
        <v>4.0350000000000001</v>
      </c>
      <c r="AB278" s="273">
        <f t="shared" si="42"/>
        <v>4.0350000000000001</v>
      </c>
      <c r="AC278" s="156">
        <f t="shared" si="43"/>
        <v>1000</v>
      </c>
      <c r="AD278" s="274">
        <f t="shared" si="44"/>
        <v>4035</v>
      </c>
      <c r="AE278" s="274">
        <f t="shared" si="38"/>
        <v>4035</v>
      </c>
      <c r="AF278" s="337"/>
    </row>
    <row r="279" spans="1:32">
      <c r="A279" s="337" t="s">
        <v>1523</v>
      </c>
      <c r="B279" s="146" t="s">
        <v>1</v>
      </c>
      <c r="C279" s="155" t="s">
        <v>1512</v>
      </c>
      <c r="D279" s="147"/>
      <c r="E279" s="148" t="s">
        <v>1477</v>
      </c>
      <c r="F279" s="147" t="s">
        <v>106</v>
      </c>
      <c r="G279" s="147" t="s">
        <v>1429</v>
      </c>
      <c r="H279" s="147">
        <v>7</v>
      </c>
      <c r="I279" s="149">
        <f t="shared" si="39"/>
        <v>7</v>
      </c>
      <c r="J279" s="147"/>
      <c r="K279" s="336" t="s">
        <v>57</v>
      </c>
      <c r="L279" s="147">
        <v>100</v>
      </c>
      <c r="M279" s="147" t="s">
        <v>9</v>
      </c>
      <c r="N279" s="147"/>
      <c r="O279" s="147" t="s">
        <v>98</v>
      </c>
      <c r="P279" s="147">
        <v>1000</v>
      </c>
      <c r="Q279" s="150">
        <f t="shared" si="40"/>
        <v>0</v>
      </c>
      <c r="R279" s="151"/>
      <c r="S279" s="152">
        <v>1000</v>
      </c>
      <c r="T279" s="158">
        <v>1000</v>
      </c>
      <c r="U279" s="153"/>
      <c r="V279" s="154"/>
      <c r="W279" s="154"/>
      <c r="X279" s="155"/>
      <c r="Y279" s="155" t="s">
        <v>1394</v>
      </c>
      <c r="Z279" s="155" t="s">
        <v>1442</v>
      </c>
      <c r="AA279" s="273">
        <f t="shared" si="41"/>
        <v>1</v>
      </c>
      <c r="AB279" s="273">
        <f t="shared" si="42"/>
        <v>1</v>
      </c>
      <c r="AC279" s="156">
        <f t="shared" si="43"/>
        <v>1000</v>
      </c>
      <c r="AD279" s="274">
        <f t="shared" si="44"/>
        <v>1000</v>
      </c>
      <c r="AE279" s="274">
        <f t="shared" si="38"/>
        <v>1000</v>
      </c>
      <c r="AF279" s="337"/>
    </row>
    <row r="280" spans="1:32">
      <c r="A280" s="337" t="s">
        <v>1523</v>
      </c>
      <c r="B280" s="146" t="s">
        <v>1</v>
      </c>
      <c r="C280" s="155" t="s">
        <v>1512</v>
      </c>
      <c r="D280" s="147"/>
      <c r="E280" s="148" t="s">
        <v>1477</v>
      </c>
      <c r="F280" s="147" t="s">
        <v>106</v>
      </c>
      <c r="G280" s="147" t="s">
        <v>1429</v>
      </c>
      <c r="H280" s="147">
        <v>8</v>
      </c>
      <c r="I280" s="149">
        <f t="shared" si="39"/>
        <v>8</v>
      </c>
      <c r="J280" s="147"/>
      <c r="K280" s="336" t="s">
        <v>55</v>
      </c>
      <c r="L280" s="147">
        <v>100</v>
      </c>
      <c r="M280" s="147" t="s">
        <v>9</v>
      </c>
      <c r="N280" s="147"/>
      <c r="O280" s="147" t="s">
        <v>98</v>
      </c>
      <c r="P280" s="147">
        <v>1000</v>
      </c>
      <c r="Q280" s="150">
        <f t="shared" si="40"/>
        <v>0</v>
      </c>
      <c r="R280" s="151"/>
      <c r="S280" s="152">
        <v>1240</v>
      </c>
      <c r="T280" s="158">
        <v>1240</v>
      </c>
      <c r="U280" s="153"/>
      <c r="V280" s="154"/>
      <c r="W280" s="154"/>
      <c r="X280" s="155"/>
      <c r="Y280" s="155" t="s">
        <v>1394</v>
      </c>
      <c r="Z280" s="155" t="s">
        <v>1442</v>
      </c>
      <c r="AA280" s="273">
        <f t="shared" si="41"/>
        <v>1.24</v>
      </c>
      <c r="AB280" s="273">
        <f t="shared" si="42"/>
        <v>1.24</v>
      </c>
      <c r="AC280" s="156">
        <f t="shared" si="43"/>
        <v>1000</v>
      </c>
      <c r="AD280" s="274">
        <f t="shared" si="44"/>
        <v>1240</v>
      </c>
      <c r="AE280" s="274">
        <f t="shared" si="38"/>
        <v>1240</v>
      </c>
      <c r="AF280" s="337"/>
    </row>
    <row r="281" spans="1:32">
      <c r="A281" s="337" t="s">
        <v>1523</v>
      </c>
      <c r="B281" s="146" t="s">
        <v>1</v>
      </c>
      <c r="C281" s="155" t="s">
        <v>1512</v>
      </c>
      <c r="D281" s="147"/>
      <c r="E281" s="148" t="s">
        <v>1477</v>
      </c>
      <c r="F281" s="147" t="s">
        <v>106</v>
      </c>
      <c r="G281" s="147" t="s">
        <v>1429</v>
      </c>
      <c r="H281" s="147">
        <v>17</v>
      </c>
      <c r="I281" s="149">
        <f t="shared" si="39"/>
        <v>17</v>
      </c>
      <c r="J281" s="147"/>
      <c r="K281" s="336" t="s">
        <v>53</v>
      </c>
      <c r="L281" s="147">
        <v>100</v>
      </c>
      <c r="M281" s="147" t="s">
        <v>9</v>
      </c>
      <c r="N281" s="147"/>
      <c r="O281" s="147" t="s">
        <v>98</v>
      </c>
      <c r="P281" s="147">
        <v>1000</v>
      </c>
      <c r="Q281" s="150">
        <f t="shared" si="40"/>
        <v>0</v>
      </c>
      <c r="R281" s="151"/>
      <c r="S281" s="152">
        <v>2767</v>
      </c>
      <c r="T281" s="158">
        <v>2767</v>
      </c>
      <c r="U281" s="153"/>
      <c r="V281" s="154"/>
      <c r="W281" s="154"/>
      <c r="X281" s="155"/>
      <c r="Y281" s="155" t="s">
        <v>1394</v>
      </c>
      <c r="Z281" s="155" t="s">
        <v>1442</v>
      </c>
      <c r="AA281" s="273">
        <f t="shared" si="41"/>
        <v>2.7669999999999999</v>
      </c>
      <c r="AB281" s="273">
        <f t="shared" si="42"/>
        <v>2.7669999999999999</v>
      </c>
      <c r="AC281" s="156">
        <f t="shared" si="43"/>
        <v>1000</v>
      </c>
      <c r="AD281" s="274">
        <f t="shared" si="44"/>
        <v>2767</v>
      </c>
      <c r="AE281" s="274">
        <f t="shared" si="38"/>
        <v>2767</v>
      </c>
      <c r="AF281" s="337"/>
    </row>
    <row r="282" spans="1:32">
      <c r="A282" s="337" t="s">
        <v>1523</v>
      </c>
      <c r="B282" s="146" t="s">
        <v>1</v>
      </c>
      <c r="C282" s="155" t="s">
        <v>1512</v>
      </c>
      <c r="D282" s="147"/>
      <c r="E282" s="148" t="s">
        <v>1477</v>
      </c>
      <c r="F282" s="147" t="s">
        <v>106</v>
      </c>
      <c r="G282" s="147" t="s">
        <v>1429</v>
      </c>
      <c r="H282" s="147">
        <v>22</v>
      </c>
      <c r="I282" s="149">
        <f t="shared" si="39"/>
        <v>22</v>
      </c>
      <c r="J282" s="147"/>
      <c r="K282" s="336" t="s">
        <v>51</v>
      </c>
      <c r="L282" s="147">
        <v>100</v>
      </c>
      <c r="M282" s="147" t="s">
        <v>9</v>
      </c>
      <c r="N282" s="147"/>
      <c r="O282" s="147" t="s">
        <v>98</v>
      </c>
      <c r="P282" s="147">
        <v>1000</v>
      </c>
      <c r="Q282" s="150">
        <f t="shared" si="40"/>
        <v>0</v>
      </c>
      <c r="R282" s="151"/>
      <c r="S282" s="152">
        <v>4803</v>
      </c>
      <c r="T282" s="158">
        <v>4803</v>
      </c>
      <c r="U282" s="153"/>
      <c r="V282" s="154"/>
      <c r="W282" s="154"/>
      <c r="X282" s="155"/>
      <c r="Y282" s="155" t="s">
        <v>1394</v>
      </c>
      <c r="Z282" s="155" t="s">
        <v>1442</v>
      </c>
      <c r="AA282" s="273">
        <f t="shared" si="41"/>
        <v>4.8029999999999999</v>
      </c>
      <c r="AB282" s="273">
        <f t="shared" si="42"/>
        <v>4.8029999999999999</v>
      </c>
      <c r="AC282" s="156">
        <f t="shared" si="43"/>
        <v>1000</v>
      </c>
      <c r="AD282" s="274">
        <f t="shared" si="44"/>
        <v>4803</v>
      </c>
      <c r="AE282" s="274">
        <f t="shared" si="38"/>
        <v>4803</v>
      </c>
      <c r="AF282" s="337"/>
    </row>
    <row r="283" spans="1:32">
      <c r="A283" s="337" t="s">
        <v>1523</v>
      </c>
      <c r="B283" s="146" t="s">
        <v>1</v>
      </c>
      <c r="C283" s="155" t="s">
        <v>1512</v>
      </c>
      <c r="D283" s="147"/>
      <c r="E283" s="148" t="s">
        <v>1477</v>
      </c>
      <c r="F283" s="147" t="s">
        <v>106</v>
      </c>
      <c r="G283" s="147" t="s">
        <v>1429</v>
      </c>
      <c r="H283" s="147">
        <v>33</v>
      </c>
      <c r="I283" s="149">
        <f t="shared" si="39"/>
        <v>33</v>
      </c>
      <c r="J283" s="147"/>
      <c r="K283" s="336" t="s">
        <v>59</v>
      </c>
      <c r="L283" s="147">
        <v>100</v>
      </c>
      <c r="M283" s="147" t="s">
        <v>9</v>
      </c>
      <c r="N283" s="147"/>
      <c r="O283" s="147" t="s">
        <v>98</v>
      </c>
      <c r="P283" s="147">
        <v>1000</v>
      </c>
      <c r="Q283" s="150">
        <f t="shared" si="40"/>
        <v>0</v>
      </c>
      <c r="R283" s="151"/>
      <c r="S283" s="152">
        <v>2220</v>
      </c>
      <c r="T283" s="158">
        <v>2220</v>
      </c>
      <c r="U283" s="153"/>
      <c r="V283" s="154"/>
      <c r="W283" s="154"/>
      <c r="X283" s="155"/>
      <c r="Y283" s="155" t="s">
        <v>1394</v>
      </c>
      <c r="Z283" s="155" t="s">
        <v>1442</v>
      </c>
      <c r="AA283" s="273">
        <f t="shared" si="41"/>
        <v>2.2200000000000002</v>
      </c>
      <c r="AB283" s="273">
        <f t="shared" si="42"/>
        <v>2.2200000000000002</v>
      </c>
      <c r="AC283" s="156">
        <f t="shared" si="43"/>
        <v>1000</v>
      </c>
      <c r="AD283" s="274">
        <f t="shared" si="44"/>
        <v>2220</v>
      </c>
      <c r="AE283" s="274">
        <f t="shared" si="38"/>
        <v>2220</v>
      </c>
      <c r="AF283" s="337"/>
    </row>
    <row r="284" spans="1:32">
      <c r="A284" s="337" t="s">
        <v>1523</v>
      </c>
      <c r="B284" s="146" t="s">
        <v>1</v>
      </c>
      <c r="C284" s="155" t="s">
        <v>1512</v>
      </c>
      <c r="D284" s="147"/>
      <c r="E284" s="148" t="s">
        <v>1477</v>
      </c>
      <c r="F284" s="147" t="s">
        <v>106</v>
      </c>
      <c r="G284" s="147" t="s">
        <v>1429</v>
      </c>
      <c r="H284" s="147">
        <v>42</v>
      </c>
      <c r="I284" s="149">
        <f t="shared" si="39"/>
        <v>42</v>
      </c>
      <c r="J284" s="147"/>
      <c r="K284" s="336" t="s">
        <v>61</v>
      </c>
      <c r="L284" s="147">
        <v>100</v>
      </c>
      <c r="M284" s="147" t="s">
        <v>9</v>
      </c>
      <c r="N284" s="147"/>
      <c r="O284" s="147" t="s">
        <v>98</v>
      </c>
      <c r="P284" s="147">
        <v>1000</v>
      </c>
      <c r="Q284" s="150">
        <f t="shared" si="40"/>
        <v>0</v>
      </c>
      <c r="R284" s="151"/>
      <c r="S284" s="152">
        <v>2857</v>
      </c>
      <c r="T284" s="158">
        <v>2857</v>
      </c>
      <c r="U284" s="153"/>
      <c r="V284" s="154"/>
      <c r="W284" s="154"/>
      <c r="X284" s="155"/>
      <c r="Y284" s="155" t="s">
        <v>1394</v>
      </c>
      <c r="Z284" s="155" t="s">
        <v>1442</v>
      </c>
      <c r="AA284" s="273">
        <f t="shared" si="41"/>
        <v>2.8570000000000002</v>
      </c>
      <c r="AB284" s="273">
        <f t="shared" si="42"/>
        <v>2.8570000000000002</v>
      </c>
      <c r="AC284" s="156">
        <f t="shared" si="43"/>
        <v>1000</v>
      </c>
      <c r="AD284" s="274">
        <f t="shared" si="44"/>
        <v>2857</v>
      </c>
      <c r="AE284" s="274">
        <f t="shared" si="38"/>
        <v>2857</v>
      </c>
      <c r="AF284" s="337"/>
    </row>
    <row r="285" spans="1:32">
      <c r="A285" s="337" t="s">
        <v>1523</v>
      </c>
      <c r="B285" s="146" t="s">
        <v>1</v>
      </c>
      <c r="C285" s="155" t="s">
        <v>1512</v>
      </c>
      <c r="D285" s="147"/>
      <c r="E285" s="148" t="s">
        <v>1477</v>
      </c>
      <c r="F285" s="147" t="s">
        <v>106</v>
      </c>
      <c r="G285" s="147" t="s">
        <v>1429</v>
      </c>
      <c r="H285" s="147">
        <v>46</v>
      </c>
      <c r="I285" s="149">
        <f t="shared" si="39"/>
        <v>46</v>
      </c>
      <c r="J285" s="147"/>
      <c r="K285" s="336" t="s">
        <v>1506</v>
      </c>
      <c r="L285" s="147">
        <v>100</v>
      </c>
      <c r="M285" s="147" t="s">
        <v>9</v>
      </c>
      <c r="N285" s="147"/>
      <c r="O285" s="147" t="s">
        <v>98</v>
      </c>
      <c r="P285" s="147">
        <v>1000</v>
      </c>
      <c r="Q285" s="150">
        <f t="shared" si="40"/>
        <v>0</v>
      </c>
      <c r="R285" s="151"/>
      <c r="S285" s="152">
        <v>3092</v>
      </c>
      <c r="T285" s="158">
        <v>3092</v>
      </c>
      <c r="U285" s="153"/>
      <c r="V285" s="154"/>
      <c r="W285" s="154"/>
      <c r="X285" s="155"/>
      <c r="Y285" s="155" t="s">
        <v>1394</v>
      </c>
      <c r="Z285" s="155" t="s">
        <v>1442</v>
      </c>
      <c r="AA285" s="273">
        <f t="shared" si="41"/>
        <v>3.0920000000000001</v>
      </c>
      <c r="AB285" s="273">
        <f t="shared" si="42"/>
        <v>3.0920000000000001</v>
      </c>
      <c r="AC285" s="156">
        <f t="shared" si="43"/>
        <v>1000</v>
      </c>
      <c r="AD285" s="274">
        <f t="shared" si="44"/>
        <v>3092</v>
      </c>
      <c r="AE285" s="274">
        <f t="shared" si="38"/>
        <v>3092</v>
      </c>
      <c r="AF285" s="337"/>
    </row>
    <row r="286" spans="1:32">
      <c r="A286" s="337" t="s">
        <v>1523</v>
      </c>
      <c r="B286" s="146" t="s">
        <v>1</v>
      </c>
      <c r="C286" s="155" t="s">
        <v>1512</v>
      </c>
      <c r="D286" s="147"/>
      <c r="E286" s="148" t="s">
        <v>1477</v>
      </c>
      <c r="F286" s="147" t="s">
        <v>106</v>
      </c>
      <c r="G286" s="147" t="s">
        <v>1429</v>
      </c>
      <c r="H286" s="147">
        <v>46</v>
      </c>
      <c r="I286" s="149">
        <f t="shared" si="39"/>
        <v>46</v>
      </c>
      <c r="J286" s="147"/>
      <c r="K286" s="336" t="s">
        <v>1507</v>
      </c>
      <c r="L286" s="147">
        <v>100</v>
      </c>
      <c r="M286" s="147" t="s">
        <v>9</v>
      </c>
      <c r="N286" s="147"/>
      <c r="O286" s="147" t="s">
        <v>98</v>
      </c>
      <c r="P286" s="147">
        <v>1000</v>
      </c>
      <c r="Q286" s="150">
        <f t="shared" si="40"/>
        <v>0</v>
      </c>
      <c r="R286" s="151"/>
      <c r="S286" s="152">
        <v>4997</v>
      </c>
      <c r="T286" s="158">
        <v>4997</v>
      </c>
      <c r="U286" s="153"/>
      <c r="V286" s="154"/>
      <c r="W286" s="154"/>
      <c r="X286" s="155"/>
      <c r="Y286" s="155" t="s">
        <v>1394</v>
      </c>
      <c r="Z286" s="155" t="s">
        <v>1442</v>
      </c>
      <c r="AA286" s="273">
        <f t="shared" si="41"/>
        <v>4.9969999999999999</v>
      </c>
      <c r="AB286" s="273">
        <f t="shared" si="42"/>
        <v>4.9969999999999999</v>
      </c>
      <c r="AC286" s="156">
        <f t="shared" si="43"/>
        <v>1000</v>
      </c>
      <c r="AD286" s="274">
        <f t="shared" si="44"/>
        <v>4997</v>
      </c>
      <c r="AE286" s="274">
        <f t="shared" si="38"/>
        <v>4997</v>
      </c>
      <c r="AF286" s="337"/>
    </row>
    <row r="287" spans="1:32">
      <c r="A287" s="337" t="s">
        <v>1523</v>
      </c>
      <c r="B287" s="146" t="s">
        <v>1</v>
      </c>
      <c r="C287" s="155" t="s">
        <v>1512</v>
      </c>
      <c r="D287" s="147"/>
      <c r="E287" s="148" t="s">
        <v>1477</v>
      </c>
      <c r="F287" s="147" t="s">
        <v>106</v>
      </c>
      <c r="G287" s="147" t="s">
        <v>1429</v>
      </c>
      <c r="H287" s="147">
        <v>46</v>
      </c>
      <c r="I287" s="149">
        <f t="shared" si="39"/>
        <v>46</v>
      </c>
      <c r="J287" s="147"/>
      <c r="K287" s="336" t="s">
        <v>1508</v>
      </c>
      <c r="L287" s="147">
        <v>100</v>
      </c>
      <c r="M287" s="147" t="s">
        <v>9</v>
      </c>
      <c r="N287" s="147"/>
      <c r="O287" s="147" t="s">
        <v>98</v>
      </c>
      <c r="P287" s="147">
        <v>1000</v>
      </c>
      <c r="Q287" s="150">
        <f t="shared" si="40"/>
        <v>0</v>
      </c>
      <c r="R287" s="151"/>
      <c r="S287" s="152">
        <v>4208</v>
      </c>
      <c r="T287" s="158">
        <v>4208</v>
      </c>
      <c r="U287" s="153"/>
      <c r="V287" s="154"/>
      <c r="W287" s="154"/>
      <c r="X287" s="155"/>
      <c r="Y287" s="155" t="s">
        <v>1394</v>
      </c>
      <c r="Z287" s="155" t="s">
        <v>1442</v>
      </c>
      <c r="AA287" s="273">
        <f t="shared" si="41"/>
        <v>4.2080000000000002</v>
      </c>
      <c r="AB287" s="273">
        <f t="shared" si="42"/>
        <v>4.2080000000000002</v>
      </c>
      <c r="AC287" s="156">
        <f t="shared" si="43"/>
        <v>1000</v>
      </c>
      <c r="AD287" s="274">
        <f t="shared" si="44"/>
        <v>4208</v>
      </c>
      <c r="AE287" s="274">
        <f t="shared" si="38"/>
        <v>4208</v>
      </c>
      <c r="AF287" s="337"/>
    </row>
    <row r="288" spans="1:32">
      <c r="A288" s="337" t="s">
        <v>1523</v>
      </c>
      <c r="B288" s="146" t="s">
        <v>1</v>
      </c>
      <c r="C288" s="155" t="s">
        <v>1512</v>
      </c>
      <c r="D288" s="147"/>
      <c r="E288" s="148" t="s">
        <v>1477</v>
      </c>
      <c r="F288" s="147" t="s">
        <v>106</v>
      </c>
      <c r="G288" s="147" t="s">
        <v>1429</v>
      </c>
      <c r="H288" s="147">
        <v>58</v>
      </c>
      <c r="I288" s="149">
        <f t="shared" si="39"/>
        <v>58</v>
      </c>
      <c r="J288" s="147"/>
      <c r="K288" s="336" t="s">
        <v>67</v>
      </c>
      <c r="L288" s="147">
        <v>100</v>
      </c>
      <c r="M288" s="147" t="s">
        <v>9</v>
      </c>
      <c r="N288" s="147"/>
      <c r="O288" s="147" t="s">
        <v>98</v>
      </c>
      <c r="P288" s="147">
        <v>1000</v>
      </c>
      <c r="Q288" s="150">
        <f t="shared" si="40"/>
        <v>0</v>
      </c>
      <c r="R288" s="151"/>
      <c r="S288" s="152">
        <v>1326</v>
      </c>
      <c r="T288" s="158">
        <v>1326</v>
      </c>
      <c r="U288" s="153"/>
      <c r="V288" s="154"/>
      <c r="W288" s="154"/>
      <c r="X288" s="155"/>
      <c r="Y288" s="155" t="s">
        <v>1394</v>
      </c>
      <c r="Z288" s="155" t="s">
        <v>1442</v>
      </c>
      <c r="AA288" s="273">
        <f t="shared" si="41"/>
        <v>1.3260000000000001</v>
      </c>
      <c r="AB288" s="273">
        <f t="shared" si="42"/>
        <v>1.3260000000000001</v>
      </c>
      <c r="AC288" s="156">
        <f t="shared" si="43"/>
        <v>1000</v>
      </c>
      <c r="AD288" s="274">
        <f t="shared" si="44"/>
        <v>1326</v>
      </c>
      <c r="AE288" s="274">
        <f t="shared" si="38"/>
        <v>1326</v>
      </c>
      <c r="AF288" s="337"/>
    </row>
    <row r="289" spans="1:32">
      <c r="A289" s="337" t="s">
        <v>1523</v>
      </c>
      <c r="B289" s="146" t="s">
        <v>1</v>
      </c>
      <c r="C289" s="155" t="s">
        <v>1512</v>
      </c>
      <c r="D289" s="147"/>
      <c r="E289" s="148" t="s">
        <v>1477</v>
      </c>
      <c r="F289" s="147" t="s">
        <v>106</v>
      </c>
      <c r="G289" s="147" t="s">
        <v>1429</v>
      </c>
      <c r="H289" s="147">
        <v>59</v>
      </c>
      <c r="I289" s="149">
        <f t="shared" si="39"/>
        <v>59</v>
      </c>
      <c r="J289" s="147"/>
      <c r="K289" s="336" t="s">
        <v>99</v>
      </c>
      <c r="L289" s="147">
        <v>100</v>
      </c>
      <c r="M289" s="147" t="s">
        <v>9</v>
      </c>
      <c r="N289" s="147"/>
      <c r="O289" s="147" t="s">
        <v>98</v>
      </c>
      <c r="P289" s="147">
        <v>1000</v>
      </c>
      <c r="Q289" s="150">
        <f t="shared" si="40"/>
        <v>0</v>
      </c>
      <c r="R289" s="151"/>
      <c r="S289" s="152">
        <v>3822</v>
      </c>
      <c r="T289" s="158">
        <v>3822</v>
      </c>
      <c r="U289" s="153"/>
      <c r="V289" s="154"/>
      <c r="W289" s="154"/>
      <c r="X289" s="155"/>
      <c r="Y289" s="155" t="s">
        <v>1394</v>
      </c>
      <c r="Z289" s="155" t="s">
        <v>1442</v>
      </c>
      <c r="AA289" s="273">
        <f t="shared" si="41"/>
        <v>3.8220000000000001</v>
      </c>
      <c r="AB289" s="273">
        <f t="shared" si="42"/>
        <v>3.8220000000000001</v>
      </c>
      <c r="AC289" s="156">
        <f t="shared" si="43"/>
        <v>1000</v>
      </c>
      <c r="AD289" s="274">
        <f t="shared" si="44"/>
        <v>3822</v>
      </c>
      <c r="AE289" s="274">
        <f t="shared" si="38"/>
        <v>3822</v>
      </c>
      <c r="AF289" s="337"/>
    </row>
    <row r="290" spans="1:32">
      <c r="A290" s="337" t="s">
        <v>1523</v>
      </c>
      <c r="B290" s="146" t="s">
        <v>1</v>
      </c>
      <c r="C290" s="155" t="s">
        <v>1512</v>
      </c>
      <c r="D290" s="147"/>
      <c r="E290" s="148" t="s">
        <v>1477</v>
      </c>
      <c r="F290" s="147" t="s">
        <v>106</v>
      </c>
      <c r="G290" s="147" t="s">
        <v>1429</v>
      </c>
      <c r="H290" s="147">
        <v>69</v>
      </c>
      <c r="I290" s="149">
        <f t="shared" si="39"/>
        <v>69</v>
      </c>
      <c r="J290" s="147"/>
      <c r="K290" s="336" t="s">
        <v>1509</v>
      </c>
      <c r="L290" s="147">
        <v>100</v>
      </c>
      <c r="M290" s="147" t="s">
        <v>9</v>
      </c>
      <c r="N290" s="147"/>
      <c r="O290" s="147" t="s">
        <v>98</v>
      </c>
      <c r="P290" s="147">
        <v>1000</v>
      </c>
      <c r="Q290" s="150">
        <f t="shared" si="40"/>
        <v>0</v>
      </c>
      <c r="R290" s="151"/>
      <c r="S290" s="152">
        <v>2613</v>
      </c>
      <c r="T290" s="158">
        <v>2613</v>
      </c>
      <c r="U290" s="153"/>
      <c r="V290" s="154"/>
      <c r="W290" s="154"/>
      <c r="X290" s="155"/>
      <c r="Y290" s="155" t="s">
        <v>1394</v>
      </c>
      <c r="Z290" s="155" t="s">
        <v>1442</v>
      </c>
      <c r="AA290" s="273">
        <f t="shared" si="41"/>
        <v>2.613</v>
      </c>
      <c r="AB290" s="273">
        <f t="shared" si="42"/>
        <v>2.613</v>
      </c>
      <c r="AC290" s="156">
        <f t="shared" si="43"/>
        <v>1000</v>
      </c>
      <c r="AD290" s="274">
        <f t="shared" si="44"/>
        <v>2613</v>
      </c>
      <c r="AE290" s="274">
        <f t="shared" si="38"/>
        <v>2613</v>
      </c>
      <c r="AF290" s="337"/>
    </row>
    <row r="291" spans="1:32">
      <c r="A291" s="337" t="s">
        <v>1523</v>
      </c>
      <c r="B291" s="146" t="s">
        <v>1</v>
      </c>
      <c r="C291" s="155" t="s">
        <v>1512</v>
      </c>
      <c r="D291" s="147"/>
      <c r="E291" s="148" t="s">
        <v>1477</v>
      </c>
      <c r="F291" s="147" t="s">
        <v>106</v>
      </c>
      <c r="G291" s="147" t="s">
        <v>1429</v>
      </c>
      <c r="H291" s="147">
        <v>70</v>
      </c>
      <c r="I291" s="149">
        <f t="shared" si="39"/>
        <v>70</v>
      </c>
      <c r="J291" s="147"/>
      <c r="K291" s="336" t="s">
        <v>1510</v>
      </c>
      <c r="L291" s="147">
        <v>100</v>
      </c>
      <c r="M291" s="147" t="s">
        <v>9</v>
      </c>
      <c r="N291" s="147"/>
      <c r="O291" s="147" t="s">
        <v>98</v>
      </c>
      <c r="P291" s="147">
        <v>1000</v>
      </c>
      <c r="Q291" s="150">
        <f t="shared" si="40"/>
        <v>0</v>
      </c>
      <c r="R291" s="151"/>
      <c r="S291" s="152">
        <v>4092</v>
      </c>
      <c r="T291" s="158">
        <v>4092</v>
      </c>
      <c r="U291" s="153"/>
      <c r="V291" s="154"/>
      <c r="W291" s="154"/>
      <c r="X291" s="155"/>
      <c r="Y291" s="155" t="s">
        <v>1394</v>
      </c>
      <c r="Z291" s="155" t="s">
        <v>1442</v>
      </c>
      <c r="AA291" s="273">
        <f t="shared" si="41"/>
        <v>4.0919999999999996</v>
      </c>
      <c r="AB291" s="273">
        <f t="shared" si="42"/>
        <v>4.0919999999999996</v>
      </c>
      <c r="AC291" s="156">
        <f t="shared" si="43"/>
        <v>1000</v>
      </c>
      <c r="AD291" s="274">
        <f t="shared" si="44"/>
        <v>4091.9999999999995</v>
      </c>
      <c r="AE291" s="274">
        <f t="shared" si="38"/>
        <v>4091.9999999999995</v>
      </c>
      <c r="AF291" s="337"/>
    </row>
    <row r="292" spans="1:32">
      <c r="A292" s="337" t="s">
        <v>1523</v>
      </c>
      <c r="B292" s="146" t="s">
        <v>1</v>
      </c>
      <c r="C292" s="155" t="s">
        <v>1512</v>
      </c>
      <c r="D292" s="147"/>
      <c r="E292" s="148" t="s">
        <v>1477</v>
      </c>
      <c r="F292" s="147" t="s">
        <v>106</v>
      </c>
      <c r="G292" s="147" t="s">
        <v>1429</v>
      </c>
      <c r="H292" s="147">
        <v>70</v>
      </c>
      <c r="I292" s="149">
        <f t="shared" si="39"/>
        <v>70</v>
      </c>
      <c r="J292" s="147"/>
      <c r="K292" s="336" t="s">
        <v>1511</v>
      </c>
      <c r="L292" s="147">
        <v>100</v>
      </c>
      <c r="M292" s="147" t="s">
        <v>9</v>
      </c>
      <c r="N292" s="147"/>
      <c r="O292" s="147" t="s">
        <v>98</v>
      </c>
      <c r="P292" s="147">
        <v>1000</v>
      </c>
      <c r="Q292" s="150">
        <f t="shared" si="40"/>
        <v>0</v>
      </c>
      <c r="R292" s="151"/>
      <c r="S292" s="152">
        <v>4090</v>
      </c>
      <c r="T292" s="158">
        <v>4090</v>
      </c>
      <c r="U292" s="153"/>
      <c r="V292" s="154"/>
      <c r="W292" s="154"/>
      <c r="X292" s="155"/>
      <c r="Y292" s="155" t="s">
        <v>1394</v>
      </c>
      <c r="Z292" s="155" t="s">
        <v>1442</v>
      </c>
      <c r="AA292" s="273">
        <f t="shared" si="41"/>
        <v>4.09</v>
      </c>
      <c r="AB292" s="273">
        <f t="shared" si="42"/>
        <v>4.09</v>
      </c>
      <c r="AC292" s="156">
        <f t="shared" si="43"/>
        <v>1000</v>
      </c>
      <c r="AD292" s="274">
        <f t="shared" si="44"/>
        <v>4090</v>
      </c>
      <c r="AE292" s="274">
        <f t="shared" si="38"/>
        <v>4090</v>
      </c>
      <c r="AF292" s="337"/>
    </row>
    <row r="293" spans="1:32">
      <c r="A293" s="337" t="s">
        <v>1523</v>
      </c>
      <c r="B293" s="146" t="s">
        <v>1</v>
      </c>
      <c r="C293" s="155" t="s">
        <v>1512</v>
      </c>
      <c r="D293" s="147"/>
      <c r="E293" s="148" t="s">
        <v>1478</v>
      </c>
      <c r="F293" s="147" t="s">
        <v>106</v>
      </c>
      <c r="G293" s="147" t="s">
        <v>1429</v>
      </c>
      <c r="H293" s="147">
        <v>7</v>
      </c>
      <c r="I293" s="149">
        <f t="shared" si="39"/>
        <v>7</v>
      </c>
      <c r="J293" s="147"/>
      <c r="K293" s="336" t="s">
        <v>57</v>
      </c>
      <c r="L293" s="147">
        <v>100</v>
      </c>
      <c r="M293" s="147" t="s">
        <v>9</v>
      </c>
      <c r="N293" s="147"/>
      <c r="O293" s="147" t="s">
        <v>98</v>
      </c>
      <c r="P293" s="147">
        <v>1000</v>
      </c>
      <c r="Q293" s="150">
        <f t="shared" si="40"/>
        <v>0</v>
      </c>
      <c r="R293" s="151"/>
      <c r="S293" s="152">
        <v>1003</v>
      </c>
      <c r="T293" s="158">
        <v>1003</v>
      </c>
      <c r="U293" s="153"/>
      <c r="V293" s="154"/>
      <c r="W293" s="154"/>
      <c r="X293" s="155"/>
      <c r="Y293" s="155" t="s">
        <v>1394</v>
      </c>
      <c r="Z293" s="155" t="s">
        <v>1442</v>
      </c>
      <c r="AA293" s="273">
        <f t="shared" si="41"/>
        <v>1.0029999999999999</v>
      </c>
      <c r="AB293" s="273">
        <f t="shared" si="42"/>
        <v>1.0029999999999999</v>
      </c>
      <c r="AC293" s="156">
        <f t="shared" si="43"/>
        <v>1000</v>
      </c>
      <c r="AD293" s="274">
        <f t="shared" si="44"/>
        <v>1002.9999999999999</v>
      </c>
      <c r="AE293" s="274">
        <f t="shared" si="38"/>
        <v>1002.9999999999999</v>
      </c>
      <c r="AF293" s="337"/>
    </row>
    <row r="294" spans="1:32">
      <c r="A294" s="337" t="s">
        <v>1523</v>
      </c>
      <c r="B294" s="146" t="s">
        <v>1</v>
      </c>
      <c r="C294" s="155" t="s">
        <v>1512</v>
      </c>
      <c r="D294" s="147"/>
      <c r="E294" s="148" t="s">
        <v>1478</v>
      </c>
      <c r="F294" s="147" t="s">
        <v>106</v>
      </c>
      <c r="G294" s="147" t="s">
        <v>1429</v>
      </c>
      <c r="H294" s="147">
        <v>8</v>
      </c>
      <c r="I294" s="149">
        <f t="shared" si="39"/>
        <v>8</v>
      </c>
      <c r="J294" s="147"/>
      <c r="K294" s="336" t="s">
        <v>55</v>
      </c>
      <c r="L294" s="147">
        <v>100</v>
      </c>
      <c r="M294" s="147" t="s">
        <v>9</v>
      </c>
      <c r="N294" s="147"/>
      <c r="O294" s="147" t="s">
        <v>98</v>
      </c>
      <c r="P294" s="147">
        <v>1000</v>
      </c>
      <c r="Q294" s="150">
        <f t="shared" si="40"/>
        <v>0</v>
      </c>
      <c r="R294" s="151"/>
      <c r="S294" s="152">
        <v>1253</v>
      </c>
      <c r="T294" s="158">
        <v>1253</v>
      </c>
      <c r="U294" s="153"/>
      <c r="V294" s="154"/>
      <c r="W294" s="154"/>
      <c r="X294" s="155"/>
      <c r="Y294" s="155" t="s">
        <v>1394</v>
      </c>
      <c r="Z294" s="155" t="s">
        <v>1442</v>
      </c>
      <c r="AA294" s="273">
        <f t="shared" si="41"/>
        <v>1.2529999999999999</v>
      </c>
      <c r="AB294" s="273">
        <f t="shared" si="42"/>
        <v>1.2529999999999999</v>
      </c>
      <c r="AC294" s="156">
        <f t="shared" si="43"/>
        <v>1000</v>
      </c>
      <c r="AD294" s="274">
        <f t="shared" si="44"/>
        <v>1253</v>
      </c>
      <c r="AE294" s="274">
        <f t="shared" si="38"/>
        <v>1253</v>
      </c>
      <c r="AF294" s="337"/>
    </row>
    <row r="295" spans="1:32">
      <c r="A295" s="337" t="s">
        <v>1523</v>
      </c>
      <c r="B295" s="146" t="s">
        <v>1</v>
      </c>
      <c r="C295" s="155" t="s">
        <v>1512</v>
      </c>
      <c r="D295" s="147"/>
      <c r="E295" s="148" t="s">
        <v>1478</v>
      </c>
      <c r="F295" s="147" t="s">
        <v>106</v>
      </c>
      <c r="G295" s="147" t="s">
        <v>1429</v>
      </c>
      <c r="H295" s="147">
        <v>17</v>
      </c>
      <c r="I295" s="149">
        <f t="shared" si="39"/>
        <v>17</v>
      </c>
      <c r="J295" s="147"/>
      <c r="K295" s="336" t="s">
        <v>53</v>
      </c>
      <c r="L295" s="147">
        <v>100</v>
      </c>
      <c r="M295" s="147" t="s">
        <v>9</v>
      </c>
      <c r="N295" s="147"/>
      <c r="O295" s="147" t="s">
        <v>98</v>
      </c>
      <c r="P295" s="147">
        <v>1000</v>
      </c>
      <c r="Q295" s="150">
        <f t="shared" si="40"/>
        <v>0</v>
      </c>
      <c r="R295" s="151"/>
      <c r="S295" s="152">
        <v>2800</v>
      </c>
      <c r="T295" s="158">
        <v>2800</v>
      </c>
      <c r="U295" s="153"/>
      <c r="V295" s="154"/>
      <c r="W295" s="154"/>
      <c r="X295" s="155"/>
      <c r="Y295" s="155" t="s">
        <v>1394</v>
      </c>
      <c r="Z295" s="155" t="s">
        <v>1442</v>
      </c>
      <c r="AA295" s="273">
        <f t="shared" si="41"/>
        <v>2.8</v>
      </c>
      <c r="AB295" s="273">
        <f t="shared" si="42"/>
        <v>2.8</v>
      </c>
      <c r="AC295" s="156">
        <f t="shared" si="43"/>
        <v>1000</v>
      </c>
      <c r="AD295" s="274">
        <f t="shared" si="44"/>
        <v>2800</v>
      </c>
      <c r="AE295" s="274">
        <f t="shared" si="38"/>
        <v>2800</v>
      </c>
      <c r="AF295" s="337"/>
    </row>
    <row r="296" spans="1:32">
      <c r="A296" s="337" t="s">
        <v>1523</v>
      </c>
      <c r="B296" s="146" t="s">
        <v>1</v>
      </c>
      <c r="C296" s="155" t="s">
        <v>1512</v>
      </c>
      <c r="D296" s="147"/>
      <c r="E296" s="148" t="s">
        <v>1478</v>
      </c>
      <c r="F296" s="147" t="s">
        <v>106</v>
      </c>
      <c r="G296" s="147" t="s">
        <v>1429</v>
      </c>
      <c r="H296" s="147">
        <v>22</v>
      </c>
      <c r="I296" s="149">
        <f t="shared" si="39"/>
        <v>22</v>
      </c>
      <c r="J296" s="147"/>
      <c r="K296" s="336" t="s">
        <v>51</v>
      </c>
      <c r="L296" s="147">
        <v>100</v>
      </c>
      <c r="M296" s="147" t="s">
        <v>9</v>
      </c>
      <c r="N296" s="147"/>
      <c r="O296" s="147" t="s">
        <v>98</v>
      </c>
      <c r="P296" s="147">
        <v>1000</v>
      </c>
      <c r="Q296" s="150">
        <f t="shared" si="40"/>
        <v>0</v>
      </c>
      <c r="R296" s="151"/>
      <c r="S296" s="152">
        <v>4969</v>
      </c>
      <c r="T296" s="158">
        <v>4969</v>
      </c>
      <c r="U296" s="153"/>
      <c r="V296" s="154"/>
      <c r="W296" s="154"/>
      <c r="X296" s="155"/>
      <c r="Y296" s="155" t="s">
        <v>1394</v>
      </c>
      <c r="Z296" s="155" t="s">
        <v>1442</v>
      </c>
      <c r="AA296" s="273">
        <f t="shared" si="41"/>
        <v>4.9690000000000003</v>
      </c>
      <c r="AB296" s="273">
        <f t="shared" si="42"/>
        <v>4.9690000000000003</v>
      </c>
      <c r="AC296" s="156">
        <f t="shared" si="43"/>
        <v>1000</v>
      </c>
      <c r="AD296" s="274">
        <f t="shared" si="44"/>
        <v>4969</v>
      </c>
      <c r="AE296" s="274">
        <f t="shared" si="38"/>
        <v>4969</v>
      </c>
      <c r="AF296" s="337"/>
    </row>
    <row r="297" spans="1:32">
      <c r="A297" s="337" t="s">
        <v>1523</v>
      </c>
      <c r="B297" s="146" t="s">
        <v>1</v>
      </c>
      <c r="C297" s="155" t="s">
        <v>1512</v>
      </c>
      <c r="D297" s="147"/>
      <c r="E297" s="148" t="s">
        <v>1478</v>
      </c>
      <c r="F297" s="147" t="s">
        <v>106</v>
      </c>
      <c r="G297" s="147" t="s">
        <v>1429</v>
      </c>
      <c r="H297" s="147">
        <v>33</v>
      </c>
      <c r="I297" s="149">
        <f t="shared" si="39"/>
        <v>33</v>
      </c>
      <c r="J297" s="147"/>
      <c r="K297" s="336" t="s">
        <v>59</v>
      </c>
      <c r="L297" s="147">
        <v>100</v>
      </c>
      <c r="M297" s="147" t="s">
        <v>9</v>
      </c>
      <c r="N297" s="147"/>
      <c r="O297" s="147" t="s">
        <v>98</v>
      </c>
      <c r="P297" s="147">
        <v>1000</v>
      </c>
      <c r="Q297" s="150">
        <f t="shared" si="40"/>
        <v>0</v>
      </c>
      <c r="R297" s="151"/>
      <c r="S297" s="152">
        <v>2348</v>
      </c>
      <c r="T297" s="158">
        <v>2348</v>
      </c>
      <c r="U297" s="153"/>
      <c r="V297" s="154"/>
      <c r="W297" s="154"/>
      <c r="X297" s="155"/>
      <c r="Y297" s="155" t="s">
        <v>1394</v>
      </c>
      <c r="Z297" s="155" t="s">
        <v>1442</v>
      </c>
      <c r="AA297" s="273">
        <f t="shared" si="41"/>
        <v>2.3479999999999999</v>
      </c>
      <c r="AB297" s="273">
        <f t="shared" si="42"/>
        <v>2.3479999999999999</v>
      </c>
      <c r="AC297" s="156">
        <f t="shared" si="43"/>
        <v>1000</v>
      </c>
      <c r="AD297" s="274">
        <f t="shared" si="44"/>
        <v>2348</v>
      </c>
      <c r="AE297" s="274">
        <f t="shared" si="38"/>
        <v>2348</v>
      </c>
      <c r="AF297" s="337"/>
    </row>
    <row r="298" spans="1:32">
      <c r="A298" s="337" t="s">
        <v>1523</v>
      </c>
      <c r="B298" s="146" t="s">
        <v>1</v>
      </c>
      <c r="C298" s="155" t="s">
        <v>1512</v>
      </c>
      <c r="D298" s="147"/>
      <c r="E298" s="148" t="s">
        <v>1478</v>
      </c>
      <c r="F298" s="147" t="s">
        <v>106</v>
      </c>
      <c r="G298" s="147" t="s">
        <v>1429</v>
      </c>
      <c r="H298" s="147">
        <v>42</v>
      </c>
      <c r="I298" s="149">
        <f t="shared" si="39"/>
        <v>42</v>
      </c>
      <c r="J298" s="147"/>
      <c r="K298" s="336" t="s">
        <v>61</v>
      </c>
      <c r="L298" s="147">
        <v>100</v>
      </c>
      <c r="M298" s="147" t="s">
        <v>9</v>
      </c>
      <c r="N298" s="147"/>
      <c r="O298" s="147" t="s">
        <v>98</v>
      </c>
      <c r="P298" s="147">
        <v>1000</v>
      </c>
      <c r="Q298" s="150">
        <f t="shared" si="40"/>
        <v>0</v>
      </c>
      <c r="R298" s="151"/>
      <c r="S298" s="152">
        <v>2516</v>
      </c>
      <c r="T298" s="158">
        <v>2516</v>
      </c>
      <c r="U298" s="153"/>
      <c r="V298" s="154"/>
      <c r="W298" s="154"/>
      <c r="X298" s="155"/>
      <c r="Y298" s="155" t="s">
        <v>1394</v>
      </c>
      <c r="Z298" s="155" t="s">
        <v>1442</v>
      </c>
      <c r="AA298" s="273">
        <f t="shared" si="41"/>
        <v>2.516</v>
      </c>
      <c r="AB298" s="273">
        <f t="shared" si="42"/>
        <v>2.516</v>
      </c>
      <c r="AC298" s="156">
        <f t="shared" si="43"/>
        <v>1000</v>
      </c>
      <c r="AD298" s="274">
        <f t="shared" si="44"/>
        <v>2516</v>
      </c>
      <c r="AE298" s="274">
        <f t="shared" si="38"/>
        <v>2516</v>
      </c>
      <c r="AF298" s="337"/>
    </row>
    <row r="299" spans="1:32">
      <c r="A299" s="337" t="s">
        <v>1523</v>
      </c>
      <c r="B299" s="146" t="s">
        <v>1</v>
      </c>
      <c r="C299" s="155" t="s">
        <v>1512</v>
      </c>
      <c r="D299" s="147"/>
      <c r="E299" s="148" t="s">
        <v>1478</v>
      </c>
      <c r="F299" s="147" t="s">
        <v>106</v>
      </c>
      <c r="G299" s="147" t="s">
        <v>1429</v>
      </c>
      <c r="H299" s="147">
        <v>46</v>
      </c>
      <c r="I299" s="149">
        <f t="shared" si="39"/>
        <v>46</v>
      </c>
      <c r="J299" s="147"/>
      <c r="K299" s="336" t="s">
        <v>1506</v>
      </c>
      <c r="L299" s="147">
        <v>100</v>
      </c>
      <c r="M299" s="147" t="s">
        <v>9</v>
      </c>
      <c r="N299" s="147"/>
      <c r="O299" s="147" t="s">
        <v>98</v>
      </c>
      <c r="P299" s="147">
        <v>1000</v>
      </c>
      <c r="Q299" s="150">
        <f t="shared" si="40"/>
        <v>0</v>
      </c>
      <c r="R299" s="151"/>
      <c r="S299" s="152">
        <v>3028</v>
      </c>
      <c r="T299" s="158">
        <v>3028</v>
      </c>
      <c r="U299" s="153"/>
      <c r="V299" s="154"/>
      <c r="W299" s="154"/>
      <c r="X299" s="155"/>
      <c r="Y299" s="155" t="s">
        <v>1394</v>
      </c>
      <c r="Z299" s="155" t="s">
        <v>1442</v>
      </c>
      <c r="AA299" s="273">
        <f t="shared" si="41"/>
        <v>3.028</v>
      </c>
      <c r="AB299" s="273">
        <f t="shared" si="42"/>
        <v>3.028</v>
      </c>
      <c r="AC299" s="156">
        <f t="shared" si="43"/>
        <v>1000</v>
      </c>
      <c r="AD299" s="274">
        <f t="shared" si="44"/>
        <v>3028</v>
      </c>
      <c r="AE299" s="274">
        <f t="shared" si="38"/>
        <v>3028</v>
      </c>
      <c r="AF299" s="337"/>
    </row>
    <row r="300" spans="1:32">
      <c r="A300" s="337" t="s">
        <v>1523</v>
      </c>
      <c r="B300" s="146" t="s">
        <v>1</v>
      </c>
      <c r="C300" s="155" t="s">
        <v>1512</v>
      </c>
      <c r="D300" s="147"/>
      <c r="E300" s="148" t="s">
        <v>1478</v>
      </c>
      <c r="F300" s="147" t="s">
        <v>106</v>
      </c>
      <c r="G300" s="147" t="s">
        <v>1429</v>
      </c>
      <c r="H300" s="147">
        <v>46</v>
      </c>
      <c r="I300" s="149">
        <f t="shared" si="39"/>
        <v>46</v>
      </c>
      <c r="J300" s="147"/>
      <c r="K300" s="336" t="s">
        <v>1507</v>
      </c>
      <c r="L300" s="147">
        <v>100</v>
      </c>
      <c r="M300" s="147" t="s">
        <v>9</v>
      </c>
      <c r="N300" s="147"/>
      <c r="O300" s="147" t="s">
        <v>98</v>
      </c>
      <c r="P300" s="147">
        <v>1000</v>
      </c>
      <c r="Q300" s="150">
        <f t="shared" si="40"/>
        <v>0</v>
      </c>
      <c r="R300" s="151"/>
      <c r="S300" s="152">
        <v>4735</v>
      </c>
      <c r="T300" s="158">
        <v>4735</v>
      </c>
      <c r="U300" s="153"/>
      <c r="V300" s="154"/>
      <c r="W300" s="154"/>
      <c r="X300" s="155"/>
      <c r="Y300" s="155" t="s">
        <v>1394</v>
      </c>
      <c r="Z300" s="155" t="s">
        <v>1442</v>
      </c>
      <c r="AA300" s="273">
        <f t="shared" si="41"/>
        <v>4.7350000000000003</v>
      </c>
      <c r="AB300" s="273">
        <f t="shared" si="42"/>
        <v>4.7350000000000003</v>
      </c>
      <c r="AC300" s="156">
        <f t="shared" si="43"/>
        <v>1000</v>
      </c>
      <c r="AD300" s="274">
        <f t="shared" si="44"/>
        <v>4735</v>
      </c>
      <c r="AE300" s="274">
        <f t="shared" si="38"/>
        <v>4735</v>
      </c>
      <c r="AF300" s="337"/>
    </row>
    <row r="301" spans="1:32">
      <c r="A301" s="337" t="s">
        <v>1523</v>
      </c>
      <c r="B301" s="146" t="s">
        <v>1</v>
      </c>
      <c r="C301" s="155" t="s">
        <v>1512</v>
      </c>
      <c r="D301" s="147"/>
      <c r="E301" s="148" t="s">
        <v>1478</v>
      </c>
      <c r="F301" s="147" t="s">
        <v>106</v>
      </c>
      <c r="G301" s="147" t="s">
        <v>1429</v>
      </c>
      <c r="H301" s="147">
        <v>46</v>
      </c>
      <c r="I301" s="149">
        <f t="shared" si="39"/>
        <v>46</v>
      </c>
      <c r="J301" s="147"/>
      <c r="K301" s="336" t="s">
        <v>1508</v>
      </c>
      <c r="L301" s="147">
        <v>100</v>
      </c>
      <c r="M301" s="147" t="s">
        <v>9</v>
      </c>
      <c r="N301" s="147"/>
      <c r="O301" s="147" t="s">
        <v>98</v>
      </c>
      <c r="P301" s="147">
        <v>1000</v>
      </c>
      <c r="Q301" s="150">
        <f t="shared" si="40"/>
        <v>0</v>
      </c>
      <c r="R301" s="151"/>
      <c r="S301" s="152">
        <v>4119</v>
      </c>
      <c r="T301" s="158">
        <v>4119</v>
      </c>
      <c r="U301" s="153"/>
      <c r="V301" s="154"/>
      <c r="W301" s="154"/>
      <c r="X301" s="155"/>
      <c r="Y301" s="155" t="s">
        <v>1394</v>
      </c>
      <c r="Z301" s="155" t="s">
        <v>1442</v>
      </c>
      <c r="AA301" s="273">
        <f t="shared" si="41"/>
        <v>4.1189999999999998</v>
      </c>
      <c r="AB301" s="273">
        <f t="shared" si="42"/>
        <v>4.1189999999999998</v>
      </c>
      <c r="AC301" s="156">
        <f t="shared" si="43"/>
        <v>1000</v>
      </c>
      <c r="AD301" s="274">
        <f t="shared" si="44"/>
        <v>4119</v>
      </c>
      <c r="AE301" s="274">
        <f t="shared" si="38"/>
        <v>4119</v>
      </c>
      <c r="AF301" s="337"/>
    </row>
    <row r="302" spans="1:32">
      <c r="A302" s="337" t="s">
        <v>1523</v>
      </c>
      <c r="B302" s="146" t="s">
        <v>1</v>
      </c>
      <c r="C302" s="155" t="s">
        <v>1512</v>
      </c>
      <c r="D302" s="147"/>
      <c r="E302" s="148" t="s">
        <v>1478</v>
      </c>
      <c r="F302" s="147" t="s">
        <v>106</v>
      </c>
      <c r="G302" s="147" t="s">
        <v>1429</v>
      </c>
      <c r="H302" s="147">
        <v>58</v>
      </c>
      <c r="I302" s="149">
        <f t="shared" si="39"/>
        <v>58</v>
      </c>
      <c r="J302" s="147"/>
      <c r="K302" s="336" t="s">
        <v>67</v>
      </c>
      <c r="L302" s="147">
        <v>100</v>
      </c>
      <c r="M302" s="147" t="s">
        <v>9</v>
      </c>
      <c r="N302" s="147"/>
      <c r="O302" s="147" t="s">
        <v>98</v>
      </c>
      <c r="P302" s="147">
        <v>1000</v>
      </c>
      <c r="Q302" s="150">
        <f t="shared" si="40"/>
        <v>0</v>
      </c>
      <c r="R302" s="151"/>
      <c r="S302" s="152">
        <v>1156</v>
      </c>
      <c r="T302" s="158">
        <v>1156</v>
      </c>
      <c r="U302" s="153"/>
      <c r="V302" s="154"/>
      <c r="W302" s="154"/>
      <c r="X302" s="155"/>
      <c r="Y302" s="155" t="s">
        <v>1394</v>
      </c>
      <c r="Z302" s="155" t="s">
        <v>1442</v>
      </c>
      <c r="AA302" s="273">
        <f t="shared" si="41"/>
        <v>1.1559999999999999</v>
      </c>
      <c r="AB302" s="273">
        <f t="shared" si="42"/>
        <v>1.1559999999999999</v>
      </c>
      <c r="AC302" s="156">
        <f t="shared" si="43"/>
        <v>1000</v>
      </c>
      <c r="AD302" s="274">
        <f t="shared" si="44"/>
        <v>1156</v>
      </c>
      <c r="AE302" s="274">
        <f t="shared" si="38"/>
        <v>1156</v>
      </c>
      <c r="AF302" s="337"/>
    </row>
    <row r="303" spans="1:32">
      <c r="A303" s="337" t="s">
        <v>1523</v>
      </c>
      <c r="B303" s="146" t="s">
        <v>1</v>
      </c>
      <c r="C303" s="155" t="s">
        <v>1512</v>
      </c>
      <c r="D303" s="147"/>
      <c r="E303" s="148" t="s">
        <v>1478</v>
      </c>
      <c r="F303" s="147" t="s">
        <v>106</v>
      </c>
      <c r="G303" s="147" t="s">
        <v>1429</v>
      </c>
      <c r="H303" s="147">
        <v>59</v>
      </c>
      <c r="I303" s="149">
        <f t="shared" si="39"/>
        <v>59</v>
      </c>
      <c r="J303" s="147"/>
      <c r="K303" s="336" t="s">
        <v>99</v>
      </c>
      <c r="L303" s="147">
        <v>100</v>
      </c>
      <c r="M303" s="147" t="s">
        <v>9</v>
      </c>
      <c r="N303" s="147"/>
      <c r="O303" s="147" t="s">
        <v>98</v>
      </c>
      <c r="P303" s="147">
        <v>1000</v>
      </c>
      <c r="Q303" s="150">
        <f t="shared" si="40"/>
        <v>0</v>
      </c>
      <c r="R303" s="151"/>
      <c r="S303" s="152">
        <v>3956</v>
      </c>
      <c r="T303" s="158">
        <v>3956</v>
      </c>
      <c r="U303" s="153"/>
      <c r="V303" s="154"/>
      <c r="W303" s="154"/>
      <c r="X303" s="155"/>
      <c r="Y303" s="155" t="s">
        <v>1394</v>
      </c>
      <c r="Z303" s="155" t="s">
        <v>1442</v>
      </c>
      <c r="AA303" s="273">
        <f t="shared" si="41"/>
        <v>3.956</v>
      </c>
      <c r="AB303" s="273">
        <f t="shared" si="42"/>
        <v>3.956</v>
      </c>
      <c r="AC303" s="156">
        <f t="shared" si="43"/>
        <v>1000</v>
      </c>
      <c r="AD303" s="274">
        <f t="shared" si="44"/>
        <v>3956</v>
      </c>
      <c r="AE303" s="274">
        <f t="shared" si="38"/>
        <v>3956</v>
      </c>
      <c r="AF303" s="337"/>
    </row>
    <row r="304" spans="1:32">
      <c r="A304" s="337" t="s">
        <v>1523</v>
      </c>
      <c r="B304" s="146" t="s">
        <v>1</v>
      </c>
      <c r="C304" s="155" t="s">
        <v>1512</v>
      </c>
      <c r="D304" s="147"/>
      <c r="E304" s="148" t="s">
        <v>1478</v>
      </c>
      <c r="F304" s="147" t="s">
        <v>106</v>
      </c>
      <c r="G304" s="147" t="s">
        <v>1429</v>
      </c>
      <c r="H304" s="147">
        <v>69</v>
      </c>
      <c r="I304" s="149">
        <f t="shared" si="39"/>
        <v>69</v>
      </c>
      <c r="J304" s="147"/>
      <c r="K304" s="336" t="s">
        <v>1509</v>
      </c>
      <c r="L304" s="147">
        <v>100</v>
      </c>
      <c r="M304" s="147" t="s">
        <v>9</v>
      </c>
      <c r="N304" s="147"/>
      <c r="O304" s="147" t="s">
        <v>98</v>
      </c>
      <c r="P304" s="147">
        <v>1000</v>
      </c>
      <c r="Q304" s="150">
        <f t="shared" si="40"/>
        <v>0</v>
      </c>
      <c r="R304" s="151"/>
      <c r="S304" s="152">
        <v>2576</v>
      </c>
      <c r="T304" s="158">
        <v>2576</v>
      </c>
      <c r="U304" s="153"/>
      <c r="V304" s="154"/>
      <c r="W304" s="154"/>
      <c r="X304" s="155"/>
      <c r="Y304" s="155" t="s">
        <v>1394</v>
      </c>
      <c r="Z304" s="155" t="s">
        <v>1442</v>
      </c>
      <c r="AA304" s="273">
        <f t="shared" si="41"/>
        <v>2.5760000000000001</v>
      </c>
      <c r="AB304" s="273">
        <f t="shared" si="42"/>
        <v>2.5760000000000001</v>
      </c>
      <c r="AC304" s="156">
        <f t="shared" si="43"/>
        <v>1000</v>
      </c>
      <c r="AD304" s="274">
        <f t="shared" si="44"/>
        <v>2576</v>
      </c>
      <c r="AE304" s="274">
        <f t="shared" si="38"/>
        <v>2576</v>
      </c>
      <c r="AF304" s="337"/>
    </row>
    <row r="305" spans="1:32">
      <c r="A305" s="337" t="s">
        <v>1523</v>
      </c>
      <c r="B305" s="146" t="s">
        <v>1</v>
      </c>
      <c r="C305" s="155" t="s">
        <v>1512</v>
      </c>
      <c r="D305" s="147"/>
      <c r="E305" s="148" t="s">
        <v>1478</v>
      </c>
      <c r="F305" s="147" t="s">
        <v>106</v>
      </c>
      <c r="G305" s="147" t="s">
        <v>1429</v>
      </c>
      <c r="H305" s="147">
        <v>70</v>
      </c>
      <c r="I305" s="149">
        <f t="shared" si="39"/>
        <v>70</v>
      </c>
      <c r="J305" s="147"/>
      <c r="K305" s="336" t="s">
        <v>1510</v>
      </c>
      <c r="L305" s="147">
        <v>100</v>
      </c>
      <c r="M305" s="147" t="s">
        <v>9</v>
      </c>
      <c r="N305" s="147"/>
      <c r="O305" s="147" t="s">
        <v>98</v>
      </c>
      <c r="P305" s="147">
        <v>1000</v>
      </c>
      <c r="Q305" s="150">
        <f t="shared" si="40"/>
        <v>0</v>
      </c>
      <c r="R305" s="151"/>
      <c r="S305" s="152">
        <v>4059</v>
      </c>
      <c r="T305" s="158">
        <v>4059</v>
      </c>
      <c r="U305" s="153"/>
      <c r="V305" s="154"/>
      <c r="W305" s="154"/>
      <c r="X305" s="155"/>
      <c r="Y305" s="155" t="s">
        <v>1394</v>
      </c>
      <c r="Z305" s="155" t="s">
        <v>1442</v>
      </c>
      <c r="AA305" s="273">
        <f t="shared" si="41"/>
        <v>4.0590000000000002</v>
      </c>
      <c r="AB305" s="273">
        <f t="shared" si="42"/>
        <v>4.0590000000000002</v>
      </c>
      <c r="AC305" s="156">
        <f t="shared" si="43"/>
        <v>1000</v>
      </c>
      <c r="AD305" s="274">
        <f t="shared" si="44"/>
        <v>4059</v>
      </c>
      <c r="AE305" s="274">
        <f t="shared" si="38"/>
        <v>4059</v>
      </c>
      <c r="AF305" s="337"/>
    </row>
    <row r="306" spans="1:32">
      <c r="A306" s="337" t="s">
        <v>1523</v>
      </c>
      <c r="B306" s="146" t="s">
        <v>1</v>
      </c>
      <c r="C306" s="155" t="s">
        <v>1512</v>
      </c>
      <c r="D306" s="147"/>
      <c r="E306" s="148" t="s">
        <v>1478</v>
      </c>
      <c r="F306" s="147" t="s">
        <v>106</v>
      </c>
      <c r="G306" s="147" t="s">
        <v>1429</v>
      </c>
      <c r="H306" s="147">
        <v>70</v>
      </c>
      <c r="I306" s="149">
        <f t="shared" si="39"/>
        <v>70</v>
      </c>
      <c r="J306" s="147"/>
      <c r="K306" s="336" t="s">
        <v>1511</v>
      </c>
      <c r="L306" s="147">
        <v>100</v>
      </c>
      <c r="M306" s="147" t="s">
        <v>9</v>
      </c>
      <c r="N306" s="147"/>
      <c r="O306" s="147" t="s">
        <v>98</v>
      </c>
      <c r="P306" s="147">
        <v>1000</v>
      </c>
      <c r="Q306" s="150">
        <f t="shared" si="40"/>
        <v>0</v>
      </c>
      <c r="R306" s="151"/>
      <c r="S306" s="152">
        <v>4061</v>
      </c>
      <c r="T306" s="158">
        <v>4061</v>
      </c>
      <c r="U306" s="153"/>
      <c r="V306" s="154"/>
      <c r="W306" s="154"/>
      <c r="X306" s="155"/>
      <c r="Y306" s="155" t="s">
        <v>1394</v>
      </c>
      <c r="Z306" s="155" t="s">
        <v>1442</v>
      </c>
      <c r="AA306" s="273">
        <f t="shared" si="41"/>
        <v>4.0609999999999999</v>
      </c>
      <c r="AB306" s="273">
        <f t="shared" si="42"/>
        <v>4.0609999999999999</v>
      </c>
      <c r="AC306" s="156">
        <f t="shared" si="43"/>
        <v>1000</v>
      </c>
      <c r="AD306" s="274">
        <f t="shared" si="44"/>
        <v>4061</v>
      </c>
      <c r="AE306" s="274">
        <f t="shared" si="38"/>
        <v>4061</v>
      </c>
      <c r="AF306" s="337"/>
    </row>
    <row r="307" spans="1:32">
      <c r="A307" s="337" t="s">
        <v>1523</v>
      </c>
      <c r="B307" s="146" t="s">
        <v>1</v>
      </c>
      <c r="C307" s="155" t="s">
        <v>1512</v>
      </c>
      <c r="D307" s="147"/>
      <c r="E307" s="148" t="s">
        <v>1479</v>
      </c>
      <c r="F307" s="147" t="s">
        <v>106</v>
      </c>
      <c r="G307" s="147" t="s">
        <v>1429</v>
      </c>
      <c r="H307" s="147">
        <v>7</v>
      </c>
      <c r="I307" s="149">
        <f t="shared" si="39"/>
        <v>7</v>
      </c>
      <c r="J307" s="147"/>
      <c r="K307" s="336" t="s">
        <v>57</v>
      </c>
      <c r="L307" s="147">
        <v>100</v>
      </c>
      <c r="M307" s="147" t="s">
        <v>9</v>
      </c>
      <c r="N307" s="147"/>
      <c r="O307" s="147" t="s">
        <v>98</v>
      </c>
      <c r="P307" s="147">
        <v>1000</v>
      </c>
      <c r="Q307" s="150">
        <f t="shared" si="40"/>
        <v>0</v>
      </c>
      <c r="R307" s="151"/>
      <c r="S307" s="152">
        <v>1000</v>
      </c>
      <c r="T307" s="158">
        <v>1000</v>
      </c>
      <c r="U307" s="153"/>
      <c r="V307" s="154"/>
      <c r="W307" s="154"/>
      <c r="X307" s="155"/>
      <c r="Y307" s="155" t="s">
        <v>1394</v>
      </c>
      <c r="Z307" s="155" t="s">
        <v>1442</v>
      </c>
      <c r="AA307" s="273">
        <f t="shared" si="41"/>
        <v>1</v>
      </c>
      <c r="AB307" s="273">
        <f t="shared" si="42"/>
        <v>1</v>
      </c>
      <c r="AC307" s="156">
        <f t="shared" si="43"/>
        <v>1000</v>
      </c>
      <c r="AD307" s="274">
        <f t="shared" si="44"/>
        <v>1000</v>
      </c>
      <c r="AE307" s="274">
        <f t="shared" si="38"/>
        <v>1000</v>
      </c>
      <c r="AF307" s="337"/>
    </row>
    <row r="308" spans="1:32">
      <c r="A308" s="337" t="s">
        <v>1523</v>
      </c>
      <c r="B308" s="146" t="s">
        <v>1</v>
      </c>
      <c r="C308" s="155" t="s">
        <v>1512</v>
      </c>
      <c r="D308" s="147"/>
      <c r="E308" s="148" t="s">
        <v>1479</v>
      </c>
      <c r="F308" s="147" t="s">
        <v>106</v>
      </c>
      <c r="G308" s="147" t="s">
        <v>1429</v>
      </c>
      <c r="H308" s="147">
        <v>8</v>
      </c>
      <c r="I308" s="149">
        <f t="shared" si="39"/>
        <v>8</v>
      </c>
      <c r="J308" s="147"/>
      <c r="K308" s="336" t="s">
        <v>55</v>
      </c>
      <c r="L308" s="147">
        <v>100</v>
      </c>
      <c r="M308" s="147" t="s">
        <v>9</v>
      </c>
      <c r="N308" s="147"/>
      <c r="O308" s="147" t="s">
        <v>98</v>
      </c>
      <c r="P308" s="147">
        <v>1000</v>
      </c>
      <c r="Q308" s="150">
        <f t="shared" si="40"/>
        <v>0</v>
      </c>
      <c r="R308" s="151"/>
      <c r="S308" s="152">
        <v>1264</v>
      </c>
      <c r="T308" s="158">
        <v>1264</v>
      </c>
      <c r="U308" s="153"/>
      <c r="V308" s="154"/>
      <c r="W308" s="154"/>
      <c r="X308" s="155"/>
      <c r="Y308" s="155" t="s">
        <v>1394</v>
      </c>
      <c r="Z308" s="155" t="s">
        <v>1442</v>
      </c>
      <c r="AA308" s="273">
        <f t="shared" si="41"/>
        <v>1.264</v>
      </c>
      <c r="AB308" s="273">
        <f t="shared" si="42"/>
        <v>1.264</v>
      </c>
      <c r="AC308" s="156">
        <f t="shared" si="43"/>
        <v>1000</v>
      </c>
      <c r="AD308" s="274">
        <f t="shared" si="44"/>
        <v>1264</v>
      </c>
      <c r="AE308" s="274">
        <f t="shared" si="38"/>
        <v>1264</v>
      </c>
      <c r="AF308" s="337"/>
    </row>
    <row r="309" spans="1:32">
      <c r="A309" s="337" t="s">
        <v>1523</v>
      </c>
      <c r="B309" s="146" t="s">
        <v>1</v>
      </c>
      <c r="C309" s="155" t="s">
        <v>1512</v>
      </c>
      <c r="D309" s="147"/>
      <c r="E309" s="148" t="s">
        <v>1479</v>
      </c>
      <c r="F309" s="147" t="s">
        <v>106</v>
      </c>
      <c r="G309" s="147" t="s">
        <v>1429</v>
      </c>
      <c r="H309" s="147">
        <v>17</v>
      </c>
      <c r="I309" s="149">
        <f t="shared" si="39"/>
        <v>17</v>
      </c>
      <c r="J309" s="147"/>
      <c r="K309" s="336" t="s">
        <v>53</v>
      </c>
      <c r="L309" s="147">
        <v>100</v>
      </c>
      <c r="M309" s="147" t="s">
        <v>9</v>
      </c>
      <c r="N309" s="147"/>
      <c r="O309" s="147" t="s">
        <v>98</v>
      </c>
      <c r="P309" s="147">
        <v>1000</v>
      </c>
      <c r="Q309" s="150">
        <f t="shared" si="40"/>
        <v>0</v>
      </c>
      <c r="R309" s="151"/>
      <c r="S309" s="152">
        <v>2775</v>
      </c>
      <c r="T309" s="158">
        <v>2775</v>
      </c>
      <c r="U309" s="153"/>
      <c r="V309" s="154"/>
      <c r="W309" s="154"/>
      <c r="X309" s="155"/>
      <c r="Y309" s="155" t="s">
        <v>1394</v>
      </c>
      <c r="Z309" s="155" t="s">
        <v>1442</v>
      </c>
      <c r="AA309" s="273">
        <f t="shared" si="41"/>
        <v>2.7749999999999999</v>
      </c>
      <c r="AB309" s="273">
        <f t="shared" si="42"/>
        <v>2.7749999999999999</v>
      </c>
      <c r="AC309" s="156">
        <f t="shared" si="43"/>
        <v>1000</v>
      </c>
      <c r="AD309" s="274">
        <f t="shared" si="44"/>
        <v>2775</v>
      </c>
      <c r="AE309" s="274">
        <f t="shared" si="38"/>
        <v>2775</v>
      </c>
      <c r="AF309" s="337"/>
    </row>
    <row r="310" spans="1:32">
      <c r="A310" s="337" t="s">
        <v>1523</v>
      </c>
      <c r="B310" s="146" t="s">
        <v>1</v>
      </c>
      <c r="C310" s="155" t="s">
        <v>1512</v>
      </c>
      <c r="D310" s="147"/>
      <c r="E310" s="148" t="s">
        <v>1479</v>
      </c>
      <c r="F310" s="147" t="s">
        <v>106</v>
      </c>
      <c r="G310" s="147" t="s">
        <v>1429</v>
      </c>
      <c r="H310" s="147">
        <v>22</v>
      </c>
      <c r="I310" s="149">
        <f t="shared" si="39"/>
        <v>22</v>
      </c>
      <c r="J310" s="147"/>
      <c r="K310" s="336" t="s">
        <v>51</v>
      </c>
      <c r="L310" s="147">
        <v>100</v>
      </c>
      <c r="M310" s="147" t="s">
        <v>9</v>
      </c>
      <c r="N310" s="147"/>
      <c r="O310" s="147" t="s">
        <v>98</v>
      </c>
      <c r="P310" s="147">
        <v>1000</v>
      </c>
      <c r="Q310" s="150">
        <f t="shared" si="40"/>
        <v>0</v>
      </c>
      <c r="R310" s="151"/>
      <c r="S310" s="152">
        <v>4836</v>
      </c>
      <c r="T310" s="158">
        <v>4836</v>
      </c>
      <c r="U310" s="153"/>
      <c r="V310" s="154"/>
      <c r="W310" s="154"/>
      <c r="X310" s="155"/>
      <c r="Y310" s="155" t="s">
        <v>1394</v>
      </c>
      <c r="Z310" s="155" t="s">
        <v>1442</v>
      </c>
      <c r="AA310" s="273">
        <f t="shared" si="41"/>
        <v>4.8360000000000003</v>
      </c>
      <c r="AB310" s="273">
        <f t="shared" si="42"/>
        <v>4.8360000000000003</v>
      </c>
      <c r="AC310" s="156">
        <f t="shared" si="43"/>
        <v>1000</v>
      </c>
      <c r="AD310" s="274">
        <f t="shared" si="44"/>
        <v>4836</v>
      </c>
      <c r="AE310" s="274">
        <f t="shared" si="38"/>
        <v>4836</v>
      </c>
      <c r="AF310" s="337"/>
    </row>
    <row r="311" spans="1:32">
      <c r="A311" s="337" t="s">
        <v>1523</v>
      </c>
      <c r="B311" s="146" t="s">
        <v>1</v>
      </c>
      <c r="C311" s="155" t="s">
        <v>1512</v>
      </c>
      <c r="D311" s="147"/>
      <c r="E311" s="148" t="s">
        <v>1479</v>
      </c>
      <c r="F311" s="147" t="s">
        <v>106</v>
      </c>
      <c r="G311" s="147" t="s">
        <v>1429</v>
      </c>
      <c r="H311" s="147">
        <v>33</v>
      </c>
      <c r="I311" s="149">
        <f t="shared" si="39"/>
        <v>33</v>
      </c>
      <c r="J311" s="147"/>
      <c r="K311" s="336" t="s">
        <v>59</v>
      </c>
      <c r="L311" s="147">
        <v>100</v>
      </c>
      <c r="M311" s="147" t="s">
        <v>9</v>
      </c>
      <c r="N311" s="147"/>
      <c r="O311" s="147" t="s">
        <v>98</v>
      </c>
      <c r="P311" s="147">
        <v>1000</v>
      </c>
      <c r="Q311" s="150">
        <f t="shared" si="40"/>
        <v>0</v>
      </c>
      <c r="R311" s="151"/>
      <c r="S311" s="152">
        <v>2692</v>
      </c>
      <c r="T311" s="158">
        <v>2692</v>
      </c>
      <c r="U311" s="153"/>
      <c r="V311" s="154"/>
      <c r="W311" s="154"/>
      <c r="X311" s="155"/>
      <c r="Y311" s="155" t="s">
        <v>1394</v>
      </c>
      <c r="Z311" s="155" t="s">
        <v>1442</v>
      </c>
      <c r="AA311" s="273">
        <f t="shared" si="41"/>
        <v>2.6920000000000002</v>
      </c>
      <c r="AB311" s="273">
        <f t="shared" si="42"/>
        <v>2.6920000000000002</v>
      </c>
      <c r="AC311" s="156">
        <f t="shared" si="43"/>
        <v>1000</v>
      </c>
      <c r="AD311" s="274">
        <f t="shared" si="44"/>
        <v>2692</v>
      </c>
      <c r="AE311" s="274">
        <f t="shared" si="38"/>
        <v>2692</v>
      </c>
      <c r="AF311" s="337"/>
    </row>
    <row r="312" spans="1:32">
      <c r="A312" s="337" t="s">
        <v>1523</v>
      </c>
      <c r="B312" s="146" t="s">
        <v>1</v>
      </c>
      <c r="C312" s="155" t="s">
        <v>1512</v>
      </c>
      <c r="D312" s="147"/>
      <c r="E312" s="148" t="s">
        <v>1479</v>
      </c>
      <c r="F312" s="147" t="s">
        <v>106</v>
      </c>
      <c r="G312" s="147" t="s">
        <v>1429</v>
      </c>
      <c r="H312" s="147">
        <v>42</v>
      </c>
      <c r="I312" s="149">
        <f t="shared" si="39"/>
        <v>42</v>
      </c>
      <c r="J312" s="147"/>
      <c r="K312" s="336" t="s">
        <v>61</v>
      </c>
      <c r="L312" s="147">
        <v>100</v>
      </c>
      <c r="M312" s="147" t="s">
        <v>9</v>
      </c>
      <c r="N312" s="147"/>
      <c r="O312" s="147" t="s">
        <v>98</v>
      </c>
      <c r="P312" s="147">
        <v>1000</v>
      </c>
      <c r="Q312" s="150">
        <f t="shared" si="40"/>
        <v>0</v>
      </c>
      <c r="R312" s="151"/>
      <c r="S312" s="152">
        <v>2235</v>
      </c>
      <c r="T312" s="158">
        <v>2235</v>
      </c>
      <c r="U312" s="153"/>
      <c r="V312" s="154"/>
      <c r="W312" s="154"/>
      <c r="X312" s="155"/>
      <c r="Y312" s="155" t="s">
        <v>1394</v>
      </c>
      <c r="Z312" s="155" t="s">
        <v>1442</v>
      </c>
      <c r="AA312" s="273">
        <f t="shared" si="41"/>
        <v>2.2349999999999999</v>
      </c>
      <c r="AB312" s="273">
        <f t="shared" si="42"/>
        <v>2.2349999999999999</v>
      </c>
      <c r="AC312" s="156">
        <f t="shared" si="43"/>
        <v>1000</v>
      </c>
      <c r="AD312" s="274">
        <f t="shared" si="44"/>
        <v>2235</v>
      </c>
      <c r="AE312" s="274">
        <f t="shared" si="38"/>
        <v>2235</v>
      </c>
      <c r="AF312" s="337"/>
    </row>
    <row r="313" spans="1:32">
      <c r="A313" s="337" t="s">
        <v>1523</v>
      </c>
      <c r="B313" s="146" t="s">
        <v>1</v>
      </c>
      <c r="C313" s="155" t="s">
        <v>1512</v>
      </c>
      <c r="D313" s="147"/>
      <c r="E313" s="148" t="s">
        <v>1479</v>
      </c>
      <c r="F313" s="147" t="s">
        <v>106</v>
      </c>
      <c r="G313" s="147" t="s">
        <v>1429</v>
      </c>
      <c r="H313" s="147">
        <v>46</v>
      </c>
      <c r="I313" s="149">
        <f t="shared" si="39"/>
        <v>46</v>
      </c>
      <c r="J313" s="147"/>
      <c r="K313" s="336" t="s">
        <v>1506</v>
      </c>
      <c r="L313" s="147">
        <v>100</v>
      </c>
      <c r="M313" s="147" t="s">
        <v>9</v>
      </c>
      <c r="N313" s="147"/>
      <c r="O313" s="147" t="s">
        <v>98</v>
      </c>
      <c r="P313" s="147">
        <v>1000</v>
      </c>
      <c r="Q313" s="150">
        <f t="shared" si="40"/>
        <v>0</v>
      </c>
      <c r="R313" s="151"/>
      <c r="S313" s="152">
        <v>3000</v>
      </c>
      <c r="T313" s="158">
        <v>3000</v>
      </c>
      <c r="U313" s="153"/>
      <c r="V313" s="154"/>
      <c r="W313" s="154"/>
      <c r="X313" s="155"/>
      <c r="Y313" s="155" t="s">
        <v>1394</v>
      </c>
      <c r="Z313" s="155" t="s">
        <v>1442</v>
      </c>
      <c r="AA313" s="273">
        <f t="shared" si="41"/>
        <v>3</v>
      </c>
      <c r="AB313" s="273">
        <f t="shared" si="42"/>
        <v>3</v>
      </c>
      <c r="AC313" s="156">
        <f t="shared" si="43"/>
        <v>1000</v>
      </c>
      <c r="AD313" s="274">
        <f t="shared" si="44"/>
        <v>3000</v>
      </c>
      <c r="AE313" s="274">
        <f t="shared" si="38"/>
        <v>3000</v>
      </c>
      <c r="AF313" s="337"/>
    </row>
    <row r="314" spans="1:32">
      <c r="A314" s="337" t="s">
        <v>1523</v>
      </c>
      <c r="B314" s="146" t="s">
        <v>1</v>
      </c>
      <c r="C314" s="155" t="s">
        <v>1512</v>
      </c>
      <c r="D314" s="147"/>
      <c r="E314" s="148" t="s">
        <v>1479</v>
      </c>
      <c r="F314" s="147" t="s">
        <v>106</v>
      </c>
      <c r="G314" s="147" t="s">
        <v>1429</v>
      </c>
      <c r="H314" s="147">
        <v>46</v>
      </c>
      <c r="I314" s="149">
        <f t="shared" si="39"/>
        <v>46</v>
      </c>
      <c r="J314" s="147"/>
      <c r="K314" s="336" t="s">
        <v>1507</v>
      </c>
      <c r="L314" s="147">
        <v>100</v>
      </c>
      <c r="M314" s="147" t="s">
        <v>9</v>
      </c>
      <c r="N314" s="147"/>
      <c r="O314" s="147" t="s">
        <v>98</v>
      </c>
      <c r="P314" s="147">
        <v>1000</v>
      </c>
      <c r="Q314" s="150">
        <f t="shared" si="40"/>
        <v>0</v>
      </c>
      <c r="R314" s="151"/>
      <c r="S314" s="152">
        <v>4379</v>
      </c>
      <c r="T314" s="158">
        <v>4379</v>
      </c>
      <c r="U314" s="153"/>
      <c r="V314" s="154"/>
      <c r="W314" s="154"/>
      <c r="X314" s="155"/>
      <c r="Y314" s="155" t="s">
        <v>1394</v>
      </c>
      <c r="Z314" s="155" t="s">
        <v>1442</v>
      </c>
      <c r="AA314" s="273">
        <f t="shared" si="41"/>
        <v>4.3789999999999996</v>
      </c>
      <c r="AB314" s="273">
        <f t="shared" si="42"/>
        <v>4.3789999999999996</v>
      </c>
      <c r="AC314" s="156">
        <f t="shared" si="43"/>
        <v>1000</v>
      </c>
      <c r="AD314" s="274">
        <f t="shared" si="44"/>
        <v>4379</v>
      </c>
      <c r="AE314" s="274">
        <f t="shared" si="38"/>
        <v>4379</v>
      </c>
      <c r="AF314" s="337"/>
    </row>
    <row r="315" spans="1:32">
      <c r="A315" s="337" t="s">
        <v>1523</v>
      </c>
      <c r="B315" s="146" t="s">
        <v>1</v>
      </c>
      <c r="C315" s="155" t="s">
        <v>1512</v>
      </c>
      <c r="D315" s="147"/>
      <c r="E315" s="148" t="s">
        <v>1479</v>
      </c>
      <c r="F315" s="147" t="s">
        <v>106</v>
      </c>
      <c r="G315" s="147" t="s">
        <v>1429</v>
      </c>
      <c r="H315" s="147">
        <v>46</v>
      </c>
      <c r="I315" s="149">
        <f t="shared" si="39"/>
        <v>46</v>
      </c>
      <c r="J315" s="147"/>
      <c r="K315" s="336" t="s">
        <v>1508</v>
      </c>
      <c r="L315" s="147">
        <v>100</v>
      </c>
      <c r="M315" s="147" t="s">
        <v>9</v>
      </c>
      <c r="N315" s="147"/>
      <c r="O315" s="147" t="s">
        <v>98</v>
      </c>
      <c r="P315" s="147">
        <v>1000</v>
      </c>
      <c r="Q315" s="150">
        <f t="shared" si="40"/>
        <v>0</v>
      </c>
      <c r="R315" s="151"/>
      <c r="S315" s="152">
        <v>4041</v>
      </c>
      <c r="T315" s="158">
        <v>4041</v>
      </c>
      <c r="U315" s="153"/>
      <c r="V315" s="154"/>
      <c r="W315" s="154"/>
      <c r="X315" s="155"/>
      <c r="Y315" s="155" t="s">
        <v>1394</v>
      </c>
      <c r="Z315" s="155" t="s">
        <v>1442</v>
      </c>
      <c r="AA315" s="273">
        <f t="shared" si="41"/>
        <v>4.0410000000000004</v>
      </c>
      <c r="AB315" s="273">
        <f t="shared" si="42"/>
        <v>4.0410000000000004</v>
      </c>
      <c r="AC315" s="156">
        <f t="shared" si="43"/>
        <v>1000</v>
      </c>
      <c r="AD315" s="274">
        <f t="shared" si="44"/>
        <v>4041.0000000000005</v>
      </c>
      <c r="AE315" s="274">
        <f t="shared" si="38"/>
        <v>4041.0000000000005</v>
      </c>
      <c r="AF315" s="337"/>
    </row>
    <row r="316" spans="1:32">
      <c r="A316" s="337" t="s">
        <v>1523</v>
      </c>
      <c r="B316" s="146" t="s">
        <v>1</v>
      </c>
      <c r="C316" s="155" t="s">
        <v>1512</v>
      </c>
      <c r="D316" s="147"/>
      <c r="E316" s="148" t="s">
        <v>1479</v>
      </c>
      <c r="F316" s="147" t="s">
        <v>106</v>
      </c>
      <c r="G316" s="147" t="s">
        <v>1429</v>
      </c>
      <c r="H316" s="147">
        <v>58</v>
      </c>
      <c r="I316" s="149">
        <f t="shared" si="39"/>
        <v>58</v>
      </c>
      <c r="J316" s="147"/>
      <c r="K316" s="336" t="s">
        <v>67</v>
      </c>
      <c r="L316" s="147">
        <v>100</v>
      </c>
      <c r="M316" s="147" t="s">
        <v>9</v>
      </c>
      <c r="N316" s="147"/>
      <c r="O316" s="147" t="s">
        <v>98</v>
      </c>
      <c r="P316" s="147">
        <v>1000</v>
      </c>
      <c r="Q316" s="150">
        <f t="shared" si="40"/>
        <v>0</v>
      </c>
      <c r="R316" s="151"/>
      <c r="S316" s="152">
        <v>1106</v>
      </c>
      <c r="T316" s="158">
        <v>1106</v>
      </c>
      <c r="U316" s="153"/>
      <c r="V316" s="154"/>
      <c r="W316" s="154"/>
      <c r="X316" s="155"/>
      <c r="Y316" s="155" t="s">
        <v>1394</v>
      </c>
      <c r="Z316" s="155" t="s">
        <v>1442</v>
      </c>
      <c r="AA316" s="273">
        <f t="shared" si="41"/>
        <v>1.1060000000000001</v>
      </c>
      <c r="AB316" s="273">
        <f t="shared" si="42"/>
        <v>1.1060000000000001</v>
      </c>
      <c r="AC316" s="156">
        <f t="shared" si="43"/>
        <v>1000</v>
      </c>
      <c r="AD316" s="274">
        <f t="shared" si="44"/>
        <v>1106</v>
      </c>
      <c r="AE316" s="274">
        <f t="shared" si="38"/>
        <v>1106</v>
      </c>
      <c r="AF316" s="337"/>
    </row>
    <row r="317" spans="1:32">
      <c r="A317" s="337" t="s">
        <v>1523</v>
      </c>
      <c r="B317" s="146" t="s">
        <v>1</v>
      </c>
      <c r="C317" s="155" t="s">
        <v>1512</v>
      </c>
      <c r="D317" s="147"/>
      <c r="E317" s="148" t="s">
        <v>1479</v>
      </c>
      <c r="F317" s="147" t="s">
        <v>106</v>
      </c>
      <c r="G317" s="147" t="s">
        <v>1429</v>
      </c>
      <c r="H317" s="147">
        <v>59</v>
      </c>
      <c r="I317" s="149">
        <f t="shared" si="39"/>
        <v>59</v>
      </c>
      <c r="J317" s="147"/>
      <c r="K317" s="336" t="s">
        <v>99</v>
      </c>
      <c r="L317" s="147">
        <v>100</v>
      </c>
      <c r="M317" s="147" t="s">
        <v>9</v>
      </c>
      <c r="N317" s="147"/>
      <c r="O317" s="147" t="s">
        <v>98</v>
      </c>
      <c r="P317" s="147">
        <v>1000</v>
      </c>
      <c r="Q317" s="150">
        <f t="shared" si="40"/>
        <v>0</v>
      </c>
      <c r="R317" s="151"/>
      <c r="S317" s="152">
        <v>4293</v>
      </c>
      <c r="T317" s="158">
        <v>4293</v>
      </c>
      <c r="U317" s="153"/>
      <c r="V317" s="154"/>
      <c r="W317" s="154"/>
      <c r="X317" s="155"/>
      <c r="Y317" s="155" t="s">
        <v>1394</v>
      </c>
      <c r="Z317" s="155" t="s">
        <v>1442</v>
      </c>
      <c r="AA317" s="273">
        <f t="shared" si="41"/>
        <v>4.2930000000000001</v>
      </c>
      <c r="AB317" s="273">
        <f t="shared" si="42"/>
        <v>4.2930000000000001</v>
      </c>
      <c r="AC317" s="156">
        <f t="shared" si="43"/>
        <v>1000</v>
      </c>
      <c r="AD317" s="274">
        <f t="shared" si="44"/>
        <v>4293</v>
      </c>
      <c r="AE317" s="274">
        <f t="shared" si="38"/>
        <v>4293</v>
      </c>
      <c r="AF317" s="337"/>
    </row>
    <row r="318" spans="1:32">
      <c r="A318" s="337" t="s">
        <v>1523</v>
      </c>
      <c r="B318" s="146" t="s">
        <v>1</v>
      </c>
      <c r="C318" s="155" t="s">
        <v>1512</v>
      </c>
      <c r="D318" s="147"/>
      <c r="E318" s="148" t="s">
        <v>1479</v>
      </c>
      <c r="F318" s="147" t="s">
        <v>106</v>
      </c>
      <c r="G318" s="147" t="s">
        <v>1429</v>
      </c>
      <c r="H318" s="147">
        <v>69</v>
      </c>
      <c r="I318" s="149">
        <f t="shared" si="39"/>
        <v>69</v>
      </c>
      <c r="J318" s="147"/>
      <c r="K318" s="336" t="s">
        <v>1509</v>
      </c>
      <c r="L318" s="147">
        <v>100</v>
      </c>
      <c r="M318" s="147" t="s">
        <v>9</v>
      </c>
      <c r="N318" s="147"/>
      <c r="O318" s="147" t="s">
        <v>98</v>
      </c>
      <c r="P318" s="147">
        <v>1000</v>
      </c>
      <c r="Q318" s="150">
        <f t="shared" si="40"/>
        <v>0</v>
      </c>
      <c r="R318" s="151"/>
      <c r="S318" s="152">
        <v>2584</v>
      </c>
      <c r="T318" s="158">
        <v>2584</v>
      </c>
      <c r="U318" s="153"/>
      <c r="V318" s="154"/>
      <c r="W318" s="154"/>
      <c r="X318" s="155"/>
      <c r="Y318" s="155" t="s">
        <v>1394</v>
      </c>
      <c r="Z318" s="155" t="s">
        <v>1442</v>
      </c>
      <c r="AA318" s="273">
        <f t="shared" si="41"/>
        <v>2.5840000000000001</v>
      </c>
      <c r="AB318" s="273">
        <f t="shared" si="42"/>
        <v>2.5840000000000001</v>
      </c>
      <c r="AC318" s="156">
        <f t="shared" si="43"/>
        <v>1000</v>
      </c>
      <c r="AD318" s="274">
        <f t="shared" si="44"/>
        <v>2584</v>
      </c>
      <c r="AE318" s="274">
        <f t="shared" si="38"/>
        <v>2584</v>
      </c>
      <c r="AF318" s="337"/>
    </row>
    <row r="319" spans="1:32">
      <c r="A319" s="337" t="s">
        <v>1523</v>
      </c>
      <c r="B319" s="146" t="s">
        <v>1</v>
      </c>
      <c r="C319" s="155" t="s">
        <v>1512</v>
      </c>
      <c r="D319" s="147"/>
      <c r="E319" s="148" t="s">
        <v>1479</v>
      </c>
      <c r="F319" s="147" t="s">
        <v>106</v>
      </c>
      <c r="G319" s="147" t="s">
        <v>1429</v>
      </c>
      <c r="H319" s="147">
        <v>70</v>
      </c>
      <c r="I319" s="149">
        <f t="shared" si="39"/>
        <v>70</v>
      </c>
      <c r="J319" s="147"/>
      <c r="K319" s="336" t="s">
        <v>1510</v>
      </c>
      <c r="L319" s="147">
        <v>100</v>
      </c>
      <c r="M319" s="147" t="s">
        <v>9</v>
      </c>
      <c r="N319" s="147"/>
      <c r="O319" s="147" t="s">
        <v>98</v>
      </c>
      <c r="P319" s="147">
        <v>1000</v>
      </c>
      <c r="Q319" s="150">
        <f t="shared" si="40"/>
        <v>0</v>
      </c>
      <c r="R319" s="151"/>
      <c r="S319" s="152">
        <v>3982</v>
      </c>
      <c r="T319" s="158">
        <v>3982</v>
      </c>
      <c r="U319" s="153"/>
      <c r="V319" s="154"/>
      <c r="W319" s="154"/>
      <c r="X319" s="155"/>
      <c r="Y319" s="155" t="s">
        <v>1394</v>
      </c>
      <c r="Z319" s="155" t="s">
        <v>1442</v>
      </c>
      <c r="AA319" s="273">
        <f t="shared" si="41"/>
        <v>3.9820000000000002</v>
      </c>
      <c r="AB319" s="273">
        <f t="shared" si="42"/>
        <v>3.9820000000000002</v>
      </c>
      <c r="AC319" s="156">
        <f t="shared" si="43"/>
        <v>1000</v>
      </c>
      <c r="AD319" s="274">
        <f t="shared" si="44"/>
        <v>3982</v>
      </c>
      <c r="AE319" s="274">
        <f t="shared" si="38"/>
        <v>3982</v>
      </c>
      <c r="AF319" s="337"/>
    </row>
    <row r="320" spans="1:32">
      <c r="A320" s="337" t="s">
        <v>1523</v>
      </c>
      <c r="B320" s="146" t="s">
        <v>1</v>
      </c>
      <c r="C320" s="155" t="s">
        <v>1512</v>
      </c>
      <c r="D320" s="147"/>
      <c r="E320" s="148" t="s">
        <v>1479</v>
      </c>
      <c r="F320" s="147" t="s">
        <v>106</v>
      </c>
      <c r="G320" s="147" t="s">
        <v>1429</v>
      </c>
      <c r="H320" s="147">
        <v>70</v>
      </c>
      <c r="I320" s="149">
        <f t="shared" si="39"/>
        <v>70</v>
      </c>
      <c r="J320" s="147"/>
      <c r="K320" s="336" t="s">
        <v>1511</v>
      </c>
      <c r="L320" s="147">
        <v>100</v>
      </c>
      <c r="M320" s="147" t="s">
        <v>9</v>
      </c>
      <c r="N320" s="147"/>
      <c r="O320" s="147" t="s">
        <v>98</v>
      </c>
      <c r="P320" s="147">
        <v>1000</v>
      </c>
      <c r="Q320" s="150">
        <f t="shared" si="40"/>
        <v>0</v>
      </c>
      <c r="R320" s="151"/>
      <c r="S320" s="152">
        <v>4040</v>
      </c>
      <c r="T320" s="158">
        <v>4040</v>
      </c>
      <c r="U320" s="153"/>
      <c r="V320" s="154"/>
      <c r="W320" s="154"/>
      <c r="X320" s="155"/>
      <c r="Y320" s="155" t="s">
        <v>1394</v>
      </c>
      <c r="Z320" s="155" t="s">
        <v>1442</v>
      </c>
      <c r="AA320" s="273">
        <f t="shared" si="41"/>
        <v>4.04</v>
      </c>
      <c r="AB320" s="273">
        <f t="shared" si="42"/>
        <v>4.04</v>
      </c>
      <c r="AC320" s="156">
        <f t="shared" si="43"/>
        <v>1000</v>
      </c>
      <c r="AD320" s="274">
        <f t="shared" si="44"/>
        <v>4040</v>
      </c>
      <c r="AE320" s="274">
        <f t="shared" si="38"/>
        <v>4040</v>
      </c>
      <c r="AF320" s="337"/>
    </row>
    <row r="321" spans="1:32">
      <c r="A321" s="337" t="s">
        <v>1523</v>
      </c>
      <c r="B321" s="146" t="s">
        <v>1</v>
      </c>
      <c r="C321" s="155" t="s">
        <v>1512</v>
      </c>
      <c r="D321" s="147"/>
      <c r="E321" s="148" t="s">
        <v>1480</v>
      </c>
      <c r="F321" s="147" t="s">
        <v>106</v>
      </c>
      <c r="G321" s="147" t="s">
        <v>1429</v>
      </c>
      <c r="H321" s="147">
        <v>7</v>
      </c>
      <c r="I321" s="149">
        <f t="shared" si="39"/>
        <v>7</v>
      </c>
      <c r="J321" s="147"/>
      <c r="K321" s="336" t="s">
        <v>57</v>
      </c>
      <c r="L321" s="147">
        <v>100</v>
      </c>
      <c r="M321" s="147" t="s">
        <v>9</v>
      </c>
      <c r="N321" s="147"/>
      <c r="O321" s="147" t="s">
        <v>98</v>
      </c>
      <c r="P321" s="147">
        <v>1000</v>
      </c>
      <c r="Q321" s="150">
        <f t="shared" si="40"/>
        <v>0</v>
      </c>
      <c r="R321" s="151"/>
      <c r="S321" s="152">
        <v>1000</v>
      </c>
      <c r="T321" s="158">
        <v>1000</v>
      </c>
      <c r="U321" s="153"/>
      <c r="V321" s="154"/>
      <c r="W321" s="154"/>
      <c r="X321" s="155"/>
      <c r="Y321" s="155" t="s">
        <v>1394</v>
      </c>
      <c r="Z321" s="155" t="s">
        <v>1442</v>
      </c>
      <c r="AA321" s="273">
        <f t="shared" si="41"/>
        <v>1</v>
      </c>
      <c r="AB321" s="273">
        <f t="shared" si="42"/>
        <v>1</v>
      </c>
      <c r="AC321" s="156">
        <f t="shared" si="43"/>
        <v>1000</v>
      </c>
      <c r="AD321" s="274">
        <f t="shared" si="44"/>
        <v>1000</v>
      </c>
      <c r="AE321" s="274">
        <f t="shared" si="38"/>
        <v>1000</v>
      </c>
      <c r="AF321" s="337"/>
    </row>
    <row r="322" spans="1:32">
      <c r="A322" s="337" t="s">
        <v>1523</v>
      </c>
      <c r="B322" s="146" t="s">
        <v>1</v>
      </c>
      <c r="C322" s="155" t="s">
        <v>1512</v>
      </c>
      <c r="D322" s="147"/>
      <c r="E322" s="148" t="s">
        <v>1480</v>
      </c>
      <c r="F322" s="147" t="s">
        <v>106</v>
      </c>
      <c r="G322" s="147" t="s">
        <v>1429</v>
      </c>
      <c r="H322" s="147">
        <v>8</v>
      </c>
      <c r="I322" s="149">
        <f t="shared" si="39"/>
        <v>8</v>
      </c>
      <c r="J322" s="147"/>
      <c r="K322" s="336" t="s">
        <v>55</v>
      </c>
      <c r="L322" s="147">
        <v>100</v>
      </c>
      <c r="M322" s="147" t="s">
        <v>9</v>
      </c>
      <c r="N322" s="147"/>
      <c r="O322" s="147" t="s">
        <v>98</v>
      </c>
      <c r="P322" s="147">
        <v>1000</v>
      </c>
      <c r="Q322" s="150">
        <f t="shared" si="40"/>
        <v>0</v>
      </c>
      <c r="R322" s="151"/>
      <c r="S322" s="152">
        <v>1250</v>
      </c>
      <c r="T322" s="158">
        <v>1250</v>
      </c>
      <c r="U322" s="153"/>
      <c r="V322" s="154"/>
      <c r="W322" s="154"/>
      <c r="X322" s="155"/>
      <c r="Y322" s="155" t="s">
        <v>1394</v>
      </c>
      <c r="Z322" s="155" t="s">
        <v>1442</v>
      </c>
      <c r="AA322" s="273">
        <f t="shared" si="41"/>
        <v>1.25</v>
      </c>
      <c r="AB322" s="273">
        <f t="shared" si="42"/>
        <v>1.25</v>
      </c>
      <c r="AC322" s="156">
        <f t="shared" si="43"/>
        <v>1000</v>
      </c>
      <c r="AD322" s="274">
        <f t="shared" si="44"/>
        <v>1250</v>
      </c>
      <c r="AE322" s="274">
        <f t="shared" si="38"/>
        <v>1250</v>
      </c>
      <c r="AF322" s="337"/>
    </row>
    <row r="323" spans="1:32">
      <c r="A323" s="337" t="s">
        <v>1523</v>
      </c>
      <c r="B323" s="146" t="s">
        <v>1</v>
      </c>
      <c r="C323" s="155" t="s">
        <v>1512</v>
      </c>
      <c r="D323" s="147"/>
      <c r="E323" s="148" t="s">
        <v>1480</v>
      </c>
      <c r="F323" s="147" t="s">
        <v>106</v>
      </c>
      <c r="G323" s="147" t="s">
        <v>1429</v>
      </c>
      <c r="H323" s="147">
        <v>17</v>
      </c>
      <c r="I323" s="149">
        <f t="shared" si="39"/>
        <v>17</v>
      </c>
      <c r="J323" s="147"/>
      <c r="K323" s="336" t="s">
        <v>53</v>
      </c>
      <c r="L323" s="147">
        <v>100</v>
      </c>
      <c r="M323" s="147" t="s">
        <v>9</v>
      </c>
      <c r="N323" s="147"/>
      <c r="O323" s="147" t="s">
        <v>98</v>
      </c>
      <c r="P323" s="147">
        <v>1000</v>
      </c>
      <c r="Q323" s="150">
        <f t="shared" si="40"/>
        <v>0</v>
      </c>
      <c r="R323" s="151"/>
      <c r="S323" s="152">
        <v>2790</v>
      </c>
      <c r="T323" s="158">
        <v>2790</v>
      </c>
      <c r="U323" s="153"/>
      <c r="V323" s="154"/>
      <c r="W323" s="154"/>
      <c r="X323" s="155"/>
      <c r="Y323" s="155" t="s">
        <v>1394</v>
      </c>
      <c r="Z323" s="155" t="s">
        <v>1442</v>
      </c>
      <c r="AA323" s="273">
        <f t="shared" si="41"/>
        <v>2.79</v>
      </c>
      <c r="AB323" s="273">
        <f t="shared" si="42"/>
        <v>2.79</v>
      </c>
      <c r="AC323" s="156">
        <f t="shared" si="43"/>
        <v>1000</v>
      </c>
      <c r="AD323" s="274">
        <f t="shared" si="44"/>
        <v>2790</v>
      </c>
      <c r="AE323" s="274">
        <f t="shared" ref="AE323:AE386" si="45">AB323*AC323</f>
        <v>2790</v>
      </c>
      <c r="AF323" s="337"/>
    </row>
    <row r="324" spans="1:32">
      <c r="A324" s="337" t="s">
        <v>1523</v>
      </c>
      <c r="B324" s="146" t="s">
        <v>1</v>
      </c>
      <c r="C324" s="155" t="s">
        <v>1512</v>
      </c>
      <c r="D324" s="147"/>
      <c r="E324" s="148" t="s">
        <v>1480</v>
      </c>
      <c r="F324" s="147" t="s">
        <v>106</v>
      </c>
      <c r="G324" s="147" t="s">
        <v>1429</v>
      </c>
      <c r="H324" s="147">
        <v>22</v>
      </c>
      <c r="I324" s="149">
        <f t="shared" si="39"/>
        <v>22</v>
      </c>
      <c r="J324" s="147"/>
      <c r="K324" s="336" t="s">
        <v>51</v>
      </c>
      <c r="L324" s="147">
        <v>100</v>
      </c>
      <c r="M324" s="147" t="s">
        <v>9</v>
      </c>
      <c r="N324" s="147"/>
      <c r="O324" s="147" t="s">
        <v>98</v>
      </c>
      <c r="P324" s="147">
        <v>1000</v>
      </c>
      <c r="Q324" s="150">
        <f t="shared" si="40"/>
        <v>0</v>
      </c>
      <c r="R324" s="151"/>
      <c r="S324" s="152">
        <v>4994</v>
      </c>
      <c r="T324" s="158">
        <v>4994</v>
      </c>
      <c r="U324" s="153"/>
      <c r="V324" s="154"/>
      <c r="W324" s="154"/>
      <c r="X324" s="155"/>
      <c r="Y324" s="155" t="s">
        <v>1394</v>
      </c>
      <c r="Z324" s="155" t="s">
        <v>1442</v>
      </c>
      <c r="AA324" s="273">
        <f t="shared" si="41"/>
        <v>4.9939999999999998</v>
      </c>
      <c r="AB324" s="273">
        <f t="shared" si="42"/>
        <v>4.9939999999999998</v>
      </c>
      <c r="AC324" s="156">
        <f t="shared" si="43"/>
        <v>1000</v>
      </c>
      <c r="AD324" s="274">
        <f t="shared" si="44"/>
        <v>4994</v>
      </c>
      <c r="AE324" s="274">
        <f t="shared" si="45"/>
        <v>4994</v>
      </c>
      <c r="AF324" s="337"/>
    </row>
    <row r="325" spans="1:32">
      <c r="A325" s="337" t="s">
        <v>1523</v>
      </c>
      <c r="B325" s="146" t="s">
        <v>1</v>
      </c>
      <c r="C325" s="155" t="s">
        <v>1512</v>
      </c>
      <c r="D325" s="147"/>
      <c r="E325" s="148" t="s">
        <v>1480</v>
      </c>
      <c r="F325" s="147" t="s">
        <v>106</v>
      </c>
      <c r="G325" s="147" t="s">
        <v>1429</v>
      </c>
      <c r="H325" s="147">
        <v>33</v>
      </c>
      <c r="I325" s="149">
        <f t="shared" si="39"/>
        <v>33</v>
      </c>
      <c r="J325" s="147"/>
      <c r="K325" s="336" t="s">
        <v>59</v>
      </c>
      <c r="L325" s="147">
        <v>100</v>
      </c>
      <c r="M325" s="147" t="s">
        <v>9</v>
      </c>
      <c r="N325" s="147"/>
      <c r="O325" s="147" t="s">
        <v>98</v>
      </c>
      <c r="P325" s="147">
        <v>1000</v>
      </c>
      <c r="Q325" s="150">
        <f t="shared" si="40"/>
        <v>0</v>
      </c>
      <c r="R325" s="151"/>
      <c r="S325" s="152">
        <v>3180</v>
      </c>
      <c r="T325" s="158">
        <v>3180</v>
      </c>
      <c r="U325" s="153"/>
      <c r="V325" s="154"/>
      <c r="W325" s="154"/>
      <c r="X325" s="155"/>
      <c r="Y325" s="155" t="s">
        <v>1394</v>
      </c>
      <c r="Z325" s="155" t="s">
        <v>1442</v>
      </c>
      <c r="AA325" s="273">
        <f t="shared" si="41"/>
        <v>3.18</v>
      </c>
      <c r="AB325" s="273">
        <f t="shared" si="42"/>
        <v>3.18</v>
      </c>
      <c r="AC325" s="156">
        <f t="shared" si="43"/>
        <v>1000</v>
      </c>
      <c r="AD325" s="274">
        <f t="shared" si="44"/>
        <v>3180</v>
      </c>
      <c r="AE325" s="274">
        <f t="shared" si="45"/>
        <v>3180</v>
      </c>
      <c r="AF325" s="337"/>
    </row>
    <row r="326" spans="1:32">
      <c r="A326" s="337" t="s">
        <v>1523</v>
      </c>
      <c r="B326" s="146" t="s">
        <v>1</v>
      </c>
      <c r="C326" s="155" t="s">
        <v>1512</v>
      </c>
      <c r="D326" s="147"/>
      <c r="E326" s="148" t="s">
        <v>1480</v>
      </c>
      <c r="F326" s="147" t="s">
        <v>106</v>
      </c>
      <c r="G326" s="147" t="s">
        <v>1429</v>
      </c>
      <c r="H326" s="147">
        <v>42</v>
      </c>
      <c r="I326" s="149">
        <f t="shared" si="39"/>
        <v>42</v>
      </c>
      <c r="J326" s="147"/>
      <c r="K326" s="336" t="s">
        <v>61</v>
      </c>
      <c r="L326" s="147">
        <v>100</v>
      </c>
      <c r="M326" s="147" t="s">
        <v>9</v>
      </c>
      <c r="N326" s="147"/>
      <c r="O326" s="147" t="s">
        <v>98</v>
      </c>
      <c r="P326" s="147">
        <v>1000</v>
      </c>
      <c r="Q326" s="150">
        <f t="shared" si="40"/>
        <v>0</v>
      </c>
      <c r="R326" s="151"/>
      <c r="S326" s="152">
        <v>2167</v>
      </c>
      <c r="T326" s="158">
        <v>2167</v>
      </c>
      <c r="U326" s="153"/>
      <c r="V326" s="154"/>
      <c r="W326" s="154"/>
      <c r="X326" s="155"/>
      <c r="Y326" s="155" t="s">
        <v>1394</v>
      </c>
      <c r="Z326" s="155" t="s">
        <v>1442</v>
      </c>
      <c r="AA326" s="273">
        <f t="shared" si="41"/>
        <v>2.1669999999999998</v>
      </c>
      <c r="AB326" s="273">
        <f t="shared" si="42"/>
        <v>2.1669999999999998</v>
      </c>
      <c r="AC326" s="156">
        <f t="shared" si="43"/>
        <v>1000</v>
      </c>
      <c r="AD326" s="274">
        <f t="shared" si="44"/>
        <v>2167</v>
      </c>
      <c r="AE326" s="274">
        <f t="shared" si="45"/>
        <v>2167</v>
      </c>
      <c r="AF326" s="337"/>
    </row>
    <row r="327" spans="1:32">
      <c r="A327" s="337" t="s">
        <v>1523</v>
      </c>
      <c r="B327" s="146" t="s">
        <v>1</v>
      </c>
      <c r="C327" s="155" t="s">
        <v>1512</v>
      </c>
      <c r="D327" s="147"/>
      <c r="E327" s="148" t="s">
        <v>1480</v>
      </c>
      <c r="F327" s="147" t="s">
        <v>106</v>
      </c>
      <c r="G327" s="147" t="s">
        <v>1429</v>
      </c>
      <c r="H327" s="147">
        <v>46</v>
      </c>
      <c r="I327" s="149">
        <f t="shared" si="39"/>
        <v>46</v>
      </c>
      <c r="J327" s="147"/>
      <c r="K327" s="336" t="s">
        <v>1506</v>
      </c>
      <c r="L327" s="147">
        <v>100</v>
      </c>
      <c r="M327" s="147" t="s">
        <v>9</v>
      </c>
      <c r="N327" s="147"/>
      <c r="O327" s="147" t="s">
        <v>98</v>
      </c>
      <c r="P327" s="147">
        <v>1000</v>
      </c>
      <c r="Q327" s="150">
        <f t="shared" si="40"/>
        <v>0</v>
      </c>
      <c r="R327" s="151"/>
      <c r="S327" s="152">
        <v>3000</v>
      </c>
      <c r="T327" s="158">
        <v>3000</v>
      </c>
      <c r="U327" s="153"/>
      <c r="V327" s="154"/>
      <c r="W327" s="154"/>
      <c r="X327" s="155"/>
      <c r="Y327" s="155" t="s">
        <v>1394</v>
      </c>
      <c r="Z327" s="155" t="s">
        <v>1442</v>
      </c>
      <c r="AA327" s="273">
        <f t="shared" si="41"/>
        <v>3</v>
      </c>
      <c r="AB327" s="273">
        <f t="shared" si="42"/>
        <v>3</v>
      </c>
      <c r="AC327" s="156">
        <f t="shared" si="43"/>
        <v>1000</v>
      </c>
      <c r="AD327" s="274">
        <f t="shared" si="44"/>
        <v>3000</v>
      </c>
      <c r="AE327" s="274">
        <f t="shared" si="45"/>
        <v>3000</v>
      </c>
      <c r="AF327" s="337"/>
    </row>
    <row r="328" spans="1:32">
      <c r="A328" s="337" t="s">
        <v>1523</v>
      </c>
      <c r="B328" s="146" t="s">
        <v>1</v>
      </c>
      <c r="C328" s="155" t="s">
        <v>1512</v>
      </c>
      <c r="D328" s="147"/>
      <c r="E328" s="148" t="s">
        <v>1480</v>
      </c>
      <c r="F328" s="147" t="s">
        <v>106</v>
      </c>
      <c r="G328" s="147" t="s">
        <v>1429</v>
      </c>
      <c r="H328" s="147">
        <v>46</v>
      </c>
      <c r="I328" s="149">
        <f t="shared" si="39"/>
        <v>46</v>
      </c>
      <c r="J328" s="147"/>
      <c r="K328" s="336" t="s">
        <v>1507</v>
      </c>
      <c r="L328" s="147">
        <v>100</v>
      </c>
      <c r="M328" s="147" t="s">
        <v>9</v>
      </c>
      <c r="N328" s="147"/>
      <c r="O328" s="147" t="s">
        <v>98</v>
      </c>
      <c r="P328" s="147">
        <v>1000</v>
      </c>
      <c r="Q328" s="150">
        <f t="shared" si="40"/>
        <v>0</v>
      </c>
      <c r="R328" s="151"/>
      <c r="S328" s="152">
        <v>4175</v>
      </c>
      <c r="T328" s="158">
        <v>4175</v>
      </c>
      <c r="U328" s="153"/>
      <c r="V328" s="154"/>
      <c r="W328" s="154"/>
      <c r="X328" s="155"/>
      <c r="Y328" s="155" t="s">
        <v>1394</v>
      </c>
      <c r="Z328" s="155" t="s">
        <v>1442</v>
      </c>
      <c r="AA328" s="273">
        <f t="shared" si="41"/>
        <v>4.1749999999999998</v>
      </c>
      <c r="AB328" s="273">
        <f t="shared" si="42"/>
        <v>4.1749999999999998</v>
      </c>
      <c r="AC328" s="156">
        <f t="shared" si="43"/>
        <v>1000</v>
      </c>
      <c r="AD328" s="274">
        <f t="shared" si="44"/>
        <v>4175</v>
      </c>
      <c r="AE328" s="274">
        <f t="shared" si="45"/>
        <v>4175</v>
      </c>
      <c r="AF328" s="337"/>
    </row>
    <row r="329" spans="1:32">
      <c r="A329" s="337" t="s">
        <v>1523</v>
      </c>
      <c r="B329" s="146" t="s">
        <v>1</v>
      </c>
      <c r="C329" s="155" t="s">
        <v>1512</v>
      </c>
      <c r="D329" s="147"/>
      <c r="E329" s="148" t="s">
        <v>1480</v>
      </c>
      <c r="F329" s="147" t="s">
        <v>106</v>
      </c>
      <c r="G329" s="147" t="s">
        <v>1429</v>
      </c>
      <c r="H329" s="147">
        <v>46</v>
      </c>
      <c r="I329" s="149">
        <f t="shared" si="39"/>
        <v>46</v>
      </c>
      <c r="J329" s="147"/>
      <c r="K329" s="336" t="s">
        <v>1508</v>
      </c>
      <c r="L329" s="147">
        <v>100</v>
      </c>
      <c r="M329" s="147" t="s">
        <v>9</v>
      </c>
      <c r="N329" s="147"/>
      <c r="O329" s="147" t="s">
        <v>98</v>
      </c>
      <c r="P329" s="147">
        <v>1000</v>
      </c>
      <c r="Q329" s="150">
        <f t="shared" si="40"/>
        <v>0</v>
      </c>
      <c r="R329" s="151"/>
      <c r="S329" s="152">
        <v>3947</v>
      </c>
      <c r="T329" s="158">
        <v>3947</v>
      </c>
      <c r="U329" s="153"/>
      <c r="V329" s="154"/>
      <c r="W329" s="154"/>
      <c r="X329" s="155"/>
      <c r="Y329" s="155" t="s">
        <v>1394</v>
      </c>
      <c r="Z329" s="155" t="s">
        <v>1442</v>
      </c>
      <c r="AA329" s="273">
        <f t="shared" si="41"/>
        <v>3.9470000000000001</v>
      </c>
      <c r="AB329" s="273">
        <f t="shared" si="42"/>
        <v>3.9470000000000001</v>
      </c>
      <c r="AC329" s="156">
        <f t="shared" si="43"/>
        <v>1000</v>
      </c>
      <c r="AD329" s="274">
        <f t="shared" si="44"/>
        <v>3947</v>
      </c>
      <c r="AE329" s="274">
        <f t="shared" si="45"/>
        <v>3947</v>
      </c>
      <c r="AF329" s="337"/>
    </row>
    <row r="330" spans="1:32">
      <c r="A330" s="337" t="s">
        <v>1523</v>
      </c>
      <c r="B330" s="146" t="s">
        <v>1</v>
      </c>
      <c r="C330" s="155" t="s">
        <v>1512</v>
      </c>
      <c r="D330" s="147"/>
      <c r="E330" s="148" t="s">
        <v>1480</v>
      </c>
      <c r="F330" s="147" t="s">
        <v>106</v>
      </c>
      <c r="G330" s="147" t="s">
        <v>1429</v>
      </c>
      <c r="H330" s="147">
        <v>58</v>
      </c>
      <c r="I330" s="149">
        <f t="shared" si="39"/>
        <v>58</v>
      </c>
      <c r="J330" s="147"/>
      <c r="K330" s="336" t="s">
        <v>67</v>
      </c>
      <c r="L330" s="147">
        <v>100</v>
      </c>
      <c r="M330" s="147" t="s">
        <v>9</v>
      </c>
      <c r="N330" s="147"/>
      <c r="O330" s="147" t="s">
        <v>98</v>
      </c>
      <c r="P330" s="147">
        <v>1000</v>
      </c>
      <c r="Q330" s="150">
        <f t="shared" si="40"/>
        <v>0</v>
      </c>
      <c r="R330" s="151"/>
      <c r="S330" s="152">
        <v>1083</v>
      </c>
      <c r="T330" s="158">
        <v>1083</v>
      </c>
      <c r="U330" s="153"/>
      <c r="V330" s="154"/>
      <c r="W330" s="154"/>
      <c r="X330" s="155"/>
      <c r="Y330" s="155" t="s">
        <v>1394</v>
      </c>
      <c r="Z330" s="155" t="s">
        <v>1442</v>
      </c>
      <c r="AA330" s="273">
        <f t="shared" si="41"/>
        <v>1.083</v>
      </c>
      <c r="AB330" s="273">
        <f t="shared" si="42"/>
        <v>1.083</v>
      </c>
      <c r="AC330" s="156">
        <f t="shared" si="43"/>
        <v>1000</v>
      </c>
      <c r="AD330" s="274">
        <f t="shared" si="44"/>
        <v>1083</v>
      </c>
      <c r="AE330" s="274">
        <f t="shared" si="45"/>
        <v>1083</v>
      </c>
      <c r="AF330" s="337"/>
    </row>
    <row r="331" spans="1:32">
      <c r="A331" s="337" t="s">
        <v>1523</v>
      </c>
      <c r="B331" s="146" t="s">
        <v>1</v>
      </c>
      <c r="C331" s="155" t="s">
        <v>1512</v>
      </c>
      <c r="D331" s="147"/>
      <c r="E331" s="148" t="s">
        <v>1480</v>
      </c>
      <c r="F331" s="147" t="s">
        <v>106</v>
      </c>
      <c r="G331" s="147" t="s">
        <v>1429</v>
      </c>
      <c r="H331" s="147">
        <v>59</v>
      </c>
      <c r="I331" s="149">
        <f t="shared" si="39"/>
        <v>59</v>
      </c>
      <c r="J331" s="147"/>
      <c r="K331" s="336" t="s">
        <v>99</v>
      </c>
      <c r="L331" s="147">
        <v>100</v>
      </c>
      <c r="M331" s="147" t="s">
        <v>9</v>
      </c>
      <c r="N331" s="147"/>
      <c r="O331" s="147" t="s">
        <v>98</v>
      </c>
      <c r="P331" s="147">
        <v>1000</v>
      </c>
      <c r="Q331" s="150">
        <f t="shared" si="40"/>
        <v>0</v>
      </c>
      <c r="R331" s="151"/>
      <c r="S331" s="152">
        <v>4858</v>
      </c>
      <c r="T331" s="158">
        <v>4858</v>
      </c>
      <c r="U331" s="153"/>
      <c r="V331" s="154"/>
      <c r="W331" s="154"/>
      <c r="X331" s="155"/>
      <c r="Y331" s="155" t="s">
        <v>1394</v>
      </c>
      <c r="Z331" s="155" t="s">
        <v>1442</v>
      </c>
      <c r="AA331" s="273">
        <f t="shared" si="41"/>
        <v>4.8579999999999997</v>
      </c>
      <c r="AB331" s="273">
        <f t="shared" si="42"/>
        <v>4.8579999999999997</v>
      </c>
      <c r="AC331" s="156">
        <f t="shared" si="43"/>
        <v>1000</v>
      </c>
      <c r="AD331" s="274">
        <f t="shared" si="44"/>
        <v>4858</v>
      </c>
      <c r="AE331" s="274">
        <f t="shared" si="45"/>
        <v>4858</v>
      </c>
      <c r="AF331" s="337"/>
    </row>
    <row r="332" spans="1:32">
      <c r="A332" s="337" t="s">
        <v>1523</v>
      </c>
      <c r="B332" s="146" t="s">
        <v>1</v>
      </c>
      <c r="C332" s="155" t="s">
        <v>1512</v>
      </c>
      <c r="D332" s="147"/>
      <c r="E332" s="148" t="s">
        <v>1480</v>
      </c>
      <c r="F332" s="147" t="s">
        <v>106</v>
      </c>
      <c r="G332" s="147" t="s">
        <v>1429</v>
      </c>
      <c r="H332" s="147">
        <v>69</v>
      </c>
      <c r="I332" s="149">
        <f t="shared" si="39"/>
        <v>69</v>
      </c>
      <c r="J332" s="147"/>
      <c r="K332" s="336" t="s">
        <v>1509</v>
      </c>
      <c r="L332" s="147">
        <v>100</v>
      </c>
      <c r="M332" s="147" t="s">
        <v>9</v>
      </c>
      <c r="N332" s="147"/>
      <c r="O332" s="147" t="s">
        <v>98</v>
      </c>
      <c r="P332" s="147">
        <v>1000</v>
      </c>
      <c r="Q332" s="150">
        <f t="shared" si="40"/>
        <v>0</v>
      </c>
      <c r="R332" s="151"/>
      <c r="S332" s="152">
        <v>2990</v>
      </c>
      <c r="T332" s="158">
        <v>2990</v>
      </c>
      <c r="U332" s="153"/>
      <c r="V332" s="154"/>
      <c r="W332" s="154"/>
      <c r="X332" s="155"/>
      <c r="Y332" s="155" t="s">
        <v>1394</v>
      </c>
      <c r="Z332" s="155" t="s">
        <v>1442</v>
      </c>
      <c r="AA332" s="273">
        <f t="shared" si="41"/>
        <v>2.99</v>
      </c>
      <c r="AB332" s="273">
        <f t="shared" si="42"/>
        <v>2.99</v>
      </c>
      <c r="AC332" s="156">
        <f t="shared" si="43"/>
        <v>1000</v>
      </c>
      <c r="AD332" s="274">
        <f t="shared" si="44"/>
        <v>2990</v>
      </c>
      <c r="AE332" s="274">
        <f t="shared" si="45"/>
        <v>2990</v>
      </c>
      <c r="AF332" s="337"/>
    </row>
    <row r="333" spans="1:32">
      <c r="A333" s="337" t="s">
        <v>1523</v>
      </c>
      <c r="B333" s="146" t="s">
        <v>1</v>
      </c>
      <c r="C333" s="155" t="s">
        <v>1512</v>
      </c>
      <c r="D333" s="147"/>
      <c r="E333" s="148" t="s">
        <v>1480</v>
      </c>
      <c r="F333" s="147" t="s">
        <v>106</v>
      </c>
      <c r="G333" s="147" t="s">
        <v>1429</v>
      </c>
      <c r="H333" s="147">
        <v>70</v>
      </c>
      <c r="I333" s="149">
        <f t="shared" si="39"/>
        <v>70</v>
      </c>
      <c r="J333" s="147"/>
      <c r="K333" s="336" t="s">
        <v>1510</v>
      </c>
      <c r="L333" s="147">
        <v>100</v>
      </c>
      <c r="M333" s="147" t="s">
        <v>9</v>
      </c>
      <c r="N333" s="147"/>
      <c r="O333" s="147" t="s">
        <v>98</v>
      </c>
      <c r="P333" s="147">
        <v>1000</v>
      </c>
      <c r="Q333" s="150">
        <f t="shared" si="40"/>
        <v>0</v>
      </c>
      <c r="R333" s="151"/>
      <c r="S333" s="152">
        <v>4105</v>
      </c>
      <c r="T333" s="158">
        <v>4105</v>
      </c>
      <c r="U333" s="153"/>
      <c r="V333" s="154"/>
      <c r="W333" s="154"/>
      <c r="X333" s="155"/>
      <c r="Y333" s="155" t="s">
        <v>1394</v>
      </c>
      <c r="Z333" s="155" t="s">
        <v>1442</v>
      </c>
      <c r="AA333" s="273">
        <f t="shared" si="41"/>
        <v>4.1050000000000004</v>
      </c>
      <c r="AB333" s="273">
        <f t="shared" si="42"/>
        <v>4.1050000000000004</v>
      </c>
      <c r="AC333" s="156">
        <f t="shared" si="43"/>
        <v>1000</v>
      </c>
      <c r="AD333" s="274">
        <f t="shared" si="44"/>
        <v>4105</v>
      </c>
      <c r="AE333" s="274">
        <f t="shared" si="45"/>
        <v>4105</v>
      </c>
      <c r="AF333" s="337"/>
    </row>
    <row r="334" spans="1:32">
      <c r="A334" s="337" t="s">
        <v>1523</v>
      </c>
      <c r="B334" s="146" t="s">
        <v>1</v>
      </c>
      <c r="C334" s="155" t="s">
        <v>1512</v>
      </c>
      <c r="D334" s="147"/>
      <c r="E334" s="148" t="s">
        <v>1480</v>
      </c>
      <c r="F334" s="147" t="s">
        <v>106</v>
      </c>
      <c r="G334" s="147" t="s">
        <v>1429</v>
      </c>
      <c r="H334" s="147">
        <v>70</v>
      </c>
      <c r="I334" s="149">
        <f t="shared" si="39"/>
        <v>70</v>
      </c>
      <c r="J334" s="147"/>
      <c r="K334" s="336" t="s">
        <v>1511</v>
      </c>
      <c r="L334" s="147">
        <v>100</v>
      </c>
      <c r="M334" s="147" t="s">
        <v>9</v>
      </c>
      <c r="N334" s="147"/>
      <c r="O334" s="147" t="s">
        <v>98</v>
      </c>
      <c r="P334" s="147">
        <v>1000</v>
      </c>
      <c r="Q334" s="150">
        <f t="shared" si="40"/>
        <v>0</v>
      </c>
      <c r="R334" s="151"/>
      <c r="S334" s="152">
        <v>4105</v>
      </c>
      <c r="T334" s="158">
        <v>4105</v>
      </c>
      <c r="U334" s="153"/>
      <c r="V334" s="154"/>
      <c r="W334" s="154"/>
      <c r="X334" s="155"/>
      <c r="Y334" s="155" t="s">
        <v>1394</v>
      </c>
      <c r="Z334" s="155" t="s">
        <v>1442</v>
      </c>
      <c r="AA334" s="273">
        <f t="shared" si="41"/>
        <v>4.1050000000000004</v>
      </c>
      <c r="AB334" s="273">
        <f t="shared" si="42"/>
        <v>4.1050000000000004</v>
      </c>
      <c r="AC334" s="156">
        <f t="shared" si="43"/>
        <v>1000</v>
      </c>
      <c r="AD334" s="274">
        <f t="shared" si="44"/>
        <v>4105</v>
      </c>
      <c r="AE334" s="274">
        <f t="shared" si="45"/>
        <v>4105</v>
      </c>
      <c r="AF334" s="337"/>
    </row>
    <row r="335" spans="1:32">
      <c r="A335" s="337" t="s">
        <v>1523</v>
      </c>
      <c r="B335" s="146" t="s">
        <v>1</v>
      </c>
      <c r="C335" s="155" t="s">
        <v>1512</v>
      </c>
      <c r="D335" s="147"/>
      <c r="E335" s="148" t="s">
        <v>1481</v>
      </c>
      <c r="F335" s="147" t="s">
        <v>106</v>
      </c>
      <c r="G335" s="147" t="s">
        <v>1429</v>
      </c>
      <c r="H335" s="147">
        <v>7</v>
      </c>
      <c r="I335" s="149">
        <f t="shared" si="39"/>
        <v>7</v>
      </c>
      <c r="J335" s="147"/>
      <c r="K335" s="336" t="s">
        <v>57</v>
      </c>
      <c r="L335" s="147">
        <v>100</v>
      </c>
      <c r="M335" s="147" t="s">
        <v>9</v>
      </c>
      <c r="N335" s="147"/>
      <c r="O335" s="147" t="s">
        <v>98</v>
      </c>
      <c r="P335" s="147">
        <v>1000</v>
      </c>
      <c r="Q335" s="150">
        <f t="shared" si="40"/>
        <v>0</v>
      </c>
      <c r="R335" s="151"/>
      <c r="S335" s="152">
        <v>1000</v>
      </c>
      <c r="T335" s="158">
        <v>1000</v>
      </c>
      <c r="U335" s="153"/>
      <c r="V335" s="154"/>
      <c r="W335" s="154"/>
      <c r="X335" s="155"/>
      <c r="Y335" s="155" t="s">
        <v>1394</v>
      </c>
      <c r="Z335" s="155" t="s">
        <v>1442</v>
      </c>
      <c r="AA335" s="273">
        <f t="shared" si="41"/>
        <v>1</v>
      </c>
      <c r="AB335" s="273">
        <f t="shared" si="42"/>
        <v>1</v>
      </c>
      <c r="AC335" s="156">
        <f t="shared" si="43"/>
        <v>1000</v>
      </c>
      <c r="AD335" s="274">
        <f t="shared" si="44"/>
        <v>1000</v>
      </c>
      <c r="AE335" s="274">
        <f t="shared" si="45"/>
        <v>1000</v>
      </c>
      <c r="AF335" s="337"/>
    </row>
    <row r="336" spans="1:32">
      <c r="A336" s="337" t="s">
        <v>1523</v>
      </c>
      <c r="B336" s="146" t="s">
        <v>1</v>
      </c>
      <c r="C336" s="155" t="s">
        <v>1512</v>
      </c>
      <c r="D336" s="147"/>
      <c r="E336" s="148" t="s">
        <v>1481</v>
      </c>
      <c r="F336" s="147" t="s">
        <v>106</v>
      </c>
      <c r="G336" s="147" t="s">
        <v>1429</v>
      </c>
      <c r="H336" s="147">
        <v>8</v>
      </c>
      <c r="I336" s="149">
        <f t="shared" si="39"/>
        <v>8</v>
      </c>
      <c r="J336" s="147"/>
      <c r="K336" s="336" t="s">
        <v>55</v>
      </c>
      <c r="L336" s="147">
        <v>100</v>
      </c>
      <c r="M336" s="147" t="s">
        <v>9</v>
      </c>
      <c r="N336" s="147"/>
      <c r="O336" s="147" t="s">
        <v>98</v>
      </c>
      <c r="P336" s="147">
        <v>1000</v>
      </c>
      <c r="Q336" s="150">
        <f t="shared" si="40"/>
        <v>0</v>
      </c>
      <c r="R336" s="151"/>
      <c r="S336" s="152">
        <v>1250</v>
      </c>
      <c r="T336" s="158">
        <v>1250</v>
      </c>
      <c r="U336" s="153"/>
      <c r="V336" s="154"/>
      <c r="W336" s="154"/>
      <c r="X336" s="155"/>
      <c r="Y336" s="155" t="s">
        <v>1394</v>
      </c>
      <c r="Z336" s="155" t="s">
        <v>1442</v>
      </c>
      <c r="AA336" s="273">
        <f t="shared" si="41"/>
        <v>1.25</v>
      </c>
      <c r="AB336" s="273">
        <f t="shared" si="42"/>
        <v>1.25</v>
      </c>
      <c r="AC336" s="156">
        <f t="shared" si="43"/>
        <v>1000</v>
      </c>
      <c r="AD336" s="274">
        <f t="shared" si="44"/>
        <v>1250</v>
      </c>
      <c r="AE336" s="274">
        <f t="shared" si="45"/>
        <v>1250</v>
      </c>
      <c r="AF336" s="337"/>
    </row>
    <row r="337" spans="1:32">
      <c r="A337" s="337" t="s">
        <v>1523</v>
      </c>
      <c r="B337" s="146" t="s">
        <v>1</v>
      </c>
      <c r="C337" s="155" t="s">
        <v>1512</v>
      </c>
      <c r="D337" s="147"/>
      <c r="E337" s="148" t="s">
        <v>1481</v>
      </c>
      <c r="F337" s="147" t="s">
        <v>106</v>
      </c>
      <c r="G337" s="147" t="s">
        <v>1429</v>
      </c>
      <c r="H337" s="147">
        <v>17</v>
      </c>
      <c r="I337" s="149">
        <f t="shared" si="39"/>
        <v>17</v>
      </c>
      <c r="J337" s="147"/>
      <c r="K337" s="336" t="s">
        <v>53</v>
      </c>
      <c r="L337" s="147">
        <v>100</v>
      </c>
      <c r="M337" s="147" t="s">
        <v>9</v>
      </c>
      <c r="N337" s="147"/>
      <c r="O337" s="147" t="s">
        <v>98</v>
      </c>
      <c r="P337" s="147">
        <v>1000</v>
      </c>
      <c r="Q337" s="150">
        <f t="shared" si="40"/>
        <v>0</v>
      </c>
      <c r="R337" s="151"/>
      <c r="S337" s="152">
        <v>2751</v>
      </c>
      <c r="T337" s="158">
        <v>2751</v>
      </c>
      <c r="U337" s="153"/>
      <c r="V337" s="154"/>
      <c r="W337" s="154"/>
      <c r="X337" s="155"/>
      <c r="Y337" s="155" t="s">
        <v>1394</v>
      </c>
      <c r="Z337" s="155" t="s">
        <v>1442</v>
      </c>
      <c r="AA337" s="273">
        <f t="shared" si="41"/>
        <v>2.7509999999999999</v>
      </c>
      <c r="AB337" s="273">
        <f t="shared" si="42"/>
        <v>2.7509999999999999</v>
      </c>
      <c r="AC337" s="156">
        <f t="shared" si="43"/>
        <v>1000</v>
      </c>
      <c r="AD337" s="274">
        <f t="shared" si="44"/>
        <v>2751</v>
      </c>
      <c r="AE337" s="274">
        <f t="shared" si="45"/>
        <v>2751</v>
      </c>
      <c r="AF337" s="337"/>
    </row>
    <row r="338" spans="1:32">
      <c r="A338" s="337" t="s">
        <v>1523</v>
      </c>
      <c r="B338" s="146" t="s">
        <v>1</v>
      </c>
      <c r="C338" s="155" t="s">
        <v>1512</v>
      </c>
      <c r="D338" s="147"/>
      <c r="E338" s="148" t="s">
        <v>1481</v>
      </c>
      <c r="F338" s="147" t="s">
        <v>106</v>
      </c>
      <c r="G338" s="147" t="s">
        <v>1429</v>
      </c>
      <c r="H338" s="147">
        <v>22</v>
      </c>
      <c r="I338" s="149">
        <f t="shared" si="39"/>
        <v>22</v>
      </c>
      <c r="J338" s="147"/>
      <c r="K338" s="336" t="s">
        <v>51</v>
      </c>
      <c r="L338" s="147">
        <v>100</v>
      </c>
      <c r="M338" s="147" t="s">
        <v>9</v>
      </c>
      <c r="N338" s="147"/>
      <c r="O338" s="147" t="s">
        <v>98</v>
      </c>
      <c r="P338" s="147">
        <v>1000</v>
      </c>
      <c r="Q338" s="150">
        <f t="shared" si="40"/>
        <v>0</v>
      </c>
      <c r="R338" s="151"/>
      <c r="S338" s="152">
        <v>4994</v>
      </c>
      <c r="T338" s="158">
        <v>4994</v>
      </c>
      <c r="U338" s="153"/>
      <c r="V338" s="154"/>
      <c r="W338" s="154"/>
      <c r="X338" s="155"/>
      <c r="Y338" s="155" t="s">
        <v>1394</v>
      </c>
      <c r="Z338" s="155" t="s">
        <v>1442</v>
      </c>
      <c r="AA338" s="273">
        <f t="shared" si="41"/>
        <v>4.9939999999999998</v>
      </c>
      <c r="AB338" s="273">
        <f t="shared" si="42"/>
        <v>4.9939999999999998</v>
      </c>
      <c r="AC338" s="156">
        <f t="shared" si="43"/>
        <v>1000</v>
      </c>
      <c r="AD338" s="274">
        <f t="shared" si="44"/>
        <v>4994</v>
      </c>
      <c r="AE338" s="274">
        <f t="shared" si="45"/>
        <v>4994</v>
      </c>
      <c r="AF338" s="337"/>
    </row>
    <row r="339" spans="1:32">
      <c r="A339" s="337" t="s">
        <v>1523</v>
      </c>
      <c r="B339" s="146" t="s">
        <v>1</v>
      </c>
      <c r="C339" s="155" t="s">
        <v>1512</v>
      </c>
      <c r="D339" s="147"/>
      <c r="E339" s="148" t="s">
        <v>1481</v>
      </c>
      <c r="F339" s="147" t="s">
        <v>106</v>
      </c>
      <c r="G339" s="147" t="s">
        <v>1429</v>
      </c>
      <c r="H339" s="147">
        <v>33</v>
      </c>
      <c r="I339" s="149">
        <f t="shared" si="39"/>
        <v>33</v>
      </c>
      <c r="J339" s="147"/>
      <c r="K339" s="336" t="s">
        <v>59</v>
      </c>
      <c r="L339" s="147">
        <v>100</v>
      </c>
      <c r="M339" s="147" t="s">
        <v>9</v>
      </c>
      <c r="N339" s="147"/>
      <c r="O339" s="147" t="s">
        <v>98</v>
      </c>
      <c r="P339" s="147">
        <v>1000</v>
      </c>
      <c r="Q339" s="150">
        <f t="shared" si="40"/>
        <v>0</v>
      </c>
      <c r="R339" s="151"/>
      <c r="S339" s="152">
        <v>3510</v>
      </c>
      <c r="T339" s="158">
        <v>3510</v>
      </c>
      <c r="U339" s="153"/>
      <c r="V339" s="154"/>
      <c r="W339" s="154"/>
      <c r="X339" s="155"/>
      <c r="Y339" s="155" t="s">
        <v>1394</v>
      </c>
      <c r="Z339" s="155" t="s">
        <v>1442</v>
      </c>
      <c r="AA339" s="273">
        <f t="shared" si="41"/>
        <v>3.51</v>
      </c>
      <c r="AB339" s="273">
        <f t="shared" si="42"/>
        <v>3.51</v>
      </c>
      <c r="AC339" s="156">
        <f t="shared" si="43"/>
        <v>1000</v>
      </c>
      <c r="AD339" s="274">
        <f t="shared" si="44"/>
        <v>3510</v>
      </c>
      <c r="AE339" s="274">
        <f t="shared" si="45"/>
        <v>3510</v>
      </c>
      <c r="AF339" s="337"/>
    </row>
    <row r="340" spans="1:32">
      <c r="A340" s="337" t="s">
        <v>1523</v>
      </c>
      <c r="B340" s="146" t="s">
        <v>1</v>
      </c>
      <c r="C340" s="155" t="s">
        <v>1512</v>
      </c>
      <c r="D340" s="147"/>
      <c r="E340" s="148" t="s">
        <v>1481</v>
      </c>
      <c r="F340" s="147" t="s">
        <v>106</v>
      </c>
      <c r="G340" s="147" t="s">
        <v>1429</v>
      </c>
      <c r="H340" s="147">
        <v>42</v>
      </c>
      <c r="I340" s="149">
        <f t="shared" si="39"/>
        <v>42</v>
      </c>
      <c r="J340" s="147"/>
      <c r="K340" s="336" t="s">
        <v>61</v>
      </c>
      <c r="L340" s="147">
        <v>100</v>
      </c>
      <c r="M340" s="147" t="s">
        <v>9</v>
      </c>
      <c r="N340" s="147"/>
      <c r="O340" s="147" t="s">
        <v>98</v>
      </c>
      <c r="P340" s="147">
        <v>1000</v>
      </c>
      <c r="Q340" s="150">
        <f t="shared" si="40"/>
        <v>0</v>
      </c>
      <c r="R340" s="151"/>
      <c r="S340" s="152">
        <v>2145</v>
      </c>
      <c r="T340" s="158">
        <v>2145</v>
      </c>
      <c r="U340" s="153"/>
      <c r="V340" s="154"/>
      <c r="W340" s="154"/>
      <c r="X340" s="155"/>
      <c r="Y340" s="155" t="s">
        <v>1394</v>
      </c>
      <c r="Z340" s="155" t="s">
        <v>1442</v>
      </c>
      <c r="AA340" s="273">
        <f t="shared" si="41"/>
        <v>2.145</v>
      </c>
      <c r="AB340" s="273">
        <f t="shared" si="42"/>
        <v>2.145</v>
      </c>
      <c r="AC340" s="156">
        <f t="shared" si="43"/>
        <v>1000</v>
      </c>
      <c r="AD340" s="274">
        <f t="shared" si="44"/>
        <v>2145</v>
      </c>
      <c r="AE340" s="274">
        <f t="shared" si="45"/>
        <v>2145</v>
      </c>
      <c r="AF340" s="337"/>
    </row>
    <row r="341" spans="1:32">
      <c r="A341" s="337" t="s">
        <v>1523</v>
      </c>
      <c r="B341" s="146" t="s">
        <v>1</v>
      </c>
      <c r="C341" s="155" t="s">
        <v>1512</v>
      </c>
      <c r="D341" s="147"/>
      <c r="E341" s="148" t="s">
        <v>1481</v>
      </c>
      <c r="F341" s="147" t="s">
        <v>106</v>
      </c>
      <c r="G341" s="147" t="s">
        <v>1429</v>
      </c>
      <c r="H341" s="147">
        <v>43</v>
      </c>
      <c r="I341" s="149">
        <f t="shared" ref="I341:I404" si="46">IF(AND(F341="SI",J341&lt;&gt;"",J341&lt;&gt;"NA"),CONCATENATE(H341,"_",J341),IF(F341="SI",H341,CONCATENATE(" REGISTRO COTIZACION NO EVALUADA: ",H341)))</f>
        <v>43</v>
      </c>
      <c r="J341" s="147"/>
      <c r="K341" s="336" t="s">
        <v>1505</v>
      </c>
      <c r="L341" s="147">
        <v>100</v>
      </c>
      <c r="M341" s="147" t="s">
        <v>9</v>
      </c>
      <c r="N341" s="147"/>
      <c r="O341" s="147" t="s">
        <v>98</v>
      </c>
      <c r="P341" s="147">
        <v>1000</v>
      </c>
      <c r="Q341" s="150">
        <f t="shared" ref="Q341:Q404" si="47">(T341-S341)/S341</f>
        <v>0</v>
      </c>
      <c r="R341" s="151"/>
      <c r="S341" s="152">
        <v>1373</v>
      </c>
      <c r="T341" s="158">
        <v>1373</v>
      </c>
      <c r="U341" s="153"/>
      <c r="V341" s="154"/>
      <c r="W341" s="154"/>
      <c r="X341" s="155"/>
      <c r="Y341" s="155" t="s">
        <v>1394</v>
      </c>
      <c r="Z341" s="155" t="s">
        <v>1442</v>
      </c>
      <c r="AA341" s="273">
        <f t="shared" ref="AA341:AA404" si="48">S341/P341</f>
        <v>1.373</v>
      </c>
      <c r="AB341" s="273">
        <f t="shared" ref="AB341:AB404" si="49">T341/P341</f>
        <v>1.373</v>
      </c>
      <c r="AC341" s="156">
        <f t="shared" ref="AC341:AC404" si="50">P341</f>
        <v>1000</v>
      </c>
      <c r="AD341" s="274">
        <f t="shared" ref="AD341:AD404" si="51">AA341*AC341</f>
        <v>1373</v>
      </c>
      <c r="AE341" s="274">
        <f t="shared" si="45"/>
        <v>1373</v>
      </c>
      <c r="AF341" s="337"/>
    </row>
    <row r="342" spans="1:32">
      <c r="A342" s="337" t="s">
        <v>1523</v>
      </c>
      <c r="B342" s="146" t="s">
        <v>1</v>
      </c>
      <c r="C342" s="155" t="s">
        <v>1512</v>
      </c>
      <c r="D342" s="147"/>
      <c r="E342" s="148" t="s">
        <v>1481</v>
      </c>
      <c r="F342" s="147" t="s">
        <v>106</v>
      </c>
      <c r="G342" s="147" t="s">
        <v>1429</v>
      </c>
      <c r="H342" s="147">
        <v>46</v>
      </c>
      <c r="I342" s="149">
        <f t="shared" si="46"/>
        <v>46</v>
      </c>
      <c r="J342" s="147"/>
      <c r="K342" s="336" t="s">
        <v>1506</v>
      </c>
      <c r="L342" s="147">
        <v>100</v>
      </c>
      <c r="M342" s="147" t="s">
        <v>9</v>
      </c>
      <c r="N342" s="147"/>
      <c r="O342" s="147" t="s">
        <v>98</v>
      </c>
      <c r="P342" s="147">
        <v>1000</v>
      </c>
      <c r="Q342" s="150">
        <f t="shared" si="47"/>
        <v>0</v>
      </c>
      <c r="R342" s="151"/>
      <c r="S342" s="152">
        <v>3736</v>
      </c>
      <c r="T342" s="158">
        <v>3736</v>
      </c>
      <c r="U342" s="153"/>
      <c r="V342" s="154"/>
      <c r="W342" s="154"/>
      <c r="X342" s="155"/>
      <c r="Y342" s="155" t="s">
        <v>1394</v>
      </c>
      <c r="Z342" s="155" t="s">
        <v>1442</v>
      </c>
      <c r="AA342" s="273">
        <f t="shared" si="48"/>
        <v>3.7360000000000002</v>
      </c>
      <c r="AB342" s="273">
        <f t="shared" si="49"/>
        <v>3.7360000000000002</v>
      </c>
      <c r="AC342" s="156">
        <f t="shared" si="50"/>
        <v>1000</v>
      </c>
      <c r="AD342" s="274">
        <f t="shared" si="51"/>
        <v>3736</v>
      </c>
      <c r="AE342" s="274">
        <f t="shared" si="45"/>
        <v>3736</v>
      </c>
      <c r="AF342" s="337"/>
    </row>
    <row r="343" spans="1:32">
      <c r="A343" s="337" t="s">
        <v>1523</v>
      </c>
      <c r="B343" s="146" t="s">
        <v>1</v>
      </c>
      <c r="C343" s="155" t="s">
        <v>1512</v>
      </c>
      <c r="D343" s="147"/>
      <c r="E343" s="148" t="s">
        <v>1481</v>
      </c>
      <c r="F343" s="147" t="s">
        <v>106</v>
      </c>
      <c r="G343" s="147" t="s">
        <v>1429</v>
      </c>
      <c r="H343" s="147">
        <v>46</v>
      </c>
      <c r="I343" s="149">
        <f t="shared" si="46"/>
        <v>46</v>
      </c>
      <c r="J343" s="147"/>
      <c r="K343" s="336" t="s">
        <v>1507</v>
      </c>
      <c r="L343" s="147">
        <v>100</v>
      </c>
      <c r="M343" s="147" t="s">
        <v>9</v>
      </c>
      <c r="N343" s="147"/>
      <c r="O343" s="147" t="s">
        <v>98</v>
      </c>
      <c r="P343" s="147">
        <v>1000</v>
      </c>
      <c r="Q343" s="150">
        <f t="shared" si="47"/>
        <v>0</v>
      </c>
      <c r="R343" s="151"/>
      <c r="S343" s="152">
        <v>3596</v>
      </c>
      <c r="T343" s="158">
        <v>3596</v>
      </c>
      <c r="U343" s="153"/>
      <c r="V343" s="154"/>
      <c r="W343" s="154"/>
      <c r="X343" s="155"/>
      <c r="Y343" s="155" t="s">
        <v>1394</v>
      </c>
      <c r="Z343" s="155" t="s">
        <v>1442</v>
      </c>
      <c r="AA343" s="273">
        <f t="shared" si="48"/>
        <v>3.5960000000000001</v>
      </c>
      <c r="AB343" s="273">
        <f t="shared" si="49"/>
        <v>3.5960000000000001</v>
      </c>
      <c r="AC343" s="156">
        <f t="shared" si="50"/>
        <v>1000</v>
      </c>
      <c r="AD343" s="274">
        <f t="shared" si="51"/>
        <v>3596</v>
      </c>
      <c r="AE343" s="274">
        <f t="shared" si="45"/>
        <v>3596</v>
      </c>
      <c r="AF343" s="337"/>
    </row>
    <row r="344" spans="1:32">
      <c r="A344" s="337" t="s">
        <v>1523</v>
      </c>
      <c r="B344" s="146" t="s">
        <v>1</v>
      </c>
      <c r="C344" s="155" t="s">
        <v>1512</v>
      </c>
      <c r="D344" s="147"/>
      <c r="E344" s="148" t="s">
        <v>1481</v>
      </c>
      <c r="F344" s="147" t="s">
        <v>106</v>
      </c>
      <c r="G344" s="147" t="s">
        <v>1429</v>
      </c>
      <c r="H344" s="147">
        <v>46</v>
      </c>
      <c r="I344" s="149">
        <f t="shared" si="46"/>
        <v>46</v>
      </c>
      <c r="J344" s="147"/>
      <c r="K344" s="336" t="s">
        <v>1508</v>
      </c>
      <c r="L344" s="147">
        <v>100</v>
      </c>
      <c r="M344" s="147" t="s">
        <v>9</v>
      </c>
      <c r="N344" s="147"/>
      <c r="O344" s="147" t="s">
        <v>98</v>
      </c>
      <c r="P344" s="147">
        <v>1000</v>
      </c>
      <c r="Q344" s="150">
        <f t="shared" si="47"/>
        <v>0</v>
      </c>
      <c r="R344" s="151"/>
      <c r="S344" s="152">
        <v>3825</v>
      </c>
      <c r="T344" s="158">
        <v>3825</v>
      </c>
      <c r="U344" s="153"/>
      <c r="V344" s="154"/>
      <c r="W344" s="154"/>
      <c r="X344" s="155"/>
      <c r="Y344" s="155" t="s">
        <v>1394</v>
      </c>
      <c r="Z344" s="155" t="s">
        <v>1442</v>
      </c>
      <c r="AA344" s="273">
        <f t="shared" si="48"/>
        <v>3.8250000000000002</v>
      </c>
      <c r="AB344" s="273">
        <f t="shared" si="49"/>
        <v>3.8250000000000002</v>
      </c>
      <c r="AC344" s="156">
        <f t="shared" si="50"/>
        <v>1000</v>
      </c>
      <c r="AD344" s="274">
        <f t="shared" si="51"/>
        <v>3825</v>
      </c>
      <c r="AE344" s="274">
        <f t="shared" si="45"/>
        <v>3825</v>
      </c>
      <c r="AF344" s="337"/>
    </row>
    <row r="345" spans="1:32">
      <c r="A345" s="337" t="s">
        <v>1523</v>
      </c>
      <c r="B345" s="146" t="s">
        <v>1</v>
      </c>
      <c r="C345" s="155" t="s">
        <v>1512</v>
      </c>
      <c r="D345" s="147"/>
      <c r="E345" s="148" t="s">
        <v>1481</v>
      </c>
      <c r="F345" s="147" t="s">
        <v>106</v>
      </c>
      <c r="G345" s="147" t="s">
        <v>1429</v>
      </c>
      <c r="H345" s="147">
        <v>58</v>
      </c>
      <c r="I345" s="149">
        <f t="shared" si="46"/>
        <v>58</v>
      </c>
      <c r="J345" s="147"/>
      <c r="K345" s="336" t="s">
        <v>67</v>
      </c>
      <c r="L345" s="147">
        <v>100</v>
      </c>
      <c r="M345" s="147" t="s">
        <v>9</v>
      </c>
      <c r="N345" s="147"/>
      <c r="O345" s="147" t="s">
        <v>98</v>
      </c>
      <c r="P345" s="147">
        <v>1000</v>
      </c>
      <c r="Q345" s="150">
        <f t="shared" si="47"/>
        <v>0</v>
      </c>
      <c r="R345" s="151"/>
      <c r="S345" s="152">
        <v>1100</v>
      </c>
      <c r="T345" s="158">
        <v>1100</v>
      </c>
      <c r="U345" s="153"/>
      <c r="V345" s="154"/>
      <c r="W345" s="154"/>
      <c r="X345" s="155"/>
      <c r="Y345" s="155" t="s">
        <v>1394</v>
      </c>
      <c r="Z345" s="155" t="s">
        <v>1442</v>
      </c>
      <c r="AA345" s="273">
        <f t="shared" si="48"/>
        <v>1.1000000000000001</v>
      </c>
      <c r="AB345" s="273">
        <f t="shared" si="49"/>
        <v>1.1000000000000001</v>
      </c>
      <c r="AC345" s="156">
        <f t="shared" si="50"/>
        <v>1000</v>
      </c>
      <c r="AD345" s="274">
        <f t="shared" si="51"/>
        <v>1100</v>
      </c>
      <c r="AE345" s="274">
        <f t="shared" si="45"/>
        <v>1100</v>
      </c>
      <c r="AF345" s="337"/>
    </row>
    <row r="346" spans="1:32">
      <c r="A346" s="337" t="s">
        <v>1523</v>
      </c>
      <c r="B346" s="146" t="s">
        <v>1</v>
      </c>
      <c r="C346" s="155" t="s">
        <v>1512</v>
      </c>
      <c r="D346" s="147"/>
      <c r="E346" s="148" t="s">
        <v>1481</v>
      </c>
      <c r="F346" s="147" t="s">
        <v>106</v>
      </c>
      <c r="G346" s="147" t="s">
        <v>1429</v>
      </c>
      <c r="H346" s="147">
        <v>59</v>
      </c>
      <c r="I346" s="149">
        <f t="shared" si="46"/>
        <v>59</v>
      </c>
      <c r="J346" s="147"/>
      <c r="K346" s="336" t="s">
        <v>99</v>
      </c>
      <c r="L346" s="147">
        <v>100</v>
      </c>
      <c r="M346" s="147" t="s">
        <v>9</v>
      </c>
      <c r="N346" s="147"/>
      <c r="O346" s="147" t="s">
        <v>98</v>
      </c>
      <c r="P346" s="147">
        <v>1000</v>
      </c>
      <c r="Q346" s="150">
        <f t="shared" si="47"/>
        <v>0</v>
      </c>
      <c r="R346" s="151"/>
      <c r="S346" s="152">
        <v>5000</v>
      </c>
      <c r="T346" s="158">
        <v>5000</v>
      </c>
      <c r="U346" s="153"/>
      <c r="V346" s="154"/>
      <c r="W346" s="154"/>
      <c r="X346" s="155"/>
      <c r="Y346" s="155" t="s">
        <v>1394</v>
      </c>
      <c r="Z346" s="155" t="s">
        <v>1442</v>
      </c>
      <c r="AA346" s="273">
        <f t="shared" si="48"/>
        <v>5</v>
      </c>
      <c r="AB346" s="273">
        <f t="shared" si="49"/>
        <v>5</v>
      </c>
      <c r="AC346" s="156">
        <f t="shared" si="50"/>
        <v>1000</v>
      </c>
      <c r="AD346" s="274">
        <f t="shared" si="51"/>
        <v>5000</v>
      </c>
      <c r="AE346" s="274">
        <f t="shared" si="45"/>
        <v>5000</v>
      </c>
      <c r="AF346" s="337"/>
    </row>
    <row r="347" spans="1:32">
      <c r="A347" s="337" t="s">
        <v>1523</v>
      </c>
      <c r="B347" s="146" t="s">
        <v>1</v>
      </c>
      <c r="C347" s="155" t="s">
        <v>1512</v>
      </c>
      <c r="D347" s="147"/>
      <c r="E347" s="148" t="s">
        <v>1481</v>
      </c>
      <c r="F347" s="147" t="s">
        <v>106</v>
      </c>
      <c r="G347" s="147" t="s">
        <v>1429</v>
      </c>
      <c r="H347" s="147">
        <v>69</v>
      </c>
      <c r="I347" s="149">
        <f t="shared" si="46"/>
        <v>69</v>
      </c>
      <c r="J347" s="147"/>
      <c r="K347" s="336" t="s">
        <v>1509</v>
      </c>
      <c r="L347" s="147">
        <v>100</v>
      </c>
      <c r="M347" s="147" t="s">
        <v>9</v>
      </c>
      <c r="N347" s="147"/>
      <c r="O347" s="147" t="s">
        <v>98</v>
      </c>
      <c r="P347" s="147">
        <v>1000</v>
      </c>
      <c r="Q347" s="150">
        <f t="shared" si="47"/>
        <v>0</v>
      </c>
      <c r="R347" s="151"/>
      <c r="S347" s="152">
        <v>3178</v>
      </c>
      <c r="T347" s="158">
        <v>3178</v>
      </c>
      <c r="U347" s="153"/>
      <c r="V347" s="154"/>
      <c r="W347" s="154"/>
      <c r="X347" s="155"/>
      <c r="Y347" s="155" t="s">
        <v>1394</v>
      </c>
      <c r="Z347" s="155" t="s">
        <v>1442</v>
      </c>
      <c r="AA347" s="273">
        <f t="shared" si="48"/>
        <v>3.1779999999999999</v>
      </c>
      <c r="AB347" s="273">
        <f t="shared" si="49"/>
        <v>3.1779999999999999</v>
      </c>
      <c r="AC347" s="156">
        <f t="shared" si="50"/>
        <v>1000</v>
      </c>
      <c r="AD347" s="274">
        <f t="shared" si="51"/>
        <v>3178</v>
      </c>
      <c r="AE347" s="274">
        <f t="shared" si="45"/>
        <v>3178</v>
      </c>
      <c r="AF347" s="337"/>
    </row>
    <row r="348" spans="1:32">
      <c r="A348" s="337" t="s">
        <v>1523</v>
      </c>
      <c r="B348" s="146" t="s">
        <v>1</v>
      </c>
      <c r="C348" s="155" t="s">
        <v>1512</v>
      </c>
      <c r="D348" s="147"/>
      <c r="E348" s="148" t="s">
        <v>1481</v>
      </c>
      <c r="F348" s="147" t="s">
        <v>106</v>
      </c>
      <c r="G348" s="147" t="s">
        <v>1429</v>
      </c>
      <c r="H348" s="147">
        <v>70</v>
      </c>
      <c r="I348" s="149">
        <f t="shared" si="46"/>
        <v>70</v>
      </c>
      <c r="J348" s="147"/>
      <c r="K348" s="336" t="s">
        <v>1510</v>
      </c>
      <c r="L348" s="147">
        <v>100</v>
      </c>
      <c r="M348" s="147" t="s">
        <v>9</v>
      </c>
      <c r="N348" s="147"/>
      <c r="O348" s="147" t="s">
        <v>98</v>
      </c>
      <c r="P348" s="147">
        <v>1000</v>
      </c>
      <c r="Q348" s="150">
        <f t="shared" si="47"/>
        <v>0</v>
      </c>
      <c r="R348" s="151"/>
      <c r="S348" s="152">
        <v>4164</v>
      </c>
      <c r="T348" s="158">
        <v>4164</v>
      </c>
      <c r="U348" s="153"/>
      <c r="V348" s="154"/>
      <c r="W348" s="154"/>
      <c r="X348" s="155"/>
      <c r="Y348" s="155" t="s">
        <v>1394</v>
      </c>
      <c r="Z348" s="155" t="s">
        <v>1442</v>
      </c>
      <c r="AA348" s="273">
        <f t="shared" si="48"/>
        <v>4.1639999999999997</v>
      </c>
      <c r="AB348" s="273">
        <f t="shared" si="49"/>
        <v>4.1639999999999997</v>
      </c>
      <c r="AC348" s="156">
        <f t="shared" si="50"/>
        <v>1000</v>
      </c>
      <c r="AD348" s="274">
        <f t="shared" si="51"/>
        <v>4164</v>
      </c>
      <c r="AE348" s="274">
        <f t="shared" si="45"/>
        <v>4164</v>
      </c>
      <c r="AF348" s="337"/>
    </row>
    <row r="349" spans="1:32">
      <c r="A349" s="337" t="s">
        <v>1523</v>
      </c>
      <c r="B349" s="146" t="s">
        <v>1</v>
      </c>
      <c r="C349" s="155" t="s">
        <v>1512</v>
      </c>
      <c r="D349" s="147"/>
      <c r="E349" s="148" t="s">
        <v>1481</v>
      </c>
      <c r="F349" s="147" t="s">
        <v>106</v>
      </c>
      <c r="G349" s="147" t="s">
        <v>1429</v>
      </c>
      <c r="H349" s="147">
        <v>70</v>
      </c>
      <c r="I349" s="149">
        <f t="shared" si="46"/>
        <v>70</v>
      </c>
      <c r="J349" s="147"/>
      <c r="K349" s="336" t="s">
        <v>1511</v>
      </c>
      <c r="L349" s="147">
        <v>100</v>
      </c>
      <c r="M349" s="147" t="s">
        <v>9</v>
      </c>
      <c r="N349" s="147"/>
      <c r="O349" s="147" t="s">
        <v>98</v>
      </c>
      <c r="P349" s="147">
        <v>1000</v>
      </c>
      <c r="Q349" s="150">
        <f t="shared" si="47"/>
        <v>0</v>
      </c>
      <c r="R349" s="151"/>
      <c r="S349" s="152">
        <v>4162</v>
      </c>
      <c r="T349" s="158">
        <v>4162</v>
      </c>
      <c r="U349" s="153"/>
      <c r="V349" s="154"/>
      <c r="W349" s="154"/>
      <c r="X349" s="155"/>
      <c r="Y349" s="155" t="s">
        <v>1394</v>
      </c>
      <c r="Z349" s="155" t="s">
        <v>1442</v>
      </c>
      <c r="AA349" s="273">
        <f t="shared" si="48"/>
        <v>4.1619999999999999</v>
      </c>
      <c r="AB349" s="273">
        <f t="shared" si="49"/>
        <v>4.1619999999999999</v>
      </c>
      <c r="AC349" s="156">
        <f t="shared" si="50"/>
        <v>1000</v>
      </c>
      <c r="AD349" s="274">
        <f t="shared" si="51"/>
        <v>4162</v>
      </c>
      <c r="AE349" s="274">
        <f t="shared" si="45"/>
        <v>4162</v>
      </c>
      <c r="AF349" s="337"/>
    </row>
    <row r="350" spans="1:32">
      <c r="A350" s="337" t="s">
        <v>1523</v>
      </c>
      <c r="B350" s="146" t="s">
        <v>1</v>
      </c>
      <c r="C350" s="155" t="s">
        <v>1512</v>
      </c>
      <c r="D350" s="147"/>
      <c r="E350" s="148" t="s">
        <v>1464</v>
      </c>
      <c r="F350" s="147" t="s">
        <v>106</v>
      </c>
      <c r="G350" s="147" t="s">
        <v>1429</v>
      </c>
      <c r="H350" s="147">
        <v>7</v>
      </c>
      <c r="I350" s="149">
        <f t="shared" si="46"/>
        <v>7</v>
      </c>
      <c r="J350" s="147"/>
      <c r="K350" s="336" t="s">
        <v>57</v>
      </c>
      <c r="L350" s="147">
        <v>100</v>
      </c>
      <c r="M350" s="147" t="s">
        <v>9</v>
      </c>
      <c r="N350" s="147"/>
      <c r="O350" s="147" t="s">
        <v>98</v>
      </c>
      <c r="P350" s="147">
        <v>1000</v>
      </c>
      <c r="Q350" s="150">
        <f t="shared" si="47"/>
        <v>0</v>
      </c>
      <c r="R350" s="151"/>
      <c r="S350" s="152">
        <v>997</v>
      </c>
      <c r="T350" s="158">
        <v>997</v>
      </c>
      <c r="U350" s="153"/>
      <c r="V350" s="154"/>
      <c r="W350" s="154"/>
      <c r="X350" s="155"/>
      <c r="Y350" s="155" t="s">
        <v>1394</v>
      </c>
      <c r="Z350" s="155" t="s">
        <v>1442</v>
      </c>
      <c r="AA350" s="273">
        <f t="shared" si="48"/>
        <v>0.997</v>
      </c>
      <c r="AB350" s="273">
        <f t="shared" si="49"/>
        <v>0.997</v>
      </c>
      <c r="AC350" s="156">
        <f t="shared" si="50"/>
        <v>1000</v>
      </c>
      <c r="AD350" s="274">
        <f t="shared" si="51"/>
        <v>997</v>
      </c>
      <c r="AE350" s="274">
        <f t="shared" si="45"/>
        <v>997</v>
      </c>
      <c r="AF350" s="337"/>
    </row>
    <row r="351" spans="1:32">
      <c r="A351" s="337" t="s">
        <v>1523</v>
      </c>
      <c r="B351" s="146" t="s">
        <v>1</v>
      </c>
      <c r="C351" s="155" t="s">
        <v>1512</v>
      </c>
      <c r="D351" s="147"/>
      <c r="E351" s="148" t="s">
        <v>1464</v>
      </c>
      <c r="F351" s="147" t="s">
        <v>106</v>
      </c>
      <c r="G351" s="147" t="s">
        <v>1429</v>
      </c>
      <c r="H351" s="147">
        <v>8</v>
      </c>
      <c r="I351" s="149">
        <f t="shared" si="46"/>
        <v>8</v>
      </c>
      <c r="J351" s="147"/>
      <c r="K351" s="336" t="s">
        <v>55</v>
      </c>
      <c r="L351" s="147">
        <v>100</v>
      </c>
      <c r="M351" s="147" t="s">
        <v>9</v>
      </c>
      <c r="N351" s="147"/>
      <c r="O351" s="147" t="s">
        <v>98</v>
      </c>
      <c r="P351" s="147">
        <v>1000</v>
      </c>
      <c r="Q351" s="150">
        <f t="shared" si="47"/>
        <v>0</v>
      </c>
      <c r="R351" s="151"/>
      <c r="S351" s="152">
        <v>1250</v>
      </c>
      <c r="T351" s="158">
        <v>1250</v>
      </c>
      <c r="U351" s="153"/>
      <c r="V351" s="154"/>
      <c r="W351" s="154"/>
      <c r="X351" s="155"/>
      <c r="Y351" s="155" t="s">
        <v>1394</v>
      </c>
      <c r="Z351" s="155" t="s">
        <v>1442</v>
      </c>
      <c r="AA351" s="273">
        <f t="shared" si="48"/>
        <v>1.25</v>
      </c>
      <c r="AB351" s="273">
        <f t="shared" si="49"/>
        <v>1.25</v>
      </c>
      <c r="AC351" s="156">
        <f t="shared" si="50"/>
        <v>1000</v>
      </c>
      <c r="AD351" s="274">
        <f t="shared" si="51"/>
        <v>1250</v>
      </c>
      <c r="AE351" s="274">
        <f t="shared" si="45"/>
        <v>1250</v>
      </c>
      <c r="AF351" s="337"/>
    </row>
    <row r="352" spans="1:32">
      <c r="A352" s="337" t="s">
        <v>1523</v>
      </c>
      <c r="B352" s="146" t="s">
        <v>1</v>
      </c>
      <c r="C352" s="155" t="s">
        <v>1512</v>
      </c>
      <c r="D352" s="147"/>
      <c r="E352" s="148" t="s">
        <v>1464</v>
      </c>
      <c r="F352" s="147" t="s">
        <v>106</v>
      </c>
      <c r="G352" s="147" t="s">
        <v>1429</v>
      </c>
      <c r="H352" s="147">
        <v>17</v>
      </c>
      <c r="I352" s="149">
        <f t="shared" si="46"/>
        <v>17</v>
      </c>
      <c r="J352" s="147"/>
      <c r="K352" s="336" t="s">
        <v>53</v>
      </c>
      <c r="L352" s="147">
        <v>100</v>
      </c>
      <c r="M352" s="147" t="s">
        <v>9</v>
      </c>
      <c r="N352" s="147"/>
      <c r="O352" s="147" t="s">
        <v>98</v>
      </c>
      <c r="P352" s="147">
        <v>1000</v>
      </c>
      <c r="Q352" s="150">
        <f t="shared" si="47"/>
        <v>0</v>
      </c>
      <c r="R352" s="151"/>
      <c r="S352" s="152">
        <v>1489</v>
      </c>
      <c r="T352" s="158">
        <v>1489</v>
      </c>
      <c r="U352" s="153"/>
      <c r="V352" s="154"/>
      <c r="W352" s="154"/>
      <c r="X352" s="155"/>
      <c r="Y352" s="155" t="s">
        <v>1394</v>
      </c>
      <c r="Z352" s="155" t="s">
        <v>1442</v>
      </c>
      <c r="AA352" s="273">
        <f t="shared" si="48"/>
        <v>1.4890000000000001</v>
      </c>
      <c r="AB352" s="273">
        <f t="shared" si="49"/>
        <v>1.4890000000000001</v>
      </c>
      <c r="AC352" s="156">
        <f t="shared" si="50"/>
        <v>1000</v>
      </c>
      <c r="AD352" s="274">
        <f t="shared" si="51"/>
        <v>1489</v>
      </c>
      <c r="AE352" s="274">
        <f t="shared" si="45"/>
        <v>1489</v>
      </c>
      <c r="AF352" s="337"/>
    </row>
    <row r="353" spans="1:32">
      <c r="A353" s="337" t="s">
        <v>1523</v>
      </c>
      <c r="B353" s="146" t="s">
        <v>1</v>
      </c>
      <c r="C353" s="155" t="s">
        <v>1512</v>
      </c>
      <c r="D353" s="147"/>
      <c r="E353" s="148" t="s">
        <v>1464</v>
      </c>
      <c r="F353" s="147" t="s">
        <v>106</v>
      </c>
      <c r="G353" s="147" t="s">
        <v>1429</v>
      </c>
      <c r="H353" s="147">
        <v>22</v>
      </c>
      <c r="I353" s="149">
        <f t="shared" si="46"/>
        <v>22</v>
      </c>
      <c r="J353" s="147"/>
      <c r="K353" s="336" t="s">
        <v>51</v>
      </c>
      <c r="L353" s="147">
        <v>100</v>
      </c>
      <c r="M353" s="147" t="s">
        <v>9</v>
      </c>
      <c r="N353" s="147"/>
      <c r="O353" s="147" t="s">
        <v>98</v>
      </c>
      <c r="P353" s="147">
        <v>1000</v>
      </c>
      <c r="Q353" s="150">
        <f t="shared" si="47"/>
        <v>0</v>
      </c>
      <c r="R353" s="151"/>
      <c r="S353" s="152">
        <v>4996</v>
      </c>
      <c r="T353" s="158">
        <v>4996</v>
      </c>
      <c r="U353" s="153"/>
      <c r="V353" s="154"/>
      <c r="W353" s="154"/>
      <c r="X353" s="155"/>
      <c r="Y353" s="155" t="s">
        <v>1394</v>
      </c>
      <c r="Z353" s="155" t="s">
        <v>1442</v>
      </c>
      <c r="AA353" s="273">
        <f t="shared" si="48"/>
        <v>4.9960000000000004</v>
      </c>
      <c r="AB353" s="273">
        <f t="shared" si="49"/>
        <v>4.9960000000000004</v>
      </c>
      <c r="AC353" s="156">
        <f t="shared" si="50"/>
        <v>1000</v>
      </c>
      <c r="AD353" s="274">
        <f t="shared" si="51"/>
        <v>4996</v>
      </c>
      <c r="AE353" s="274">
        <f t="shared" si="45"/>
        <v>4996</v>
      </c>
      <c r="AF353" s="337"/>
    </row>
    <row r="354" spans="1:32">
      <c r="A354" s="337" t="s">
        <v>1523</v>
      </c>
      <c r="B354" s="146" t="s">
        <v>1</v>
      </c>
      <c r="C354" s="155" t="s">
        <v>1512</v>
      </c>
      <c r="D354" s="147"/>
      <c r="E354" s="148" t="s">
        <v>1464</v>
      </c>
      <c r="F354" s="147" t="s">
        <v>106</v>
      </c>
      <c r="G354" s="147" t="s">
        <v>1429</v>
      </c>
      <c r="H354" s="147">
        <v>33</v>
      </c>
      <c r="I354" s="149">
        <f t="shared" si="46"/>
        <v>33</v>
      </c>
      <c r="J354" s="147"/>
      <c r="K354" s="336" t="s">
        <v>59</v>
      </c>
      <c r="L354" s="147">
        <v>100</v>
      </c>
      <c r="M354" s="147" t="s">
        <v>9</v>
      </c>
      <c r="N354" s="147"/>
      <c r="O354" s="147" t="s">
        <v>98</v>
      </c>
      <c r="P354" s="147">
        <v>1000</v>
      </c>
      <c r="Q354" s="150">
        <f t="shared" si="47"/>
        <v>0</v>
      </c>
      <c r="R354" s="151"/>
      <c r="S354" s="152">
        <v>3133</v>
      </c>
      <c r="T354" s="158">
        <v>3133</v>
      </c>
      <c r="U354" s="153"/>
      <c r="V354" s="154"/>
      <c r="W354" s="154"/>
      <c r="X354" s="155"/>
      <c r="Y354" s="155" t="s">
        <v>1394</v>
      </c>
      <c r="Z354" s="155" t="s">
        <v>1442</v>
      </c>
      <c r="AA354" s="273">
        <f t="shared" si="48"/>
        <v>3.133</v>
      </c>
      <c r="AB354" s="273">
        <f t="shared" si="49"/>
        <v>3.133</v>
      </c>
      <c r="AC354" s="156">
        <f t="shared" si="50"/>
        <v>1000</v>
      </c>
      <c r="AD354" s="274">
        <f t="shared" si="51"/>
        <v>3133</v>
      </c>
      <c r="AE354" s="274">
        <f t="shared" si="45"/>
        <v>3133</v>
      </c>
      <c r="AF354" s="337"/>
    </row>
    <row r="355" spans="1:32">
      <c r="A355" s="337" t="s">
        <v>1523</v>
      </c>
      <c r="B355" s="146" t="s">
        <v>1</v>
      </c>
      <c r="C355" s="155" t="s">
        <v>1512</v>
      </c>
      <c r="D355" s="147"/>
      <c r="E355" s="148" t="s">
        <v>1464</v>
      </c>
      <c r="F355" s="147" t="s">
        <v>106</v>
      </c>
      <c r="G355" s="147" t="s">
        <v>1429</v>
      </c>
      <c r="H355" s="147">
        <v>42</v>
      </c>
      <c r="I355" s="149">
        <f t="shared" si="46"/>
        <v>42</v>
      </c>
      <c r="J355" s="147"/>
      <c r="K355" s="336" t="s">
        <v>61</v>
      </c>
      <c r="L355" s="147">
        <v>100</v>
      </c>
      <c r="M355" s="147" t="s">
        <v>9</v>
      </c>
      <c r="N355" s="147"/>
      <c r="O355" s="147" t="s">
        <v>98</v>
      </c>
      <c r="P355" s="147">
        <v>1000</v>
      </c>
      <c r="Q355" s="150">
        <f t="shared" si="47"/>
        <v>0</v>
      </c>
      <c r="R355" s="151"/>
      <c r="S355" s="152">
        <v>2644</v>
      </c>
      <c r="T355" s="158">
        <v>2644</v>
      </c>
      <c r="U355" s="153"/>
      <c r="V355" s="154"/>
      <c r="W355" s="154"/>
      <c r="X355" s="155"/>
      <c r="Y355" s="155" t="s">
        <v>1394</v>
      </c>
      <c r="Z355" s="155" t="s">
        <v>1442</v>
      </c>
      <c r="AA355" s="273">
        <f t="shared" si="48"/>
        <v>2.6440000000000001</v>
      </c>
      <c r="AB355" s="273">
        <f t="shared" si="49"/>
        <v>2.6440000000000001</v>
      </c>
      <c r="AC355" s="156">
        <f t="shared" si="50"/>
        <v>1000</v>
      </c>
      <c r="AD355" s="274">
        <f t="shared" si="51"/>
        <v>2644</v>
      </c>
      <c r="AE355" s="274">
        <f t="shared" si="45"/>
        <v>2644</v>
      </c>
      <c r="AF355" s="337"/>
    </row>
    <row r="356" spans="1:32">
      <c r="A356" s="337" t="s">
        <v>1523</v>
      </c>
      <c r="B356" s="146" t="s">
        <v>1</v>
      </c>
      <c r="C356" s="155" t="s">
        <v>1512</v>
      </c>
      <c r="D356" s="147"/>
      <c r="E356" s="148" t="s">
        <v>1464</v>
      </c>
      <c r="F356" s="147" t="s">
        <v>106</v>
      </c>
      <c r="G356" s="147" t="s">
        <v>1429</v>
      </c>
      <c r="H356" s="147">
        <v>43</v>
      </c>
      <c r="I356" s="149">
        <f t="shared" si="46"/>
        <v>43</v>
      </c>
      <c r="J356" s="147"/>
      <c r="K356" s="336" t="s">
        <v>1504</v>
      </c>
      <c r="L356" s="147">
        <v>100</v>
      </c>
      <c r="M356" s="147" t="s">
        <v>9</v>
      </c>
      <c r="N356" s="147"/>
      <c r="O356" s="147" t="s">
        <v>98</v>
      </c>
      <c r="P356" s="147">
        <v>1000</v>
      </c>
      <c r="Q356" s="150">
        <f t="shared" si="47"/>
        <v>0</v>
      </c>
      <c r="R356" s="151"/>
      <c r="S356" s="152">
        <v>1599</v>
      </c>
      <c r="T356" s="158">
        <v>1599</v>
      </c>
      <c r="U356" s="153"/>
      <c r="V356" s="154"/>
      <c r="W356" s="154"/>
      <c r="X356" s="155"/>
      <c r="Y356" s="155" t="s">
        <v>1394</v>
      </c>
      <c r="Z356" s="155" t="s">
        <v>1442</v>
      </c>
      <c r="AA356" s="273">
        <f t="shared" si="48"/>
        <v>1.599</v>
      </c>
      <c r="AB356" s="273">
        <f t="shared" si="49"/>
        <v>1.599</v>
      </c>
      <c r="AC356" s="156">
        <f t="shared" si="50"/>
        <v>1000</v>
      </c>
      <c r="AD356" s="274">
        <f t="shared" si="51"/>
        <v>1599</v>
      </c>
      <c r="AE356" s="274">
        <f t="shared" si="45"/>
        <v>1599</v>
      </c>
      <c r="AF356" s="337"/>
    </row>
    <row r="357" spans="1:32">
      <c r="A357" s="337" t="s">
        <v>1523</v>
      </c>
      <c r="B357" s="146" t="s">
        <v>1</v>
      </c>
      <c r="C357" s="155" t="s">
        <v>1512</v>
      </c>
      <c r="D357" s="147"/>
      <c r="E357" s="148" t="s">
        <v>1464</v>
      </c>
      <c r="F357" s="147" t="s">
        <v>106</v>
      </c>
      <c r="G357" s="147" t="s">
        <v>1429</v>
      </c>
      <c r="H357" s="147">
        <v>46</v>
      </c>
      <c r="I357" s="149">
        <f t="shared" si="46"/>
        <v>46</v>
      </c>
      <c r="J357" s="147"/>
      <c r="K357" s="336" t="s">
        <v>1506</v>
      </c>
      <c r="L357" s="147">
        <v>100</v>
      </c>
      <c r="M357" s="147" t="s">
        <v>9</v>
      </c>
      <c r="N357" s="147"/>
      <c r="O357" s="147" t="s">
        <v>98</v>
      </c>
      <c r="P357" s="147">
        <v>1000</v>
      </c>
      <c r="Q357" s="150">
        <f t="shared" si="47"/>
        <v>0</v>
      </c>
      <c r="R357" s="151"/>
      <c r="S357" s="152">
        <v>2932</v>
      </c>
      <c r="T357" s="158">
        <v>2932</v>
      </c>
      <c r="U357" s="153"/>
      <c r="V357" s="154"/>
      <c r="W357" s="154"/>
      <c r="X357" s="155"/>
      <c r="Y357" s="155" t="s">
        <v>1394</v>
      </c>
      <c r="Z357" s="155" t="s">
        <v>1442</v>
      </c>
      <c r="AA357" s="273">
        <f t="shared" si="48"/>
        <v>2.9319999999999999</v>
      </c>
      <c r="AB357" s="273">
        <f t="shared" si="49"/>
        <v>2.9319999999999999</v>
      </c>
      <c r="AC357" s="156">
        <f t="shared" si="50"/>
        <v>1000</v>
      </c>
      <c r="AD357" s="274">
        <f t="shared" si="51"/>
        <v>2932</v>
      </c>
      <c r="AE357" s="274">
        <f t="shared" si="45"/>
        <v>2932</v>
      </c>
      <c r="AF357" s="337"/>
    </row>
    <row r="358" spans="1:32">
      <c r="A358" s="337" t="s">
        <v>1523</v>
      </c>
      <c r="B358" s="146" t="s">
        <v>1</v>
      </c>
      <c r="C358" s="155" t="s">
        <v>1512</v>
      </c>
      <c r="D358" s="147"/>
      <c r="E358" s="148" t="s">
        <v>1464</v>
      </c>
      <c r="F358" s="147" t="s">
        <v>106</v>
      </c>
      <c r="G358" s="147" t="s">
        <v>1429</v>
      </c>
      <c r="H358" s="147">
        <v>46</v>
      </c>
      <c r="I358" s="149">
        <f t="shared" si="46"/>
        <v>46</v>
      </c>
      <c r="J358" s="147"/>
      <c r="K358" s="336" t="s">
        <v>1507</v>
      </c>
      <c r="L358" s="147">
        <v>100</v>
      </c>
      <c r="M358" s="147" t="s">
        <v>9</v>
      </c>
      <c r="N358" s="147"/>
      <c r="O358" s="147" t="s">
        <v>98</v>
      </c>
      <c r="P358" s="147">
        <v>1000</v>
      </c>
      <c r="Q358" s="150">
        <f t="shared" si="47"/>
        <v>0</v>
      </c>
      <c r="R358" s="151"/>
      <c r="S358" s="152">
        <v>5200</v>
      </c>
      <c r="T358" s="158">
        <v>5200</v>
      </c>
      <c r="U358" s="153"/>
      <c r="V358" s="154"/>
      <c r="W358" s="154"/>
      <c r="X358" s="155"/>
      <c r="Y358" s="155" t="s">
        <v>1394</v>
      </c>
      <c r="Z358" s="155" t="s">
        <v>1442</v>
      </c>
      <c r="AA358" s="273">
        <f t="shared" si="48"/>
        <v>5.2</v>
      </c>
      <c r="AB358" s="273">
        <f t="shared" si="49"/>
        <v>5.2</v>
      </c>
      <c r="AC358" s="156">
        <f t="shared" si="50"/>
        <v>1000</v>
      </c>
      <c r="AD358" s="274">
        <f t="shared" si="51"/>
        <v>5200</v>
      </c>
      <c r="AE358" s="274">
        <f t="shared" si="45"/>
        <v>5200</v>
      </c>
      <c r="AF358" s="337"/>
    </row>
    <row r="359" spans="1:32">
      <c r="A359" s="337" t="s">
        <v>1523</v>
      </c>
      <c r="B359" s="146" t="s">
        <v>1</v>
      </c>
      <c r="C359" s="155" t="s">
        <v>1512</v>
      </c>
      <c r="D359" s="147"/>
      <c r="E359" s="148" t="s">
        <v>1464</v>
      </c>
      <c r="F359" s="147" t="s">
        <v>106</v>
      </c>
      <c r="G359" s="147" t="s">
        <v>1429</v>
      </c>
      <c r="H359" s="147">
        <v>46</v>
      </c>
      <c r="I359" s="149">
        <f t="shared" si="46"/>
        <v>46</v>
      </c>
      <c r="J359" s="147"/>
      <c r="K359" s="336" t="s">
        <v>1508</v>
      </c>
      <c r="L359" s="147">
        <v>100</v>
      </c>
      <c r="M359" s="147" t="s">
        <v>9</v>
      </c>
      <c r="N359" s="147"/>
      <c r="O359" s="147" t="s">
        <v>98</v>
      </c>
      <c r="P359" s="147">
        <v>1000</v>
      </c>
      <c r="Q359" s="150">
        <f t="shared" si="47"/>
        <v>0</v>
      </c>
      <c r="R359" s="151"/>
      <c r="S359" s="152">
        <v>5515</v>
      </c>
      <c r="T359" s="158">
        <v>5515</v>
      </c>
      <c r="U359" s="153"/>
      <c r="V359" s="154"/>
      <c r="W359" s="154"/>
      <c r="X359" s="155"/>
      <c r="Y359" s="155" t="s">
        <v>1394</v>
      </c>
      <c r="Z359" s="155" t="s">
        <v>1442</v>
      </c>
      <c r="AA359" s="273">
        <f t="shared" si="48"/>
        <v>5.5149999999999997</v>
      </c>
      <c r="AB359" s="273">
        <f t="shared" si="49"/>
        <v>5.5149999999999997</v>
      </c>
      <c r="AC359" s="156">
        <f t="shared" si="50"/>
        <v>1000</v>
      </c>
      <c r="AD359" s="274">
        <f t="shared" si="51"/>
        <v>5515</v>
      </c>
      <c r="AE359" s="274">
        <f t="shared" si="45"/>
        <v>5515</v>
      </c>
      <c r="AF359" s="337"/>
    </row>
    <row r="360" spans="1:32">
      <c r="A360" s="337" t="s">
        <v>1523</v>
      </c>
      <c r="B360" s="146" t="s">
        <v>1</v>
      </c>
      <c r="C360" s="155" t="s">
        <v>1512</v>
      </c>
      <c r="D360" s="147"/>
      <c r="E360" s="148" t="s">
        <v>1464</v>
      </c>
      <c r="F360" s="147" t="s">
        <v>106</v>
      </c>
      <c r="G360" s="147" t="s">
        <v>1429</v>
      </c>
      <c r="H360" s="147">
        <v>59</v>
      </c>
      <c r="I360" s="149">
        <f t="shared" si="46"/>
        <v>59</v>
      </c>
      <c r="J360" s="147"/>
      <c r="K360" s="336" t="s">
        <v>99</v>
      </c>
      <c r="L360" s="147">
        <v>100</v>
      </c>
      <c r="M360" s="147" t="s">
        <v>9</v>
      </c>
      <c r="N360" s="147"/>
      <c r="O360" s="147" t="s">
        <v>98</v>
      </c>
      <c r="P360" s="147">
        <v>1000</v>
      </c>
      <c r="Q360" s="150">
        <f t="shared" si="47"/>
        <v>0</v>
      </c>
      <c r="R360" s="151"/>
      <c r="S360" s="152">
        <v>2008</v>
      </c>
      <c r="T360" s="158">
        <v>2008</v>
      </c>
      <c r="U360" s="153"/>
      <c r="V360" s="154"/>
      <c r="W360" s="154"/>
      <c r="X360" s="155"/>
      <c r="Y360" s="155" t="s">
        <v>1394</v>
      </c>
      <c r="Z360" s="155" t="s">
        <v>1442</v>
      </c>
      <c r="AA360" s="273">
        <f t="shared" si="48"/>
        <v>2.008</v>
      </c>
      <c r="AB360" s="273">
        <f t="shared" si="49"/>
        <v>2.008</v>
      </c>
      <c r="AC360" s="156">
        <f t="shared" si="50"/>
        <v>1000</v>
      </c>
      <c r="AD360" s="274">
        <f t="shared" si="51"/>
        <v>2008</v>
      </c>
      <c r="AE360" s="274">
        <f t="shared" si="45"/>
        <v>2008</v>
      </c>
      <c r="AF360" s="337"/>
    </row>
    <row r="361" spans="1:32">
      <c r="A361" s="337" t="s">
        <v>1523</v>
      </c>
      <c r="B361" s="146" t="s">
        <v>1</v>
      </c>
      <c r="C361" s="155" t="s">
        <v>1512</v>
      </c>
      <c r="D361" s="147"/>
      <c r="E361" s="148" t="s">
        <v>1464</v>
      </c>
      <c r="F361" s="147" t="s">
        <v>106</v>
      </c>
      <c r="G361" s="147" t="s">
        <v>1429</v>
      </c>
      <c r="H361" s="147">
        <v>69</v>
      </c>
      <c r="I361" s="149">
        <f t="shared" si="46"/>
        <v>69</v>
      </c>
      <c r="J361" s="147"/>
      <c r="K361" s="336" t="s">
        <v>1509</v>
      </c>
      <c r="L361" s="147">
        <v>100</v>
      </c>
      <c r="M361" s="147" t="s">
        <v>9</v>
      </c>
      <c r="N361" s="147"/>
      <c r="O361" s="147" t="s">
        <v>98</v>
      </c>
      <c r="P361" s="147">
        <v>1000</v>
      </c>
      <c r="Q361" s="150">
        <f t="shared" si="47"/>
        <v>0</v>
      </c>
      <c r="R361" s="151"/>
      <c r="S361" s="152">
        <v>3882</v>
      </c>
      <c r="T361" s="158">
        <v>3882</v>
      </c>
      <c r="U361" s="153"/>
      <c r="V361" s="154"/>
      <c r="W361" s="154"/>
      <c r="X361" s="155"/>
      <c r="Y361" s="155" t="s">
        <v>1394</v>
      </c>
      <c r="Z361" s="155" t="s">
        <v>1442</v>
      </c>
      <c r="AA361" s="273">
        <f t="shared" si="48"/>
        <v>3.8820000000000001</v>
      </c>
      <c r="AB361" s="273">
        <f t="shared" si="49"/>
        <v>3.8820000000000001</v>
      </c>
      <c r="AC361" s="156">
        <f t="shared" si="50"/>
        <v>1000</v>
      </c>
      <c r="AD361" s="274">
        <f t="shared" si="51"/>
        <v>3882</v>
      </c>
      <c r="AE361" s="274">
        <f t="shared" si="45"/>
        <v>3882</v>
      </c>
      <c r="AF361" s="337"/>
    </row>
    <row r="362" spans="1:32">
      <c r="A362" s="337" t="s">
        <v>1523</v>
      </c>
      <c r="B362" s="146" t="s">
        <v>1</v>
      </c>
      <c r="C362" s="155" t="s">
        <v>1512</v>
      </c>
      <c r="D362" s="147"/>
      <c r="E362" s="148" t="s">
        <v>1464</v>
      </c>
      <c r="F362" s="147" t="s">
        <v>106</v>
      </c>
      <c r="G362" s="147" t="s">
        <v>1429</v>
      </c>
      <c r="H362" s="147">
        <v>70</v>
      </c>
      <c r="I362" s="149">
        <f t="shared" si="46"/>
        <v>70</v>
      </c>
      <c r="J362" s="147"/>
      <c r="K362" s="336" t="s">
        <v>1510</v>
      </c>
      <c r="L362" s="147">
        <v>100</v>
      </c>
      <c r="M362" s="147" t="s">
        <v>9</v>
      </c>
      <c r="N362" s="147"/>
      <c r="O362" s="147" t="s">
        <v>98</v>
      </c>
      <c r="P362" s="147">
        <v>1000</v>
      </c>
      <c r="Q362" s="150">
        <f t="shared" si="47"/>
        <v>0</v>
      </c>
      <c r="R362" s="151"/>
      <c r="S362" s="152">
        <v>4433</v>
      </c>
      <c r="T362" s="158">
        <v>4433</v>
      </c>
      <c r="U362" s="153"/>
      <c r="V362" s="154"/>
      <c r="W362" s="154"/>
      <c r="X362" s="155"/>
      <c r="Y362" s="155" t="s">
        <v>1394</v>
      </c>
      <c r="Z362" s="155" t="s">
        <v>1442</v>
      </c>
      <c r="AA362" s="273">
        <f t="shared" si="48"/>
        <v>4.4329999999999998</v>
      </c>
      <c r="AB362" s="273">
        <f t="shared" si="49"/>
        <v>4.4329999999999998</v>
      </c>
      <c r="AC362" s="156">
        <f t="shared" si="50"/>
        <v>1000</v>
      </c>
      <c r="AD362" s="274">
        <f t="shared" si="51"/>
        <v>4433</v>
      </c>
      <c r="AE362" s="274">
        <f t="shared" si="45"/>
        <v>4433</v>
      </c>
      <c r="AF362" s="337"/>
    </row>
    <row r="363" spans="1:32">
      <c r="A363" s="337" t="s">
        <v>1523</v>
      </c>
      <c r="B363" s="146" t="s">
        <v>1</v>
      </c>
      <c r="C363" s="155" t="s">
        <v>1512</v>
      </c>
      <c r="D363" s="147"/>
      <c r="E363" s="148" t="s">
        <v>1464</v>
      </c>
      <c r="F363" s="147" t="s">
        <v>106</v>
      </c>
      <c r="G363" s="147" t="s">
        <v>1429</v>
      </c>
      <c r="H363" s="147">
        <v>70</v>
      </c>
      <c r="I363" s="149">
        <f t="shared" si="46"/>
        <v>70</v>
      </c>
      <c r="J363" s="147"/>
      <c r="K363" s="336" t="s">
        <v>1511</v>
      </c>
      <c r="L363" s="147">
        <v>100</v>
      </c>
      <c r="M363" s="147" t="s">
        <v>9</v>
      </c>
      <c r="N363" s="147"/>
      <c r="O363" s="147" t="s">
        <v>98</v>
      </c>
      <c r="P363" s="147">
        <v>1000</v>
      </c>
      <c r="Q363" s="150">
        <f t="shared" si="47"/>
        <v>0</v>
      </c>
      <c r="R363" s="151"/>
      <c r="S363" s="152">
        <v>4440</v>
      </c>
      <c r="T363" s="158">
        <v>4440</v>
      </c>
      <c r="U363" s="153"/>
      <c r="V363" s="154"/>
      <c r="W363" s="154"/>
      <c r="X363" s="155"/>
      <c r="Y363" s="155" t="s">
        <v>1394</v>
      </c>
      <c r="Z363" s="155" t="s">
        <v>1442</v>
      </c>
      <c r="AA363" s="273">
        <f t="shared" si="48"/>
        <v>4.4400000000000004</v>
      </c>
      <c r="AB363" s="273">
        <f t="shared" si="49"/>
        <v>4.4400000000000004</v>
      </c>
      <c r="AC363" s="156">
        <f t="shared" si="50"/>
        <v>1000</v>
      </c>
      <c r="AD363" s="274">
        <f t="shared" si="51"/>
        <v>4440</v>
      </c>
      <c r="AE363" s="274">
        <f t="shared" si="45"/>
        <v>4440</v>
      </c>
      <c r="AF363" s="337"/>
    </row>
    <row r="364" spans="1:32">
      <c r="A364" s="337" t="s">
        <v>1523</v>
      </c>
      <c r="B364" s="146" t="s">
        <v>1</v>
      </c>
      <c r="C364" s="155" t="s">
        <v>1512</v>
      </c>
      <c r="D364" s="147"/>
      <c r="E364" s="148" t="s">
        <v>1482</v>
      </c>
      <c r="F364" s="147" t="s">
        <v>106</v>
      </c>
      <c r="G364" s="147" t="s">
        <v>1429</v>
      </c>
      <c r="H364" s="147">
        <v>7</v>
      </c>
      <c r="I364" s="149">
        <f t="shared" si="46"/>
        <v>7</v>
      </c>
      <c r="J364" s="147"/>
      <c r="K364" s="336" t="s">
        <v>57</v>
      </c>
      <c r="L364" s="147">
        <v>100</v>
      </c>
      <c r="M364" s="147" t="s">
        <v>9</v>
      </c>
      <c r="N364" s="147"/>
      <c r="O364" s="147" t="s">
        <v>98</v>
      </c>
      <c r="P364" s="147">
        <v>1000</v>
      </c>
      <c r="Q364" s="150">
        <f t="shared" si="47"/>
        <v>0</v>
      </c>
      <c r="R364" s="151"/>
      <c r="S364" s="152">
        <v>1000</v>
      </c>
      <c r="T364" s="158">
        <v>1000</v>
      </c>
      <c r="U364" s="153"/>
      <c r="V364" s="154"/>
      <c r="W364" s="154"/>
      <c r="X364" s="155"/>
      <c r="Y364" s="155" t="s">
        <v>1394</v>
      </c>
      <c r="Z364" s="155" t="s">
        <v>1442</v>
      </c>
      <c r="AA364" s="273">
        <f t="shared" si="48"/>
        <v>1</v>
      </c>
      <c r="AB364" s="273">
        <f t="shared" si="49"/>
        <v>1</v>
      </c>
      <c r="AC364" s="156">
        <f t="shared" si="50"/>
        <v>1000</v>
      </c>
      <c r="AD364" s="274">
        <f t="shared" si="51"/>
        <v>1000</v>
      </c>
      <c r="AE364" s="274">
        <f t="shared" si="45"/>
        <v>1000</v>
      </c>
      <c r="AF364" s="337"/>
    </row>
    <row r="365" spans="1:32">
      <c r="A365" s="337" t="s">
        <v>1523</v>
      </c>
      <c r="B365" s="146" t="s">
        <v>1</v>
      </c>
      <c r="C365" s="155" t="s">
        <v>1512</v>
      </c>
      <c r="D365" s="147"/>
      <c r="E365" s="148" t="s">
        <v>1482</v>
      </c>
      <c r="F365" s="147" t="s">
        <v>106</v>
      </c>
      <c r="G365" s="147" t="s">
        <v>1429</v>
      </c>
      <c r="H365" s="147">
        <v>8</v>
      </c>
      <c r="I365" s="149">
        <f t="shared" si="46"/>
        <v>8</v>
      </c>
      <c r="J365" s="147"/>
      <c r="K365" s="336" t="s">
        <v>55</v>
      </c>
      <c r="L365" s="147">
        <v>100</v>
      </c>
      <c r="M365" s="147" t="s">
        <v>9</v>
      </c>
      <c r="N365" s="147"/>
      <c r="O365" s="147" t="s">
        <v>98</v>
      </c>
      <c r="P365" s="147">
        <v>1000</v>
      </c>
      <c r="Q365" s="150">
        <f t="shared" si="47"/>
        <v>0</v>
      </c>
      <c r="R365" s="151"/>
      <c r="S365" s="152">
        <v>1250</v>
      </c>
      <c r="T365" s="158">
        <v>1250</v>
      </c>
      <c r="U365" s="153"/>
      <c r="V365" s="154"/>
      <c r="W365" s="154"/>
      <c r="X365" s="155"/>
      <c r="Y365" s="155" t="s">
        <v>1394</v>
      </c>
      <c r="Z365" s="155" t="s">
        <v>1442</v>
      </c>
      <c r="AA365" s="273">
        <f t="shared" si="48"/>
        <v>1.25</v>
      </c>
      <c r="AB365" s="273">
        <f t="shared" si="49"/>
        <v>1.25</v>
      </c>
      <c r="AC365" s="156">
        <f t="shared" si="50"/>
        <v>1000</v>
      </c>
      <c r="AD365" s="274">
        <f t="shared" si="51"/>
        <v>1250</v>
      </c>
      <c r="AE365" s="274">
        <f t="shared" si="45"/>
        <v>1250</v>
      </c>
      <c r="AF365" s="337"/>
    </row>
    <row r="366" spans="1:32">
      <c r="A366" s="337" t="s">
        <v>1523</v>
      </c>
      <c r="B366" s="146" t="s">
        <v>1</v>
      </c>
      <c r="C366" s="155" t="s">
        <v>1512</v>
      </c>
      <c r="D366" s="147"/>
      <c r="E366" s="148" t="s">
        <v>1482</v>
      </c>
      <c r="F366" s="147" t="s">
        <v>106</v>
      </c>
      <c r="G366" s="147" t="s">
        <v>1429</v>
      </c>
      <c r="H366" s="147">
        <v>17</v>
      </c>
      <c r="I366" s="149">
        <f t="shared" si="46"/>
        <v>17</v>
      </c>
      <c r="J366" s="147"/>
      <c r="K366" s="336" t="s">
        <v>53</v>
      </c>
      <c r="L366" s="147">
        <v>100</v>
      </c>
      <c r="M366" s="147" t="s">
        <v>9</v>
      </c>
      <c r="N366" s="147"/>
      <c r="O366" s="147" t="s">
        <v>98</v>
      </c>
      <c r="P366" s="147">
        <v>1000</v>
      </c>
      <c r="Q366" s="150">
        <f t="shared" si="47"/>
        <v>0</v>
      </c>
      <c r="R366" s="151"/>
      <c r="S366" s="152">
        <v>2676</v>
      </c>
      <c r="T366" s="158">
        <v>2676</v>
      </c>
      <c r="U366" s="153"/>
      <c r="V366" s="154"/>
      <c r="W366" s="154"/>
      <c r="X366" s="155"/>
      <c r="Y366" s="155" t="s">
        <v>1394</v>
      </c>
      <c r="Z366" s="155" t="s">
        <v>1442</v>
      </c>
      <c r="AA366" s="273">
        <f t="shared" si="48"/>
        <v>2.6760000000000002</v>
      </c>
      <c r="AB366" s="273">
        <f t="shared" si="49"/>
        <v>2.6760000000000002</v>
      </c>
      <c r="AC366" s="156">
        <f t="shared" si="50"/>
        <v>1000</v>
      </c>
      <c r="AD366" s="274">
        <f t="shared" si="51"/>
        <v>2676</v>
      </c>
      <c r="AE366" s="274">
        <f t="shared" si="45"/>
        <v>2676</v>
      </c>
      <c r="AF366" s="337"/>
    </row>
    <row r="367" spans="1:32">
      <c r="A367" s="337" t="s">
        <v>1523</v>
      </c>
      <c r="B367" s="146" t="s">
        <v>1</v>
      </c>
      <c r="C367" s="155" t="s">
        <v>1512</v>
      </c>
      <c r="D367" s="147"/>
      <c r="E367" s="148" t="s">
        <v>1482</v>
      </c>
      <c r="F367" s="147" t="s">
        <v>106</v>
      </c>
      <c r="G367" s="147" t="s">
        <v>1429</v>
      </c>
      <c r="H367" s="147">
        <v>22</v>
      </c>
      <c r="I367" s="149">
        <f t="shared" si="46"/>
        <v>22</v>
      </c>
      <c r="J367" s="147"/>
      <c r="K367" s="336" t="s">
        <v>51</v>
      </c>
      <c r="L367" s="147">
        <v>100</v>
      </c>
      <c r="M367" s="147" t="s">
        <v>9</v>
      </c>
      <c r="N367" s="147"/>
      <c r="O367" s="147" t="s">
        <v>98</v>
      </c>
      <c r="P367" s="147">
        <v>1000</v>
      </c>
      <c r="Q367" s="150">
        <f t="shared" si="47"/>
        <v>0</v>
      </c>
      <c r="R367" s="151"/>
      <c r="S367" s="152">
        <v>4872</v>
      </c>
      <c r="T367" s="158">
        <v>4872</v>
      </c>
      <c r="U367" s="153"/>
      <c r="V367" s="154"/>
      <c r="W367" s="154"/>
      <c r="X367" s="155"/>
      <c r="Y367" s="155" t="s">
        <v>1394</v>
      </c>
      <c r="Z367" s="155" t="s">
        <v>1442</v>
      </c>
      <c r="AA367" s="273">
        <f t="shared" si="48"/>
        <v>4.8719999999999999</v>
      </c>
      <c r="AB367" s="273">
        <f t="shared" si="49"/>
        <v>4.8719999999999999</v>
      </c>
      <c r="AC367" s="156">
        <f t="shared" si="50"/>
        <v>1000</v>
      </c>
      <c r="AD367" s="274">
        <f t="shared" si="51"/>
        <v>4872</v>
      </c>
      <c r="AE367" s="274">
        <f t="shared" si="45"/>
        <v>4872</v>
      </c>
      <c r="AF367" s="337"/>
    </row>
    <row r="368" spans="1:32">
      <c r="A368" s="337" t="s">
        <v>1523</v>
      </c>
      <c r="B368" s="146" t="s">
        <v>1</v>
      </c>
      <c r="C368" s="155" t="s">
        <v>1512</v>
      </c>
      <c r="D368" s="147"/>
      <c r="E368" s="148" t="s">
        <v>1482</v>
      </c>
      <c r="F368" s="147" t="s">
        <v>106</v>
      </c>
      <c r="G368" s="147" t="s">
        <v>1429</v>
      </c>
      <c r="H368" s="147">
        <v>33</v>
      </c>
      <c r="I368" s="149">
        <f t="shared" si="46"/>
        <v>33</v>
      </c>
      <c r="J368" s="147"/>
      <c r="K368" s="336" t="s">
        <v>59</v>
      </c>
      <c r="L368" s="147">
        <v>100</v>
      </c>
      <c r="M368" s="147" t="s">
        <v>9</v>
      </c>
      <c r="N368" s="147"/>
      <c r="O368" s="147" t="s">
        <v>98</v>
      </c>
      <c r="P368" s="147">
        <v>1000</v>
      </c>
      <c r="Q368" s="150">
        <f t="shared" si="47"/>
        <v>0</v>
      </c>
      <c r="R368" s="151"/>
      <c r="S368" s="152">
        <v>4054</v>
      </c>
      <c r="T368" s="158">
        <v>4054</v>
      </c>
      <c r="U368" s="153"/>
      <c r="V368" s="154"/>
      <c r="W368" s="154"/>
      <c r="X368" s="155"/>
      <c r="Y368" s="155" t="s">
        <v>1394</v>
      </c>
      <c r="Z368" s="155" t="s">
        <v>1442</v>
      </c>
      <c r="AA368" s="273">
        <f t="shared" si="48"/>
        <v>4.0540000000000003</v>
      </c>
      <c r="AB368" s="273">
        <f t="shared" si="49"/>
        <v>4.0540000000000003</v>
      </c>
      <c r="AC368" s="156">
        <f t="shared" si="50"/>
        <v>1000</v>
      </c>
      <c r="AD368" s="274">
        <f t="shared" si="51"/>
        <v>4054.0000000000005</v>
      </c>
      <c r="AE368" s="274">
        <f t="shared" si="45"/>
        <v>4054.0000000000005</v>
      </c>
      <c r="AF368" s="337"/>
    </row>
    <row r="369" spans="1:32">
      <c r="A369" s="337" t="s">
        <v>1523</v>
      </c>
      <c r="B369" s="146" t="s">
        <v>1</v>
      </c>
      <c r="C369" s="155" t="s">
        <v>1512</v>
      </c>
      <c r="D369" s="147"/>
      <c r="E369" s="148" t="s">
        <v>1482</v>
      </c>
      <c r="F369" s="147" t="s">
        <v>106</v>
      </c>
      <c r="G369" s="147" t="s">
        <v>1429</v>
      </c>
      <c r="H369" s="147">
        <v>42</v>
      </c>
      <c r="I369" s="149">
        <f t="shared" si="46"/>
        <v>42</v>
      </c>
      <c r="J369" s="147"/>
      <c r="K369" s="336" t="s">
        <v>61</v>
      </c>
      <c r="L369" s="147">
        <v>100</v>
      </c>
      <c r="M369" s="147" t="s">
        <v>9</v>
      </c>
      <c r="N369" s="147"/>
      <c r="O369" s="147" t="s">
        <v>98</v>
      </c>
      <c r="P369" s="147">
        <v>1000</v>
      </c>
      <c r="Q369" s="150">
        <f t="shared" si="47"/>
        <v>0</v>
      </c>
      <c r="R369" s="151"/>
      <c r="S369" s="152">
        <v>2018</v>
      </c>
      <c r="T369" s="158">
        <v>2018</v>
      </c>
      <c r="U369" s="153"/>
      <c r="V369" s="154"/>
      <c r="W369" s="154"/>
      <c r="X369" s="155"/>
      <c r="Y369" s="155" t="s">
        <v>1394</v>
      </c>
      <c r="Z369" s="155" t="s">
        <v>1442</v>
      </c>
      <c r="AA369" s="273">
        <f t="shared" si="48"/>
        <v>2.0179999999999998</v>
      </c>
      <c r="AB369" s="273">
        <f t="shared" si="49"/>
        <v>2.0179999999999998</v>
      </c>
      <c r="AC369" s="156">
        <f t="shared" si="50"/>
        <v>1000</v>
      </c>
      <c r="AD369" s="274">
        <f t="shared" si="51"/>
        <v>2017.9999999999998</v>
      </c>
      <c r="AE369" s="274">
        <f t="shared" si="45"/>
        <v>2017.9999999999998</v>
      </c>
      <c r="AF369" s="337"/>
    </row>
    <row r="370" spans="1:32">
      <c r="A370" s="337" t="s">
        <v>1523</v>
      </c>
      <c r="B370" s="146" t="s">
        <v>1</v>
      </c>
      <c r="C370" s="155" t="s">
        <v>1512</v>
      </c>
      <c r="D370" s="147"/>
      <c r="E370" s="148" t="s">
        <v>1482</v>
      </c>
      <c r="F370" s="147" t="s">
        <v>106</v>
      </c>
      <c r="G370" s="147" t="s">
        <v>1429</v>
      </c>
      <c r="H370" s="147">
        <v>43</v>
      </c>
      <c r="I370" s="149">
        <f t="shared" si="46"/>
        <v>43</v>
      </c>
      <c r="J370" s="147"/>
      <c r="K370" s="336" t="s">
        <v>1505</v>
      </c>
      <c r="L370" s="147">
        <v>100</v>
      </c>
      <c r="M370" s="147" t="s">
        <v>9</v>
      </c>
      <c r="N370" s="147"/>
      <c r="O370" s="147" t="s">
        <v>98</v>
      </c>
      <c r="P370" s="147">
        <v>1000</v>
      </c>
      <c r="Q370" s="150">
        <f t="shared" si="47"/>
        <v>0</v>
      </c>
      <c r="R370" s="151"/>
      <c r="S370" s="152">
        <v>1454</v>
      </c>
      <c r="T370" s="158">
        <v>1454</v>
      </c>
      <c r="U370" s="153"/>
      <c r="V370" s="154"/>
      <c r="W370" s="154"/>
      <c r="X370" s="155"/>
      <c r="Y370" s="155" t="s">
        <v>1394</v>
      </c>
      <c r="Z370" s="155" t="s">
        <v>1442</v>
      </c>
      <c r="AA370" s="273">
        <f t="shared" si="48"/>
        <v>1.454</v>
      </c>
      <c r="AB370" s="273">
        <f t="shared" si="49"/>
        <v>1.454</v>
      </c>
      <c r="AC370" s="156">
        <f t="shared" si="50"/>
        <v>1000</v>
      </c>
      <c r="AD370" s="274">
        <f t="shared" si="51"/>
        <v>1454</v>
      </c>
      <c r="AE370" s="274">
        <f t="shared" si="45"/>
        <v>1454</v>
      </c>
      <c r="AF370" s="337"/>
    </row>
    <row r="371" spans="1:32">
      <c r="A371" s="337" t="s">
        <v>1523</v>
      </c>
      <c r="B371" s="146" t="s">
        <v>1</v>
      </c>
      <c r="C371" s="155" t="s">
        <v>1512</v>
      </c>
      <c r="D371" s="147"/>
      <c r="E371" s="148" t="s">
        <v>1482</v>
      </c>
      <c r="F371" s="147" t="s">
        <v>106</v>
      </c>
      <c r="G371" s="147" t="s">
        <v>1429</v>
      </c>
      <c r="H371" s="147">
        <v>46</v>
      </c>
      <c r="I371" s="149">
        <f t="shared" si="46"/>
        <v>46</v>
      </c>
      <c r="J371" s="147"/>
      <c r="K371" s="336" t="s">
        <v>1506</v>
      </c>
      <c r="L371" s="147">
        <v>100</v>
      </c>
      <c r="M371" s="147" t="s">
        <v>9</v>
      </c>
      <c r="N371" s="147"/>
      <c r="O371" s="147" t="s">
        <v>98</v>
      </c>
      <c r="P371" s="147">
        <v>1000</v>
      </c>
      <c r="Q371" s="150">
        <f t="shared" si="47"/>
        <v>0</v>
      </c>
      <c r="R371" s="151"/>
      <c r="S371" s="152">
        <v>3632</v>
      </c>
      <c r="T371" s="158">
        <v>3632</v>
      </c>
      <c r="U371" s="153"/>
      <c r="V371" s="154"/>
      <c r="W371" s="154"/>
      <c r="X371" s="155"/>
      <c r="Y371" s="155" t="s">
        <v>1394</v>
      </c>
      <c r="Z371" s="155" t="s">
        <v>1442</v>
      </c>
      <c r="AA371" s="273">
        <f t="shared" si="48"/>
        <v>3.6320000000000001</v>
      </c>
      <c r="AB371" s="273">
        <f t="shared" si="49"/>
        <v>3.6320000000000001</v>
      </c>
      <c r="AC371" s="156">
        <f t="shared" si="50"/>
        <v>1000</v>
      </c>
      <c r="AD371" s="274">
        <f t="shared" si="51"/>
        <v>3632</v>
      </c>
      <c r="AE371" s="274">
        <f t="shared" si="45"/>
        <v>3632</v>
      </c>
      <c r="AF371" s="337"/>
    </row>
    <row r="372" spans="1:32">
      <c r="A372" s="337" t="s">
        <v>1523</v>
      </c>
      <c r="B372" s="146" t="s">
        <v>1</v>
      </c>
      <c r="C372" s="155" t="s">
        <v>1512</v>
      </c>
      <c r="D372" s="147"/>
      <c r="E372" s="148" t="s">
        <v>1482</v>
      </c>
      <c r="F372" s="147" t="s">
        <v>106</v>
      </c>
      <c r="G372" s="147" t="s">
        <v>1429</v>
      </c>
      <c r="H372" s="147">
        <v>46</v>
      </c>
      <c r="I372" s="149">
        <f t="shared" si="46"/>
        <v>46</v>
      </c>
      <c r="J372" s="147"/>
      <c r="K372" s="336" t="s">
        <v>1507</v>
      </c>
      <c r="L372" s="147">
        <v>100</v>
      </c>
      <c r="M372" s="147" t="s">
        <v>9</v>
      </c>
      <c r="N372" s="147"/>
      <c r="O372" s="147" t="s">
        <v>98</v>
      </c>
      <c r="P372" s="147">
        <v>1000</v>
      </c>
      <c r="Q372" s="150">
        <f t="shared" si="47"/>
        <v>0</v>
      </c>
      <c r="R372" s="151"/>
      <c r="S372" s="152">
        <v>3603</v>
      </c>
      <c r="T372" s="158">
        <v>3603</v>
      </c>
      <c r="U372" s="153"/>
      <c r="V372" s="154"/>
      <c r="W372" s="154"/>
      <c r="X372" s="155"/>
      <c r="Y372" s="155" t="s">
        <v>1394</v>
      </c>
      <c r="Z372" s="155" t="s">
        <v>1442</v>
      </c>
      <c r="AA372" s="273">
        <f t="shared" si="48"/>
        <v>3.6030000000000002</v>
      </c>
      <c r="AB372" s="273">
        <f t="shared" si="49"/>
        <v>3.6030000000000002</v>
      </c>
      <c r="AC372" s="156">
        <f t="shared" si="50"/>
        <v>1000</v>
      </c>
      <c r="AD372" s="274">
        <f t="shared" si="51"/>
        <v>3603</v>
      </c>
      <c r="AE372" s="274">
        <f t="shared" si="45"/>
        <v>3603</v>
      </c>
      <c r="AF372" s="337"/>
    </row>
    <row r="373" spans="1:32">
      <c r="A373" s="337" t="s">
        <v>1523</v>
      </c>
      <c r="B373" s="146" t="s">
        <v>1</v>
      </c>
      <c r="C373" s="155" t="s">
        <v>1512</v>
      </c>
      <c r="D373" s="147"/>
      <c r="E373" s="148" t="s">
        <v>1482</v>
      </c>
      <c r="F373" s="147" t="s">
        <v>106</v>
      </c>
      <c r="G373" s="147" t="s">
        <v>1429</v>
      </c>
      <c r="H373" s="147">
        <v>46</v>
      </c>
      <c r="I373" s="149">
        <f t="shared" si="46"/>
        <v>46</v>
      </c>
      <c r="J373" s="147"/>
      <c r="K373" s="336" t="s">
        <v>1508</v>
      </c>
      <c r="L373" s="147">
        <v>100</v>
      </c>
      <c r="M373" s="147" t="s">
        <v>9</v>
      </c>
      <c r="N373" s="147"/>
      <c r="O373" s="147" t="s">
        <v>98</v>
      </c>
      <c r="P373" s="147">
        <v>1000</v>
      </c>
      <c r="Q373" s="150">
        <f t="shared" si="47"/>
        <v>0</v>
      </c>
      <c r="R373" s="151"/>
      <c r="S373" s="152">
        <v>4082</v>
      </c>
      <c r="T373" s="158">
        <v>4082</v>
      </c>
      <c r="U373" s="153"/>
      <c r="V373" s="154"/>
      <c r="W373" s="154"/>
      <c r="X373" s="155"/>
      <c r="Y373" s="155" t="s">
        <v>1394</v>
      </c>
      <c r="Z373" s="155" t="s">
        <v>1442</v>
      </c>
      <c r="AA373" s="273">
        <f t="shared" si="48"/>
        <v>4.0819999999999999</v>
      </c>
      <c r="AB373" s="273">
        <f t="shared" si="49"/>
        <v>4.0819999999999999</v>
      </c>
      <c r="AC373" s="156">
        <f t="shared" si="50"/>
        <v>1000</v>
      </c>
      <c r="AD373" s="274">
        <f t="shared" si="51"/>
        <v>4082</v>
      </c>
      <c r="AE373" s="274">
        <f t="shared" si="45"/>
        <v>4082</v>
      </c>
      <c r="AF373" s="337"/>
    </row>
    <row r="374" spans="1:32">
      <c r="A374" s="337" t="s">
        <v>1523</v>
      </c>
      <c r="B374" s="146" t="s">
        <v>1</v>
      </c>
      <c r="C374" s="155" t="s">
        <v>1512</v>
      </c>
      <c r="D374" s="147"/>
      <c r="E374" s="148" t="s">
        <v>1482</v>
      </c>
      <c r="F374" s="147" t="s">
        <v>106</v>
      </c>
      <c r="G374" s="147" t="s">
        <v>1429</v>
      </c>
      <c r="H374" s="147">
        <v>58</v>
      </c>
      <c r="I374" s="149">
        <f t="shared" si="46"/>
        <v>58</v>
      </c>
      <c r="J374" s="147"/>
      <c r="K374" s="336" t="s">
        <v>67</v>
      </c>
      <c r="L374" s="147">
        <v>100</v>
      </c>
      <c r="M374" s="147" t="s">
        <v>9</v>
      </c>
      <c r="N374" s="147"/>
      <c r="O374" s="147" t="s">
        <v>98</v>
      </c>
      <c r="P374" s="147">
        <v>1000</v>
      </c>
      <c r="Q374" s="150">
        <f t="shared" si="47"/>
        <v>0</v>
      </c>
      <c r="R374" s="151"/>
      <c r="S374" s="152">
        <v>1228</v>
      </c>
      <c r="T374" s="158">
        <v>1228</v>
      </c>
      <c r="U374" s="153"/>
      <c r="V374" s="154"/>
      <c r="W374" s="154"/>
      <c r="X374" s="155"/>
      <c r="Y374" s="155" t="s">
        <v>1394</v>
      </c>
      <c r="Z374" s="155" t="s">
        <v>1442</v>
      </c>
      <c r="AA374" s="273">
        <f t="shared" si="48"/>
        <v>1.228</v>
      </c>
      <c r="AB374" s="273">
        <f t="shared" si="49"/>
        <v>1.228</v>
      </c>
      <c r="AC374" s="156">
        <f t="shared" si="50"/>
        <v>1000</v>
      </c>
      <c r="AD374" s="274">
        <f t="shared" si="51"/>
        <v>1228</v>
      </c>
      <c r="AE374" s="274">
        <f t="shared" si="45"/>
        <v>1228</v>
      </c>
      <c r="AF374" s="337"/>
    </row>
    <row r="375" spans="1:32">
      <c r="A375" s="337" t="s">
        <v>1523</v>
      </c>
      <c r="B375" s="146" t="s">
        <v>1</v>
      </c>
      <c r="C375" s="155" t="s">
        <v>1512</v>
      </c>
      <c r="D375" s="147"/>
      <c r="E375" s="148" t="s">
        <v>1482</v>
      </c>
      <c r="F375" s="147" t="s">
        <v>106</v>
      </c>
      <c r="G375" s="147" t="s">
        <v>1429</v>
      </c>
      <c r="H375" s="147">
        <v>59</v>
      </c>
      <c r="I375" s="149">
        <f t="shared" si="46"/>
        <v>59</v>
      </c>
      <c r="J375" s="147"/>
      <c r="K375" s="336" t="s">
        <v>99</v>
      </c>
      <c r="L375" s="147">
        <v>100</v>
      </c>
      <c r="M375" s="147" t="s">
        <v>9</v>
      </c>
      <c r="N375" s="147"/>
      <c r="O375" s="147" t="s">
        <v>98</v>
      </c>
      <c r="P375" s="147">
        <v>1000</v>
      </c>
      <c r="Q375" s="150">
        <f t="shared" si="47"/>
        <v>0</v>
      </c>
      <c r="R375" s="151"/>
      <c r="S375" s="152">
        <v>4113</v>
      </c>
      <c r="T375" s="158">
        <v>4113</v>
      </c>
      <c r="U375" s="153"/>
      <c r="V375" s="154"/>
      <c r="W375" s="154"/>
      <c r="X375" s="155"/>
      <c r="Y375" s="155" t="s">
        <v>1394</v>
      </c>
      <c r="Z375" s="155" t="s">
        <v>1442</v>
      </c>
      <c r="AA375" s="273">
        <f t="shared" si="48"/>
        <v>4.1130000000000004</v>
      </c>
      <c r="AB375" s="273">
        <f t="shared" si="49"/>
        <v>4.1130000000000004</v>
      </c>
      <c r="AC375" s="156">
        <f t="shared" si="50"/>
        <v>1000</v>
      </c>
      <c r="AD375" s="274">
        <f t="shared" si="51"/>
        <v>4113</v>
      </c>
      <c r="AE375" s="274">
        <f t="shared" si="45"/>
        <v>4113</v>
      </c>
      <c r="AF375" s="337"/>
    </row>
    <row r="376" spans="1:32">
      <c r="A376" s="337" t="s">
        <v>1523</v>
      </c>
      <c r="B376" s="146" t="s">
        <v>1</v>
      </c>
      <c r="C376" s="155" t="s">
        <v>1512</v>
      </c>
      <c r="D376" s="147"/>
      <c r="E376" s="148" t="s">
        <v>1482</v>
      </c>
      <c r="F376" s="147" t="s">
        <v>106</v>
      </c>
      <c r="G376" s="147" t="s">
        <v>1429</v>
      </c>
      <c r="H376" s="147">
        <v>69</v>
      </c>
      <c r="I376" s="149">
        <f t="shared" si="46"/>
        <v>69</v>
      </c>
      <c r="J376" s="147"/>
      <c r="K376" s="336" t="s">
        <v>1509</v>
      </c>
      <c r="L376" s="147">
        <v>100</v>
      </c>
      <c r="M376" s="147" t="s">
        <v>9</v>
      </c>
      <c r="N376" s="147"/>
      <c r="O376" s="147" t="s">
        <v>98</v>
      </c>
      <c r="P376" s="147">
        <v>1000</v>
      </c>
      <c r="Q376" s="150">
        <f t="shared" si="47"/>
        <v>0</v>
      </c>
      <c r="R376" s="151"/>
      <c r="S376" s="152">
        <v>3285</v>
      </c>
      <c r="T376" s="158">
        <v>3285</v>
      </c>
      <c r="U376" s="153"/>
      <c r="V376" s="154"/>
      <c r="W376" s="154"/>
      <c r="X376" s="155"/>
      <c r="Y376" s="155" t="s">
        <v>1394</v>
      </c>
      <c r="Z376" s="155" t="s">
        <v>1442</v>
      </c>
      <c r="AA376" s="273">
        <f t="shared" si="48"/>
        <v>3.2850000000000001</v>
      </c>
      <c r="AB376" s="273">
        <f t="shared" si="49"/>
        <v>3.2850000000000001</v>
      </c>
      <c r="AC376" s="156">
        <f t="shared" si="50"/>
        <v>1000</v>
      </c>
      <c r="AD376" s="274">
        <f t="shared" si="51"/>
        <v>3285</v>
      </c>
      <c r="AE376" s="274">
        <f t="shared" si="45"/>
        <v>3285</v>
      </c>
      <c r="AF376" s="337"/>
    </row>
    <row r="377" spans="1:32">
      <c r="A377" s="337" t="s">
        <v>1523</v>
      </c>
      <c r="B377" s="146" t="s">
        <v>1</v>
      </c>
      <c r="C377" s="155" t="s">
        <v>1512</v>
      </c>
      <c r="D377" s="147"/>
      <c r="E377" s="148" t="s">
        <v>1482</v>
      </c>
      <c r="F377" s="147" t="s">
        <v>106</v>
      </c>
      <c r="G377" s="147" t="s">
        <v>1429</v>
      </c>
      <c r="H377" s="147">
        <v>70</v>
      </c>
      <c r="I377" s="149">
        <f t="shared" si="46"/>
        <v>70</v>
      </c>
      <c r="J377" s="147"/>
      <c r="K377" s="336" t="s">
        <v>1510</v>
      </c>
      <c r="L377" s="147">
        <v>100</v>
      </c>
      <c r="M377" s="147" t="s">
        <v>9</v>
      </c>
      <c r="N377" s="147"/>
      <c r="O377" s="147" t="s">
        <v>98</v>
      </c>
      <c r="P377" s="147">
        <v>1000</v>
      </c>
      <c r="Q377" s="150">
        <f t="shared" si="47"/>
        <v>0</v>
      </c>
      <c r="R377" s="151"/>
      <c r="S377" s="152">
        <v>4226</v>
      </c>
      <c r="T377" s="158">
        <v>4226</v>
      </c>
      <c r="U377" s="153"/>
      <c r="V377" s="154"/>
      <c r="W377" s="154"/>
      <c r="X377" s="155"/>
      <c r="Y377" s="155" t="s">
        <v>1394</v>
      </c>
      <c r="Z377" s="155" t="s">
        <v>1442</v>
      </c>
      <c r="AA377" s="273">
        <f t="shared" si="48"/>
        <v>4.226</v>
      </c>
      <c r="AB377" s="273">
        <f t="shared" si="49"/>
        <v>4.226</v>
      </c>
      <c r="AC377" s="156">
        <f t="shared" si="50"/>
        <v>1000</v>
      </c>
      <c r="AD377" s="274">
        <f t="shared" si="51"/>
        <v>4226</v>
      </c>
      <c r="AE377" s="274">
        <f t="shared" si="45"/>
        <v>4226</v>
      </c>
      <c r="AF377" s="337"/>
    </row>
    <row r="378" spans="1:32">
      <c r="A378" s="337" t="s">
        <v>1523</v>
      </c>
      <c r="B378" s="146" t="s">
        <v>1</v>
      </c>
      <c r="C378" s="155" t="s">
        <v>1512</v>
      </c>
      <c r="D378" s="147"/>
      <c r="E378" s="148" t="s">
        <v>1482</v>
      </c>
      <c r="F378" s="147" t="s">
        <v>106</v>
      </c>
      <c r="G378" s="147" t="s">
        <v>1429</v>
      </c>
      <c r="H378" s="147">
        <v>70</v>
      </c>
      <c r="I378" s="149">
        <f t="shared" si="46"/>
        <v>70</v>
      </c>
      <c r="J378" s="147"/>
      <c r="K378" s="336" t="s">
        <v>1511</v>
      </c>
      <c r="L378" s="147">
        <v>100</v>
      </c>
      <c r="M378" s="147" t="s">
        <v>9</v>
      </c>
      <c r="N378" s="147"/>
      <c r="O378" s="147" t="s">
        <v>98</v>
      </c>
      <c r="P378" s="147">
        <v>1000</v>
      </c>
      <c r="Q378" s="150">
        <f t="shared" si="47"/>
        <v>0</v>
      </c>
      <c r="R378" s="151"/>
      <c r="S378" s="152">
        <v>4226</v>
      </c>
      <c r="T378" s="158">
        <v>4226</v>
      </c>
      <c r="U378" s="153"/>
      <c r="V378" s="154"/>
      <c r="W378" s="154"/>
      <c r="X378" s="155"/>
      <c r="Y378" s="155" t="s">
        <v>1394</v>
      </c>
      <c r="Z378" s="155" t="s">
        <v>1442</v>
      </c>
      <c r="AA378" s="273">
        <f t="shared" si="48"/>
        <v>4.226</v>
      </c>
      <c r="AB378" s="273">
        <f t="shared" si="49"/>
        <v>4.226</v>
      </c>
      <c r="AC378" s="156">
        <f t="shared" si="50"/>
        <v>1000</v>
      </c>
      <c r="AD378" s="274">
        <f t="shared" si="51"/>
        <v>4226</v>
      </c>
      <c r="AE378" s="274">
        <f t="shared" si="45"/>
        <v>4226</v>
      </c>
      <c r="AF378" s="337"/>
    </row>
    <row r="379" spans="1:32">
      <c r="A379" s="337" t="s">
        <v>1523</v>
      </c>
      <c r="B379" s="146" t="s">
        <v>1</v>
      </c>
      <c r="C379" s="155" t="s">
        <v>1512</v>
      </c>
      <c r="D379" s="147"/>
      <c r="E379" s="148" t="s">
        <v>1483</v>
      </c>
      <c r="F379" s="147" t="s">
        <v>106</v>
      </c>
      <c r="G379" s="147" t="s">
        <v>1429</v>
      </c>
      <c r="H379" s="147">
        <v>7</v>
      </c>
      <c r="I379" s="149">
        <f t="shared" si="46"/>
        <v>7</v>
      </c>
      <c r="J379" s="147"/>
      <c r="K379" s="336" t="s">
        <v>57</v>
      </c>
      <c r="L379" s="147">
        <v>100</v>
      </c>
      <c r="M379" s="147" t="s">
        <v>9</v>
      </c>
      <c r="N379" s="147"/>
      <c r="O379" s="147" t="s">
        <v>98</v>
      </c>
      <c r="P379" s="147">
        <v>1000</v>
      </c>
      <c r="Q379" s="150">
        <f t="shared" si="47"/>
        <v>0</v>
      </c>
      <c r="R379" s="151"/>
      <c r="S379" s="152">
        <v>1000</v>
      </c>
      <c r="T379" s="158">
        <v>1000</v>
      </c>
      <c r="U379" s="153"/>
      <c r="V379" s="154"/>
      <c r="W379" s="154"/>
      <c r="X379" s="155"/>
      <c r="Y379" s="155" t="s">
        <v>1394</v>
      </c>
      <c r="Z379" s="155" t="s">
        <v>1442</v>
      </c>
      <c r="AA379" s="273">
        <f t="shared" si="48"/>
        <v>1</v>
      </c>
      <c r="AB379" s="273">
        <f t="shared" si="49"/>
        <v>1</v>
      </c>
      <c r="AC379" s="156">
        <f t="shared" si="50"/>
        <v>1000</v>
      </c>
      <c r="AD379" s="274">
        <f t="shared" si="51"/>
        <v>1000</v>
      </c>
      <c r="AE379" s="274">
        <f t="shared" si="45"/>
        <v>1000</v>
      </c>
      <c r="AF379" s="337"/>
    </row>
    <row r="380" spans="1:32">
      <c r="A380" s="337" t="s">
        <v>1523</v>
      </c>
      <c r="B380" s="146" t="s">
        <v>1</v>
      </c>
      <c r="C380" s="155" t="s">
        <v>1512</v>
      </c>
      <c r="D380" s="147"/>
      <c r="E380" s="148" t="s">
        <v>1483</v>
      </c>
      <c r="F380" s="147" t="s">
        <v>106</v>
      </c>
      <c r="G380" s="147" t="s">
        <v>1429</v>
      </c>
      <c r="H380" s="147">
        <v>8</v>
      </c>
      <c r="I380" s="149">
        <f t="shared" si="46"/>
        <v>8</v>
      </c>
      <c r="J380" s="147"/>
      <c r="K380" s="336" t="s">
        <v>55</v>
      </c>
      <c r="L380" s="147">
        <v>100</v>
      </c>
      <c r="M380" s="147" t="s">
        <v>9</v>
      </c>
      <c r="N380" s="147"/>
      <c r="O380" s="147" t="s">
        <v>98</v>
      </c>
      <c r="P380" s="147">
        <v>1000</v>
      </c>
      <c r="Q380" s="150">
        <f t="shared" si="47"/>
        <v>0</v>
      </c>
      <c r="R380" s="151"/>
      <c r="S380" s="152">
        <v>1250</v>
      </c>
      <c r="T380" s="158">
        <v>1250</v>
      </c>
      <c r="U380" s="153"/>
      <c r="V380" s="154"/>
      <c r="W380" s="154"/>
      <c r="X380" s="155"/>
      <c r="Y380" s="155" t="s">
        <v>1394</v>
      </c>
      <c r="Z380" s="155" t="s">
        <v>1442</v>
      </c>
      <c r="AA380" s="273">
        <f t="shared" si="48"/>
        <v>1.25</v>
      </c>
      <c r="AB380" s="273">
        <f t="shared" si="49"/>
        <v>1.25</v>
      </c>
      <c r="AC380" s="156">
        <f t="shared" si="50"/>
        <v>1000</v>
      </c>
      <c r="AD380" s="274">
        <f t="shared" si="51"/>
        <v>1250</v>
      </c>
      <c r="AE380" s="274">
        <f t="shared" si="45"/>
        <v>1250</v>
      </c>
      <c r="AF380" s="337"/>
    </row>
    <row r="381" spans="1:32">
      <c r="A381" s="337" t="s">
        <v>1523</v>
      </c>
      <c r="B381" s="146" t="s">
        <v>1</v>
      </c>
      <c r="C381" s="155" t="s">
        <v>1512</v>
      </c>
      <c r="D381" s="147"/>
      <c r="E381" s="148" t="s">
        <v>1483</v>
      </c>
      <c r="F381" s="147" t="s">
        <v>106</v>
      </c>
      <c r="G381" s="147" t="s">
        <v>1429</v>
      </c>
      <c r="H381" s="147">
        <v>17</v>
      </c>
      <c r="I381" s="149">
        <f t="shared" si="46"/>
        <v>17</v>
      </c>
      <c r="J381" s="147"/>
      <c r="K381" s="336" t="s">
        <v>53</v>
      </c>
      <c r="L381" s="147">
        <v>100</v>
      </c>
      <c r="M381" s="147" t="s">
        <v>9</v>
      </c>
      <c r="N381" s="147"/>
      <c r="O381" s="147" t="s">
        <v>98</v>
      </c>
      <c r="P381" s="147">
        <v>1000</v>
      </c>
      <c r="Q381" s="150">
        <f t="shared" si="47"/>
        <v>0</v>
      </c>
      <c r="R381" s="151"/>
      <c r="S381" s="152">
        <v>2789</v>
      </c>
      <c r="T381" s="158">
        <v>2789</v>
      </c>
      <c r="U381" s="153"/>
      <c r="V381" s="154"/>
      <c r="W381" s="154"/>
      <c r="X381" s="155"/>
      <c r="Y381" s="155" t="s">
        <v>1394</v>
      </c>
      <c r="Z381" s="155" t="s">
        <v>1442</v>
      </c>
      <c r="AA381" s="273">
        <f t="shared" si="48"/>
        <v>2.7890000000000001</v>
      </c>
      <c r="AB381" s="273">
        <f t="shared" si="49"/>
        <v>2.7890000000000001</v>
      </c>
      <c r="AC381" s="156">
        <f t="shared" si="50"/>
        <v>1000</v>
      </c>
      <c r="AD381" s="274">
        <f t="shared" si="51"/>
        <v>2789</v>
      </c>
      <c r="AE381" s="274">
        <f t="shared" si="45"/>
        <v>2789</v>
      </c>
      <c r="AF381" s="337"/>
    </row>
    <row r="382" spans="1:32">
      <c r="A382" s="337" t="s">
        <v>1523</v>
      </c>
      <c r="B382" s="146" t="s">
        <v>1</v>
      </c>
      <c r="C382" s="155" t="s">
        <v>1512</v>
      </c>
      <c r="D382" s="147"/>
      <c r="E382" s="148" t="s">
        <v>1483</v>
      </c>
      <c r="F382" s="147" t="s">
        <v>106</v>
      </c>
      <c r="G382" s="147" t="s">
        <v>1429</v>
      </c>
      <c r="H382" s="147">
        <v>22</v>
      </c>
      <c r="I382" s="149">
        <f t="shared" si="46"/>
        <v>22</v>
      </c>
      <c r="J382" s="147"/>
      <c r="K382" s="336" t="s">
        <v>51</v>
      </c>
      <c r="L382" s="147">
        <v>100</v>
      </c>
      <c r="M382" s="147" t="s">
        <v>9</v>
      </c>
      <c r="N382" s="147"/>
      <c r="O382" s="147" t="s">
        <v>98</v>
      </c>
      <c r="P382" s="147">
        <v>1000</v>
      </c>
      <c r="Q382" s="150">
        <f t="shared" si="47"/>
        <v>0</v>
      </c>
      <c r="R382" s="151"/>
      <c r="S382" s="152">
        <v>4958</v>
      </c>
      <c r="T382" s="158">
        <v>4958</v>
      </c>
      <c r="U382" s="153"/>
      <c r="V382" s="154"/>
      <c r="W382" s="154"/>
      <c r="X382" s="155"/>
      <c r="Y382" s="155" t="s">
        <v>1394</v>
      </c>
      <c r="Z382" s="155" t="s">
        <v>1442</v>
      </c>
      <c r="AA382" s="273">
        <f t="shared" si="48"/>
        <v>4.9580000000000002</v>
      </c>
      <c r="AB382" s="273">
        <f t="shared" si="49"/>
        <v>4.9580000000000002</v>
      </c>
      <c r="AC382" s="156">
        <f t="shared" si="50"/>
        <v>1000</v>
      </c>
      <c r="AD382" s="274">
        <f t="shared" si="51"/>
        <v>4958</v>
      </c>
      <c r="AE382" s="274">
        <f t="shared" si="45"/>
        <v>4958</v>
      </c>
      <c r="AF382" s="337"/>
    </row>
    <row r="383" spans="1:32">
      <c r="A383" s="337" t="s">
        <v>1523</v>
      </c>
      <c r="B383" s="146" t="s">
        <v>1</v>
      </c>
      <c r="C383" s="155" t="s">
        <v>1512</v>
      </c>
      <c r="D383" s="147"/>
      <c r="E383" s="148" t="s">
        <v>1483</v>
      </c>
      <c r="F383" s="147" t="s">
        <v>106</v>
      </c>
      <c r="G383" s="147" t="s">
        <v>1429</v>
      </c>
      <c r="H383" s="147">
        <v>33</v>
      </c>
      <c r="I383" s="149">
        <f t="shared" si="46"/>
        <v>33</v>
      </c>
      <c r="J383" s="147"/>
      <c r="K383" s="336" t="s">
        <v>59</v>
      </c>
      <c r="L383" s="147">
        <v>100</v>
      </c>
      <c r="M383" s="147" t="s">
        <v>9</v>
      </c>
      <c r="N383" s="147"/>
      <c r="O383" s="147" t="s">
        <v>98</v>
      </c>
      <c r="P383" s="147">
        <v>1000</v>
      </c>
      <c r="Q383" s="150">
        <f t="shared" si="47"/>
        <v>0</v>
      </c>
      <c r="R383" s="151"/>
      <c r="S383" s="152">
        <v>4593</v>
      </c>
      <c r="T383" s="158">
        <v>4593</v>
      </c>
      <c r="U383" s="153"/>
      <c r="V383" s="154"/>
      <c r="W383" s="154"/>
      <c r="X383" s="155"/>
      <c r="Y383" s="155" t="s">
        <v>1394</v>
      </c>
      <c r="Z383" s="155" t="s">
        <v>1442</v>
      </c>
      <c r="AA383" s="273">
        <f t="shared" si="48"/>
        <v>4.593</v>
      </c>
      <c r="AB383" s="273">
        <f t="shared" si="49"/>
        <v>4.593</v>
      </c>
      <c r="AC383" s="156">
        <f t="shared" si="50"/>
        <v>1000</v>
      </c>
      <c r="AD383" s="274">
        <f t="shared" si="51"/>
        <v>4593</v>
      </c>
      <c r="AE383" s="274">
        <f t="shared" si="45"/>
        <v>4593</v>
      </c>
      <c r="AF383" s="337"/>
    </row>
    <row r="384" spans="1:32">
      <c r="A384" s="337" t="s">
        <v>1523</v>
      </c>
      <c r="B384" s="146" t="s">
        <v>1</v>
      </c>
      <c r="C384" s="155" t="s">
        <v>1512</v>
      </c>
      <c r="D384" s="147"/>
      <c r="E384" s="148" t="s">
        <v>1483</v>
      </c>
      <c r="F384" s="147" t="s">
        <v>106</v>
      </c>
      <c r="G384" s="147" t="s">
        <v>1429</v>
      </c>
      <c r="H384" s="147">
        <v>42</v>
      </c>
      <c r="I384" s="149">
        <f t="shared" si="46"/>
        <v>42</v>
      </c>
      <c r="J384" s="147"/>
      <c r="K384" s="336" t="s">
        <v>61</v>
      </c>
      <c r="L384" s="147">
        <v>100</v>
      </c>
      <c r="M384" s="147" t="s">
        <v>9</v>
      </c>
      <c r="N384" s="147"/>
      <c r="O384" s="147" t="s">
        <v>98</v>
      </c>
      <c r="P384" s="147">
        <v>1000</v>
      </c>
      <c r="Q384" s="150">
        <f t="shared" si="47"/>
        <v>0</v>
      </c>
      <c r="R384" s="151"/>
      <c r="S384" s="152">
        <v>1789</v>
      </c>
      <c r="T384" s="158">
        <v>1789</v>
      </c>
      <c r="U384" s="153"/>
      <c r="V384" s="154"/>
      <c r="W384" s="154"/>
      <c r="X384" s="155"/>
      <c r="Y384" s="155" t="s">
        <v>1394</v>
      </c>
      <c r="Z384" s="155" t="s">
        <v>1442</v>
      </c>
      <c r="AA384" s="273">
        <f t="shared" si="48"/>
        <v>1.7889999999999999</v>
      </c>
      <c r="AB384" s="273">
        <f t="shared" si="49"/>
        <v>1.7889999999999999</v>
      </c>
      <c r="AC384" s="156">
        <f t="shared" si="50"/>
        <v>1000</v>
      </c>
      <c r="AD384" s="274">
        <f t="shared" si="51"/>
        <v>1789</v>
      </c>
      <c r="AE384" s="274">
        <f t="shared" si="45"/>
        <v>1789</v>
      </c>
      <c r="AF384" s="337"/>
    </row>
    <row r="385" spans="1:32">
      <c r="A385" s="337" t="s">
        <v>1523</v>
      </c>
      <c r="B385" s="146" t="s">
        <v>1</v>
      </c>
      <c r="C385" s="155" t="s">
        <v>1512</v>
      </c>
      <c r="D385" s="147"/>
      <c r="E385" s="148" t="s">
        <v>1483</v>
      </c>
      <c r="F385" s="147" t="s">
        <v>106</v>
      </c>
      <c r="G385" s="147" t="s">
        <v>1429</v>
      </c>
      <c r="H385" s="147">
        <v>43</v>
      </c>
      <c r="I385" s="149">
        <f t="shared" si="46"/>
        <v>43</v>
      </c>
      <c r="J385" s="147"/>
      <c r="K385" s="336" t="s">
        <v>1505</v>
      </c>
      <c r="L385" s="147">
        <v>100</v>
      </c>
      <c r="M385" s="147" t="s">
        <v>9</v>
      </c>
      <c r="N385" s="147"/>
      <c r="O385" s="147" t="s">
        <v>98</v>
      </c>
      <c r="P385" s="147">
        <v>1000</v>
      </c>
      <c r="Q385" s="150">
        <f t="shared" si="47"/>
        <v>0</v>
      </c>
      <c r="R385" s="151"/>
      <c r="S385" s="152">
        <v>1575</v>
      </c>
      <c r="T385" s="158">
        <v>1575</v>
      </c>
      <c r="U385" s="153"/>
      <c r="V385" s="154"/>
      <c r="W385" s="154"/>
      <c r="X385" s="155"/>
      <c r="Y385" s="155" t="s">
        <v>1394</v>
      </c>
      <c r="Z385" s="155" t="s">
        <v>1442</v>
      </c>
      <c r="AA385" s="273">
        <f t="shared" si="48"/>
        <v>1.575</v>
      </c>
      <c r="AB385" s="273">
        <f t="shared" si="49"/>
        <v>1.575</v>
      </c>
      <c r="AC385" s="156">
        <f t="shared" si="50"/>
        <v>1000</v>
      </c>
      <c r="AD385" s="274">
        <f t="shared" si="51"/>
        <v>1575</v>
      </c>
      <c r="AE385" s="274">
        <f t="shared" si="45"/>
        <v>1575</v>
      </c>
      <c r="AF385" s="337"/>
    </row>
    <row r="386" spans="1:32">
      <c r="A386" s="337" t="s">
        <v>1523</v>
      </c>
      <c r="B386" s="146" t="s">
        <v>1</v>
      </c>
      <c r="C386" s="155" t="s">
        <v>1512</v>
      </c>
      <c r="D386" s="147"/>
      <c r="E386" s="148" t="s">
        <v>1483</v>
      </c>
      <c r="F386" s="147" t="s">
        <v>106</v>
      </c>
      <c r="G386" s="147" t="s">
        <v>1429</v>
      </c>
      <c r="H386" s="147">
        <v>46</v>
      </c>
      <c r="I386" s="149">
        <f t="shared" si="46"/>
        <v>46</v>
      </c>
      <c r="J386" s="147"/>
      <c r="K386" s="336" t="s">
        <v>1506</v>
      </c>
      <c r="L386" s="147">
        <v>100</v>
      </c>
      <c r="M386" s="147" t="s">
        <v>9</v>
      </c>
      <c r="N386" s="147"/>
      <c r="O386" s="147" t="s">
        <v>98</v>
      </c>
      <c r="P386" s="147">
        <v>1000</v>
      </c>
      <c r="Q386" s="150">
        <f t="shared" si="47"/>
        <v>0</v>
      </c>
      <c r="R386" s="151"/>
      <c r="S386" s="152">
        <v>3833</v>
      </c>
      <c r="T386" s="158">
        <v>3833</v>
      </c>
      <c r="U386" s="153"/>
      <c r="V386" s="154"/>
      <c r="W386" s="154"/>
      <c r="X386" s="155"/>
      <c r="Y386" s="155" t="s">
        <v>1394</v>
      </c>
      <c r="Z386" s="155" t="s">
        <v>1442</v>
      </c>
      <c r="AA386" s="273">
        <f t="shared" si="48"/>
        <v>3.8330000000000002</v>
      </c>
      <c r="AB386" s="273">
        <f t="shared" si="49"/>
        <v>3.8330000000000002</v>
      </c>
      <c r="AC386" s="156">
        <f t="shared" si="50"/>
        <v>1000</v>
      </c>
      <c r="AD386" s="274">
        <f t="shared" si="51"/>
        <v>3833</v>
      </c>
      <c r="AE386" s="274">
        <f t="shared" si="45"/>
        <v>3833</v>
      </c>
      <c r="AF386" s="337"/>
    </row>
    <row r="387" spans="1:32">
      <c r="A387" s="337" t="s">
        <v>1523</v>
      </c>
      <c r="B387" s="146" t="s">
        <v>1</v>
      </c>
      <c r="C387" s="155" t="s">
        <v>1512</v>
      </c>
      <c r="D387" s="147"/>
      <c r="E387" s="148" t="s">
        <v>1483</v>
      </c>
      <c r="F387" s="147" t="s">
        <v>106</v>
      </c>
      <c r="G387" s="147" t="s">
        <v>1429</v>
      </c>
      <c r="H387" s="147">
        <v>46</v>
      </c>
      <c r="I387" s="149">
        <f t="shared" si="46"/>
        <v>46</v>
      </c>
      <c r="J387" s="147"/>
      <c r="K387" s="336" t="s">
        <v>1507</v>
      </c>
      <c r="L387" s="147">
        <v>100</v>
      </c>
      <c r="M387" s="147" t="s">
        <v>9</v>
      </c>
      <c r="N387" s="147"/>
      <c r="O387" s="147" t="s">
        <v>98</v>
      </c>
      <c r="P387" s="147">
        <v>1000</v>
      </c>
      <c r="Q387" s="150">
        <f t="shared" si="47"/>
        <v>0</v>
      </c>
      <c r="R387" s="151"/>
      <c r="S387" s="152">
        <v>3699</v>
      </c>
      <c r="T387" s="158">
        <v>3699</v>
      </c>
      <c r="U387" s="153"/>
      <c r="V387" s="154"/>
      <c r="W387" s="154"/>
      <c r="X387" s="155"/>
      <c r="Y387" s="155" t="s">
        <v>1394</v>
      </c>
      <c r="Z387" s="155" t="s">
        <v>1442</v>
      </c>
      <c r="AA387" s="273">
        <f t="shared" si="48"/>
        <v>3.6989999999999998</v>
      </c>
      <c r="AB387" s="273">
        <f t="shared" si="49"/>
        <v>3.6989999999999998</v>
      </c>
      <c r="AC387" s="156">
        <f t="shared" si="50"/>
        <v>1000</v>
      </c>
      <c r="AD387" s="274">
        <f t="shared" si="51"/>
        <v>3699</v>
      </c>
      <c r="AE387" s="274">
        <f t="shared" ref="AE387:AE450" si="52">AB387*AC387</f>
        <v>3699</v>
      </c>
      <c r="AF387" s="337"/>
    </row>
    <row r="388" spans="1:32">
      <c r="A388" s="337" t="s">
        <v>1523</v>
      </c>
      <c r="B388" s="146" t="s">
        <v>1</v>
      </c>
      <c r="C388" s="155" t="s">
        <v>1512</v>
      </c>
      <c r="D388" s="147"/>
      <c r="E388" s="148" t="s">
        <v>1483</v>
      </c>
      <c r="F388" s="147" t="s">
        <v>106</v>
      </c>
      <c r="G388" s="147" t="s">
        <v>1429</v>
      </c>
      <c r="H388" s="147">
        <v>46</v>
      </c>
      <c r="I388" s="149">
        <f t="shared" si="46"/>
        <v>46</v>
      </c>
      <c r="J388" s="147"/>
      <c r="K388" s="336" t="s">
        <v>1508</v>
      </c>
      <c r="L388" s="147">
        <v>100</v>
      </c>
      <c r="M388" s="147" t="s">
        <v>9</v>
      </c>
      <c r="N388" s="147"/>
      <c r="O388" s="147" t="s">
        <v>98</v>
      </c>
      <c r="P388" s="147">
        <v>1000</v>
      </c>
      <c r="Q388" s="150">
        <f t="shared" si="47"/>
        <v>0</v>
      </c>
      <c r="R388" s="151"/>
      <c r="S388" s="152">
        <v>4211</v>
      </c>
      <c r="T388" s="158">
        <v>4211</v>
      </c>
      <c r="U388" s="153"/>
      <c r="V388" s="154"/>
      <c r="W388" s="154"/>
      <c r="X388" s="155"/>
      <c r="Y388" s="155" t="s">
        <v>1394</v>
      </c>
      <c r="Z388" s="155" t="s">
        <v>1442</v>
      </c>
      <c r="AA388" s="273">
        <f t="shared" si="48"/>
        <v>4.2110000000000003</v>
      </c>
      <c r="AB388" s="273">
        <f t="shared" si="49"/>
        <v>4.2110000000000003</v>
      </c>
      <c r="AC388" s="156">
        <f t="shared" si="50"/>
        <v>1000</v>
      </c>
      <c r="AD388" s="274">
        <f t="shared" si="51"/>
        <v>4211</v>
      </c>
      <c r="AE388" s="274">
        <f t="shared" si="52"/>
        <v>4211</v>
      </c>
      <c r="AF388" s="337"/>
    </row>
    <row r="389" spans="1:32">
      <c r="A389" s="337" t="s">
        <v>1523</v>
      </c>
      <c r="B389" s="146" t="s">
        <v>1</v>
      </c>
      <c r="C389" s="155" t="s">
        <v>1512</v>
      </c>
      <c r="D389" s="147"/>
      <c r="E389" s="148" t="s">
        <v>1483</v>
      </c>
      <c r="F389" s="147" t="s">
        <v>106</v>
      </c>
      <c r="G389" s="147" t="s">
        <v>1429</v>
      </c>
      <c r="H389" s="147">
        <v>58</v>
      </c>
      <c r="I389" s="149">
        <f t="shared" si="46"/>
        <v>58</v>
      </c>
      <c r="J389" s="147"/>
      <c r="K389" s="336" t="s">
        <v>67</v>
      </c>
      <c r="L389" s="147">
        <v>100</v>
      </c>
      <c r="M389" s="147" t="s">
        <v>9</v>
      </c>
      <c r="N389" s="147"/>
      <c r="O389" s="147" t="s">
        <v>98</v>
      </c>
      <c r="P389" s="147">
        <v>1000</v>
      </c>
      <c r="Q389" s="150">
        <f t="shared" si="47"/>
        <v>0</v>
      </c>
      <c r="R389" s="151"/>
      <c r="S389" s="152">
        <v>1292</v>
      </c>
      <c r="T389" s="158">
        <v>1292</v>
      </c>
      <c r="U389" s="153"/>
      <c r="V389" s="154"/>
      <c r="W389" s="154"/>
      <c r="X389" s="155"/>
      <c r="Y389" s="155" t="s">
        <v>1394</v>
      </c>
      <c r="Z389" s="155" t="s">
        <v>1442</v>
      </c>
      <c r="AA389" s="273">
        <f t="shared" si="48"/>
        <v>1.292</v>
      </c>
      <c r="AB389" s="273">
        <f t="shared" si="49"/>
        <v>1.292</v>
      </c>
      <c r="AC389" s="156">
        <f t="shared" si="50"/>
        <v>1000</v>
      </c>
      <c r="AD389" s="274">
        <f t="shared" si="51"/>
        <v>1292</v>
      </c>
      <c r="AE389" s="274">
        <f t="shared" si="52"/>
        <v>1292</v>
      </c>
      <c r="AF389" s="337"/>
    </row>
    <row r="390" spans="1:32">
      <c r="A390" s="337" t="s">
        <v>1523</v>
      </c>
      <c r="B390" s="146" t="s">
        <v>1</v>
      </c>
      <c r="C390" s="155" t="s">
        <v>1512</v>
      </c>
      <c r="D390" s="147"/>
      <c r="E390" s="148" t="s">
        <v>1483</v>
      </c>
      <c r="F390" s="147" t="s">
        <v>106</v>
      </c>
      <c r="G390" s="147" t="s">
        <v>1429</v>
      </c>
      <c r="H390" s="147">
        <v>59</v>
      </c>
      <c r="I390" s="149">
        <f t="shared" si="46"/>
        <v>59</v>
      </c>
      <c r="J390" s="147"/>
      <c r="K390" s="336" t="s">
        <v>99</v>
      </c>
      <c r="L390" s="147">
        <v>100</v>
      </c>
      <c r="M390" s="147" t="s">
        <v>9</v>
      </c>
      <c r="N390" s="147"/>
      <c r="O390" s="147" t="s">
        <v>98</v>
      </c>
      <c r="P390" s="147">
        <v>1000</v>
      </c>
      <c r="Q390" s="150">
        <f t="shared" si="47"/>
        <v>0</v>
      </c>
      <c r="R390" s="151"/>
      <c r="S390" s="152">
        <v>3708</v>
      </c>
      <c r="T390" s="158">
        <v>3708</v>
      </c>
      <c r="U390" s="153"/>
      <c r="V390" s="154"/>
      <c r="W390" s="154"/>
      <c r="X390" s="155"/>
      <c r="Y390" s="155" t="s">
        <v>1394</v>
      </c>
      <c r="Z390" s="155" t="s">
        <v>1442</v>
      </c>
      <c r="AA390" s="273">
        <f t="shared" si="48"/>
        <v>3.7080000000000002</v>
      </c>
      <c r="AB390" s="273">
        <f t="shared" si="49"/>
        <v>3.7080000000000002</v>
      </c>
      <c r="AC390" s="156">
        <f t="shared" si="50"/>
        <v>1000</v>
      </c>
      <c r="AD390" s="274">
        <f t="shared" si="51"/>
        <v>3708</v>
      </c>
      <c r="AE390" s="274">
        <f t="shared" si="52"/>
        <v>3708</v>
      </c>
      <c r="AF390" s="337"/>
    </row>
    <row r="391" spans="1:32">
      <c r="A391" s="337" t="s">
        <v>1523</v>
      </c>
      <c r="B391" s="146" t="s">
        <v>1</v>
      </c>
      <c r="C391" s="155" t="s">
        <v>1512</v>
      </c>
      <c r="D391" s="147"/>
      <c r="E391" s="148" t="s">
        <v>1483</v>
      </c>
      <c r="F391" s="147" t="s">
        <v>106</v>
      </c>
      <c r="G391" s="147" t="s">
        <v>1429</v>
      </c>
      <c r="H391" s="147">
        <v>69</v>
      </c>
      <c r="I391" s="149">
        <f t="shared" si="46"/>
        <v>69</v>
      </c>
      <c r="J391" s="147"/>
      <c r="K391" s="336" t="s">
        <v>1509</v>
      </c>
      <c r="L391" s="147">
        <v>100</v>
      </c>
      <c r="M391" s="147" t="s">
        <v>9</v>
      </c>
      <c r="N391" s="147"/>
      <c r="O391" s="147" t="s">
        <v>98</v>
      </c>
      <c r="P391" s="147">
        <v>1000</v>
      </c>
      <c r="Q391" s="150">
        <f t="shared" si="47"/>
        <v>0</v>
      </c>
      <c r="R391" s="151"/>
      <c r="S391" s="152">
        <v>3329</v>
      </c>
      <c r="T391" s="158">
        <v>3329</v>
      </c>
      <c r="U391" s="153"/>
      <c r="V391" s="154"/>
      <c r="W391" s="154"/>
      <c r="X391" s="155"/>
      <c r="Y391" s="155" t="s">
        <v>1394</v>
      </c>
      <c r="Z391" s="155" t="s">
        <v>1442</v>
      </c>
      <c r="AA391" s="273">
        <f t="shared" si="48"/>
        <v>3.3290000000000002</v>
      </c>
      <c r="AB391" s="273">
        <f t="shared" si="49"/>
        <v>3.3290000000000002</v>
      </c>
      <c r="AC391" s="156">
        <f t="shared" si="50"/>
        <v>1000</v>
      </c>
      <c r="AD391" s="274">
        <f t="shared" si="51"/>
        <v>3329</v>
      </c>
      <c r="AE391" s="274">
        <f t="shared" si="52"/>
        <v>3329</v>
      </c>
      <c r="AF391" s="337"/>
    </row>
    <row r="392" spans="1:32">
      <c r="A392" s="337" t="s">
        <v>1523</v>
      </c>
      <c r="B392" s="146" t="s">
        <v>1</v>
      </c>
      <c r="C392" s="155" t="s">
        <v>1512</v>
      </c>
      <c r="D392" s="147"/>
      <c r="E392" s="148" t="s">
        <v>1483</v>
      </c>
      <c r="F392" s="147" t="s">
        <v>106</v>
      </c>
      <c r="G392" s="147" t="s">
        <v>1429</v>
      </c>
      <c r="H392" s="147">
        <v>70</v>
      </c>
      <c r="I392" s="149">
        <f t="shared" si="46"/>
        <v>70</v>
      </c>
      <c r="J392" s="147"/>
      <c r="K392" s="336" t="s">
        <v>1510</v>
      </c>
      <c r="L392" s="147">
        <v>100</v>
      </c>
      <c r="M392" s="147" t="s">
        <v>9</v>
      </c>
      <c r="N392" s="147"/>
      <c r="O392" s="147" t="s">
        <v>98</v>
      </c>
      <c r="P392" s="147">
        <v>1000</v>
      </c>
      <c r="Q392" s="150">
        <f t="shared" si="47"/>
        <v>0</v>
      </c>
      <c r="R392" s="151"/>
      <c r="S392" s="152">
        <v>4198</v>
      </c>
      <c r="T392" s="158">
        <v>4198</v>
      </c>
      <c r="U392" s="153"/>
      <c r="V392" s="154"/>
      <c r="W392" s="154"/>
      <c r="X392" s="155"/>
      <c r="Y392" s="155" t="s">
        <v>1394</v>
      </c>
      <c r="Z392" s="155" t="s">
        <v>1442</v>
      </c>
      <c r="AA392" s="273">
        <f t="shared" si="48"/>
        <v>4.1980000000000004</v>
      </c>
      <c r="AB392" s="273">
        <f t="shared" si="49"/>
        <v>4.1980000000000004</v>
      </c>
      <c r="AC392" s="156">
        <f t="shared" si="50"/>
        <v>1000</v>
      </c>
      <c r="AD392" s="274">
        <f t="shared" si="51"/>
        <v>4198</v>
      </c>
      <c r="AE392" s="274">
        <f t="shared" si="52"/>
        <v>4198</v>
      </c>
      <c r="AF392" s="337"/>
    </row>
    <row r="393" spans="1:32">
      <c r="A393" s="337" t="s">
        <v>1523</v>
      </c>
      <c r="B393" s="146" t="s">
        <v>1</v>
      </c>
      <c r="C393" s="155" t="s">
        <v>1512</v>
      </c>
      <c r="D393" s="147"/>
      <c r="E393" s="148" t="s">
        <v>1483</v>
      </c>
      <c r="F393" s="147" t="s">
        <v>106</v>
      </c>
      <c r="G393" s="147" t="s">
        <v>1429</v>
      </c>
      <c r="H393" s="147">
        <v>70</v>
      </c>
      <c r="I393" s="149">
        <f t="shared" si="46"/>
        <v>70</v>
      </c>
      <c r="J393" s="147"/>
      <c r="K393" s="336" t="s">
        <v>1511</v>
      </c>
      <c r="L393" s="147">
        <v>100</v>
      </c>
      <c r="M393" s="147" t="s">
        <v>9</v>
      </c>
      <c r="N393" s="147"/>
      <c r="O393" s="147" t="s">
        <v>98</v>
      </c>
      <c r="P393" s="147">
        <v>1000</v>
      </c>
      <c r="Q393" s="150">
        <f t="shared" si="47"/>
        <v>0</v>
      </c>
      <c r="R393" s="151"/>
      <c r="S393" s="152">
        <v>4198</v>
      </c>
      <c r="T393" s="158">
        <v>4198</v>
      </c>
      <c r="U393" s="153"/>
      <c r="V393" s="154"/>
      <c r="W393" s="154"/>
      <c r="X393" s="155"/>
      <c r="Y393" s="155" t="s">
        <v>1394</v>
      </c>
      <c r="Z393" s="155" t="s">
        <v>1442</v>
      </c>
      <c r="AA393" s="273">
        <f t="shared" si="48"/>
        <v>4.1980000000000004</v>
      </c>
      <c r="AB393" s="273">
        <f t="shared" si="49"/>
        <v>4.1980000000000004</v>
      </c>
      <c r="AC393" s="156">
        <f t="shared" si="50"/>
        <v>1000</v>
      </c>
      <c r="AD393" s="274">
        <f t="shared" si="51"/>
        <v>4198</v>
      </c>
      <c r="AE393" s="274">
        <f t="shared" si="52"/>
        <v>4198</v>
      </c>
      <c r="AF393" s="337"/>
    </row>
    <row r="394" spans="1:32">
      <c r="A394" s="337" t="s">
        <v>1523</v>
      </c>
      <c r="B394" s="146" t="s">
        <v>1</v>
      </c>
      <c r="C394" s="155" t="s">
        <v>1512</v>
      </c>
      <c r="D394" s="147"/>
      <c r="E394" s="148" t="s">
        <v>1484</v>
      </c>
      <c r="F394" s="147" t="s">
        <v>106</v>
      </c>
      <c r="G394" s="147" t="s">
        <v>1429</v>
      </c>
      <c r="H394" s="147">
        <v>7</v>
      </c>
      <c r="I394" s="149">
        <f t="shared" si="46"/>
        <v>7</v>
      </c>
      <c r="J394" s="147"/>
      <c r="K394" s="336" t="s">
        <v>57</v>
      </c>
      <c r="L394" s="147">
        <v>100</v>
      </c>
      <c r="M394" s="147" t="s">
        <v>9</v>
      </c>
      <c r="N394" s="147"/>
      <c r="O394" s="147" t="s">
        <v>98</v>
      </c>
      <c r="P394" s="147">
        <v>1000</v>
      </c>
      <c r="Q394" s="150">
        <f t="shared" si="47"/>
        <v>0</v>
      </c>
      <c r="R394" s="151"/>
      <c r="S394" s="152">
        <v>1008</v>
      </c>
      <c r="T394" s="158">
        <v>1008</v>
      </c>
      <c r="U394" s="153"/>
      <c r="V394" s="154"/>
      <c r="W394" s="154"/>
      <c r="X394" s="155"/>
      <c r="Y394" s="155" t="s">
        <v>1394</v>
      </c>
      <c r="Z394" s="155" t="s">
        <v>1442</v>
      </c>
      <c r="AA394" s="273">
        <f t="shared" si="48"/>
        <v>1.008</v>
      </c>
      <c r="AB394" s="273">
        <f t="shared" si="49"/>
        <v>1.008</v>
      </c>
      <c r="AC394" s="156">
        <f t="shared" si="50"/>
        <v>1000</v>
      </c>
      <c r="AD394" s="274">
        <f t="shared" si="51"/>
        <v>1008</v>
      </c>
      <c r="AE394" s="274">
        <f t="shared" si="52"/>
        <v>1008</v>
      </c>
      <c r="AF394" s="337"/>
    </row>
    <row r="395" spans="1:32">
      <c r="A395" s="337" t="s">
        <v>1523</v>
      </c>
      <c r="B395" s="146" t="s">
        <v>1</v>
      </c>
      <c r="C395" s="155" t="s">
        <v>1512</v>
      </c>
      <c r="D395" s="147"/>
      <c r="E395" s="148" t="s">
        <v>1484</v>
      </c>
      <c r="F395" s="147" t="s">
        <v>106</v>
      </c>
      <c r="G395" s="147" t="s">
        <v>1429</v>
      </c>
      <c r="H395" s="147">
        <v>8</v>
      </c>
      <c r="I395" s="149">
        <f t="shared" si="46"/>
        <v>8</v>
      </c>
      <c r="J395" s="147"/>
      <c r="K395" s="336" t="s">
        <v>55</v>
      </c>
      <c r="L395" s="147">
        <v>100</v>
      </c>
      <c r="M395" s="147" t="s">
        <v>9</v>
      </c>
      <c r="N395" s="147"/>
      <c r="O395" s="147" t="s">
        <v>98</v>
      </c>
      <c r="P395" s="147">
        <v>1000</v>
      </c>
      <c r="Q395" s="150">
        <f t="shared" si="47"/>
        <v>0</v>
      </c>
      <c r="R395" s="151"/>
      <c r="S395" s="152">
        <v>1260</v>
      </c>
      <c r="T395" s="158">
        <v>1260</v>
      </c>
      <c r="U395" s="153"/>
      <c r="V395" s="154"/>
      <c r="W395" s="154"/>
      <c r="X395" s="155"/>
      <c r="Y395" s="155" t="s">
        <v>1394</v>
      </c>
      <c r="Z395" s="155" t="s">
        <v>1442</v>
      </c>
      <c r="AA395" s="273">
        <f t="shared" si="48"/>
        <v>1.26</v>
      </c>
      <c r="AB395" s="273">
        <f t="shared" si="49"/>
        <v>1.26</v>
      </c>
      <c r="AC395" s="156">
        <f t="shared" si="50"/>
        <v>1000</v>
      </c>
      <c r="AD395" s="274">
        <f t="shared" si="51"/>
        <v>1260</v>
      </c>
      <c r="AE395" s="274">
        <f t="shared" si="52"/>
        <v>1260</v>
      </c>
      <c r="AF395" s="337"/>
    </row>
    <row r="396" spans="1:32">
      <c r="A396" s="337" t="s">
        <v>1523</v>
      </c>
      <c r="B396" s="146" t="s">
        <v>1</v>
      </c>
      <c r="C396" s="155" t="s">
        <v>1512</v>
      </c>
      <c r="D396" s="147"/>
      <c r="E396" s="148" t="s">
        <v>1484</v>
      </c>
      <c r="F396" s="147" t="s">
        <v>106</v>
      </c>
      <c r="G396" s="147" t="s">
        <v>1429</v>
      </c>
      <c r="H396" s="147">
        <v>17</v>
      </c>
      <c r="I396" s="149">
        <f t="shared" si="46"/>
        <v>17</v>
      </c>
      <c r="J396" s="147"/>
      <c r="K396" s="336" t="s">
        <v>53</v>
      </c>
      <c r="L396" s="147">
        <v>100</v>
      </c>
      <c r="M396" s="147" t="s">
        <v>9</v>
      </c>
      <c r="N396" s="147"/>
      <c r="O396" s="147" t="s">
        <v>98</v>
      </c>
      <c r="P396" s="147">
        <v>1000</v>
      </c>
      <c r="Q396" s="150">
        <f t="shared" si="47"/>
        <v>0</v>
      </c>
      <c r="R396" s="151"/>
      <c r="S396" s="152">
        <v>2831</v>
      </c>
      <c r="T396" s="158">
        <v>2831</v>
      </c>
      <c r="U396" s="153"/>
      <c r="V396" s="154"/>
      <c r="W396" s="154"/>
      <c r="X396" s="155"/>
      <c r="Y396" s="155" t="s">
        <v>1394</v>
      </c>
      <c r="Z396" s="155" t="s">
        <v>1442</v>
      </c>
      <c r="AA396" s="273">
        <f t="shared" si="48"/>
        <v>2.831</v>
      </c>
      <c r="AB396" s="273">
        <f t="shared" si="49"/>
        <v>2.831</v>
      </c>
      <c r="AC396" s="156">
        <f t="shared" si="50"/>
        <v>1000</v>
      </c>
      <c r="AD396" s="274">
        <f t="shared" si="51"/>
        <v>2831</v>
      </c>
      <c r="AE396" s="274">
        <f t="shared" si="52"/>
        <v>2831</v>
      </c>
      <c r="AF396" s="337"/>
    </row>
    <row r="397" spans="1:32">
      <c r="A397" s="337" t="s">
        <v>1523</v>
      </c>
      <c r="B397" s="146" t="s">
        <v>1</v>
      </c>
      <c r="C397" s="155" t="s">
        <v>1512</v>
      </c>
      <c r="D397" s="147"/>
      <c r="E397" s="148" t="s">
        <v>1484</v>
      </c>
      <c r="F397" s="147" t="s">
        <v>106</v>
      </c>
      <c r="G397" s="147" t="s">
        <v>1429</v>
      </c>
      <c r="H397" s="147">
        <v>22</v>
      </c>
      <c r="I397" s="149">
        <f t="shared" si="46"/>
        <v>22</v>
      </c>
      <c r="J397" s="147"/>
      <c r="K397" s="336" t="s">
        <v>51</v>
      </c>
      <c r="L397" s="147">
        <v>100</v>
      </c>
      <c r="M397" s="147" t="s">
        <v>9</v>
      </c>
      <c r="N397" s="147"/>
      <c r="O397" s="147" t="s">
        <v>98</v>
      </c>
      <c r="P397" s="147">
        <v>1000</v>
      </c>
      <c r="Q397" s="150">
        <f t="shared" si="47"/>
        <v>0</v>
      </c>
      <c r="R397" s="151"/>
      <c r="S397" s="152">
        <v>4969</v>
      </c>
      <c r="T397" s="158">
        <v>4969</v>
      </c>
      <c r="U397" s="153"/>
      <c r="V397" s="154"/>
      <c r="W397" s="154"/>
      <c r="X397" s="155"/>
      <c r="Y397" s="155" t="s">
        <v>1394</v>
      </c>
      <c r="Z397" s="155" t="s">
        <v>1442</v>
      </c>
      <c r="AA397" s="273">
        <f t="shared" si="48"/>
        <v>4.9690000000000003</v>
      </c>
      <c r="AB397" s="273">
        <f t="shared" si="49"/>
        <v>4.9690000000000003</v>
      </c>
      <c r="AC397" s="156">
        <f t="shared" si="50"/>
        <v>1000</v>
      </c>
      <c r="AD397" s="274">
        <f t="shared" si="51"/>
        <v>4969</v>
      </c>
      <c r="AE397" s="274">
        <f t="shared" si="52"/>
        <v>4969</v>
      </c>
      <c r="AF397" s="337"/>
    </row>
    <row r="398" spans="1:32">
      <c r="A398" s="337" t="s">
        <v>1523</v>
      </c>
      <c r="B398" s="146" t="s">
        <v>1</v>
      </c>
      <c r="C398" s="155" t="s">
        <v>1512</v>
      </c>
      <c r="D398" s="147"/>
      <c r="E398" s="148" t="s">
        <v>1484</v>
      </c>
      <c r="F398" s="147" t="s">
        <v>106</v>
      </c>
      <c r="G398" s="147" t="s">
        <v>1429</v>
      </c>
      <c r="H398" s="147">
        <v>33</v>
      </c>
      <c r="I398" s="149">
        <f t="shared" si="46"/>
        <v>33</v>
      </c>
      <c r="J398" s="147"/>
      <c r="K398" s="336" t="s">
        <v>59</v>
      </c>
      <c r="L398" s="147">
        <v>100</v>
      </c>
      <c r="M398" s="147" t="s">
        <v>9</v>
      </c>
      <c r="N398" s="147"/>
      <c r="O398" s="147" t="s">
        <v>98</v>
      </c>
      <c r="P398" s="147">
        <v>1000</v>
      </c>
      <c r="Q398" s="150">
        <f t="shared" si="47"/>
        <v>0</v>
      </c>
      <c r="R398" s="151"/>
      <c r="S398" s="152">
        <v>5326</v>
      </c>
      <c r="T398" s="158">
        <v>5326</v>
      </c>
      <c r="U398" s="153"/>
      <c r="V398" s="154"/>
      <c r="W398" s="154"/>
      <c r="X398" s="155"/>
      <c r="Y398" s="155" t="s">
        <v>1394</v>
      </c>
      <c r="Z398" s="155" t="s">
        <v>1442</v>
      </c>
      <c r="AA398" s="273">
        <f t="shared" si="48"/>
        <v>5.3259999999999996</v>
      </c>
      <c r="AB398" s="273">
        <f t="shared" si="49"/>
        <v>5.3259999999999996</v>
      </c>
      <c r="AC398" s="156">
        <f t="shared" si="50"/>
        <v>1000</v>
      </c>
      <c r="AD398" s="274">
        <f t="shared" si="51"/>
        <v>5326</v>
      </c>
      <c r="AE398" s="274">
        <f t="shared" si="52"/>
        <v>5326</v>
      </c>
      <c r="AF398" s="337"/>
    </row>
    <row r="399" spans="1:32">
      <c r="A399" s="337" t="s">
        <v>1523</v>
      </c>
      <c r="B399" s="146" t="s">
        <v>1</v>
      </c>
      <c r="C399" s="155" t="s">
        <v>1512</v>
      </c>
      <c r="D399" s="147"/>
      <c r="E399" s="148" t="s">
        <v>1484</v>
      </c>
      <c r="F399" s="147" t="s">
        <v>106</v>
      </c>
      <c r="G399" s="147" t="s">
        <v>1429</v>
      </c>
      <c r="H399" s="147">
        <v>42</v>
      </c>
      <c r="I399" s="149">
        <f t="shared" si="46"/>
        <v>42</v>
      </c>
      <c r="J399" s="147"/>
      <c r="K399" s="336" t="s">
        <v>61</v>
      </c>
      <c r="L399" s="147">
        <v>100</v>
      </c>
      <c r="M399" s="147" t="s">
        <v>9</v>
      </c>
      <c r="N399" s="147"/>
      <c r="O399" s="147" t="s">
        <v>98</v>
      </c>
      <c r="P399" s="147">
        <v>1000</v>
      </c>
      <c r="Q399" s="150">
        <f t="shared" si="47"/>
        <v>0</v>
      </c>
      <c r="R399" s="151"/>
      <c r="S399" s="152">
        <v>1971</v>
      </c>
      <c r="T399" s="158">
        <v>1971</v>
      </c>
      <c r="U399" s="153"/>
      <c r="V399" s="154"/>
      <c r="W399" s="154"/>
      <c r="X399" s="155"/>
      <c r="Y399" s="155" t="s">
        <v>1394</v>
      </c>
      <c r="Z399" s="155" t="s">
        <v>1442</v>
      </c>
      <c r="AA399" s="273">
        <f t="shared" si="48"/>
        <v>1.9710000000000001</v>
      </c>
      <c r="AB399" s="273">
        <f t="shared" si="49"/>
        <v>1.9710000000000001</v>
      </c>
      <c r="AC399" s="156">
        <f t="shared" si="50"/>
        <v>1000</v>
      </c>
      <c r="AD399" s="274">
        <f t="shared" si="51"/>
        <v>1971</v>
      </c>
      <c r="AE399" s="274">
        <f t="shared" si="52"/>
        <v>1971</v>
      </c>
      <c r="AF399" s="337"/>
    </row>
    <row r="400" spans="1:32">
      <c r="A400" s="337" t="s">
        <v>1523</v>
      </c>
      <c r="B400" s="146" t="s">
        <v>1</v>
      </c>
      <c r="C400" s="155" t="s">
        <v>1512</v>
      </c>
      <c r="D400" s="147"/>
      <c r="E400" s="148" t="s">
        <v>1484</v>
      </c>
      <c r="F400" s="147" t="s">
        <v>106</v>
      </c>
      <c r="G400" s="147" t="s">
        <v>1429</v>
      </c>
      <c r="H400" s="147">
        <v>43</v>
      </c>
      <c r="I400" s="149">
        <f t="shared" si="46"/>
        <v>43</v>
      </c>
      <c r="J400" s="147"/>
      <c r="K400" s="336" t="s">
        <v>1505</v>
      </c>
      <c r="L400" s="147">
        <v>100</v>
      </c>
      <c r="M400" s="147" t="s">
        <v>9</v>
      </c>
      <c r="N400" s="147"/>
      <c r="O400" s="147" t="s">
        <v>98</v>
      </c>
      <c r="P400" s="147">
        <v>1000</v>
      </c>
      <c r="Q400" s="150">
        <f t="shared" si="47"/>
        <v>0</v>
      </c>
      <c r="R400" s="151"/>
      <c r="S400" s="152">
        <v>1594</v>
      </c>
      <c r="T400" s="158">
        <v>1594</v>
      </c>
      <c r="U400" s="153"/>
      <c r="V400" s="154"/>
      <c r="W400" s="154"/>
      <c r="X400" s="155"/>
      <c r="Y400" s="155" t="s">
        <v>1394</v>
      </c>
      <c r="Z400" s="155" t="s">
        <v>1442</v>
      </c>
      <c r="AA400" s="273">
        <f t="shared" si="48"/>
        <v>1.5940000000000001</v>
      </c>
      <c r="AB400" s="273">
        <f t="shared" si="49"/>
        <v>1.5940000000000001</v>
      </c>
      <c r="AC400" s="156">
        <f t="shared" si="50"/>
        <v>1000</v>
      </c>
      <c r="AD400" s="274">
        <f t="shared" si="51"/>
        <v>1594</v>
      </c>
      <c r="AE400" s="274">
        <f t="shared" si="52"/>
        <v>1594</v>
      </c>
      <c r="AF400" s="337"/>
    </row>
    <row r="401" spans="1:32">
      <c r="A401" s="337" t="s">
        <v>1523</v>
      </c>
      <c r="B401" s="146" t="s">
        <v>1</v>
      </c>
      <c r="C401" s="155" t="s">
        <v>1512</v>
      </c>
      <c r="D401" s="147"/>
      <c r="E401" s="148" t="s">
        <v>1484</v>
      </c>
      <c r="F401" s="147" t="s">
        <v>106</v>
      </c>
      <c r="G401" s="147" t="s">
        <v>1429</v>
      </c>
      <c r="H401" s="147">
        <v>46</v>
      </c>
      <c r="I401" s="149">
        <f t="shared" si="46"/>
        <v>46</v>
      </c>
      <c r="J401" s="147"/>
      <c r="K401" s="336" t="s">
        <v>1506</v>
      </c>
      <c r="L401" s="147">
        <v>100</v>
      </c>
      <c r="M401" s="147" t="s">
        <v>9</v>
      </c>
      <c r="N401" s="147"/>
      <c r="O401" s="147" t="s">
        <v>98</v>
      </c>
      <c r="P401" s="147">
        <v>1000</v>
      </c>
      <c r="Q401" s="150">
        <f t="shared" si="47"/>
        <v>0</v>
      </c>
      <c r="R401" s="151"/>
      <c r="S401" s="152">
        <v>3604</v>
      </c>
      <c r="T401" s="158">
        <v>3604</v>
      </c>
      <c r="U401" s="153"/>
      <c r="V401" s="154"/>
      <c r="W401" s="154"/>
      <c r="X401" s="155"/>
      <c r="Y401" s="155" t="s">
        <v>1394</v>
      </c>
      <c r="Z401" s="155" t="s">
        <v>1442</v>
      </c>
      <c r="AA401" s="273">
        <f t="shared" si="48"/>
        <v>3.6040000000000001</v>
      </c>
      <c r="AB401" s="273">
        <f t="shared" si="49"/>
        <v>3.6040000000000001</v>
      </c>
      <c r="AC401" s="156">
        <f t="shared" si="50"/>
        <v>1000</v>
      </c>
      <c r="AD401" s="274">
        <f t="shared" si="51"/>
        <v>3604</v>
      </c>
      <c r="AE401" s="274">
        <f t="shared" si="52"/>
        <v>3604</v>
      </c>
      <c r="AF401" s="337"/>
    </row>
    <row r="402" spans="1:32">
      <c r="A402" s="337" t="s">
        <v>1523</v>
      </c>
      <c r="B402" s="146" t="s">
        <v>1</v>
      </c>
      <c r="C402" s="155" t="s">
        <v>1512</v>
      </c>
      <c r="D402" s="147"/>
      <c r="E402" s="148" t="s">
        <v>1484</v>
      </c>
      <c r="F402" s="147" t="s">
        <v>106</v>
      </c>
      <c r="G402" s="147" t="s">
        <v>1429</v>
      </c>
      <c r="H402" s="147">
        <v>46</v>
      </c>
      <c r="I402" s="149">
        <f t="shared" si="46"/>
        <v>46</v>
      </c>
      <c r="J402" s="147"/>
      <c r="K402" s="336" t="s">
        <v>1507</v>
      </c>
      <c r="L402" s="147">
        <v>100</v>
      </c>
      <c r="M402" s="147" t="s">
        <v>9</v>
      </c>
      <c r="N402" s="147"/>
      <c r="O402" s="147" t="s">
        <v>98</v>
      </c>
      <c r="P402" s="147">
        <v>1000</v>
      </c>
      <c r="Q402" s="150">
        <f t="shared" si="47"/>
        <v>0</v>
      </c>
      <c r="R402" s="151"/>
      <c r="S402" s="152">
        <v>3865</v>
      </c>
      <c r="T402" s="158">
        <v>3865</v>
      </c>
      <c r="U402" s="153"/>
      <c r="V402" s="154"/>
      <c r="W402" s="154"/>
      <c r="X402" s="155"/>
      <c r="Y402" s="155" t="s">
        <v>1394</v>
      </c>
      <c r="Z402" s="155" t="s">
        <v>1442</v>
      </c>
      <c r="AA402" s="273">
        <f t="shared" si="48"/>
        <v>3.8650000000000002</v>
      </c>
      <c r="AB402" s="273">
        <f t="shared" si="49"/>
        <v>3.8650000000000002</v>
      </c>
      <c r="AC402" s="156">
        <f t="shared" si="50"/>
        <v>1000</v>
      </c>
      <c r="AD402" s="274">
        <f t="shared" si="51"/>
        <v>3865</v>
      </c>
      <c r="AE402" s="274">
        <f t="shared" si="52"/>
        <v>3865</v>
      </c>
      <c r="AF402" s="337"/>
    </row>
    <row r="403" spans="1:32">
      <c r="A403" s="337" t="s">
        <v>1523</v>
      </c>
      <c r="B403" s="146" t="s">
        <v>1</v>
      </c>
      <c r="C403" s="155" t="s">
        <v>1512</v>
      </c>
      <c r="D403" s="147"/>
      <c r="E403" s="148" t="s">
        <v>1484</v>
      </c>
      <c r="F403" s="147" t="s">
        <v>106</v>
      </c>
      <c r="G403" s="147" t="s">
        <v>1429</v>
      </c>
      <c r="H403" s="147">
        <v>46</v>
      </c>
      <c r="I403" s="149">
        <f t="shared" si="46"/>
        <v>46</v>
      </c>
      <c r="J403" s="147"/>
      <c r="K403" s="336" t="s">
        <v>1508</v>
      </c>
      <c r="L403" s="147">
        <v>100</v>
      </c>
      <c r="M403" s="147" t="s">
        <v>9</v>
      </c>
      <c r="N403" s="147"/>
      <c r="O403" s="147" t="s">
        <v>98</v>
      </c>
      <c r="P403" s="147">
        <v>1000</v>
      </c>
      <c r="Q403" s="150">
        <f t="shared" si="47"/>
        <v>0</v>
      </c>
      <c r="R403" s="151"/>
      <c r="S403" s="152">
        <v>4228</v>
      </c>
      <c r="T403" s="158">
        <v>4228</v>
      </c>
      <c r="U403" s="153"/>
      <c r="V403" s="154"/>
      <c r="W403" s="154"/>
      <c r="X403" s="155"/>
      <c r="Y403" s="155" t="s">
        <v>1394</v>
      </c>
      <c r="Z403" s="155" t="s">
        <v>1442</v>
      </c>
      <c r="AA403" s="273">
        <f t="shared" si="48"/>
        <v>4.2279999999999998</v>
      </c>
      <c r="AB403" s="273">
        <f t="shared" si="49"/>
        <v>4.2279999999999998</v>
      </c>
      <c r="AC403" s="156">
        <f t="shared" si="50"/>
        <v>1000</v>
      </c>
      <c r="AD403" s="274">
        <f t="shared" si="51"/>
        <v>4228</v>
      </c>
      <c r="AE403" s="274">
        <f t="shared" si="52"/>
        <v>4228</v>
      </c>
      <c r="AF403" s="337"/>
    </row>
    <row r="404" spans="1:32">
      <c r="A404" s="337" t="s">
        <v>1523</v>
      </c>
      <c r="B404" s="146" t="s">
        <v>1</v>
      </c>
      <c r="C404" s="155" t="s">
        <v>1512</v>
      </c>
      <c r="D404" s="147"/>
      <c r="E404" s="148" t="s">
        <v>1484</v>
      </c>
      <c r="F404" s="147" t="s">
        <v>106</v>
      </c>
      <c r="G404" s="147" t="s">
        <v>1429</v>
      </c>
      <c r="H404" s="147">
        <v>58</v>
      </c>
      <c r="I404" s="149">
        <f t="shared" si="46"/>
        <v>58</v>
      </c>
      <c r="J404" s="147"/>
      <c r="K404" s="336" t="s">
        <v>67</v>
      </c>
      <c r="L404" s="147">
        <v>100</v>
      </c>
      <c r="M404" s="147" t="s">
        <v>9</v>
      </c>
      <c r="N404" s="147"/>
      <c r="O404" s="147" t="s">
        <v>98</v>
      </c>
      <c r="P404" s="147">
        <v>1000</v>
      </c>
      <c r="Q404" s="150">
        <f t="shared" si="47"/>
        <v>0</v>
      </c>
      <c r="R404" s="151"/>
      <c r="S404" s="152">
        <v>1302</v>
      </c>
      <c r="T404" s="158">
        <v>1302</v>
      </c>
      <c r="U404" s="153"/>
      <c r="V404" s="154"/>
      <c r="W404" s="154"/>
      <c r="X404" s="155"/>
      <c r="Y404" s="155" t="s">
        <v>1394</v>
      </c>
      <c r="Z404" s="155" t="s">
        <v>1442</v>
      </c>
      <c r="AA404" s="273">
        <f t="shared" si="48"/>
        <v>1.302</v>
      </c>
      <c r="AB404" s="273">
        <f t="shared" si="49"/>
        <v>1.302</v>
      </c>
      <c r="AC404" s="156">
        <f t="shared" si="50"/>
        <v>1000</v>
      </c>
      <c r="AD404" s="274">
        <f t="shared" si="51"/>
        <v>1302</v>
      </c>
      <c r="AE404" s="274">
        <f t="shared" si="52"/>
        <v>1302</v>
      </c>
      <c r="AF404" s="337"/>
    </row>
    <row r="405" spans="1:32">
      <c r="A405" s="337" t="s">
        <v>1523</v>
      </c>
      <c r="B405" s="146" t="s">
        <v>1</v>
      </c>
      <c r="C405" s="155" t="s">
        <v>1512</v>
      </c>
      <c r="D405" s="147"/>
      <c r="E405" s="148" t="s">
        <v>1484</v>
      </c>
      <c r="F405" s="147" t="s">
        <v>106</v>
      </c>
      <c r="G405" s="147" t="s">
        <v>1429</v>
      </c>
      <c r="H405" s="147">
        <v>59</v>
      </c>
      <c r="I405" s="149">
        <f t="shared" ref="I405:I468" si="53">IF(AND(F405="SI",J405&lt;&gt;"",J405&lt;&gt;"NA"),CONCATENATE(H405,"_",J405),IF(F405="SI",H405,CONCATENATE(" REGISTRO COTIZACION NO EVALUADA: ",H405)))</f>
        <v>59</v>
      </c>
      <c r="J405" s="147"/>
      <c r="K405" s="336" t="s">
        <v>99</v>
      </c>
      <c r="L405" s="147">
        <v>100</v>
      </c>
      <c r="M405" s="147" t="s">
        <v>9</v>
      </c>
      <c r="N405" s="147"/>
      <c r="O405" s="147" t="s">
        <v>98</v>
      </c>
      <c r="P405" s="147">
        <v>1000</v>
      </c>
      <c r="Q405" s="150">
        <f t="shared" ref="Q405:Q468" si="54">(T405-S405)/S405</f>
        <v>0</v>
      </c>
      <c r="R405" s="151"/>
      <c r="S405" s="152">
        <v>3987</v>
      </c>
      <c r="T405" s="158">
        <v>3987</v>
      </c>
      <c r="U405" s="153"/>
      <c r="V405" s="154"/>
      <c r="W405" s="154"/>
      <c r="X405" s="155"/>
      <c r="Y405" s="155" t="s">
        <v>1394</v>
      </c>
      <c r="Z405" s="155" t="s">
        <v>1442</v>
      </c>
      <c r="AA405" s="273">
        <f t="shared" ref="AA405:AA468" si="55">S405/P405</f>
        <v>3.9870000000000001</v>
      </c>
      <c r="AB405" s="273">
        <f t="shared" ref="AB405:AB468" si="56">T405/P405</f>
        <v>3.9870000000000001</v>
      </c>
      <c r="AC405" s="156">
        <f t="shared" ref="AC405:AC468" si="57">P405</f>
        <v>1000</v>
      </c>
      <c r="AD405" s="274">
        <f t="shared" ref="AD405:AD468" si="58">AA405*AC405</f>
        <v>3987</v>
      </c>
      <c r="AE405" s="274">
        <f t="shared" si="52"/>
        <v>3987</v>
      </c>
      <c r="AF405" s="337"/>
    </row>
    <row r="406" spans="1:32">
      <c r="A406" s="337" t="s">
        <v>1523</v>
      </c>
      <c r="B406" s="146" t="s">
        <v>1</v>
      </c>
      <c r="C406" s="155" t="s">
        <v>1512</v>
      </c>
      <c r="D406" s="147"/>
      <c r="E406" s="148" t="s">
        <v>1484</v>
      </c>
      <c r="F406" s="147" t="s">
        <v>106</v>
      </c>
      <c r="G406" s="147" t="s">
        <v>1429</v>
      </c>
      <c r="H406" s="147">
        <v>69</v>
      </c>
      <c r="I406" s="149">
        <f t="shared" si="53"/>
        <v>69</v>
      </c>
      <c r="J406" s="147"/>
      <c r="K406" s="336" t="s">
        <v>1509</v>
      </c>
      <c r="L406" s="147">
        <v>100</v>
      </c>
      <c r="M406" s="147" t="s">
        <v>9</v>
      </c>
      <c r="N406" s="147"/>
      <c r="O406" s="147" t="s">
        <v>98</v>
      </c>
      <c r="P406" s="147">
        <v>1000</v>
      </c>
      <c r="Q406" s="150">
        <f t="shared" si="54"/>
        <v>0</v>
      </c>
      <c r="R406" s="151"/>
      <c r="S406" s="152">
        <v>3383</v>
      </c>
      <c r="T406" s="158">
        <v>3383</v>
      </c>
      <c r="U406" s="153"/>
      <c r="V406" s="154"/>
      <c r="W406" s="154"/>
      <c r="X406" s="155"/>
      <c r="Y406" s="155" t="s">
        <v>1394</v>
      </c>
      <c r="Z406" s="155" t="s">
        <v>1442</v>
      </c>
      <c r="AA406" s="273">
        <f t="shared" si="55"/>
        <v>3.383</v>
      </c>
      <c r="AB406" s="273">
        <f t="shared" si="56"/>
        <v>3.383</v>
      </c>
      <c r="AC406" s="156">
        <f t="shared" si="57"/>
        <v>1000</v>
      </c>
      <c r="AD406" s="274">
        <f t="shared" si="58"/>
        <v>3383</v>
      </c>
      <c r="AE406" s="274">
        <f t="shared" si="52"/>
        <v>3383</v>
      </c>
      <c r="AF406" s="337"/>
    </row>
    <row r="407" spans="1:32">
      <c r="A407" s="337" t="s">
        <v>1523</v>
      </c>
      <c r="B407" s="146" t="s">
        <v>1</v>
      </c>
      <c r="C407" s="155" t="s">
        <v>1512</v>
      </c>
      <c r="D407" s="147"/>
      <c r="E407" s="148" t="s">
        <v>1484</v>
      </c>
      <c r="F407" s="147" t="s">
        <v>106</v>
      </c>
      <c r="G407" s="147" t="s">
        <v>1429</v>
      </c>
      <c r="H407" s="147">
        <v>70</v>
      </c>
      <c r="I407" s="149">
        <f t="shared" si="53"/>
        <v>70</v>
      </c>
      <c r="J407" s="147"/>
      <c r="K407" s="336" t="s">
        <v>1510</v>
      </c>
      <c r="L407" s="147">
        <v>100</v>
      </c>
      <c r="M407" s="147" t="s">
        <v>9</v>
      </c>
      <c r="N407" s="147"/>
      <c r="O407" s="147" t="s">
        <v>98</v>
      </c>
      <c r="P407" s="147">
        <v>1000</v>
      </c>
      <c r="Q407" s="150">
        <f t="shared" si="54"/>
        <v>0</v>
      </c>
      <c r="R407" s="151"/>
      <c r="S407" s="152">
        <v>4108</v>
      </c>
      <c r="T407" s="158">
        <v>4108</v>
      </c>
      <c r="U407" s="153"/>
      <c r="V407" s="154"/>
      <c r="W407" s="154"/>
      <c r="X407" s="155"/>
      <c r="Y407" s="155" t="s">
        <v>1394</v>
      </c>
      <c r="Z407" s="155" t="s">
        <v>1442</v>
      </c>
      <c r="AA407" s="273">
        <f t="shared" si="55"/>
        <v>4.1079999999999997</v>
      </c>
      <c r="AB407" s="273">
        <f t="shared" si="56"/>
        <v>4.1079999999999997</v>
      </c>
      <c r="AC407" s="156">
        <f t="shared" si="57"/>
        <v>1000</v>
      </c>
      <c r="AD407" s="274">
        <f t="shared" si="58"/>
        <v>4108</v>
      </c>
      <c r="AE407" s="274">
        <f t="shared" si="52"/>
        <v>4108</v>
      </c>
      <c r="AF407" s="337"/>
    </row>
    <row r="408" spans="1:32">
      <c r="A408" s="337" t="s">
        <v>1523</v>
      </c>
      <c r="B408" s="146" t="s">
        <v>1</v>
      </c>
      <c r="C408" s="155" t="s">
        <v>1512</v>
      </c>
      <c r="D408" s="147"/>
      <c r="E408" s="148" t="s">
        <v>1484</v>
      </c>
      <c r="F408" s="147" t="s">
        <v>106</v>
      </c>
      <c r="G408" s="147" t="s">
        <v>1429</v>
      </c>
      <c r="H408" s="147">
        <v>70</v>
      </c>
      <c r="I408" s="149">
        <f t="shared" si="53"/>
        <v>70</v>
      </c>
      <c r="J408" s="147"/>
      <c r="K408" s="336" t="s">
        <v>1511</v>
      </c>
      <c r="L408" s="147">
        <v>100</v>
      </c>
      <c r="M408" s="147" t="s">
        <v>9</v>
      </c>
      <c r="N408" s="147"/>
      <c r="O408" s="147" t="s">
        <v>98</v>
      </c>
      <c r="P408" s="147">
        <v>1000</v>
      </c>
      <c r="Q408" s="150">
        <f t="shared" si="54"/>
        <v>0</v>
      </c>
      <c r="R408" s="151"/>
      <c r="S408" s="152">
        <v>4108</v>
      </c>
      <c r="T408" s="158">
        <v>4108</v>
      </c>
      <c r="U408" s="153"/>
      <c r="V408" s="154"/>
      <c r="W408" s="154"/>
      <c r="X408" s="155"/>
      <c r="Y408" s="155" t="s">
        <v>1394</v>
      </c>
      <c r="Z408" s="155" t="s">
        <v>1442</v>
      </c>
      <c r="AA408" s="273">
        <f t="shared" si="55"/>
        <v>4.1079999999999997</v>
      </c>
      <c r="AB408" s="273">
        <f t="shared" si="56"/>
        <v>4.1079999999999997</v>
      </c>
      <c r="AC408" s="156">
        <f t="shared" si="57"/>
        <v>1000</v>
      </c>
      <c r="AD408" s="274">
        <f t="shared" si="58"/>
        <v>4108</v>
      </c>
      <c r="AE408" s="274">
        <f t="shared" si="52"/>
        <v>4108</v>
      </c>
      <c r="AF408" s="337"/>
    </row>
    <row r="409" spans="1:32">
      <c r="A409" s="337" t="s">
        <v>1523</v>
      </c>
      <c r="B409" s="146" t="s">
        <v>1</v>
      </c>
      <c r="C409" s="155" t="s">
        <v>1512</v>
      </c>
      <c r="D409" s="147"/>
      <c r="E409" s="148" t="s">
        <v>1485</v>
      </c>
      <c r="F409" s="147" t="s">
        <v>106</v>
      </c>
      <c r="G409" s="147" t="s">
        <v>1429</v>
      </c>
      <c r="H409" s="147">
        <v>7</v>
      </c>
      <c r="I409" s="149">
        <f t="shared" si="53"/>
        <v>7</v>
      </c>
      <c r="J409" s="147"/>
      <c r="K409" s="336" t="s">
        <v>57</v>
      </c>
      <c r="L409" s="147">
        <v>100</v>
      </c>
      <c r="M409" s="147" t="s">
        <v>9</v>
      </c>
      <c r="N409" s="147"/>
      <c r="O409" s="147" t="s">
        <v>98</v>
      </c>
      <c r="P409" s="147">
        <v>1000</v>
      </c>
      <c r="Q409" s="150">
        <f t="shared" si="54"/>
        <v>0</v>
      </c>
      <c r="R409" s="151"/>
      <c r="S409" s="152">
        <v>1053</v>
      </c>
      <c r="T409" s="158">
        <v>1053</v>
      </c>
      <c r="U409" s="153"/>
      <c r="V409" s="154"/>
      <c r="W409" s="154"/>
      <c r="X409" s="155"/>
      <c r="Y409" s="155" t="s">
        <v>1394</v>
      </c>
      <c r="Z409" s="155" t="s">
        <v>1442</v>
      </c>
      <c r="AA409" s="273">
        <f t="shared" si="55"/>
        <v>1.0529999999999999</v>
      </c>
      <c r="AB409" s="273">
        <f t="shared" si="56"/>
        <v>1.0529999999999999</v>
      </c>
      <c r="AC409" s="156">
        <f t="shared" si="57"/>
        <v>1000</v>
      </c>
      <c r="AD409" s="274">
        <f t="shared" si="58"/>
        <v>1053</v>
      </c>
      <c r="AE409" s="274">
        <f t="shared" si="52"/>
        <v>1053</v>
      </c>
      <c r="AF409" s="337"/>
    </row>
    <row r="410" spans="1:32">
      <c r="A410" s="337" t="s">
        <v>1523</v>
      </c>
      <c r="B410" s="146" t="s">
        <v>1</v>
      </c>
      <c r="C410" s="155" t="s">
        <v>1512</v>
      </c>
      <c r="D410" s="147"/>
      <c r="E410" s="148" t="s">
        <v>1485</v>
      </c>
      <c r="F410" s="147" t="s">
        <v>106</v>
      </c>
      <c r="G410" s="147" t="s">
        <v>1429</v>
      </c>
      <c r="H410" s="147">
        <v>8</v>
      </c>
      <c r="I410" s="149">
        <f t="shared" si="53"/>
        <v>8</v>
      </c>
      <c r="J410" s="147"/>
      <c r="K410" s="336" t="s">
        <v>55</v>
      </c>
      <c r="L410" s="147">
        <v>100</v>
      </c>
      <c r="M410" s="147" t="s">
        <v>9</v>
      </c>
      <c r="N410" s="147"/>
      <c r="O410" s="147" t="s">
        <v>98</v>
      </c>
      <c r="P410" s="147">
        <v>1000</v>
      </c>
      <c r="Q410" s="150">
        <f t="shared" si="54"/>
        <v>0</v>
      </c>
      <c r="R410" s="151"/>
      <c r="S410" s="152">
        <v>1283</v>
      </c>
      <c r="T410" s="158">
        <v>1283</v>
      </c>
      <c r="U410" s="153"/>
      <c r="V410" s="154"/>
      <c r="W410" s="154"/>
      <c r="X410" s="155"/>
      <c r="Y410" s="155" t="s">
        <v>1394</v>
      </c>
      <c r="Z410" s="155" t="s">
        <v>1442</v>
      </c>
      <c r="AA410" s="273">
        <f t="shared" si="55"/>
        <v>1.2829999999999999</v>
      </c>
      <c r="AB410" s="273">
        <f t="shared" si="56"/>
        <v>1.2829999999999999</v>
      </c>
      <c r="AC410" s="156">
        <f t="shared" si="57"/>
        <v>1000</v>
      </c>
      <c r="AD410" s="274">
        <f t="shared" si="58"/>
        <v>1283</v>
      </c>
      <c r="AE410" s="274">
        <f t="shared" si="52"/>
        <v>1283</v>
      </c>
      <c r="AF410" s="337"/>
    </row>
    <row r="411" spans="1:32">
      <c r="A411" s="337" t="s">
        <v>1523</v>
      </c>
      <c r="B411" s="146" t="s">
        <v>1</v>
      </c>
      <c r="C411" s="155" t="s">
        <v>1512</v>
      </c>
      <c r="D411" s="147"/>
      <c r="E411" s="148" t="s">
        <v>1485</v>
      </c>
      <c r="F411" s="147" t="s">
        <v>106</v>
      </c>
      <c r="G411" s="147" t="s">
        <v>1429</v>
      </c>
      <c r="H411" s="147">
        <v>17</v>
      </c>
      <c r="I411" s="149">
        <f t="shared" si="53"/>
        <v>17</v>
      </c>
      <c r="J411" s="147"/>
      <c r="K411" s="336" t="s">
        <v>53</v>
      </c>
      <c r="L411" s="147">
        <v>100</v>
      </c>
      <c r="M411" s="147" t="s">
        <v>9</v>
      </c>
      <c r="N411" s="147"/>
      <c r="O411" s="147" t="s">
        <v>98</v>
      </c>
      <c r="P411" s="147">
        <v>1000</v>
      </c>
      <c r="Q411" s="150">
        <f t="shared" si="54"/>
        <v>0</v>
      </c>
      <c r="R411" s="151"/>
      <c r="S411" s="152">
        <v>2943</v>
      </c>
      <c r="T411" s="158">
        <v>2943</v>
      </c>
      <c r="U411" s="153"/>
      <c r="V411" s="154"/>
      <c r="W411" s="154"/>
      <c r="X411" s="155"/>
      <c r="Y411" s="155" t="s">
        <v>1394</v>
      </c>
      <c r="Z411" s="155" t="s">
        <v>1442</v>
      </c>
      <c r="AA411" s="273">
        <f t="shared" si="55"/>
        <v>2.9430000000000001</v>
      </c>
      <c r="AB411" s="273">
        <f t="shared" si="56"/>
        <v>2.9430000000000001</v>
      </c>
      <c r="AC411" s="156">
        <f t="shared" si="57"/>
        <v>1000</v>
      </c>
      <c r="AD411" s="274">
        <f t="shared" si="58"/>
        <v>2943</v>
      </c>
      <c r="AE411" s="274">
        <f t="shared" si="52"/>
        <v>2943</v>
      </c>
      <c r="AF411" s="337"/>
    </row>
    <row r="412" spans="1:32">
      <c r="A412" s="337" t="s">
        <v>1523</v>
      </c>
      <c r="B412" s="146" t="s">
        <v>1</v>
      </c>
      <c r="C412" s="155" t="s">
        <v>1512</v>
      </c>
      <c r="D412" s="147"/>
      <c r="E412" s="148" t="s">
        <v>1485</v>
      </c>
      <c r="F412" s="147" t="s">
        <v>106</v>
      </c>
      <c r="G412" s="147" t="s">
        <v>1429</v>
      </c>
      <c r="H412" s="147">
        <v>22</v>
      </c>
      <c r="I412" s="149">
        <f t="shared" si="53"/>
        <v>22</v>
      </c>
      <c r="J412" s="147"/>
      <c r="K412" s="336" t="s">
        <v>51</v>
      </c>
      <c r="L412" s="147">
        <v>100</v>
      </c>
      <c r="M412" s="147" t="s">
        <v>9</v>
      </c>
      <c r="N412" s="147"/>
      <c r="O412" s="147" t="s">
        <v>98</v>
      </c>
      <c r="P412" s="147">
        <v>1000</v>
      </c>
      <c r="Q412" s="150">
        <f t="shared" si="54"/>
        <v>0</v>
      </c>
      <c r="R412" s="151"/>
      <c r="S412" s="152">
        <v>4906</v>
      </c>
      <c r="T412" s="158">
        <v>4906</v>
      </c>
      <c r="U412" s="153"/>
      <c r="V412" s="154"/>
      <c r="W412" s="154"/>
      <c r="X412" s="155"/>
      <c r="Y412" s="155" t="s">
        <v>1394</v>
      </c>
      <c r="Z412" s="155" t="s">
        <v>1442</v>
      </c>
      <c r="AA412" s="273">
        <f t="shared" si="55"/>
        <v>4.9059999999999997</v>
      </c>
      <c r="AB412" s="273">
        <f t="shared" si="56"/>
        <v>4.9059999999999997</v>
      </c>
      <c r="AC412" s="156">
        <f t="shared" si="57"/>
        <v>1000</v>
      </c>
      <c r="AD412" s="274">
        <f t="shared" si="58"/>
        <v>4906</v>
      </c>
      <c r="AE412" s="274">
        <f t="shared" si="52"/>
        <v>4906</v>
      </c>
      <c r="AF412" s="337"/>
    </row>
    <row r="413" spans="1:32">
      <c r="A413" s="337" t="s">
        <v>1523</v>
      </c>
      <c r="B413" s="146" t="s">
        <v>1</v>
      </c>
      <c r="C413" s="155" t="s">
        <v>1512</v>
      </c>
      <c r="D413" s="147"/>
      <c r="E413" s="148" t="s">
        <v>1485</v>
      </c>
      <c r="F413" s="147" t="s">
        <v>106</v>
      </c>
      <c r="G413" s="147" t="s">
        <v>1429</v>
      </c>
      <c r="H413" s="147">
        <v>33</v>
      </c>
      <c r="I413" s="149">
        <f t="shared" si="53"/>
        <v>33</v>
      </c>
      <c r="J413" s="147"/>
      <c r="K413" s="336" t="s">
        <v>59</v>
      </c>
      <c r="L413" s="147">
        <v>100</v>
      </c>
      <c r="M413" s="147" t="s">
        <v>9</v>
      </c>
      <c r="N413" s="147"/>
      <c r="O413" s="147" t="s">
        <v>98</v>
      </c>
      <c r="P413" s="147">
        <v>1000</v>
      </c>
      <c r="Q413" s="150">
        <f t="shared" si="54"/>
        <v>0</v>
      </c>
      <c r="R413" s="151"/>
      <c r="S413" s="152">
        <v>6053</v>
      </c>
      <c r="T413" s="158">
        <v>6053</v>
      </c>
      <c r="U413" s="153"/>
      <c r="V413" s="154"/>
      <c r="W413" s="154"/>
      <c r="X413" s="155"/>
      <c r="Y413" s="155" t="s">
        <v>1394</v>
      </c>
      <c r="Z413" s="155" t="s">
        <v>1442</v>
      </c>
      <c r="AA413" s="273">
        <f t="shared" si="55"/>
        <v>6.0529999999999999</v>
      </c>
      <c r="AB413" s="273">
        <f t="shared" si="56"/>
        <v>6.0529999999999999</v>
      </c>
      <c r="AC413" s="156">
        <f t="shared" si="57"/>
        <v>1000</v>
      </c>
      <c r="AD413" s="274">
        <f t="shared" si="58"/>
        <v>6053</v>
      </c>
      <c r="AE413" s="274">
        <f t="shared" si="52"/>
        <v>6053</v>
      </c>
      <c r="AF413" s="337"/>
    </row>
    <row r="414" spans="1:32">
      <c r="A414" s="337" t="s">
        <v>1523</v>
      </c>
      <c r="B414" s="146" t="s">
        <v>1</v>
      </c>
      <c r="C414" s="155" t="s">
        <v>1512</v>
      </c>
      <c r="D414" s="147"/>
      <c r="E414" s="148" t="s">
        <v>1485</v>
      </c>
      <c r="F414" s="147" t="s">
        <v>106</v>
      </c>
      <c r="G414" s="147" t="s">
        <v>1429</v>
      </c>
      <c r="H414" s="147">
        <v>42</v>
      </c>
      <c r="I414" s="149">
        <f t="shared" si="53"/>
        <v>42</v>
      </c>
      <c r="J414" s="147"/>
      <c r="K414" s="336" t="s">
        <v>61</v>
      </c>
      <c r="L414" s="147">
        <v>100</v>
      </c>
      <c r="M414" s="147" t="s">
        <v>9</v>
      </c>
      <c r="N414" s="147"/>
      <c r="O414" s="147" t="s">
        <v>98</v>
      </c>
      <c r="P414" s="147">
        <v>1000</v>
      </c>
      <c r="Q414" s="150">
        <f t="shared" si="54"/>
        <v>0</v>
      </c>
      <c r="R414" s="151"/>
      <c r="S414" s="152">
        <v>1866</v>
      </c>
      <c r="T414" s="158">
        <v>1866</v>
      </c>
      <c r="U414" s="153"/>
      <c r="V414" s="154"/>
      <c r="W414" s="154"/>
      <c r="X414" s="155"/>
      <c r="Y414" s="155" t="s">
        <v>1394</v>
      </c>
      <c r="Z414" s="155" t="s">
        <v>1442</v>
      </c>
      <c r="AA414" s="273">
        <f t="shared" si="55"/>
        <v>1.8660000000000001</v>
      </c>
      <c r="AB414" s="273">
        <f t="shared" si="56"/>
        <v>1.8660000000000001</v>
      </c>
      <c r="AC414" s="156">
        <f t="shared" si="57"/>
        <v>1000</v>
      </c>
      <c r="AD414" s="274">
        <f t="shared" si="58"/>
        <v>1866</v>
      </c>
      <c r="AE414" s="274">
        <f t="shared" si="52"/>
        <v>1866</v>
      </c>
      <c r="AF414" s="337"/>
    </row>
    <row r="415" spans="1:32">
      <c r="A415" s="337" t="s">
        <v>1523</v>
      </c>
      <c r="B415" s="146" t="s">
        <v>1</v>
      </c>
      <c r="C415" s="155" t="s">
        <v>1512</v>
      </c>
      <c r="D415" s="147"/>
      <c r="E415" s="148" t="s">
        <v>1485</v>
      </c>
      <c r="F415" s="147" t="s">
        <v>106</v>
      </c>
      <c r="G415" s="147" t="s">
        <v>1429</v>
      </c>
      <c r="H415" s="147">
        <v>43</v>
      </c>
      <c r="I415" s="149">
        <f t="shared" si="53"/>
        <v>43</v>
      </c>
      <c r="J415" s="147"/>
      <c r="K415" s="336" t="s">
        <v>1505</v>
      </c>
      <c r="L415" s="147">
        <v>100</v>
      </c>
      <c r="M415" s="147" t="s">
        <v>9</v>
      </c>
      <c r="N415" s="147"/>
      <c r="O415" s="147" t="s">
        <v>98</v>
      </c>
      <c r="P415" s="147">
        <v>1000</v>
      </c>
      <c r="Q415" s="150">
        <f t="shared" si="54"/>
        <v>0</v>
      </c>
      <c r="R415" s="151"/>
      <c r="S415" s="152">
        <v>1501</v>
      </c>
      <c r="T415" s="158">
        <v>1501</v>
      </c>
      <c r="U415" s="153"/>
      <c r="V415" s="154"/>
      <c r="W415" s="154"/>
      <c r="X415" s="155"/>
      <c r="Y415" s="155" t="s">
        <v>1394</v>
      </c>
      <c r="Z415" s="155" t="s">
        <v>1442</v>
      </c>
      <c r="AA415" s="273">
        <f t="shared" si="55"/>
        <v>1.5009999999999999</v>
      </c>
      <c r="AB415" s="273">
        <f t="shared" si="56"/>
        <v>1.5009999999999999</v>
      </c>
      <c r="AC415" s="156">
        <f t="shared" si="57"/>
        <v>1000</v>
      </c>
      <c r="AD415" s="274">
        <f t="shared" si="58"/>
        <v>1501</v>
      </c>
      <c r="AE415" s="274">
        <f t="shared" si="52"/>
        <v>1501</v>
      </c>
      <c r="AF415" s="337"/>
    </row>
    <row r="416" spans="1:32">
      <c r="A416" s="337" t="s">
        <v>1523</v>
      </c>
      <c r="B416" s="146" t="s">
        <v>1</v>
      </c>
      <c r="C416" s="155" t="s">
        <v>1512</v>
      </c>
      <c r="D416" s="147"/>
      <c r="E416" s="148" t="s">
        <v>1485</v>
      </c>
      <c r="F416" s="147" t="s">
        <v>106</v>
      </c>
      <c r="G416" s="147" t="s">
        <v>1429</v>
      </c>
      <c r="H416" s="147">
        <v>46</v>
      </c>
      <c r="I416" s="149">
        <f t="shared" si="53"/>
        <v>46</v>
      </c>
      <c r="J416" s="147"/>
      <c r="K416" s="336" t="s">
        <v>1506</v>
      </c>
      <c r="L416" s="147">
        <v>100</v>
      </c>
      <c r="M416" s="147" t="s">
        <v>9</v>
      </c>
      <c r="N416" s="147"/>
      <c r="O416" s="147" t="s">
        <v>98</v>
      </c>
      <c r="P416" s="147">
        <v>1000</v>
      </c>
      <c r="Q416" s="150">
        <f t="shared" si="54"/>
        <v>0</v>
      </c>
      <c r="R416" s="151"/>
      <c r="S416" s="152">
        <v>3750</v>
      </c>
      <c r="T416" s="158">
        <v>3750</v>
      </c>
      <c r="U416" s="153"/>
      <c r="V416" s="154"/>
      <c r="W416" s="154"/>
      <c r="X416" s="155"/>
      <c r="Y416" s="155" t="s">
        <v>1394</v>
      </c>
      <c r="Z416" s="155" t="s">
        <v>1442</v>
      </c>
      <c r="AA416" s="273">
        <f t="shared" si="55"/>
        <v>3.75</v>
      </c>
      <c r="AB416" s="273">
        <f t="shared" si="56"/>
        <v>3.75</v>
      </c>
      <c r="AC416" s="156">
        <f t="shared" si="57"/>
        <v>1000</v>
      </c>
      <c r="AD416" s="274">
        <f t="shared" si="58"/>
        <v>3750</v>
      </c>
      <c r="AE416" s="274">
        <f t="shared" si="52"/>
        <v>3750</v>
      </c>
      <c r="AF416" s="337"/>
    </row>
    <row r="417" spans="1:32">
      <c r="A417" s="337" t="s">
        <v>1523</v>
      </c>
      <c r="B417" s="146" t="s">
        <v>1</v>
      </c>
      <c r="C417" s="155" t="s">
        <v>1512</v>
      </c>
      <c r="D417" s="147"/>
      <c r="E417" s="148" t="s">
        <v>1485</v>
      </c>
      <c r="F417" s="147" t="s">
        <v>106</v>
      </c>
      <c r="G417" s="147" t="s">
        <v>1429</v>
      </c>
      <c r="H417" s="147">
        <v>46</v>
      </c>
      <c r="I417" s="149">
        <f t="shared" si="53"/>
        <v>46</v>
      </c>
      <c r="J417" s="147"/>
      <c r="K417" s="336" t="s">
        <v>1507</v>
      </c>
      <c r="L417" s="147">
        <v>100</v>
      </c>
      <c r="M417" s="147" t="s">
        <v>9</v>
      </c>
      <c r="N417" s="147"/>
      <c r="O417" s="147" t="s">
        <v>98</v>
      </c>
      <c r="P417" s="147">
        <v>1000</v>
      </c>
      <c r="Q417" s="150">
        <f t="shared" si="54"/>
        <v>0</v>
      </c>
      <c r="R417" s="151"/>
      <c r="S417" s="152">
        <v>4039</v>
      </c>
      <c r="T417" s="158">
        <v>4039</v>
      </c>
      <c r="U417" s="153"/>
      <c r="V417" s="154"/>
      <c r="W417" s="154"/>
      <c r="X417" s="155"/>
      <c r="Y417" s="155" t="s">
        <v>1394</v>
      </c>
      <c r="Z417" s="155" t="s">
        <v>1442</v>
      </c>
      <c r="AA417" s="273">
        <f t="shared" si="55"/>
        <v>4.0389999999999997</v>
      </c>
      <c r="AB417" s="273">
        <f t="shared" si="56"/>
        <v>4.0389999999999997</v>
      </c>
      <c r="AC417" s="156">
        <f t="shared" si="57"/>
        <v>1000</v>
      </c>
      <c r="AD417" s="274">
        <f t="shared" si="58"/>
        <v>4038.9999999999995</v>
      </c>
      <c r="AE417" s="274">
        <f t="shared" si="52"/>
        <v>4038.9999999999995</v>
      </c>
      <c r="AF417" s="337"/>
    </row>
    <row r="418" spans="1:32">
      <c r="A418" s="337" t="s">
        <v>1523</v>
      </c>
      <c r="B418" s="146" t="s">
        <v>1</v>
      </c>
      <c r="C418" s="155" t="s">
        <v>1512</v>
      </c>
      <c r="D418" s="147"/>
      <c r="E418" s="148" t="s">
        <v>1485</v>
      </c>
      <c r="F418" s="147" t="s">
        <v>106</v>
      </c>
      <c r="G418" s="147" t="s">
        <v>1429</v>
      </c>
      <c r="H418" s="147">
        <v>46</v>
      </c>
      <c r="I418" s="149">
        <f t="shared" si="53"/>
        <v>46</v>
      </c>
      <c r="J418" s="147"/>
      <c r="K418" s="336" t="s">
        <v>1508</v>
      </c>
      <c r="L418" s="147">
        <v>100</v>
      </c>
      <c r="M418" s="147" t="s">
        <v>9</v>
      </c>
      <c r="N418" s="147"/>
      <c r="O418" s="147" t="s">
        <v>98</v>
      </c>
      <c r="P418" s="147">
        <v>1000</v>
      </c>
      <c r="Q418" s="150">
        <f t="shared" si="54"/>
        <v>0</v>
      </c>
      <c r="R418" s="151"/>
      <c r="S418" s="152">
        <v>4370</v>
      </c>
      <c r="T418" s="158">
        <v>4370</v>
      </c>
      <c r="U418" s="153"/>
      <c r="V418" s="154"/>
      <c r="W418" s="154"/>
      <c r="X418" s="155"/>
      <c r="Y418" s="155" t="s">
        <v>1394</v>
      </c>
      <c r="Z418" s="155" t="s">
        <v>1442</v>
      </c>
      <c r="AA418" s="273">
        <f t="shared" si="55"/>
        <v>4.37</v>
      </c>
      <c r="AB418" s="273">
        <f t="shared" si="56"/>
        <v>4.37</v>
      </c>
      <c r="AC418" s="156">
        <f t="shared" si="57"/>
        <v>1000</v>
      </c>
      <c r="AD418" s="274">
        <f t="shared" si="58"/>
        <v>4370</v>
      </c>
      <c r="AE418" s="274">
        <f t="shared" si="52"/>
        <v>4370</v>
      </c>
      <c r="AF418" s="337"/>
    </row>
    <row r="419" spans="1:32">
      <c r="A419" s="337" t="s">
        <v>1523</v>
      </c>
      <c r="B419" s="146" t="s">
        <v>1</v>
      </c>
      <c r="C419" s="155" t="s">
        <v>1512</v>
      </c>
      <c r="D419" s="147"/>
      <c r="E419" s="148" t="s">
        <v>1485</v>
      </c>
      <c r="F419" s="147" t="s">
        <v>106</v>
      </c>
      <c r="G419" s="147" t="s">
        <v>1429</v>
      </c>
      <c r="H419" s="147">
        <v>58</v>
      </c>
      <c r="I419" s="149">
        <f t="shared" si="53"/>
        <v>58</v>
      </c>
      <c r="J419" s="147"/>
      <c r="K419" s="336" t="s">
        <v>67</v>
      </c>
      <c r="L419" s="147">
        <v>100</v>
      </c>
      <c r="M419" s="147" t="s">
        <v>9</v>
      </c>
      <c r="N419" s="147"/>
      <c r="O419" s="147" t="s">
        <v>98</v>
      </c>
      <c r="P419" s="147">
        <v>1000</v>
      </c>
      <c r="Q419" s="150">
        <f t="shared" si="54"/>
        <v>0</v>
      </c>
      <c r="R419" s="151"/>
      <c r="S419" s="152">
        <v>1306</v>
      </c>
      <c r="T419" s="158">
        <v>1306</v>
      </c>
      <c r="U419" s="153"/>
      <c r="V419" s="154"/>
      <c r="W419" s="154"/>
      <c r="X419" s="155"/>
      <c r="Y419" s="155" t="s">
        <v>1394</v>
      </c>
      <c r="Z419" s="155" t="s">
        <v>1442</v>
      </c>
      <c r="AA419" s="273">
        <f t="shared" si="55"/>
        <v>1.306</v>
      </c>
      <c r="AB419" s="273">
        <f t="shared" si="56"/>
        <v>1.306</v>
      </c>
      <c r="AC419" s="156">
        <f t="shared" si="57"/>
        <v>1000</v>
      </c>
      <c r="AD419" s="274">
        <f t="shared" si="58"/>
        <v>1306</v>
      </c>
      <c r="AE419" s="274">
        <f t="shared" si="52"/>
        <v>1306</v>
      </c>
      <c r="AF419" s="337"/>
    </row>
    <row r="420" spans="1:32">
      <c r="A420" s="337" t="s">
        <v>1523</v>
      </c>
      <c r="B420" s="146" t="s">
        <v>1</v>
      </c>
      <c r="C420" s="155" t="s">
        <v>1512</v>
      </c>
      <c r="D420" s="147"/>
      <c r="E420" s="148" t="s">
        <v>1485</v>
      </c>
      <c r="F420" s="147" t="s">
        <v>106</v>
      </c>
      <c r="G420" s="147" t="s">
        <v>1429</v>
      </c>
      <c r="H420" s="147">
        <v>59</v>
      </c>
      <c r="I420" s="149">
        <f t="shared" si="53"/>
        <v>59</v>
      </c>
      <c r="J420" s="147"/>
      <c r="K420" s="336" t="s">
        <v>99</v>
      </c>
      <c r="L420" s="147">
        <v>100</v>
      </c>
      <c r="M420" s="147" t="s">
        <v>9</v>
      </c>
      <c r="N420" s="147"/>
      <c r="O420" s="147" t="s">
        <v>98</v>
      </c>
      <c r="P420" s="147">
        <v>1000</v>
      </c>
      <c r="Q420" s="150">
        <f t="shared" si="54"/>
        <v>0</v>
      </c>
      <c r="R420" s="151"/>
      <c r="S420" s="152">
        <v>3915</v>
      </c>
      <c r="T420" s="158">
        <v>3915</v>
      </c>
      <c r="U420" s="153"/>
      <c r="V420" s="154"/>
      <c r="W420" s="154"/>
      <c r="X420" s="155"/>
      <c r="Y420" s="155" t="s">
        <v>1394</v>
      </c>
      <c r="Z420" s="155" t="s">
        <v>1442</v>
      </c>
      <c r="AA420" s="273">
        <f t="shared" si="55"/>
        <v>3.915</v>
      </c>
      <c r="AB420" s="273">
        <f t="shared" si="56"/>
        <v>3.915</v>
      </c>
      <c r="AC420" s="156">
        <f t="shared" si="57"/>
        <v>1000</v>
      </c>
      <c r="AD420" s="274">
        <f t="shared" si="58"/>
        <v>3915</v>
      </c>
      <c r="AE420" s="274">
        <f t="shared" si="52"/>
        <v>3915</v>
      </c>
      <c r="AF420" s="337"/>
    </row>
    <row r="421" spans="1:32">
      <c r="A421" s="337" t="s">
        <v>1523</v>
      </c>
      <c r="B421" s="146" t="s">
        <v>1</v>
      </c>
      <c r="C421" s="155" t="s">
        <v>1512</v>
      </c>
      <c r="D421" s="147"/>
      <c r="E421" s="148" t="s">
        <v>1485</v>
      </c>
      <c r="F421" s="147" t="s">
        <v>106</v>
      </c>
      <c r="G421" s="147" t="s">
        <v>1429</v>
      </c>
      <c r="H421" s="147">
        <v>69</v>
      </c>
      <c r="I421" s="149">
        <f t="shared" si="53"/>
        <v>69</v>
      </c>
      <c r="J421" s="147"/>
      <c r="K421" s="336" t="s">
        <v>1509</v>
      </c>
      <c r="L421" s="147">
        <v>100</v>
      </c>
      <c r="M421" s="147" t="s">
        <v>9</v>
      </c>
      <c r="N421" s="147"/>
      <c r="O421" s="147" t="s">
        <v>98</v>
      </c>
      <c r="P421" s="147">
        <v>1000</v>
      </c>
      <c r="Q421" s="150">
        <f t="shared" si="54"/>
        <v>0</v>
      </c>
      <c r="R421" s="151"/>
      <c r="S421" s="152">
        <v>3650</v>
      </c>
      <c r="T421" s="158">
        <v>3650</v>
      </c>
      <c r="U421" s="153"/>
      <c r="V421" s="154"/>
      <c r="W421" s="154"/>
      <c r="X421" s="155"/>
      <c r="Y421" s="155" t="s">
        <v>1394</v>
      </c>
      <c r="Z421" s="155" t="s">
        <v>1442</v>
      </c>
      <c r="AA421" s="273">
        <f t="shared" si="55"/>
        <v>3.65</v>
      </c>
      <c r="AB421" s="273">
        <f t="shared" si="56"/>
        <v>3.65</v>
      </c>
      <c r="AC421" s="156">
        <f t="shared" si="57"/>
        <v>1000</v>
      </c>
      <c r="AD421" s="274">
        <f t="shared" si="58"/>
        <v>3650</v>
      </c>
      <c r="AE421" s="274">
        <f t="shared" si="52"/>
        <v>3650</v>
      </c>
      <c r="AF421" s="337"/>
    </row>
    <row r="422" spans="1:32">
      <c r="A422" s="337" t="s">
        <v>1523</v>
      </c>
      <c r="B422" s="146" t="s">
        <v>1</v>
      </c>
      <c r="C422" s="155" t="s">
        <v>1512</v>
      </c>
      <c r="D422" s="147"/>
      <c r="E422" s="148" t="s">
        <v>1485</v>
      </c>
      <c r="F422" s="147" t="s">
        <v>106</v>
      </c>
      <c r="G422" s="147" t="s">
        <v>1429</v>
      </c>
      <c r="H422" s="147">
        <v>70</v>
      </c>
      <c r="I422" s="149">
        <f t="shared" si="53"/>
        <v>70</v>
      </c>
      <c r="J422" s="147"/>
      <c r="K422" s="336" t="s">
        <v>1510</v>
      </c>
      <c r="L422" s="147">
        <v>100</v>
      </c>
      <c r="M422" s="147" t="s">
        <v>9</v>
      </c>
      <c r="N422" s="147"/>
      <c r="O422" s="147" t="s">
        <v>98</v>
      </c>
      <c r="P422" s="147">
        <v>1000</v>
      </c>
      <c r="Q422" s="150">
        <f t="shared" si="54"/>
        <v>0</v>
      </c>
      <c r="R422" s="151"/>
      <c r="S422" s="152">
        <v>4057</v>
      </c>
      <c r="T422" s="158">
        <v>4057</v>
      </c>
      <c r="U422" s="153"/>
      <c r="V422" s="154"/>
      <c r="W422" s="154"/>
      <c r="X422" s="155"/>
      <c r="Y422" s="155" t="s">
        <v>1394</v>
      </c>
      <c r="Z422" s="155" t="s">
        <v>1442</v>
      </c>
      <c r="AA422" s="273">
        <f t="shared" si="55"/>
        <v>4.0570000000000004</v>
      </c>
      <c r="AB422" s="273">
        <f t="shared" si="56"/>
        <v>4.0570000000000004</v>
      </c>
      <c r="AC422" s="156">
        <f t="shared" si="57"/>
        <v>1000</v>
      </c>
      <c r="AD422" s="274">
        <f t="shared" si="58"/>
        <v>4057.0000000000005</v>
      </c>
      <c r="AE422" s="274">
        <f t="shared" si="52"/>
        <v>4057.0000000000005</v>
      </c>
      <c r="AF422" s="337"/>
    </row>
    <row r="423" spans="1:32">
      <c r="A423" s="337" t="s">
        <v>1523</v>
      </c>
      <c r="B423" s="146" t="s">
        <v>1</v>
      </c>
      <c r="C423" s="155" t="s">
        <v>1512</v>
      </c>
      <c r="D423" s="147"/>
      <c r="E423" s="148" t="s">
        <v>1485</v>
      </c>
      <c r="F423" s="147" t="s">
        <v>106</v>
      </c>
      <c r="G423" s="147" t="s">
        <v>1429</v>
      </c>
      <c r="H423" s="147">
        <v>70</v>
      </c>
      <c r="I423" s="149">
        <f t="shared" si="53"/>
        <v>70</v>
      </c>
      <c r="J423" s="147"/>
      <c r="K423" s="336" t="s">
        <v>1511</v>
      </c>
      <c r="L423" s="147">
        <v>100</v>
      </c>
      <c r="M423" s="147" t="s">
        <v>9</v>
      </c>
      <c r="N423" s="147"/>
      <c r="O423" s="147" t="s">
        <v>98</v>
      </c>
      <c r="P423" s="147">
        <v>1000</v>
      </c>
      <c r="Q423" s="150">
        <f t="shared" si="54"/>
        <v>0</v>
      </c>
      <c r="R423" s="151"/>
      <c r="S423" s="152">
        <v>4046</v>
      </c>
      <c r="T423" s="158">
        <v>4046</v>
      </c>
      <c r="U423" s="153"/>
      <c r="V423" s="154"/>
      <c r="W423" s="154"/>
      <c r="X423" s="155"/>
      <c r="Y423" s="155" t="s">
        <v>1394</v>
      </c>
      <c r="Z423" s="155" t="s">
        <v>1442</v>
      </c>
      <c r="AA423" s="273">
        <f t="shared" si="55"/>
        <v>4.0460000000000003</v>
      </c>
      <c r="AB423" s="273">
        <f t="shared" si="56"/>
        <v>4.0460000000000003</v>
      </c>
      <c r="AC423" s="156">
        <f t="shared" si="57"/>
        <v>1000</v>
      </c>
      <c r="AD423" s="274">
        <f t="shared" si="58"/>
        <v>4046.0000000000005</v>
      </c>
      <c r="AE423" s="274">
        <f t="shared" si="52"/>
        <v>4046.0000000000005</v>
      </c>
      <c r="AF423" s="337"/>
    </row>
    <row r="424" spans="1:32">
      <c r="A424" s="337" t="s">
        <v>1523</v>
      </c>
      <c r="B424" s="146" t="s">
        <v>1</v>
      </c>
      <c r="C424" s="155" t="s">
        <v>1512</v>
      </c>
      <c r="D424" s="147"/>
      <c r="E424" s="148" t="s">
        <v>1486</v>
      </c>
      <c r="F424" s="147" t="s">
        <v>106</v>
      </c>
      <c r="G424" s="147" t="s">
        <v>1429</v>
      </c>
      <c r="H424" s="147">
        <v>7</v>
      </c>
      <c r="I424" s="149">
        <f t="shared" si="53"/>
        <v>7</v>
      </c>
      <c r="J424" s="147"/>
      <c r="K424" s="336" t="s">
        <v>57</v>
      </c>
      <c r="L424" s="147">
        <v>100</v>
      </c>
      <c r="M424" s="147" t="s">
        <v>9</v>
      </c>
      <c r="N424" s="147"/>
      <c r="O424" s="147" t="s">
        <v>98</v>
      </c>
      <c r="P424" s="147">
        <v>1000</v>
      </c>
      <c r="Q424" s="150">
        <f t="shared" si="54"/>
        <v>0</v>
      </c>
      <c r="R424" s="151"/>
      <c r="S424" s="152">
        <v>1106</v>
      </c>
      <c r="T424" s="158">
        <v>1106</v>
      </c>
      <c r="U424" s="153"/>
      <c r="V424" s="154"/>
      <c r="W424" s="154"/>
      <c r="X424" s="155"/>
      <c r="Y424" s="155" t="s">
        <v>1394</v>
      </c>
      <c r="Z424" s="155" t="s">
        <v>1442</v>
      </c>
      <c r="AA424" s="273">
        <f t="shared" si="55"/>
        <v>1.1060000000000001</v>
      </c>
      <c r="AB424" s="273">
        <f t="shared" si="56"/>
        <v>1.1060000000000001</v>
      </c>
      <c r="AC424" s="156">
        <f t="shared" si="57"/>
        <v>1000</v>
      </c>
      <c r="AD424" s="274">
        <f t="shared" si="58"/>
        <v>1106</v>
      </c>
      <c r="AE424" s="274">
        <f t="shared" si="52"/>
        <v>1106</v>
      </c>
      <c r="AF424" s="337"/>
    </row>
    <row r="425" spans="1:32">
      <c r="A425" s="337" t="s">
        <v>1523</v>
      </c>
      <c r="B425" s="146" t="s">
        <v>1</v>
      </c>
      <c r="C425" s="155" t="s">
        <v>1512</v>
      </c>
      <c r="D425" s="147"/>
      <c r="E425" s="148" t="s">
        <v>1486</v>
      </c>
      <c r="F425" s="147" t="s">
        <v>106</v>
      </c>
      <c r="G425" s="147" t="s">
        <v>1429</v>
      </c>
      <c r="H425" s="147">
        <v>8</v>
      </c>
      <c r="I425" s="149">
        <f t="shared" si="53"/>
        <v>8</v>
      </c>
      <c r="J425" s="147"/>
      <c r="K425" s="336" t="s">
        <v>55</v>
      </c>
      <c r="L425" s="147">
        <v>100</v>
      </c>
      <c r="M425" s="147" t="s">
        <v>9</v>
      </c>
      <c r="N425" s="147"/>
      <c r="O425" s="147" t="s">
        <v>98</v>
      </c>
      <c r="P425" s="147">
        <v>1000</v>
      </c>
      <c r="Q425" s="150">
        <f t="shared" si="54"/>
        <v>0</v>
      </c>
      <c r="R425" s="151"/>
      <c r="S425" s="152">
        <v>1264</v>
      </c>
      <c r="T425" s="158">
        <v>1264</v>
      </c>
      <c r="U425" s="153"/>
      <c r="V425" s="154"/>
      <c r="W425" s="154"/>
      <c r="X425" s="155"/>
      <c r="Y425" s="155" t="s">
        <v>1394</v>
      </c>
      <c r="Z425" s="155" t="s">
        <v>1442</v>
      </c>
      <c r="AA425" s="273">
        <f t="shared" si="55"/>
        <v>1.264</v>
      </c>
      <c r="AB425" s="273">
        <f t="shared" si="56"/>
        <v>1.264</v>
      </c>
      <c r="AC425" s="156">
        <f t="shared" si="57"/>
        <v>1000</v>
      </c>
      <c r="AD425" s="274">
        <f t="shared" si="58"/>
        <v>1264</v>
      </c>
      <c r="AE425" s="274">
        <f t="shared" si="52"/>
        <v>1264</v>
      </c>
      <c r="AF425" s="337"/>
    </row>
    <row r="426" spans="1:32">
      <c r="A426" s="337" t="s">
        <v>1523</v>
      </c>
      <c r="B426" s="146" t="s">
        <v>1</v>
      </c>
      <c r="C426" s="155" t="s">
        <v>1512</v>
      </c>
      <c r="D426" s="147"/>
      <c r="E426" s="148" t="s">
        <v>1486</v>
      </c>
      <c r="F426" s="147" t="s">
        <v>106</v>
      </c>
      <c r="G426" s="147" t="s">
        <v>1429</v>
      </c>
      <c r="H426" s="147">
        <v>17</v>
      </c>
      <c r="I426" s="149">
        <f t="shared" si="53"/>
        <v>17</v>
      </c>
      <c r="J426" s="147"/>
      <c r="K426" s="336" t="s">
        <v>53</v>
      </c>
      <c r="L426" s="147">
        <v>100</v>
      </c>
      <c r="M426" s="147" t="s">
        <v>9</v>
      </c>
      <c r="N426" s="147"/>
      <c r="O426" s="147" t="s">
        <v>98</v>
      </c>
      <c r="P426" s="147">
        <v>1000</v>
      </c>
      <c r="Q426" s="150">
        <f t="shared" si="54"/>
        <v>0</v>
      </c>
      <c r="R426" s="151"/>
      <c r="S426" s="152">
        <v>2842</v>
      </c>
      <c r="T426" s="158">
        <v>2842</v>
      </c>
      <c r="U426" s="153"/>
      <c r="V426" s="154"/>
      <c r="W426" s="154"/>
      <c r="X426" s="155"/>
      <c r="Y426" s="155" t="s">
        <v>1394</v>
      </c>
      <c r="Z426" s="155" t="s">
        <v>1442</v>
      </c>
      <c r="AA426" s="273">
        <f t="shared" si="55"/>
        <v>2.8420000000000001</v>
      </c>
      <c r="AB426" s="273">
        <f t="shared" si="56"/>
        <v>2.8420000000000001</v>
      </c>
      <c r="AC426" s="156">
        <f t="shared" si="57"/>
        <v>1000</v>
      </c>
      <c r="AD426" s="274">
        <f t="shared" si="58"/>
        <v>2842</v>
      </c>
      <c r="AE426" s="274">
        <f t="shared" si="52"/>
        <v>2842</v>
      </c>
      <c r="AF426" s="337"/>
    </row>
    <row r="427" spans="1:32">
      <c r="A427" s="337" t="s">
        <v>1523</v>
      </c>
      <c r="B427" s="146" t="s">
        <v>1</v>
      </c>
      <c r="C427" s="155" t="s">
        <v>1512</v>
      </c>
      <c r="D427" s="147"/>
      <c r="E427" s="148" t="s">
        <v>1486</v>
      </c>
      <c r="F427" s="147" t="s">
        <v>106</v>
      </c>
      <c r="G427" s="147" t="s">
        <v>1429</v>
      </c>
      <c r="H427" s="147">
        <v>22</v>
      </c>
      <c r="I427" s="149">
        <f t="shared" si="53"/>
        <v>22</v>
      </c>
      <c r="J427" s="147"/>
      <c r="K427" s="336" t="s">
        <v>51</v>
      </c>
      <c r="L427" s="147">
        <v>100</v>
      </c>
      <c r="M427" s="147" t="s">
        <v>9</v>
      </c>
      <c r="N427" s="147"/>
      <c r="O427" s="147" t="s">
        <v>98</v>
      </c>
      <c r="P427" s="147">
        <v>1000</v>
      </c>
      <c r="Q427" s="150">
        <f t="shared" si="54"/>
        <v>0</v>
      </c>
      <c r="R427" s="151"/>
      <c r="S427" s="152">
        <v>4750</v>
      </c>
      <c r="T427" s="158">
        <v>4750</v>
      </c>
      <c r="U427" s="153"/>
      <c r="V427" s="154"/>
      <c r="W427" s="154"/>
      <c r="X427" s="155"/>
      <c r="Y427" s="155" t="s">
        <v>1394</v>
      </c>
      <c r="Z427" s="155" t="s">
        <v>1442</v>
      </c>
      <c r="AA427" s="273">
        <f t="shared" si="55"/>
        <v>4.75</v>
      </c>
      <c r="AB427" s="273">
        <f t="shared" si="56"/>
        <v>4.75</v>
      </c>
      <c r="AC427" s="156">
        <f t="shared" si="57"/>
        <v>1000</v>
      </c>
      <c r="AD427" s="274">
        <f t="shared" si="58"/>
        <v>4750</v>
      </c>
      <c r="AE427" s="274">
        <f t="shared" si="52"/>
        <v>4750</v>
      </c>
      <c r="AF427" s="337"/>
    </row>
    <row r="428" spans="1:32">
      <c r="A428" s="337" t="s">
        <v>1523</v>
      </c>
      <c r="B428" s="146" t="s">
        <v>1</v>
      </c>
      <c r="C428" s="155" t="s">
        <v>1512</v>
      </c>
      <c r="D428" s="147"/>
      <c r="E428" s="148" t="s">
        <v>1486</v>
      </c>
      <c r="F428" s="147" t="s">
        <v>106</v>
      </c>
      <c r="G428" s="147" t="s">
        <v>1429</v>
      </c>
      <c r="H428" s="147">
        <v>33</v>
      </c>
      <c r="I428" s="149">
        <f t="shared" si="53"/>
        <v>33</v>
      </c>
      <c r="J428" s="147"/>
      <c r="K428" s="336" t="s">
        <v>59</v>
      </c>
      <c r="L428" s="147">
        <v>100</v>
      </c>
      <c r="M428" s="147" t="s">
        <v>9</v>
      </c>
      <c r="N428" s="147"/>
      <c r="O428" s="147" t="s">
        <v>98</v>
      </c>
      <c r="P428" s="147">
        <v>1000</v>
      </c>
      <c r="Q428" s="150">
        <f t="shared" si="54"/>
        <v>0</v>
      </c>
      <c r="R428" s="151"/>
      <c r="S428" s="152">
        <v>7243</v>
      </c>
      <c r="T428" s="158">
        <v>7243</v>
      </c>
      <c r="U428" s="153"/>
      <c r="V428" s="154"/>
      <c r="W428" s="154"/>
      <c r="X428" s="155"/>
      <c r="Y428" s="155" t="s">
        <v>1394</v>
      </c>
      <c r="Z428" s="155" t="s">
        <v>1442</v>
      </c>
      <c r="AA428" s="273">
        <f t="shared" si="55"/>
        <v>7.2430000000000003</v>
      </c>
      <c r="AB428" s="273">
        <f t="shared" si="56"/>
        <v>7.2430000000000003</v>
      </c>
      <c r="AC428" s="156">
        <f t="shared" si="57"/>
        <v>1000</v>
      </c>
      <c r="AD428" s="274">
        <f t="shared" si="58"/>
        <v>7243</v>
      </c>
      <c r="AE428" s="274">
        <f t="shared" si="52"/>
        <v>7243</v>
      </c>
      <c r="AF428" s="337"/>
    </row>
    <row r="429" spans="1:32">
      <c r="A429" s="337" t="s">
        <v>1523</v>
      </c>
      <c r="B429" s="146" t="s">
        <v>1</v>
      </c>
      <c r="C429" s="155" t="s">
        <v>1512</v>
      </c>
      <c r="D429" s="147"/>
      <c r="E429" s="148" t="s">
        <v>1486</v>
      </c>
      <c r="F429" s="147" t="s">
        <v>106</v>
      </c>
      <c r="G429" s="147" t="s">
        <v>1429</v>
      </c>
      <c r="H429" s="147">
        <v>42</v>
      </c>
      <c r="I429" s="149">
        <f t="shared" si="53"/>
        <v>42</v>
      </c>
      <c r="J429" s="147"/>
      <c r="K429" s="336" t="s">
        <v>61</v>
      </c>
      <c r="L429" s="147">
        <v>100</v>
      </c>
      <c r="M429" s="147" t="s">
        <v>9</v>
      </c>
      <c r="N429" s="147"/>
      <c r="O429" s="147" t="s">
        <v>98</v>
      </c>
      <c r="P429" s="147">
        <v>1000</v>
      </c>
      <c r="Q429" s="150">
        <f t="shared" si="54"/>
        <v>0</v>
      </c>
      <c r="R429" s="151"/>
      <c r="S429" s="152">
        <v>1687</v>
      </c>
      <c r="T429" s="158">
        <v>1687</v>
      </c>
      <c r="U429" s="153"/>
      <c r="V429" s="154"/>
      <c r="W429" s="154"/>
      <c r="X429" s="155"/>
      <c r="Y429" s="155" t="s">
        <v>1394</v>
      </c>
      <c r="Z429" s="155" t="s">
        <v>1442</v>
      </c>
      <c r="AA429" s="273">
        <f t="shared" si="55"/>
        <v>1.6870000000000001</v>
      </c>
      <c r="AB429" s="273">
        <f t="shared" si="56"/>
        <v>1.6870000000000001</v>
      </c>
      <c r="AC429" s="156">
        <f t="shared" si="57"/>
        <v>1000</v>
      </c>
      <c r="AD429" s="274">
        <f t="shared" si="58"/>
        <v>1687</v>
      </c>
      <c r="AE429" s="274">
        <f t="shared" si="52"/>
        <v>1687</v>
      </c>
      <c r="AF429" s="337"/>
    </row>
    <row r="430" spans="1:32">
      <c r="A430" s="337" t="s">
        <v>1523</v>
      </c>
      <c r="B430" s="146" t="s">
        <v>1</v>
      </c>
      <c r="C430" s="155" t="s">
        <v>1512</v>
      </c>
      <c r="D430" s="147"/>
      <c r="E430" s="148" t="s">
        <v>1486</v>
      </c>
      <c r="F430" s="147" t="s">
        <v>106</v>
      </c>
      <c r="G430" s="147" t="s">
        <v>1429</v>
      </c>
      <c r="H430" s="147">
        <v>43</v>
      </c>
      <c r="I430" s="149">
        <f t="shared" si="53"/>
        <v>43</v>
      </c>
      <c r="J430" s="147"/>
      <c r="K430" s="336" t="s">
        <v>1505</v>
      </c>
      <c r="L430" s="147">
        <v>100</v>
      </c>
      <c r="M430" s="147" t="s">
        <v>9</v>
      </c>
      <c r="N430" s="147"/>
      <c r="O430" s="147" t="s">
        <v>98</v>
      </c>
      <c r="P430" s="147">
        <v>1000</v>
      </c>
      <c r="Q430" s="150">
        <f t="shared" si="54"/>
        <v>0</v>
      </c>
      <c r="R430" s="151"/>
      <c r="S430" s="152">
        <v>1562</v>
      </c>
      <c r="T430" s="158">
        <v>1562</v>
      </c>
      <c r="U430" s="153"/>
      <c r="V430" s="154"/>
      <c r="W430" s="154"/>
      <c r="X430" s="155"/>
      <c r="Y430" s="155" t="s">
        <v>1394</v>
      </c>
      <c r="Z430" s="155" t="s">
        <v>1442</v>
      </c>
      <c r="AA430" s="273">
        <f t="shared" si="55"/>
        <v>1.5620000000000001</v>
      </c>
      <c r="AB430" s="273">
        <f t="shared" si="56"/>
        <v>1.5620000000000001</v>
      </c>
      <c r="AC430" s="156">
        <f t="shared" si="57"/>
        <v>1000</v>
      </c>
      <c r="AD430" s="274">
        <f t="shared" si="58"/>
        <v>1562</v>
      </c>
      <c r="AE430" s="274">
        <f t="shared" si="52"/>
        <v>1562</v>
      </c>
      <c r="AF430" s="337"/>
    </row>
    <row r="431" spans="1:32">
      <c r="A431" s="337" t="s">
        <v>1523</v>
      </c>
      <c r="B431" s="146" t="s">
        <v>1</v>
      </c>
      <c r="C431" s="155" t="s">
        <v>1512</v>
      </c>
      <c r="D431" s="147"/>
      <c r="E431" s="148" t="s">
        <v>1486</v>
      </c>
      <c r="F431" s="147" t="s">
        <v>106</v>
      </c>
      <c r="G431" s="147" t="s">
        <v>1429</v>
      </c>
      <c r="H431" s="147">
        <v>46</v>
      </c>
      <c r="I431" s="149">
        <f t="shared" si="53"/>
        <v>46</v>
      </c>
      <c r="J431" s="147"/>
      <c r="K431" s="336" t="s">
        <v>1506</v>
      </c>
      <c r="L431" s="147">
        <v>100</v>
      </c>
      <c r="M431" s="147" t="s">
        <v>9</v>
      </c>
      <c r="N431" s="147"/>
      <c r="O431" s="147" t="s">
        <v>98</v>
      </c>
      <c r="P431" s="147">
        <v>1000</v>
      </c>
      <c r="Q431" s="150">
        <f t="shared" si="54"/>
        <v>0</v>
      </c>
      <c r="R431" s="151"/>
      <c r="S431" s="152">
        <v>4000</v>
      </c>
      <c r="T431" s="158">
        <v>4000</v>
      </c>
      <c r="U431" s="153"/>
      <c r="V431" s="154"/>
      <c r="W431" s="154"/>
      <c r="X431" s="155"/>
      <c r="Y431" s="155" t="s">
        <v>1394</v>
      </c>
      <c r="Z431" s="155" t="s">
        <v>1442</v>
      </c>
      <c r="AA431" s="273">
        <f t="shared" si="55"/>
        <v>4</v>
      </c>
      <c r="AB431" s="273">
        <f t="shared" si="56"/>
        <v>4</v>
      </c>
      <c r="AC431" s="156">
        <f t="shared" si="57"/>
        <v>1000</v>
      </c>
      <c r="AD431" s="274">
        <f t="shared" si="58"/>
        <v>4000</v>
      </c>
      <c r="AE431" s="274">
        <f t="shared" si="52"/>
        <v>4000</v>
      </c>
      <c r="AF431" s="337"/>
    </row>
    <row r="432" spans="1:32">
      <c r="A432" s="337" t="s">
        <v>1523</v>
      </c>
      <c r="B432" s="146" t="s">
        <v>1</v>
      </c>
      <c r="C432" s="155" t="s">
        <v>1512</v>
      </c>
      <c r="D432" s="147"/>
      <c r="E432" s="148" t="s">
        <v>1486</v>
      </c>
      <c r="F432" s="147" t="s">
        <v>106</v>
      </c>
      <c r="G432" s="147" t="s">
        <v>1429</v>
      </c>
      <c r="H432" s="147">
        <v>46</v>
      </c>
      <c r="I432" s="149">
        <f t="shared" si="53"/>
        <v>46</v>
      </c>
      <c r="J432" s="147"/>
      <c r="K432" s="336" t="s">
        <v>1507</v>
      </c>
      <c r="L432" s="147">
        <v>100</v>
      </c>
      <c r="M432" s="147" t="s">
        <v>9</v>
      </c>
      <c r="N432" s="147"/>
      <c r="O432" s="147" t="s">
        <v>98</v>
      </c>
      <c r="P432" s="147">
        <v>1000</v>
      </c>
      <c r="Q432" s="150">
        <f t="shared" si="54"/>
        <v>0</v>
      </c>
      <c r="R432" s="151"/>
      <c r="S432" s="152">
        <v>4211</v>
      </c>
      <c r="T432" s="158">
        <v>4211</v>
      </c>
      <c r="U432" s="153"/>
      <c r="V432" s="154"/>
      <c r="W432" s="154"/>
      <c r="X432" s="155"/>
      <c r="Y432" s="155" t="s">
        <v>1394</v>
      </c>
      <c r="Z432" s="155" t="s">
        <v>1442</v>
      </c>
      <c r="AA432" s="273">
        <f t="shared" si="55"/>
        <v>4.2110000000000003</v>
      </c>
      <c r="AB432" s="273">
        <f t="shared" si="56"/>
        <v>4.2110000000000003</v>
      </c>
      <c r="AC432" s="156">
        <f t="shared" si="57"/>
        <v>1000</v>
      </c>
      <c r="AD432" s="274">
        <f t="shared" si="58"/>
        <v>4211</v>
      </c>
      <c r="AE432" s="274">
        <f t="shared" si="52"/>
        <v>4211</v>
      </c>
      <c r="AF432" s="337"/>
    </row>
    <row r="433" spans="1:32">
      <c r="A433" s="337" t="s">
        <v>1523</v>
      </c>
      <c r="B433" s="146" t="s">
        <v>1</v>
      </c>
      <c r="C433" s="155" t="s">
        <v>1512</v>
      </c>
      <c r="D433" s="147"/>
      <c r="E433" s="148" t="s">
        <v>1486</v>
      </c>
      <c r="F433" s="147" t="s">
        <v>106</v>
      </c>
      <c r="G433" s="147" t="s">
        <v>1429</v>
      </c>
      <c r="H433" s="147">
        <v>46</v>
      </c>
      <c r="I433" s="149">
        <f t="shared" si="53"/>
        <v>46</v>
      </c>
      <c r="J433" s="147"/>
      <c r="K433" s="336" t="s">
        <v>1508</v>
      </c>
      <c r="L433" s="147">
        <v>100</v>
      </c>
      <c r="M433" s="147" t="s">
        <v>9</v>
      </c>
      <c r="N433" s="147"/>
      <c r="O433" s="147" t="s">
        <v>98</v>
      </c>
      <c r="P433" s="147">
        <v>1000</v>
      </c>
      <c r="Q433" s="150">
        <f t="shared" si="54"/>
        <v>0</v>
      </c>
      <c r="R433" s="151"/>
      <c r="S433" s="152">
        <v>4446</v>
      </c>
      <c r="T433" s="158">
        <v>4446</v>
      </c>
      <c r="U433" s="153"/>
      <c r="V433" s="154"/>
      <c r="W433" s="154"/>
      <c r="X433" s="155"/>
      <c r="Y433" s="155" t="s">
        <v>1394</v>
      </c>
      <c r="Z433" s="155" t="s">
        <v>1442</v>
      </c>
      <c r="AA433" s="273">
        <f t="shared" si="55"/>
        <v>4.4459999999999997</v>
      </c>
      <c r="AB433" s="273">
        <f t="shared" si="56"/>
        <v>4.4459999999999997</v>
      </c>
      <c r="AC433" s="156">
        <f t="shared" si="57"/>
        <v>1000</v>
      </c>
      <c r="AD433" s="274">
        <f t="shared" si="58"/>
        <v>4446</v>
      </c>
      <c r="AE433" s="274">
        <f t="shared" si="52"/>
        <v>4446</v>
      </c>
      <c r="AF433" s="337"/>
    </row>
    <row r="434" spans="1:32">
      <c r="A434" s="337" t="s">
        <v>1523</v>
      </c>
      <c r="B434" s="146" t="s">
        <v>1</v>
      </c>
      <c r="C434" s="155" t="s">
        <v>1512</v>
      </c>
      <c r="D434" s="147"/>
      <c r="E434" s="148" t="s">
        <v>1486</v>
      </c>
      <c r="F434" s="147" t="s">
        <v>106</v>
      </c>
      <c r="G434" s="147" t="s">
        <v>1429</v>
      </c>
      <c r="H434" s="147">
        <v>58</v>
      </c>
      <c r="I434" s="149">
        <f t="shared" si="53"/>
        <v>58</v>
      </c>
      <c r="J434" s="147"/>
      <c r="K434" s="336" t="s">
        <v>67</v>
      </c>
      <c r="L434" s="147">
        <v>100</v>
      </c>
      <c r="M434" s="147" t="s">
        <v>9</v>
      </c>
      <c r="N434" s="147"/>
      <c r="O434" s="147" t="s">
        <v>98</v>
      </c>
      <c r="P434" s="147">
        <v>1000</v>
      </c>
      <c r="Q434" s="150">
        <f t="shared" si="54"/>
        <v>0</v>
      </c>
      <c r="R434" s="151"/>
      <c r="S434" s="152">
        <v>1418</v>
      </c>
      <c r="T434" s="158">
        <v>1418</v>
      </c>
      <c r="U434" s="153"/>
      <c r="V434" s="154"/>
      <c r="W434" s="154"/>
      <c r="X434" s="155"/>
      <c r="Y434" s="155" t="s">
        <v>1394</v>
      </c>
      <c r="Z434" s="155" t="s">
        <v>1442</v>
      </c>
      <c r="AA434" s="273">
        <f t="shared" si="55"/>
        <v>1.4179999999999999</v>
      </c>
      <c r="AB434" s="273">
        <f t="shared" si="56"/>
        <v>1.4179999999999999</v>
      </c>
      <c r="AC434" s="156">
        <f t="shared" si="57"/>
        <v>1000</v>
      </c>
      <c r="AD434" s="274">
        <f t="shared" si="58"/>
        <v>1418</v>
      </c>
      <c r="AE434" s="274">
        <f t="shared" si="52"/>
        <v>1418</v>
      </c>
      <c r="AF434" s="337"/>
    </row>
    <row r="435" spans="1:32">
      <c r="A435" s="337" t="s">
        <v>1523</v>
      </c>
      <c r="B435" s="146" t="s">
        <v>1</v>
      </c>
      <c r="C435" s="155" t="s">
        <v>1512</v>
      </c>
      <c r="D435" s="147"/>
      <c r="E435" s="148" t="s">
        <v>1486</v>
      </c>
      <c r="F435" s="147" t="s">
        <v>106</v>
      </c>
      <c r="G435" s="147" t="s">
        <v>1429</v>
      </c>
      <c r="H435" s="147">
        <v>59</v>
      </c>
      <c r="I435" s="149">
        <f t="shared" si="53"/>
        <v>59</v>
      </c>
      <c r="J435" s="147"/>
      <c r="K435" s="336" t="s">
        <v>99</v>
      </c>
      <c r="L435" s="147">
        <v>100</v>
      </c>
      <c r="M435" s="147" t="s">
        <v>9</v>
      </c>
      <c r="N435" s="147"/>
      <c r="O435" s="147" t="s">
        <v>98</v>
      </c>
      <c r="P435" s="147">
        <v>1000</v>
      </c>
      <c r="Q435" s="150">
        <f t="shared" si="54"/>
        <v>0</v>
      </c>
      <c r="R435" s="151"/>
      <c r="S435" s="152">
        <v>3319</v>
      </c>
      <c r="T435" s="158">
        <v>3319</v>
      </c>
      <c r="U435" s="153"/>
      <c r="V435" s="154"/>
      <c r="W435" s="154"/>
      <c r="X435" s="155"/>
      <c r="Y435" s="155" t="s">
        <v>1394</v>
      </c>
      <c r="Z435" s="155" t="s">
        <v>1442</v>
      </c>
      <c r="AA435" s="273">
        <f t="shared" si="55"/>
        <v>3.319</v>
      </c>
      <c r="AB435" s="273">
        <f t="shared" si="56"/>
        <v>3.319</v>
      </c>
      <c r="AC435" s="156">
        <f t="shared" si="57"/>
        <v>1000</v>
      </c>
      <c r="AD435" s="274">
        <f t="shared" si="58"/>
        <v>3319</v>
      </c>
      <c r="AE435" s="274">
        <f t="shared" si="52"/>
        <v>3319</v>
      </c>
      <c r="AF435" s="337"/>
    </row>
    <row r="436" spans="1:32">
      <c r="A436" s="337" t="s">
        <v>1523</v>
      </c>
      <c r="B436" s="146" t="s">
        <v>1</v>
      </c>
      <c r="C436" s="155" t="s">
        <v>1512</v>
      </c>
      <c r="D436" s="147"/>
      <c r="E436" s="148" t="s">
        <v>1486</v>
      </c>
      <c r="F436" s="147" t="s">
        <v>106</v>
      </c>
      <c r="G436" s="147" t="s">
        <v>1429</v>
      </c>
      <c r="H436" s="147">
        <v>69</v>
      </c>
      <c r="I436" s="149">
        <f t="shared" si="53"/>
        <v>69</v>
      </c>
      <c r="J436" s="147"/>
      <c r="K436" s="336" t="s">
        <v>1509</v>
      </c>
      <c r="L436" s="147">
        <v>100</v>
      </c>
      <c r="M436" s="147" t="s">
        <v>9</v>
      </c>
      <c r="N436" s="147"/>
      <c r="O436" s="147" t="s">
        <v>98</v>
      </c>
      <c r="P436" s="147">
        <v>1000</v>
      </c>
      <c r="Q436" s="150">
        <f t="shared" si="54"/>
        <v>0</v>
      </c>
      <c r="R436" s="151"/>
      <c r="S436" s="152">
        <v>3536</v>
      </c>
      <c r="T436" s="158">
        <v>3536</v>
      </c>
      <c r="U436" s="153"/>
      <c r="V436" s="154"/>
      <c r="W436" s="154"/>
      <c r="X436" s="155"/>
      <c r="Y436" s="155" t="s">
        <v>1394</v>
      </c>
      <c r="Z436" s="155" t="s">
        <v>1442</v>
      </c>
      <c r="AA436" s="273">
        <f t="shared" si="55"/>
        <v>3.536</v>
      </c>
      <c r="AB436" s="273">
        <f t="shared" si="56"/>
        <v>3.536</v>
      </c>
      <c r="AC436" s="156">
        <f t="shared" si="57"/>
        <v>1000</v>
      </c>
      <c r="AD436" s="274">
        <f t="shared" si="58"/>
        <v>3536</v>
      </c>
      <c r="AE436" s="274">
        <f t="shared" si="52"/>
        <v>3536</v>
      </c>
      <c r="AF436" s="337"/>
    </row>
    <row r="437" spans="1:32">
      <c r="A437" s="337" t="s">
        <v>1523</v>
      </c>
      <c r="B437" s="146" t="s">
        <v>1</v>
      </c>
      <c r="C437" s="155" t="s">
        <v>1512</v>
      </c>
      <c r="D437" s="147"/>
      <c r="E437" s="148" t="s">
        <v>1486</v>
      </c>
      <c r="F437" s="147" t="s">
        <v>106</v>
      </c>
      <c r="G437" s="147" t="s">
        <v>1429</v>
      </c>
      <c r="H437" s="147">
        <v>70</v>
      </c>
      <c r="I437" s="149">
        <f t="shared" si="53"/>
        <v>70</v>
      </c>
      <c r="J437" s="147"/>
      <c r="K437" s="336" t="s">
        <v>1510</v>
      </c>
      <c r="L437" s="147">
        <v>100</v>
      </c>
      <c r="M437" s="147" t="s">
        <v>9</v>
      </c>
      <c r="N437" s="147"/>
      <c r="O437" s="147" t="s">
        <v>98</v>
      </c>
      <c r="P437" s="147">
        <v>1000</v>
      </c>
      <c r="Q437" s="150">
        <f t="shared" si="54"/>
        <v>0</v>
      </c>
      <c r="R437" s="151"/>
      <c r="S437" s="152">
        <v>4029</v>
      </c>
      <c r="T437" s="158">
        <v>4029</v>
      </c>
      <c r="U437" s="153"/>
      <c r="V437" s="154"/>
      <c r="W437" s="154"/>
      <c r="X437" s="155"/>
      <c r="Y437" s="155" t="s">
        <v>1394</v>
      </c>
      <c r="Z437" s="155" t="s">
        <v>1442</v>
      </c>
      <c r="AA437" s="273">
        <f t="shared" si="55"/>
        <v>4.0289999999999999</v>
      </c>
      <c r="AB437" s="273">
        <f t="shared" si="56"/>
        <v>4.0289999999999999</v>
      </c>
      <c r="AC437" s="156">
        <f t="shared" si="57"/>
        <v>1000</v>
      </c>
      <c r="AD437" s="274">
        <f t="shared" si="58"/>
        <v>4029</v>
      </c>
      <c r="AE437" s="274">
        <f t="shared" si="52"/>
        <v>4029</v>
      </c>
      <c r="AF437" s="337"/>
    </row>
    <row r="438" spans="1:32">
      <c r="A438" s="337" t="s">
        <v>1523</v>
      </c>
      <c r="B438" s="146" t="s">
        <v>1</v>
      </c>
      <c r="C438" s="155" t="s">
        <v>1512</v>
      </c>
      <c r="D438" s="147"/>
      <c r="E438" s="148" t="s">
        <v>1486</v>
      </c>
      <c r="F438" s="147" t="s">
        <v>106</v>
      </c>
      <c r="G438" s="147" t="s">
        <v>1429</v>
      </c>
      <c r="H438" s="147">
        <v>70</v>
      </c>
      <c r="I438" s="149">
        <f t="shared" si="53"/>
        <v>70</v>
      </c>
      <c r="J438" s="147"/>
      <c r="K438" s="336" t="s">
        <v>1511</v>
      </c>
      <c r="L438" s="147">
        <v>100</v>
      </c>
      <c r="M438" s="147" t="s">
        <v>9</v>
      </c>
      <c r="N438" s="147"/>
      <c r="O438" s="147" t="s">
        <v>98</v>
      </c>
      <c r="P438" s="147">
        <v>1000</v>
      </c>
      <c r="Q438" s="150">
        <f t="shared" si="54"/>
        <v>0</v>
      </c>
      <c r="R438" s="151"/>
      <c r="S438" s="152">
        <v>4040</v>
      </c>
      <c r="T438" s="158">
        <v>4040</v>
      </c>
      <c r="U438" s="153"/>
      <c r="V438" s="154"/>
      <c r="W438" s="154"/>
      <c r="X438" s="155"/>
      <c r="Y438" s="155" t="s">
        <v>1394</v>
      </c>
      <c r="Z438" s="155" t="s">
        <v>1442</v>
      </c>
      <c r="AA438" s="273">
        <f t="shared" si="55"/>
        <v>4.04</v>
      </c>
      <c r="AB438" s="273">
        <f t="shared" si="56"/>
        <v>4.04</v>
      </c>
      <c r="AC438" s="156">
        <f t="shared" si="57"/>
        <v>1000</v>
      </c>
      <c r="AD438" s="274">
        <f t="shared" si="58"/>
        <v>4040</v>
      </c>
      <c r="AE438" s="274">
        <f t="shared" si="52"/>
        <v>4040</v>
      </c>
      <c r="AF438" s="337"/>
    </row>
    <row r="439" spans="1:32">
      <c r="A439" s="337" t="s">
        <v>1523</v>
      </c>
      <c r="B439" s="146" t="s">
        <v>1</v>
      </c>
      <c r="C439" s="155" t="s">
        <v>1512</v>
      </c>
      <c r="D439" s="147"/>
      <c r="E439" s="148" t="s">
        <v>1487</v>
      </c>
      <c r="F439" s="147" t="s">
        <v>106</v>
      </c>
      <c r="G439" s="147" t="s">
        <v>1429</v>
      </c>
      <c r="H439" s="147">
        <v>7</v>
      </c>
      <c r="I439" s="149">
        <f t="shared" si="53"/>
        <v>7</v>
      </c>
      <c r="J439" s="147"/>
      <c r="K439" s="336" t="s">
        <v>57</v>
      </c>
      <c r="L439" s="147">
        <v>100</v>
      </c>
      <c r="M439" s="147" t="s">
        <v>9</v>
      </c>
      <c r="N439" s="147"/>
      <c r="O439" s="147" t="s">
        <v>98</v>
      </c>
      <c r="P439" s="147">
        <v>1000</v>
      </c>
      <c r="Q439" s="150">
        <f t="shared" si="54"/>
        <v>0</v>
      </c>
      <c r="R439" s="151"/>
      <c r="S439" s="152">
        <v>1174</v>
      </c>
      <c r="T439" s="158">
        <v>1174</v>
      </c>
      <c r="U439" s="153"/>
      <c r="V439" s="154"/>
      <c r="W439" s="154"/>
      <c r="X439" s="155"/>
      <c r="Y439" s="155" t="s">
        <v>1394</v>
      </c>
      <c r="Z439" s="155" t="s">
        <v>1442</v>
      </c>
      <c r="AA439" s="273">
        <f t="shared" si="55"/>
        <v>1.1739999999999999</v>
      </c>
      <c r="AB439" s="273">
        <f t="shared" si="56"/>
        <v>1.1739999999999999</v>
      </c>
      <c r="AC439" s="156">
        <f t="shared" si="57"/>
        <v>1000</v>
      </c>
      <c r="AD439" s="274">
        <f t="shared" si="58"/>
        <v>1174</v>
      </c>
      <c r="AE439" s="274">
        <f t="shared" si="52"/>
        <v>1174</v>
      </c>
      <c r="AF439" s="337"/>
    </row>
    <row r="440" spans="1:32">
      <c r="A440" s="337" t="s">
        <v>1523</v>
      </c>
      <c r="B440" s="146" t="s">
        <v>1</v>
      </c>
      <c r="C440" s="155" t="s">
        <v>1512</v>
      </c>
      <c r="D440" s="147"/>
      <c r="E440" s="148" t="s">
        <v>1487</v>
      </c>
      <c r="F440" s="147" t="s">
        <v>106</v>
      </c>
      <c r="G440" s="147" t="s">
        <v>1429</v>
      </c>
      <c r="H440" s="147">
        <v>8</v>
      </c>
      <c r="I440" s="149">
        <f t="shared" si="53"/>
        <v>8</v>
      </c>
      <c r="J440" s="147"/>
      <c r="K440" s="336" t="s">
        <v>55</v>
      </c>
      <c r="L440" s="147">
        <v>100</v>
      </c>
      <c r="M440" s="147" t="s">
        <v>9</v>
      </c>
      <c r="N440" s="147"/>
      <c r="O440" s="147" t="s">
        <v>98</v>
      </c>
      <c r="P440" s="147">
        <v>1000</v>
      </c>
      <c r="Q440" s="150">
        <f t="shared" si="54"/>
        <v>0</v>
      </c>
      <c r="R440" s="151"/>
      <c r="S440" s="152">
        <v>1342</v>
      </c>
      <c r="T440" s="158">
        <v>1342</v>
      </c>
      <c r="U440" s="153"/>
      <c r="V440" s="154"/>
      <c r="W440" s="154"/>
      <c r="X440" s="155"/>
      <c r="Y440" s="155" t="s">
        <v>1394</v>
      </c>
      <c r="Z440" s="155" t="s">
        <v>1442</v>
      </c>
      <c r="AA440" s="273">
        <f t="shared" si="55"/>
        <v>1.3420000000000001</v>
      </c>
      <c r="AB440" s="273">
        <f t="shared" si="56"/>
        <v>1.3420000000000001</v>
      </c>
      <c r="AC440" s="156">
        <f t="shared" si="57"/>
        <v>1000</v>
      </c>
      <c r="AD440" s="274">
        <f t="shared" si="58"/>
        <v>1342</v>
      </c>
      <c r="AE440" s="274">
        <f t="shared" si="52"/>
        <v>1342</v>
      </c>
      <c r="AF440" s="337"/>
    </row>
    <row r="441" spans="1:32">
      <c r="A441" s="337" t="s">
        <v>1523</v>
      </c>
      <c r="B441" s="146" t="s">
        <v>1</v>
      </c>
      <c r="C441" s="155" t="s">
        <v>1512</v>
      </c>
      <c r="D441" s="147"/>
      <c r="E441" s="148" t="s">
        <v>1487</v>
      </c>
      <c r="F441" s="147" t="s">
        <v>106</v>
      </c>
      <c r="G441" s="147" t="s">
        <v>1429</v>
      </c>
      <c r="H441" s="147">
        <v>17</v>
      </c>
      <c r="I441" s="149">
        <f t="shared" si="53"/>
        <v>17</v>
      </c>
      <c r="J441" s="147"/>
      <c r="K441" s="336" t="s">
        <v>53</v>
      </c>
      <c r="L441" s="147">
        <v>100</v>
      </c>
      <c r="M441" s="147" t="s">
        <v>9</v>
      </c>
      <c r="N441" s="147"/>
      <c r="O441" s="147" t="s">
        <v>98</v>
      </c>
      <c r="P441" s="147">
        <v>1000</v>
      </c>
      <c r="Q441" s="150">
        <f t="shared" si="54"/>
        <v>0</v>
      </c>
      <c r="R441" s="151"/>
      <c r="S441" s="152">
        <v>2883</v>
      </c>
      <c r="T441" s="158">
        <v>2883</v>
      </c>
      <c r="U441" s="153"/>
      <c r="V441" s="154"/>
      <c r="W441" s="154"/>
      <c r="X441" s="155"/>
      <c r="Y441" s="155" t="s">
        <v>1394</v>
      </c>
      <c r="Z441" s="155" t="s">
        <v>1442</v>
      </c>
      <c r="AA441" s="273">
        <f t="shared" si="55"/>
        <v>2.883</v>
      </c>
      <c r="AB441" s="273">
        <f t="shared" si="56"/>
        <v>2.883</v>
      </c>
      <c r="AC441" s="156">
        <f t="shared" si="57"/>
        <v>1000</v>
      </c>
      <c r="AD441" s="274">
        <f t="shared" si="58"/>
        <v>2883</v>
      </c>
      <c r="AE441" s="274">
        <f t="shared" si="52"/>
        <v>2883</v>
      </c>
      <c r="AF441" s="337"/>
    </row>
    <row r="442" spans="1:32">
      <c r="A442" s="337" t="s">
        <v>1523</v>
      </c>
      <c r="B442" s="146" t="s">
        <v>1</v>
      </c>
      <c r="C442" s="155" t="s">
        <v>1512</v>
      </c>
      <c r="D442" s="147"/>
      <c r="E442" s="148" t="s">
        <v>1487</v>
      </c>
      <c r="F442" s="147" t="s">
        <v>106</v>
      </c>
      <c r="G442" s="147" t="s">
        <v>1429</v>
      </c>
      <c r="H442" s="147">
        <v>22</v>
      </c>
      <c r="I442" s="149">
        <f t="shared" si="53"/>
        <v>22</v>
      </c>
      <c r="J442" s="147"/>
      <c r="K442" s="336" t="s">
        <v>51</v>
      </c>
      <c r="L442" s="147">
        <v>100</v>
      </c>
      <c r="M442" s="147" t="s">
        <v>9</v>
      </c>
      <c r="N442" s="147"/>
      <c r="O442" s="147" t="s">
        <v>98</v>
      </c>
      <c r="P442" s="147">
        <v>1000</v>
      </c>
      <c r="Q442" s="150">
        <f t="shared" si="54"/>
        <v>0</v>
      </c>
      <c r="R442" s="151"/>
      <c r="S442" s="152">
        <v>4794</v>
      </c>
      <c r="T442" s="158">
        <v>4794</v>
      </c>
      <c r="U442" s="153"/>
      <c r="V442" s="154"/>
      <c r="W442" s="154"/>
      <c r="X442" s="155"/>
      <c r="Y442" s="155" t="s">
        <v>1394</v>
      </c>
      <c r="Z442" s="155" t="s">
        <v>1442</v>
      </c>
      <c r="AA442" s="273">
        <f t="shared" si="55"/>
        <v>4.7939999999999996</v>
      </c>
      <c r="AB442" s="273">
        <f t="shared" si="56"/>
        <v>4.7939999999999996</v>
      </c>
      <c r="AC442" s="156">
        <f t="shared" si="57"/>
        <v>1000</v>
      </c>
      <c r="AD442" s="274">
        <f t="shared" si="58"/>
        <v>4794</v>
      </c>
      <c r="AE442" s="274">
        <f t="shared" si="52"/>
        <v>4794</v>
      </c>
      <c r="AF442" s="337"/>
    </row>
    <row r="443" spans="1:32">
      <c r="A443" s="337" t="s">
        <v>1523</v>
      </c>
      <c r="B443" s="146" t="s">
        <v>1</v>
      </c>
      <c r="C443" s="155" t="s">
        <v>1512</v>
      </c>
      <c r="D443" s="147"/>
      <c r="E443" s="148" t="s">
        <v>1487</v>
      </c>
      <c r="F443" s="147" t="s">
        <v>106</v>
      </c>
      <c r="G443" s="147" t="s">
        <v>1429</v>
      </c>
      <c r="H443" s="147">
        <v>33</v>
      </c>
      <c r="I443" s="149">
        <f t="shared" si="53"/>
        <v>33</v>
      </c>
      <c r="J443" s="147"/>
      <c r="K443" s="336" t="s">
        <v>59</v>
      </c>
      <c r="L443" s="147">
        <v>100</v>
      </c>
      <c r="M443" s="147" t="s">
        <v>9</v>
      </c>
      <c r="N443" s="147"/>
      <c r="O443" s="147" t="s">
        <v>98</v>
      </c>
      <c r="P443" s="147">
        <v>1000</v>
      </c>
      <c r="Q443" s="150">
        <f t="shared" si="54"/>
        <v>0</v>
      </c>
      <c r="R443" s="151"/>
      <c r="S443" s="152">
        <v>6726</v>
      </c>
      <c r="T443" s="158">
        <v>6726</v>
      </c>
      <c r="U443" s="153"/>
      <c r="V443" s="154"/>
      <c r="W443" s="154"/>
      <c r="X443" s="155"/>
      <c r="Y443" s="155" t="s">
        <v>1394</v>
      </c>
      <c r="Z443" s="155" t="s">
        <v>1442</v>
      </c>
      <c r="AA443" s="273">
        <f t="shared" si="55"/>
        <v>6.726</v>
      </c>
      <c r="AB443" s="273">
        <f t="shared" si="56"/>
        <v>6.726</v>
      </c>
      <c r="AC443" s="156">
        <f t="shared" si="57"/>
        <v>1000</v>
      </c>
      <c r="AD443" s="274">
        <f t="shared" si="58"/>
        <v>6726</v>
      </c>
      <c r="AE443" s="274">
        <f t="shared" si="52"/>
        <v>6726</v>
      </c>
      <c r="AF443" s="337"/>
    </row>
    <row r="444" spans="1:32">
      <c r="A444" s="337" t="s">
        <v>1523</v>
      </c>
      <c r="B444" s="146" t="s">
        <v>1</v>
      </c>
      <c r="C444" s="155" t="s">
        <v>1512</v>
      </c>
      <c r="D444" s="147"/>
      <c r="E444" s="148" t="s">
        <v>1487</v>
      </c>
      <c r="F444" s="147" t="s">
        <v>106</v>
      </c>
      <c r="G444" s="147" t="s">
        <v>1429</v>
      </c>
      <c r="H444" s="147">
        <v>42</v>
      </c>
      <c r="I444" s="149">
        <f t="shared" si="53"/>
        <v>42</v>
      </c>
      <c r="J444" s="147"/>
      <c r="K444" s="336" t="s">
        <v>61</v>
      </c>
      <c r="L444" s="147">
        <v>100</v>
      </c>
      <c r="M444" s="147" t="s">
        <v>9</v>
      </c>
      <c r="N444" s="147"/>
      <c r="O444" s="147" t="s">
        <v>98</v>
      </c>
      <c r="P444" s="147">
        <v>1000</v>
      </c>
      <c r="Q444" s="150">
        <f t="shared" si="54"/>
        <v>0</v>
      </c>
      <c r="R444" s="151"/>
      <c r="S444" s="152">
        <v>1623</v>
      </c>
      <c r="T444" s="158">
        <v>1623</v>
      </c>
      <c r="U444" s="153"/>
      <c r="V444" s="154"/>
      <c r="W444" s="154"/>
      <c r="X444" s="155"/>
      <c r="Y444" s="155" t="s">
        <v>1394</v>
      </c>
      <c r="Z444" s="155" t="s">
        <v>1442</v>
      </c>
      <c r="AA444" s="273">
        <f t="shared" si="55"/>
        <v>1.623</v>
      </c>
      <c r="AB444" s="273">
        <f t="shared" si="56"/>
        <v>1.623</v>
      </c>
      <c r="AC444" s="156">
        <f t="shared" si="57"/>
        <v>1000</v>
      </c>
      <c r="AD444" s="274">
        <f t="shared" si="58"/>
        <v>1623</v>
      </c>
      <c r="AE444" s="274">
        <f t="shared" si="52"/>
        <v>1623</v>
      </c>
      <c r="AF444" s="337"/>
    </row>
    <row r="445" spans="1:32">
      <c r="A445" s="337" t="s">
        <v>1523</v>
      </c>
      <c r="B445" s="146" t="s">
        <v>1</v>
      </c>
      <c r="C445" s="155" t="s">
        <v>1512</v>
      </c>
      <c r="D445" s="147"/>
      <c r="E445" s="148" t="s">
        <v>1487</v>
      </c>
      <c r="F445" s="147" t="s">
        <v>106</v>
      </c>
      <c r="G445" s="147" t="s">
        <v>1429</v>
      </c>
      <c r="H445" s="147">
        <v>43</v>
      </c>
      <c r="I445" s="149">
        <f t="shared" si="53"/>
        <v>43</v>
      </c>
      <c r="J445" s="147"/>
      <c r="K445" s="336" t="s">
        <v>1505</v>
      </c>
      <c r="L445" s="147">
        <v>100</v>
      </c>
      <c r="M445" s="147" t="s">
        <v>9</v>
      </c>
      <c r="N445" s="147"/>
      <c r="O445" s="147" t="s">
        <v>98</v>
      </c>
      <c r="P445" s="147">
        <v>1000</v>
      </c>
      <c r="Q445" s="150">
        <f t="shared" si="54"/>
        <v>0</v>
      </c>
      <c r="R445" s="151"/>
      <c r="S445" s="152">
        <v>1846</v>
      </c>
      <c r="T445" s="158">
        <v>1846</v>
      </c>
      <c r="U445" s="153"/>
      <c r="V445" s="154"/>
      <c r="W445" s="154"/>
      <c r="X445" s="155"/>
      <c r="Y445" s="155" t="s">
        <v>1394</v>
      </c>
      <c r="Z445" s="155" t="s">
        <v>1442</v>
      </c>
      <c r="AA445" s="273">
        <f t="shared" si="55"/>
        <v>1.8460000000000001</v>
      </c>
      <c r="AB445" s="273">
        <f t="shared" si="56"/>
        <v>1.8460000000000001</v>
      </c>
      <c r="AC445" s="156">
        <f t="shared" si="57"/>
        <v>1000</v>
      </c>
      <c r="AD445" s="274">
        <f t="shared" si="58"/>
        <v>1846</v>
      </c>
      <c r="AE445" s="274">
        <f t="shared" si="52"/>
        <v>1846</v>
      </c>
      <c r="AF445" s="337"/>
    </row>
    <row r="446" spans="1:32">
      <c r="A446" s="337" t="s">
        <v>1523</v>
      </c>
      <c r="B446" s="146" t="s">
        <v>1</v>
      </c>
      <c r="C446" s="155" t="s">
        <v>1512</v>
      </c>
      <c r="D446" s="147"/>
      <c r="E446" s="148" t="s">
        <v>1487</v>
      </c>
      <c r="F446" s="147" t="s">
        <v>106</v>
      </c>
      <c r="G446" s="147" t="s">
        <v>1429</v>
      </c>
      <c r="H446" s="147">
        <v>46</v>
      </c>
      <c r="I446" s="149">
        <f t="shared" si="53"/>
        <v>46</v>
      </c>
      <c r="J446" s="147"/>
      <c r="K446" s="336" t="s">
        <v>1506</v>
      </c>
      <c r="L446" s="147">
        <v>100</v>
      </c>
      <c r="M446" s="147" t="s">
        <v>9</v>
      </c>
      <c r="N446" s="147"/>
      <c r="O446" s="147" t="s">
        <v>98</v>
      </c>
      <c r="P446" s="147">
        <v>1000</v>
      </c>
      <c r="Q446" s="150">
        <f t="shared" si="54"/>
        <v>0</v>
      </c>
      <c r="R446" s="151"/>
      <c r="S446" s="152">
        <v>4000</v>
      </c>
      <c r="T446" s="158">
        <v>4000</v>
      </c>
      <c r="U446" s="153"/>
      <c r="V446" s="154"/>
      <c r="W446" s="154"/>
      <c r="X446" s="155"/>
      <c r="Y446" s="155" t="s">
        <v>1394</v>
      </c>
      <c r="Z446" s="155" t="s">
        <v>1442</v>
      </c>
      <c r="AA446" s="273">
        <f t="shared" si="55"/>
        <v>4</v>
      </c>
      <c r="AB446" s="273">
        <f t="shared" si="56"/>
        <v>4</v>
      </c>
      <c r="AC446" s="156">
        <f t="shared" si="57"/>
        <v>1000</v>
      </c>
      <c r="AD446" s="274">
        <f t="shared" si="58"/>
        <v>4000</v>
      </c>
      <c r="AE446" s="274">
        <f t="shared" si="52"/>
        <v>4000</v>
      </c>
      <c r="AF446" s="337"/>
    </row>
    <row r="447" spans="1:32">
      <c r="A447" s="337" t="s">
        <v>1523</v>
      </c>
      <c r="B447" s="146" t="s">
        <v>1</v>
      </c>
      <c r="C447" s="155" t="s">
        <v>1512</v>
      </c>
      <c r="D447" s="147"/>
      <c r="E447" s="148" t="s">
        <v>1487</v>
      </c>
      <c r="F447" s="147" t="s">
        <v>106</v>
      </c>
      <c r="G447" s="147" t="s">
        <v>1429</v>
      </c>
      <c r="H447" s="147">
        <v>46</v>
      </c>
      <c r="I447" s="149">
        <f t="shared" si="53"/>
        <v>46</v>
      </c>
      <c r="J447" s="147"/>
      <c r="K447" s="336" t="s">
        <v>1507</v>
      </c>
      <c r="L447" s="147">
        <v>100</v>
      </c>
      <c r="M447" s="147" t="s">
        <v>9</v>
      </c>
      <c r="N447" s="147"/>
      <c r="O447" s="147" t="s">
        <v>98</v>
      </c>
      <c r="P447" s="147">
        <v>1000</v>
      </c>
      <c r="Q447" s="150">
        <f t="shared" si="54"/>
        <v>0</v>
      </c>
      <c r="R447" s="151"/>
      <c r="S447" s="152">
        <v>4218</v>
      </c>
      <c r="T447" s="158">
        <v>4218</v>
      </c>
      <c r="U447" s="153"/>
      <c r="V447" s="154"/>
      <c r="W447" s="154"/>
      <c r="X447" s="155"/>
      <c r="Y447" s="155" t="s">
        <v>1394</v>
      </c>
      <c r="Z447" s="155" t="s">
        <v>1442</v>
      </c>
      <c r="AA447" s="273">
        <f t="shared" si="55"/>
        <v>4.218</v>
      </c>
      <c r="AB447" s="273">
        <f t="shared" si="56"/>
        <v>4.218</v>
      </c>
      <c r="AC447" s="156">
        <f t="shared" si="57"/>
        <v>1000</v>
      </c>
      <c r="AD447" s="274">
        <f t="shared" si="58"/>
        <v>4218</v>
      </c>
      <c r="AE447" s="274">
        <f t="shared" si="52"/>
        <v>4218</v>
      </c>
      <c r="AF447" s="337"/>
    </row>
    <row r="448" spans="1:32">
      <c r="A448" s="337" t="s">
        <v>1523</v>
      </c>
      <c r="B448" s="146" t="s">
        <v>1</v>
      </c>
      <c r="C448" s="155" t="s">
        <v>1512</v>
      </c>
      <c r="D448" s="147"/>
      <c r="E448" s="148" t="s">
        <v>1487</v>
      </c>
      <c r="F448" s="147" t="s">
        <v>106</v>
      </c>
      <c r="G448" s="147" t="s">
        <v>1429</v>
      </c>
      <c r="H448" s="147">
        <v>46</v>
      </c>
      <c r="I448" s="149">
        <f t="shared" si="53"/>
        <v>46</v>
      </c>
      <c r="J448" s="147"/>
      <c r="K448" s="336" t="s">
        <v>1508</v>
      </c>
      <c r="L448" s="147">
        <v>100</v>
      </c>
      <c r="M448" s="147" t="s">
        <v>9</v>
      </c>
      <c r="N448" s="147"/>
      <c r="O448" s="147" t="s">
        <v>98</v>
      </c>
      <c r="P448" s="147">
        <v>1000</v>
      </c>
      <c r="Q448" s="150">
        <f t="shared" si="54"/>
        <v>0</v>
      </c>
      <c r="R448" s="151"/>
      <c r="S448" s="152">
        <v>4516</v>
      </c>
      <c r="T448" s="158">
        <v>4516</v>
      </c>
      <c r="U448" s="153"/>
      <c r="V448" s="154"/>
      <c r="W448" s="154"/>
      <c r="X448" s="155"/>
      <c r="Y448" s="155" t="s">
        <v>1394</v>
      </c>
      <c r="Z448" s="155" t="s">
        <v>1442</v>
      </c>
      <c r="AA448" s="273">
        <f t="shared" si="55"/>
        <v>4.516</v>
      </c>
      <c r="AB448" s="273">
        <f t="shared" si="56"/>
        <v>4.516</v>
      </c>
      <c r="AC448" s="156">
        <f t="shared" si="57"/>
        <v>1000</v>
      </c>
      <c r="AD448" s="274">
        <f t="shared" si="58"/>
        <v>4516</v>
      </c>
      <c r="AE448" s="274">
        <f t="shared" si="52"/>
        <v>4516</v>
      </c>
      <c r="AF448" s="337"/>
    </row>
    <row r="449" spans="1:32">
      <c r="A449" s="337" t="s">
        <v>1523</v>
      </c>
      <c r="B449" s="146" t="s">
        <v>1</v>
      </c>
      <c r="C449" s="155" t="s">
        <v>1512</v>
      </c>
      <c r="D449" s="147"/>
      <c r="E449" s="148" t="s">
        <v>1487</v>
      </c>
      <c r="F449" s="147" t="s">
        <v>106</v>
      </c>
      <c r="G449" s="147" t="s">
        <v>1429</v>
      </c>
      <c r="H449" s="147">
        <v>58</v>
      </c>
      <c r="I449" s="149">
        <f t="shared" si="53"/>
        <v>58</v>
      </c>
      <c r="J449" s="147"/>
      <c r="K449" s="336" t="s">
        <v>67</v>
      </c>
      <c r="L449" s="147">
        <v>100</v>
      </c>
      <c r="M449" s="147" t="s">
        <v>9</v>
      </c>
      <c r="N449" s="147"/>
      <c r="O449" s="147" t="s">
        <v>98</v>
      </c>
      <c r="P449" s="147">
        <v>1000</v>
      </c>
      <c r="Q449" s="150">
        <f t="shared" si="54"/>
        <v>0</v>
      </c>
      <c r="R449" s="151"/>
      <c r="S449" s="152">
        <v>1570</v>
      </c>
      <c r="T449" s="158">
        <v>1570</v>
      </c>
      <c r="U449" s="153"/>
      <c r="V449" s="154"/>
      <c r="W449" s="154"/>
      <c r="X449" s="155"/>
      <c r="Y449" s="155" t="s">
        <v>1394</v>
      </c>
      <c r="Z449" s="155" t="s">
        <v>1442</v>
      </c>
      <c r="AA449" s="273">
        <f t="shared" si="55"/>
        <v>1.57</v>
      </c>
      <c r="AB449" s="273">
        <f t="shared" si="56"/>
        <v>1.57</v>
      </c>
      <c r="AC449" s="156">
        <f t="shared" si="57"/>
        <v>1000</v>
      </c>
      <c r="AD449" s="274">
        <f t="shared" si="58"/>
        <v>1570</v>
      </c>
      <c r="AE449" s="274">
        <f t="shared" si="52"/>
        <v>1570</v>
      </c>
      <c r="AF449" s="337"/>
    </row>
    <row r="450" spans="1:32">
      <c r="A450" s="337" t="s">
        <v>1523</v>
      </c>
      <c r="B450" s="146" t="s">
        <v>1</v>
      </c>
      <c r="C450" s="155" t="s">
        <v>1512</v>
      </c>
      <c r="D450" s="147"/>
      <c r="E450" s="148" t="s">
        <v>1487</v>
      </c>
      <c r="F450" s="147" t="s">
        <v>106</v>
      </c>
      <c r="G450" s="147" t="s">
        <v>1429</v>
      </c>
      <c r="H450" s="147">
        <v>59</v>
      </c>
      <c r="I450" s="149">
        <f t="shared" si="53"/>
        <v>59</v>
      </c>
      <c r="J450" s="147"/>
      <c r="K450" s="336" t="s">
        <v>99</v>
      </c>
      <c r="L450" s="147">
        <v>100</v>
      </c>
      <c r="M450" s="147" t="s">
        <v>9</v>
      </c>
      <c r="N450" s="147"/>
      <c r="O450" s="147" t="s">
        <v>98</v>
      </c>
      <c r="P450" s="147">
        <v>1000</v>
      </c>
      <c r="Q450" s="150">
        <f t="shared" si="54"/>
        <v>0</v>
      </c>
      <c r="R450" s="151"/>
      <c r="S450" s="152">
        <v>2731</v>
      </c>
      <c r="T450" s="158">
        <v>2731</v>
      </c>
      <c r="U450" s="153"/>
      <c r="V450" s="154"/>
      <c r="W450" s="154"/>
      <c r="X450" s="155"/>
      <c r="Y450" s="155" t="s">
        <v>1394</v>
      </c>
      <c r="Z450" s="155" t="s">
        <v>1442</v>
      </c>
      <c r="AA450" s="273">
        <f t="shared" si="55"/>
        <v>2.7309999999999999</v>
      </c>
      <c r="AB450" s="273">
        <f t="shared" si="56"/>
        <v>2.7309999999999999</v>
      </c>
      <c r="AC450" s="156">
        <f t="shared" si="57"/>
        <v>1000</v>
      </c>
      <c r="AD450" s="274">
        <f t="shared" si="58"/>
        <v>2731</v>
      </c>
      <c r="AE450" s="274">
        <f t="shared" si="52"/>
        <v>2731</v>
      </c>
      <c r="AF450" s="337"/>
    </row>
    <row r="451" spans="1:32">
      <c r="A451" s="337" t="s">
        <v>1523</v>
      </c>
      <c r="B451" s="146" t="s">
        <v>1</v>
      </c>
      <c r="C451" s="155" t="s">
        <v>1512</v>
      </c>
      <c r="D451" s="147"/>
      <c r="E451" s="148" t="s">
        <v>1487</v>
      </c>
      <c r="F451" s="147" t="s">
        <v>106</v>
      </c>
      <c r="G451" s="147" t="s">
        <v>1429</v>
      </c>
      <c r="H451" s="147">
        <v>69</v>
      </c>
      <c r="I451" s="149">
        <f t="shared" si="53"/>
        <v>69</v>
      </c>
      <c r="J451" s="147"/>
      <c r="K451" s="336" t="s">
        <v>1509</v>
      </c>
      <c r="L451" s="147">
        <v>100</v>
      </c>
      <c r="M451" s="147" t="s">
        <v>9</v>
      </c>
      <c r="N451" s="147"/>
      <c r="O451" s="147" t="s">
        <v>98</v>
      </c>
      <c r="P451" s="147">
        <v>1000</v>
      </c>
      <c r="Q451" s="150">
        <f t="shared" si="54"/>
        <v>0</v>
      </c>
      <c r="R451" s="151"/>
      <c r="S451" s="152">
        <v>2642</v>
      </c>
      <c r="T451" s="158">
        <v>2642</v>
      </c>
      <c r="U451" s="153"/>
      <c r="V451" s="154"/>
      <c r="W451" s="154"/>
      <c r="X451" s="155"/>
      <c r="Y451" s="155" t="s">
        <v>1394</v>
      </c>
      <c r="Z451" s="155" t="s">
        <v>1442</v>
      </c>
      <c r="AA451" s="273">
        <f t="shared" si="55"/>
        <v>2.6419999999999999</v>
      </c>
      <c r="AB451" s="273">
        <f t="shared" si="56"/>
        <v>2.6419999999999999</v>
      </c>
      <c r="AC451" s="156">
        <f t="shared" si="57"/>
        <v>1000</v>
      </c>
      <c r="AD451" s="274">
        <f t="shared" si="58"/>
        <v>2642</v>
      </c>
      <c r="AE451" s="274">
        <f t="shared" ref="AE451:AE514" si="59">AB451*AC451</f>
        <v>2642</v>
      </c>
      <c r="AF451" s="337"/>
    </row>
    <row r="452" spans="1:32">
      <c r="A452" s="337" t="s">
        <v>1523</v>
      </c>
      <c r="B452" s="146" t="s">
        <v>1</v>
      </c>
      <c r="C452" s="155" t="s">
        <v>1512</v>
      </c>
      <c r="D452" s="147"/>
      <c r="E452" s="148" t="s">
        <v>1487</v>
      </c>
      <c r="F452" s="147" t="s">
        <v>106</v>
      </c>
      <c r="G452" s="147" t="s">
        <v>1429</v>
      </c>
      <c r="H452" s="147">
        <v>70</v>
      </c>
      <c r="I452" s="149">
        <f t="shared" si="53"/>
        <v>70</v>
      </c>
      <c r="J452" s="147"/>
      <c r="K452" s="336" t="s">
        <v>1510</v>
      </c>
      <c r="L452" s="147">
        <v>100</v>
      </c>
      <c r="M452" s="147" t="s">
        <v>9</v>
      </c>
      <c r="N452" s="147"/>
      <c r="O452" s="147" t="s">
        <v>98</v>
      </c>
      <c r="P452" s="147">
        <v>1000</v>
      </c>
      <c r="Q452" s="150">
        <f t="shared" si="54"/>
        <v>0</v>
      </c>
      <c r="R452" s="151"/>
      <c r="S452" s="152">
        <v>4040</v>
      </c>
      <c r="T452" s="158">
        <v>4040</v>
      </c>
      <c r="U452" s="153"/>
      <c r="V452" s="154"/>
      <c r="W452" s="154"/>
      <c r="X452" s="155"/>
      <c r="Y452" s="155" t="s">
        <v>1394</v>
      </c>
      <c r="Z452" s="155" t="s">
        <v>1442</v>
      </c>
      <c r="AA452" s="273">
        <f t="shared" si="55"/>
        <v>4.04</v>
      </c>
      <c r="AB452" s="273">
        <f t="shared" si="56"/>
        <v>4.04</v>
      </c>
      <c r="AC452" s="156">
        <f t="shared" si="57"/>
        <v>1000</v>
      </c>
      <c r="AD452" s="274">
        <f t="shared" si="58"/>
        <v>4040</v>
      </c>
      <c r="AE452" s="274">
        <f t="shared" si="59"/>
        <v>4040</v>
      </c>
      <c r="AF452" s="337"/>
    </row>
    <row r="453" spans="1:32">
      <c r="A453" s="337" t="s">
        <v>1523</v>
      </c>
      <c r="B453" s="146" t="s">
        <v>1</v>
      </c>
      <c r="C453" s="155" t="s">
        <v>1512</v>
      </c>
      <c r="D453" s="147"/>
      <c r="E453" s="148" t="s">
        <v>1487</v>
      </c>
      <c r="F453" s="147" t="s">
        <v>106</v>
      </c>
      <c r="G453" s="147" t="s">
        <v>1429</v>
      </c>
      <c r="H453" s="147">
        <v>70</v>
      </c>
      <c r="I453" s="149">
        <f t="shared" si="53"/>
        <v>70</v>
      </c>
      <c r="J453" s="147"/>
      <c r="K453" s="336" t="s">
        <v>1511</v>
      </c>
      <c r="L453" s="147">
        <v>100</v>
      </c>
      <c r="M453" s="147" t="s">
        <v>9</v>
      </c>
      <c r="N453" s="147"/>
      <c r="O453" s="147" t="s">
        <v>98</v>
      </c>
      <c r="P453" s="147">
        <v>1000</v>
      </c>
      <c r="Q453" s="150">
        <f t="shared" si="54"/>
        <v>0</v>
      </c>
      <c r="R453" s="151"/>
      <c r="S453" s="152">
        <v>4040</v>
      </c>
      <c r="T453" s="158">
        <v>4040</v>
      </c>
      <c r="U453" s="153"/>
      <c r="V453" s="154"/>
      <c r="W453" s="154"/>
      <c r="X453" s="155"/>
      <c r="Y453" s="155" t="s">
        <v>1394</v>
      </c>
      <c r="Z453" s="155" t="s">
        <v>1442</v>
      </c>
      <c r="AA453" s="273">
        <f t="shared" si="55"/>
        <v>4.04</v>
      </c>
      <c r="AB453" s="273">
        <f t="shared" si="56"/>
        <v>4.04</v>
      </c>
      <c r="AC453" s="156">
        <f t="shared" si="57"/>
        <v>1000</v>
      </c>
      <c r="AD453" s="274">
        <f t="shared" si="58"/>
        <v>4040</v>
      </c>
      <c r="AE453" s="274">
        <f t="shared" si="59"/>
        <v>4040</v>
      </c>
      <c r="AF453" s="337"/>
    </row>
    <row r="454" spans="1:32">
      <c r="A454" s="337" t="s">
        <v>1523</v>
      </c>
      <c r="B454" s="146" t="s">
        <v>1</v>
      </c>
      <c r="C454" s="155" t="s">
        <v>1512</v>
      </c>
      <c r="D454" s="147"/>
      <c r="E454" s="148" t="s">
        <v>1488</v>
      </c>
      <c r="F454" s="147" t="s">
        <v>106</v>
      </c>
      <c r="G454" s="147" t="s">
        <v>1429</v>
      </c>
      <c r="H454" s="147">
        <v>7</v>
      </c>
      <c r="I454" s="149">
        <f t="shared" si="53"/>
        <v>7</v>
      </c>
      <c r="J454" s="147"/>
      <c r="K454" s="336" t="s">
        <v>57</v>
      </c>
      <c r="L454" s="147">
        <v>100</v>
      </c>
      <c r="M454" s="147" t="s">
        <v>9</v>
      </c>
      <c r="N454" s="147"/>
      <c r="O454" s="147" t="s">
        <v>98</v>
      </c>
      <c r="P454" s="147">
        <v>1000</v>
      </c>
      <c r="Q454" s="150">
        <f t="shared" si="54"/>
        <v>0</v>
      </c>
      <c r="R454" s="151"/>
      <c r="S454" s="152">
        <v>1200</v>
      </c>
      <c r="T454" s="158">
        <v>1200</v>
      </c>
      <c r="U454" s="153"/>
      <c r="V454" s="154"/>
      <c r="W454" s="154"/>
      <c r="X454" s="155"/>
      <c r="Y454" s="155" t="s">
        <v>1394</v>
      </c>
      <c r="Z454" s="155" t="s">
        <v>1442</v>
      </c>
      <c r="AA454" s="273">
        <f t="shared" si="55"/>
        <v>1.2</v>
      </c>
      <c r="AB454" s="273">
        <f t="shared" si="56"/>
        <v>1.2</v>
      </c>
      <c r="AC454" s="156">
        <f t="shared" si="57"/>
        <v>1000</v>
      </c>
      <c r="AD454" s="274">
        <f t="shared" si="58"/>
        <v>1200</v>
      </c>
      <c r="AE454" s="274">
        <f t="shared" si="59"/>
        <v>1200</v>
      </c>
      <c r="AF454" s="337"/>
    </row>
    <row r="455" spans="1:32">
      <c r="A455" s="337" t="s">
        <v>1523</v>
      </c>
      <c r="B455" s="146" t="s">
        <v>1</v>
      </c>
      <c r="C455" s="155" t="s">
        <v>1512</v>
      </c>
      <c r="D455" s="147"/>
      <c r="E455" s="148" t="s">
        <v>1488</v>
      </c>
      <c r="F455" s="147" t="s">
        <v>106</v>
      </c>
      <c r="G455" s="147" t="s">
        <v>1429</v>
      </c>
      <c r="H455" s="147">
        <v>8</v>
      </c>
      <c r="I455" s="149">
        <f t="shared" si="53"/>
        <v>8</v>
      </c>
      <c r="J455" s="147"/>
      <c r="K455" s="336" t="s">
        <v>55</v>
      </c>
      <c r="L455" s="147">
        <v>100</v>
      </c>
      <c r="M455" s="147" t="s">
        <v>9</v>
      </c>
      <c r="N455" s="147"/>
      <c r="O455" s="147" t="s">
        <v>98</v>
      </c>
      <c r="P455" s="147">
        <v>1000</v>
      </c>
      <c r="Q455" s="150">
        <f t="shared" si="54"/>
        <v>0</v>
      </c>
      <c r="R455" s="151"/>
      <c r="S455" s="152">
        <v>1375</v>
      </c>
      <c r="T455" s="158">
        <v>1375</v>
      </c>
      <c r="U455" s="153"/>
      <c r="V455" s="154"/>
      <c r="W455" s="154"/>
      <c r="X455" s="155"/>
      <c r="Y455" s="155" t="s">
        <v>1394</v>
      </c>
      <c r="Z455" s="155" t="s">
        <v>1442</v>
      </c>
      <c r="AA455" s="273">
        <f t="shared" si="55"/>
        <v>1.375</v>
      </c>
      <c r="AB455" s="273">
        <f t="shared" si="56"/>
        <v>1.375</v>
      </c>
      <c r="AC455" s="156">
        <f t="shared" si="57"/>
        <v>1000</v>
      </c>
      <c r="AD455" s="274">
        <f t="shared" si="58"/>
        <v>1375</v>
      </c>
      <c r="AE455" s="274">
        <f t="shared" si="59"/>
        <v>1375</v>
      </c>
      <c r="AF455" s="337"/>
    </row>
    <row r="456" spans="1:32">
      <c r="A456" s="337" t="s">
        <v>1523</v>
      </c>
      <c r="B456" s="146" t="s">
        <v>1</v>
      </c>
      <c r="C456" s="155" t="s">
        <v>1512</v>
      </c>
      <c r="D456" s="147"/>
      <c r="E456" s="148" t="s">
        <v>1488</v>
      </c>
      <c r="F456" s="147" t="s">
        <v>106</v>
      </c>
      <c r="G456" s="147" t="s">
        <v>1429</v>
      </c>
      <c r="H456" s="147">
        <v>17</v>
      </c>
      <c r="I456" s="149">
        <f t="shared" si="53"/>
        <v>17</v>
      </c>
      <c r="J456" s="147"/>
      <c r="K456" s="336" t="s">
        <v>53</v>
      </c>
      <c r="L456" s="147">
        <v>100</v>
      </c>
      <c r="M456" s="147" t="s">
        <v>9</v>
      </c>
      <c r="N456" s="147"/>
      <c r="O456" s="147" t="s">
        <v>98</v>
      </c>
      <c r="P456" s="147">
        <v>1000</v>
      </c>
      <c r="Q456" s="150">
        <f t="shared" si="54"/>
        <v>0</v>
      </c>
      <c r="R456" s="151"/>
      <c r="S456" s="152">
        <v>3267</v>
      </c>
      <c r="T456" s="158">
        <v>3267</v>
      </c>
      <c r="U456" s="153"/>
      <c r="V456" s="154"/>
      <c r="W456" s="154"/>
      <c r="X456" s="155"/>
      <c r="Y456" s="155" t="s">
        <v>1394</v>
      </c>
      <c r="Z456" s="155" t="s">
        <v>1442</v>
      </c>
      <c r="AA456" s="273">
        <f t="shared" si="55"/>
        <v>3.2669999999999999</v>
      </c>
      <c r="AB456" s="273">
        <f t="shared" si="56"/>
        <v>3.2669999999999999</v>
      </c>
      <c r="AC456" s="156">
        <f t="shared" si="57"/>
        <v>1000</v>
      </c>
      <c r="AD456" s="274">
        <f t="shared" si="58"/>
        <v>3267</v>
      </c>
      <c r="AE456" s="274">
        <f t="shared" si="59"/>
        <v>3267</v>
      </c>
      <c r="AF456" s="337"/>
    </row>
    <row r="457" spans="1:32">
      <c r="A457" s="337" t="s">
        <v>1523</v>
      </c>
      <c r="B457" s="146" t="s">
        <v>1</v>
      </c>
      <c r="C457" s="155" t="s">
        <v>1512</v>
      </c>
      <c r="D457" s="147"/>
      <c r="E457" s="148" t="s">
        <v>1488</v>
      </c>
      <c r="F457" s="147" t="s">
        <v>106</v>
      </c>
      <c r="G457" s="147" t="s">
        <v>1429</v>
      </c>
      <c r="H457" s="147">
        <v>22</v>
      </c>
      <c r="I457" s="149">
        <f t="shared" si="53"/>
        <v>22</v>
      </c>
      <c r="J457" s="147"/>
      <c r="K457" s="336" t="s">
        <v>51</v>
      </c>
      <c r="L457" s="147">
        <v>100</v>
      </c>
      <c r="M457" s="147" t="s">
        <v>9</v>
      </c>
      <c r="N457" s="147"/>
      <c r="O457" s="147" t="s">
        <v>98</v>
      </c>
      <c r="P457" s="147">
        <v>1000</v>
      </c>
      <c r="Q457" s="150">
        <f t="shared" si="54"/>
        <v>0</v>
      </c>
      <c r="R457" s="151"/>
      <c r="S457" s="152">
        <v>4928</v>
      </c>
      <c r="T457" s="158">
        <v>4928</v>
      </c>
      <c r="U457" s="153"/>
      <c r="V457" s="154"/>
      <c r="W457" s="154"/>
      <c r="X457" s="155"/>
      <c r="Y457" s="155" t="s">
        <v>1394</v>
      </c>
      <c r="Z457" s="155" t="s">
        <v>1442</v>
      </c>
      <c r="AA457" s="273">
        <f t="shared" si="55"/>
        <v>4.9279999999999999</v>
      </c>
      <c r="AB457" s="273">
        <f t="shared" si="56"/>
        <v>4.9279999999999999</v>
      </c>
      <c r="AC457" s="156">
        <f t="shared" si="57"/>
        <v>1000</v>
      </c>
      <c r="AD457" s="274">
        <f t="shared" si="58"/>
        <v>4928</v>
      </c>
      <c r="AE457" s="274">
        <f t="shared" si="59"/>
        <v>4928</v>
      </c>
      <c r="AF457" s="337"/>
    </row>
    <row r="458" spans="1:32">
      <c r="A458" s="337" t="s">
        <v>1523</v>
      </c>
      <c r="B458" s="146" t="s">
        <v>1</v>
      </c>
      <c r="C458" s="155" t="s">
        <v>1512</v>
      </c>
      <c r="D458" s="147"/>
      <c r="E458" s="148" t="s">
        <v>1488</v>
      </c>
      <c r="F458" s="147" t="s">
        <v>106</v>
      </c>
      <c r="G458" s="147" t="s">
        <v>1429</v>
      </c>
      <c r="H458" s="147">
        <v>33</v>
      </c>
      <c r="I458" s="149">
        <f t="shared" si="53"/>
        <v>33</v>
      </c>
      <c r="J458" s="147"/>
      <c r="K458" s="336" t="s">
        <v>59</v>
      </c>
      <c r="L458" s="147">
        <v>100</v>
      </c>
      <c r="M458" s="147" t="s">
        <v>9</v>
      </c>
      <c r="N458" s="147"/>
      <c r="O458" s="147" t="s">
        <v>98</v>
      </c>
      <c r="P458" s="147">
        <v>1000</v>
      </c>
      <c r="Q458" s="150">
        <f t="shared" si="54"/>
        <v>0</v>
      </c>
      <c r="R458" s="151"/>
      <c r="S458" s="152">
        <v>5784</v>
      </c>
      <c r="T458" s="158">
        <v>5784</v>
      </c>
      <c r="U458" s="153"/>
      <c r="V458" s="154"/>
      <c r="W458" s="154"/>
      <c r="X458" s="155"/>
      <c r="Y458" s="155" t="s">
        <v>1394</v>
      </c>
      <c r="Z458" s="155" t="s">
        <v>1442</v>
      </c>
      <c r="AA458" s="273">
        <f t="shared" si="55"/>
        <v>5.7839999999999998</v>
      </c>
      <c r="AB458" s="273">
        <f t="shared" si="56"/>
        <v>5.7839999999999998</v>
      </c>
      <c r="AC458" s="156">
        <f t="shared" si="57"/>
        <v>1000</v>
      </c>
      <c r="AD458" s="274">
        <f t="shared" si="58"/>
        <v>5784</v>
      </c>
      <c r="AE458" s="274">
        <f t="shared" si="59"/>
        <v>5784</v>
      </c>
      <c r="AF458" s="337"/>
    </row>
    <row r="459" spans="1:32">
      <c r="A459" s="337" t="s">
        <v>1523</v>
      </c>
      <c r="B459" s="146" t="s">
        <v>1</v>
      </c>
      <c r="C459" s="155" t="s">
        <v>1512</v>
      </c>
      <c r="D459" s="147"/>
      <c r="E459" s="148" t="s">
        <v>1488</v>
      </c>
      <c r="F459" s="147" t="s">
        <v>106</v>
      </c>
      <c r="G459" s="147" t="s">
        <v>1429</v>
      </c>
      <c r="H459" s="147">
        <v>42</v>
      </c>
      <c r="I459" s="149">
        <f t="shared" si="53"/>
        <v>42</v>
      </c>
      <c r="J459" s="147"/>
      <c r="K459" s="336" t="s">
        <v>61</v>
      </c>
      <c r="L459" s="147">
        <v>100</v>
      </c>
      <c r="M459" s="147" t="s">
        <v>9</v>
      </c>
      <c r="N459" s="147"/>
      <c r="O459" s="147" t="s">
        <v>98</v>
      </c>
      <c r="P459" s="147">
        <v>1000</v>
      </c>
      <c r="Q459" s="150">
        <f t="shared" si="54"/>
        <v>0</v>
      </c>
      <c r="R459" s="151"/>
      <c r="S459" s="152">
        <v>1598</v>
      </c>
      <c r="T459" s="158">
        <v>1598</v>
      </c>
      <c r="U459" s="153"/>
      <c r="V459" s="154"/>
      <c r="W459" s="154"/>
      <c r="X459" s="155"/>
      <c r="Y459" s="155" t="s">
        <v>1394</v>
      </c>
      <c r="Z459" s="155" t="s">
        <v>1442</v>
      </c>
      <c r="AA459" s="273">
        <f t="shared" si="55"/>
        <v>1.5980000000000001</v>
      </c>
      <c r="AB459" s="273">
        <f t="shared" si="56"/>
        <v>1.5980000000000001</v>
      </c>
      <c r="AC459" s="156">
        <f t="shared" si="57"/>
        <v>1000</v>
      </c>
      <c r="AD459" s="274">
        <f t="shared" si="58"/>
        <v>1598</v>
      </c>
      <c r="AE459" s="274">
        <f t="shared" si="59"/>
        <v>1598</v>
      </c>
      <c r="AF459" s="337"/>
    </row>
    <row r="460" spans="1:32">
      <c r="A460" s="337" t="s">
        <v>1523</v>
      </c>
      <c r="B460" s="146" t="s">
        <v>1</v>
      </c>
      <c r="C460" s="155" t="s">
        <v>1512</v>
      </c>
      <c r="D460" s="147"/>
      <c r="E460" s="148" t="s">
        <v>1488</v>
      </c>
      <c r="F460" s="147" t="s">
        <v>106</v>
      </c>
      <c r="G460" s="147" t="s">
        <v>1429</v>
      </c>
      <c r="H460" s="147">
        <v>43</v>
      </c>
      <c r="I460" s="149">
        <f t="shared" si="53"/>
        <v>43</v>
      </c>
      <c r="J460" s="147"/>
      <c r="K460" s="336" t="s">
        <v>1505</v>
      </c>
      <c r="L460" s="147">
        <v>100</v>
      </c>
      <c r="M460" s="147" t="s">
        <v>9</v>
      </c>
      <c r="N460" s="147"/>
      <c r="O460" s="147" t="s">
        <v>98</v>
      </c>
      <c r="P460" s="147">
        <v>1000</v>
      </c>
      <c r="Q460" s="150">
        <f t="shared" si="54"/>
        <v>0</v>
      </c>
      <c r="R460" s="151"/>
      <c r="S460" s="152">
        <v>1964</v>
      </c>
      <c r="T460" s="158">
        <v>1964</v>
      </c>
      <c r="U460" s="153"/>
      <c r="V460" s="154"/>
      <c r="W460" s="154"/>
      <c r="X460" s="155"/>
      <c r="Y460" s="155" t="s">
        <v>1394</v>
      </c>
      <c r="Z460" s="155" t="s">
        <v>1442</v>
      </c>
      <c r="AA460" s="273">
        <f t="shared" si="55"/>
        <v>1.964</v>
      </c>
      <c r="AB460" s="273">
        <f t="shared" si="56"/>
        <v>1.964</v>
      </c>
      <c r="AC460" s="156">
        <f t="shared" si="57"/>
        <v>1000</v>
      </c>
      <c r="AD460" s="274">
        <f t="shared" si="58"/>
        <v>1964</v>
      </c>
      <c r="AE460" s="274">
        <f t="shared" si="59"/>
        <v>1964</v>
      </c>
      <c r="AF460" s="337"/>
    </row>
    <row r="461" spans="1:32">
      <c r="A461" s="337" t="s">
        <v>1523</v>
      </c>
      <c r="B461" s="146" t="s">
        <v>1</v>
      </c>
      <c r="C461" s="155" t="s">
        <v>1512</v>
      </c>
      <c r="D461" s="147"/>
      <c r="E461" s="148" t="s">
        <v>1488</v>
      </c>
      <c r="F461" s="147" t="s">
        <v>106</v>
      </c>
      <c r="G461" s="147" t="s">
        <v>1429</v>
      </c>
      <c r="H461" s="147">
        <v>46</v>
      </c>
      <c r="I461" s="149">
        <f t="shared" si="53"/>
        <v>46</v>
      </c>
      <c r="J461" s="147"/>
      <c r="K461" s="336" t="s">
        <v>1506</v>
      </c>
      <c r="L461" s="147">
        <v>100</v>
      </c>
      <c r="M461" s="147" t="s">
        <v>9</v>
      </c>
      <c r="N461" s="147"/>
      <c r="O461" s="147" t="s">
        <v>98</v>
      </c>
      <c r="P461" s="147">
        <v>1000</v>
      </c>
      <c r="Q461" s="150">
        <f t="shared" si="54"/>
        <v>0</v>
      </c>
      <c r="R461" s="151"/>
      <c r="S461" s="152">
        <v>4840</v>
      </c>
      <c r="T461" s="158">
        <v>4840</v>
      </c>
      <c r="U461" s="153"/>
      <c r="V461" s="154"/>
      <c r="W461" s="154"/>
      <c r="X461" s="155"/>
      <c r="Y461" s="155" t="s">
        <v>1394</v>
      </c>
      <c r="Z461" s="155" t="s">
        <v>1442</v>
      </c>
      <c r="AA461" s="273">
        <f t="shared" si="55"/>
        <v>4.84</v>
      </c>
      <c r="AB461" s="273">
        <f t="shared" si="56"/>
        <v>4.84</v>
      </c>
      <c r="AC461" s="156">
        <f t="shared" si="57"/>
        <v>1000</v>
      </c>
      <c r="AD461" s="274">
        <f t="shared" si="58"/>
        <v>4840</v>
      </c>
      <c r="AE461" s="274">
        <f t="shared" si="59"/>
        <v>4840</v>
      </c>
      <c r="AF461" s="337"/>
    </row>
    <row r="462" spans="1:32">
      <c r="A462" s="337" t="s">
        <v>1523</v>
      </c>
      <c r="B462" s="146" t="s">
        <v>1</v>
      </c>
      <c r="C462" s="155" t="s">
        <v>1512</v>
      </c>
      <c r="D462" s="147"/>
      <c r="E462" s="148" t="s">
        <v>1488</v>
      </c>
      <c r="F462" s="147" t="s">
        <v>106</v>
      </c>
      <c r="G462" s="147" t="s">
        <v>1429</v>
      </c>
      <c r="H462" s="147">
        <v>46</v>
      </c>
      <c r="I462" s="149">
        <f t="shared" si="53"/>
        <v>46</v>
      </c>
      <c r="J462" s="147"/>
      <c r="K462" s="336" t="s">
        <v>1507</v>
      </c>
      <c r="L462" s="147">
        <v>100</v>
      </c>
      <c r="M462" s="147" t="s">
        <v>9</v>
      </c>
      <c r="N462" s="147"/>
      <c r="O462" s="147" t="s">
        <v>98</v>
      </c>
      <c r="P462" s="147">
        <v>1000</v>
      </c>
      <c r="Q462" s="150">
        <f t="shared" si="54"/>
        <v>0</v>
      </c>
      <c r="R462" s="151"/>
      <c r="S462" s="152">
        <v>4341</v>
      </c>
      <c r="T462" s="158">
        <v>4341</v>
      </c>
      <c r="U462" s="153"/>
      <c r="V462" s="154"/>
      <c r="W462" s="154"/>
      <c r="X462" s="155"/>
      <c r="Y462" s="155" t="s">
        <v>1394</v>
      </c>
      <c r="Z462" s="155" t="s">
        <v>1442</v>
      </c>
      <c r="AA462" s="273">
        <f t="shared" si="55"/>
        <v>4.3410000000000002</v>
      </c>
      <c r="AB462" s="273">
        <f t="shared" si="56"/>
        <v>4.3410000000000002</v>
      </c>
      <c r="AC462" s="156">
        <f t="shared" si="57"/>
        <v>1000</v>
      </c>
      <c r="AD462" s="274">
        <f t="shared" si="58"/>
        <v>4341</v>
      </c>
      <c r="AE462" s="274">
        <f t="shared" si="59"/>
        <v>4341</v>
      </c>
      <c r="AF462" s="337"/>
    </row>
    <row r="463" spans="1:32">
      <c r="A463" s="337" t="s">
        <v>1523</v>
      </c>
      <c r="B463" s="146" t="s">
        <v>1</v>
      </c>
      <c r="C463" s="155" t="s">
        <v>1512</v>
      </c>
      <c r="D463" s="147"/>
      <c r="E463" s="148" t="s">
        <v>1488</v>
      </c>
      <c r="F463" s="147" t="s">
        <v>106</v>
      </c>
      <c r="G463" s="147" t="s">
        <v>1429</v>
      </c>
      <c r="H463" s="147">
        <v>46</v>
      </c>
      <c r="I463" s="149">
        <f t="shared" si="53"/>
        <v>46</v>
      </c>
      <c r="J463" s="147"/>
      <c r="K463" s="336" t="s">
        <v>1508</v>
      </c>
      <c r="L463" s="147">
        <v>100</v>
      </c>
      <c r="M463" s="147" t="s">
        <v>9</v>
      </c>
      <c r="N463" s="147"/>
      <c r="O463" s="147" t="s">
        <v>98</v>
      </c>
      <c r="P463" s="147">
        <v>1000</v>
      </c>
      <c r="Q463" s="150">
        <f t="shared" si="54"/>
        <v>0</v>
      </c>
      <c r="R463" s="151"/>
      <c r="S463" s="152">
        <v>4684</v>
      </c>
      <c r="T463" s="158">
        <v>4684</v>
      </c>
      <c r="U463" s="153"/>
      <c r="V463" s="154"/>
      <c r="W463" s="154"/>
      <c r="X463" s="155"/>
      <c r="Y463" s="155" t="s">
        <v>1394</v>
      </c>
      <c r="Z463" s="155" t="s">
        <v>1442</v>
      </c>
      <c r="AA463" s="273">
        <f t="shared" si="55"/>
        <v>4.6840000000000002</v>
      </c>
      <c r="AB463" s="273">
        <f t="shared" si="56"/>
        <v>4.6840000000000002</v>
      </c>
      <c r="AC463" s="156">
        <f t="shared" si="57"/>
        <v>1000</v>
      </c>
      <c r="AD463" s="274">
        <f t="shared" si="58"/>
        <v>4684</v>
      </c>
      <c r="AE463" s="274">
        <f t="shared" si="59"/>
        <v>4684</v>
      </c>
      <c r="AF463" s="337"/>
    </row>
    <row r="464" spans="1:32">
      <c r="A464" s="337" t="s">
        <v>1523</v>
      </c>
      <c r="B464" s="146" t="s">
        <v>1</v>
      </c>
      <c r="C464" s="155" t="s">
        <v>1512</v>
      </c>
      <c r="D464" s="147"/>
      <c r="E464" s="148" t="s">
        <v>1488</v>
      </c>
      <c r="F464" s="147" t="s">
        <v>106</v>
      </c>
      <c r="G464" s="147" t="s">
        <v>1429</v>
      </c>
      <c r="H464" s="147">
        <v>58</v>
      </c>
      <c r="I464" s="149">
        <f t="shared" si="53"/>
        <v>58</v>
      </c>
      <c r="J464" s="147"/>
      <c r="K464" s="336" t="s">
        <v>67</v>
      </c>
      <c r="L464" s="147">
        <v>100</v>
      </c>
      <c r="M464" s="147" t="s">
        <v>9</v>
      </c>
      <c r="N464" s="147"/>
      <c r="O464" s="147" t="s">
        <v>98</v>
      </c>
      <c r="P464" s="147">
        <v>1000</v>
      </c>
      <c r="Q464" s="150">
        <f t="shared" si="54"/>
        <v>0</v>
      </c>
      <c r="R464" s="151"/>
      <c r="S464" s="152">
        <v>1595</v>
      </c>
      <c r="T464" s="158">
        <v>1595</v>
      </c>
      <c r="U464" s="153"/>
      <c r="V464" s="154"/>
      <c r="W464" s="154"/>
      <c r="X464" s="155"/>
      <c r="Y464" s="155" t="s">
        <v>1394</v>
      </c>
      <c r="Z464" s="155" t="s">
        <v>1442</v>
      </c>
      <c r="AA464" s="273">
        <f t="shared" si="55"/>
        <v>1.595</v>
      </c>
      <c r="AB464" s="273">
        <f t="shared" si="56"/>
        <v>1.595</v>
      </c>
      <c r="AC464" s="156">
        <f t="shared" si="57"/>
        <v>1000</v>
      </c>
      <c r="AD464" s="274">
        <f t="shared" si="58"/>
        <v>1595</v>
      </c>
      <c r="AE464" s="274">
        <f t="shared" si="59"/>
        <v>1595</v>
      </c>
      <c r="AF464" s="337"/>
    </row>
    <row r="465" spans="1:32">
      <c r="A465" s="337" t="s">
        <v>1523</v>
      </c>
      <c r="B465" s="146" t="s">
        <v>1</v>
      </c>
      <c r="C465" s="155" t="s">
        <v>1512</v>
      </c>
      <c r="D465" s="147"/>
      <c r="E465" s="148" t="s">
        <v>1488</v>
      </c>
      <c r="F465" s="147" t="s">
        <v>106</v>
      </c>
      <c r="G465" s="147" t="s">
        <v>1429</v>
      </c>
      <c r="H465" s="147">
        <v>59</v>
      </c>
      <c r="I465" s="149">
        <f t="shared" si="53"/>
        <v>59</v>
      </c>
      <c r="J465" s="147"/>
      <c r="K465" s="336" t="s">
        <v>99</v>
      </c>
      <c r="L465" s="147">
        <v>100</v>
      </c>
      <c r="M465" s="147" t="s">
        <v>9</v>
      </c>
      <c r="N465" s="147"/>
      <c r="O465" s="147" t="s">
        <v>98</v>
      </c>
      <c r="P465" s="147">
        <v>1000</v>
      </c>
      <c r="Q465" s="150">
        <f t="shared" si="54"/>
        <v>0</v>
      </c>
      <c r="R465" s="151"/>
      <c r="S465" s="152">
        <v>3000</v>
      </c>
      <c r="T465" s="158">
        <v>3000</v>
      </c>
      <c r="U465" s="153"/>
      <c r="V465" s="154"/>
      <c r="W465" s="154"/>
      <c r="X465" s="155"/>
      <c r="Y465" s="155" t="s">
        <v>1394</v>
      </c>
      <c r="Z465" s="155" t="s">
        <v>1442</v>
      </c>
      <c r="AA465" s="273">
        <f t="shared" si="55"/>
        <v>3</v>
      </c>
      <c r="AB465" s="273">
        <f t="shared" si="56"/>
        <v>3</v>
      </c>
      <c r="AC465" s="156">
        <f t="shared" si="57"/>
        <v>1000</v>
      </c>
      <c r="AD465" s="274">
        <f t="shared" si="58"/>
        <v>3000</v>
      </c>
      <c r="AE465" s="274">
        <f t="shared" si="59"/>
        <v>3000</v>
      </c>
      <c r="AF465" s="337"/>
    </row>
    <row r="466" spans="1:32">
      <c r="A466" s="337" t="s">
        <v>1523</v>
      </c>
      <c r="B466" s="146" t="s">
        <v>1</v>
      </c>
      <c r="C466" s="155" t="s">
        <v>1512</v>
      </c>
      <c r="D466" s="147"/>
      <c r="E466" s="148" t="s">
        <v>1488</v>
      </c>
      <c r="F466" s="147" t="s">
        <v>106</v>
      </c>
      <c r="G466" s="147" t="s">
        <v>1429</v>
      </c>
      <c r="H466" s="147">
        <v>69</v>
      </c>
      <c r="I466" s="149">
        <f t="shared" si="53"/>
        <v>69</v>
      </c>
      <c r="J466" s="147"/>
      <c r="K466" s="336" t="s">
        <v>1509</v>
      </c>
      <c r="L466" s="147">
        <v>100</v>
      </c>
      <c r="M466" s="147" t="s">
        <v>9</v>
      </c>
      <c r="N466" s="147"/>
      <c r="O466" s="147" t="s">
        <v>98</v>
      </c>
      <c r="P466" s="147">
        <v>1000</v>
      </c>
      <c r="Q466" s="150">
        <f t="shared" si="54"/>
        <v>0</v>
      </c>
      <c r="R466" s="151"/>
      <c r="S466" s="152">
        <v>2764</v>
      </c>
      <c r="T466" s="158">
        <v>2764</v>
      </c>
      <c r="U466" s="153"/>
      <c r="V466" s="154"/>
      <c r="W466" s="154"/>
      <c r="X466" s="155"/>
      <c r="Y466" s="155" t="s">
        <v>1394</v>
      </c>
      <c r="Z466" s="155" t="s">
        <v>1442</v>
      </c>
      <c r="AA466" s="273">
        <f t="shared" si="55"/>
        <v>2.7639999999999998</v>
      </c>
      <c r="AB466" s="273">
        <f t="shared" si="56"/>
        <v>2.7639999999999998</v>
      </c>
      <c r="AC466" s="156">
        <f t="shared" si="57"/>
        <v>1000</v>
      </c>
      <c r="AD466" s="274">
        <f t="shared" si="58"/>
        <v>2764</v>
      </c>
      <c r="AE466" s="274">
        <f t="shared" si="59"/>
        <v>2764</v>
      </c>
      <c r="AF466" s="337"/>
    </row>
    <row r="467" spans="1:32">
      <c r="A467" s="337" t="s">
        <v>1523</v>
      </c>
      <c r="B467" s="146" t="s">
        <v>1</v>
      </c>
      <c r="C467" s="155" t="s">
        <v>1512</v>
      </c>
      <c r="D467" s="147"/>
      <c r="E467" s="148" t="s">
        <v>1488</v>
      </c>
      <c r="F467" s="147" t="s">
        <v>106</v>
      </c>
      <c r="G467" s="147" t="s">
        <v>1429</v>
      </c>
      <c r="H467" s="147">
        <v>70</v>
      </c>
      <c r="I467" s="149">
        <f t="shared" si="53"/>
        <v>70</v>
      </c>
      <c r="J467" s="147"/>
      <c r="K467" s="336" t="s">
        <v>1510</v>
      </c>
      <c r="L467" s="147">
        <v>100</v>
      </c>
      <c r="M467" s="147" t="s">
        <v>9</v>
      </c>
      <c r="N467" s="147"/>
      <c r="O467" s="147" t="s">
        <v>98</v>
      </c>
      <c r="P467" s="147">
        <v>1000</v>
      </c>
      <c r="Q467" s="150">
        <f t="shared" si="54"/>
        <v>0</v>
      </c>
      <c r="R467" s="151"/>
      <c r="S467" s="152">
        <v>4214</v>
      </c>
      <c r="T467" s="158">
        <v>4214</v>
      </c>
      <c r="U467" s="153"/>
      <c r="V467" s="154"/>
      <c r="W467" s="154"/>
      <c r="X467" s="155"/>
      <c r="Y467" s="155" t="s">
        <v>1394</v>
      </c>
      <c r="Z467" s="155" t="s">
        <v>1442</v>
      </c>
      <c r="AA467" s="273">
        <f t="shared" si="55"/>
        <v>4.2140000000000004</v>
      </c>
      <c r="AB467" s="273">
        <f t="shared" si="56"/>
        <v>4.2140000000000004</v>
      </c>
      <c r="AC467" s="156">
        <f t="shared" si="57"/>
        <v>1000</v>
      </c>
      <c r="AD467" s="274">
        <f t="shared" si="58"/>
        <v>4214</v>
      </c>
      <c r="AE467" s="274">
        <f t="shared" si="59"/>
        <v>4214</v>
      </c>
      <c r="AF467" s="337"/>
    </row>
    <row r="468" spans="1:32">
      <c r="A468" s="337" t="s">
        <v>1523</v>
      </c>
      <c r="B468" s="146" t="s">
        <v>1</v>
      </c>
      <c r="C468" s="155" t="s">
        <v>1512</v>
      </c>
      <c r="D468" s="147"/>
      <c r="E468" s="148" t="s">
        <v>1488</v>
      </c>
      <c r="F468" s="147" t="s">
        <v>106</v>
      </c>
      <c r="G468" s="147" t="s">
        <v>1429</v>
      </c>
      <c r="H468" s="147">
        <v>70</v>
      </c>
      <c r="I468" s="149">
        <f t="shared" si="53"/>
        <v>70</v>
      </c>
      <c r="J468" s="147"/>
      <c r="K468" s="336" t="s">
        <v>1511</v>
      </c>
      <c r="L468" s="147">
        <v>100</v>
      </c>
      <c r="M468" s="147" t="s">
        <v>9</v>
      </c>
      <c r="N468" s="147"/>
      <c r="O468" s="147" t="s">
        <v>98</v>
      </c>
      <c r="P468" s="147">
        <v>1000</v>
      </c>
      <c r="Q468" s="150">
        <f t="shared" si="54"/>
        <v>0</v>
      </c>
      <c r="R468" s="151"/>
      <c r="S468" s="152">
        <v>4112</v>
      </c>
      <c r="T468" s="158">
        <v>4112</v>
      </c>
      <c r="U468" s="153"/>
      <c r="V468" s="154"/>
      <c r="W468" s="154"/>
      <c r="X468" s="155"/>
      <c r="Y468" s="155" t="s">
        <v>1394</v>
      </c>
      <c r="Z468" s="155" t="s">
        <v>1442</v>
      </c>
      <c r="AA468" s="273">
        <f t="shared" si="55"/>
        <v>4.1120000000000001</v>
      </c>
      <c r="AB468" s="273">
        <f t="shared" si="56"/>
        <v>4.1120000000000001</v>
      </c>
      <c r="AC468" s="156">
        <f t="shared" si="57"/>
        <v>1000</v>
      </c>
      <c r="AD468" s="274">
        <f t="shared" si="58"/>
        <v>4112</v>
      </c>
      <c r="AE468" s="274">
        <f t="shared" si="59"/>
        <v>4112</v>
      </c>
      <c r="AF468" s="337"/>
    </row>
    <row r="469" spans="1:32">
      <c r="A469" s="337" t="s">
        <v>1523</v>
      </c>
      <c r="B469" s="146" t="s">
        <v>1</v>
      </c>
      <c r="C469" s="155" t="s">
        <v>1512</v>
      </c>
      <c r="D469" s="147"/>
      <c r="E469" s="148" t="s">
        <v>1489</v>
      </c>
      <c r="F469" s="147" t="s">
        <v>106</v>
      </c>
      <c r="G469" s="147" t="s">
        <v>1429</v>
      </c>
      <c r="H469" s="147">
        <v>7</v>
      </c>
      <c r="I469" s="149">
        <f t="shared" ref="I469:I532" si="60">IF(AND(F469="SI",J469&lt;&gt;"",J469&lt;&gt;"NA"),CONCATENATE(H469,"_",J469),IF(F469="SI",H469,CONCATENATE(" REGISTRO COTIZACION NO EVALUADA: ",H469)))</f>
        <v>7</v>
      </c>
      <c r="J469" s="147"/>
      <c r="K469" s="336" t="s">
        <v>57</v>
      </c>
      <c r="L469" s="147">
        <v>100</v>
      </c>
      <c r="M469" s="147" t="s">
        <v>9</v>
      </c>
      <c r="N469" s="147"/>
      <c r="O469" s="147" t="s">
        <v>98</v>
      </c>
      <c r="P469" s="147">
        <v>1000</v>
      </c>
      <c r="Q469" s="150">
        <f t="shared" ref="Q469:Q532" si="61">(T469-S469)/S469</f>
        <v>0</v>
      </c>
      <c r="R469" s="151"/>
      <c r="S469" s="152">
        <v>1225</v>
      </c>
      <c r="T469" s="158">
        <v>1225</v>
      </c>
      <c r="U469" s="153"/>
      <c r="V469" s="154"/>
      <c r="W469" s="154"/>
      <c r="X469" s="155"/>
      <c r="Y469" s="155" t="s">
        <v>1394</v>
      </c>
      <c r="Z469" s="155" t="s">
        <v>1442</v>
      </c>
      <c r="AA469" s="273">
        <f t="shared" ref="AA469:AA532" si="62">S469/P469</f>
        <v>1.2250000000000001</v>
      </c>
      <c r="AB469" s="273">
        <f t="shared" ref="AB469:AB532" si="63">T469/P469</f>
        <v>1.2250000000000001</v>
      </c>
      <c r="AC469" s="156">
        <f t="shared" ref="AC469:AC532" si="64">P469</f>
        <v>1000</v>
      </c>
      <c r="AD469" s="274">
        <f t="shared" ref="AD469:AD532" si="65">AA469*AC469</f>
        <v>1225</v>
      </c>
      <c r="AE469" s="274">
        <f t="shared" si="59"/>
        <v>1225</v>
      </c>
      <c r="AF469" s="337"/>
    </row>
    <row r="470" spans="1:32">
      <c r="A470" s="337" t="s">
        <v>1523</v>
      </c>
      <c r="B470" s="146" t="s">
        <v>1</v>
      </c>
      <c r="C470" s="155" t="s">
        <v>1512</v>
      </c>
      <c r="D470" s="147"/>
      <c r="E470" s="148" t="s">
        <v>1489</v>
      </c>
      <c r="F470" s="147" t="s">
        <v>106</v>
      </c>
      <c r="G470" s="147" t="s">
        <v>1429</v>
      </c>
      <c r="H470" s="147">
        <v>8</v>
      </c>
      <c r="I470" s="149">
        <f t="shared" si="60"/>
        <v>8</v>
      </c>
      <c r="J470" s="147"/>
      <c r="K470" s="336" t="s">
        <v>55</v>
      </c>
      <c r="L470" s="147">
        <v>100</v>
      </c>
      <c r="M470" s="147" t="s">
        <v>9</v>
      </c>
      <c r="N470" s="147"/>
      <c r="O470" s="147" t="s">
        <v>98</v>
      </c>
      <c r="P470" s="147">
        <v>1000</v>
      </c>
      <c r="Q470" s="150">
        <f t="shared" si="61"/>
        <v>0</v>
      </c>
      <c r="R470" s="151"/>
      <c r="S470" s="152">
        <v>1380</v>
      </c>
      <c r="T470" s="158">
        <v>1380</v>
      </c>
      <c r="U470" s="153"/>
      <c r="V470" s="154"/>
      <c r="W470" s="154"/>
      <c r="X470" s="155"/>
      <c r="Y470" s="155" t="s">
        <v>1394</v>
      </c>
      <c r="Z470" s="155" t="s">
        <v>1442</v>
      </c>
      <c r="AA470" s="273">
        <f t="shared" si="62"/>
        <v>1.38</v>
      </c>
      <c r="AB470" s="273">
        <f t="shared" si="63"/>
        <v>1.38</v>
      </c>
      <c r="AC470" s="156">
        <f t="shared" si="64"/>
        <v>1000</v>
      </c>
      <c r="AD470" s="274">
        <f t="shared" si="65"/>
        <v>1380</v>
      </c>
      <c r="AE470" s="274">
        <f t="shared" si="59"/>
        <v>1380</v>
      </c>
      <c r="AF470" s="337"/>
    </row>
    <row r="471" spans="1:32">
      <c r="A471" s="337" t="s">
        <v>1523</v>
      </c>
      <c r="B471" s="146" t="s">
        <v>1</v>
      </c>
      <c r="C471" s="155" t="s">
        <v>1512</v>
      </c>
      <c r="D471" s="147"/>
      <c r="E471" s="148" t="s">
        <v>1489</v>
      </c>
      <c r="F471" s="147" t="s">
        <v>106</v>
      </c>
      <c r="G471" s="147" t="s">
        <v>1429</v>
      </c>
      <c r="H471" s="147">
        <v>17</v>
      </c>
      <c r="I471" s="149">
        <f t="shared" si="60"/>
        <v>17</v>
      </c>
      <c r="J471" s="147"/>
      <c r="K471" s="336" t="s">
        <v>53</v>
      </c>
      <c r="L471" s="147">
        <v>100</v>
      </c>
      <c r="M471" s="147" t="s">
        <v>9</v>
      </c>
      <c r="N471" s="147"/>
      <c r="O471" s="147" t="s">
        <v>98</v>
      </c>
      <c r="P471" s="147">
        <v>1000</v>
      </c>
      <c r="Q471" s="150">
        <f t="shared" si="61"/>
        <v>0</v>
      </c>
      <c r="R471" s="151"/>
      <c r="S471" s="152">
        <v>3660</v>
      </c>
      <c r="T471" s="158">
        <v>3660</v>
      </c>
      <c r="U471" s="153"/>
      <c r="V471" s="154"/>
      <c r="W471" s="154"/>
      <c r="X471" s="155"/>
      <c r="Y471" s="155" t="s">
        <v>1394</v>
      </c>
      <c r="Z471" s="155" t="s">
        <v>1442</v>
      </c>
      <c r="AA471" s="273">
        <f t="shared" si="62"/>
        <v>3.66</v>
      </c>
      <c r="AB471" s="273">
        <f t="shared" si="63"/>
        <v>3.66</v>
      </c>
      <c r="AC471" s="156">
        <f t="shared" si="64"/>
        <v>1000</v>
      </c>
      <c r="AD471" s="274">
        <f t="shared" si="65"/>
        <v>3660</v>
      </c>
      <c r="AE471" s="274">
        <f t="shared" si="59"/>
        <v>3660</v>
      </c>
      <c r="AF471" s="337"/>
    </row>
    <row r="472" spans="1:32">
      <c r="A472" s="337" t="s">
        <v>1523</v>
      </c>
      <c r="B472" s="146" t="s">
        <v>1</v>
      </c>
      <c r="C472" s="155" t="s">
        <v>1512</v>
      </c>
      <c r="D472" s="147"/>
      <c r="E472" s="148" t="s">
        <v>1489</v>
      </c>
      <c r="F472" s="147" t="s">
        <v>106</v>
      </c>
      <c r="G472" s="147" t="s">
        <v>1429</v>
      </c>
      <c r="H472" s="147">
        <v>22</v>
      </c>
      <c r="I472" s="149">
        <f t="shared" si="60"/>
        <v>22</v>
      </c>
      <c r="J472" s="147"/>
      <c r="K472" s="336" t="s">
        <v>51</v>
      </c>
      <c r="L472" s="147">
        <v>100</v>
      </c>
      <c r="M472" s="147" t="s">
        <v>9</v>
      </c>
      <c r="N472" s="147"/>
      <c r="O472" s="147" t="s">
        <v>98</v>
      </c>
      <c r="P472" s="147">
        <v>1000</v>
      </c>
      <c r="Q472" s="150">
        <f t="shared" si="61"/>
        <v>0</v>
      </c>
      <c r="R472" s="151"/>
      <c r="S472" s="152">
        <v>4875</v>
      </c>
      <c r="T472" s="158">
        <v>4875</v>
      </c>
      <c r="U472" s="153"/>
      <c r="V472" s="154"/>
      <c r="W472" s="154"/>
      <c r="X472" s="155"/>
      <c r="Y472" s="155" t="s">
        <v>1394</v>
      </c>
      <c r="Z472" s="155" t="s">
        <v>1442</v>
      </c>
      <c r="AA472" s="273">
        <f t="shared" si="62"/>
        <v>4.875</v>
      </c>
      <c r="AB472" s="273">
        <f t="shared" si="63"/>
        <v>4.875</v>
      </c>
      <c r="AC472" s="156">
        <f t="shared" si="64"/>
        <v>1000</v>
      </c>
      <c r="AD472" s="274">
        <f t="shared" si="65"/>
        <v>4875</v>
      </c>
      <c r="AE472" s="274">
        <f t="shared" si="59"/>
        <v>4875</v>
      </c>
      <c r="AF472" s="337"/>
    </row>
    <row r="473" spans="1:32">
      <c r="A473" s="337" t="s">
        <v>1523</v>
      </c>
      <c r="B473" s="146" t="s">
        <v>1</v>
      </c>
      <c r="C473" s="155" t="s">
        <v>1512</v>
      </c>
      <c r="D473" s="147"/>
      <c r="E473" s="148" t="s">
        <v>1489</v>
      </c>
      <c r="F473" s="147" t="s">
        <v>106</v>
      </c>
      <c r="G473" s="147" t="s">
        <v>1429</v>
      </c>
      <c r="H473" s="147">
        <v>33</v>
      </c>
      <c r="I473" s="149">
        <f t="shared" si="60"/>
        <v>33</v>
      </c>
      <c r="J473" s="147"/>
      <c r="K473" s="336" t="s">
        <v>59</v>
      </c>
      <c r="L473" s="147">
        <v>100</v>
      </c>
      <c r="M473" s="147" t="s">
        <v>9</v>
      </c>
      <c r="N473" s="147"/>
      <c r="O473" s="147" t="s">
        <v>98</v>
      </c>
      <c r="P473" s="147">
        <v>1000</v>
      </c>
      <c r="Q473" s="150">
        <f t="shared" si="61"/>
        <v>0</v>
      </c>
      <c r="R473" s="151"/>
      <c r="S473" s="152">
        <v>4741</v>
      </c>
      <c r="T473" s="158">
        <v>4741</v>
      </c>
      <c r="U473" s="153"/>
      <c r="V473" s="154"/>
      <c r="W473" s="154"/>
      <c r="X473" s="155"/>
      <c r="Y473" s="155" t="s">
        <v>1394</v>
      </c>
      <c r="Z473" s="155" t="s">
        <v>1442</v>
      </c>
      <c r="AA473" s="273">
        <f t="shared" si="62"/>
        <v>4.7409999999999997</v>
      </c>
      <c r="AB473" s="273">
        <f t="shared" si="63"/>
        <v>4.7409999999999997</v>
      </c>
      <c r="AC473" s="156">
        <f t="shared" si="64"/>
        <v>1000</v>
      </c>
      <c r="AD473" s="274">
        <f t="shared" si="65"/>
        <v>4741</v>
      </c>
      <c r="AE473" s="274">
        <f t="shared" si="59"/>
        <v>4741</v>
      </c>
      <c r="AF473" s="337"/>
    </row>
    <row r="474" spans="1:32">
      <c r="A474" s="337" t="s">
        <v>1523</v>
      </c>
      <c r="B474" s="146" t="s">
        <v>1</v>
      </c>
      <c r="C474" s="155" t="s">
        <v>1512</v>
      </c>
      <c r="D474" s="147"/>
      <c r="E474" s="148" t="s">
        <v>1489</v>
      </c>
      <c r="F474" s="147" t="s">
        <v>106</v>
      </c>
      <c r="G474" s="147" t="s">
        <v>1429</v>
      </c>
      <c r="H474" s="147">
        <v>42</v>
      </c>
      <c r="I474" s="149">
        <f t="shared" si="60"/>
        <v>42</v>
      </c>
      <c r="J474" s="147"/>
      <c r="K474" s="336" t="s">
        <v>61</v>
      </c>
      <c r="L474" s="147">
        <v>100</v>
      </c>
      <c r="M474" s="147" t="s">
        <v>9</v>
      </c>
      <c r="N474" s="147"/>
      <c r="O474" s="147" t="s">
        <v>98</v>
      </c>
      <c r="P474" s="147">
        <v>1000</v>
      </c>
      <c r="Q474" s="150">
        <f t="shared" si="61"/>
        <v>0</v>
      </c>
      <c r="R474" s="151"/>
      <c r="S474" s="152">
        <v>1817</v>
      </c>
      <c r="T474" s="158">
        <v>1817</v>
      </c>
      <c r="U474" s="153"/>
      <c r="V474" s="154"/>
      <c r="W474" s="154"/>
      <c r="X474" s="155"/>
      <c r="Y474" s="155" t="s">
        <v>1394</v>
      </c>
      <c r="Z474" s="155" t="s">
        <v>1442</v>
      </c>
      <c r="AA474" s="273">
        <f t="shared" si="62"/>
        <v>1.8169999999999999</v>
      </c>
      <c r="AB474" s="273">
        <f t="shared" si="63"/>
        <v>1.8169999999999999</v>
      </c>
      <c r="AC474" s="156">
        <f t="shared" si="64"/>
        <v>1000</v>
      </c>
      <c r="AD474" s="274">
        <f t="shared" si="65"/>
        <v>1817</v>
      </c>
      <c r="AE474" s="274">
        <f t="shared" si="59"/>
        <v>1817</v>
      </c>
      <c r="AF474" s="337"/>
    </row>
    <row r="475" spans="1:32">
      <c r="A475" s="337" t="s">
        <v>1523</v>
      </c>
      <c r="B475" s="146" t="s">
        <v>1</v>
      </c>
      <c r="C475" s="155" t="s">
        <v>1512</v>
      </c>
      <c r="D475" s="147"/>
      <c r="E475" s="148" t="s">
        <v>1489</v>
      </c>
      <c r="F475" s="147" t="s">
        <v>106</v>
      </c>
      <c r="G475" s="147" t="s">
        <v>1429</v>
      </c>
      <c r="H475" s="147">
        <v>43</v>
      </c>
      <c r="I475" s="149">
        <f t="shared" si="60"/>
        <v>43</v>
      </c>
      <c r="J475" s="147"/>
      <c r="K475" s="336" t="s">
        <v>1505</v>
      </c>
      <c r="L475" s="147">
        <v>100</v>
      </c>
      <c r="M475" s="147" t="s">
        <v>9</v>
      </c>
      <c r="N475" s="147"/>
      <c r="O475" s="147" t="s">
        <v>98</v>
      </c>
      <c r="P475" s="147">
        <v>1000</v>
      </c>
      <c r="Q475" s="150">
        <f t="shared" si="61"/>
        <v>0</v>
      </c>
      <c r="R475" s="151"/>
      <c r="S475" s="152">
        <v>2200</v>
      </c>
      <c r="T475" s="158">
        <v>2200</v>
      </c>
      <c r="U475" s="153"/>
      <c r="V475" s="154"/>
      <c r="W475" s="154"/>
      <c r="X475" s="155"/>
      <c r="Y475" s="155" t="s">
        <v>1394</v>
      </c>
      <c r="Z475" s="155" t="s">
        <v>1442</v>
      </c>
      <c r="AA475" s="273">
        <f t="shared" si="62"/>
        <v>2.2000000000000002</v>
      </c>
      <c r="AB475" s="273">
        <f t="shared" si="63"/>
        <v>2.2000000000000002</v>
      </c>
      <c r="AC475" s="156">
        <f t="shared" si="64"/>
        <v>1000</v>
      </c>
      <c r="AD475" s="274">
        <f t="shared" si="65"/>
        <v>2200</v>
      </c>
      <c r="AE475" s="274">
        <f t="shared" si="59"/>
        <v>2200</v>
      </c>
      <c r="AF475" s="337"/>
    </row>
    <row r="476" spans="1:32">
      <c r="A476" s="337" t="s">
        <v>1523</v>
      </c>
      <c r="B476" s="146" t="s">
        <v>1</v>
      </c>
      <c r="C476" s="155" t="s">
        <v>1512</v>
      </c>
      <c r="D476" s="147"/>
      <c r="E476" s="148" t="s">
        <v>1489</v>
      </c>
      <c r="F476" s="147" t="s">
        <v>106</v>
      </c>
      <c r="G476" s="147" t="s">
        <v>1429</v>
      </c>
      <c r="H476" s="147">
        <v>46</v>
      </c>
      <c r="I476" s="149">
        <f t="shared" si="60"/>
        <v>46</v>
      </c>
      <c r="J476" s="147"/>
      <c r="K476" s="336" t="s">
        <v>1506</v>
      </c>
      <c r="L476" s="147">
        <v>100</v>
      </c>
      <c r="M476" s="147" t="s">
        <v>9</v>
      </c>
      <c r="N476" s="147"/>
      <c r="O476" s="147" t="s">
        <v>98</v>
      </c>
      <c r="P476" s="147">
        <v>1000</v>
      </c>
      <c r="Q476" s="150">
        <f t="shared" si="61"/>
        <v>0</v>
      </c>
      <c r="R476" s="151"/>
      <c r="S476" s="152">
        <v>4500</v>
      </c>
      <c r="T476" s="158">
        <v>4500</v>
      </c>
      <c r="U476" s="153"/>
      <c r="V476" s="154"/>
      <c r="W476" s="154"/>
      <c r="X476" s="155"/>
      <c r="Y476" s="155" t="s">
        <v>1394</v>
      </c>
      <c r="Z476" s="155" t="s">
        <v>1442</v>
      </c>
      <c r="AA476" s="273">
        <f t="shared" si="62"/>
        <v>4.5</v>
      </c>
      <c r="AB476" s="273">
        <f t="shared" si="63"/>
        <v>4.5</v>
      </c>
      <c r="AC476" s="156">
        <f t="shared" si="64"/>
        <v>1000</v>
      </c>
      <c r="AD476" s="274">
        <f t="shared" si="65"/>
        <v>4500</v>
      </c>
      <c r="AE476" s="274">
        <f t="shared" si="59"/>
        <v>4500</v>
      </c>
      <c r="AF476" s="337"/>
    </row>
    <row r="477" spans="1:32">
      <c r="A477" s="337" t="s">
        <v>1523</v>
      </c>
      <c r="B477" s="146" t="s">
        <v>1</v>
      </c>
      <c r="C477" s="155" t="s">
        <v>1512</v>
      </c>
      <c r="D477" s="147"/>
      <c r="E477" s="148" t="s">
        <v>1489</v>
      </c>
      <c r="F477" s="147" t="s">
        <v>106</v>
      </c>
      <c r="G477" s="147" t="s">
        <v>1429</v>
      </c>
      <c r="H477" s="147">
        <v>46</v>
      </c>
      <c r="I477" s="149">
        <f t="shared" si="60"/>
        <v>46</v>
      </c>
      <c r="J477" s="147"/>
      <c r="K477" s="336" t="s">
        <v>1507</v>
      </c>
      <c r="L477" s="147">
        <v>100</v>
      </c>
      <c r="M477" s="147" t="s">
        <v>9</v>
      </c>
      <c r="N477" s="147"/>
      <c r="O477" s="147" t="s">
        <v>98</v>
      </c>
      <c r="P477" s="147">
        <v>1000</v>
      </c>
      <c r="Q477" s="150">
        <f t="shared" si="61"/>
        <v>0</v>
      </c>
      <c r="R477" s="151"/>
      <c r="S477" s="152">
        <v>4417</v>
      </c>
      <c r="T477" s="158">
        <v>4417</v>
      </c>
      <c r="U477" s="153"/>
      <c r="V477" s="154"/>
      <c r="W477" s="154"/>
      <c r="X477" s="155"/>
      <c r="Y477" s="155" t="s">
        <v>1394</v>
      </c>
      <c r="Z477" s="155" t="s">
        <v>1442</v>
      </c>
      <c r="AA477" s="273">
        <f t="shared" si="62"/>
        <v>4.4169999999999998</v>
      </c>
      <c r="AB477" s="273">
        <f t="shared" si="63"/>
        <v>4.4169999999999998</v>
      </c>
      <c r="AC477" s="156">
        <f t="shared" si="64"/>
        <v>1000</v>
      </c>
      <c r="AD477" s="274">
        <f t="shared" si="65"/>
        <v>4417</v>
      </c>
      <c r="AE477" s="274">
        <f t="shared" si="59"/>
        <v>4417</v>
      </c>
      <c r="AF477" s="337"/>
    </row>
    <row r="478" spans="1:32">
      <c r="A478" s="337" t="s">
        <v>1523</v>
      </c>
      <c r="B478" s="146" t="s">
        <v>1</v>
      </c>
      <c r="C478" s="155" t="s">
        <v>1512</v>
      </c>
      <c r="D478" s="147"/>
      <c r="E478" s="148" t="s">
        <v>1489</v>
      </c>
      <c r="F478" s="147" t="s">
        <v>106</v>
      </c>
      <c r="G478" s="147" t="s">
        <v>1429</v>
      </c>
      <c r="H478" s="147">
        <v>46</v>
      </c>
      <c r="I478" s="149">
        <f t="shared" si="60"/>
        <v>46</v>
      </c>
      <c r="J478" s="147"/>
      <c r="K478" s="336" t="s">
        <v>1508</v>
      </c>
      <c r="L478" s="147">
        <v>100</v>
      </c>
      <c r="M478" s="147" t="s">
        <v>9</v>
      </c>
      <c r="N478" s="147"/>
      <c r="O478" s="147" t="s">
        <v>98</v>
      </c>
      <c r="P478" s="147">
        <v>1000</v>
      </c>
      <c r="Q478" s="150">
        <f t="shared" si="61"/>
        <v>0</v>
      </c>
      <c r="R478" s="151"/>
      <c r="S478" s="152">
        <v>4716</v>
      </c>
      <c r="T478" s="158">
        <v>4716</v>
      </c>
      <c r="U478" s="153"/>
      <c r="V478" s="154"/>
      <c r="W478" s="154"/>
      <c r="X478" s="155"/>
      <c r="Y478" s="155" t="s">
        <v>1394</v>
      </c>
      <c r="Z478" s="155" t="s">
        <v>1442</v>
      </c>
      <c r="AA478" s="273">
        <f t="shared" si="62"/>
        <v>4.7160000000000002</v>
      </c>
      <c r="AB478" s="273">
        <f t="shared" si="63"/>
        <v>4.7160000000000002</v>
      </c>
      <c r="AC478" s="156">
        <f t="shared" si="64"/>
        <v>1000</v>
      </c>
      <c r="AD478" s="274">
        <f t="shared" si="65"/>
        <v>4716</v>
      </c>
      <c r="AE478" s="274">
        <f t="shared" si="59"/>
        <v>4716</v>
      </c>
      <c r="AF478" s="337"/>
    </row>
    <row r="479" spans="1:32">
      <c r="A479" s="337" t="s">
        <v>1523</v>
      </c>
      <c r="B479" s="146" t="s">
        <v>1</v>
      </c>
      <c r="C479" s="155" t="s">
        <v>1512</v>
      </c>
      <c r="D479" s="147"/>
      <c r="E479" s="148" t="s">
        <v>1489</v>
      </c>
      <c r="F479" s="147" t="s">
        <v>106</v>
      </c>
      <c r="G479" s="147" t="s">
        <v>1429</v>
      </c>
      <c r="H479" s="147">
        <v>58</v>
      </c>
      <c r="I479" s="149">
        <f t="shared" si="60"/>
        <v>58</v>
      </c>
      <c r="J479" s="147"/>
      <c r="K479" s="336" t="s">
        <v>67</v>
      </c>
      <c r="L479" s="147">
        <v>100</v>
      </c>
      <c r="M479" s="147" t="s">
        <v>9</v>
      </c>
      <c r="N479" s="147"/>
      <c r="O479" s="147" t="s">
        <v>98</v>
      </c>
      <c r="P479" s="147">
        <v>1000</v>
      </c>
      <c r="Q479" s="150">
        <f t="shared" si="61"/>
        <v>0</v>
      </c>
      <c r="R479" s="151"/>
      <c r="S479" s="152">
        <v>1675</v>
      </c>
      <c r="T479" s="158">
        <v>1675</v>
      </c>
      <c r="U479" s="153"/>
      <c r="V479" s="154"/>
      <c r="W479" s="154"/>
      <c r="X479" s="155"/>
      <c r="Y479" s="155" t="s">
        <v>1394</v>
      </c>
      <c r="Z479" s="155" t="s">
        <v>1442</v>
      </c>
      <c r="AA479" s="273">
        <f t="shared" si="62"/>
        <v>1.675</v>
      </c>
      <c r="AB479" s="273">
        <f t="shared" si="63"/>
        <v>1.675</v>
      </c>
      <c r="AC479" s="156">
        <f t="shared" si="64"/>
        <v>1000</v>
      </c>
      <c r="AD479" s="274">
        <f t="shared" si="65"/>
        <v>1675</v>
      </c>
      <c r="AE479" s="274">
        <f t="shared" si="59"/>
        <v>1675</v>
      </c>
      <c r="AF479" s="337"/>
    </row>
    <row r="480" spans="1:32">
      <c r="A480" s="337" t="s">
        <v>1523</v>
      </c>
      <c r="B480" s="146" t="s">
        <v>1</v>
      </c>
      <c r="C480" s="155" t="s">
        <v>1512</v>
      </c>
      <c r="D480" s="147"/>
      <c r="E480" s="148" t="s">
        <v>1489</v>
      </c>
      <c r="F480" s="147" t="s">
        <v>106</v>
      </c>
      <c r="G480" s="147" t="s">
        <v>1429</v>
      </c>
      <c r="H480" s="147">
        <v>59</v>
      </c>
      <c r="I480" s="149">
        <f t="shared" si="60"/>
        <v>59</v>
      </c>
      <c r="J480" s="147"/>
      <c r="K480" s="336" t="s">
        <v>99</v>
      </c>
      <c r="L480" s="147">
        <v>100</v>
      </c>
      <c r="M480" s="147" t="s">
        <v>9</v>
      </c>
      <c r="N480" s="147"/>
      <c r="O480" s="147" t="s">
        <v>98</v>
      </c>
      <c r="P480" s="147">
        <v>1000</v>
      </c>
      <c r="Q480" s="150">
        <f t="shared" si="61"/>
        <v>0</v>
      </c>
      <c r="R480" s="151"/>
      <c r="S480" s="152">
        <v>3500</v>
      </c>
      <c r="T480" s="158">
        <v>3500</v>
      </c>
      <c r="U480" s="153"/>
      <c r="V480" s="154"/>
      <c r="W480" s="154"/>
      <c r="X480" s="155"/>
      <c r="Y480" s="155" t="s">
        <v>1394</v>
      </c>
      <c r="Z480" s="155" t="s">
        <v>1442</v>
      </c>
      <c r="AA480" s="273">
        <f t="shared" si="62"/>
        <v>3.5</v>
      </c>
      <c r="AB480" s="273">
        <f t="shared" si="63"/>
        <v>3.5</v>
      </c>
      <c r="AC480" s="156">
        <f t="shared" si="64"/>
        <v>1000</v>
      </c>
      <c r="AD480" s="274">
        <f t="shared" si="65"/>
        <v>3500</v>
      </c>
      <c r="AE480" s="274">
        <f t="shared" si="59"/>
        <v>3500</v>
      </c>
      <c r="AF480" s="337"/>
    </row>
    <row r="481" spans="1:32">
      <c r="A481" s="337" t="s">
        <v>1523</v>
      </c>
      <c r="B481" s="146" t="s">
        <v>1</v>
      </c>
      <c r="C481" s="155" t="s">
        <v>1512</v>
      </c>
      <c r="D481" s="147"/>
      <c r="E481" s="148" t="s">
        <v>1489</v>
      </c>
      <c r="F481" s="147" t="s">
        <v>106</v>
      </c>
      <c r="G481" s="147" t="s">
        <v>1429</v>
      </c>
      <c r="H481" s="147">
        <v>69</v>
      </c>
      <c r="I481" s="149">
        <f t="shared" si="60"/>
        <v>69</v>
      </c>
      <c r="J481" s="147"/>
      <c r="K481" s="336" t="s">
        <v>1509</v>
      </c>
      <c r="L481" s="147">
        <v>100</v>
      </c>
      <c r="M481" s="147" t="s">
        <v>9</v>
      </c>
      <c r="N481" s="147"/>
      <c r="O481" s="147" t="s">
        <v>98</v>
      </c>
      <c r="P481" s="147">
        <v>1000</v>
      </c>
      <c r="Q481" s="150">
        <f t="shared" si="61"/>
        <v>0</v>
      </c>
      <c r="R481" s="151"/>
      <c r="S481" s="152">
        <v>2890</v>
      </c>
      <c r="T481" s="158">
        <v>2890</v>
      </c>
      <c r="U481" s="153"/>
      <c r="V481" s="154"/>
      <c r="W481" s="154"/>
      <c r="X481" s="155"/>
      <c r="Y481" s="155" t="s">
        <v>1394</v>
      </c>
      <c r="Z481" s="155" t="s">
        <v>1442</v>
      </c>
      <c r="AA481" s="273">
        <f t="shared" si="62"/>
        <v>2.89</v>
      </c>
      <c r="AB481" s="273">
        <f t="shared" si="63"/>
        <v>2.89</v>
      </c>
      <c r="AC481" s="156">
        <f t="shared" si="64"/>
        <v>1000</v>
      </c>
      <c r="AD481" s="274">
        <f t="shared" si="65"/>
        <v>2890</v>
      </c>
      <c r="AE481" s="274">
        <f t="shared" si="59"/>
        <v>2890</v>
      </c>
      <c r="AF481" s="337"/>
    </row>
    <row r="482" spans="1:32">
      <c r="A482" s="337" t="s">
        <v>1523</v>
      </c>
      <c r="B482" s="146" t="s">
        <v>1</v>
      </c>
      <c r="C482" s="155" t="s">
        <v>1512</v>
      </c>
      <c r="D482" s="147"/>
      <c r="E482" s="148" t="s">
        <v>1489</v>
      </c>
      <c r="F482" s="147" t="s">
        <v>106</v>
      </c>
      <c r="G482" s="147" t="s">
        <v>1429</v>
      </c>
      <c r="H482" s="147">
        <v>70</v>
      </c>
      <c r="I482" s="149">
        <f t="shared" si="60"/>
        <v>70</v>
      </c>
      <c r="J482" s="147"/>
      <c r="K482" s="336" t="s">
        <v>1510</v>
      </c>
      <c r="L482" s="147">
        <v>100</v>
      </c>
      <c r="M482" s="147" t="s">
        <v>9</v>
      </c>
      <c r="N482" s="147"/>
      <c r="O482" s="147" t="s">
        <v>98</v>
      </c>
      <c r="P482" s="147">
        <v>1000</v>
      </c>
      <c r="Q482" s="150">
        <f t="shared" si="61"/>
        <v>0</v>
      </c>
      <c r="R482" s="151"/>
      <c r="S482" s="152">
        <v>4961</v>
      </c>
      <c r="T482" s="158">
        <v>4961</v>
      </c>
      <c r="U482" s="153"/>
      <c r="V482" s="154"/>
      <c r="W482" s="154"/>
      <c r="X482" s="155"/>
      <c r="Y482" s="155" t="s">
        <v>1394</v>
      </c>
      <c r="Z482" s="155" t="s">
        <v>1442</v>
      </c>
      <c r="AA482" s="273">
        <f t="shared" si="62"/>
        <v>4.9610000000000003</v>
      </c>
      <c r="AB482" s="273">
        <f t="shared" si="63"/>
        <v>4.9610000000000003</v>
      </c>
      <c r="AC482" s="156">
        <f t="shared" si="64"/>
        <v>1000</v>
      </c>
      <c r="AD482" s="274">
        <f t="shared" si="65"/>
        <v>4961</v>
      </c>
      <c r="AE482" s="274">
        <f t="shared" si="59"/>
        <v>4961</v>
      </c>
      <c r="AF482" s="337"/>
    </row>
    <row r="483" spans="1:32">
      <c r="A483" s="337" t="s">
        <v>1523</v>
      </c>
      <c r="B483" s="146" t="s">
        <v>1</v>
      </c>
      <c r="C483" s="155" t="s">
        <v>1512</v>
      </c>
      <c r="D483" s="147"/>
      <c r="E483" s="148" t="s">
        <v>1489</v>
      </c>
      <c r="F483" s="147" t="s">
        <v>106</v>
      </c>
      <c r="G483" s="147" t="s">
        <v>1429</v>
      </c>
      <c r="H483" s="147">
        <v>70</v>
      </c>
      <c r="I483" s="149">
        <f t="shared" si="60"/>
        <v>70</v>
      </c>
      <c r="J483" s="147"/>
      <c r="K483" s="336" t="s">
        <v>1511</v>
      </c>
      <c r="L483" s="147">
        <v>100</v>
      </c>
      <c r="M483" s="147" t="s">
        <v>9</v>
      </c>
      <c r="N483" s="147"/>
      <c r="O483" s="147" t="s">
        <v>98</v>
      </c>
      <c r="P483" s="147">
        <v>1000</v>
      </c>
      <c r="Q483" s="150">
        <f t="shared" si="61"/>
        <v>0</v>
      </c>
      <c r="R483" s="151"/>
      <c r="S483" s="152">
        <v>4787</v>
      </c>
      <c r="T483" s="158">
        <v>4787</v>
      </c>
      <c r="U483" s="153"/>
      <c r="V483" s="154"/>
      <c r="W483" s="154"/>
      <c r="X483" s="155"/>
      <c r="Y483" s="155" t="s">
        <v>1394</v>
      </c>
      <c r="Z483" s="155" t="s">
        <v>1442</v>
      </c>
      <c r="AA483" s="273">
        <f t="shared" si="62"/>
        <v>4.7869999999999999</v>
      </c>
      <c r="AB483" s="273">
        <f t="shared" si="63"/>
        <v>4.7869999999999999</v>
      </c>
      <c r="AC483" s="156">
        <f t="shared" si="64"/>
        <v>1000</v>
      </c>
      <c r="AD483" s="274">
        <f t="shared" si="65"/>
        <v>4787</v>
      </c>
      <c r="AE483" s="274">
        <f t="shared" si="59"/>
        <v>4787</v>
      </c>
      <c r="AF483" s="337"/>
    </row>
    <row r="484" spans="1:32">
      <c r="A484" s="337" t="s">
        <v>1523</v>
      </c>
      <c r="B484" s="146" t="s">
        <v>1</v>
      </c>
      <c r="C484" s="155" t="s">
        <v>1512</v>
      </c>
      <c r="D484" s="147"/>
      <c r="E484" s="148" t="s">
        <v>1490</v>
      </c>
      <c r="F484" s="147" t="s">
        <v>106</v>
      </c>
      <c r="G484" s="147" t="s">
        <v>1429</v>
      </c>
      <c r="H484" s="147">
        <v>7</v>
      </c>
      <c r="I484" s="149">
        <f t="shared" si="60"/>
        <v>7</v>
      </c>
      <c r="J484" s="147"/>
      <c r="K484" s="336" t="s">
        <v>57</v>
      </c>
      <c r="L484" s="147">
        <v>100</v>
      </c>
      <c r="M484" s="147" t="s">
        <v>9</v>
      </c>
      <c r="N484" s="147"/>
      <c r="O484" s="147" t="s">
        <v>98</v>
      </c>
      <c r="P484" s="147">
        <v>1000</v>
      </c>
      <c r="Q484" s="150">
        <f t="shared" si="61"/>
        <v>0</v>
      </c>
      <c r="R484" s="151"/>
      <c r="S484" s="152">
        <v>1367</v>
      </c>
      <c r="T484" s="158">
        <v>1367</v>
      </c>
      <c r="U484" s="153"/>
      <c r="V484" s="154"/>
      <c r="W484" s="154"/>
      <c r="X484" s="155"/>
      <c r="Y484" s="155" t="s">
        <v>1394</v>
      </c>
      <c r="Z484" s="155" t="s">
        <v>1442</v>
      </c>
      <c r="AA484" s="273">
        <f t="shared" si="62"/>
        <v>1.367</v>
      </c>
      <c r="AB484" s="273">
        <f t="shared" si="63"/>
        <v>1.367</v>
      </c>
      <c r="AC484" s="156">
        <f t="shared" si="64"/>
        <v>1000</v>
      </c>
      <c r="AD484" s="274">
        <f t="shared" si="65"/>
        <v>1367</v>
      </c>
      <c r="AE484" s="274">
        <f t="shared" si="59"/>
        <v>1367</v>
      </c>
      <c r="AF484" s="337"/>
    </row>
    <row r="485" spans="1:32">
      <c r="A485" s="337" t="s">
        <v>1523</v>
      </c>
      <c r="B485" s="146" t="s">
        <v>1</v>
      </c>
      <c r="C485" s="155" t="s">
        <v>1512</v>
      </c>
      <c r="D485" s="147"/>
      <c r="E485" s="148" t="s">
        <v>1490</v>
      </c>
      <c r="F485" s="147" t="s">
        <v>106</v>
      </c>
      <c r="G485" s="147" t="s">
        <v>1429</v>
      </c>
      <c r="H485" s="147">
        <v>17</v>
      </c>
      <c r="I485" s="149">
        <f t="shared" si="60"/>
        <v>17</v>
      </c>
      <c r="J485" s="147"/>
      <c r="K485" s="336" t="s">
        <v>53</v>
      </c>
      <c r="L485" s="147">
        <v>100</v>
      </c>
      <c r="M485" s="147" t="s">
        <v>9</v>
      </c>
      <c r="N485" s="147"/>
      <c r="O485" s="147" t="s">
        <v>98</v>
      </c>
      <c r="P485" s="147">
        <v>1000</v>
      </c>
      <c r="Q485" s="150">
        <f t="shared" si="61"/>
        <v>0</v>
      </c>
      <c r="R485" s="151"/>
      <c r="S485" s="152">
        <v>3744</v>
      </c>
      <c r="T485" s="158">
        <v>3744</v>
      </c>
      <c r="U485" s="153"/>
      <c r="V485" s="154"/>
      <c r="W485" s="154"/>
      <c r="X485" s="155"/>
      <c r="Y485" s="155" t="s">
        <v>1394</v>
      </c>
      <c r="Z485" s="155" t="s">
        <v>1442</v>
      </c>
      <c r="AA485" s="273">
        <f t="shared" si="62"/>
        <v>3.7440000000000002</v>
      </c>
      <c r="AB485" s="273">
        <f t="shared" si="63"/>
        <v>3.7440000000000002</v>
      </c>
      <c r="AC485" s="156">
        <f t="shared" si="64"/>
        <v>1000</v>
      </c>
      <c r="AD485" s="274">
        <f t="shared" si="65"/>
        <v>3744</v>
      </c>
      <c r="AE485" s="274">
        <f t="shared" si="59"/>
        <v>3744</v>
      </c>
      <c r="AF485" s="337"/>
    </row>
    <row r="486" spans="1:32">
      <c r="A486" s="337" t="s">
        <v>1523</v>
      </c>
      <c r="B486" s="146" t="s">
        <v>1</v>
      </c>
      <c r="C486" s="155" t="s">
        <v>1512</v>
      </c>
      <c r="D486" s="147"/>
      <c r="E486" s="148" t="s">
        <v>1490</v>
      </c>
      <c r="F486" s="147" t="s">
        <v>106</v>
      </c>
      <c r="G486" s="147" t="s">
        <v>1429</v>
      </c>
      <c r="H486" s="147">
        <v>22</v>
      </c>
      <c r="I486" s="149">
        <f t="shared" si="60"/>
        <v>22</v>
      </c>
      <c r="J486" s="147"/>
      <c r="K486" s="336" t="s">
        <v>51</v>
      </c>
      <c r="L486" s="147">
        <v>100</v>
      </c>
      <c r="M486" s="147" t="s">
        <v>9</v>
      </c>
      <c r="N486" s="147"/>
      <c r="O486" s="147" t="s">
        <v>98</v>
      </c>
      <c r="P486" s="147">
        <v>1000</v>
      </c>
      <c r="Q486" s="150">
        <f t="shared" si="61"/>
        <v>0</v>
      </c>
      <c r="R486" s="151"/>
      <c r="S486" s="152">
        <v>5000</v>
      </c>
      <c r="T486" s="158">
        <v>5000</v>
      </c>
      <c r="U486" s="153"/>
      <c r="V486" s="154"/>
      <c r="W486" s="154"/>
      <c r="X486" s="155"/>
      <c r="Y486" s="155" t="s">
        <v>1394</v>
      </c>
      <c r="Z486" s="155" t="s">
        <v>1442</v>
      </c>
      <c r="AA486" s="273">
        <f t="shared" si="62"/>
        <v>5</v>
      </c>
      <c r="AB486" s="273">
        <f t="shared" si="63"/>
        <v>5</v>
      </c>
      <c r="AC486" s="156">
        <f t="shared" si="64"/>
        <v>1000</v>
      </c>
      <c r="AD486" s="274">
        <f t="shared" si="65"/>
        <v>5000</v>
      </c>
      <c r="AE486" s="274">
        <f t="shared" si="59"/>
        <v>5000</v>
      </c>
      <c r="AF486" s="337"/>
    </row>
    <row r="487" spans="1:32">
      <c r="A487" s="337" t="s">
        <v>1523</v>
      </c>
      <c r="B487" s="146" t="s">
        <v>1</v>
      </c>
      <c r="C487" s="155" t="s">
        <v>1512</v>
      </c>
      <c r="D487" s="147"/>
      <c r="E487" s="148" t="s">
        <v>1490</v>
      </c>
      <c r="F487" s="147" t="s">
        <v>106</v>
      </c>
      <c r="G487" s="147" t="s">
        <v>1429</v>
      </c>
      <c r="H487" s="147">
        <v>33</v>
      </c>
      <c r="I487" s="149">
        <f t="shared" si="60"/>
        <v>33</v>
      </c>
      <c r="J487" s="147"/>
      <c r="K487" s="336" t="s">
        <v>59</v>
      </c>
      <c r="L487" s="147">
        <v>100</v>
      </c>
      <c r="M487" s="147" t="s">
        <v>9</v>
      </c>
      <c r="N487" s="147"/>
      <c r="O487" s="147" t="s">
        <v>98</v>
      </c>
      <c r="P487" s="147">
        <v>1000</v>
      </c>
      <c r="Q487" s="150">
        <f t="shared" si="61"/>
        <v>0</v>
      </c>
      <c r="R487" s="151"/>
      <c r="S487" s="152">
        <v>3714</v>
      </c>
      <c r="T487" s="158">
        <v>3714</v>
      </c>
      <c r="U487" s="153"/>
      <c r="V487" s="154"/>
      <c r="W487" s="154"/>
      <c r="X487" s="155"/>
      <c r="Y487" s="155" t="s">
        <v>1394</v>
      </c>
      <c r="Z487" s="155" t="s">
        <v>1442</v>
      </c>
      <c r="AA487" s="273">
        <f t="shared" si="62"/>
        <v>3.714</v>
      </c>
      <c r="AB487" s="273">
        <f t="shared" si="63"/>
        <v>3.714</v>
      </c>
      <c r="AC487" s="156">
        <f t="shared" si="64"/>
        <v>1000</v>
      </c>
      <c r="AD487" s="274">
        <f t="shared" si="65"/>
        <v>3714</v>
      </c>
      <c r="AE487" s="274">
        <f t="shared" si="59"/>
        <v>3714</v>
      </c>
      <c r="AF487" s="337"/>
    </row>
    <row r="488" spans="1:32">
      <c r="A488" s="337" t="s">
        <v>1523</v>
      </c>
      <c r="B488" s="146" t="s">
        <v>1</v>
      </c>
      <c r="C488" s="155" t="s">
        <v>1512</v>
      </c>
      <c r="D488" s="147"/>
      <c r="E488" s="148" t="s">
        <v>1490</v>
      </c>
      <c r="F488" s="147" t="s">
        <v>106</v>
      </c>
      <c r="G488" s="147" t="s">
        <v>1429</v>
      </c>
      <c r="H488" s="147">
        <v>42</v>
      </c>
      <c r="I488" s="149">
        <f t="shared" si="60"/>
        <v>42</v>
      </c>
      <c r="J488" s="147"/>
      <c r="K488" s="336" t="s">
        <v>61</v>
      </c>
      <c r="L488" s="147">
        <v>100</v>
      </c>
      <c r="M488" s="147" t="s">
        <v>9</v>
      </c>
      <c r="N488" s="147"/>
      <c r="O488" s="147" t="s">
        <v>98</v>
      </c>
      <c r="P488" s="147">
        <v>1000</v>
      </c>
      <c r="Q488" s="150">
        <f t="shared" si="61"/>
        <v>0</v>
      </c>
      <c r="R488" s="151"/>
      <c r="S488" s="152">
        <v>1808</v>
      </c>
      <c r="T488" s="158">
        <v>1808</v>
      </c>
      <c r="U488" s="153"/>
      <c r="V488" s="154"/>
      <c r="W488" s="154"/>
      <c r="X488" s="155"/>
      <c r="Y488" s="155" t="s">
        <v>1394</v>
      </c>
      <c r="Z488" s="155" t="s">
        <v>1442</v>
      </c>
      <c r="AA488" s="273">
        <f t="shared" si="62"/>
        <v>1.8080000000000001</v>
      </c>
      <c r="AB488" s="273">
        <f t="shared" si="63"/>
        <v>1.8080000000000001</v>
      </c>
      <c r="AC488" s="156">
        <f t="shared" si="64"/>
        <v>1000</v>
      </c>
      <c r="AD488" s="274">
        <f t="shared" si="65"/>
        <v>1808</v>
      </c>
      <c r="AE488" s="274">
        <f t="shared" si="59"/>
        <v>1808</v>
      </c>
      <c r="AF488" s="337"/>
    </row>
    <row r="489" spans="1:32">
      <c r="A489" s="337" t="s">
        <v>1523</v>
      </c>
      <c r="B489" s="146" t="s">
        <v>1</v>
      </c>
      <c r="C489" s="155" t="s">
        <v>1512</v>
      </c>
      <c r="D489" s="147"/>
      <c r="E489" s="148" t="s">
        <v>1490</v>
      </c>
      <c r="F489" s="147" t="s">
        <v>106</v>
      </c>
      <c r="G489" s="147" t="s">
        <v>1429</v>
      </c>
      <c r="H489" s="147">
        <v>43</v>
      </c>
      <c r="I489" s="149">
        <f t="shared" si="60"/>
        <v>43</v>
      </c>
      <c r="J489" s="147"/>
      <c r="K489" s="336" t="s">
        <v>1505</v>
      </c>
      <c r="L489" s="147">
        <v>100</v>
      </c>
      <c r="M489" s="147" t="s">
        <v>9</v>
      </c>
      <c r="N489" s="147"/>
      <c r="O489" s="147" t="s">
        <v>98</v>
      </c>
      <c r="P489" s="147">
        <v>1000</v>
      </c>
      <c r="Q489" s="150">
        <f t="shared" si="61"/>
        <v>0</v>
      </c>
      <c r="R489" s="151"/>
      <c r="S489" s="152">
        <v>2442</v>
      </c>
      <c r="T489" s="158">
        <v>2442</v>
      </c>
      <c r="U489" s="153"/>
      <c r="V489" s="154"/>
      <c r="W489" s="154"/>
      <c r="X489" s="155"/>
      <c r="Y489" s="155" t="s">
        <v>1394</v>
      </c>
      <c r="Z489" s="155" t="s">
        <v>1442</v>
      </c>
      <c r="AA489" s="273">
        <f t="shared" si="62"/>
        <v>2.4420000000000002</v>
      </c>
      <c r="AB489" s="273">
        <f t="shared" si="63"/>
        <v>2.4420000000000002</v>
      </c>
      <c r="AC489" s="156">
        <f t="shared" si="64"/>
        <v>1000</v>
      </c>
      <c r="AD489" s="274">
        <f t="shared" si="65"/>
        <v>2442</v>
      </c>
      <c r="AE489" s="274">
        <f t="shared" si="59"/>
        <v>2442</v>
      </c>
      <c r="AF489" s="337"/>
    </row>
    <row r="490" spans="1:32">
      <c r="A490" s="337" t="s">
        <v>1523</v>
      </c>
      <c r="B490" s="146" t="s">
        <v>1</v>
      </c>
      <c r="C490" s="155" t="s">
        <v>1512</v>
      </c>
      <c r="D490" s="147"/>
      <c r="E490" s="148" t="s">
        <v>1490</v>
      </c>
      <c r="F490" s="147" t="s">
        <v>106</v>
      </c>
      <c r="G490" s="147" t="s">
        <v>1429</v>
      </c>
      <c r="H490" s="147">
        <v>46</v>
      </c>
      <c r="I490" s="149">
        <f t="shared" si="60"/>
        <v>46</v>
      </c>
      <c r="J490" s="147"/>
      <c r="K490" s="336" t="s">
        <v>1507</v>
      </c>
      <c r="L490" s="147">
        <v>100</v>
      </c>
      <c r="M490" s="147" t="s">
        <v>9</v>
      </c>
      <c r="N490" s="147"/>
      <c r="O490" s="147" t="s">
        <v>98</v>
      </c>
      <c r="P490" s="147">
        <v>1000</v>
      </c>
      <c r="Q490" s="150">
        <f t="shared" si="61"/>
        <v>0</v>
      </c>
      <c r="R490" s="151"/>
      <c r="S490" s="152">
        <v>4516</v>
      </c>
      <c r="T490" s="158">
        <v>4516</v>
      </c>
      <c r="U490" s="153"/>
      <c r="V490" s="154"/>
      <c r="W490" s="154"/>
      <c r="X490" s="155"/>
      <c r="Y490" s="155" t="s">
        <v>1394</v>
      </c>
      <c r="Z490" s="155" t="s">
        <v>1442</v>
      </c>
      <c r="AA490" s="273">
        <f t="shared" si="62"/>
        <v>4.516</v>
      </c>
      <c r="AB490" s="273">
        <f t="shared" si="63"/>
        <v>4.516</v>
      </c>
      <c r="AC490" s="156">
        <f t="shared" si="64"/>
        <v>1000</v>
      </c>
      <c r="AD490" s="274">
        <f t="shared" si="65"/>
        <v>4516</v>
      </c>
      <c r="AE490" s="274">
        <f t="shared" si="59"/>
        <v>4516</v>
      </c>
      <c r="AF490" s="337"/>
    </row>
    <row r="491" spans="1:32">
      <c r="A491" s="337" t="s">
        <v>1523</v>
      </c>
      <c r="B491" s="146" t="s">
        <v>1</v>
      </c>
      <c r="C491" s="155" t="s">
        <v>1512</v>
      </c>
      <c r="D491" s="147"/>
      <c r="E491" s="148" t="s">
        <v>1490</v>
      </c>
      <c r="F491" s="147" t="s">
        <v>106</v>
      </c>
      <c r="G491" s="147" t="s">
        <v>1429</v>
      </c>
      <c r="H491" s="147">
        <v>46</v>
      </c>
      <c r="I491" s="149">
        <f t="shared" si="60"/>
        <v>46</v>
      </c>
      <c r="J491" s="147"/>
      <c r="K491" s="336" t="s">
        <v>1508</v>
      </c>
      <c r="L491" s="147">
        <v>100</v>
      </c>
      <c r="M491" s="147" t="s">
        <v>9</v>
      </c>
      <c r="N491" s="147"/>
      <c r="O491" s="147" t="s">
        <v>98</v>
      </c>
      <c r="P491" s="147">
        <v>1000</v>
      </c>
      <c r="Q491" s="150">
        <f t="shared" si="61"/>
        <v>0</v>
      </c>
      <c r="R491" s="151"/>
      <c r="S491" s="152">
        <v>4949</v>
      </c>
      <c r="T491" s="158">
        <v>4949</v>
      </c>
      <c r="U491" s="153"/>
      <c r="V491" s="154"/>
      <c r="W491" s="154"/>
      <c r="X491" s="155"/>
      <c r="Y491" s="155" t="s">
        <v>1394</v>
      </c>
      <c r="Z491" s="155" t="s">
        <v>1442</v>
      </c>
      <c r="AA491" s="273">
        <f t="shared" si="62"/>
        <v>4.9489999999999998</v>
      </c>
      <c r="AB491" s="273">
        <f t="shared" si="63"/>
        <v>4.9489999999999998</v>
      </c>
      <c r="AC491" s="156">
        <f t="shared" si="64"/>
        <v>1000</v>
      </c>
      <c r="AD491" s="274">
        <f t="shared" si="65"/>
        <v>4949</v>
      </c>
      <c r="AE491" s="274">
        <f t="shared" si="59"/>
        <v>4949</v>
      </c>
      <c r="AF491" s="337"/>
    </row>
    <row r="492" spans="1:32">
      <c r="A492" s="337" t="s">
        <v>1523</v>
      </c>
      <c r="B492" s="146" t="s">
        <v>1</v>
      </c>
      <c r="C492" s="155" t="s">
        <v>1512</v>
      </c>
      <c r="D492" s="147"/>
      <c r="E492" s="148" t="s">
        <v>1490</v>
      </c>
      <c r="F492" s="147" t="s">
        <v>106</v>
      </c>
      <c r="G492" s="147" t="s">
        <v>1429</v>
      </c>
      <c r="H492" s="147">
        <v>58</v>
      </c>
      <c r="I492" s="149">
        <f t="shared" si="60"/>
        <v>58</v>
      </c>
      <c r="J492" s="147"/>
      <c r="K492" s="336" t="s">
        <v>67</v>
      </c>
      <c r="L492" s="147">
        <v>100</v>
      </c>
      <c r="M492" s="147" t="s">
        <v>9</v>
      </c>
      <c r="N492" s="147"/>
      <c r="O492" s="147" t="s">
        <v>98</v>
      </c>
      <c r="P492" s="147">
        <v>1000</v>
      </c>
      <c r="Q492" s="150">
        <f t="shared" si="61"/>
        <v>0</v>
      </c>
      <c r="R492" s="151"/>
      <c r="S492" s="152">
        <v>1728</v>
      </c>
      <c r="T492" s="158">
        <v>1728</v>
      </c>
      <c r="U492" s="153"/>
      <c r="V492" s="154"/>
      <c r="W492" s="154"/>
      <c r="X492" s="155"/>
      <c r="Y492" s="155" t="s">
        <v>1394</v>
      </c>
      <c r="Z492" s="155" t="s">
        <v>1442</v>
      </c>
      <c r="AA492" s="273">
        <f t="shared" si="62"/>
        <v>1.728</v>
      </c>
      <c r="AB492" s="273">
        <f t="shared" si="63"/>
        <v>1.728</v>
      </c>
      <c r="AC492" s="156">
        <f t="shared" si="64"/>
        <v>1000</v>
      </c>
      <c r="AD492" s="274">
        <f t="shared" si="65"/>
        <v>1728</v>
      </c>
      <c r="AE492" s="274">
        <f t="shared" si="59"/>
        <v>1728</v>
      </c>
      <c r="AF492" s="337"/>
    </row>
    <row r="493" spans="1:32">
      <c r="A493" s="337" t="s">
        <v>1523</v>
      </c>
      <c r="B493" s="146" t="s">
        <v>1</v>
      </c>
      <c r="C493" s="155" t="s">
        <v>1512</v>
      </c>
      <c r="D493" s="147"/>
      <c r="E493" s="148" t="s">
        <v>1490</v>
      </c>
      <c r="F493" s="147" t="s">
        <v>106</v>
      </c>
      <c r="G493" s="147" t="s">
        <v>1429</v>
      </c>
      <c r="H493" s="147">
        <v>59</v>
      </c>
      <c r="I493" s="149">
        <f t="shared" si="60"/>
        <v>59</v>
      </c>
      <c r="J493" s="147"/>
      <c r="K493" s="336" t="s">
        <v>99</v>
      </c>
      <c r="L493" s="147">
        <v>100</v>
      </c>
      <c r="M493" s="147" t="s">
        <v>9</v>
      </c>
      <c r="N493" s="147"/>
      <c r="O493" s="147" t="s">
        <v>98</v>
      </c>
      <c r="P493" s="147">
        <v>1000</v>
      </c>
      <c r="Q493" s="150">
        <f t="shared" si="61"/>
        <v>0</v>
      </c>
      <c r="R493" s="151"/>
      <c r="S493" s="152">
        <v>3508</v>
      </c>
      <c r="T493" s="158">
        <v>3508</v>
      </c>
      <c r="U493" s="153"/>
      <c r="V493" s="154"/>
      <c r="W493" s="154"/>
      <c r="X493" s="155"/>
      <c r="Y493" s="155" t="s">
        <v>1394</v>
      </c>
      <c r="Z493" s="155" t="s">
        <v>1442</v>
      </c>
      <c r="AA493" s="273">
        <f t="shared" si="62"/>
        <v>3.508</v>
      </c>
      <c r="AB493" s="273">
        <f t="shared" si="63"/>
        <v>3.508</v>
      </c>
      <c r="AC493" s="156">
        <f t="shared" si="64"/>
        <v>1000</v>
      </c>
      <c r="AD493" s="274">
        <f t="shared" si="65"/>
        <v>3508</v>
      </c>
      <c r="AE493" s="274">
        <f t="shared" si="59"/>
        <v>3508</v>
      </c>
      <c r="AF493" s="337"/>
    </row>
    <row r="494" spans="1:32">
      <c r="A494" s="337" t="s">
        <v>1523</v>
      </c>
      <c r="B494" s="146" t="s">
        <v>1</v>
      </c>
      <c r="C494" s="155" t="s">
        <v>1512</v>
      </c>
      <c r="D494" s="147"/>
      <c r="E494" s="148" t="s">
        <v>1490</v>
      </c>
      <c r="F494" s="147" t="s">
        <v>106</v>
      </c>
      <c r="G494" s="147" t="s">
        <v>1429</v>
      </c>
      <c r="H494" s="147">
        <v>69</v>
      </c>
      <c r="I494" s="149">
        <f t="shared" si="60"/>
        <v>69</v>
      </c>
      <c r="J494" s="147"/>
      <c r="K494" s="336" t="s">
        <v>1509</v>
      </c>
      <c r="L494" s="147">
        <v>100</v>
      </c>
      <c r="M494" s="147" t="s">
        <v>9</v>
      </c>
      <c r="N494" s="147"/>
      <c r="O494" s="147" t="s">
        <v>98</v>
      </c>
      <c r="P494" s="147">
        <v>1000</v>
      </c>
      <c r="Q494" s="150">
        <f t="shared" si="61"/>
        <v>0</v>
      </c>
      <c r="R494" s="151"/>
      <c r="S494" s="152">
        <v>3071</v>
      </c>
      <c r="T494" s="158">
        <v>3071</v>
      </c>
      <c r="U494" s="153"/>
      <c r="V494" s="154"/>
      <c r="W494" s="154"/>
      <c r="X494" s="155"/>
      <c r="Y494" s="155" t="s">
        <v>1394</v>
      </c>
      <c r="Z494" s="155" t="s">
        <v>1442</v>
      </c>
      <c r="AA494" s="273">
        <f t="shared" si="62"/>
        <v>3.0710000000000002</v>
      </c>
      <c r="AB494" s="273">
        <f t="shared" si="63"/>
        <v>3.0710000000000002</v>
      </c>
      <c r="AC494" s="156">
        <f t="shared" si="64"/>
        <v>1000</v>
      </c>
      <c r="AD494" s="274">
        <f t="shared" si="65"/>
        <v>3071</v>
      </c>
      <c r="AE494" s="274">
        <f t="shared" si="59"/>
        <v>3071</v>
      </c>
      <c r="AF494" s="337"/>
    </row>
    <row r="495" spans="1:32">
      <c r="A495" s="337" t="s">
        <v>1523</v>
      </c>
      <c r="B495" s="146" t="s">
        <v>1</v>
      </c>
      <c r="C495" s="155" t="s">
        <v>1512</v>
      </c>
      <c r="D495" s="147"/>
      <c r="E495" s="148" t="s">
        <v>1490</v>
      </c>
      <c r="F495" s="147" t="s">
        <v>106</v>
      </c>
      <c r="G495" s="147" t="s">
        <v>1429</v>
      </c>
      <c r="H495" s="147">
        <v>70</v>
      </c>
      <c r="I495" s="149">
        <f t="shared" si="60"/>
        <v>70</v>
      </c>
      <c r="J495" s="147"/>
      <c r="K495" s="336" t="s">
        <v>1510</v>
      </c>
      <c r="L495" s="147">
        <v>100</v>
      </c>
      <c r="M495" s="147" t="s">
        <v>9</v>
      </c>
      <c r="N495" s="147"/>
      <c r="O495" s="147" t="s">
        <v>98</v>
      </c>
      <c r="P495" s="147">
        <v>1000</v>
      </c>
      <c r="Q495" s="150">
        <f t="shared" si="61"/>
        <v>0</v>
      </c>
      <c r="R495" s="151"/>
      <c r="S495" s="152">
        <v>5554</v>
      </c>
      <c r="T495" s="158">
        <v>5554</v>
      </c>
      <c r="U495" s="153"/>
      <c r="V495" s="154"/>
      <c r="W495" s="154"/>
      <c r="X495" s="155"/>
      <c r="Y495" s="155" t="s">
        <v>1394</v>
      </c>
      <c r="Z495" s="155" t="s">
        <v>1442</v>
      </c>
      <c r="AA495" s="273">
        <f t="shared" si="62"/>
        <v>5.5540000000000003</v>
      </c>
      <c r="AB495" s="273">
        <f t="shared" si="63"/>
        <v>5.5540000000000003</v>
      </c>
      <c r="AC495" s="156">
        <f t="shared" si="64"/>
        <v>1000</v>
      </c>
      <c r="AD495" s="274">
        <f t="shared" si="65"/>
        <v>5554</v>
      </c>
      <c r="AE495" s="274">
        <f t="shared" si="59"/>
        <v>5554</v>
      </c>
      <c r="AF495" s="337"/>
    </row>
    <row r="496" spans="1:32">
      <c r="A496" s="337" t="s">
        <v>1523</v>
      </c>
      <c r="B496" s="146" t="s">
        <v>1</v>
      </c>
      <c r="C496" s="155" t="s">
        <v>1512</v>
      </c>
      <c r="D496" s="147"/>
      <c r="E496" s="148" t="s">
        <v>1490</v>
      </c>
      <c r="F496" s="147" t="s">
        <v>106</v>
      </c>
      <c r="G496" s="147" t="s">
        <v>1429</v>
      </c>
      <c r="H496" s="147">
        <v>70</v>
      </c>
      <c r="I496" s="149">
        <f t="shared" si="60"/>
        <v>70</v>
      </c>
      <c r="J496" s="147"/>
      <c r="K496" s="336" t="s">
        <v>1511</v>
      </c>
      <c r="L496" s="147">
        <v>100</v>
      </c>
      <c r="M496" s="147" t="s">
        <v>9</v>
      </c>
      <c r="N496" s="147"/>
      <c r="O496" s="147" t="s">
        <v>98</v>
      </c>
      <c r="P496" s="147">
        <v>1000</v>
      </c>
      <c r="Q496" s="150">
        <f t="shared" si="61"/>
        <v>0</v>
      </c>
      <c r="R496" s="151"/>
      <c r="S496" s="152">
        <v>5212</v>
      </c>
      <c r="T496" s="158">
        <v>5212</v>
      </c>
      <c r="U496" s="153"/>
      <c r="V496" s="154"/>
      <c r="W496" s="154"/>
      <c r="X496" s="155"/>
      <c r="Y496" s="155" t="s">
        <v>1394</v>
      </c>
      <c r="Z496" s="155" t="s">
        <v>1442</v>
      </c>
      <c r="AA496" s="273">
        <f t="shared" si="62"/>
        <v>5.2119999999999997</v>
      </c>
      <c r="AB496" s="273">
        <f t="shared" si="63"/>
        <v>5.2119999999999997</v>
      </c>
      <c r="AC496" s="156">
        <f t="shared" si="64"/>
        <v>1000</v>
      </c>
      <c r="AD496" s="274">
        <f t="shared" si="65"/>
        <v>5212</v>
      </c>
      <c r="AE496" s="274">
        <f t="shared" si="59"/>
        <v>5212</v>
      </c>
      <c r="AF496" s="337"/>
    </row>
    <row r="497" spans="1:32">
      <c r="A497" s="337" t="s">
        <v>1523</v>
      </c>
      <c r="B497" s="146" t="s">
        <v>1</v>
      </c>
      <c r="C497" s="155" t="s">
        <v>1512</v>
      </c>
      <c r="D497" s="147"/>
      <c r="E497" s="148" t="s">
        <v>1491</v>
      </c>
      <c r="F497" s="147" t="s">
        <v>106</v>
      </c>
      <c r="G497" s="147" t="s">
        <v>1429</v>
      </c>
      <c r="H497" s="147">
        <v>7</v>
      </c>
      <c r="I497" s="149">
        <f t="shared" si="60"/>
        <v>7</v>
      </c>
      <c r="J497" s="147"/>
      <c r="K497" s="336" t="s">
        <v>57</v>
      </c>
      <c r="L497" s="147">
        <v>100</v>
      </c>
      <c r="M497" s="147" t="s">
        <v>9</v>
      </c>
      <c r="N497" s="147"/>
      <c r="O497" s="147" t="s">
        <v>98</v>
      </c>
      <c r="P497" s="147">
        <v>1000</v>
      </c>
      <c r="Q497" s="150">
        <f t="shared" si="61"/>
        <v>0</v>
      </c>
      <c r="R497" s="151"/>
      <c r="S497" s="152">
        <v>1813</v>
      </c>
      <c r="T497" s="158">
        <v>1813</v>
      </c>
      <c r="U497" s="153"/>
      <c r="V497" s="154"/>
      <c r="W497" s="154"/>
      <c r="X497" s="155"/>
      <c r="Y497" s="155" t="s">
        <v>1394</v>
      </c>
      <c r="Z497" s="155" t="s">
        <v>1442</v>
      </c>
      <c r="AA497" s="273">
        <f t="shared" si="62"/>
        <v>1.8129999999999999</v>
      </c>
      <c r="AB497" s="273">
        <f t="shared" si="63"/>
        <v>1.8129999999999999</v>
      </c>
      <c r="AC497" s="156">
        <f t="shared" si="64"/>
        <v>1000</v>
      </c>
      <c r="AD497" s="274">
        <f t="shared" si="65"/>
        <v>1813</v>
      </c>
      <c r="AE497" s="274">
        <f t="shared" si="59"/>
        <v>1813</v>
      </c>
      <c r="AF497" s="337"/>
    </row>
    <row r="498" spans="1:32">
      <c r="A498" s="337" t="s">
        <v>1523</v>
      </c>
      <c r="B498" s="146" t="s">
        <v>1</v>
      </c>
      <c r="C498" s="155" t="s">
        <v>1512</v>
      </c>
      <c r="D498" s="147"/>
      <c r="E498" s="148" t="s">
        <v>1491</v>
      </c>
      <c r="F498" s="147" t="s">
        <v>106</v>
      </c>
      <c r="G498" s="147" t="s">
        <v>1429</v>
      </c>
      <c r="H498" s="147">
        <v>17</v>
      </c>
      <c r="I498" s="149">
        <f t="shared" si="60"/>
        <v>17</v>
      </c>
      <c r="J498" s="147"/>
      <c r="K498" s="336" t="s">
        <v>53</v>
      </c>
      <c r="L498" s="147">
        <v>100</v>
      </c>
      <c r="M498" s="147" t="s">
        <v>9</v>
      </c>
      <c r="N498" s="147"/>
      <c r="O498" s="147" t="s">
        <v>98</v>
      </c>
      <c r="P498" s="147">
        <v>1000</v>
      </c>
      <c r="Q498" s="150">
        <f t="shared" si="61"/>
        <v>0</v>
      </c>
      <c r="R498" s="151"/>
      <c r="S498" s="152">
        <v>3564</v>
      </c>
      <c r="T498" s="158">
        <v>3564</v>
      </c>
      <c r="U498" s="153"/>
      <c r="V498" s="154"/>
      <c r="W498" s="154"/>
      <c r="X498" s="155"/>
      <c r="Y498" s="155" t="s">
        <v>1394</v>
      </c>
      <c r="Z498" s="155" t="s">
        <v>1442</v>
      </c>
      <c r="AA498" s="273">
        <f t="shared" si="62"/>
        <v>3.5640000000000001</v>
      </c>
      <c r="AB498" s="273">
        <f t="shared" si="63"/>
        <v>3.5640000000000001</v>
      </c>
      <c r="AC498" s="156">
        <f t="shared" si="64"/>
        <v>1000</v>
      </c>
      <c r="AD498" s="274">
        <f t="shared" si="65"/>
        <v>3564</v>
      </c>
      <c r="AE498" s="274">
        <f t="shared" si="59"/>
        <v>3564</v>
      </c>
      <c r="AF498" s="337"/>
    </row>
    <row r="499" spans="1:32">
      <c r="A499" s="337" t="s">
        <v>1523</v>
      </c>
      <c r="B499" s="146" t="s">
        <v>1</v>
      </c>
      <c r="C499" s="155" t="s">
        <v>1512</v>
      </c>
      <c r="D499" s="147"/>
      <c r="E499" s="148" t="s">
        <v>1491</v>
      </c>
      <c r="F499" s="147" t="s">
        <v>106</v>
      </c>
      <c r="G499" s="147" t="s">
        <v>1429</v>
      </c>
      <c r="H499" s="147">
        <v>22</v>
      </c>
      <c r="I499" s="149">
        <f t="shared" si="60"/>
        <v>22</v>
      </c>
      <c r="J499" s="147"/>
      <c r="K499" s="336" t="s">
        <v>51</v>
      </c>
      <c r="L499" s="147">
        <v>100</v>
      </c>
      <c r="M499" s="147" t="s">
        <v>9</v>
      </c>
      <c r="N499" s="147"/>
      <c r="O499" s="147" t="s">
        <v>98</v>
      </c>
      <c r="P499" s="147">
        <v>1000</v>
      </c>
      <c r="Q499" s="150">
        <f t="shared" si="61"/>
        <v>0</v>
      </c>
      <c r="R499" s="151"/>
      <c r="S499" s="152">
        <v>5000</v>
      </c>
      <c r="T499" s="158">
        <v>5000</v>
      </c>
      <c r="U499" s="153"/>
      <c r="V499" s="154"/>
      <c r="W499" s="154"/>
      <c r="X499" s="155"/>
      <c r="Y499" s="155" t="s">
        <v>1394</v>
      </c>
      <c r="Z499" s="155" t="s">
        <v>1442</v>
      </c>
      <c r="AA499" s="273">
        <f t="shared" si="62"/>
        <v>5</v>
      </c>
      <c r="AB499" s="273">
        <f t="shared" si="63"/>
        <v>5</v>
      </c>
      <c r="AC499" s="156">
        <f t="shared" si="64"/>
        <v>1000</v>
      </c>
      <c r="AD499" s="274">
        <f t="shared" si="65"/>
        <v>5000</v>
      </c>
      <c r="AE499" s="274">
        <f t="shared" si="59"/>
        <v>5000</v>
      </c>
      <c r="AF499" s="337"/>
    </row>
    <row r="500" spans="1:32">
      <c r="A500" s="337" t="s">
        <v>1523</v>
      </c>
      <c r="B500" s="146" t="s">
        <v>1</v>
      </c>
      <c r="C500" s="155" t="s">
        <v>1512</v>
      </c>
      <c r="D500" s="147"/>
      <c r="E500" s="148" t="s">
        <v>1491</v>
      </c>
      <c r="F500" s="147" t="s">
        <v>106</v>
      </c>
      <c r="G500" s="147" t="s">
        <v>1429</v>
      </c>
      <c r="H500" s="147">
        <v>33</v>
      </c>
      <c r="I500" s="149">
        <f t="shared" si="60"/>
        <v>33</v>
      </c>
      <c r="J500" s="147"/>
      <c r="K500" s="336" t="s">
        <v>59</v>
      </c>
      <c r="L500" s="147">
        <v>100</v>
      </c>
      <c r="M500" s="147" t="s">
        <v>9</v>
      </c>
      <c r="N500" s="147"/>
      <c r="O500" s="147" t="s">
        <v>98</v>
      </c>
      <c r="P500" s="147">
        <v>1000</v>
      </c>
      <c r="Q500" s="150">
        <f t="shared" si="61"/>
        <v>0</v>
      </c>
      <c r="R500" s="151"/>
      <c r="S500" s="152">
        <v>2921</v>
      </c>
      <c r="T500" s="158">
        <v>2921</v>
      </c>
      <c r="U500" s="153"/>
      <c r="V500" s="154"/>
      <c r="W500" s="154"/>
      <c r="X500" s="155"/>
      <c r="Y500" s="155" t="s">
        <v>1394</v>
      </c>
      <c r="Z500" s="155" t="s">
        <v>1442</v>
      </c>
      <c r="AA500" s="273">
        <f t="shared" si="62"/>
        <v>2.9209999999999998</v>
      </c>
      <c r="AB500" s="273">
        <f t="shared" si="63"/>
        <v>2.9209999999999998</v>
      </c>
      <c r="AC500" s="156">
        <f t="shared" si="64"/>
        <v>1000</v>
      </c>
      <c r="AD500" s="274">
        <f t="shared" si="65"/>
        <v>2921</v>
      </c>
      <c r="AE500" s="274">
        <f t="shared" si="59"/>
        <v>2921</v>
      </c>
      <c r="AF500" s="337"/>
    </row>
    <row r="501" spans="1:32">
      <c r="A501" s="337" t="s">
        <v>1523</v>
      </c>
      <c r="B501" s="146" t="s">
        <v>1</v>
      </c>
      <c r="C501" s="155" t="s">
        <v>1512</v>
      </c>
      <c r="D501" s="147"/>
      <c r="E501" s="148" t="s">
        <v>1491</v>
      </c>
      <c r="F501" s="147" t="s">
        <v>106</v>
      </c>
      <c r="G501" s="147" t="s">
        <v>1429</v>
      </c>
      <c r="H501" s="147">
        <v>42</v>
      </c>
      <c r="I501" s="149">
        <f t="shared" si="60"/>
        <v>42</v>
      </c>
      <c r="J501" s="147"/>
      <c r="K501" s="336" t="s">
        <v>61</v>
      </c>
      <c r="L501" s="147">
        <v>100</v>
      </c>
      <c r="M501" s="147" t="s">
        <v>9</v>
      </c>
      <c r="N501" s="147"/>
      <c r="O501" s="147" t="s">
        <v>98</v>
      </c>
      <c r="P501" s="147">
        <v>1000</v>
      </c>
      <c r="Q501" s="150">
        <f t="shared" si="61"/>
        <v>0</v>
      </c>
      <c r="R501" s="151"/>
      <c r="S501" s="152">
        <v>1665</v>
      </c>
      <c r="T501" s="158">
        <v>1665</v>
      </c>
      <c r="U501" s="153"/>
      <c r="V501" s="154"/>
      <c r="W501" s="154"/>
      <c r="X501" s="155"/>
      <c r="Y501" s="155" t="s">
        <v>1394</v>
      </c>
      <c r="Z501" s="155" t="s">
        <v>1442</v>
      </c>
      <c r="AA501" s="273">
        <f t="shared" si="62"/>
        <v>1.665</v>
      </c>
      <c r="AB501" s="273">
        <f t="shared" si="63"/>
        <v>1.665</v>
      </c>
      <c r="AC501" s="156">
        <f t="shared" si="64"/>
        <v>1000</v>
      </c>
      <c r="AD501" s="274">
        <f t="shared" si="65"/>
        <v>1665</v>
      </c>
      <c r="AE501" s="274">
        <f t="shared" si="59"/>
        <v>1665</v>
      </c>
      <c r="AF501" s="337"/>
    </row>
    <row r="502" spans="1:32">
      <c r="A502" s="337" t="s">
        <v>1523</v>
      </c>
      <c r="B502" s="146" t="s">
        <v>1</v>
      </c>
      <c r="C502" s="155" t="s">
        <v>1512</v>
      </c>
      <c r="D502" s="147"/>
      <c r="E502" s="148" t="s">
        <v>1491</v>
      </c>
      <c r="F502" s="147" t="s">
        <v>106</v>
      </c>
      <c r="G502" s="147" t="s">
        <v>1429</v>
      </c>
      <c r="H502" s="147">
        <v>43</v>
      </c>
      <c r="I502" s="149">
        <f t="shared" si="60"/>
        <v>43</v>
      </c>
      <c r="J502" s="147"/>
      <c r="K502" s="336" t="s">
        <v>1505</v>
      </c>
      <c r="L502" s="147">
        <v>100</v>
      </c>
      <c r="M502" s="147" t="s">
        <v>9</v>
      </c>
      <c r="N502" s="147"/>
      <c r="O502" s="147" t="s">
        <v>98</v>
      </c>
      <c r="P502" s="147">
        <v>1000</v>
      </c>
      <c r="Q502" s="150">
        <f t="shared" si="61"/>
        <v>0</v>
      </c>
      <c r="R502" s="151"/>
      <c r="S502" s="152">
        <v>2508</v>
      </c>
      <c r="T502" s="158">
        <v>2508</v>
      </c>
      <c r="U502" s="153"/>
      <c r="V502" s="154"/>
      <c r="W502" s="154"/>
      <c r="X502" s="155"/>
      <c r="Y502" s="155" t="s">
        <v>1394</v>
      </c>
      <c r="Z502" s="155" t="s">
        <v>1442</v>
      </c>
      <c r="AA502" s="273">
        <f t="shared" si="62"/>
        <v>2.508</v>
      </c>
      <c r="AB502" s="273">
        <f t="shared" si="63"/>
        <v>2.508</v>
      </c>
      <c r="AC502" s="156">
        <f t="shared" si="64"/>
        <v>1000</v>
      </c>
      <c r="AD502" s="274">
        <f t="shared" si="65"/>
        <v>2508</v>
      </c>
      <c r="AE502" s="274">
        <f t="shared" si="59"/>
        <v>2508</v>
      </c>
      <c r="AF502" s="337"/>
    </row>
    <row r="503" spans="1:32">
      <c r="A503" s="337" t="s">
        <v>1523</v>
      </c>
      <c r="B503" s="146" t="s">
        <v>1</v>
      </c>
      <c r="C503" s="155" t="s">
        <v>1512</v>
      </c>
      <c r="D503" s="147"/>
      <c r="E503" s="148" t="s">
        <v>1491</v>
      </c>
      <c r="F503" s="147" t="s">
        <v>106</v>
      </c>
      <c r="G503" s="147" t="s">
        <v>1429</v>
      </c>
      <c r="H503" s="147">
        <v>46</v>
      </c>
      <c r="I503" s="149">
        <f t="shared" si="60"/>
        <v>46</v>
      </c>
      <c r="J503" s="147"/>
      <c r="K503" s="336" t="s">
        <v>1507</v>
      </c>
      <c r="L503" s="147">
        <v>100</v>
      </c>
      <c r="M503" s="147" t="s">
        <v>9</v>
      </c>
      <c r="N503" s="147"/>
      <c r="O503" s="147" t="s">
        <v>98</v>
      </c>
      <c r="P503" s="147">
        <v>1000</v>
      </c>
      <c r="Q503" s="150">
        <f t="shared" si="61"/>
        <v>0</v>
      </c>
      <c r="R503" s="151"/>
      <c r="S503" s="152">
        <v>4754</v>
      </c>
      <c r="T503" s="158">
        <v>4754</v>
      </c>
      <c r="U503" s="153"/>
      <c r="V503" s="154"/>
      <c r="W503" s="154"/>
      <c r="X503" s="155"/>
      <c r="Y503" s="155" t="s">
        <v>1394</v>
      </c>
      <c r="Z503" s="155" t="s">
        <v>1442</v>
      </c>
      <c r="AA503" s="273">
        <f t="shared" si="62"/>
        <v>4.7539999999999996</v>
      </c>
      <c r="AB503" s="273">
        <f t="shared" si="63"/>
        <v>4.7539999999999996</v>
      </c>
      <c r="AC503" s="156">
        <f t="shared" si="64"/>
        <v>1000</v>
      </c>
      <c r="AD503" s="274">
        <f t="shared" si="65"/>
        <v>4754</v>
      </c>
      <c r="AE503" s="274">
        <f t="shared" si="59"/>
        <v>4754</v>
      </c>
      <c r="AF503" s="337"/>
    </row>
    <row r="504" spans="1:32">
      <c r="A504" s="337" t="s">
        <v>1523</v>
      </c>
      <c r="B504" s="146" t="s">
        <v>1</v>
      </c>
      <c r="C504" s="155" t="s">
        <v>1512</v>
      </c>
      <c r="D504" s="147"/>
      <c r="E504" s="148" t="s">
        <v>1491</v>
      </c>
      <c r="F504" s="147" t="s">
        <v>106</v>
      </c>
      <c r="G504" s="147" t="s">
        <v>1429</v>
      </c>
      <c r="H504" s="147">
        <v>46</v>
      </c>
      <c r="I504" s="149">
        <f t="shared" si="60"/>
        <v>46</v>
      </c>
      <c r="J504" s="147"/>
      <c r="K504" s="336" t="s">
        <v>1508</v>
      </c>
      <c r="L504" s="147">
        <v>100</v>
      </c>
      <c r="M504" s="147" t="s">
        <v>9</v>
      </c>
      <c r="N504" s="147"/>
      <c r="O504" s="147" t="s">
        <v>98</v>
      </c>
      <c r="P504" s="147">
        <v>1000</v>
      </c>
      <c r="Q504" s="150">
        <f t="shared" si="61"/>
        <v>0</v>
      </c>
      <c r="R504" s="151"/>
      <c r="S504" s="152">
        <v>5136</v>
      </c>
      <c r="T504" s="158">
        <v>5136</v>
      </c>
      <c r="U504" s="153"/>
      <c r="V504" s="154"/>
      <c r="W504" s="154"/>
      <c r="X504" s="155"/>
      <c r="Y504" s="155" t="s">
        <v>1394</v>
      </c>
      <c r="Z504" s="155" t="s">
        <v>1442</v>
      </c>
      <c r="AA504" s="273">
        <f t="shared" si="62"/>
        <v>5.1360000000000001</v>
      </c>
      <c r="AB504" s="273">
        <f t="shared" si="63"/>
        <v>5.1360000000000001</v>
      </c>
      <c r="AC504" s="156">
        <f t="shared" si="64"/>
        <v>1000</v>
      </c>
      <c r="AD504" s="274">
        <f t="shared" si="65"/>
        <v>5136</v>
      </c>
      <c r="AE504" s="274">
        <f t="shared" si="59"/>
        <v>5136</v>
      </c>
      <c r="AF504" s="337"/>
    </row>
    <row r="505" spans="1:32">
      <c r="A505" s="337" t="s">
        <v>1523</v>
      </c>
      <c r="B505" s="146" t="s">
        <v>1</v>
      </c>
      <c r="C505" s="155" t="s">
        <v>1512</v>
      </c>
      <c r="D505" s="147"/>
      <c r="E505" s="148" t="s">
        <v>1491</v>
      </c>
      <c r="F505" s="147" t="s">
        <v>106</v>
      </c>
      <c r="G505" s="147" t="s">
        <v>1429</v>
      </c>
      <c r="H505" s="147">
        <v>58</v>
      </c>
      <c r="I505" s="149">
        <f t="shared" si="60"/>
        <v>58</v>
      </c>
      <c r="J505" s="147"/>
      <c r="K505" s="336" t="s">
        <v>67</v>
      </c>
      <c r="L505" s="147">
        <v>100</v>
      </c>
      <c r="M505" s="147" t="s">
        <v>9</v>
      </c>
      <c r="N505" s="147"/>
      <c r="O505" s="147" t="s">
        <v>98</v>
      </c>
      <c r="P505" s="147">
        <v>1000</v>
      </c>
      <c r="Q505" s="150">
        <f t="shared" si="61"/>
        <v>0</v>
      </c>
      <c r="R505" s="151"/>
      <c r="S505" s="152">
        <v>1740</v>
      </c>
      <c r="T505" s="158">
        <v>1740</v>
      </c>
      <c r="U505" s="153"/>
      <c r="V505" s="154"/>
      <c r="W505" s="154"/>
      <c r="X505" s="155"/>
      <c r="Y505" s="155" t="s">
        <v>1394</v>
      </c>
      <c r="Z505" s="155" t="s">
        <v>1442</v>
      </c>
      <c r="AA505" s="273">
        <f t="shared" si="62"/>
        <v>1.74</v>
      </c>
      <c r="AB505" s="273">
        <f t="shared" si="63"/>
        <v>1.74</v>
      </c>
      <c r="AC505" s="156">
        <f t="shared" si="64"/>
        <v>1000</v>
      </c>
      <c r="AD505" s="274">
        <f t="shared" si="65"/>
        <v>1740</v>
      </c>
      <c r="AE505" s="274">
        <f t="shared" si="59"/>
        <v>1740</v>
      </c>
      <c r="AF505" s="337"/>
    </row>
    <row r="506" spans="1:32">
      <c r="A506" s="337" t="s">
        <v>1523</v>
      </c>
      <c r="B506" s="146" t="s">
        <v>1</v>
      </c>
      <c r="C506" s="155" t="s">
        <v>1512</v>
      </c>
      <c r="D506" s="147"/>
      <c r="E506" s="148" t="s">
        <v>1491</v>
      </c>
      <c r="F506" s="147" t="s">
        <v>106</v>
      </c>
      <c r="G506" s="147" t="s">
        <v>1429</v>
      </c>
      <c r="H506" s="147">
        <v>59</v>
      </c>
      <c r="I506" s="149">
        <f t="shared" si="60"/>
        <v>59</v>
      </c>
      <c r="J506" s="147"/>
      <c r="K506" s="336" t="s">
        <v>99</v>
      </c>
      <c r="L506" s="147">
        <v>100</v>
      </c>
      <c r="M506" s="147" t="s">
        <v>9</v>
      </c>
      <c r="N506" s="147"/>
      <c r="O506" s="147" t="s">
        <v>98</v>
      </c>
      <c r="P506" s="147">
        <v>1000</v>
      </c>
      <c r="Q506" s="150">
        <f t="shared" si="61"/>
        <v>0</v>
      </c>
      <c r="R506" s="151"/>
      <c r="S506" s="152">
        <v>3600</v>
      </c>
      <c r="T506" s="158">
        <v>3600</v>
      </c>
      <c r="U506" s="153"/>
      <c r="V506" s="154"/>
      <c r="W506" s="154"/>
      <c r="X506" s="155"/>
      <c r="Y506" s="155" t="s">
        <v>1394</v>
      </c>
      <c r="Z506" s="155" t="s">
        <v>1442</v>
      </c>
      <c r="AA506" s="273">
        <f t="shared" si="62"/>
        <v>3.6</v>
      </c>
      <c r="AB506" s="273">
        <f t="shared" si="63"/>
        <v>3.6</v>
      </c>
      <c r="AC506" s="156">
        <f t="shared" si="64"/>
        <v>1000</v>
      </c>
      <c r="AD506" s="274">
        <f t="shared" si="65"/>
        <v>3600</v>
      </c>
      <c r="AE506" s="274">
        <f t="shared" si="59"/>
        <v>3600</v>
      </c>
      <c r="AF506" s="337"/>
    </row>
    <row r="507" spans="1:32">
      <c r="A507" s="337" t="s">
        <v>1523</v>
      </c>
      <c r="B507" s="146" t="s">
        <v>1</v>
      </c>
      <c r="C507" s="155" t="s">
        <v>1512</v>
      </c>
      <c r="D507" s="147"/>
      <c r="E507" s="148" t="s">
        <v>1491</v>
      </c>
      <c r="F507" s="147" t="s">
        <v>106</v>
      </c>
      <c r="G507" s="147" t="s">
        <v>1429</v>
      </c>
      <c r="H507" s="147">
        <v>69</v>
      </c>
      <c r="I507" s="149">
        <f t="shared" si="60"/>
        <v>69</v>
      </c>
      <c r="J507" s="147"/>
      <c r="K507" s="336" t="s">
        <v>1509</v>
      </c>
      <c r="L507" s="147">
        <v>100</v>
      </c>
      <c r="M507" s="147" t="s">
        <v>9</v>
      </c>
      <c r="N507" s="147"/>
      <c r="O507" s="147" t="s">
        <v>98</v>
      </c>
      <c r="P507" s="147">
        <v>1000</v>
      </c>
      <c r="Q507" s="150">
        <f t="shared" si="61"/>
        <v>0</v>
      </c>
      <c r="R507" s="151"/>
      <c r="S507" s="152">
        <v>3040</v>
      </c>
      <c r="T507" s="158">
        <v>3040</v>
      </c>
      <c r="U507" s="153"/>
      <c r="V507" s="154"/>
      <c r="W507" s="154"/>
      <c r="X507" s="155"/>
      <c r="Y507" s="155" t="s">
        <v>1394</v>
      </c>
      <c r="Z507" s="155" t="s">
        <v>1442</v>
      </c>
      <c r="AA507" s="273">
        <f t="shared" si="62"/>
        <v>3.04</v>
      </c>
      <c r="AB507" s="273">
        <f t="shared" si="63"/>
        <v>3.04</v>
      </c>
      <c r="AC507" s="156">
        <f t="shared" si="64"/>
        <v>1000</v>
      </c>
      <c r="AD507" s="274">
        <f t="shared" si="65"/>
        <v>3040</v>
      </c>
      <c r="AE507" s="274">
        <f t="shared" si="59"/>
        <v>3040</v>
      </c>
      <c r="AF507" s="337"/>
    </row>
    <row r="508" spans="1:32">
      <c r="A508" s="337" t="s">
        <v>1523</v>
      </c>
      <c r="B508" s="146" t="s">
        <v>1</v>
      </c>
      <c r="C508" s="155" t="s">
        <v>1512</v>
      </c>
      <c r="D508" s="147"/>
      <c r="E508" s="148" t="s">
        <v>1491</v>
      </c>
      <c r="F508" s="147" t="s">
        <v>106</v>
      </c>
      <c r="G508" s="147" t="s">
        <v>1429</v>
      </c>
      <c r="H508" s="147">
        <v>70</v>
      </c>
      <c r="I508" s="149">
        <f t="shared" si="60"/>
        <v>70</v>
      </c>
      <c r="J508" s="147"/>
      <c r="K508" s="336" t="s">
        <v>1510</v>
      </c>
      <c r="L508" s="147">
        <v>100</v>
      </c>
      <c r="M508" s="147" t="s">
        <v>9</v>
      </c>
      <c r="N508" s="147"/>
      <c r="O508" s="147" t="s">
        <v>98</v>
      </c>
      <c r="P508" s="147">
        <v>1000</v>
      </c>
      <c r="Q508" s="150">
        <f t="shared" si="61"/>
        <v>0</v>
      </c>
      <c r="R508" s="151"/>
      <c r="S508" s="152">
        <v>5367</v>
      </c>
      <c r="T508" s="158">
        <v>5367</v>
      </c>
      <c r="U508" s="153"/>
      <c r="V508" s="154"/>
      <c r="W508" s="154"/>
      <c r="X508" s="155"/>
      <c r="Y508" s="155" t="s">
        <v>1394</v>
      </c>
      <c r="Z508" s="155" t="s">
        <v>1442</v>
      </c>
      <c r="AA508" s="273">
        <f t="shared" si="62"/>
        <v>5.367</v>
      </c>
      <c r="AB508" s="273">
        <f t="shared" si="63"/>
        <v>5.367</v>
      </c>
      <c r="AC508" s="156">
        <f t="shared" si="64"/>
        <v>1000</v>
      </c>
      <c r="AD508" s="274">
        <f t="shared" si="65"/>
        <v>5367</v>
      </c>
      <c r="AE508" s="274">
        <f t="shared" si="59"/>
        <v>5367</v>
      </c>
      <c r="AF508" s="337"/>
    </row>
    <row r="509" spans="1:32">
      <c r="A509" s="337" t="s">
        <v>1523</v>
      </c>
      <c r="B509" s="146" t="s">
        <v>1</v>
      </c>
      <c r="C509" s="155" t="s">
        <v>1512</v>
      </c>
      <c r="D509" s="147"/>
      <c r="E509" s="148" t="s">
        <v>1491</v>
      </c>
      <c r="F509" s="147" t="s">
        <v>106</v>
      </c>
      <c r="G509" s="147" t="s">
        <v>1429</v>
      </c>
      <c r="H509" s="147">
        <v>70</v>
      </c>
      <c r="I509" s="149">
        <f t="shared" si="60"/>
        <v>70</v>
      </c>
      <c r="J509" s="147"/>
      <c r="K509" s="336" t="s">
        <v>1511</v>
      </c>
      <c r="L509" s="147">
        <v>100</v>
      </c>
      <c r="M509" s="147" t="s">
        <v>9</v>
      </c>
      <c r="N509" s="147"/>
      <c r="O509" s="147" t="s">
        <v>98</v>
      </c>
      <c r="P509" s="147">
        <v>1000</v>
      </c>
      <c r="Q509" s="150">
        <f t="shared" si="61"/>
        <v>0</v>
      </c>
      <c r="R509" s="151"/>
      <c r="S509" s="152">
        <v>5061</v>
      </c>
      <c r="T509" s="158">
        <v>5061</v>
      </c>
      <c r="U509" s="153"/>
      <c r="V509" s="154"/>
      <c r="W509" s="154"/>
      <c r="X509" s="155"/>
      <c r="Y509" s="155" t="s">
        <v>1394</v>
      </c>
      <c r="Z509" s="155" t="s">
        <v>1442</v>
      </c>
      <c r="AA509" s="273">
        <f t="shared" si="62"/>
        <v>5.0609999999999999</v>
      </c>
      <c r="AB509" s="273">
        <f t="shared" si="63"/>
        <v>5.0609999999999999</v>
      </c>
      <c r="AC509" s="156">
        <f t="shared" si="64"/>
        <v>1000</v>
      </c>
      <c r="AD509" s="274">
        <f t="shared" si="65"/>
        <v>5061</v>
      </c>
      <c r="AE509" s="274">
        <f t="shared" si="59"/>
        <v>5061</v>
      </c>
      <c r="AF509" s="337"/>
    </row>
    <row r="510" spans="1:32">
      <c r="A510" s="337" t="s">
        <v>1523</v>
      </c>
      <c r="B510" s="146" t="s">
        <v>1</v>
      </c>
      <c r="C510" s="155" t="s">
        <v>1512</v>
      </c>
      <c r="D510" s="147"/>
      <c r="E510" s="148" t="s">
        <v>1465</v>
      </c>
      <c r="F510" s="147" t="s">
        <v>106</v>
      </c>
      <c r="G510" s="147" t="s">
        <v>1429</v>
      </c>
      <c r="H510" s="147">
        <v>7</v>
      </c>
      <c r="I510" s="149">
        <f t="shared" si="60"/>
        <v>7</v>
      </c>
      <c r="J510" s="147"/>
      <c r="K510" s="336" t="s">
        <v>57</v>
      </c>
      <c r="L510" s="147">
        <v>100</v>
      </c>
      <c r="M510" s="147" t="s">
        <v>9</v>
      </c>
      <c r="N510" s="147"/>
      <c r="O510" s="147" t="s">
        <v>98</v>
      </c>
      <c r="P510" s="147">
        <v>1000</v>
      </c>
      <c r="Q510" s="150">
        <f t="shared" si="61"/>
        <v>0</v>
      </c>
      <c r="R510" s="151"/>
      <c r="S510" s="152">
        <v>997</v>
      </c>
      <c r="T510" s="158">
        <v>997</v>
      </c>
      <c r="U510" s="153"/>
      <c r="V510" s="154"/>
      <c r="W510" s="154"/>
      <c r="X510" s="155"/>
      <c r="Y510" s="155" t="s">
        <v>1394</v>
      </c>
      <c r="Z510" s="155" t="s">
        <v>1442</v>
      </c>
      <c r="AA510" s="273">
        <f t="shared" si="62"/>
        <v>0.997</v>
      </c>
      <c r="AB510" s="273">
        <f t="shared" si="63"/>
        <v>0.997</v>
      </c>
      <c r="AC510" s="156">
        <f t="shared" si="64"/>
        <v>1000</v>
      </c>
      <c r="AD510" s="274">
        <f t="shared" si="65"/>
        <v>997</v>
      </c>
      <c r="AE510" s="274">
        <f t="shared" si="59"/>
        <v>997</v>
      </c>
      <c r="AF510" s="337"/>
    </row>
    <row r="511" spans="1:32">
      <c r="A511" s="337" t="s">
        <v>1523</v>
      </c>
      <c r="B511" s="146" t="s">
        <v>1</v>
      </c>
      <c r="C511" s="155" t="s">
        <v>1512</v>
      </c>
      <c r="D511" s="147"/>
      <c r="E511" s="148" t="s">
        <v>1465</v>
      </c>
      <c r="F511" s="147" t="s">
        <v>106</v>
      </c>
      <c r="G511" s="147" t="s">
        <v>1429</v>
      </c>
      <c r="H511" s="147">
        <v>8</v>
      </c>
      <c r="I511" s="149">
        <f t="shared" si="60"/>
        <v>8</v>
      </c>
      <c r="J511" s="147"/>
      <c r="K511" s="336" t="s">
        <v>55</v>
      </c>
      <c r="L511" s="147">
        <v>100</v>
      </c>
      <c r="M511" s="147" t="s">
        <v>9</v>
      </c>
      <c r="N511" s="147"/>
      <c r="O511" s="147" t="s">
        <v>98</v>
      </c>
      <c r="P511" s="147">
        <v>1000</v>
      </c>
      <c r="Q511" s="150">
        <f t="shared" si="61"/>
        <v>0</v>
      </c>
      <c r="R511" s="151"/>
      <c r="S511" s="152">
        <v>1236</v>
      </c>
      <c r="T511" s="158">
        <v>1236</v>
      </c>
      <c r="U511" s="153"/>
      <c r="V511" s="154"/>
      <c r="W511" s="154"/>
      <c r="X511" s="155"/>
      <c r="Y511" s="155" t="s">
        <v>1394</v>
      </c>
      <c r="Z511" s="155" t="s">
        <v>1442</v>
      </c>
      <c r="AA511" s="273">
        <f t="shared" si="62"/>
        <v>1.236</v>
      </c>
      <c r="AB511" s="273">
        <f t="shared" si="63"/>
        <v>1.236</v>
      </c>
      <c r="AC511" s="156">
        <f t="shared" si="64"/>
        <v>1000</v>
      </c>
      <c r="AD511" s="274">
        <f t="shared" si="65"/>
        <v>1236</v>
      </c>
      <c r="AE511" s="274">
        <f t="shared" si="59"/>
        <v>1236</v>
      </c>
      <c r="AF511" s="337"/>
    </row>
    <row r="512" spans="1:32">
      <c r="A512" s="337" t="s">
        <v>1523</v>
      </c>
      <c r="B512" s="146" t="s">
        <v>1</v>
      </c>
      <c r="C512" s="155" t="s">
        <v>1512</v>
      </c>
      <c r="D512" s="147"/>
      <c r="E512" s="148" t="s">
        <v>1465</v>
      </c>
      <c r="F512" s="147" t="s">
        <v>106</v>
      </c>
      <c r="G512" s="147" t="s">
        <v>1429</v>
      </c>
      <c r="H512" s="147">
        <v>17</v>
      </c>
      <c r="I512" s="149">
        <f t="shared" si="60"/>
        <v>17</v>
      </c>
      <c r="J512" s="147"/>
      <c r="K512" s="336" t="s">
        <v>53</v>
      </c>
      <c r="L512" s="147">
        <v>100</v>
      </c>
      <c r="M512" s="147" t="s">
        <v>9</v>
      </c>
      <c r="N512" s="147"/>
      <c r="O512" s="147" t="s">
        <v>98</v>
      </c>
      <c r="P512" s="147">
        <v>1000</v>
      </c>
      <c r="Q512" s="150">
        <f t="shared" si="61"/>
        <v>0</v>
      </c>
      <c r="R512" s="151"/>
      <c r="S512" s="152">
        <v>1825</v>
      </c>
      <c r="T512" s="158">
        <v>1825</v>
      </c>
      <c r="U512" s="153"/>
      <c r="V512" s="154"/>
      <c r="W512" s="154"/>
      <c r="X512" s="155"/>
      <c r="Y512" s="155" t="s">
        <v>1394</v>
      </c>
      <c r="Z512" s="155" t="s">
        <v>1442</v>
      </c>
      <c r="AA512" s="273">
        <f t="shared" si="62"/>
        <v>1.825</v>
      </c>
      <c r="AB512" s="273">
        <f t="shared" si="63"/>
        <v>1.825</v>
      </c>
      <c r="AC512" s="156">
        <f t="shared" si="64"/>
        <v>1000</v>
      </c>
      <c r="AD512" s="274">
        <f t="shared" si="65"/>
        <v>1825</v>
      </c>
      <c r="AE512" s="274">
        <f t="shared" si="59"/>
        <v>1825</v>
      </c>
      <c r="AF512" s="337"/>
    </row>
    <row r="513" spans="1:32">
      <c r="A513" s="337" t="s">
        <v>1523</v>
      </c>
      <c r="B513" s="146" t="s">
        <v>1</v>
      </c>
      <c r="C513" s="155" t="s">
        <v>1512</v>
      </c>
      <c r="D513" s="147"/>
      <c r="E513" s="148" t="s">
        <v>1465</v>
      </c>
      <c r="F513" s="147" t="s">
        <v>106</v>
      </c>
      <c r="G513" s="147" t="s">
        <v>1429</v>
      </c>
      <c r="H513" s="147">
        <v>22</v>
      </c>
      <c r="I513" s="149">
        <f t="shared" si="60"/>
        <v>22</v>
      </c>
      <c r="J513" s="147"/>
      <c r="K513" s="336" t="s">
        <v>51</v>
      </c>
      <c r="L513" s="147">
        <v>100</v>
      </c>
      <c r="M513" s="147" t="s">
        <v>9</v>
      </c>
      <c r="N513" s="147"/>
      <c r="O513" s="147" t="s">
        <v>98</v>
      </c>
      <c r="P513" s="147">
        <v>1000</v>
      </c>
      <c r="Q513" s="150">
        <f t="shared" si="61"/>
        <v>0</v>
      </c>
      <c r="R513" s="151"/>
      <c r="S513" s="152">
        <v>5028</v>
      </c>
      <c r="T513" s="158">
        <v>5028</v>
      </c>
      <c r="U513" s="153"/>
      <c r="V513" s="154"/>
      <c r="W513" s="154"/>
      <c r="X513" s="155"/>
      <c r="Y513" s="155" t="s">
        <v>1394</v>
      </c>
      <c r="Z513" s="155" t="s">
        <v>1442</v>
      </c>
      <c r="AA513" s="273">
        <f t="shared" si="62"/>
        <v>5.0279999999999996</v>
      </c>
      <c r="AB513" s="273">
        <f t="shared" si="63"/>
        <v>5.0279999999999996</v>
      </c>
      <c r="AC513" s="156">
        <f t="shared" si="64"/>
        <v>1000</v>
      </c>
      <c r="AD513" s="274">
        <f t="shared" si="65"/>
        <v>5028</v>
      </c>
      <c r="AE513" s="274">
        <f t="shared" si="59"/>
        <v>5028</v>
      </c>
      <c r="AF513" s="337"/>
    </row>
    <row r="514" spans="1:32">
      <c r="A514" s="337" t="s">
        <v>1523</v>
      </c>
      <c r="B514" s="146" t="s">
        <v>1</v>
      </c>
      <c r="C514" s="155" t="s">
        <v>1512</v>
      </c>
      <c r="D514" s="147"/>
      <c r="E514" s="148" t="s">
        <v>1465</v>
      </c>
      <c r="F514" s="147" t="s">
        <v>106</v>
      </c>
      <c r="G514" s="147" t="s">
        <v>1429</v>
      </c>
      <c r="H514" s="147">
        <v>33</v>
      </c>
      <c r="I514" s="149">
        <f t="shared" si="60"/>
        <v>33</v>
      </c>
      <c r="J514" s="147"/>
      <c r="K514" s="336" t="s">
        <v>59</v>
      </c>
      <c r="L514" s="147">
        <v>100</v>
      </c>
      <c r="M514" s="147" t="s">
        <v>9</v>
      </c>
      <c r="N514" s="147"/>
      <c r="O514" s="147" t="s">
        <v>98</v>
      </c>
      <c r="P514" s="147">
        <v>1000</v>
      </c>
      <c r="Q514" s="150">
        <f t="shared" si="61"/>
        <v>0</v>
      </c>
      <c r="R514" s="151"/>
      <c r="S514" s="152">
        <v>3030</v>
      </c>
      <c r="T514" s="158">
        <v>3030</v>
      </c>
      <c r="U514" s="153"/>
      <c r="V514" s="154"/>
      <c r="W514" s="154"/>
      <c r="X514" s="155"/>
      <c r="Y514" s="155" t="s">
        <v>1394</v>
      </c>
      <c r="Z514" s="155" t="s">
        <v>1442</v>
      </c>
      <c r="AA514" s="273">
        <f t="shared" si="62"/>
        <v>3.03</v>
      </c>
      <c r="AB514" s="273">
        <f t="shared" si="63"/>
        <v>3.03</v>
      </c>
      <c r="AC514" s="156">
        <f t="shared" si="64"/>
        <v>1000</v>
      </c>
      <c r="AD514" s="274">
        <f t="shared" si="65"/>
        <v>3030</v>
      </c>
      <c r="AE514" s="274">
        <f t="shared" si="59"/>
        <v>3030</v>
      </c>
      <c r="AF514" s="337"/>
    </row>
    <row r="515" spans="1:32">
      <c r="A515" s="337" t="s">
        <v>1523</v>
      </c>
      <c r="B515" s="146" t="s">
        <v>1</v>
      </c>
      <c r="C515" s="155" t="s">
        <v>1512</v>
      </c>
      <c r="D515" s="147"/>
      <c r="E515" s="148" t="s">
        <v>1465</v>
      </c>
      <c r="F515" s="147" t="s">
        <v>106</v>
      </c>
      <c r="G515" s="147" t="s">
        <v>1429</v>
      </c>
      <c r="H515" s="147">
        <v>42</v>
      </c>
      <c r="I515" s="149">
        <f t="shared" si="60"/>
        <v>42</v>
      </c>
      <c r="J515" s="147"/>
      <c r="K515" s="336" t="s">
        <v>61</v>
      </c>
      <c r="L515" s="147">
        <v>100</v>
      </c>
      <c r="M515" s="147" t="s">
        <v>9</v>
      </c>
      <c r="N515" s="147"/>
      <c r="O515" s="147" t="s">
        <v>98</v>
      </c>
      <c r="P515" s="147">
        <v>1000</v>
      </c>
      <c r="Q515" s="150">
        <f t="shared" si="61"/>
        <v>0</v>
      </c>
      <c r="R515" s="151"/>
      <c r="S515" s="152">
        <v>2700</v>
      </c>
      <c r="T515" s="158">
        <v>2700</v>
      </c>
      <c r="U515" s="153"/>
      <c r="V515" s="154"/>
      <c r="W515" s="154"/>
      <c r="X515" s="155"/>
      <c r="Y515" s="155" t="s">
        <v>1394</v>
      </c>
      <c r="Z515" s="155" t="s">
        <v>1442</v>
      </c>
      <c r="AA515" s="273">
        <f t="shared" si="62"/>
        <v>2.7</v>
      </c>
      <c r="AB515" s="273">
        <f t="shared" si="63"/>
        <v>2.7</v>
      </c>
      <c r="AC515" s="156">
        <f t="shared" si="64"/>
        <v>1000</v>
      </c>
      <c r="AD515" s="274">
        <f t="shared" si="65"/>
        <v>2700</v>
      </c>
      <c r="AE515" s="274">
        <f t="shared" ref="AE515:AE578" si="66">AB515*AC515</f>
        <v>2700</v>
      </c>
      <c r="AF515" s="337"/>
    </row>
    <row r="516" spans="1:32">
      <c r="A516" s="337" t="s">
        <v>1523</v>
      </c>
      <c r="B516" s="146" t="s">
        <v>1</v>
      </c>
      <c r="C516" s="155" t="s">
        <v>1512</v>
      </c>
      <c r="D516" s="147"/>
      <c r="E516" s="148" t="s">
        <v>1465</v>
      </c>
      <c r="F516" s="147" t="s">
        <v>106</v>
      </c>
      <c r="G516" s="147" t="s">
        <v>1429</v>
      </c>
      <c r="H516" s="147">
        <v>43</v>
      </c>
      <c r="I516" s="149">
        <f t="shared" si="60"/>
        <v>43</v>
      </c>
      <c r="J516" s="147"/>
      <c r="K516" s="336" t="s">
        <v>1504</v>
      </c>
      <c r="L516" s="147">
        <v>100</v>
      </c>
      <c r="M516" s="147" t="s">
        <v>9</v>
      </c>
      <c r="N516" s="147"/>
      <c r="O516" s="147" t="s">
        <v>98</v>
      </c>
      <c r="P516" s="147">
        <v>1000</v>
      </c>
      <c r="Q516" s="150">
        <f t="shared" si="61"/>
        <v>0</v>
      </c>
      <c r="R516" s="151"/>
      <c r="S516" s="152">
        <v>1411</v>
      </c>
      <c r="T516" s="158">
        <v>1411</v>
      </c>
      <c r="U516" s="153"/>
      <c r="V516" s="154"/>
      <c r="W516" s="154"/>
      <c r="X516" s="155"/>
      <c r="Y516" s="155" t="s">
        <v>1394</v>
      </c>
      <c r="Z516" s="155" t="s">
        <v>1442</v>
      </c>
      <c r="AA516" s="273">
        <f t="shared" si="62"/>
        <v>1.411</v>
      </c>
      <c r="AB516" s="273">
        <f t="shared" si="63"/>
        <v>1.411</v>
      </c>
      <c r="AC516" s="156">
        <f t="shared" si="64"/>
        <v>1000</v>
      </c>
      <c r="AD516" s="274">
        <f t="shared" si="65"/>
        <v>1411</v>
      </c>
      <c r="AE516" s="274">
        <f t="shared" si="66"/>
        <v>1411</v>
      </c>
      <c r="AF516" s="337"/>
    </row>
    <row r="517" spans="1:32">
      <c r="A517" s="337" t="s">
        <v>1523</v>
      </c>
      <c r="B517" s="146" t="s">
        <v>1</v>
      </c>
      <c r="C517" s="155" t="s">
        <v>1512</v>
      </c>
      <c r="D517" s="147"/>
      <c r="E517" s="148" t="s">
        <v>1465</v>
      </c>
      <c r="F517" s="147" t="s">
        <v>106</v>
      </c>
      <c r="G517" s="147" t="s">
        <v>1429</v>
      </c>
      <c r="H517" s="147">
        <v>46</v>
      </c>
      <c r="I517" s="149">
        <f t="shared" si="60"/>
        <v>46</v>
      </c>
      <c r="J517" s="147"/>
      <c r="K517" s="336" t="s">
        <v>1506</v>
      </c>
      <c r="L517" s="147">
        <v>100</v>
      </c>
      <c r="M517" s="147" t="s">
        <v>9</v>
      </c>
      <c r="N517" s="147"/>
      <c r="O517" s="147" t="s">
        <v>98</v>
      </c>
      <c r="P517" s="147">
        <v>1000</v>
      </c>
      <c r="Q517" s="150">
        <f t="shared" si="61"/>
        <v>0</v>
      </c>
      <c r="R517" s="151"/>
      <c r="S517" s="152">
        <v>3014</v>
      </c>
      <c r="T517" s="158">
        <v>3014</v>
      </c>
      <c r="U517" s="153"/>
      <c r="V517" s="154"/>
      <c r="W517" s="154"/>
      <c r="X517" s="155"/>
      <c r="Y517" s="155" t="s">
        <v>1394</v>
      </c>
      <c r="Z517" s="155" t="s">
        <v>1442</v>
      </c>
      <c r="AA517" s="273">
        <f t="shared" si="62"/>
        <v>3.0139999999999998</v>
      </c>
      <c r="AB517" s="273">
        <f t="shared" si="63"/>
        <v>3.0139999999999998</v>
      </c>
      <c r="AC517" s="156">
        <f t="shared" si="64"/>
        <v>1000</v>
      </c>
      <c r="AD517" s="274">
        <f t="shared" si="65"/>
        <v>3014</v>
      </c>
      <c r="AE517" s="274">
        <f t="shared" si="66"/>
        <v>3014</v>
      </c>
      <c r="AF517" s="337"/>
    </row>
    <row r="518" spans="1:32">
      <c r="A518" s="337" t="s">
        <v>1523</v>
      </c>
      <c r="B518" s="146" t="s">
        <v>1</v>
      </c>
      <c r="C518" s="155" t="s">
        <v>1512</v>
      </c>
      <c r="D518" s="147"/>
      <c r="E518" s="148" t="s">
        <v>1465</v>
      </c>
      <c r="F518" s="147" t="s">
        <v>106</v>
      </c>
      <c r="G518" s="147" t="s">
        <v>1429</v>
      </c>
      <c r="H518" s="147">
        <v>46</v>
      </c>
      <c r="I518" s="149">
        <f t="shared" si="60"/>
        <v>46</v>
      </c>
      <c r="J518" s="147"/>
      <c r="K518" s="336" t="s">
        <v>1507</v>
      </c>
      <c r="L518" s="147">
        <v>100</v>
      </c>
      <c r="M518" s="147" t="s">
        <v>9</v>
      </c>
      <c r="N518" s="147"/>
      <c r="O518" s="147" t="s">
        <v>98</v>
      </c>
      <c r="P518" s="147">
        <v>1000</v>
      </c>
      <c r="Q518" s="150">
        <f t="shared" si="61"/>
        <v>0</v>
      </c>
      <c r="R518" s="151"/>
      <c r="S518" s="152">
        <v>5219</v>
      </c>
      <c r="T518" s="158">
        <v>5219</v>
      </c>
      <c r="U518" s="153"/>
      <c r="V518" s="154"/>
      <c r="W518" s="154"/>
      <c r="X518" s="155"/>
      <c r="Y518" s="155" t="s">
        <v>1394</v>
      </c>
      <c r="Z518" s="155" t="s">
        <v>1442</v>
      </c>
      <c r="AA518" s="273">
        <f t="shared" si="62"/>
        <v>5.2190000000000003</v>
      </c>
      <c r="AB518" s="273">
        <f t="shared" si="63"/>
        <v>5.2190000000000003</v>
      </c>
      <c r="AC518" s="156">
        <f t="shared" si="64"/>
        <v>1000</v>
      </c>
      <c r="AD518" s="274">
        <f t="shared" si="65"/>
        <v>5219</v>
      </c>
      <c r="AE518" s="274">
        <f t="shared" si="66"/>
        <v>5219</v>
      </c>
      <c r="AF518" s="337"/>
    </row>
    <row r="519" spans="1:32">
      <c r="A519" s="337" t="s">
        <v>1523</v>
      </c>
      <c r="B519" s="146" t="s">
        <v>1</v>
      </c>
      <c r="C519" s="155" t="s">
        <v>1512</v>
      </c>
      <c r="D519" s="147"/>
      <c r="E519" s="148" t="s">
        <v>1465</v>
      </c>
      <c r="F519" s="147" t="s">
        <v>106</v>
      </c>
      <c r="G519" s="147" t="s">
        <v>1429</v>
      </c>
      <c r="H519" s="147">
        <v>46</v>
      </c>
      <c r="I519" s="149">
        <f t="shared" si="60"/>
        <v>46</v>
      </c>
      <c r="J519" s="147"/>
      <c r="K519" s="336" t="s">
        <v>1508</v>
      </c>
      <c r="L519" s="147">
        <v>100</v>
      </c>
      <c r="M519" s="147" t="s">
        <v>9</v>
      </c>
      <c r="N519" s="147"/>
      <c r="O519" s="147" t="s">
        <v>98</v>
      </c>
      <c r="P519" s="147">
        <v>1000</v>
      </c>
      <c r="Q519" s="150">
        <f t="shared" si="61"/>
        <v>0</v>
      </c>
      <c r="R519" s="151"/>
      <c r="S519" s="152">
        <v>5442</v>
      </c>
      <c r="T519" s="158">
        <v>5442</v>
      </c>
      <c r="U519" s="153"/>
      <c r="V519" s="154"/>
      <c r="W519" s="154"/>
      <c r="X519" s="155"/>
      <c r="Y519" s="155" t="s">
        <v>1394</v>
      </c>
      <c r="Z519" s="155" t="s">
        <v>1442</v>
      </c>
      <c r="AA519" s="273">
        <f t="shared" si="62"/>
        <v>5.4420000000000002</v>
      </c>
      <c r="AB519" s="273">
        <f t="shared" si="63"/>
        <v>5.4420000000000002</v>
      </c>
      <c r="AC519" s="156">
        <f t="shared" si="64"/>
        <v>1000</v>
      </c>
      <c r="AD519" s="274">
        <f t="shared" si="65"/>
        <v>5442</v>
      </c>
      <c r="AE519" s="274">
        <f t="shared" si="66"/>
        <v>5442</v>
      </c>
      <c r="AF519" s="337"/>
    </row>
    <row r="520" spans="1:32">
      <c r="A520" s="337" t="s">
        <v>1523</v>
      </c>
      <c r="B520" s="146" t="s">
        <v>1</v>
      </c>
      <c r="C520" s="155" t="s">
        <v>1512</v>
      </c>
      <c r="D520" s="147"/>
      <c r="E520" s="148" t="s">
        <v>1465</v>
      </c>
      <c r="F520" s="147" t="s">
        <v>106</v>
      </c>
      <c r="G520" s="147" t="s">
        <v>1429</v>
      </c>
      <c r="H520" s="147">
        <v>59</v>
      </c>
      <c r="I520" s="149">
        <f t="shared" si="60"/>
        <v>59</v>
      </c>
      <c r="J520" s="147"/>
      <c r="K520" s="336" t="s">
        <v>99</v>
      </c>
      <c r="L520" s="147">
        <v>100</v>
      </c>
      <c r="M520" s="147" t="s">
        <v>9</v>
      </c>
      <c r="N520" s="147"/>
      <c r="O520" s="147" t="s">
        <v>98</v>
      </c>
      <c r="P520" s="147">
        <v>1000</v>
      </c>
      <c r="Q520" s="150">
        <f t="shared" si="61"/>
        <v>0</v>
      </c>
      <c r="R520" s="151"/>
      <c r="S520" s="152">
        <v>2156</v>
      </c>
      <c r="T520" s="158">
        <v>2156</v>
      </c>
      <c r="U520" s="153"/>
      <c r="V520" s="154"/>
      <c r="W520" s="154"/>
      <c r="X520" s="155"/>
      <c r="Y520" s="155" t="s">
        <v>1394</v>
      </c>
      <c r="Z520" s="155" t="s">
        <v>1442</v>
      </c>
      <c r="AA520" s="273">
        <f t="shared" si="62"/>
        <v>2.1560000000000001</v>
      </c>
      <c r="AB520" s="273">
        <f t="shared" si="63"/>
        <v>2.1560000000000001</v>
      </c>
      <c r="AC520" s="156">
        <f t="shared" si="64"/>
        <v>1000</v>
      </c>
      <c r="AD520" s="274">
        <f t="shared" si="65"/>
        <v>2156</v>
      </c>
      <c r="AE520" s="274">
        <f t="shared" si="66"/>
        <v>2156</v>
      </c>
      <c r="AF520" s="337"/>
    </row>
    <row r="521" spans="1:32">
      <c r="A521" s="337" t="s">
        <v>1523</v>
      </c>
      <c r="B521" s="146" t="s">
        <v>1</v>
      </c>
      <c r="C521" s="155" t="s">
        <v>1512</v>
      </c>
      <c r="D521" s="147"/>
      <c r="E521" s="148" t="s">
        <v>1465</v>
      </c>
      <c r="F521" s="147" t="s">
        <v>106</v>
      </c>
      <c r="G521" s="147" t="s">
        <v>1429</v>
      </c>
      <c r="H521" s="147">
        <v>69</v>
      </c>
      <c r="I521" s="149">
        <f t="shared" si="60"/>
        <v>69</v>
      </c>
      <c r="J521" s="147"/>
      <c r="K521" s="336" t="s">
        <v>1509</v>
      </c>
      <c r="L521" s="147">
        <v>100</v>
      </c>
      <c r="M521" s="147" t="s">
        <v>9</v>
      </c>
      <c r="N521" s="147"/>
      <c r="O521" s="147" t="s">
        <v>98</v>
      </c>
      <c r="P521" s="147">
        <v>1000</v>
      </c>
      <c r="Q521" s="150">
        <f t="shared" si="61"/>
        <v>0</v>
      </c>
      <c r="R521" s="151"/>
      <c r="S521" s="152">
        <v>3633</v>
      </c>
      <c r="T521" s="158">
        <v>3633</v>
      </c>
      <c r="U521" s="153"/>
      <c r="V521" s="154"/>
      <c r="W521" s="154"/>
      <c r="X521" s="155"/>
      <c r="Y521" s="155" t="s">
        <v>1394</v>
      </c>
      <c r="Z521" s="155" t="s">
        <v>1442</v>
      </c>
      <c r="AA521" s="273">
        <f t="shared" si="62"/>
        <v>3.633</v>
      </c>
      <c r="AB521" s="273">
        <f t="shared" si="63"/>
        <v>3.633</v>
      </c>
      <c r="AC521" s="156">
        <f t="shared" si="64"/>
        <v>1000</v>
      </c>
      <c r="AD521" s="274">
        <f t="shared" si="65"/>
        <v>3633</v>
      </c>
      <c r="AE521" s="274">
        <f t="shared" si="66"/>
        <v>3633</v>
      </c>
      <c r="AF521" s="337"/>
    </row>
    <row r="522" spans="1:32">
      <c r="A522" s="337" t="s">
        <v>1523</v>
      </c>
      <c r="B522" s="146" t="s">
        <v>1</v>
      </c>
      <c r="C522" s="155" t="s">
        <v>1512</v>
      </c>
      <c r="D522" s="147"/>
      <c r="E522" s="148" t="s">
        <v>1465</v>
      </c>
      <c r="F522" s="147" t="s">
        <v>106</v>
      </c>
      <c r="G522" s="147" t="s">
        <v>1429</v>
      </c>
      <c r="H522" s="147">
        <v>70</v>
      </c>
      <c r="I522" s="149">
        <f t="shared" si="60"/>
        <v>70</v>
      </c>
      <c r="J522" s="147"/>
      <c r="K522" s="336" t="s">
        <v>1510</v>
      </c>
      <c r="L522" s="147">
        <v>100</v>
      </c>
      <c r="M522" s="147" t="s">
        <v>9</v>
      </c>
      <c r="N522" s="147"/>
      <c r="O522" s="147" t="s">
        <v>98</v>
      </c>
      <c r="P522" s="147">
        <v>1000</v>
      </c>
      <c r="Q522" s="150">
        <f t="shared" si="61"/>
        <v>0</v>
      </c>
      <c r="R522" s="151"/>
      <c r="S522" s="152">
        <v>4495</v>
      </c>
      <c r="T522" s="158">
        <v>4495</v>
      </c>
      <c r="U522" s="153"/>
      <c r="V522" s="154"/>
      <c r="W522" s="154"/>
      <c r="X522" s="155"/>
      <c r="Y522" s="155" t="s">
        <v>1394</v>
      </c>
      <c r="Z522" s="155" t="s">
        <v>1442</v>
      </c>
      <c r="AA522" s="273">
        <f t="shared" si="62"/>
        <v>4.4950000000000001</v>
      </c>
      <c r="AB522" s="273">
        <f t="shared" si="63"/>
        <v>4.4950000000000001</v>
      </c>
      <c r="AC522" s="156">
        <f t="shared" si="64"/>
        <v>1000</v>
      </c>
      <c r="AD522" s="274">
        <f t="shared" si="65"/>
        <v>4495</v>
      </c>
      <c r="AE522" s="274">
        <f t="shared" si="66"/>
        <v>4495</v>
      </c>
      <c r="AF522" s="337"/>
    </row>
    <row r="523" spans="1:32">
      <c r="A523" s="337" t="s">
        <v>1523</v>
      </c>
      <c r="B523" s="146" t="s">
        <v>1</v>
      </c>
      <c r="C523" s="155" t="s">
        <v>1512</v>
      </c>
      <c r="D523" s="147"/>
      <c r="E523" s="148" t="s">
        <v>1465</v>
      </c>
      <c r="F523" s="147" t="s">
        <v>106</v>
      </c>
      <c r="G523" s="147" t="s">
        <v>1429</v>
      </c>
      <c r="H523" s="147">
        <v>70</v>
      </c>
      <c r="I523" s="149">
        <f t="shared" si="60"/>
        <v>70</v>
      </c>
      <c r="J523" s="147"/>
      <c r="K523" s="336" t="s">
        <v>1511</v>
      </c>
      <c r="L523" s="147">
        <v>100</v>
      </c>
      <c r="M523" s="147" t="s">
        <v>9</v>
      </c>
      <c r="N523" s="147"/>
      <c r="O523" s="147" t="s">
        <v>98</v>
      </c>
      <c r="P523" s="147">
        <v>1000</v>
      </c>
      <c r="Q523" s="150">
        <f t="shared" si="61"/>
        <v>0</v>
      </c>
      <c r="R523" s="151"/>
      <c r="S523" s="152">
        <v>4487</v>
      </c>
      <c r="T523" s="158">
        <v>4487</v>
      </c>
      <c r="U523" s="153"/>
      <c r="V523" s="154"/>
      <c r="W523" s="154"/>
      <c r="X523" s="155"/>
      <c r="Y523" s="155" t="s">
        <v>1394</v>
      </c>
      <c r="Z523" s="155" t="s">
        <v>1442</v>
      </c>
      <c r="AA523" s="273">
        <f t="shared" si="62"/>
        <v>4.4870000000000001</v>
      </c>
      <c r="AB523" s="273">
        <f t="shared" si="63"/>
        <v>4.4870000000000001</v>
      </c>
      <c r="AC523" s="156">
        <f t="shared" si="64"/>
        <v>1000</v>
      </c>
      <c r="AD523" s="274">
        <f t="shared" si="65"/>
        <v>4487</v>
      </c>
      <c r="AE523" s="274">
        <f t="shared" si="66"/>
        <v>4487</v>
      </c>
      <c r="AF523" s="337"/>
    </row>
    <row r="524" spans="1:32">
      <c r="A524" s="337" t="s">
        <v>1523</v>
      </c>
      <c r="B524" s="146" t="s">
        <v>1</v>
      </c>
      <c r="C524" s="155" t="s">
        <v>1512</v>
      </c>
      <c r="D524" s="147"/>
      <c r="E524" s="148" t="s">
        <v>1492</v>
      </c>
      <c r="F524" s="147" t="s">
        <v>106</v>
      </c>
      <c r="G524" s="147" t="s">
        <v>1429</v>
      </c>
      <c r="H524" s="147">
        <v>7</v>
      </c>
      <c r="I524" s="149">
        <f t="shared" si="60"/>
        <v>7</v>
      </c>
      <c r="J524" s="147"/>
      <c r="K524" s="336" t="s">
        <v>57</v>
      </c>
      <c r="L524" s="147">
        <v>100</v>
      </c>
      <c r="M524" s="147" t="s">
        <v>9</v>
      </c>
      <c r="N524" s="147"/>
      <c r="O524" s="147" t="s">
        <v>98</v>
      </c>
      <c r="P524" s="147">
        <v>1000</v>
      </c>
      <c r="Q524" s="150">
        <f t="shared" si="61"/>
        <v>0</v>
      </c>
      <c r="R524" s="151"/>
      <c r="S524" s="152">
        <v>1750</v>
      </c>
      <c r="T524" s="158">
        <v>1750</v>
      </c>
      <c r="U524" s="153"/>
      <c r="V524" s="154"/>
      <c r="W524" s="154"/>
      <c r="X524" s="155"/>
      <c r="Y524" s="155" t="s">
        <v>1394</v>
      </c>
      <c r="Z524" s="155" t="s">
        <v>1442</v>
      </c>
      <c r="AA524" s="273">
        <f t="shared" si="62"/>
        <v>1.75</v>
      </c>
      <c r="AB524" s="273">
        <f t="shared" si="63"/>
        <v>1.75</v>
      </c>
      <c r="AC524" s="156">
        <f t="shared" si="64"/>
        <v>1000</v>
      </c>
      <c r="AD524" s="274">
        <f t="shared" si="65"/>
        <v>1750</v>
      </c>
      <c r="AE524" s="274">
        <f t="shared" si="66"/>
        <v>1750</v>
      </c>
      <c r="AF524" s="337"/>
    </row>
    <row r="525" spans="1:32">
      <c r="A525" s="337" t="s">
        <v>1523</v>
      </c>
      <c r="B525" s="146" t="s">
        <v>1</v>
      </c>
      <c r="C525" s="155" t="s">
        <v>1512</v>
      </c>
      <c r="D525" s="147"/>
      <c r="E525" s="148" t="s">
        <v>1492</v>
      </c>
      <c r="F525" s="147" t="s">
        <v>106</v>
      </c>
      <c r="G525" s="147" t="s">
        <v>1429</v>
      </c>
      <c r="H525" s="147">
        <v>17</v>
      </c>
      <c r="I525" s="149">
        <f t="shared" si="60"/>
        <v>17</v>
      </c>
      <c r="J525" s="147"/>
      <c r="K525" s="336" t="s">
        <v>53</v>
      </c>
      <c r="L525" s="147">
        <v>100</v>
      </c>
      <c r="M525" s="147" t="s">
        <v>9</v>
      </c>
      <c r="N525" s="147"/>
      <c r="O525" s="147" t="s">
        <v>98</v>
      </c>
      <c r="P525" s="147">
        <v>1000</v>
      </c>
      <c r="Q525" s="150">
        <f t="shared" si="61"/>
        <v>0</v>
      </c>
      <c r="R525" s="151"/>
      <c r="S525" s="152">
        <v>3190</v>
      </c>
      <c r="T525" s="158">
        <v>3190</v>
      </c>
      <c r="U525" s="153"/>
      <c r="V525" s="154"/>
      <c r="W525" s="154"/>
      <c r="X525" s="155"/>
      <c r="Y525" s="155" t="s">
        <v>1394</v>
      </c>
      <c r="Z525" s="155" t="s">
        <v>1442</v>
      </c>
      <c r="AA525" s="273">
        <f t="shared" si="62"/>
        <v>3.19</v>
      </c>
      <c r="AB525" s="273">
        <f t="shared" si="63"/>
        <v>3.19</v>
      </c>
      <c r="AC525" s="156">
        <f t="shared" si="64"/>
        <v>1000</v>
      </c>
      <c r="AD525" s="274">
        <f t="shared" si="65"/>
        <v>3190</v>
      </c>
      <c r="AE525" s="274">
        <f t="shared" si="66"/>
        <v>3190</v>
      </c>
      <c r="AF525" s="337"/>
    </row>
    <row r="526" spans="1:32">
      <c r="A526" s="337" t="s">
        <v>1523</v>
      </c>
      <c r="B526" s="146" t="s">
        <v>1</v>
      </c>
      <c r="C526" s="155" t="s">
        <v>1512</v>
      </c>
      <c r="D526" s="147"/>
      <c r="E526" s="148" t="s">
        <v>1492</v>
      </c>
      <c r="F526" s="147" t="s">
        <v>106</v>
      </c>
      <c r="G526" s="147" t="s">
        <v>1429</v>
      </c>
      <c r="H526" s="147">
        <v>22</v>
      </c>
      <c r="I526" s="149">
        <f t="shared" si="60"/>
        <v>22</v>
      </c>
      <c r="J526" s="147"/>
      <c r="K526" s="336" t="s">
        <v>51</v>
      </c>
      <c r="L526" s="147">
        <v>100</v>
      </c>
      <c r="M526" s="147" t="s">
        <v>9</v>
      </c>
      <c r="N526" s="147"/>
      <c r="O526" s="147" t="s">
        <v>98</v>
      </c>
      <c r="P526" s="147">
        <v>1000</v>
      </c>
      <c r="Q526" s="150">
        <f t="shared" si="61"/>
        <v>0</v>
      </c>
      <c r="R526" s="151"/>
      <c r="S526" s="152">
        <v>4986</v>
      </c>
      <c r="T526" s="158">
        <v>4986</v>
      </c>
      <c r="U526" s="153"/>
      <c r="V526" s="154"/>
      <c r="W526" s="154"/>
      <c r="X526" s="155"/>
      <c r="Y526" s="155" t="s">
        <v>1394</v>
      </c>
      <c r="Z526" s="155" t="s">
        <v>1442</v>
      </c>
      <c r="AA526" s="273">
        <f t="shared" si="62"/>
        <v>4.9859999999999998</v>
      </c>
      <c r="AB526" s="273">
        <f t="shared" si="63"/>
        <v>4.9859999999999998</v>
      </c>
      <c r="AC526" s="156">
        <f t="shared" si="64"/>
        <v>1000</v>
      </c>
      <c r="AD526" s="274">
        <f t="shared" si="65"/>
        <v>4986</v>
      </c>
      <c r="AE526" s="274">
        <f t="shared" si="66"/>
        <v>4986</v>
      </c>
      <c r="AF526" s="337"/>
    </row>
    <row r="527" spans="1:32">
      <c r="A527" s="337" t="s">
        <v>1523</v>
      </c>
      <c r="B527" s="146" t="s">
        <v>1</v>
      </c>
      <c r="C527" s="155" t="s">
        <v>1512</v>
      </c>
      <c r="D527" s="147"/>
      <c r="E527" s="148" t="s">
        <v>1492</v>
      </c>
      <c r="F527" s="147" t="s">
        <v>106</v>
      </c>
      <c r="G527" s="147" t="s">
        <v>1429</v>
      </c>
      <c r="H527" s="147">
        <v>33</v>
      </c>
      <c r="I527" s="149">
        <f t="shared" si="60"/>
        <v>33</v>
      </c>
      <c r="J527" s="147"/>
      <c r="K527" s="336" t="s">
        <v>59</v>
      </c>
      <c r="L527" s="147">
        <v>100</v>
      </c>
      <c r="M527" s="147" t="s">
        <v>9</v>
      </c>
      <c r="N527" s="147"/>
      <c r="O527" s="147" t="s">
        <v>98</v>
      </c>
      <c r="P527" s="147">
        <v>1000</v>
      </c>
      <c r="Q527" s="150">
        <f t="shared" si="61"/>
        <v>0</v>
      </c>
      <c r="R527" s="151"/>
      <c r="S527" s="152">
        <v>2705</v>
      </c>
      <c r="T527" s="158">
        <v>2705</v>
      </c>
      <c r="U527" s="153"/>
      <c r="V527" s="154"/>
      <c r="W527" s="154"/>
      <c r="X527" s="155"/>
      <c r="Y527" s="155" t="s">
        <v>1394</v>
      </c>
      <c r="Z527" s="155" t="s">
        <v>1442</v>
      </c>
      <c r="AA527" s="273">
        <f t="shared" si="62"/>
        <v>2.7050000000000001</v>
      </c>
      <c r="AB527" s="273">
        <f t="shared" si="63"/>
        <v>2.7050000000000001</v>
      </c>
      <c r="AC527" s="156">
        <f t="shared" si="64"/>
        <v>1000</v>
      </c>
      <c r="AD527" s="274">
        <f t="shared" si="65"/>
        <v>2705</v>
      </c>
      <c r="AE527" s="274">
        <f t="shared" si="66"/>
        <v>2705</v>
      </c>
      <c r="AF527" s="337"/>
    </row>
    <row r="528" spans="1:32">
      <c r="A528" s="337" t="s">
        <v>1523</v>
      </c>
      <c r="B528" s="146" t="s">
        <v>1</v>
      </c>
      <c r="C528" s="155" t="s">
        <v>1512</v>
      </c>
      <c r="D528" s="147"/>
      <c r="E528" s="148" t="s">
        <v>1492</v>
      </c>
      <c r="F528" s="147" t="s">
        <v>106</v>
      </c>
      <c r="G528" s="147" t="s">
        <v>1429</v>
      </c>
      <c r="H528" s="147">
        <v>42</v>
      </c>
      <c r="I528" s="149">
        <f t="shared" si="60"/>
        <v>42</v>
      </c>
      <c r="J528" s="147"/>
      <c r="K528" s="336" t="s">
        <v>61</v>
      </c>
      <c r="L528" s="147">
        <v>100</v>
      </c>
      <c r="M528" s="147" t="s">
        <v>9</v>
      </c>
      <c r="N528" s="147"/>
      <c r="O528" s="147" t="s">
        <v>98</v>
      </c>
      <c r="P528" s="147">
        <v>1000</v>
      </c>
      <c r="Q528" s="150">
        <f t="shared" si="61"/>
        <v>0</v>
      </c>
      <c r="R528" s="151"/>
      <c r="S528" s="152">
        <v>1597</v>
      </c>
      <c r="T528" s="158">
        <v>1597</v>
      </c>
      <c r="U528" s="153"/>
      <c r="V528" s="154"/>
      <c r="W528" s="154"/>
      <c r="X528" s="155"/>
      <c r="Y528" s="155" t="s">
        <v>1394</v>
      </c>
      <c r="Z528" s="155" t="s">
        <v>1442</v>
      </c>
      <c r="AA528" s="273">
        <f t="shared" si="62"/>
        <v>1.597</v>
      </c>
      <c r="AB528" s="273">
        <f t="shared" si="63"/>
        <v>1.597</v>
      </c>
      <c r="AC528" s="156">
        <f t="shared" si="64"/>
        <v>1000</v>
      </c>
      <c r="AD528" s="274">
        <f t="shared" si="65"/>
        <v>1597</v>
      </c>
      <c r="AE528" s="274">
        <f t="shared" si="66"/>
        <v>1597</v>
      </c>
      <c r="AF528" s="337"/>
    </row>
    <row r="529" spans="1:32">
      <c r="A529" s="337" t="s">
        <v>1523</v>
      </c>
      <c r="B529" s="146" t="s">
        <v>1</v>
      </c>
      <c r="C529" s="155" t="s">
        <v>1512</v>
      </c>
      <c r="D529" s="147"/>
      <c r="E529" s="148" t="s">
        <v>1492</v>
      </c>
      <c r="F529" s="147" t="s">
        <v>106</v>
      </c>
      <c r="G529" s="147" t="s">
        <v>1429</v>
      </c>
      <c r="H529" s="147">
        <v>43</v>
      </c>
      <c r="I529" s="149">
        <f t="shared" si="60"/>
        <v>43</v>
      </c>
      <c r="J529" s="147"/>
      <c r="K529" s="336" t="s">
        <v>1505</v>
      </c>
      <c r="L529" s="147">
        <v>100</v>
      </c>
      <c r="M529" s="147" t="s">
        <v>9</v>
      </c>
      <c r="N529" s="147"/>
      <c r="O529" s="147" t="s">
        <v>98</v>
      </c>
      <c r="P529" s="147">
        <v>1000</v>
      </c>
      <c r="Q529" s="150">
        <f t="shared" si="61"/>
        <v>0</v>
      </c>
      <c r="R529" s="151"/>
      <c r="S529" s="152">
        <v>2411</v>
      </c>
      <c r="T529" s="158">
        <v>2411</v>
      </c>
      <c r="U529" s="153"/>
      <c r="V529" s="154"/>
      <c r="W529" s="154"/>
      <c r="X529" s="155"/>
      <c r="Y529" s="155" t="s">
        <v>1394</v>
      </c>
      <c r="Z529" s="155" t="s">
        <v>1442</v>
      </c>
      <c r="AA529" s="273">
        <f t="shared" si="62"/>
        <v>2.411</v>
      </c>
      <c r="AB529" s="273">
        <f t="shared" si="63"/>
        <v>2.411</v>
      </c>
      <c r="AC529" s="156">
        <f t="shared" si="64"/>
        <v>1000</v>
      </c>
      <c r="AD529" s="274">
        <f t="shared" si="65"/>
        <v>2411</v>
      </c>
      <c r="AE529" s="274">
        <f t="shared" si="66"/>
        <v>2411</v>
      </c>
      <c r="AF529" s="337"/>
    </row>
    <row r="530" spans="1:32">
      <c r="A530" s="337" t="s">
        <v>1523</v>
      </c>
      <c r="B530" s="146" t="s">
        <v>1</v>
      </c>
      <c r="C530" s="155" t="s">
        <v>1512</v>
      </c>
      <c r="D530" s="147"/>
      <c r="E530" s="148" t="s">
        <v>1492</v>
      </c>
      <c r="F530" s="147" t="s">
        <v>106</v>
      </c>
      <c r="G530" s="147" t="s">
        <v>1429</v>
      </c>
      <c r="H530" s="147">
        <v>46</v>
      </c>
      <c r="I530" s="149">
        <f t="shared" si="60"/>
        <v>46</v>
      </c>
      <c r="J530" s="147"/>
      <c r="K530" s="336" t="s">
        <v>1507</v>
      </c>
      <c r="L530" s="147">
        <v>100</v>
      </c>
      <c r="M530" s="147" t="s">
        <v>9</v>
      </c>
      <c r="N530" s="147"/>
      <c r="O530" s="147" t="s">
        <v>98</v>
      </c>
      <c r="P530" s="147">
        <v>1000</v>
      </c>
      <c r="Q530" s="150">
        <f t="shared" si="61"/>
        <v>0</v>
      </c>
      <c r="R530" s="151"/>
      <c r="S530" s="152">
        <v>4592</v>
      </c>
      <c r="T530" s="158">
        <v>4592</v>
      </c>
      <c r="U530" s="153"/>
      <c r="V530" s="154"/>
      <c r="W530" s="154"/>
      <c r="X530" s="155"/>
      <c r="Y530" s="155" t="s">
        <v>1394</v>
      </c>
      <c r="Z530" s="155" t="s">
        <v>1442</v>
      </c>
      <c r="AA530" s="273">
        <f t="shared" si="62"/>
        <v>4.5919999999999996</v>
      </c>
      <c r="AB530" s="273">
        <f t="shared" si="63"/>
        <v>4.5919999999999996</v>
      </c>
      <c r="AC530" s="156">
        <f t="shared" si="64"/>
        <v>1000</v>
      </c>
      <c r="AD530" s="274">
        <f t="shared" si="65"/>
        <v>4592</v>
      </c>
      <c r="AE530" s="274">
        <f t="shared" si="66"/>
        <v>4592</v>
      </c>
      <c r="AF530" s="337"/>
    </row>
    <row r="531" spans="1:32">
      <c r="A531" s="337" t="s">
        <v>1523</v>
      </c>
      <c r="B531" s="146" t="s">
        <v>1</v>
      </c>
      <c r="C531" s="155" t="s">
        <v>1512</v>
      </c>
      <c r="D531" s="147"/>
      <c r="E531" s="148" t="s">
        <v>1492</v>
      </c>
      <c r="F531" s="147" t="s">
        <v>106</v>
      </c>
      <c r="G531" s="147" t="s">
        <v>1429</v>
      </c>
      <c r="H531" s="147">
        <v>46</v>
      </c>
      <c r="I531" s="149">
        <f t="shared" si="60"/>
        <v>46</v>
      </c>
      <c r="J531" s="147"/>
      <c r="K531" s="336" t="s">
        <v>1508</v>
      </c>
      <c r="L531" s="147">
        <v>100</v>
      </c>
      <c r="M531" s="147" t="s">
        <v>9</v>
      </c>
      <c r="N531" s="147"/>
      <c r="O531" s="147" t="s">
        <v>98</v>
      </c>
      <c r="P531" s="147">
        <v>1000</v>
      </c>
      <c r="Q531" s="150">
        <f t="shared" si="61"/>
        <v>0</v>
      </c>
      <c r="R531" s="151"/>
      <c r="S531" s="152">
        <v>5035</v>
      </c>
      <c r="T531" s="158">
        <v>5035</v>
      </c>
      <c r="U531" s="153"/>
      <c r="V531" s="154"/>
      <c r="W531" s="154"/>
      <c r="X531" s="155"/>
      <c r="Y531" s="155" t="s">
        <v>1394</v>
      </c>
      <c r="Z531" s="155" t="s">
        <v>1442</v>
      </c>
      <c r="AA531" s="273">
        <f t="shared" si="62"/>
        <v>5.0350000000000001</v>
      </c>
      <c r="AB531" s="273">
        <f t="shared" si="63"/>
        <v>5.0350000000000001</v>
      </c>
      <c r="AC531" s="156">
        <f t="shared" si="64"/>
        <v>1000</v>
      </c>
      <c r="AD531" s="274">
        <f t="shared" si="65"/>
        <v>5035</v>
      </c>
      <c r="AE531" s="274">
        <f t="shared" si="66"/>
        <v>5035</v>
      </c>
      <c r="AF531" s="337"/>
    </row>
    <row r="532" spans="1:32">
      <c r="A532" s="337" t="s">
        <v>1523</v>
      </c>
      <c r="B532" s="146" t="s">
        <v>1</v>
      </c>
      <c r="C532" s="155" t="s">
        <v>1512</v>
      </c>
      <c r="D532" s="147"/>
      <c r="E532" s="148" t="s">
        <v>1492</v>
      </c>
      <c r="F532" s="147" t="s">
        <v>106</v>
      </c>
      <c r="G532" s="147" t="s">
        <v>1429</v>
      </c>
      <c r="H532" s="147">
        <v>58</v>
      </c>
      <c r="I532" s="149">
        <f t="shared" si="60"/>
        <v>58</v>
      </c>
      <c r="J532" s="147"/>
      <c r="K532" s="336" t="s">
        <v>67</v>
      </c>
      <c r="L532" s="147">
        <v>100</v>
      </c>
      <c r="M532" s="147" t="s">
        <v>9</v>
      </c>
      <c r="N532" s="147"/>
      <c r="O532" s="147" t="s">
        <v>98</v>
      </c>
      <c r="P532" s="147">
        <v>1000</v>
      </c>
      <c r="Q532" s="150">
        <f t="shared" si="61"/>
        <v>0</v>
      </c>
      <c r="R532" s="151"/>
      <c r="S532" s="152">
        <v>1732</v>
      </c>
      <c r="T532" s="158">
        <v>1732</v>
      </c>
      <c r="U532" s="153"/>
      <c r="V532" s="154"/>
      <c r="W532" s="154"/>
      <c r="X532" s="155"/>
      <c r="Y532" s="155" t="s">
        <v>1394</v>
      </c>
      <c r="Z532" s="155" t="s">
        <v>1442</v>
      </c>
      <c r="AA532" s="273">
        <f t="shared" si="62"/>
        <v>1.732</v>
      </c>
      <c r="AB532" s="273">
        <f t="shared" si="63"/>
        <v>1.732</v>
      </c>
      <c r="AC532" s="156">
        <f t="shared" si="64"/>
        <v>1000</v>
      </c>
      <c r="AD532" s="274">
        <f t="shared" si="65"/>
        <v>1732</v>
      </c>
      <c r="AE532" s="274">
        <f t="shared" si="66"/>
        <v>1732</v>
      </c>
      <c r="AF532" s="337"/>
    </row>
    <row r="533" spans="1:32">
      <c r="A533" s="337" t="s">
        <v>1523</v>
      </c>
      <c r="B533" s="146" t="s">
        <v>1</v>
      </c>
      <c r="C533" s="155" t="s">
        <v>1512</v>
      </c>
      <c r="D533" s="147"/>
      <c r="E533" s="148" t="s">
        <v>1492</v>
      </c>
      <c r="F533" s="147" t="s">
        <v>106</v>
      </c>
      <c r="G533" s="147" t="s">
        <v>1429</v>
      </c>
      <c r="H533" s="147">
        <v>59</v>
      </c>
      <c r="I533" s="149">
        <f t="shared" ref="I533:I596" si="67">IF(AND(F533="SI",J533&lt;&gt;"",J533&lt;&gt;"NA"),CONCATENATE(H533,"_",J533),IF(F533="SI",H533,CONCATENATE(" REGISTRO COTIZACION NO EVALUADA: ",H533)))</f>
        <v>59</v>
      </c>
      <c r="J533" s="147"/>
      <c r="K533" s="336" t="s">
        <v>99</v>
      </c>
      <c r="L533" s="147">
        <v>100</v>
      </c>
      <c r="M533" s="147" t="s">
        <v>9</v>
      </c>
      <c r="N533" s="147"/>
      <c r="O533" s="147" t="s">
        <v>98</v>
      </c>
      <c r="P533" s="147">
        <v>1000</v>
      </c>
      <c r="Q533" s="150">
        <f t="shared" ref="Q533:Q596" si="68">(T533-S533)/S533</f>
        <v>0</v>
      </c>
      <c r="R533" s="151"/>
      <c r="S533" s="152">
        <v>3490</v>
      </c>
      <c r="T533" s="158">
        <v>3490</v>
      </c>
      <c r="U533" s="153"/>
      <c r="V533" s="154"/>
      <c r="W533" s="154"/>
      <c r="X533" s="155"/>
      <c r="Y533" s="155" t="s">
        <v>1394</v>
      </c>
      <c r="Z533" s="155" t="s">
        <v>1442</v>
      </c>
      <c r="AA533" s="273">
        <f t="shared" ref="AA533:AA596" si="69">S533/P533</f>
        <v>3.49</v>
      </c>
      <c r="AB533" s="273">
        <f t="shared" ref="AB533:AB596" si="70">T533/P533</f>
        <v>3.49</v>
      </c>
      <c r="AC533" s="156">
        <f t="shared" ref="AC533:AC596" si="71">P533</f>
        <v>1000</v>
      </c>
      <c r="AD533" s="274">
        <f t="shared" ref="AD533:AD596" si="72">AA533*AC533</f>
        <v>3490</v>
      </c>
      <c r="AE533" s="274">
        <f t="shared" si="66"/>
        <v>3490</v>
      </c>
      <c r="AF533" s="337"/>
    </row>
    <row r="534" spans="1:32">
      <c r="A534" s="337" t="s">
        <v>1523</v>
      </c>
      <c r="B534" s="146" t="s">
        <v>1</v>
      </c>
      <c r="C534" s="155" t="s">
        <v>1512</v>
      </c>
      <c r="D534" s="147"/>
      <c r="E534" s="148" t="s">
        <v>1492</v>
      </c>
      <c r="F534" s="147" t="s">
        <v>106</v>
      </c>
      <c r="G534" s="147" t="s">
        <v>1429</v>
      </c>
      <c r="H534" s="147">
        <v>69</v>
      </c>
      <c r="I534" s="149">
        <f t="shared" si="67"/>
        <v>69</v>
      </c>
      <c r="J534" s="147"/>
      <c r="K534" s="336" t="s">
        <v>1509</v>
      </c>
      <c r="L534" s="147">
        <v>100</v>
      </c>
      <c r="M534" s="147" t="s">
        <v>9</v>
      </c>
      <c r="N534" s="147"/>
      <c r="O534" s="147" t="s">
        <v>98</v>
      </c>
      <c r="P534" s="147">
        <v>1000</v>
      </c>
      <c r="Q534" s="150">
        <f t="shared" si="68"/>
        <v>0</v>
      </c>
      <c r="R534" s="151"/>
      <c r="S534" s="152">
        <v>3071</v>
      </c>
      <c r="T534" s="158">
        <v>3071</v>
      </c>
      <c r="U534" s="153"/>
      <c r="V534" s="154"/>
      <c r="W534" s="154"/>
      <c r="X534" s="155"/>
      <c r="Y534" s="155" t="s">
        <v>1394</v>
      </c>
      <c r="Z534" s="155" t="s">
        <v>1442</v>
      </c>
      <c r="AA534" s="273">
        <f t="shared" si="69"/>
        <v>3.0710000000000002</v>
      </c>
      <c r="AB534" s="273">
        <f t="shared" si="70"/>
        <v>3.0710000000000002</v>
      </c>
      <c r="AC534" s="156">
        <f t="shared" si="71"/>
        <v>1000</v>
      </c>
      <c r="AD534" s="274">
        <f t="shared" si="72"/>
        <v>3071</v>
      </c>
      <c r="AE534" s="274">
        <f t="shared" si="66"/>
        <v>3071</v>
      </c>
      <c r="AF534" s="337"/>
    </row>
    <row r="535" spans="1:32">
      <c r="A535" s="337" t="s">
        <v>1523</v>
      </c>
      <c r="B535" s="146" t="s">
        <v>1</v>
      </c>
      <c r="C535" s="155" t="s">
        <v>1512</v>
      </c>
      <c r="D535" s="147"/>
      <c r="E535" s="148" t="s">
        <v>1492</v>
      </c>
      <c r="F535" s="147" t="s">
        <v>106</v>
      </c>
      <c r="G535" s="147" t="s">
        <v>1429</v>
      </c>
      <c r="H535" s="147">
        <v>70</v>
      </c>
      <c r="I535" s="149">
        <f t="shared" si="67"/>
        <v>70</v>
      </c>
      <c r="J535" s="147"/>
      <c r="K535" s="336" t="s">
        <v>1510</v>
      </c>
      <c r="L535" s="147">
        <v>100</v>
      </c>
      <c r="M535" s="147" t="s">
        <v>9</v>
      </c>
      <c r="N535" s="147"/>
      <c r="O535" s="147" t="s">
        <v>98</v>
      </c>
      <c r="P535" s="147">
        <v>1000</v>
      </c>
      <c r="Q535" s="150">
        <f t="shared" si="68"/>
        <v>0</v>
      </c>
      <c r="R535" s="151"/>
      <c r="S535" s="152">
        <v>5107</v>
      </c>
      <c r="T535" s="158">
        <v>5107</v>
      </c>
      <c r="U535" s="153"/>
      <c r="V535" s="154"/>
      <c r="W535" s="154"/>
      <c r="X535" s="155"/>
      <c r="Y535" s="155" t="s">
        <v>1394</v>
      </c>
      <c r="Z535" s="155" t="s">
        <v>1442</v>
      </c>
      <c r="AA535" s="273">
        <f t="shared" si="69"/>
        <v>5.1070000000000002</v>
      </c>
      <c r="AB535" s="273">
        <f t="shared" si="70"/>
        <v>5.1070000000000002</v>
      </c>
      <c r="AC535" s="156">
        <f t="shared" si="71"/>
        <v>1000</v>
      </c>
      <c r="AD535" s="274">
        <f t="shared" si="72"/>
        <v>5107</v>
      </c>
      <c r="AE535" s="274">
        <f t="shared" si="66"/>
        <v>5107</v>
      </c>
      <c r="AF535" s="337"/>
    </row>
    <row r="536" spans="1:32">
      <c r="A536" s="337" t="s">
        <v>1523</v>
      </c>
      <c r="B536" s="146" t="s">
        <v>1</v>
      </c>
      <c r="C536" s="155" t="s">
        <v>1512</v>
      </c>
      <c r="D536" s="147"/>
      <c r="E536" s="148" t="s">
        <v>1492</v>
      </c>
      <c r="F536" s="147" t="s">
        <v>106</v>
      </c>
      <c r="G536" s="147" t="s">
        <v>1429</v>
      </c>
      <c r="H536" s="147">
        <v>70</v>
      </c>
      <c r="I536" s="149">
        <f t="shared" si="67"/>
        <v>70</v>
      </c>
      <c r="J536" s="147"/>
      <c r="K536" s="336" t="s">
        <v>1511</v>
      </c>
      <c r="L536" s="147">
        <v>100</v>
      </c>
      <c r="M536" s="147" t="s">
        <v>9</v>
      </c>
      <c r="N536" s="147"/>
      <c r="O536" s="147" t="s">
        <v>98</v>
      </c>
      <c r="P536" s="147">
        <v>1000</v>
      </c>
      <c r="Q536" s="150">
        <f t="shared" si="68"/>
        <v>0</v>
      </c>
      <c r="R536" s="151"/>
      <c r="S536" s="152">
        <v>5038</v>
      </c>
      <c r="T536" s="158">
        <v>5038</v>
      </c>
      <c r="U536" s="153"/>
      <c r="V536" s="154"/>
      <c r="W536" s="154"/>
      <c r="X536" s="155"/>
      <c r="Y536" s="155" t="s">
        <v>1394</v>
      </c>
      <c r="Z536" s="155" t="s">
        <v>1442</v>
      </c>
      <c r="AA536" s="273">
        <f t="shared" si="69"/>
        <v>5.0380000000000003</v>
      </c>
      <c r="AB536" s="273">
        <f t="shared" si="70"/>
        <v>5.0380000000000003</v>
      </c>
      <c r="AC536" s="156">
        <f t="shared" si="71"/>
        <v>1000</v>
      </c>
      <c r="AD536" s="274">
        <f t="shared" si="72"/>
        <v>5038</v>
      </c>
      <c r="AE536" s="274">
        <f t="shared" si="66"/>
        <v>5038</v>
      </c>
      <c r="AF536" s="337"/>
    </row>
    <row r="537" spans="1:32">
      <c r="A537" s="337" t="s">
        <v>1523</v>
      </c>
      <c r="B537" s="146" t="s">
        <v>1</v>
      </c>
      <c r="C537" s="155" t="s">
        <v>1512</v>
      </c>
      <c r="D537" s="147"/>
      <c r="E537" s="148" t="s">
        <v>1493</v>
      </c>
      <c r="F537" s="147" t="s">
        <v>106</v>
      </c>
      <c r="G537" s="147" t="s">
        <v>1429</v>
      </c>
      <c r="H537" s="147">
        <v>7</v>
      </c>
      <c r="I537" s="149">
        <f t="shared" si="67"/>
        <v>7</v>
      </c>
      <c r="J537" s="147"/>
      <c r="K537" s="336" t="s">
        <v>57</v>
      </c>
      <c r="L537" s="147">
        <v>100</v>
      </c>
      <c r="M537" s="147" t="s">
        <v>9</v>
      </c>
      <c r="N537" s="147"/>
      <c r="O537" s="147" t="s">
        <v>98</v>
      </c>
      <c r="P537" s="147">
        <v>1000</v>
      </c>
      <c r="Q537" s="150">
        <f t="shared" si="68"/>
        <v>0</v>
      </c>
      <c r="R537" s="151"/>
      <c r="S537" s="152">
        <v>1583</v>
      </c>
      <c r="T537" s="158">
        <v>1583</v>
      </c>
      <c r="U537" s="153"/>
      <c r="V537" s="154"/>
      <c r="W537" s="154"/>
      <c r="X537" s="155"/>
      <c r="Y537" s="155" t="s">
        <v>1394</v>
      </c>
      <c r="Z537" s="155" t="s">
        <v>1442</v>
      </c>
      <c r="AA537" s="273">
        <f t="shared" si="69"/>
        <v>1.583</v>
      </c>
      <c r="AB537" s="273">
        <f t="shared" si="70"/>
        <v>1.583</v>
      </c>
      <c r="AC537" s="156">
        <f t="shared" si="71"/>
        <v>1000</v>
      </c>
      <c r="AD537" s="274">
        <f t="shared" si="72"/>
        <v>1583</v>
      </c>
      <c r="AE537" s="274">
        <f t="shared" si="66"/>
        <v>1583</v>
      </c>
      <c r="AF537" s="337"/>
    </row>
    <row r="538" spans="1:32">
      <c r="A538" s="337" t="s">
        <v>1523</v>
      </c>
      <c r="B538" s="146" t="s">
        <v>1</v>
      </c>
      <c r="C538" s="155" t="s">
        <v>1512</v>
      </c>
      <c r="D538" s="147"/>
      <c r="E538" s="148" t="s">
        <v>1493</v>
      </c>
      <c r="F538" s="147" t="s">
        <v>106</v>
      </c>
      <c r="G538" s="147" t="s">
        <v>1429</v>
      </c>
      <c r="H538" s="147">
        <v>8</v>
      </c>
      <c r="I538" s="149">
        <f t="shared" si="67"/>
        <v>8</v>
      </c>
      <c r="J538" s="147"/>
      <c r="K538" s="336" t="s">
        <v>55</v>
      </c>
      <c r="L538" s="147">
        <v>100</v>
      </c>
      <c r="M538" s="147" t="s">
        <v>9</v>
      </c>
      <c r="N538" s="147"/>
      <c r="O538" s="147" t="s">
        <v>98</v>
      </c>
      <c r="P538" s="147">
        <v>1000</v>
      </c>
      <c r="Q538" s="150">
        <f t="shared" si="68"/>
        <v>0</v>
      </c>
      <c r="R538" s="151"/>
      <c r="S538" s="152">
        <v>1307</v>
      </c>
      <c r="T538" s="158">
        <v>1307</v>
      </c>
      <c r="U538" s="153"/>
      <c r="V538" s="154"/>
      <c r="W538" s="154"/>
      <c r="X538" s="155"/>
      <c r="Y538" s="155" t="s">
        <v>1394</v>
      </c>
      <c r="Z538" s="155" t="s">
        <v>1442</v>
      </c>
      <c r="AA538" s="273">
        <f t="shared" si="69"/>
        <v>1.3069999999999999</v>
      </c>
      <c r="AB538" s="273">
        <f t="shared" si="70"/>
        <v>1.3069999999999999</v>
      </c>
      <c r="AC538" s="156">
        <f t="shared" si="71"/>
        <v>1000</v>
      </c>
      <c r="AD538" s="274">
        <f t="shared" si="72"/>
        <v>1307</v>
      </c>
      <c r="AE538" s="274">
        <f t="shared" si="66"/>
        <v>1307</v>
      </c>
      <c r="AF538" s="337"/>
    </row>
    <row r="539" spans="1:32">
      <c r="A539" s="337" t="s">
        <v>1523</v>
      </c>
      <c r="B539" s="146" t="s">
        <v>1</v>
      </c>
      <c r="C539" s="155" t="s">
        <v>1512</v>
      </c>
      <c r="D539" s="147"/>
      <c r="E539" s="148" t="s">
        <v>1493</v>
      </c>
      <c r="F539" s="147" t="s">
        <v>106</v>
      </c>
      <c r="G539" s="147" t="s">
        <v>1429</v>
      </c>
      <c r="H539" s="147">
        <v>17</v>
      </c>
      <c r="I539" s="149">
        <f t="shared" si="67"/>
        <v>17</v>
      </c>
      <c r="J539" s="147"/>
      <c r="K539" s="336" t="s">
        <v>53</v>
      </c>
      <c r="L539" s="147">
        <v>100</v>
      </c>
      <c r="M539" s="147" t="s">
        <v>9</v>
      </c>
      <c r="N539" s="147"/>
      <c r="O539" s="147" t="s">
        <v>98</v>
      </c>
      <c r="P539" s="147">
        <v>1000</v>
      </c>
      <c r="Q539" s="150">
        <f t="shared" si="68"/>
        <v>0</v>
      </c>
      <c r="R539" s="151"/>
      <c r="S539" s="152">
        <v>2435</v>
      </c>
      <c r="T539" s="158">
        <v>2435</v>
      </c>
      <c r="U539" s="153"/>
      <c r="V539" s="154"/>
      <c r="W539" s="154"/>
      <c r="X539" s="155"/>
      <c r="Y539" s="155" t="s">
        <v>1394</v>
      </c>
      <c r="Z539" s="155" t="s">
        <v>1442</v>
      </c>
      <c r="AA539" s="273">
        <f t="shared" si="69"/>
        <v>2.4350000000000001</v>
      </c>
      <c r="AB539" s="273">
        <f t="shared" si="70"/>
        <v>2.4350000000000001</v>
      </c>
      <c r="AC539" s="156">
        <f t="shared" si="71"/>
        <v>1000</v>
      </c>
      <c r="AD539" s="274">
        <f t="shared" si="72"/>
        <v>2435</v>
      </c>
      <c r="AE539" s="274">
        <f t="shared" si="66"/>
        <v>2435</v>
      </c>
      <c r="AF539" s="337"/>
    </row>
    <row r="540" spans="1:32">
      <c r="A540" s="337" t="s">
        <v>1523</v>
      </c>
      <c r="B540" s="146" t="s">
        <v>1</v>
      </c>
      <c r="C540" s="155" t="s">
        <v>1512</v>
      </c>
      <c r="D540" s="147"/>
      <c r="E540" s="148" t="s">
        <v>1493</v>
      </c>
      <c r="F540" s="147" t="s">
        <v>106</v>
      </c>
      <c r="G540" s="147" t="s">
        <v>1429</v>
      </c>
      <c r="H540" s="147">
        <v>22</v>
      </c>
      <c r="I540" s="149">
        <f t="shared" si="67"/>
        <v>22</v>
      </c>
      <c r="J540" s="147"/>
      <c r="K540" s="336" t="s">
        <v>51</v>
      </c>
      <c r="L540" s="147">
        <v>100</v>
      </c>
      <c r="M540" s="147" t="s">
        <v>9</v>
      </c>
      <c r="N540" s="147"/>
      <c r="O540" s="147" t="s">
        <v>98</v>
      </c>
      <c r="P540" s="147">
        <v>1000</v>
      </c>
      <c r="Q540" s="150">
        <f t="shared" si="68"/>
        <v>0</v>
      </c>
      <c r="R540" s="151"/>
      <c r="S540" s="152">
        <v>5000</v>
      </c>
      <c r="T540" s="158">
        <v>5000</v>
      </c>
      <c r="U540" s="153"/>
      <c r="V540" s="154"/>
      <c r="W540" s="154"/>
      <c r="X540" s="155"/>
      <c r="Y540" s="155" t="s">
        <v>1394</v>
      </c>
      <c r="Z540" s="155" t="s">
        <v>1442</v>
      </c>
      <c r="AA540" s="273">
        <f t="shared" si="69"/>
        <v>5</v>
      </c>
      <c r="AB540" s="273">
        <f t="shared" si="70"/>
        <v>5</v>
      </c>
      <c r="AC540" s="156">
        <f t="shared" si="71"/>
        <v>1000</v>
      </c>
      <c r="AD540" s="274">
        <f t="shared" si="72"/>
        <v>5000</v>
      </c>
      <c r="AE540" s="274">
        <f t="shared" si="66"/>
        <v>5000</v>
      </c>
      <c r="AF540" s="337"/>
    </row>
    <row r="541" spans="1:32">
      <c r="A541" s="337" t="s">
        <v>1523</v>
      </c>
      <c r="B541" s="146" t="s">
        <v>1</v>
      </c>
      <c r="C541" s="155" t="s">
        <v>1512</v>
      </c>
      <c r="D541" s="147"/>
      <c r="E541" s="148" t="s">
        <v>1493</v>
      </c>
      <c r="F541" s="147" t="s">
        <v>106</v>
      </c>
      <c r="G541" s="147" t="s">
        <v>1429</v>
      </c>
      <c r="H541" s="147">
        <v>33</v>
      </c>
      <c r="I541" s="149">
        <f t="shared" si="67"/>
        <v>33</v>
      </c>
      <c r="J541" s="147"/>
      <c r="K541" s="336" t="s">
        <v>59</v>
      </c>
      <c r="L541" s="147">
        <v>100</v>
      </c>
      <c r="M541" s="147" t="s">
        <v>9</v>
      </c>
      <c r="N541" s="147"/>
      <c r="O541" s="147" t="s">
        <v>98</v>
      </c>
      <c r="P541" s="147">
        <v>1000</v>
      </c>
      <c r="Q541" s="150">
        <f t="shared" si="68"/>
        <v>0</v>
      </c>
      <c r="R541" s="151"/>
      <c r="S541" s="152">
        <v>2327</v>
      </c>
      <c r="T541" s="158">
        <v>2327</v>
      </c>
      <c r="U541" s="153"/>
      <c r="V541" s="154"/>
      <c r="W541" s="154"/>
      <c r="X541" s="155"/>
      <c r="Y541" s="155" t="s">
        <v>1394</v>
      </c>
      <c r="Z541" s="155" t="s">
        <v>1442</v>
      </c>
      <c r="AA541" s="273">
        <f t="shared" si="69"/>
        <v>2.327</v>
      </c>
      <c r="AB541" s="273">
        <f t="shared" si="70"/>
        <v>2.327</v>
      </c>
      <c r="AC541" s="156">
        <f t="shared" si="71"/>
        <v>1000</v>
      </c>
      <c r="AD541" s="274">
        <f t="shared" si="72"/>
        <v>2327</v>
      </c>
      <c r="AE541" s="274">
        <f t="shared" si="66"/>
        <v>2327</v>
      </c>
      <c r="AF541" s="337"/>
    </row>
    <row r="542" spans="1:32">
      <c r="A542" s="337" t="s">
        <v>1523</v>
      </c>
      <c r="B542" s="146" t="s">
        <v>1</v>
      </c>
      <c r="C542" s="155" t="s">
        <v>1512</v>
      </c>
      <c r="D542" s="147"/>
      <c r="E542" s="148" t="s">
        <v>1493</v>
      </c>
      <c r="F542" s="147" t="s">
        <v>106</v>
      </c>
      <c r="G542" s="147" t="s">
        <v>1429</v>
      </c>
      <c r="H542" s="147">
        <v>42</v>
      </c>
      <c r="I542" s="149">
        <f t="shared" si="67"/>
        <v>42</v>
      </c>
      <c r="J542" s="147"/>
      <c r="K542" s="336" t="s">
        <v>61</v>
      </c>
      <c r="L542" s="147">
        <v>100</v>
      </c>
      <c r="M542" s="147" t="s">
        <v>9</v>
      </c>
      <c r="N542" s="147"/>
      <c r="O542" s="147" t="s">
        <v>98</v>
      </c>
      <c r="P542" s="147">
        <v>1000</v>
      </c>
      <c r="Q542" s="150">
        <f t="shared" si="68"/>
        <v>0</v>
      </c>
      <c r="R542" s="151"/>
      <c r="S542" s="152">
        <v>1572</v>
      </c>
      <c r="T542" s="158">
        <v>1572</v>
      </c>
      <c r="U542" s="153"/>
      <c r="V542" s="154"/>
      <c r="W542" s="154"/>
      <c r="X542" s="155"/>
      <c r="Y542" s="155" t="s">
        <v>1394</v>
      </c>
      <c r="Z542" s="155" t="s">
        <v>1442</v>
      </c>
      <c r="AA542" s="273">
        <f t="shared" si="69"/>
        <v>1.5720000000000001</v>
      </c>
      <c r="AB542" s="273">
        <f t="shared" si="70"/>
        <v>1.5720000000000001</v>
      </c>
      <c r="AC542" s="156">
        <f t="shared" si="71"/>
        <v>1000</v>
      </c>
      <c r="AD542" s="274">
        <f t="shared" si="72"/>
        <v>1572</v>
      </c>
      <c r="AE542" s="274">
        <f t="shared" si="66"/>
        <v>1572</v>
      </c>
      <c r="AF542" s="337"/>
    </row>
    <row r="543" spans="1:32">
      <c r="A543" s="337" t="s">
        <v>1523</v>
      </c>
      <c r="B543" s="146" t="s">
        <v>1</v>
      </c>
      <c r="C543" s="155" t="s">
        <v>1512</v>
      </c>
      <c r="D543" s="147"/>
      <c r="E543" s="148" t="s">
        <v>1493</v>
      </c>
      <c r="F543" s="147" t="s">
        <v>106</v>
      </c>
      <c r="G543" s="147" t="s">
        <v>1429</v>
      </c>
      <c r="H543" s="147">
        <v>43</v>
      </c>
      <c r="I543" s="149">
        <f t="shared" si="67"/>
        <v>43</v>
      </c>
      <c r="J543" s="147"/>
      <c r="K543" s="336" t="s">
        <v>1505</v>
      </c>
      <c r="L543" s="147">
        <v>100</v>
      </c>
      <c r="M543" s="147" t="s">
        <v>9</v>
      </c>
      <c r="N543" s="147"/>
      <c r="O543" s="147" t="s">
        <v>98</v>
      </c>
      <c r="P543" s="147">
        <v>1000</v>
      </c>
      <c r="Q543" s="150">
        <f t="shared" si="68"/>
        <v>0</v>
      </c>
      <c r="R543" s="151"/>
      <c r="S543" s="152">
        <v>2521</v>
      </c>
      <c r="T543" s="158">
        <v>2521</v>
      </c>
      <c r="U543" s="153"/>
      <c r="V543" s="154"/>
      <c r="W543" s="154"/>
      <c r="X543" s="155"/>
      <c r="Y543" s="155" t="s">
        <v>1394</v>
      </c>
      <c r="Z543" s="155" t="s">
        <v>1442</v>
      </c>
      <c r="AA543" s="273">
        <f t="shared" si="69"/>
        <v>2.5209999999999999</v>
      </c>
      <c r="AB543" s="273">
        <f t="shared" si="70"/>
        <v>2.5209999999999999</v>
      </c>
      <c r="AC543" s="156">
        <f t="shared" si="71"/>
        <v>1000</v>
      </c>
      <c r="AD543" s="274">
        <f t="shared" si="72"/>
        <v>2521</v>
      </c>
      <c r="AE543" s="274">
        <f t="shared" si="66"/>
        <v>2521</v>
      </c>
      <c r="AF543" s="337"/>
    </row>
    <row r="544" spans="1:32">
      <c r="A544" s="337" t="s">
        <v>1523</v>
      </c>
      <c r="B544" s="146" t="s">
        <v>1</v>
      </c>
      <c r="C544" s="155" t="s">
        <v>1512</v>
      </c>
      <c r="D544" s="147"/>
      <c r="E544" s="148" t="s">
        <v>1493</v>
      </c>
      <c r="F544" s="147" t="s">
        <v>106</v>
      </c>
      <c r="G544" s="147" t="s">
        <v>1429</v>
      </c>
      <c r="H544" s="147">
        <v>46</v>
      </c>
      <c r="I544" s="149">
        <f t="shared" si="67"/>
        <v>46</v>
      </c>
      <c r="J544" s="147"/>
      <c r="K544" s="336" t="s">
        <v>1506</v>
      </c>
      <c r="L544" s="147">
        <v>100</v>
      </c>
      <c r="M544" s="147" t="s">
        <v>9</v>
      </c>
      <c r="N544" s="147"/>
      <c r="O544" s="147" t="s">
        <v>98</v>
      </c>
      <c r="P544" s="147">
        <v>1000</v>
      </c>
      <c r="Q544" s="150">
        <f t="shared" si="68"/>
        <v>0</v>
      </c>
      <c r="R544" s="151"/>
      <c r="S544" s="152">
        <v>4933</v>
      </c>
      <c r="T544" s="158">
        <v>4933</v>
      </c>
      <c r="U544" s="153"/>
      <c r="V544" s="154"/>
      <c r="W544" s="154"/>
      <c r="X544" s="155"/>
      <c r="Y544" s="155" t="s">
        <v>1394</v>
      </c>
      <c r="Z544" s="155" t="s">
        <v>1442</v>
      </c>
      <c r="AA544" s="273">
        <f t="shared" si="69"/>
        <v>4.9329999999999998</v>
      </c>
      <c r="AB544" s="273">
        <f t="shared" si="70"/>
        <v>4.9329999999999998</v>
      </c>
      <c r="AC544" s="156">
        <f t="shared" si="71"/>
        <v>1000</v>
      </c>
      <c r="AD544" s="274">
        <f t="shared" si="72"/>
        <v>4933</v>
      </c>
      <c r="AE544" s="274">
        <f t="shared" si="66"/>
        <v>4933</v>
      </c>
      <c r="AF544" s="337"/>
    </row>
    <row r="545" spans="1:32">
      <c r="A545" s="337" t="s">
        <v>1523</v>
      </c>
      <c r="B545" s="146" t="s">
        <v>1</v>
      </c>
      <c r="C545" s="155" t="s">
        <v>1512</v>
      </c>
      <c r="D545" s="147"/>
      <c r="E545" s="148" t="s">
        <v>1493</v>
      </c>
      <c r="F545" s="147" t="s">
        <v>106</v>
      </c>
      <c r="G545" s="147" t="s">
        <v>1429</v>
      </c>
      <c r="H545" s="147">
        <v>46</v>
      </c>
      <c r="I545" s="149">
        <f t="shared" si="67"/>
        <v>46</v>
      </c>
      <c r="J545" s="147"/>
      <c r="K545" s="336" t="s">
        <v>1507</v>
      </c>
      <c r="L545" s="147">
        <v>100</v>
      </c>
      <c r="M545" s="147" t="s">
        <v>9</v>
      </c>
      <c r="N545" s="147"/>
      <c r="O545" s="147" t="s">
        <v>98</v>
      </c>
      <c r="P545" s="147">
        <v>1000</v>
      </c>
      <c r="Q545" s="150">
        <f t="shared" si="68"/>
        <v>0</v>
      </c>
      <c r="R545" s="151"/>
      <c r="S545" s="152">
        <v>4402</v>
      </c>
      <c r="T545" s="158">
        <v>4402</v>
      </c>
      <c r="U545" s="153"/>
      <c r="V545" s="154"/>
      <c r="W545" s="154"/>
      <c r="X545" s="155"/>
      <c r="Y545" s="155" t="s">
        <v>1394</v>
      </c>
      <c r="Z545" s="155" t="s">
        <v>1442</v>
      </c>
      <c r="AA545" s="273">
        <f t="shared" si="69"/>
        <v>4.4020000000000001</v>
      </c>
      <c r="AB545" s="273">
        <f t="shared" si="70"/>
        <v>4.4020000000000001</v>
      </c>
      <c r="AC545" s="156">
        <f t="shared" si="71"/>
        <v>1000</v>
      </c>
      <c r="AD545" s="274">
        <f t="shared" si="72"/>
        <v>4402</v>
      </c>
      <c r="AE545" s="274">
        <f t="shared" si="66"/>
        <v>4402</v>
      </c>
      <c r="AF545" s="337"/>
    </row>
    <row r="546" spans="1:32">
      <c r="A546" s="337" t="s">
        <v>1523</v>
      </c>
      <c r="B546" s="146" t="s">
        <v>1</v>
      </c>
      <c r="C546" s="155" t="s">
        <v>1512</v>
      </c>
      <c r="D546" s="147"/>
      <c r="E546" s="148" t="s">
        <v>1493</v>
      </c>
      <c r="F546" s="147" t="s">
        <v>106</v>
      </c>
      <c r="G546" s="147" t="s">
        <v>1429</v>
      </c>
      <c r="H546" s="147">
        <v>46</v>
      </c>
      <c r="I546" s="149">
        <f t="shared" si="67"/>
        <v>46</v>
      </c>
      <c r="J546" s="147"/>
      <c r="K546" s="336" t="s">
        <v>1508</v>
      </c>
      <c r="L546" s="147">
        <v>100</v>
      </c>
      <c r="M546" s="147" t="s">
        <v>9</v>
      </c>
      <c r="N546" s="147"/>
      <c r="O546" s="147" t="s">
        <v>98</v>
      </c>
      <c r="P546" s="147">
        <v>1000</v>
      </c>
      <c r="Q546" s="150">
        <f t="shared" si="68"/>
        <v>0</v>
      </c>
      <c r="R546" s="151"/>
      <c r="S546" s="152">
        <v>4939</v>
      </c>
      <c r="T546" s="158">
        <v>4939</v>
      </c>
      <c r="U546" s="153"/>
      <c r="V546" s="154"/>
      <c r="W546" s="154"/>
      <c r="X546" s="155"/>
      <c r="Y546" s="155" t="s">
        <v>1394</v>
      </c>
      <c r="Z546" s="155" t="s">
        <v>1442</v>
      </c>
      <c r="AA546" s="273">
        <f t="shared" si="69"/>
        <v>4.9390000000000001</v>
      </c>
      <c r="AB546" s="273">
        <f t="shared" si="70"/>
        <v>4.9390000000000001</v>
      </c>
      <c r="AC546" s="156">
        <f t="shared" si="71"/>
        <v>1000</v>
      </c>
      <c r="AD546" s="274">
        <f t="shared" si="72"/>
        <v>4939</v>
      </c>
      <c r="AE546" s="274">
        <f t="shared" si="66"/>
        <v>4939</v>
      </c>
      <c r="AF546" s="337"/>
    </row>
    <row r="547" spans="1:32">
      <c r="A547" s="337" t="s">
        <v>1523</v>
      </c>
      <c r="B547" s="146" t="s">
        <v>1</v>
      </c>
      <c r="C547" s="155" t="s">
        <v>1512</v>
      </c>
      <c r="D547" s="147"/>
      <c r="E547" s="148" t="s">
        <v>1493</v>
      </c>
      <c r="F547" s="147" t="s">
        <v>106</v>
      </c>
      <c r="G547" s="147" t="s">
        <v>1429</v>
      </c>
      <c r="H547" s="147">
        <v>58</v>
      </c>
      <c r="I547" s="149">
        <f t="shared" si="67"/>
        <v>58</v>
      </c>
      <c r="J547" s="147"/>
      <c r="K547" s="336" t="s">
        <v>67</v>
      </c>
      <c r="L547" s="147">
        <v>100</v>
      </c>
      <c r="M547" s="147" t="s">
        <v>9</v>
      </c>
      <c r="N547" s="147"/>
      <c r="O547" s="147" t="s">
        <v>98</v>
      </c>
      <c r="P547" s="147">
        <v>1000</v>
      </c>
      <c r="Q547" s="150">
        <f t="shared" si="68"/>
        <v>0</v>
      </c>
      <c r="R547" s="151"/>
      <c r="S547" s="152">
        <v>2264</v>
      </c>
      <c r="T547" s="158">
        <v>2264</v>
      </c>
      <c r="U547" s="153"/>
      <c r="V547" s="154"/>
      <c r="W547" s="154"/>
      <c r="X547" s="155"/>
      <c r="Y547" s="155" t="s">
        <v>1394</v>
      </c>
      <c r="Z547" s="155" t="s">
        <v>1442</v>
      </c>
      <c r="AA547" s="273">
        <f t="shared" si="69"/>
        <v>2.2639999999999998</v>
      </c>
      <c r="AB547" s="273">
        <f t="shared" si="70"/>
        <v>2.2639999999999998</v>
      </c>
      <c r="AC547" s="156">
        <f t="shared" si="71"/>
        <v>1000</v>
      </c>
      <c r="AD547" s="274">
        <f t="shared" si="72"/>
        <v>2264</v>
      </c>
      <c r="AE547" s="274">
        <f t="shared" si="66"/>
        <v>2264</v>
      </c>
      <c r="AF547" s="337"/>
    </row>
    <row r="548" spans="1:32">
      <c r="A548" s="337" t="s">
        <v>1523</v>
      </c>
      <c r="B548" s="146" t="s">
        <v>1</v>
      </c>
      <c r="C548" s="155" t="s">
        <v>1512</v>
      </c>
      <c r="D548" s="147"/>
      <c r="E548" s="148" t="s">
        <v>1493</v>
      </c>
      <c r="F548" s="147" t="s">
        <v>106</v>
      </c>
      <c r="G548" s="147" t="s">
        <v>1429</v>
      </c>
      <c r="H548" s="147">
        <v>59</v>
      </c>
      <c r="I548" s="149">
        <f t="shared" si="67"/>
        <v>59</v>
      </c>
      <c r="J548" s="147"/>
      <c r="K548" s="336" t="s">
        <v>99</v>
      </c>
      <c r="L548" s="147">
        <v>100</v>
      </c>
      <c r="M548" s="147" t="s">
        <v>9</v>
      </c>
      <c r="N548" s="147"/>
      <c r="O548" s="147" t="s">
        <v>98</v>
      </c>
      <c r="P548" s="147">
        <v>1000</v>
      </c>
      <c r="Q548" s="150">
        <f t="shared" si="68"/>
        <v>0</v>
      </c>
      <c r="R548" s="151"/>
      <c r="S548" s="152">
        <v>3513</v>
      </c>
      <c r="T548" s="158">
        <v>3513</v>
      </c>
      <c r="U548" s="153"/>
      <c r="V548" s="154"/>
      <c r="W548" s="154"/>
      <c r="X548" s="155"/>
      <c r="Y548" s="155" t="s">
        <v>1394</v>
      </c>
      <c r="Z548" s="155" t="s">
        <v>1442</v>
      </c>
      <c r="AA548" s="273">
        <f t="shared" si="69"/>
        <v>3.5129999999999999</v>
      </c>
      <c r="AB548" s="273">
        <f t="shared" si="70"/>
        <v>3.5129999999999999</v>
      </c>
      <c r="AC548" s="156">
        <f t="shared" si="71"/>
        <v>1000</v>
      </c>
      <c r="AD548" s="274">
        <f t="shared" si="72"/>
        <v>3513</v>
      </c>
      <c r="AE548" s="274">
        <f t="shared" si="66"/>
        <v>3513</v>
      </c>
      <c r="AF548" s="337"/>
    </row>
    <row r="549" spans="1:32">
      <c r="A549" s="337" t="s">
        <v>1523</v>
      </c>
      <c r="B549" s="146" t="s">
        <v>1</v>
      </c>
      <c r="C549" s="155" t="s">
        <v>1512</v>
      </c>
      <c r="D549" s="147"/>
      <c r="E549" s="148" t="s">
        <v>1493</v>
      </c>
      <c r="F549" s="147" t="s">
        <v>106</v>
      </c>
      <c r="G549" s="147" t="s">
        <v>1429</v>
      </c>
      <c r="H549" s="147">
        <v>69</v>
      </c>
      <c r="I549" s="149">
        <f t="shared" si="67"/>
        <v>69</v>
      </c>
      <c r="J549" s="147"/>
      <c r="K549" s="336" t="s">
        <v>1509</v>
      </c>
      <c r="L549" s="147">
        <v>100</v>
      </c>
      <c r="M549" s="147" t="s">
        <v>9</v>
      </c>
      <c r="N549" s="147"/>
      <c r="O549" s="147" t="s">
        <v>98</v>
      </c>
      <c r="P549" s="147">
        <v>1000</v>
      </c>
      <c r="Q549" s="150">
        <f t="shared" si="68"/>
        <v>0</v>
      </c>
      <c r="R549" s="151"/>
      <c r="S549" s="152">
        <v>3066</v>
      </c>
      <c r="T549" s="158">
        <v>3066</v>
      </c>
      <c r="U549" s="153"/>
      <c r="V549" s="154"/>
      <c r="W549" s="154"/>
      <c r="X549" s="155"/>
      <c r="Y549" s="155" t="s">
        <v>1394</v>
      </c>
      <c r="Z549" s="155" t="s">
        <v>1442</v>
      </c>
      <c r="AA549" s="273">
        <f t="shared" si="69"/>
        <v>3.0659999999999998</v>
      </c>
      <c r="AB549" s="273">
        <f t="shared" si="70"/>
        <v>3.0659999999999998</v>
      </c>
      <c r="AC549" s="156">
        <f t="shared" si="71"/>
        <v>1000</v>
      </c>
      <c r="AD549" s="274">
        <f t="shared" si="72"/>
        <v>3066</v>
      </c>
      <c r="AE549" s="274">
        <f t="shared" si="66"/>
        <v>3066</v>
      </c>
      <c r="AF549" s="337"/>
    </row>
    <row r="550" spans="1:32">
      <c r="A550" s="337" t="s">
        <v>1523</v>
      </c>
      <c r="B550" s="146" t="s">
        <v>1</v>
      </c>
      <c r="C550" s="155" t="s">
        <v>1512</v>
      </c>
      <c r="D550" s="147"/>
      <c r="E550" s="148" t="s">
        <v>1493</v>
      </c>
      <c r="F550" s="147" t="s">
        <v>106</v>
      </c>
      <c r="G550" s="147" t="s">
        <v>1429</v>
      </c>
      <c r="H550" s="147">
        <v>70</v>
      </c>
      <c r="I550" s="149">
        <f t="shared" si="67"/>
        <v>70</v>
      </c>
      <c r="J550" s="147"/>
      <c r="K550" s="336" t="s">
        <v>1510</v>
      </c>
      <c r="L550" s="147">
        <v>100</v>
      </c>
      <c r="M550" s="147" t="s">
        <v>9</v>
      </c>
      <c r="N550" s="147"/>
      <c r="O550" s="147" t="s">
        <v>98</v>
      </c>
      <c r="P550" s="147">
        <v>1000</v>
      </c>
      <c r="Q550" s="150">
        <f t="shared" si="68"/>
        <v>0</v>
      </c>
      <c r="R550" s="151"/>
      <c r="S550" s="152">
        <v>5098</v>
      </c>
      <c r="T550" s="158">
        <v>5098</v>
      </c>
      <c r="U550" s="153"/>
      <c r="V550" s="154"/>
      <c r="W550" s="154"/>
      <c r="X550" s="155"/>
      <c r="Y550" s="155" t="s">
        <v>1394</v>
      </c>
      <c r="Z550" s="155" t="s">
        <v>1442</v>
      </c>
      <c r="AA550" s="273">
        <f t="shared" si="69"/>
        <v>5.0979999999999999</v>
      </c>
      <c r="AB550" s="273">
        <f t="shared" si="70"/>
        <v>5.0979999999999999</v>
      </c>
      <c r="AC550" s="156">
        <f t="shared" si="71"/>
        <v>1000</v>
      </c>
      <c r="AD550" s="274">
        <f t="shared" si="72"/>
        <v>5098</v>
      </c>
      <c r="AE550" s="274">
        <f t="shared" si="66"/>
        <v>5098</v>
      </c>
      <c r="AF550" s="337"/>
    </row>
    <row r="551" spans="1:32">
      <c r="A551" s="337" t="s">
        <v>1523</v>
      </c>
      <c r="B551" s="146" t="s">
        <v>1</v>
      </c>
      <c r="C551" s="155" t="s">
        <v>1512</v>
      </c>
      <c r="D551" s="147"/>
      <c r="E551" s="148" t="s">
        <v>1493</v>
      </c>
      <c r="F551" s="147" t="s">
        <v>106</v>
      </c>
      <c r="G551" s="147" t="s">
        <v>1429</v>
      </c>
      <c r="H551" s="147">
        <v>70</v>
      </c>
      <c r="I551" s="149">
        <f t="shared" si="67"/>
        <v>70</v>
      </c>
      <c r="J551" s="147"/>
      <c r="K551" s="336" t="s">
        <v>1511</v>
      </c>
      <c r="L551" s="147">
        <v>100</v>
      </c>
      <c r="M551" s="147" t="s">
        <v>9</v>
      </c>
      <c r="N551" s="147"/>
      <c r="O551" s="147" t="s">
        <v>98</v>
      </c>
      <c r="P551" s="147">
        <v>1000</v>
      </c>
      <c r="Q551" s="150">
        <f t="shared" si="68"/>
        <v>0</v>
      </c>
      <c r="R551" s="151"/>
      <c r="S551" s="152">
        <v>4920</v>
      </c>
      <c r="T551" s="158">
        <v>4920</v>
      </c>
      <c r="U551" s="153"/>
      <c r="V551" s="154"/>
      <c r="W551" s="154"/>
      <c r="X551" s="155"/>
      <c r="Y551" s="155" t="s">
        <v>1394</v>
      </c>
      <c r="Z551" s="155" t="s">
        <v>1442</v>
      </c>
      <c r="AA551" s="273">
        <f t="shared" si="69"/>
        <v>4.92</v>
      </c>
      <c r="AB551" s="273">
        <f t="shared" si="70"/>
        <v>4.92</v>
      </c>
      <c r="AC551" s="156">
        <f t="shared" si="71"/>
        <v>1000</v>
      </c>
      <c r="AD551" s="274">
        <f t="shared" si="72"/>
        <v>4920</v>
      </c>
      <c r="AE551" s="274">
        <f t="shared" si="66"/>
        <v>4920</v>
      </c>
      <c r="AF551" s="337"/>
    </row>
    <row r="552" spans="1:32">
      <c r="A552" s="337" t="s">
        <v>1523</v>
      </c>
      <c r="B552" s="146" t="s">
        <v>1</v>
      </c>
      <c r="C552" s="155" t="s">
        <v>1512</v>
      </c>
      <c r="D552" s="147"/>
      <c r="E552" s="148" t="s">
        <v>1494</v>
      </c>
      <c r="F552" s="147" t="s">
        <v>106</v>
      </c>
      <c r="G552" s="147" t="s">
        <v>1429</v>
      </c>
      <c r="H552" s="147">
        <v>7</v>
      </c>
      <c r="I552" s="149">
        <f t="shared" si="67"/>
        <v>7</v>
      </c>
      <c r="J552" s="147"/>
      <c r="K552" s="336" t="s">
        <v>57</v>
      </c>
      <c r="L552" s="147">
        <v>100</v>
      </c>
      <c r="M552" s="147" t="s">
        <v>9</v>
      </c>
      <c r="N552" s="147"/>
      <c r="O552" s="147" t="s">
        <v>98</v>
      </c>
      <c r="P552" s="147">
        <v>1000</v>
      </c>
      <c r="Q552" s="150">
        <f t="shared" si="68"/>
        <v>0</v>
      </c>
      <c r="R552" s="151"/>
      <c r="S552" s="152">
        <v>1500</v>
      </c>
      <c r="T552" s="158">
        <v>1500</v>
      </c>
      <c r="U552" s="153"/>
      <c r="V552" s="154"/>
      <c r="W552" s="154"/>
      <c r="X552" s="155"/>
      <c r="Y552" s="155" t="s">
        <v>1394</v>
      </c>
      <c r="Z552" s="155" t="s">
        <v>1442</v>
      </c>
      <c r="AA552" s="273">
        <f t="shared" si="69"/>
        <v>1.5</v>
      </c>
      <c r="AB552" s="273">
        <f t="shared" si="70"/>
        <v>1.5</v>
      </c>
      <c r="AC552" s="156">
        <f t="shared" si="71"/>
        <v>1000</v>
      </c>
      <c r="AD552" s="274">
        <f t="shared" si="72"/>
        <v>1500</v>
      </c>
      <c r="AE552" s="274">
        <f t="shared" si="66"/>
        <v>1500</v>
      </c>
      <c r="AF552" s="337"/>
    </row>
    <row r="553" spans="1:32">
      <c r="A553" s="337" t="s">
        <v>1523</v>
      </c>
      <c r="B553" s="146" t="s">
        <v>1</v>
      </c>
      <c r="C553" s="155" t="s">
        <v>1512</v>
      </c>
      <c r="D553" s="147"/>
      <c r="E553" s="148" t="s">
        <v>1494</v>
      </c>
      <c r="F553" s="147" t="s">
        <v>106</v>
      </c>
      <c r="G553" s="147" t="s">
        <v>1429</v>
      </c>
      <c r="H553" s="147">
        <v>8</v>
      </c>
      <c r="I553" s="149">
        <f t="shared" si="67"/>
        <v>8</v>
      </c>
      <c r="J553" s="147"/>
      <c r="K553" s="336" t="s">
        <v>55</v>
      </c>
      <c r="L553" s="147">
        <v>100</v>
      </c>
      <c r="M553" s="147" t="s">
        <v>9</v>
      </c>
      <c r="N553" s="147"/>
      <c r="O553" s="147" t="s">
        <v>98</v>
      </c>
      <c r="P553" s="147">
        <v>1000</v>
      </c>
      <c r="Q553" s="150">
        <f t="shared" si="68"/>
        <v>0</v>
      </c>
      <c r="R553" s="151"/>
      <c r="S553" s="152">
        <v>1299</v>
      </c>
      <c r="T553" s="158">
        <v>1299</v>
      </c>
      <c r="U553" s="153"/>
      <c r="V553" s="154"/>
      <c r="W553" s="154"/>
      <c r="X553" s="155"/>
      <c r="Y553" s="155" t="s">
        <v>1394</v>
      </c>
      <c r="Z553" s="155" t="s">
        <v>1442</v>
      </c>
      <c r="AA553" s="273">
        <f t="shared" si="69"/>
        <v>1.2989999999999999</v>
      </c>
      <c r="AB553" s="273">
        <f t="shared" si="70"/>
        <v>1.2989999999999999</v>
      </c>
      <c r="AC553" s="156">
        <f t="shared" si="71"/>
        <v>1000</v>
      </c>
      <c r="AD553" s="274">
        <f t="shared" si="72"/>
        <v>1299</v>
      </c>
      <c r="AE553" s="274">
        <f t="shared" si="66"/>
        <v>1299</v>
      </c>
      <c r="AF553" s="337"/>
    </row>
    <row r="554" spans="1:32">
      <c r="A554" s="337" t="s">
        <v>1523</v>
      </c>
      <c r="B554" s="146" t="s">
        <v>1</v>
      </c>
      <c r="C554" s="155" t="s">
        <v>1512</v>
      </c>
      <c r="D554" s="147"/>
      <c r="E554" s="148" t="s">
        <v>1494</v>
      </c>
      <c r="F554" s="147" t="s">
        <v>106</v>
      </c>
      <c r="G554" s="147" t="s">
        <v>1429</v>
      </c>
      <c r="H554" s="147">
        <v>17</v>
      </c>
      <c r="I554" s="149">
        <f t="shared" si="67"/>
        <v>17</v>
      </c>
      <c r="J554" s="147"/>
      <c r="K554" s="336" t="s">
        <v>53</v>
      </c>
      <c r="L554" s="147">
        <v>100</v>
      </c>
      <c r="M554" s="147" t="s">
        <v>9</v>
      </c>
      <c r="N554" s="147"/>
      <c r="O554" s="147" t="s">
        <v>98</v>
      </c>
      <c r="P554" s="147">
        <v>1000</v>
      </c>
      <c r="Q554" s="150">
        <f t="shared" si="68"/>
        <v>0</v>
      </c>
      <c r="R554" s="151"/>
      <c r="S554" s="152">
        <v>1670</v>
      </c>
      <c r="T554" s="158">
        <v>1670</v>
      </c>
      <c r="U554" s="153"/>
      <c r="V554" s="154"/>
      <c r="W554" s="154"/>
      <c r="X554" s="155"/>
      <c r="Y554" s="155" t="s">
        <v>1394</v>
      </c>
      <c r="Z554" s="155" t="s">
        <v>1442</v>
      </c>
      <c r="AA554" s="273">
        <f t="shared" si="69"/>
        <v>1.67</v>
      </c>
      <c r="AB554" s="273">
        <f t="shared" si="70"/>
        <v>1.67</v>
      </c>
      <c r="AC554" s="156">
        <f t="shared" si="71"/>
        <v>1000</v>
      </c>
      <c r="AD554" s="274">
        <f t="shared" si="72"/>
        <v>1670</v>
      </c>
      <c r="AE554" s="274">
        <f t="shared" si="66"/>
        <v>1670</v>
      </c>
      <c r="AF554" s="337"/>
    </row>
    <row r="555" spans="1:32">
      <c r="A555" s="337" t="s">
        <v>1523</v>
      </c>
      <c r="B555" s="146" t="s">
        <v>1</v>
      </c>
      <c r="C555" s="155" t="s">
        <v>1512</v>
      </c>
      <c r="D555" s="147"/>
      <c r="E555" s="148" t="s">
        <v>1494</v>
      </c>
      <c r="F555" s="147" t="s">
        <v>106</v>
      </c>
      <c r="G555" s="147" t="s">
        <v>1429</v>
      </c>
      <c r="H555" s="147">
        <v>22</v>
      </c>
      <c r="I555" s="149">
        <f t="shared" si="67"/>
        <v>22</v>
      </c>
      <c r="J555" s="147"/>
      <c r="K555" s="336" t="s">
        <v>51</v>
      </c>
      <c r="L555" s="147">
        <v>100</v>
      </c>
      <c r="M555" s="147" t="s">
        <v>9</v>
      </c>
      <c r="N555" s="147"/>
      <c r="O555" s="147" t="s">
        <v>98</v>
      </c>
      <c r="P555" s="147">
        <v>1000</v>
      </c>
      <c r="Q555" s="150">
        <f t="shared" si="68"/>
        <v>0</v>
      </c>
      <c r="R555" s="151"/>
      <c r="S555" s="152">
        <v>5000</v>
      </c>
      <c r="T555" s="158">
        <v>5000</v>
      </c>
      <c r="U555" s="153"/>
      <c r="V555" s="154"/>
      <c r="W555" s="154"/>
      <c r="X555" s="155"/>
      <c r="Y555" s="155" t="s">
        <v>1394</v>
      </c>
      <c r="Z555" s="155" t="s">
        <v>1442</v>
      </c>
      <c r="AA555" s="273">
        <f t="shared" si="69"/>
        <v>5</v>
      </c>
      <c r="AB555" s="273">
        <f t="shared" si="70"/>
        <v>5</v>
      </c>
      <c r="AC555" s="156">
        <f t="shared" si="71"/>
        <v>1000</v>
      </c>
      <c r="AD555" s="274">
        <f t="shared" si="72"/>
        <v>5000</v>
      </c>
      <c r="AE555" s="274">
        <f t="shared" si="66"/>
        <v>5000</v>
      </c>
      <c r="AF555" s="337"/>
    </row>
    <row r="556" spans="1:32">
      <c r="A556" s="337" t="s">
        <v>1523</v>
      </c>
      <c r="B556" s="146" t="s">
        <v>1</v>
      </c>
      <c r="C556" s="155" t="s">
        <v>1512</v>
      </c>
      <c r="D556" s="147"/>
      <c r="E556" s="148" t="s">
        <v>1494</v>
      </c>
      <c r="F556" s="147" t="s">
        <v>106</v>
      </c>
      <c r="G556" s="147" t="s">
        <v>1429</v>
      </c>
      <c r="H556" s="147">
        <v>33</v>
      </c>
      <c r="I556" s="149">
        <f t="shared" si="67"/>
        <v>33</v>
      </c>
      <c r="J556" s="147"/>
      <c r="K556" s="336" t="s">
        <v>59</v>
      </c>
      <c r="L556" s="147">
        <v>100</v>
      </c>
      <c r="M556" s="147" t="s">
        <v>9</v>
      </c>
      <c r="N556" s="147"/>
      <c r="O556" s="147" t="s">
        <v>98</v>
      </c>
      <c r="P556" s="147">
        <v>1000</v>
      </c>
      <c r="Q556" s="150">
        <f t="shared" si="68"/>
        <v>0</v>
      </c>
      <c r="R556" s="151"/>
      <c r="S556" s="152">
        <v>2543</v>
      </c>
      <c r="T556" s="158">
        <v>2543</v>
      </c>
      <c r="U556" s="153"/>
      <c r="V556" s="154"/>
      <c r="W556" s="154"/>
      <c r="X556" s="155"/>
      <c r="Y556" s="155" t="s">
        <v>1394</v>
      </c>
      <c r="Z556" s="155" t="s">
        <v>1442</v>
      </c>
      <c r="AA556" s="273">
        <f t="shared" si="69"/>
        <v>2.5430000000000001</v>
      </c>
      <c r="AB556" s="273">
        <f t="shared" si="70"/>
        <v>2.5430000000000001</v>
      </c>
      <c r="AC556" s="156">
        <f t="shared" si="71"/>
        <v>1000</v>
      </c>
      <c r="AD556" s="274">
        <f t="shared" si="72"/>
        <v>2543</v>
      </c>
      <c r="AE556" s="274">
        <f t="shared" si="66"/>
        <v>2543</v>
      </c>
      <c r="AF556" s="337"/>
    </row>
    <row r="557" spans="1:32">
      <c r="A557" s="337" t="s">
        <v>1523</v>
      </c>
      <c r="B557" s="146" t="s">
        <v>1</v>
      </c>
      <c r="C557" s="155" t="s">
        <v>1512</v>
      </c>
      <c r="D557" s="147"/>
      <c r="E557" s="148" t="s">
        <v>1494</v>
      </c>
      <c r="F557" s="147" t="s">
        <v>106</v>
      </c>
      <c r="G557" s="147" t="s">
        <v>1429</v>
      </c>
      <c r="H557" s="147">
        <v>42</v>
      </c>
      <c r="I557" s="149">
        <f t="shared" si="67"/>
        <v>42</v>
      </c>
      <c r="J557" s="147"/>
      <c r="K557" s="336" t="s">
        <v>61</v>
      </c>
      <c r="L557" s="147">
        <v>100</v>
      </c>
      <c r="M557" s="147" t="s">
        <v>9</v>
      </c>
      <c r="N557" s="147"/>
      <c r="O557" s="147" t="s">
        <v>98</v>
      </c>
      <c r="P557" s="147">
        <v>1000</v>
      </c>
      <c r="Q557" s="150">
        <f t="shared" si="68"/>
        <v>0</v>
      </c>
      <c r="R557" s="151"/>
      <c r="S557" s="152">
        <v>1547</v>
      </c>
      <c r="T557" s="158">
        <v>1547</v>
      </c>
      <c r="U557" s="153"/>
      <c r="V557" s="154"/>
      <c r="W557" s="154"/>
      <c r="X557" s="155"/>
      <c r="Y557" s="155" t="s">
        <v>1394</v>
      </c>
      <c r="Z557" s="155" t="s">
        <v>1442</v>
      </c>
      <c r="AA557" s="273">
        <f t="shared" si="69"/>
        <v>1.5469999999999999</v>
      </c>
      <c r="AB557" s="273">
        <f t="shared" si="70"/>
        <v>1.5469999999999999</v>
      </c>
      <c r="AC557" s="156">
        <f t="shared" si="71"/>
        <v>1000</v>
      </c>
      <c r="AD557" s="274">
        <f t="shared" si="72"/>
        <v>1547</v>
      </c>
      <c r="AE557" s="274">
        <f t="shared" si="66"/>
        <v>1547</v>
      </c>
      <c r="AF557" s="337"/>
    </row>
    <row r="558" spans="1:32">
      <c r="A558" s="337" t="s">
        <v>1523</v>
      </c>
      <c r="B558" s="146" t="s">
        <v>1</v>
      </c>
      <c r="C558" s="155" t="s">
        <v>1512</v>
      </c>
      <c r="D558" s="147"/>
      <c r="E558" s="148" t="s">
        <v>1494</v>
      </c>
      <c r="F558" s="147" t="s">
        <v>106</v>
      </c>
      <c r="G558" s="147" t="s">
        <v>1429</v>
      </c>
      <c r="H558" s="147">
        <v>43</v>
      </c>
      <c r="I558" s="149">
        <f t="shared" si="67"/>
        <v>43</v>
      </c>
      <c r="J558" s="147"/>
      <c r="K558" s="336" t="s">
        <v>1505</v>
      </c>
      <c r="L558" s="147">
        <v>100</v>
      </c>
      <c r="M558" s="147" t="s">
        <v>9</v>
      </c>
      <c r="N558" s="147"/>
      <c r="O558" s="147" t="s">
        <v>98</v>
      </c>
      <c r="P558" s="147">
        <v>1000</v>
      </c>
      <c r="Q558" s="150">
        <f t="shared" si="68"/>
        <v>0</v>
      </c>
      <c r="R558" s="151"/>
      <c r="S558" s="152">
        <v>2850</v>
      </c>
      <c r="T558" s="158">
        <v>2850</v>
      </c>
      <c r="U558" s="153"/>
      <c r="V558" s="154"/>
      <c r="W558" s="154"/>
      <c r="X558" s="155"/>
      <c r="Y558" s="155" t="s">
        <v>1394</v>
      </c>
      <c r="Z558" s="155" t="s">
        <v>1442</v>
      </c>
      <c r="AA558" s="273">
        <f t="shared" si="69"/>
        <v>2.85</v>
      </c>
      <c r="AB558" s="273">
        <f t="shared" si="70"/>
        <v>2.85</v>
      </c>
      <c r="AC558" s="156">
        <f t="shared" si="71"/>
        <v>1000</v>
      </c>
      <c r="AD558" s="274">
        <f t="shared" si="72"/>
        <v>2850</v>
      </c>
      <c r="AE558" s="274">
        <f t="shared" si="66"/>
        <v>2850</v>
      </c>
      <c r="AF558" s="337"/>
    </row>
    <row r="559" spans="1:32">
      <c r="A559" s="337" t="s">
        <v>1523</v>
      </c>
      <c r="B559" s="146" t="s">
        <v>1</v>
      </c>
      <c r="C559" s="155" t="s">
        <v>1512</v>
      </c>
      <c r="D559" s="147"/>
      <c r="E559" s="148" t="s">
        <v>1494</v>
      </c>
      <c r="F559" s="147" t="s">
        <v>106</v>
      </c>
      <c r="G559" s="147" t="s">
        <v>1429</v>
      </c>
      <c r="H559" s="147">
        <v>46</v>
      </c>
      <c r="I559" s="149">
        <f t="shared" si="67"/>
        <v>46</v>
      </c>
      <c r="J559" s="147"/>
      <c r="K559" s="336" t="s">
        <v>1506</v>
      </c>
      <c r="L559" s="147">
        <v>100</v>
      </c>
      <c r="M559" s="147" t="s">
        <v>9</v>
      </c>
      <c r="N559" s="147"/>
      <c r="O559" s="147" t="s">
        <v>98</v>
      </c>
      <c r="P559" s="147">
        <v>1000</v>
      </c>
      <c r="Q559" s="150">
        <f t="shared" si="68"/>
        <v>0</v>
      </c>
      <c r="R559" s="151"/>
      <c r="S559" s="152">
        <v>4757</v>
      </c>
      <c r="T559" s="158">
        <v>4757</v>
      </c>
      <c r="U559" s="153"/>
      <c r="V559" s="154"/>
      <c r="W559" s="154"/>
      <c r="X559" s="155"/>
      <c r="Y559" s="155" t="s">
        <v>1394</v>
      </c>
      <c r="Z559" s="155" t="s">
        <v>1442</v>
      </c>
      <c r="AA559" s="273">
        <f t="shared" si="69"/>
        <v>4.7569999999999997</v>
      </c>
      <c r="AB559" s="273">
        <f t="shared" si="70"/>
        <v>4.7569999999999997</v>
      </c>
      <c r="AC559" s="156">
        <f t="shared" si="71"/>
        <v>1000</v>
      </c>
      <c r="AD559" s="274">
        <f t="shared" si="72"/>
        <v>4757</v>
      </c>
      <c r="AE559" s="274">
        <f t="shared" si="66"/>
        <v>4757</v>
      </c>
      <c r="AF559" s="337"/>
    </row>
    <row r="560" spans="1:32">
      <c r="A560" s="337" t="s">
        <v>1523</v>
      </c>
      <c r="B560" s="146" t="s">
        <v>1</v>
      </c>
      <c r="C560" s="155" t="s">
        <v>1512</v>
      </c>
      <c r="D560" s="147"/>
      <c r="E560" s="148" t="s">
        <v>1494</v>
      </c>
      <c r="F560" s="147" t="s">
        <v>106</v>
      </c>
      <c r="G560" s="147" t="s">
        <v>1429</v>
      </c>
      <c r="H560" s="147">
        <v>46</v>
      </c>
      <c r="I560" s="149">
        <f t="shared" si="67"/>
        <v>46</v>
      </c>
      <c r="J560" s="147"/>
      <c r="K560" s="336" t="s">
        <v>1507</v>
      </c>
      <c r="L560" s="147">
        <v>100</v>
      </c>
      <c r="M560" s="147" t="s">
        <v>9</v>
      </c>
      <c r="N560" s="147"/>
      <c r="O560" s="147" t="s">
        <v>98</v>
      </c>
      <c r="P560" s="147">
        <v>1000</v>
      </c>
      <c r="Q560" s="150">
        <f t="shared" si="68"/>
        <v>0</v>
      </c>
      <c r="R560" s="151"/>
      <c r="S560" s="152">
        <v>4439</v>
      </c>
      <c r="T560" s="158">
        <v>4439</v>
      </c>
      <c r="U560" s="153"/>
      <c r="V560" s="154"/>
      <c r="W560" s="154"/>
      <c r="X560" s="155"/>
      <c r="Y560" s="155" t="s">
        <v>1394</v>
      </c>
      <c r="Z560" s="155" t="s">
        <v>1442</v>
      </c>
      <c r="AA560" s="273">
        <f t="shared" si="69"/>
        <v>4.4390000000000001</v>
      </c>
      <c r="AB560" s="273">
        <f t="shared" si="70"/>
        <v>4.4390000000000001</v>
      </c>
      <c r="AC560" s="156">
        <f t="shared" si="71"/>
        <v>1000</v>
      </c>
      <c r="AD560" s="274">
        <f t="shared" si="72"/>
        <v>4439</v>
      </c>
      <c r="AE560" s="274">
        <f t="shared" si="66"/>
        <v>4439</v>
      </c>
      <c r="AF560" s="337"/>
    </row>
    <row r="561" spans="1:32">
      <c r="A561" s="337" t="s">
        <v>1523</v>
      </c>
      <c r="B561" s="146" t="s">
        <v>1</v>
      </c>
      <c r="C561" s="155" t="s">
        <v>1512</v>
      </c>
      <c r="D561" s="147"/>
      <c r="E561" s="148" t="s">
        <v>1494</v>
      </c>
      <c r="F561" s="147" t="s">
        <v>106</v>
      </c>
      <c r="G561" s="147" t="s">
        <v>1429</v>
      </c>
      <c r="H561" s="147">
        <v>46</v>
      </c>
      <c r="I561" s="149">
        <f t="shared" si="67"/>
        <v>46</v>
      </c>
      <c r="J561" s="147"/>
      <c r="K561" s="336" t="s">
        <v>1508</v>
      </c>
      <c r="L561" s="147">
        <v>100</v>
      </c>
      <c r="M561" s="147" t="s">
        <v>9</v>
      </c>
      <c r="N561" s="147"/>
      <c r="O561" s="147" t="s">
        <v>98</v>
      </c>
      <c r="P561" s="147">
        <v>1000</v>
      </c>
      <c r="Q561" s="150">
        <f t="shared" si="68"/>
        <v>0</v>
      </c>
      <c r="R561" s="151"/>
      <c r="S561" s="152">
        <v>4912</v>
      </c>
      <c r="T561" s="158">
        <v>4912</v>
      </c>
      <c r="U561" s="153"/>
      <c r="V561" s="154"/>
      <c r="W561" s="154"/>
      <c r="X561" s="155"/>
      <c r="Y561" s="155" t="s">
        <v>1394</v>
      </c>
      <c r="Z561" s="155" t="s">
        <v>1442</v>
      </c>
      <c r="AA561" s="273">
        <f t="shared" si="69"/>
        <v>4.9119999999999999</v>
      </c>
      <c r="AB561" s="273">
        <f t="shared" si="70"/>
        <v>4.9119999999999999</v>
      </c>
      <c r="AC561" s="156">
        <f t="shared" si="71"/>
        <v>1000</v>
      </c>
      <c r="AD561" s="274">
        <f t="shared" si="72"/>
        <v>4912</v>
      </c>
      <c r="AE561" s="274">
        <f t="shared" si="66"/>
        <v>4912</v>
      </c>
      <c r="AF561" s="337"/>
    </row>
    <row r="562" spans="1:32">
      <c r="A562" s="337" t="s">
        <v>1523</v>
      </c>
      <c r="B562" s="146" t="s">
        <v>1</v>
      </c>
      <c r="C562" s="155" t="s">
        <v>1512</v>
      </c>
      <c r="D562" s="147"/>
      <c r="E562" s="148" t="s">
        <v>1494</v>
      </c>
      <c r="F562" s="147" t="s">
        <v>106</v>
      </c>
      <c r="G562" s="147" t="s">
        <v>1429</v>
      </c>
      <c r="H562" s="147">
        <v>58</v>
      </c>
      <c r="I562" s="149">
        <f t="shared" si="67"/>
        <v>58</v>
      </c>
      <c r="J562" s="147"/>
      <c r="K562" s="336" t="s">
        <v>67</v>
      </c>
      <c r="L562" s="147">
        <v>100</v>
      </c>
      <c r="M562" s="147" t="s">
        <v>9</v>
      </c>
      <c r="N562" s="147"/>
      <c r="O562" s="147" t="s">
        <v>98</v>
      </c>
      <c r="P562" s="147">
        <v>1000</v>
      </c>
      <c r="Q562" s="150">
        <f t="shared" si="68"/>
        <v>0</v>
      </c>
      <c r="R562" s="151"/>
      <c r="S562" s="152">
        <v>2571</v>
      </c>
      <c r="T562" s="158">
        <v>2571</v>
      </c>
      <c r="U562" s="153"/>
      <c r="V562" s="154"/>
      <c r="W562" s="154"/>
      <c r="X562" s="155"/>
      <c r="Y562" s="155" t="s">
        <v>1394</v>
      </c>
      <c r="Z562" s="155" t="s">
        <v>1442</v>
      </c>
      <c r="AA562" s="273">
        <f t="shared" si="69"/>
        <v>2.5710000000000002</v>
      </c>
      <c r="AB562" s="273">
        <f t="shared" si="70"/>
        <v>2.5710000000000002</v>
      </c>
      <c r="AC562" s="156">
        <f t="shared" si="71"/>
        <v>1000</v>
      </c>
      <c r="AD562" s="274">
        <f t="shared" si="72"/>
        <v>2571</v>
      </c>
      <c r="AE562" s="274">
        <f t="shared" si="66"/>
        <v>2571</v>
      </c>
      <c r="AF562" s="337"/>
    </row>
    <row r="563" spans="1:32">
      <c r="A563" s="337" t="s">
        <v>1523</v>
      </c>
      <c r="B563" s="146" t="s">
        <v>1</v>
      </c>
      <c r="C563" s="155" t="s">
        <v>1512</v>
      </c>
      <c r="D563" s="147"/>
      <c r="E563" s="148" t="s">
        <v>1494</v>
      </c>
      <c r="F563" s="147" t="s">
        <v>106</v>
      </c>
      <c r="G563" s="147" t="s">
        <v>1429</v>
      </c>
      <c r="H563" s="147">
        <v>59</v>
      </c>
      <c r="I563" s="149">
        <f t="shared" si="67"/>
        <v>59</v>
      </c>
      <c r="J563" s="147"/>
      <c r="K563" s="336" t="s">
        <v>99</v>
      </c>
      <c r="L563" s="147">
        <v>100</v>
      </c>
      <c r="M563" s="147" t="s">
        <v>9</v>
      </c>
      <c r="N563" s="147"/>
      <c r="O563" s="147" t="s">
        <v>98</v>
      </c>
      <c r="P563" s="147">
        <v>1000</v>
      </c>
      <c r="Q563" s="150">
        <f t="shared" si="68"/>
        <v>0</v>
      </c>
      <c r="R563" s="151"/>
      <c r="S563" s="152">
        <v>3002</v>
      </c>
      <c r="T563" s="158">
        <v>3002</v>
      </c>
      <c r="U563" s="153"/>
      <c r="V563" s="154"/>
      <c r="W563" s="154"/>
      <c r="X563" s="155"/>
      <c r="Y563" s="155" t="s">
        <v>1394</v>
      </c>
      <c r="Z563" s="155" t="s">
        <v>1442</v>
      </c>
      <c r="AA563" s="273">
        <f t="shared" si="69"/>
        <v>3.0019999999999998</v>
      </c>
      <c r="AB563" s="273">
        <f t="shared" si="70"/>
        <v>3.0019999999999998</v>
      </c>
      <c r="AC563" s="156">
        <f t="shared" si="71"/>
        <v>1000</v>
      </c>
      <c r="AD563" s="274">
        <f t="shared" si="72"/>
        <v>3002</v>
      </c>
      <c r="AE563" s="274">
        <f t="shared" si="66"/>
        <v>3002</v>
      </c>
      <c r="AF563" s="337"/>
    </row>
    <row r="564" spans="1:32">
      <c r="A564" s="337" t="s">
        <v>1523</v>
      </c>
      <c r="B564" s="146" t="s">
        <v>1</v>
      </c>
      <c r="C564" s="155" t="s">
        <v>1512</v>
      </c>
      <c r="D564" s="147"/>
      <c r="E564" s="148" t="s">
        <v>1494</v>
      </c>
      <c r="F564" s="147" t="s">
        <v>106</v>
      </c>
      <c r="G564" s="147" t="s">
        <v>1429</v>
      </c>
      <c r="H564" s="147">
        <v>69</v>
      </c>
      <c r="I564" s="149">
        <f t="shared" si="67"/>
        <v>69</v>
      </c>
      <c r="J564" s="147"/>
      <c r="K564" s="336" t="s">
        <v>1509</v>
      </c>
      <c r="L564" s="147">
        <v>100</v>
      </c>
      <c r="M564" s="147" t="s">
        <v>9</v>
      </c>
      <c r="N564" s="147"/>
      <c r="O564" s="147" t="s">
        <v>98</v>
      </c>
      <c r="P564" s="147">
        <v>1000</v>
      </c>
      <c r="Q564" s="150">
        <f t="shared" si="68"/>
        <v>0</v>
      </c>
      <c r="R564" s="151"/>
      <c r="S564" s="152">
        <v>3009</v>
      </c>
      <c r="T564" s="158">
        <v>3009</v>
      </c>
      <c r="U564" s="153"/>
      <c r="V564" s="154"/>
      <c r="W564" s="154"/>
      <c r="X564" s="155"/>
      <c r="Y564" s="155" t="s">
        <v>1394</v>
      </c>
      <c r="Z564" s="155" t="s">
        <v>1442</v>
      </c>
      <c r="AA564" s="273">
        <f t="shared" si="69"/>
        <v>3.0089999999999999</v>
      </c>
      <c r="AB564" s="273">
        <f t="shared" si="70"/>
        <v>3.0089999999999999</v>
      </c>
      <c r="AC564" s="156">
        <f t="shared" si="71"/>
        <v>1000</v>
      </c>
      <c r="AD564" s="274">
        <f t="shared" si="72"/>
        <v>3009</v>
      </c>
      <c r="AE564" s="274">
        <f t="shared" si="66"/>
        <v>3009</v>
      </c>
      <c r="AF564" s="337"/>
    </row>
    <row r="565" spans="1:32">
      <c r="A565" s="337" t="s">
        <v>1523</v>
      </c>
      <c r="B565" s="146" t="s">
        <v>1</v>
      </c>
      <c r="C565" s="155" t="s">
        <v>1512</v>
      </c>
      <c r="D565" s="147"/>
      <c r="E565" s="148" t="s">
        <v>1494</v>
      </c>
      <c r="F565" s="147" t="s">
        <v>106</v>
      </c>
      <c r="G565" s="147" t="s">
        <v>1429</v>
      </c>
      <c r="H565" s="147">
        <v>70</v>
      </c>
      <c r="I565" s="149">
        <f t="shared" si="67"/>
        <v>70</v>
      </c>
      <c r="J565" s="147"/>
      <c r="K565" s="336" t="s">
        <v>1510</v>
      </c>
      <c r="L565" s="147">
        <v>100</v>
      </c>
      <c r="M565" s="147" t="s">
        <v>9</v>
      </c>
      <c r="N565" s="147"/>
      <c r="O565" s="147" t="s">
        <v>98</v>
      </c>
      <c r="P565" s="147">
        <v>1000</v>
      </c>
      <c r="Q565" s="150">
        <f t="shared" si="68"/>
        <v>0</v>
      </c>
      <c r="R565" s="151"/>
      <c r="S565" s="152">
        <v>5070</v>
      </c>
      <c r="T565" s="158">
        <v>5070</v>
      </c>
      <c r="U565" s="153"/>
      <c r="V565" s="154"/>
      <c r="W565" s="154"/>
      <c r="X565" s="155"/>
      <c r="Y565" s="155" t="s">
        <v>1394</v>
      </c>
      <c r="Z565" s="155" t="s">
        <v>1442</v>
      </c>
      <c r="AA565" s="273">
        <f t="shared" si="69"/>
        <v>5.07</v>
      </c>
      <c r="AB565" s="273">
        <f t="shared" si="70"/>
        <v>5.07</v>
      </c>
      <c r="AC565" s="156">
        <f t="shared" si="71"/>
        <v>1000</v>
      </c>
      <c r="AD565" s="274">
        <f t="shared" si="72"/>
        <v>5070</v>
      </c>
      <c r="AE565" s="274">
        <f t="shared" si="66"/>
        <v>5070</v>
      </c>
      <c r="AF565" s="337"/>
    </row>
    <row r="566" spans="1:32">
      <c r="A566" s="337" t="s">
        <v>1523</v>
      </c>
      <c r="B566" s="146" t="s">
        <v>1</v>
      </c>
      <c r="C566" s="155" t="s">
        <v>1512</v>
      </c>
      <c r="D566" s="147"/>
      <c r="E566" s="148" t="s">
        <v>1494</v>
      </c>
      <c r="F566" s="147" t="s">
        <v>106</v>
      </c>
      <c r="G566" s="147" t="s">
        <v>1429</v>
      </c>
      <c r="H566" s="147">
        <v>70</v>
      </c>
      <c r="I566" s="149">
        <f t="shared" si="67"/>
        <v>70</v>
      </c>
      <c r="J566" s="147"/>
      <c r="K566" s="336" t="s">
        <v>1511</v>
      </c>
      <c r="L566" s="147">
        <v>100</v>
      </c>
      <c r="M566" s="147" t="s">
        <v>9</v>
      </c>
      <c r="N566" s="147"/>
      <c r="O566" s="147" t="s">
        <v>98</v>
      </c>
      <c r="P566" s="147">
        <v>1000</v>
      </c>
      <c r="Q566" s="150">
        <f t="shared" si="68"/>
        <v>0</v>
      </c>
      <c r="R566" s="151"/>
      <c r="S566" s="152">
        <v>4929</v>
      </c>
      <c r="T566" s="158">
        <v>4929</v>
      </c>
      <c r="U566" s="153"/>
      <c r="V566" s="154"/>
      <c r="W566" s="154"/>
      <c r="X566" s="155"/>
      <c r="Y566" s="155" t="s">
        <v>1394</v>
      </c>
      <c r="Z566" s="155" t="s">
        <v>1442</v>
      </c>
      <c r="AA566" s="273">
        <f t="shared" si="69"/>
        <v>4.9290000000000003</v>
      </c>
      <c r="AB566" s="273">
        <f t="shared" si="70"/>
        <v>4.9290000000000003</v>
      </c>
      <c r="AC566" s="156">
        <f t="shared" si="71"/>
        <v>1000</v>
      </c>
      <c r="AD566" s="274">
        <f t="shared" si="72"/>
        <v>4929</v>
      </c>
      <c r="AE566" s="274">
        <f t="shared" si="66"/>
        <v>4929</v>
      </c>
      <c r="AF566" s="337"/>
    </row>
    <row r="567" spans="1:32">
      <c r="A567" s="337" t="s">
        <v>1523</v>
      </c>
      <c r="B567" s="146" t="s">
        <v>1</v>
      </c>
      <c r="C567" s="155" t="s">
        <v>1512</v>
      </c>
      <c r="D567" s="147"/>
      <c r="E567" s="148" t="s">
        <v>1495</v>
      </c>
      <c r="F567" s="147" t="s">
        <v>106</v>
      </c>
      <c r="G567" s="147" t="s">
        <v>1429</v>
      </c>
      <c r="H567" s="147">
        <v>7</v>
      </c>
      <c r="I567" s="149">
        <f t="shared" si="67"/>
        <v>7</v>
      </c>
      <c r="J567" s="147"/>
      <c r="K567" s="336" t="s">
        <v>57</v>
      </c>
      <c r="L567" s="147">
        <v>100</v>
      </c>
      <c r="M567" s="147" t="s">
        <v>9</v>
      </c>
      <c r="N567" s="147"/>
      <c r="O567" s="147" t="s">
        <v>98</v>
      </c>
      <c r="P567" s="147">
        <v>1000</v>
      </c>
      <c r="Q567" s="150">
        <f t="shared" si="68"/>
        <v>0</v>
      </c>
      <c r="R567" s="151"/>
      <c r="S567" s="152">
        <v>1422</v>
      </c>
      <c r="T567" s="158">
        <v>1422</v>
      </c>
      <c r="U567" s="153"/>
      <c r="V567" s="154"/>
      <c r="W567" s="154"/>
      <c r="X567" s="155"/>
      <c r="Y567" s="155" t="s">
        <v>1394</v>
      </c>
      <c r="Z567" s="155" t="s">
        <v>1442</v>
      </c>
      <c r="AA567" s="273">
        <f t="shared" si="69"/>
        <v>1.4219999999999999</v>
      </c>
      <c r="AB567" s="273">
        <f t="shared" si="70"/>
        <v>1.4219999999999999</v>
      </c>
      <c r="AC567" s="156">
        <f t="shared" si="71"/>
        <v>1000</v>
      </c>
      <c r="AD567" s="274">
        <f t="shared" si="72"/>
        <v>1422</v>
      </c>
      <c r="AE567" s="274">
        <f t="shared" si="66"/>
        <v>1422</v>
      </c>
      <c r="AF567" s="337"/>
    </row>
    <row r="568" spans="1:32">
      <c r="A568" s="337" t="s">
        <v>1523</v>
      </c>
      <c r="B568" s="146" t="s">
        <v>1</v>
      </c>
      <c r="C568" s="155" t="s">
        <v>1512</v>
      </c>
      <c r="D568" s="147"/>
      <c r="E568" s="148" t="s">
        <v>1495</v>
      </c>
      <c r="F568" s="147" t="s">
        <v>106</v>
      </c>
      <c r="G568" s="147" t="s">
        <v>1429</v>
      </c>
      <c r="H568" s="147">
        <v>8</v>
      </c>
      <c r="I568" s="149">
        <f t="shared" si="67"/>
        <v>8</v>
      </c>
      <c r="J568" s="147"/>
      <c r="K568" s="336" t="s">
        <v>55</v>
      </c>
      <c r="L568" s="147">
        <v>100</v>
      </c>
      <c r="M568" s="147" t="s">
        <v>9</v>
      </c>
      <c r="N568" s="147"/>
      <c r="O568" s="147" t="s">
        <v>98</v>
      </c>
      <c r="P568" s="147">
        <v>1000</v>
      </c>
      <c r="Q568" s="150">
        <f t="shared" si="68"/>
        <v>0</v>
      </c>
      <c r="R568" s="151"/>
      <c r="S568" s="152">
        <v>1313</v>
      </c>
      <c r="T568" s="158">
        <v>1313</v>
      </c>
      <c r="U568" s="153"/>
      <c r="V568" s="154"/>
      <c r="W568" s="154"/>
      <c r="X568" s="155"/>
      <c r="Y568" s="155" t="s">
        <v>1394</v>
      </c>
      <c r="Z568" s="155" t="s">
        <v>1442</v>
      </c>
      <c r="AA568" s="273">
        <f t="shared" si="69"/>
        <v>1.3129999999999999</v>
      </c>
      <c r="AB568" s="273">
        <f t="shared" si="70"/>
        <v>1.3129999999999999</v>
      </c>
      <c r="AC568" s="156">
        <f t="shared" si="71"/>
        <v>1000</v>
      </c>
      <c r="AD568" s="274">
        <f t="shared" si="72"/>
        <v>1313</v>
      </c>
      <c r="AE568" s="274">
        <f t="shared" si="66"/>
        <v>1313</v>
      </c>
      <c r="AF568" s="337"/>
    </row>
    <row r="569" spans="1:32">
      <c r="A569" s="337" t="s">
        <v>1523</v>
      </c>
      <c r="B569" s="146" t="s">
        <v>1</v>
      </c>
      <c r="C569" s="155" t="s">
        <v>1512</v>
      </c>
      <c r="D569" s="147"/>
      <c r="E569" s="148" t="s">
        <v>1495</v>
      </c>
      <c r="F569" s="147" t="s">
        <v>106</v>
      </c>
      <c r="G569" s="147" t="s">
        <v>1429</v>
      </c>
      <c r="H569" s="147">
        <v>17</v>
      </c>
      <c r="I569" s="149">
        <f t="shared" si="67"/>
        <v>17</v>
      </c>
      <c r="J569" s="147"/>
      <c r="K569" s="336" t="s">
        <v>53</v>
      </c>
      <c r="L569" s="147">
        <v>100</v>
      </c>
      <c r="M569" s="147" t="s">
        <v>9</v>
      </c>
      <c r="N569" s="147"/>
      <c r="O569" s="147" t="s">
        <v>98</v>
      </c>
      <c r="P569" s="147">
        <v>1000</v>
      </c>
      <c r="Q569" s="150">
        <f t="shared" si="68"/>
        <v>0</v>
      </c>
      <c r="R569" s="151"/>
      <c r="S569" s="152">
        <v>1081</v>
      </c>
      <c r="T569" s="158">
        <v>1081</v>
      </c>
      <c r="U569" s="153"/>
      <c r="V569" s="154"/>
      <c r="W569" s="154"/>
      <c r="X569" s="155"/>
      <c r="Y569" s="155" t="s">
        <v>1394</v>
      </c>
      <c r="Z569" s="155" t="s">
        <v>1442</v>
      </c>
      <c r="AA569" s="273">
        <f t="shared" si="69"/>
        <v>1.081</v>
      </c>
      <c r="AB569" s="273">
        <f t="shared" si="70"/>
        <v>1.081</v>
      </c>
      <c r="AC569" s="156">
        <f t="shared" si="71"/>
        <v>1000</v>
      </c>
      <c r="AD569" s="274">
        <f t="shared" si="72"/>
        <v>1081</v>
      </c>
      <c r="AE569" s="274">
        <f t="shared" si="66"/>
        <v>1081</v>
      </c>
      <c r="AF569" s="337"/>
    </row>
    <row r="570" spans="1:32">
      <c r="A570" s="337" t="s">
        <v>1523</v>
      </c>
      <c r="B570" s="146" t="s">
        <v>1</v>
      </c>
      <c r="C570" s="155" t="s">
        <v>1512</v>
      </c>
      <c r="D570" s="147"/>
      <c r="E570" s="148" t="s">
        <v>1495</v>
      </c>
      <c r="F570" s="147" t="s">
        <v>106</v>
      </c>
      <c r="G570" s="147" t="s">
        <v>1429</v>
      </c>
      <c r="H570" s="147">
        <v>22</v>
      </c>
      <c r="I570" s="149">
        <f t="shared" si="67"/>
        <v>22</v>
      </c>
      <c r="J570" s="147"/>
      <c r="K570" s="336" t="s">
        <v>51</v>
      </c>
      <c r="L570" s="147">
        <v>100</v>
      </c>
      <c r="M570" s="147" t="s">
        <v>9</v>
      </c>
      <c r="N570" s="147"/>
      <c r="O570" s="147" t="s">
        <v>98</v>
      </c>
      <c r="P570" s="147">
        <v>1000</v>
      </c>
      <c r="Q570" s="150">
        <f t="shared" si="68"/>
        <v>0</v>
      </c>
      <c r="R570" s="151"/>
      <c r="S570" s="152">
        <v>5000</v>
      </c>
      <c r="T570" s="158">
        <v>5000</v>
      </c>
      <c r="U570" s="153"/>
      <c r="V570" s="154"/>
      <c r="W570" s="154"/>
      <c r="X570" s="155"/>
      <c r="Y570" s="155" t="s">
        <v>1394</v>
      </c>
      <c r="Z570" s="155" t="s">
        <v>1442</v>
      </c>
      <c r="AA570" s="273">
        <f t="shared" si="69"/>
        <v>5</v>
      </c>
      <c r="AB570" s="273">
        <f t="shared" si="70"/>
        <v>5</v>
      </c>
      <c r="AC570" s="156">
        <f t="shared" si="71"/>
        <v>1000</v>
      </c>
      <c r="AD570" s="274">
        <f t="shared" si="72"/>
        <v>5000</v>
      </c>
      <c r="AE570" s="274">
        <f t="shared" si="66"/>
        <v>5000</v>
      </c>
      <c r="AF570" s="337"/>
    </row>
    <row r="571" spans="1:32">
      <c r="A571" s="337" t="s">
        <v>1523</v>
      </c>
      <c r="B571" s="146" t="s">
        <v>1</v>
      </c>
      <c r="C571" s="155" t="s">
        <v>1512</v>
      </c>
      <c r="D571" s="147"/>
      <c r="E571" s="148" t="s">
        <v>1495</v>
      </c>
      <c r="F571" s="147" t="s">
        <v>106</v>
      </c>
      <c r="G571" s="147" t="s">
        <v>1429</v>
      </c>
      <c r="H571" s="147">
        <v>33</v>
      </c>
      <c r="I571" s="149">
        <f t="shared" si="67"/>
        <v>33</v>
      </c>
      <c r="J571" s="147"/>
      <c r="K571" s="336" t="s">
        <v>59</v>
      </c>
      <c r="L571" s="147">
        <v>100</v>
      </c>
      <c r="M571" s="147" t="s">
        <v>9</v>
      </c>
      <c r="N571" s="147"/>
      <c r="O571" s="147" t="s">
        <v>98</v>
      </c>
      <c r="P571" s="147">
        <v>1000</v>
      </c>
      <c r="Q571" s="150">
        <f t="shared" si="68"/>
        <v>0</v>
      </c>
      <c r="R571" s="151"/>
      <c r="S571" s="152">
        <v>2802</v>
      </c>
      <c r="T571" s="158">
        <v>2802</v>
      </c>
      <c r="U571" s="153"/>
      <c r="V571" s="154"/>
      <c r="W571" s="154"/>
      <c r="X571" s="155"/>
      <c r="Y571" s="155" t="s">
        <v>1394</v>
      </c>
      <c r="Z571" s="155" t="s">
        <v>1442</v>
      </c>
      <c r="AA571" s="273">
        <f t="shared" si="69"/>
        <v>2.802</v>
      </c>
      <c r="AB571" s="273">
        <f t="shared" si="70"/>
        <v>2.802</v>
      </c>
      <c r="AC571" s="156">
        <f t="shared" si="71"/>
        <v>1000</v>
      </c>
      <c r="AD571" s="274">
        <f t="shared" si="72"/>
        <v>2802</v>
      </c>
      <c r="AE571" s="274">
        <f t="shared" si="66"/>
        <v>2802</v>
      </c>
      <c r="AF571" s="337"/>
    </row>
    <row r="572" spans="1:32">
      <c r="A572" s="337" t="s">
        <v>1523</v>
      </c>
      <c r="B572" s="146" t="s">
        <v>1</v>
      </c>
      <c r="C572" s="155" t="s">
        <v>1512</v>
      </c>
      <c r="D572" s="147"/>
      <c r="E572" s="148" t="s">
        <v>1495</v>
      </c>
      <c r="F572" s="147" t="s">
        <v>106</v>
      </c>
      <c r="G572" s="147" t="s">
        <v>1429</v>
      </c>
      <c r="H572" s="147">
        <v>42</v>
      </c>
      <c r="I572" s="149">
        <f t="shared" si="67"/>
        <v>42</v>
      </c>
      <c r="J572" s="147"/>
      <c r="K572" s="336" t="s">
        <v>61</v>
      </c>
      <c r="L572" s="147">
        <v>100</v>
      </c>
      <c r="M572" s="147" t="s">
        <v>9</v>
      </c>
      <c r="N572" s="147"/>
      <c r="O572" s="147" t="s">
        <v>98</v>
      </c>
      <c r="P572" s="147">
        <v>1000</v>
      </c>
      <c r="Q572" s="150">
        <f t="shared" si="68"/>
        <v>0</v>
      </c>
      <c r="R572" s="151"/>
      <c r="S572" s="152">
        <v>1885</v>
      </c>
      <c r="T572" s="158">
        <v>1885</v>
      </c>
      <c r="U572" s="153"/>
      <c r="V572" s="154"/>
      <c r="W572" s="154"/>
      <c r="X572" s="155"/>
      <c r="Y572" s="155" t="s">
        <v>1394</v>
      </c>
      <c r="Z572" s="155" t="s">
        <v>1442</v>
      </c>
      <c r="AA572" s="273">
        <f t="shared" si="69"/>
        <v>1.885</v>
      </c>
      <c r="AB572" s="273">
        <f t="shared" si="70"/>
        <v>1.885</v>
      </c>
      <c r="AC572" s="156">
        <f t="shared" si="71"/>
        <v>1000</v>
      </c>
      <c r="AD572" s="274">
        <f t="shared" si="72"/>
        <v>1885</v>
      </c>
      <c r="AE572" s="274">
        <f t="shared" si="66"/>
        <v>1885</v>
      </c>
      <c r="AF572" s="337"/>
    </row>
    <row r="573" spans="1:32">
      <c r="A573" s="337" t="s">
        <v>1523</v>
      </c>
      <c r="B573" s="146" t="s">
        <v>1</v>
      </c>
      <c r="C573" s="155" t="s">
        <v>1512</v>
      </c>
      <c r="D573" s="147"/>
      <c r="E573" s="148" t="s">
        <v>1495</v>
      </c>
      <c r="F573" s="147" t="s">
        <v>106</v>
      </c>
      <c r="G573" s="147" t="s">
        <v>1429</v>
      </c>
      <c r="H573" s="147">
        <v>43</v>
      </c>
      <c r="I573" s="149">
        <f t="shared" si="67"/>
        <v>43</v>
      </c>
      <c r="J573" s="147"/>
      <c r="K573" s="336" t="s">
        <v>1505</v>
      </c>
      <c r="L573" s="147">
        <v>100</v>
      </c>
      <c r="M573" s="147" t="s">
        <v>9</v>
      </c>
      <c r="N573" s="147"/>
      <c r="O573" s="147" t="s">
        <v>98</v>
      </c>
      <c r="P573" s="147">
        <v>1000</v>
      </c>
      <c r="Q573" s="150">
        <f t="shared" si="68"/>
        <v>0</v>
      </c>
      <c r="R573" s="151"/>
      <c r="S573" s="152">
        <v>3021</v>
      </c>
      <c r="T573" s="158">
        <v>3021</v>
      </c>
      <c r="U573" s="153"/>
      <c r="V573" s="154"/>
      <c r="W573" s="154"/>
      <c r="X573" s="155"/>
      <c r="Y573" s="155" t="s">
        <v>1394</v>
      </c>
      <c r="Z573" s="155" t="s">
        <v>1442</v>
      </c>
      <c r="AA573" s="273">
        <f t="shared" si="69"/>
        <v>3.0209999999999999</v>
      </c>
      <c r="AB573" s="273">
        <f t="shared" si="70"/>
        <v>3.0209999999999999</v>
      </c>
      <c r="AC573" s="156">
        <f t="shared" si="71"/>
        <v>1000</v>
      </c>
      <c r="AD573" s="274">
        <f t="shared" si="72"/>
        <v>3021</v>
      </c>
      <c r="AE573" s="274">
        <f t="shared" si="66"/>
        <v>3021</v>
      </c>
      <c r="AF573" s="337"/>
    </row>
    <row r="574" spans="1:32">
      <c r="A574" s="337" t="s">
        <v>1523</v>
      </c>
      <c r="B574" s="146" t="s">
        <v>1</v>
      </c>
      <c r="C574" s="155" t="s">
        <v>1512</v>
      </c>
      <c r="D574" s="147"/>
      <c r="E574" s="148" t="s">
        <v>1495</v>
      </c>
      <c r="F574" s="147" t="s">
        <v>106</v>
      </c>
      <c r="G574" s="147" t="s">
        <v>1429</v>
      </c>
      <c r="H574" s="147">
        <v>46</v>
      </c>
      <c r="I574" s="149">
        <f t="shared" si="67"/>
        <v>46</v>
      </c>
      <c r="J574" s="147"/>
      <c r="K574" s="336" t="s">
        <v>1506</v>
      </c>
      <c r="L574" s="147">
        <v>100</v>
      </c>
      <c r="M574" s="147" t="s">
        <v>9</v>
      </c>
      <c r="N574" s="147"/>
      <c r="O574" s="147" t="s">
        <v>98</v>
      </c>
      <c r="P574" s="147">
        <v>1000</v>
      </c>
      <c r="Q574" s="150">
        <f t="shared" si="68"/>
        <v>0</v>
      </c>
      <c r="R574" s="151"/>
      <c r="S574" s="152">
        <v>4750</v>
      </c>
      <c r="T574" s="158">
        <v>4750</v>
      </c>
      <c r="U574" s="153"/>
      <c r="V574" s="154"/>
      <c r="W574" s="154"/>
      <c r="X574" s="155"/>
      <c r="Y574" s="155" t="s">
        <v>1394</v>
      </c>
      <c r="Z574" s="155" t="s">
        <v>1442</v>
      </c>
      <c r="AA574" s="273">
        <f t="shared" si="69"/>
        <v>4.75</v>
      </c>
      <c r="AB574" s="273">
        <f t="shared" si="70"/>
        <v>4.75</v>
      </c>
      <c r="AC574" s="156">
        <f t="shared" si="71"/>
        <v>1000</v>
      </c>
      <c r="AD574" s="274">
        <f t="shared" si="72"/>
        <v>4750</v>
      </c>
      <c r="AE574" s="274">
        <f t="shared" si="66"/>
        <v>4750</v>
      </c>
      <c r="AF574" s="337"/>
    </row>
    <row r="575" spans="1:32">
      <c r="A575" s="337" t="s">
        <v>1523</v>
      </c>
      <c r="B575" s="146" t="s">
        <v>1</v>
      </c>
      <c r="C575" s="155" t="s">
        <v>1512</v>
      </c>
      <c r="D575" s="147"/>
      <c r="E575" s="148" t="s">
        <v>1495</v>
      </c>
      <c r="F575" s="147" t="s">
        <v>106</v>
      </c>
      <c r="G575" s="147" t="s">
        <v>1429</v>
      </c>
      <c r="H575" s="147">
        <v>46</v>
      </c>
      <c r="I575" s="149">
        <f t="shared" si="67"/>
        <v>46</v>
      </c>
      <c r="J575" s="147"/>
      <c r="K575" s="336" t="s">
        <v>1507</v>
      </c>
      <c r="L575" s="147">
        <v>100</v>
      </c>
      <c r="M575" s="147" t="s">
        <v>9</v>
      </c>
      <c r="N575" s="147"/>
      <c r="O575" s="147" t="s">
        <v>98</v>
      </c>
      <c r="P575" s="147">
        <v>1000</v>
      </c>
      <c r="Q575" s="150">
        <f t="shared" si="68"/>
        <v>0</v>
      </c>
      <c r="R575" s="151"/>
      <c r="S575" s="152">
        <v>4437</v>
      </c>
      <c r="T575" s="158">
        <v>4437</v>
      </c>
      <c r="U575" s="153"/>
      <c r="V575" s="154"/>
      <c r="W575" s="154"/>
      <c r="X575" s="155"/>
      <c r="Y575" s="155" t="s">
        <v>1394</v>
      </c>
      <c r="Z575" s="155" t="s">
        <v>1442</v>
      </c>
      <c r="AA575" s="273">
        <f t="shared" si="69"/>
        <v>4.4370000000000003</v>
      </c>
      <c r="AB575" s="273">
        <f t="shared" si="70"/>
        <v>4.4370000000000003</v>
      </c>
      <c r="AC575" s="156">
        <f t="shared" si="71"/>
        <v>1000</v>
      </c>
      <c r="AD575" s="274">
        <f t="shared" si="72"/>
        <v>4437</v>
      </c>
      <c r="AE575" s="274">
        <f t="shared" si="66"/>
        <v>4437</v>
      </c>
      <c r="AF575" s="337"/>
    </row>
    <row r="576" spans="1:32">
      <c r="A576" s="337" t="s">
        <v>1523</v>
      </c>
      <c r="B576" s="146" t="s">
        <v>1</v>
      </c>
      <c r="C576" s="155" t="s">
        <v>1512</v>
      </c>
      <c r="D576" s="147"/>
      <c r="E576" s="148" t="s">
        <v>1495</v>
      </c>
      <c r="F576" s="147" t="s">
        <v>106</v>
      </c>
      <c r="G576" s="147" t="s">
        <v>1429</v>
      </c>
      <c r="H576" s="147">
        <v>46</v>
      </c>
      <c r="I576" s="149">
        <f t="shared" si="67"/>
        <v>46</v>
      </c>
      <c r="J576" s="147"/>
      <c r="K576" s="336" t="s">
        <v>1508</v>
      </c>
      <c r="L576" s="147">
        <v>100</v>
      </c>
      <c r="M576" s="147" t="s">
        <v>9</v>
      </c>
      <c r="N576" s="147"/>
      <c r="O576" s="147" t="s">
        <v>98</v>
      </c>
      <c r="P576" s="147">
        <v>1000</v>
      </c>
      <c r="Q576" s="150">
        <f t="shared" si="68"/>
        <v>0</v>
      </c>
      <c r="R576" s="151"/>
      <c r="S576" s="152">
        <v>4953</v>
      </c>
      <c r="T576" s="158">
        <v>4953</v>
      </c>
      <c r="U576" s="153"/>
      <c r="V576" s="154"/>
      <c r="W576" s="154"/>
      <c r="X576" s="155"/>
      <c r="Y576" s="155" t="s">
        <v>1394</v>
      </c>
      <c r="Z576" s="155" t="s">
        <v>1442</v>
      </c>
      <c r="AA576" s="273">
        <f t="shared" si="69"/>
        <v>4.9530000000000003</v>
      </c>
      <c r="AB576" s="273">
        <f t="shared" si="70"/>
        <v>4.9530000000000003</v>
      </c>
      <c r="AC576" s="156">
        <f t="shared" si="71"/>
        <v>1000</v>
      </c>
      <c r="AD576" s="274">
        <f t="shared" si="72"/>
        <v>4953</v>
      </c>
      <c r="AE576" s="274">
        <f t="shared" si="66"/>
        <v>4953</v>
      </c>
      <c r="AF576" s="337"/>
    </row>
    <row r="577" spans="1:32">
      <c r="A577" s="337" t="s">
        <v>1523</v>
      </c>
      <c r="B577" s="146" t="s">
        <v>1</v>
      </c>
      <c r="C577" s="155" t="s">
        <v>1512</v>
      </c>
      <c r="D577" s="147"/>
      <c r="E577" s="148" t="s">
        <v>1495</v>
      </c>
      <c r="F577" s="147" t="s">
        <v>106</v>
      </c>
      <c r="G577" s="147" t="s">
        <v>1429</v>
      </c>
      <c r="H577" s="147">
        <v>58</v>
      </c>
      <c r="I577" s="149">
        <f t="shared" si="67"/>
        <v>58</v>
      </c>
      <c r="J577" s="147"/>
      <c r="K577" s="336" t="s">
        <v>67</v>
      </c>
      <c r="L577" s="147">
        <v>100</v>
      </c>
      <c r="M577" s="147" t="s">
        <v>9</v>
      </c>
      <c r="N577" s="147"/>
      <c r="O577" s="147" t="s">
        <v>98</v>
      </c>
      <c r="P577" s="147">
        <v>1000</v>
      </c>
      <c r="Q577" s="150">
        <f t="shared" si="68"/>
        <v>0</v>
      </c>
      <c r="R577" s="151"/>
      <c r="S577" s="152">
        <v>2604</v>
      </c>
      <c r="T577" s="158">
        <v>2604</v>
      </c>
      <c r="U577" s="153"/>
      <c r="V577" s="154"/>
      <c r="W577" s="154"/>
      <c r="X577" s="155"/>
      <c r="Y577" s="155" t="s">
        <v>1394</v>
      </c>
      <c r="Z577" s="155" t="s">
        <v>1442</v>
      </c>
      <c r="AA577" s="273">
        <f t="shared" si="69"/>
        <v>2.6040000000000001</v>
      </c>
      <c r="AB577" s="273">
        <f t="shared" si="70"/>
        <v>2.6040000000000001</v>
      </c>
      <c r="AC577" s="156">
        <f t="shared" si="71"/>
        <v>1000</v>
      </c>
      <c r="AD577" s="274">
        <f t="shared" si="72"/>
        <v>2604</v>
      </c>
      <c r="AE577" s="274">
        <f t="shared" si="66"/>
        <v>2604</v>
      </c>
      <c r="AF577" s="337"/>
    </row>
    <row r="578" spans="1:32">
      <c r="A578" s="337" t="s">
        <v>1523</v>
      </c>
      <c r="B578" s="146" t="s">
        <v>1</v>
      </c>
      <c r="C578" s="155" t="s">
        <v>1512</v>
      </c>
      <c r="D578" s="147"/>
      <c r="E578" s="148" t="s">
        <v>1495</v>
      </c>
      <c r="F578" s="147" t="s">
        <v>106</v>
      </c>
      <c r="G578" s="147" t="s">
        <v>1429</v>
      </c>
      <c r="H578" s="147">
        <v>59</v>
      </c>
      <c r="I578" s="149">
        <f t="shared" si="67"/>
        <v>59</v>
      </c>
      <c r="J578" s="147"/>
      <c r="K578" s="336" t="s">
        <v>99</v>
      </c>
      <c r="L578" s="147">
        <v>100</v>
      </c>
      <c r="M578" s="147" t="s">
        <v>9</v>
      </c>
      <c r="N578" s="147"/>
      <c r="O578" s="147" t="s">
        <v>98</v>
      </c>
      <c r="P578" s="147">
        <v>1000</v>
      </c>
      <c r="Q578" s="150">
        <f t="shared" si="68"/>
        <v>0</v>
      </c>
      <c r="R578" s="151"/>
      <c r="S578" s="152">
        <v>2546</v>
      </c>
      <c r="T578" s="158">
        <v>2546</v>
      </c>
      <c r="U578" s="153"/>
      <c r="V578" s="154"/>
      <c r="W578" s="154"/>
      <c r="X578" s="155"/>
      <c r="Y578" s="155" t="s">
        <v>1394</v>
      </c>
      <c r="Z578" s="155" t="s">
        <v>1442</v>
      </c>
      <c r="AA578" s="273">
        <f t="shared" si="69"/>
        <v>2.5459999999999998</v>
      </c>
      <c r="AB578" s="273">
        <f t="shared" si="70"/>
        <v>2.5459999999999998</v>
      </c>
      <c r="AC578" s="156">
        <f t="shared" si="71"/>
        <v>1000</v>
      </c>
      <c r="AD578" s="274">
        <f t="shared" si="72"/>
        <v>2546</v>
      </c>
      <c r="AE578" s="274">
        <f t="shared" si="66"/>
        <v>2546</v>
      </c>
      <c r="AF578" s="337"/>
    </row>
    <row r="579" spans="1:32">
      <c r="A579" s="337" t="s">
        <v>1523</v>
      </c>
      <c r="B579" s="146" t="s">
        <v>1</v>
      </c>
      <c r="C579" s="155" t="s">
        <v>1512</v>
      </c>
      <c r="D579" s="147"/>
      <c r="E579" s="148" t="s">
        <v>1495</v>
      </c>
      <c r="F579" s="147" t="s">
        <v>106</v>
      </c>
      <c r="G579" s="147" t="s">
        <v>1429</v>
      </c>
      <c r="H579" s="147">
        <v>69</v>
      </c>
      <c r="I579" s="149">
        <f t="shared" si="67"/>
        <v>69</v>
      </c>
      <c r="J579" s="147"/>
      <c r="K579" s="336" t="s">
        <v>1509</v>
      </c>
      <c r="L579" s="147">
        <v>100</v>
      </c>
      <c r="M579" s="147" t="s">
        <v>9</v>
      </c>
      <c r="N579" s="147"/>
      <c r="O579" s="147" t="s">
        <v>98</v>
      </c>
      <c r="P579" s="147">
        <v>1000</v>
      </c>
      <c r="Q579" s="150">
        <f t="shared" si="68"/>
        <v>0</v>
      </c>
      <c r="R579" s="151"/>
      <c r="S579" s="152">
        <v>3067</v>
      </c>
      <c r="T579" s="158">
        <v>3067</v>
      </c>
      <c r="U579" s="153"/>
      <c r="V579" s="154"/>
      <c r="W579" s="154"/>
      <c r="X579" s="155"/>
      <c r="Y579" s="155" t="s">
        <v>1394</v>
      </c>
      <c r="Z579" s="155" t="s">
        <v>1442</v>
      </c>
      <c r="AA579" s="273">
        <f t="shared" si="69"/>
        <v>3.0670000000000002</v>
      </c>
      <c r="AB579" s="273">
        <f t="shared" si="70"/>
        <v>3.0670000000000002</v>
      </c>
      <c r="AC579" s="156">
        <f t="shared" si="71"/>
        <v>1000</v>
      </c>
      <c r="AD579" s="274">
        <f t="shared" si="72"/>
        <v>3067</v>
      </c>
      <c r="AE579" s="274">
        <f t="shared" ref="AE579:AE642" si="73">AB579*AC579</f>
        <v>3067</v>
      </c>
      <c r="AF579" s="337"/>
    </row>
    <row r="580" spans="1:32">
      <c r="A580" s="337" t="s">
        <v>1523</v>
      </c>
      <c r="B580" s="146" t="s">
        <v>1</v>
      </c>
      <c r="C580" s="155" t="s">
        <v>1512</v>
      </c>
      <c r="D580" s="147"/>
      <c r="E580" s="148" t="s">
        <v>1495</v>
      </c>
      <c r="F580" s="147" t="s">
        <v>106</v>
      </c>
      <c r="G580" s="147" t="s">
        <v>1429</v>
      </c>
      <c r="H580" s="147">
        <v>70</v>
      </c>
      <c r="I580" s="149">
        <f t="shared" si="67"/>
        <v>70</v>
      </c>
      <c r="J580" s="147"/>
      <c r="K580" s="336" t="s">
        <v>1510</v>
      </c>
      <c r="L580" s="147">
        <v>100</v>
      </c>
      <c r="M580" s="147" t="s">
        <v>9</v>
      </c>
      <c r="N580" s="147"/>
      <c r="O580" s="147" t="s">
        <v>98</v>
      </c>
      <c r="P580" s="147">
        <v>1000</v>
      </c>
      <c r="Q580" s="150">
        <f t="shared" si="68"/>
        <v>0</v>
      </c>
      <c r="R580" s="151"/>
      <c r="S580" s="152">
        <v>5062</v>
      </c>
      <c r="T580" s="158">
        <v>5062</v>
      </c>
      <c r="U580" s="153"/>
      <c r="V580" s="154"/>
      <c r="W580" s="154"/>
      <c r="X580" s="155"/>
      <c r="Y580" s="155" t="s">
        <v>1394</v>
      </c>
      <c r="Z580" s="155" t="s">
        <v>1442</v>
      </c>
      <c r="AA580" s="273">
        <f t="shared" si="69"/>
        <v>5.0620000000000003</v>
      </c>
      <c r="AB580" s="273">
        <f t="shared" si="70"/>
        <v>5.0620000000000003</v>
      </c>
      <c r="AC580" s="156">
        <f t="shared" si="71"/>
        <v>1000</v>
      </c>
      <c r="AD580" s="274">
        <f t="shared" si="72"/>
        <v>5062</v>
      </c>
      <c r="AE580" s="274">
        <f t="shared" si="73"/>
        <v>5062</v>
      </c>
      <c r="AF580" s="337"/>
    </row>
    <row r="581" spans="1:32">
      <c r="A581" s="337" t="s">
        <v>1523</v>
      </c>
      <c r="B581" s="146" t="s">
        <v>1</v>
      </c>
      <c r="C581" s="155" t="s">
        <v>1512</v>
      </c>
      <c r="D581" s="147"/>
      <c r="E581" s="148" t="s">
        <v>1495</v>
      </c>
      <c r="F581" s="147" t="s">
        <v>106</v>
      </c>
      <c r="G581" s="147" t="s">
        <v>1429</v>
      </c>
      <c r="H581" s="147">
        <v>70</v>
      </c>
      <c r="I581" s="149">
        <f t="shared" si="67"/>
        <v>70</v>
      </c>
      <c r="J581" s="147"/>
      <c r="K581" s="336" t="s">
        <v>1511</v>
      </c>
      <c r="L581" s="147">
        <v>100</v>
      </c>
      <c r="M581" s="147" t="s">
        <v>9</v>
      </c>
      <c r="N581" s="147"/>
      <c r="O581" s="147" t="s">
        <v>98</v>
      </c>
      <c r="P581" s="147">
        <v>1000</v>
      </c>
      <c r="Q581" s="150">
        <f t="shared" si="68"/>
        <v>0</v>
      </c>
      <c r="R581" s="151"/>
      <c r="S581" s="152">
        <v>4884</v>
      </c>
      <c r="T581" s="158">
        <v>4884</v>
      </c>
      <c r="U581" s="153"/>
      <c r="V581" s="154"/>
      <c r="W581" s="154"/>
      <c r="X581" s="155"/>
      <c r="Y581" s="155" t="s">
        <v>1394</v>
      </c>
      <c r="Z581" s="155" t="s">
        <v>1442</v>
      </c>
      <c r="AA581" s="273">
        <f t="shared" si="69"/>
        <v>4.8840000000000003</v>
      </c>
      <c r="AB581" s="273">
        <f t="shared" si="70"/>
        <v>4.8840000000000003</v>
      </c>
      <c r="AC581" s="156">
        <f t="shared" si="71"/>
        <v>1000</v>
      </c>
      <c r="AD581" s="274">
        <f t="shared" si="72"/>
        <v>4884</v>
      </c>
      <c r="AE581" s="274">
        <f t="shared" si="73"/>
        <v>4884</v>
      </c>
      <c r="AF581" s="337"/>
    </row>
    <row r="582" spans="1:32">
      <c r="A582" s="337" t="s">
        <v>1523</v>
      </c>
      <c r="B582" s="146" t="s">
        <v>1</v>
      </c>
      <c r="C582" s="155" t="s">
        <v>1512</v>
      </c>
      <c r="D582" s="147"/>
      <c r="E582" s="148" t="s">
        <v>1496</v>
      </c>
      <c r="F582" s="147" t="s">
        <v>106</v>
      </c>
      <c r="G582" s="147" t="s">
        <v>1429</v>
      </c>
      <c r="H582" s="147">
        <v>7</v>
      </c>
      <c r="I582" s="149">
        <f t="shared" si="67"/>
        <v>7</v>
      </c>
      <c r="J582" s="147"/>
      <c r="K582" s="336" t="s">
        <v>57</v>
      </c>
      <c r="L582" s="147">
        <v>100</v>
      </c>
      <c r="M582" s="147" t="s">
        <v>9</v>
      </c>
      <c r="N582" s="147"/>
      <c r="O582" s="147" t="s">
        <v>98</v>
      </c>
      <c r="P582" s="147">
        <v>1000</v>
      </c>
      <c r="Q582" s="150">
        <f t="shared" si="68"/>
        <v>0</v>
      </c>
      <c r="R582" s="151"/>
      <c r="S582" s="152">
        <v>1403</v>
      </c>
      <c r="T582" s="158">
        <v>1403</v>
      </c>
      <c r="U582" s="153"/>
      <c r="V582" s="154"/>
      <c r="W582" s="154"/>
      <c r="X582" s="155"/>
      <c r="Y582" s="155" t="s">
        <v>1394</v>
      </c>
      <c r="Z582" s="155" t="s">
        <v>1442</v>
      </c>
      <c r="AA582" s="273">
        <f t="shared" si="69"/>
        <v>1.403</v>
      </c>
      <c r="AB582" s="273">
        <f t="shared" si="70"/>
        <v>1.403</v>
      </c>
      <c r="AC582" s="156">
        <f t="shared" si="71"/>
        <v>1000</v>
      </c>
      <c r="AD582" s="274">
        <f t="shared" si="72"/>
        <v>1403</v>
      </c>
      <c r="AE582" s="274">
        <f t="shared" si="73"/>
        <v>1403</v>
      </c>
      <c r="AF582" s="337"/>
    </row>
    <row r="583" spans="1:32">
      <c r="A583" s="337" t="s">
        <v>1523</v>
      </c>
      <c r="B583" s="146" t="s">
        <v>1</v>
      </c>
      <c r="C583" s="155" t="s">
        <v>1512</v>
      </c>
      <c r="D583" s="147"/>
      <c r="E583" s="148" t="s">
        <v>1496</v>
      </c>
      <c r="F583" s="147" t="s">
        <v>106</v>
      </c>
      <c r="G583" s="147" t="s">
        <v>1429</v>
      </c>
      <c r="H583" s="147">
        <v>8</v>
      </c>
      <c r="I583" s="149">
        <f t="shared" si="67"/>
        <v>8</v>
      </c>
      <c r="J583" s="147"/>
      <c r="K583" s="336" t="s">
        <v>55</v>
      </c>
      <c r="L583" s="147">
        <v>100</v>
      </c>
      <c r="M583" s="147" t="s">
        <v>9</v>
      </c>
      <c r="N583" s="147"/>
      <c r="O583" s="147" t="s">
        <v>98</v>
      </c>
      <c r="P583" s="147">
        <v>1000</v>
      </c>
      <c r="Q583" s="150">
        <f t="shared" si="68"/>
        <v>0</v>
      </c>
      <c r="R583" s="151"/>
      <c r="S583" s="152">
        <v>1267</v>
      </c>
      <c r="T583" s="158">
        <v>1267</v>
      </c>
      <c r="U583" s="153"/>
      <c r="V583" s="154"/>
      <c r="W583" s="154"/>
      <c r="X583" s="155"/>
      <c r="Y583" s="155" t="s">
        <v>1394</v>
      </c>
      <c r="Z583" s="155" t="s">
        <v>1442</v>
      </c>
      <c r="AA583" s="273">
        <f t="shared" si="69"/>
        <v>1.2669999999999999</v>
      </c>
      <c r="AB583" s="273">
        <f t="shared" si="70"/>
        <v>1.2669999999999999</v>
      </c>
      <c r="AC583" s="156">
        <f t="shared" si="71"/>
        <v>1000</v>
      </c>
      <c r="AD583" s="274">
        <f t="shared" si="72"/>
        <v>1267</v>
      </c>
      <c r="AE583" s="274">
        <f t="shared" si="73"/>
        <v>1267</v>
      </c>
      <c r="AF583" s="337"/>
    </row>
    <row r="584" spans="1:32">
      <c r="A584" s="337" t="s">
        <v>1523</v>
      </c>
      <c r="B584" s="146" t="s">
        <v>1</v>
      </c>
      <c r="C584" s="155" t="s">
        <v>1512</v>
      </c>
      <c r="D584" s="147"/>
      <c r="E584" s="148" t="s">
        <v>1496</v>
      </c>
      <c r="F584" s="147" t="s">
        <v>106</v>
      </c>
      <c r="G584" s="147" t="s">
        <v>1429</v>
      </c>
      <c r="H584" s="147">
        <v>17</v>
      </c>
      <c r="I584" s="149">
        <f t="shared" si="67"/>
        <v>17</v>
      </c>
      <c r="J584" s="147"/>
      <c r="K584" s="336" t="s">
        <v>53</v>
      </c>
      <c r="L584" s="147">
        <v>100</v>
      </c>
      <c r="M584" s="147" t="s">
        <v>9</v>
      </c>
      <c r="N584" s="147"/>
      <c r="O584" s="147" t="s">
        <v>98</v>
      </c>
      <c r="P584" s="147">
        <v>1000</v>
      </c>
      <c r="Q584" s="150">
        <f t="shared" si="68"/>
        <v>0</v>
      </c>
      <c r="R584" s="151"/>
      <c r="S584" s="152">
        <v>1189</v>
      </c>
      <c r="T584" s="158">
        <v>1189</v>
      </c>
      <c r="U584" s="153"/>
      <c r="V584" s="154"/>
      <c r="W584" s="154"/>
      <c r="X584" s="155"/>
      <c r="Y584" s="155" t="s">
        <v>1394</v>
      </c>
      <c r="Z584" s="155" t="s">
        <v>1442</v>
      </c>
      <c r="AA584" s="273">
        <f t="shared" si="69"/>
        <v>1.1890000000000001</v>
      </c>
      <c r="AB584" s="273">
        <f t="shared" si="70"/>
        <v>1.1890000000000001</v>
      </c>
      <c r="AC584" s="156">
        <f t="shared" si="71"/>
        <v>1000</v>
      </c>
      <c r="AD584" s="274">
        <f t="shared" si="72"/>
        <v>1189</v>
      </c>
      <c r="AE584" s="274">
        <f t="shared" si="73"/>
        <v>1189</v>
      </c>
      <c r="AF584" s="337"/>
    </row>
    <row r="585" spans="1:32">
      <c r="A585" s="337" t="s">
        <v>1523</v>
      </c>
      <c r="B585" s="146" t="s">
        <v>1</v>
      </c>
      <c r="C585" s="155" t="s">
        <v>1512</v>
      </c>
      <c r="D585" s="147"/>
      <c r="E585" s="148" t="s">
        <v>1496</v>
      </c>
      <c r="F585" s="147" t="s">
        <v>106</v>
      </c>
      <c r="G585" s="147" t="s">
        <v>1429</v>
      </c>
      <c r="H585" s="147">
        <v>22</v>
      </c>
      <c r="I585" s="149">
        <f t="shared" si="67"/>
        <v>22</v>
      </c>
      <c r="J585" s="147"/>
      <c r="K585" s="336" t="s">
        <v>51</v>
      </c>
      <c r="L585" s="147">
        <v>100</v>
      </c>
      <c r="M585" s="147" t="s">
        <v>9</v>
      </c>
      <c r="N585" s="147"/>
      <c r="O585" s="147" t="s">
        <v>98</v>
      </c>
      <c r="P585" s="147">
        <v>1000</v>
      </c>
      <c r="Q585" s="150">
        <f t="shared" si="68"/>
        <v>0</v>
      </c>
      <c r="R585" s="151"/>
      <c r="S585" s="152">
        <v>4994</v>
      </c>
      <c r="T585" s="158">
        <v>4994</v>
      </c>
      <c r="U585" s="153"/>
      <c r="V585" s="154"/>
      <c r="W585" s="154"/>
      <c r="X585" s="155"/>
      <c r="Y585" s="155" t="s">
        <v>1394</v>
      </c>
      <c r="Z585" s="155" t="s">
        <v>1442</v>
      </c>
      <c r="AA585" s="273">
        <f t="shared" si="69"/>
        <v>4.9939999999999998</v>
      </c>
      <c r="AB585" s="273">
        <f t="shared" si="70"/>
        <v>4.9939999999999998</v>
      </c>
      <c r="AC585" s="156">
        <f t="shared" si="71"/>
        <v>1000</v>
      </c>
      <c r="AD585" s="274">
        <f t="shared" si="72"/>
        <v>4994</v>
      </c>
      <c r="AE585" s="274">
        <f t="shared" si="73"/>
        <v>4994</v>
      </c>
      <c r="AF585" s="337"/>
    </row>
    <row r="586" spans="1:32">
      <c r="A586" s="337" t="s">
        <v>1523</v>
      </c>
      <c r="B586" s="146" t="s">
        <v>1</v>
      </c>
      <c r="C586" s="155" t="s">
        <v>1512</v>
      </c>
      <c r="D586" s="147"/>
      <c r="E586" s="148" t="s">
        <v>1496</v>
      </c>
      <c r="F586" s="147" t="s">
        <v>106</v>
      </c>
      <c r="G586" s="147" t="s">
        <v>1429</v>
      </c>
      <c r="H586" s="147">
        <v>33</v>
      </c>
      <c r="I586" s="149">
        <f t="shared" si="67"/>
        <v>33</v>
      </c>
      <c r="J586" s="147"/>
      <c r="K586" s="336" t="s">
        <v>59</v>
      </c>
      <c r="L586" s="147">
        <v>100</v>
      </c>
      <c r="M586" s="147" t="s">
        <v>9</v>
      </c>
      <c r="N586" s="147"/>
      <c r="O586" s="147" t="s">
        <v>98</v>
      </c>
      <c r="P586" s="147">
        <v>1000</v>
      </c>
      <c r="Q586" s="150">
        <f t="shared" si="68"/>
        <v>0</v>
      </c>
      <c r="R586" s="151"/>
      <c r="S586" s="152">
        <v>2685</v>
      </c>
      <c r="T586" s="158">
        <v>2685</v>
      </c>
      <c r="U586" s="153"/>
      <c r="V586" s="154"/>
      <c r="W586" s="154"/>
      <c r="X586" s="155"/>
      <c r="Y586" s="155" t="s">
        <v>1394</v>
      </c>
      <c r="Z586" s="155" t="s">
        <v>1442</v>
      </c>
      <c r="AA586" s="273">
        <f t="shared" si="69"/>
        <v>2.6850000000000001</v>
      </c>
      <c r="AB586" s="273">
        <f t="shared" si="70"/>
        <v>2.6850000000000001</v>
      </c>
      <c r="AC586" s="156">
        <f t="shared" si="71"/>
        <v>1000</v>
      </c>
      <c r="AD586" s="274">
        <f t="shared" si="72"/>
        <v>2685</v>
      </c>
      <c r="AE586" s="274">
        <f t="shared" si="73"/>
        <v>2685</v>
      </c>
      <c r="AF586" s="337"/>
    </row>
    <row r="587" spans="1:32">
      <c r="A587" s="337" t="s">
        <v>1523</v>
      </c>
      <c r="B587" s="146" t="s">
        <v>1</v>
      </c>
      <c r="C587" s="155" t="s">
        <v>1512</v>
      </c>
      <c r="D587" s="147"/>
      <c r="E587" s="148" t="s">
        <v>1496</v>
      </c>
      <c r="F587" s="147" t="s">
        <v>106</v>
      </c>
      <c r="G587" s="147" t="s">
        <v>1429</v>
      </c>
      <c r="H587" s="147">
        <v>42</v>
      </c>
      <c r="I587" s="149">
        <f t="shared" si="67"/>
        <v>42</v>
      </c>
      <c r="J587" s="147"/>
      <c r="K587" s="336" t="s">
        <v>61</v>
      </c>
      <c r="L587" s="147">
        <v>100</v>
      </c>
      <c r="M587" s="147" t="s">
        <v>9</v>
      </c>
      <c r="N587" s="147"/>
      <c r="O587" s="147" t="s">
        <v>98</v>
      </c>
      <c r="P587" s="147">
        <v>1000</v>
      </c>
      <c r="Q587" s="150">
        <f t="shared" si="68"/>
        <v>0</v>
      </c>
      <c r="R587" s="151"/>
      <c r="S587" s="152">
        <v>1976</v>
      </c>
      <c r="T587" s="158">
        <v>1976</v>
      </c>
      <c r="U587" s="153"/>
      <c r="V587" s="154"/>
      <c r="W587" s="154"/>
      <c r="X587" s="155"/>
      <c r="Y587" s="155" t="s">
        <v>1394</v>
      </c>
      <c r="Z587" s="155" t="s">
        <v>1442</v>
      </c>
      <c r="AA587" s="273">
        <f t="shared" si="69"/>
        <v>1.976</v>
      </c>
      <c r="AB587" s="273">
        <f t="shared" si="70"/>
        <v>1.976</v>
      </c>
      <c r="AC587" s="156">
        <f t="shared" si="71"/>
        <v>1000</v>
      </c>
      <c r="AD587" s="274">
        <f t="shared" si="72"/>
        <v>1976</v>
      </c>
      <c r="AE587" s="274">
        <f t="shared" si="73"/>
        <v>1976</v>
      </c>
      <c r="AF587" s="337"/>
    </row>
    <row r="588" spans="1:32">
      <c r="A588" s="337" t="s">
        <v>1523</v>
      </c>
      <c r="B588" s="146" t="s">
        <v>1</v>
      </c>
      <c r="C588" s="155" t="s">
        <v>1512</v>
      </c>
      <c r="D588" s="147"/>
      <c r="E588" s="148" t="s">
        <v>1496</v>
      </c>
      <c r="F588" s="147" t="s">
        <v>106</v>
      </c>
      <c r="G588" s="147" t="s">
        <v>1429</v>
      </c>
      <c r="H588" s="147">
        <v>43</v>
      </c>
      <c r="I588" s="149">
        <f t="shared" si="67"/>
        <v>43</v>
      </c>
      <c r="J588" s="147"/>
      <c r="K588" s="336" t="s">
        <v>1505</v>
      </c>
      <c r="L588" s="147">
        <v>100</v>
      </c>
      <c r="M588" s="147" t="s">
        <v>9</v>
      </c>
      <c r="N588" s="147"/>
      <c r="O588" s="147" t="s">
        <v>98</v>
      </c>
      <c r="P588" s="147">
        <v>1000</v>
      </c>
      <c r="Q588" s="150">
        <f t="shared" si="68"/>
        <v>0</v>
      </c>
      <c r="R588" s="151"/>
      <c r="S588" s="152">
        <v>3347</v>
      </c>
      <c r="T588" s="158">
        <v>3347</v>
      </c>
      <c r="U588" s="153"/>
      <c r="V588" s="154"/>
      <c r="W588" s="154"/>
      <c r="X588" s="155"/>
      <c r="Y588" s="155" t="s">
        <v>1394</v>
      </c>
      <c r="Z588" s="155" t="s">
        <v>1442</v>
      </c>
      <c r="AA588" s="273">
        <f t="shared" si="69"/>
        <v>3.347</v>
      </c>
      <c r="AB588" s="273">
        <f t="shared" si="70"/>
        <v>3.347</v>
      </c>
      <c r="AC588" s="156">
        <f t="shared" si="71"/>
        <v>1000</v>
      </c>
      <c r="AD588" s="274">
        <f t="shared" si="72"/>
        <v>3347</v>
      </c>
      <c r="AE588" s="274">
        <f t="shared" si="73"/>
        <v>3347</v>
      </c>
      <c r="AF588" s="337"/>
    </row>
    <row r="589" spans="1:32">
      <c r="A589" s="337" t="s">
        <v>1523</v>
      </c>
      <c r="B589" s="146" t="s">
        <v>1</v>
      </c>
      <c r="C589" s="155" t="s">
        <v>1512</v>
      </c>
      <c r="D589" s="147"/>
      <c r="E589" s="148" t="s">
        <v>1496</v>
      </c>
      <c r="F589" s="147" t="s">
        <v>106</v>
      </c>
      <c r="G589" s="147" t="s">
        <v>1429</v>
      </c>
      <c r="H589" s="147">
        <v>46</v>
      </c>
      <c r="I589" s="149">
        <f t="shared" si="67"/>
        <v>46</v>
      </c>
      <c r="J589" s="147"/>
      <c r="K589" s="336" t="s">
        <v>1506</v>
      </c>
      <c r="L589" s="147">
        <v>100</v>
      </c>
      <c r="M589" s="147" t="s">
        <v>9</v>
      </c>
      <c r="N589" s="147"/>
      <c r="O589" s="147" t="s">
        <v>98</v>
      </c>
      <c r="P589" s="147">
        <v>1000</v>
      </c>
      <c r="Q589" s="150">
        <f t="shared" si="68"/>
        <v>0</v>
      </c>
      <c r="R589" s="151"/>
      <c r="S589" s="152">
        <v>3000</v>
      </c>
      <c r="T589" s="158">
        <v>3000</v>
      </c>
      <c r="U589" s="153"/>
      <c r="V589" s="154"/>
      <c r="W589" s="154"/>
      <c r="X589" s="155"/>
      <c r="Y589" s="155" t="s">
        <v>1394</v>
      </c>
      <c r="Z589" s="155" t="s">
        <v>1442</v>
      </c>
      <c r="AA589" s="273">
        <f t="shared" si="69"/>
        <v>3</v>
      </c>
      <c r="AB589" s="273">
        <f t="shared" si="70"/>
        <v>3</v>
      </c>
      <c r="AC589" s="156">
        <f t="shared" si="71"/>
        <v>1000</v>
      </c>
      <c r="AD589" s="274">
        <f t="shared" si="72"/>
        <v>3000</v>
      </c>
      <c r="AE589" s="274">
        <f t="shared" si="73"/>
        <v>3000</v>
      </c>
      <c r="AF589" s="337"/>
    </row>
    <row r="590" spans="1:32">
      <c r="A590" s="337" t="s">
        <v>1523</v>
      </c>
      <c r="B590" s="146" t="s">
        <v>1</v>
      </c>
      <c r="C590" s="155" t="s">
        <v>1512</v>
      </c>
      <c r="D590" s="147"/>
      <c r="E590" s="148" t="s">
        <v>1496</v>
      </c>
      <c r="F590" s="147" t="s">
        <v>106</v>
      </c>
      <c r="G590" s="147" t="s">
        <v>1429</v>
      </c>
      <c r="H590" s="147">
        <v>46</v>
      </c>
      <c r="I590" s="149">
        <f t="shared" si="67"/>
        <v>46</v>
      </c>
      <c r="J590" s="147"/>
      <c r="K590" s="336" t="s">
        <v>1507</v>
      </c>
      <c r="L590" s="147">
        <v>100</v>
      </c>
      <c r="M590" s="147" t="s">
        <v>9</v>
      </c>
      <c r="N590" s="147"/>
      <c r="O590" s="147" t="s">
        <v>98</v>
      </c>
      <c r="P590" s="147">
        <v>1000</v>
      </c>
      <c r="Q590" s="150">
        <f t="shared" si="68"/>
        <v>0</v>
      </c>
      <c r="R590" s="151"/>
      <c r="S590" s="152">
        <v>4386</v>
      </c>
      <c r="T590" s="158">
        <v>4386</v>
      </c>
      <c r="U590" s="153"/>
      <c r="V590" s="154"/>
      <c r="W590" s="154"/>
      <c r="X590" s="155"/>
      <c r="Y590" s="155" t="s">
        <v>1394</v>
      </c>
      <c r="Z590" s="155" t="s">
        <v>1442</v>
      </c>
      <c r="AA590" s="273">
        <f t="shared" si="69"/>
        <v>4.3860000000000001</v>
      </c>
      <c r="AB590" s="273">
        <f t="shared" si="70"/>
        <v>4.3860000000000001</v>
      </c>
      <c r="AC590" s="156">
        <f t="shared" si="71"/>
        <v>1000</v>
      </c>
      <c r="AD590" s="274">
        <f t="shared" si="72"/>
        <v>4386</v>
      </c>
      <c r="AE590" s="274">
        <f t="shared" si="73"/>
        <v>4386</v>
      </c>
      <c r="AF590" s="337"/>
    </row>
    <row r="591" spans="1:32">
      <c r="A591" s="337" t="s">
        <v>1523</v>
      </c>
      <c r="B591" s="146" t="s">
        <v>1</v>
      </c>
      <c r="C591" s="155" t="s">
        <v>1512</v>
      </c>
      <c r="D591" s="147"/>
      <c r="E591" s="148" t="s">
        <v>1496</v>
      </c>
      <c r="F591" s="147" t="s">
        <v>106</v>
      </c>
      <c r="G591" s="147" t="s">
        <v>1429</v>
      </c>
      <c r="H591" s="147">
        <v>46</v>
      </c>
      <c r="I591" s="149">
        <f t="shared" si="67"/>
        <v>46</v>
      </c>
      <c r="J591" s="147"/>
      <c r="K591" s="336" t="s">
        <v>1508</v>
      </c>
      <c r="L591" s="147">
        <v>100</v>
      </c>
      <c r="M591" s="147" t="s">
        <v>9</v>
      </c>
      <c r="N591" s="147"/>
      <c r="O591" s="147" t="s">
        <v>98</v>
      </c>
      <c r="P591" s="147">
        <v>1000</v>
      </c>
      <c r="Q591" s="150">
        <f t="shared" si="68"/>
        <v>0</v>
      </c>
      <c r="R591" s="151"/>
      <c r="S591" s="152">
        <v>4926</v>
      </c>
      <c r="T591" s="158">
        <v>4926</v>
      </c>
      <c r="U591" s="153"/>
      <c r="V591" s="154"/>
      <c r="W591" s="154"/>
      <c r="X591" s="155"/>
      <c r="Y591" s="155" t="s">
        <v>1394</v>
      </c>
      <c r="Z591" s="155" t="s">
        <v>1442</v>
      </c>
      <c r="AA591" s="273">
        <f t="shared" si="69"/>
        <v>4.9260000000000002</v>
      </c>
      <c r="AB591" s="273">
        <f t="shared" si="70"/>
        <v>4.9260000000000002</v>
      </c>
      <c r="AC591" s="156">
        <f t="shared" si="71"/>
        <v>1000</v>
      </c>
      <c r="AD591" s="274">
        <f t="shared" si="72"/>
        <v>4926</v>
      </c>
      <c r="AE591" s="274">
        <f t="shared" si="73"/>
        <v>4926</v>
      </c>
      <c r="AF591" s="337"/>
    </row>
    <row r="592" spans="1:32">
      <c r="A592" s="337" t="s">
        <v>1523</v>
      </c>
      <c r="B592" s="146" t="s">
        <v>1</v>
      </c>
      <c r="C592" s="155" t="s">
        <v>1512</v>
      </c>
      <c r="D592" s="147"/>
      <c r="E592" s="148" t="s">
        <v>1496</v>
      </c>
      <c r="F592" s="147" t="s">
        <v>106</v>
      </c>
      <c r="G592" s="147" t="s">
        <v>1429</v>
      </c>
      <c r="H592" s="147">
        <v>58</v>
      </c>
      <c r="I592" s="149">
        <f t="shared" si="67"/>
        <v>58</v>
      </c>
      <c r="J592" s="147"/>
      <c r="K592" s="336" t="s">
        <v>67</v>
      </c>
      <c r="L592" s="147">
        <v>100</v>
      </c>
      <c r="M592" s="147" t="s">
        <v>9</v>
      </c>
      <c r="N592" s="147"/>
      <c r="O592" s="147" t="s">
        <v>98</v>
      </c>
      <c r="P592" s="147">
        <v>1000</v>
      </c>
      <c r="Q592" s="150">
        <f t="shared" si="68"/>
        <v>0</v>
      </c>
      <c r="R592" s="151"/>
      <c r="S592" s="152">
        <v>2516</v>
      </c>
      <c r="T592" s="158">
        <v>2516</v>
      </c>
      <c r="U592" s="153"/>
      <c r="V592" s="154"/>
      <c r="W592" s="154"/>
      <c r="X592" s="155"/>
      <c r="Y592" s="155" t="s">
        <v>1394</v>
      </c>
      <c r="Z592" s="155" t="s">
        <v>1442</v>
      </c>
      <c r="AA592" s="273">
        <f t="shared" si="69"/>
        <v>2.516</v>
      </c>
      <c r="AB592" s="273">
        <f t="shared" si="70"/>
        <v>2.516</v>
      </c>
      <c r="AC592" s="156">
        <f t="shared" si="71"/>
        <v>1000</v>
      </c>
      <c r="AD592" s="274">
        <f t="shared" si="72"/>
        <v>2516</v>
      </c>
      <c r="AE592" s="274">
        <f t="shared" si="73"/>
        <v>2516</v>
      </c>
      <c r="AF592" s="337"/>
    </row>
    <row r="593" spans="1:32">
      <c r="A593" s="337" t="s">
        <v>1523</v>
      </c>
      <c r="B593" s="146" t="s">
        <v>1</v>
      </c>
      <c r="C593" s="155" t="s">
        <v>1512</v>
      </c>
      <c r="D593" s="147"/>
      <c r="E593" s="148" t="s">
        <v>1496</v>
      </c>
      <c r="F593" s="147" t="s">
        <v>106</v>
      </c>
      <c r="G593" s="147" t="s">
        <v>1429</v>
      </c>
      <c r="H593" s="147">
        <v>59</v>
      </c>
      <c r="I593" s="149">
        <f t="shared" si="67"/>
        <v>59</v>
      </c>
      <c r="J593" s="147"/>
      <c r="K593" s="336" t="s">
        <v>99</v>
      </c>
      <c r="L593" s="147">
        <v>100</v>
      </c>
      <c r="M593" s="147" t="s">
        <v>9</v>
      </c>
      <c r="N593" s="147"/>
      <c r="O593" s="147" t="s">
        <v>98</v>
      </c>
      <c r="P593" s="147">
        <v>1000</v>
      </c>
      <c r="Q593" s="150">
        <f t="shared" si="68"/>
        <v>0</v>
      </c>
      <c r="R593" s="151"/>
      <c r="S593" s="152">
        <v>2500</v>
      </c>
      <c r="T593" s="158">
        <v>2500</v>
      </c>
      <c r="U593" s="153"/>
      <c r="V593" s="154"/>
      <c r="W593" s="154"/>
      <c r="X593" s="155"/>
      <c r="Y593" s="155" t="s">
        <v>1394</v>
      </c>
      <c r="Z593" s="155" t="s">
        <v>1442</v>
      </c>
      <c r="AA593" s="273">
        <f t="shared" si="69"/>
        <v>2.5</v>
      </c>
      <c r="AB593" s="273">
        <f t="shared" si="70"/>
        <v>2.5</v>
      </c>
      <c r="AC593" s="156">
        <f t="shared" si="71"/>
        <v>1000</v>
      </c>
      <c r="AD593" s="274">
        <f t="shared" si="72"/>
        <v>2500</v>
      </c>
      <c r="AE593" s="274">
        <f t="shared" si="73"/>
        <v>2500</v>
      </c>
      <c r="AF593" s="337"/>
    </row>
    <row r="594" spans="1:32">
      <c r="A594" s="337" t="s">
        <v>1523</v>
      </c>
      <c r="B594" s="146" t="s">
        <v>1</v>
      </c>
      <c r="C594" s="155" t="s">
        <v>1512</v>
      </c>
      <c r="D594" s="147"/>
      <c r="E594" s="148" t="s">
        <v>1496</v>
      </c>
      <c r="F594" s="147" t="s">
        <v>106</v>
      </c>
      <c r="G594" s="147" t="s">
        <v>1429</v>
      </c>
      <c r="H594" s="147">
        <v>69</v>
      </c>
      <c r="I594" s="149">
        <f t="shared" si="67"/>
        <v>69</v>
      </c>
      <c r="J594" s="147"/>
      <c r="K594" s="336" t="s">
        <v>1509</v>
      </c>
      <c r="L594" s="147">
        <v>100</v>
      </c>
      <c r="M594" s="147" t="s">
        <v>9</v>
      </c>
      <c r="N594" s="147"/>
      <c r="O594" s="147" t="s">
        <v>98</v>
      </c>
      <c r="P594" s="147">
        <v>1000</v>
      </c>
      <c r="Q594" s="150">
        <f t="shared" si="68"/>
        <v>0</v>
      </c>
      <c r="R594" s="151"/>
      <c r="S594" s="152">
        <v>2958</v>
      </c>
      <c r="T594" s="158">
        <v>2958</v>
      </c>
      <c r="U594" s="153"/>
      <c r="V594" s="154"/>
      <c r="W594" s="154"/>
      <c r="X594" s="155"/>
      <c r="Y594" s="155" t="s">
        <v>1394</v>
      </c>
      <c r="Z594" s="155" t="s">
        <v>1442</v>
      </c>
      <c r="AA594" s="273">
        <f t="shared" si="69"/>
        <v>2.9580000000000002</v>
      </c>
      <c r="AB594" s="273">
        <f t="shared" si="70"/>
        <v>2.9580000000000002</v>
      </c>
      <c r="AC594" s="156">
        <f t="shared" si="71"/>
        <v>1000</v>
      </c>
      <c r="AD594" s="274">
        <f t="shared" si="72"/>
        <v>2958</v>
      </c>
      <c r="AE594" s="274">
        <f t="shared" si="73"/>
        <v>2958</v>
      </c>
      <c r="AF594" s="337"/>
    </row>
    <row r="595" spans="1:32">
      <c r="A595" s="337" t="s">
        <v>1523</v>
      </c>
      <c r="B595" s="146" t="s">
        <v>1</v>
      </c>
      <c r="C595" s="155" t="s">
        <v>1512</v>
      </c>
      <c r="D595" s="147"/>
      <c r="E595" s="148" t="s">
        <v>1496</v>
      </c>
      <c r="F595" s="147" t="s">
        <v>106</v>
      </c>
      <c r="G595" s="147" t="s">
        <v>1429</v>
      </c>
      <c r="H595" s="147">
        <v>70</v>
      </c>
      <c r="I595" s="149">
        <f t="shared" si="67"/>
        <v>70</v>
      </c>
      <c r="J595" s="147"/>
      <c r="K595" s="336" t="s">
        <v>1510</v>
      </c>
      <c r="L595" s="147">
        <v>100</v>
      </c>
      <c r="M595" s="147" t="s">
        <v>9</v>
      </c>
      <c r="N595" s="147"/>
      <c r="O595" s="147" t="s">
        <v>98</v>
      </c>
      <c r="P595" s="147">
        <v>1000</v>
      </c>
      <c r="Q595" s="150">
        <f t="shared" si="68"/>
        <v>0</v>
      </c>
      <c r="R595" s="151"/>
      <c r="S595" s="152">
        <v>5006</v>
      </c>
      <c r="T595" s="158">
        <v>5006</v>
      </c>
      <c r="U595" s="153"/>
      <c r="V595" s="154"/>
      <c r="W595" s="154"/>
      <c r="X595" s="155"/>
      <c r="Y595" s="155" t="s">
        <v>1394</v>
      </c>
      <c r="Z595" s="155" t="s">
        <v>1442</v>
      </c>
      <c r="AA595" s="273">
        <f t="shared" si="69"/>
        <v>5.0060000000000002</v>
      </c>
      <c r="AB595" s="273">
        <f t="shared" si="70"/>
        <v>5.0060000000000002</v>
      </c>
      <c r="AC595" s="156">
        <f t="shared" si="71"/>
        <v>1000</v>
      </c>
      <c r="AD595" s="274">
        <f t="shared" si="72"/>
        <v>5006</v>
      </c>
      <c r="AE595" s="274">
        <f t="shared" si="73"/>
        <v>5006</v>
      </c>
      <c r="AF595" s="337"/>
    </row>
    <row r="596" spans="1:32">
      <c r="A596" s="337" t="s">
        <v>1523</v>
      </c>
      <c r="B596" s="146" t="s">
        <v>1</v>
      </c>
      <c r="C596" s="155" t="s">
        <v>1512</v>
      </c>
      <c r="D596" s="147"/>
      <c r="E596" s="148" t="s">
        <v>1496</v>
      </c>
      <c r="F596" s="147" t="s">
        <v>106</v>
      </c>
      <c r="G596" s="147" t="s">
        <v>1429</v>
      </c>
      <c r="H596" s="147">
        <v>70</v>
      </c>
      <c r="I596" s="149">
        <f t="shared" si="67"/>
        <v>70</v>
      </c>
      <c r="J596" s="147"/>
      <c r="K596" s="336" t="s">
        <v>1511</v>
      </c>
      <c r="L596" s="147">
        <v>100</v>
      </c>
      <c r="M596" s="147" t="s">
        <v>9</v>
      </c>
      <c r="N596" s="147"/>
      <c r="O596" s="147" t="s">
        <v>98</v>
      </c>
      <c r="P596" s="147">
        <v>1000</v>
      </c>
      <c r="Q596" s="150">
        <f t="shared" si="68"/>
        <v>0</v>
      </c>
      <c r="R596" s="151"/>
      <c r="S596" s="152">
        <v>4837</v>
      </c>
      <c r="T596" s="158">
        <v>4837</v>
      </c>
      <c r="U596" s="153"/>
      <c r="V596" s="154"/>
      <c r="W596" s="154"/>
      <c r="X596" s="155"/>
      <c r="Y596" s="155" t="s">
        <v>1394</v>
      </c>
      <c r="Z596" s="155" t="s">
        <v>1442</v>
      </c>
      <c r="AA596" s="273">
        <f t="shared" si="69"/>
        <v>4.8369999999999997</v>
      </c>
      <c r="AB596" s="273">
        <f t="shared" si="70"/>
        <v>4.8369999999999997</v>
      </c>
      <c r="AC596" s="156">
        <f t="shared" si="71"/>
        <v>1000</v>
      </c>
      <c r="AD596" s="274">
        <f t="shared" si="72"/>
        <v>4837</v>
      </c>
      <c r="AE596" s="274">
        <f t="shared" si="73"/>
        <v>4837</v>
      </c>
      <c r="AF596" s="337"/>
    </row>
    <row r="597" spans="1:32">
      <c r="A597" s="337" t="s">
        <v>1523</v>
      </c>
      <c r="B597" s="146" t="s">
        <v>1</v>
      </c>
      <c r="C597" s="155" t="s">
        <v>1512</v>
      </c>
      <c r="D597" s="147"/>
      <c r="E597" s="148" t="s">
        <v>1497</v>
      </c>
      <c r="F597" s="147" t="s">
        <v>106</v>
      </c>
      <c r="G597" s="147" t="s">
        <v>1429</v>
      </c>
      <c r="H597" s="147">
        <v>7</v>
      </c>
      <c r="I597" s="149">
        <f t="shared" ref="I597:I660" si="74">IF(AND(F597="SI",J597&lt;&gt;"",J597&lt;&gt;"NA"),CONCATENATE(H597,"_",J597),IF(F597="SI",H597,CONCATENATE(" REGISTRO COTIZACION NO EVALUADA: ",H597)))</f>
        <v>7</v>
      </c>
      <c r="J597" s="147"/>
      <c r="K597" s="336" t="s">
        <v>57</v>
      </c>
      <c r="L597" s="147">
        <v>100</v>
      </c>
      <c r="M597" s="147" t="s">
        <v>9</v>
      </c>
      <c r="N597" s="147"/>
      <c r="O597" s="147" t="s">
        <v>98</v>
      </c>
      <c r="P597" s="147">
        <v>1000</v>
      </c>
      <c r="Q597" s="150">
        <f t="shared" ref="Q597:Q660" si="75">(T597-S597)/S597</f>
        <v>0</v>
      </c>
      <c r="R597" s="151"/>
      <c r="S597" s="152">
        <v>1276</v>
      </c>
      <c r="T597" s="158">
        <v>1276</v>
      </c>
      <c r="U597" s="153"/>
      <c r="V597" s="154"/>
      <c r="W597" s="154"/>
      <c r="X597" s="155"/>
      <c r="Y597" s="155" t="s">
        <v>1394</v>
      </c>
      <c r="Z597" s="155" t="s">
        <v>1442</v>
      </c>
      <c r="AA597" s="273">
        <f t="shared" ref="AA597:AA660" si="76">S597/P597</f>
        <v>1.276</v>
      </c>
      <c r="AB597" s="273">
        <f t="shared" ref="AB597:AB660" si="77">T597/P597</f>
        <v>1.276</v>
      </c>
      <c r="AC597" s="156">
        <f t="shared" ref="AC597:AC660" si="78">P597</f>
        <v>1000</v>
      </c>
      <c r="AD597" s="274">
        <f t="shared" ref="AD597:AD660" si="79">AA597*AC597</f>
        <v>1276</v>
      </c>
      <c r="AE597" s="274">
        <f t="shared" si="73"/>
        <v>1276</v>
      </c>
      <c r="AF597" s="337"/>
    </row>
    <row r="598" spans="1:32">
      <c r="A598" s="337" t="s">
        <v>1523</v>
      </c>
      <c r="B598" s="146" t="s">
        <v>1</v>
      </c>
      <c r="C598" s="155" t="s">
        <v>1512</v>
      </c>
      <c r="D598" s="147"/>
      <c r="E598" s="148" t="s">
        <v>1497</v>
      </c>
      <c r="F598" s="147" t="s">
        <v>106</v>
      </c>
      <c r="G598" s="147" t="s">
        <v>1429</v>
      </c>
      <c r="H598" s="147">
        <v>8</v>
      </c>
      <c r="I598" s="149">
        <f t="shared" si="74"/>
        <v>8</v>
      </c>
      <c r="J598" s="147"/>
      <c r="K598" s="336" t="s">
        <v>55</v>
      </c>
      <c r="L598" s="147">
        <v>100</v>
      </c>
      <c r="M598" s="147" t="s">
        <v>9</v>
      </c>
      <c r="N598" s="147"/>
      <c r="O598" s="147" t="s">
        <v>98</v>
      </c>
      <c r="P598" s="147">
        <v>1000</v>
      </c>
      <c r="Q598" s="150">
        <f t="shared" si="75"/>
        <v>0</v>
      </c>
      <c r="R598" s="151"/>
      <c r="S598" s="152">
        <v>1299</v>
      </c>
      <c r="T598" s="158">
        <v>1299</v>
      </c>
      <c r="U598" s="153"/>
      <c r="V598" s="154"/>
      <c r="W598" s="154"/>
      <c r="X598" s="155"/>
      <c r="Y598" s="155" t="s">
        <v>1394</v>
      </c>
      <c r="Z598" s="155" t="s">
        <v>1442</v>
      </c>
      <c r="AA598" s="273">
        <f t="shared" si="76"/>
        <v>1.2989999999999999</v>
      </c>
      <c r="AB598" s="273">
        <f t="shared" si="77"/>
        <v>1.2989999999999999</v>
      </c>
      <c r="AC598" s="156">
        <f t="shared" si="78"/>
        <v>1000</v>
      </c>
      <c r="AD598" s="274">
        <f t="shared" si="79"/>
        <v>1299</v>
      </c>
      <c r="AE598" s="274">
        <f t="shared" si="73"/>
        <v>1299</v>
      </c>
      <c r="AF598" s="337"/>
    </row>
    <row r="599" spans="1:32">
      <c r="A599" s="337" t="s">
        <v>1523</v>
      </c>
      <c r="B599" s="146" t="s">
        <v>1</v>
      </c>
      <c r="C599" s="155" t="s">
        <v>1512</v>
      </c>
      <c r="D599" s="147"/>
      <c r="E599" s="148" t="s">
        <v>1497</v>
      </c>
      <c r="F599" s="147" t="s">
        <v>106</v>
      </c>
      <c r="G599" s="147" t="s">
        <v>1429</v>
      </c>
      <c r="H599" s="147">
        <v>17</v>
      </c>
      <c r="I599" s="149">
        <f t="shared" si="74"/>
        <v>17</v>
      </c>
      <c r="J599" s="147"/>
      <c r="K599" s="336" t="s">
        <v>53</v>
      </c>
      <c r="L599" s="147">
        <v>100</v>
      </c>
      <c r="M599" s="147" t="s">
        <v>9</v>
      </c>
      <c r="N599" s="147"/>
      <c r="O599" s="147" t="s">
        <v>98</v>
      </c>
      <c r="P599" s="147">
        <v>1000</v>
      </c>
      <c r="Q599" s="150">
        <f t="shared" si="75"/>
        <v>0</v>
      </c>
      <c r="R599" s="151"/>
      <c r="S599" s="152">
        <v>1661</v>
      </c>
      <c r="T599" s="158">
        <v>1661</v>
      </c>
      <c r="U599" s="153"/>
      <c r="V599" s="154"/>
      <c r="W599" s="154"/>
      <c r="X599" s="155"/>
      <c r="Y599" s="155" t="s">
        <v>1394</v>
      </c>
      <c r="Z599" s="155" t="s">
        <v>1442</v>
      </c>
      <c r="AA599" s="273">
        <f t="shared" si="76"/>
        <v>1.661</v>
      </c>
      <c r="AB599" s="273">
        <f t="shared" si="77"/>
        <v>1.661</v>
      </c>
      <c r="AC599" s="156">
        <f t="shared" si="78"/>
        <v>1000</v>
      </c>
      <c r="AD599" s="274">
        <f t="shared" si="79"/>
        <v>1661</v>
      </c>
      <c r="AE599" s="274">
        <f t="shared" si="73"/>
        <v>1661</v>
      </c>
      <c r="AF599" s="337"/>
    </row>
    <row r="600" spans="1:32">
      <c r="A600" s="337" t="s">
        <v>1523</v>
      </c>
      <c r="B600" s="146" t="s">
        <v>1</v>
      </c>
      <c r="C600" s="155" t="s">
        <v>1512</v>
      </c>
      <c r="D600" s="147"/>
      <c r="E600" s="148" t="s">
        <v>1497</v>
      </c>
      <c r="F600" s="147" t="s">
        <v>106</v>
      </c>
      <c r="G600" s="147" t="s">
        <v>1429</v>
      </c>
      <c r="H600" s="147">
        <v>22</v>
      </c>
      <c r="I600" s="149">
        <f t="shared" si="74"/>
        <v>22</v>
      </c>
      <c r="J600" s="147"/>
      <c r="K600" s="336" t="s">
        <v>51</v>
      </c>
      <c r="L600" s="147">
        <v>100</v>
      </c>
      <c r="M600" s="147" t="s">
        <v>9</v>
      </c>
      <c r="N600" s="147"/>
      <c r="O600" s="147" t="s">
        <v>98</v>
      </c>
      <c r="P600" s="147">
        <v>1000</v>
      </c>
      <c r="Q600" s="150">
        <f t="shared" si="75"/>
        <v>0</v>
      </c>
      <c r="R600" s="151"/>
      <c r="S600" s="152">
        <v>5000</v>
      </c>
      <c r="T600" s="158">
        <v>5000</v>
      </c>
      <c r="U600" s="153"/>
      <c r="V600" s="154"/>
      <c r="W600" s="154"/>
      <c r="X600" s="155"/>
      <c r="Y600" s="155" t="s">
        <v>1394</v>
      </c>
      <c r="Z600" s="155" t="s">
        <v>1442</v>
      </c>
      <c r="AA600" s="273">
        <f t="shared" si="76"/>
        <v>5</v>
      </c>
      <c r="AB600" s="273">
        <f t="shared" si="77"/>
        <v>5</v>
      </c>
      <c r="AC600" s="156">
        <f t="shared" si="78"/>
        <v>1000</v>
      </c>
      <c r="AD600" s="274">
        <f t="shared" si="79"/>
        <v>5000</v>
      </c>
      <c r="AE600" s="274">
        <f t="shared" si="73"/>
        <v>5000</v>
      </c>
      <c r="AF600" s="337"/>
    </row>
    <row r="601" spans="1:32">
      <c r="A601" s="337" t="s">
        <v>1523</v>
      </c>
      <c r="B601" s="146" t="s">
        <v>1</v>
      </c>
      <c r="C601" s="155" t="s">
        <v>1512</v>
      </c>
      <c r="D601" s="147"/>
      <c r="E601" s="148" t="s">
        <v>1497</v>
      </c>
      <c r="F601" s="147" t="s">
        <v>106</v>
      </c>
      <c r="G601" s="147" t="s">
        <v>1429</v>
      </c>
      <c r="H601" s="147">
        <v>33</v>
      </c>
      <c r="I601" s="149">
        <f t="shared" si="74"/>
        <v>33</v>
      </c>
      <c r="J601" s="147"/>
      <c r="K601" s="336" t="s">
        <v>59</v>
      </c>
      <c r="L601" s="147">
        <v>100</v>
      </c>
      <c r="M601" s="147" t="s">
        <v>9</v>
      </c>
      <c r="N601" s="147"/>
      <c r="O601" s="147" t="s">
        <v>98</v>
      </c>
      <c r="P601" s="147">
        <v>1000</v>
      </c>
      <c r="Q601" s="150">
        <f t="shared" si="75"/>
        <v>0</v>
      </c>
      <c r="R601" s="151"/>
      <c r="S601" s="152">
        <v>2666</v>
      </c>
      <c r="T601" s="158">
        <v>2666</v>
      </c>
      <c r="U601" s="153"/>
      <c r="V601" s="154"/>
      <c r="W601" s="154"/>
      <c r="X601" s="155"/>
      <c r="Y601" s="155" t="s">
        <v>1394</v>
      </c>
      <c r="Z601" s="155" t="s">
        <v>1442</v>
      </c>
      <c r="AA601" s="273">
        <f t="shared" si="76"/>
        <v>2.6659999999999999</v>
      </c>
      <c r="AB601" s="273">
        <f t="shared" si="77"/>
        <v>2.6659999999999999</v>
      </c>
      <c r="AC601" s="156">
        <f t="shared" si="78"/>
        <v>1000</v>
      </c>
      <c r="AD601" s="274">
        <f t="shared" si="79"/>
        <v>2666</v>
      </c>
      <c r="AE601" s="274">
        <f t="shared" si="73"/>
        <v>2666</v>
      </c>
      <c r="AF601" s="337"/>
    </row>
    <row r="602" spans="1:32">
      <c r="A602" s="337" t="s">
        <v>1523</v>
      </c>
      <c r="B602" s="146" t="s">
        <v>1</v>
      </c>
      <c r="C602" s="155" t="s">
        <v>1512</v>
      </c>
      <c r="D602" s="147"/>
      <c r="E602" s="148" t="s">
        <v>1497</v>
      </c>
      <c r="F602" s="147" t="s">
        <v>106</v>
      </c>
      <c r="G602" s="147" t="s">
        <v>1429</v>
      </c>
      <c r="H602" s="147">
        <v>42</v>
      </c>
      <c r="I602" s="149">
        <f t="shared" si="74"/>
        <v>42</v>
      </c>
      <c r="J602" s="147"/>
      <c r="K602" s="336" t="s">
        <v>61</v>
      </c>
      <c r="L602" s="147">
        <v>100</v>
      </c>
      <c r="M602" s="147" t="s">
        <v>9</v>
      </c>
      <c r="N602" s="147"/>
      <c r="O602" s="147" t="s">
        <v>98</v>
      </c>
      <c r="P602" s="147">
        <v>1000</v>
      </c>
      <c r="Q602" s="150">
        <f t="shared" si="75"/>
        <v>0</v>
      </c>
      <c r="R602" s="151"/>
      <c r="S602" s="152">
        <v>2088</v>
      </c>
      <c r="T602" s="158">
        <v>2088</v>
      </c>
      <c r="U602" s="153"/>
      <c r="V602" s="154"/>
      <c r="W602" s="154"/>
      <c r="X602" s="155"/>
      <c r="Y602" s="155" t="s">
        <v>1394</v>
      </c>
      <c r="Z602" s="155" t="s">
        <v>1442</v>
      </c>
      <c r="AA602" s="273">
        <f t="shared" si="76"/>
        <v>2.0880000000000001</v>
      </c>
      <c r="AB602" s="273">
        <f t="shared" si="77"/>
        <v>2.0880000000000001</v>
      </c>
      <c r="AC602" s="156">
        <f t="shared" si="78"/>
        <v>1000</v>
      </c>
      <c r="AD602" s="274">
        <f t="shared" si="79"/>
        <v>2088</v>
      </c>
      <c r="AE602" s="274">
        <f t="shared" si="73"/>
        <v>2088</v>
      </c>
      <c r="AF602" s="337"/>
    </row>
    <row r="603" spans="1:32">
      <c r="A603" s="337" t="s">
        <v>1523</v>
      </c>
      <c r="B603" s="146" t="s">
        <v>1</v>
      </c>
      <c r="C603" s="155" t="s">
        <v>1512</v>
      </c>
      <c r="D603" s="147"/>
      <c r="E603" s="148" t="s">
        <v>1497</v>
      </c>
      <c r="F603" s="147" t="s">
        <v>106</v>
      </c>
      <c r="G603" s="147" t="s">
        <v>1429</v>
      </c>
      <c r="H603" s="147">
        <v>43</v>
      </c>
      <c r="I603" s="149">
        <f t="shared" si="74"/>
        <v>43</v>
      </c>
      <c r="J603" s="147"/>
      <c r="K603" s="336" t="s">
        <v>1505</v>
      </c>
      <c r="L603" s="147">
        <v>100</v>
      </c>
      <c r="M603" s="147" t="s">
        <v>9</v>
      </c>
      <c r="N603" s="147"/>
      <c r="O603" s="147" t="s">
        <v>98</v>
      </c>
      <c r="P603" s="147">
        <v>1000</v>
      </c>
      <c r="Q603" s="150">
        <f t="shared" si="75"/>
        <v>0</v>
      </c>
      <c r="R603" s="151"/>
      <c r="S603" s="152">
        <v>3594</v>
      </c>
      <c r="T603" s="158">
        <v>3594</v>
      </c>
      <c r="U603" s="153"/>
      <c r="V603" s="154"/>
      <c r="W603" s="154"/>
      <c r="X603" s="155"/>
      <c r="Y603" s="155" t="s">
        <v>1394</v>
      </c>
      <c r="Z603" s="155" t="s">
        <v>1442</v>
      </c>
      <c r="AA603" s="273">
        <f t="shared" si="76"/>
        <v>3.5939999999999999</v>
      </c>
      <c r="AB603" s="273">
        <f t="shared" si="77"/>
        <v>3.5939999999999999</v>
      </c>
      <c r="AC603" s="156">
        <f t="shared" si="78"/>
        <v>1000</v>
      </c>
      <c r="AD603" s="274">
        <f t="shared" si="79"/>
        <v>3594</v>
      </c>
      <c r="AE603" s="274">
        <f t="shared" si="73"/>
        <v>3594</v>
      </c>
      <c r="AF603" s="337"/>
    </row>
    <row r="604" spans="1:32">
      <c r="A604" s="337" t="s">
        <v>1523</v>
      </c>
      <c r="B604" s="146" t="s">
        <v>1</v>
      </c>
      <c r="C604" s="155" t="s">
        <v>1512</v>
      </c>
      <c r="D604" s="147"/>
      <c r="E604" s="148" t="s">
        <v>1497</v>
      </c>
      <c r="F604" s="147" t="s">
        <v>106</v>
      </c>
      <c r="G604" s="147" t="s">
        <v>1429</v>
      </c>
      <c r="H604" s="147">
        <v>46</v>
      </c>
      <c r="I604" s="149">
        <f t="shared" si="74"/>
        <v>46</v>
      </c>
      <c r="J604" s="147"/>
      <c r="K604" s="336" t="s">
        <v>1506</v>
      </c>
      <c r="L604" s="147">
        <v>100</v>
      </c>
      <c r="M604" s="147" t="s">
        <v>9</v>
      </c>
      <c r="N604" s="147"/>
      <c r="O604" s="147" t="s">
        <v>98</v>
      </c>
      <c r="P604" s="147">
        <v>1000</v>
      </c>
      <c r="Q604" s="150">
        <f t="shared" si="75"/>
        <v>0</v>
      </c>
      <c r="R604" s="151"/>
      <c r="S604" s="152">
        <v>3021</v>
      </c>
      <c r="T604" s="158">
        <v>3021</v>
      </c>
      <c r="U604" s="153"/>
      <c r="V604" s="154"/>
      <c r="W604" s="154"/>
      <c r="X604" s="155"/>
      <c r="Y604" s="155" t="s">
        <v>1394</v>
      </c>
      <c r="Z604" s="155" t="s">
        <v>1442</v>
      </c>
      <c r="AA604" s="273">
        <f t="shared" si="76"/>
        <v>3.0209999999999999</v>
      </c>
      <c r="AB604" s="273">
        <f t="shared" si="77"/>
        <v>3.0209999999999999</v>
      </c>
      <c r="AC604" s="156">
        <f t="shared" si="78"/>
        <v>1000</v>
      </c>
      <c r="AD604" s="274">
        <f t="shared" si="79"/>
        <v>3021</v>
      </c>
      <c r="AE604" s="274">
        <f t="shared" si="73"/>
        <v>3021</v>
      </c>
      <c r="AF604" s="337"/>
    </row>
    <row r="605" spans="1:32">
      <c r="A605" s="337" t="s">
        <v>1523</v>
      </c>
      <c r="B605" s="146" t="s">
        <v>1</v>
      </c>
      <c r="C605" s="155" t="s">
        <v>1512</v>
      </c>
      <c r="D605" s="147"/>
      <c r="E605" s="148" t="s">
        <v>1497</v>
      </c>
      <c r="F605" s="147" t="s">
        <v>106</v>
      </c>
      <c r="G605" s="147" t="s">
        <v>1429</v>
      </c>
      <c r="H605" s="147">
        <v>46</v>
      </c>
      <c r="I605" s="149">
        <f t="shared" si="74"/>
        <v>46</v>
      </c>
      <c r="J605" s="147"/>
      <c r="K605" s="336" t="s">
        <v>1507</v>
      </c>
      <c r="L605" s="147">
        <v>100</v>
      </c>
      <c r="M605" s="147" t="s">
        <v>9</v>
      </c>
      <c r="N605" s="147"/>
      <c r="O605" s="147" t="s">
        <v>98</v>
      </c>
      <c r="P605" s="147">
        <v>1000</v>
      </c>
      <c r="Q605" s="150">
        <f t="shared" si="75"/>
        <v>0</v>
      </c>
      <c r="R605" s="151"/>
      <c r="S605" s="152">
        <v>4447</v>
      </c>
      <c r="T605" s="158">
        <v>4447</v>
      </c>
      <c r="U605" s="153"/>
      <c r="V605" s="154"/>
      <c r="W605" s="154"/>
      <c r="X605" s="155"/>
      <c r="Y605" s="155" t="s">
        <v>1394</v>
      </c>
      <c r="Z605" s="155" t="s">
        <v>1442</v>
      </c>
      <c r="AA605" s="273">
        <f t="shared" si="76"/>
        <v>4.4470000000000001</v>
      </c>
      <c r="AB605" s="273">
        <f t="shared" si="77"/>
        <v>4.4470000000000001</v>
      </c>
      <c r="AC605" s="156">
        <f t="shared" si="78"/>
        <v>1000</v>
      </c>
      <c r="AD605" s="274">
        <f t="shared" si="79"/>
        <v>4447</v>
      </c>
      <c r="AE605" s="274">
        <f t="shared" si="73"/>
        <v>4447</v>
      </c>
      <c r="AF605" s="337"/>
    </row>
    <row r="606" spans="1:32">
      <c r="A606" s="337" t="s">
        <v>1523</v>
      </c>
      <c r="B606" s="146" t="s">
        <v>1</v>
      </c>
      <c r="C606" s="155" t="s">
        <v>1512</v>
      </c>
      <c r="D606" s="147"/>
      <c r="E606" s="148" t="s">
        <v>1497</v>
      </c>
      <c r="F606" s="147" t="s">
        <v>106</v>
      </c>
      <c r="G606" s="147" t="s">
        <v>1429</v>
      </c>
      <c r="H606" s="147">
        <v>46</v>
      </c>
      <c r="I606" s="149">
        <f t="shared" si="74"/>
        <v>46</v>
      </c>
      <c r="J606" s="147"/>
      <c r="K606" s="336" t="s">
        <v>1508</v>
      </c>
      <c r="L606" s="147">
        <v>100</v>
      </c>
      <c r="M606" s="147" t="s">
        <v>9</v>
      </c>
      <c r="N606" s="147"/>
      <c r="O606" s="147" t="s">
        <v>98</v>
      </c>
      <c r="P606" s="147">
        <v>1000</v>
      </c>
      <c r="Q606" s="150">
        <f t="shared" si="75"/>
        <v>0</v>
      </c>
      <c r="R606" s="151"/>
      <c r="S606" s="152">
        <v>4871</v>
      </c>
      <c r="T606" s="158">
        <v>4871</v>
      </c>
      <c r="U606" s="153"/>
      <c r="V606" s="154"/>
      <c r="W606" s="154"/>
      <c r="X606" s="155"/>
      <c r="Y606" s="155" t="s">
        <v>1394</v>
      </c>
      <c r="Z606" s="155" t="s">
        <v>1442</v>
      </c>
      <c r="AA606" s="273">
        <f t="shared" si="76"/>
        <v>4.8710000000000004</v>
      </c>
      <c r="AB606" s="273">
        <f t="shared" si="77"/>
        <v>4.8710000000000004</v>
      </c>
      <c r="AC606" s="156">
        <f t="shared" si="78"/>
        <v>1000</v>
      </c>
      <c r="AD606" s="274">
        <f t="shared" si="79"/>
        <v>4871</v>
      </c>
      <c r="AE606" s="274">
        <f t="shared" si="73"/>
        <v>4871</v>
      </c>
      <c r="AF606" s="337"/>
    </row>
    <row r="607" spans="1:32">
      <c r="A607" s="337" t="s">
        <v>1523</v>
      </c>
      <c r="B607" s="146" t="s">
        <v>1</v>
      </c>
      <c r="C607" s="155" t="s">
        <v>1512</v>
      </c>
      <c r="D607" s="147"/>
      <c r="E607" s="148" t="s">
        <v>1497</v>
      </c>
      <c r="F607" s="147" t="s">
        <v>106</v>
      </c>
      <c r="G607" s="147" t="s">
        <v>1429</v>
      </c>
      <c r="H607" s="147">
        <v>58</v>
      </c>
      <c r="I607" s="149">
        <f t="shared" si="74"/>
        <v>58</v>
      </c>
      <c r="J607" s="147"/>
      <c r="K607" s="336" t="s">
        <v>67</v>
      </c>
      <c r="L607" s="147">
        <v>100</v>
      </c>
      <c r="M607" s="147" t="s">
        <v>9</v>
      </c>
      <c r="N607" s="147"/>
      <c r="O607" s="147" t="s">
        <v>98</v>
      </c>
      <c r="P607" s="147">
        <v>1000</v>
      </c>
      <c r="Q607" s="150">
        <f t="shared" si="75"/>
        <v>0</v>
      </c>
      <c r="R607" s="151"/>
      <c r="S607" s="152">
        <v>2562</v>
      </c>
      <c r="T607" s="158">
        <v>2562</v>
      </c>
      <c r="U607" s="153"/>
      <c r="V607" s="154"/>
      <c r="W607" s="154"/>
      <c r="X607" s="155"/>
      <c r="Y607" s="155" t="s">
        <v>1394</v>
      </c>
      <c r="Z607" s="155" t="s">
        <v>1442</v>
      </c>
      <c r="AA607" s="273">
        <f t="shared" si="76"/>
        <v>2.5619999999999998</v>
      </c>
      <c r="AB607" s="273">
        <f t="shared" si="77"/>
        <v>2.5619999999999998</v>
      </c>
      <c r="AC607" s="156">
        <f t="shared" si="78"/>
        <v>1000</v>
      </c>
      <c r="AD607" s="274">
        <f t="shared" si="79"/>
        <v>2562</v>
      </c>
      <c r="AE607" s="274">
        <f t="shared" si="73"/>
        <v>2562</v>
      </c>
      <c r="AF607" s="337"/>
    </row>
    <row r="608" spans="1:32">
      <c r="A608" s="337" t="s">
        <v>1523</v>
      </c>
      <c r="B608" s="146" t="s">
        <v>1</v>
      </c>
      <c r="C608" s="155" t="s">
        <v>1512</v>
      </c>
      <c r="D608" s="147"/>
      <c r="E608" s="148" t="s">
        <v>1497</v>
      </c>
      <c r="F608" s="147" t="s">
        <v>106</v>
      </c>
      <c r="G608" s="147" t="s">
        <v>1429</v>
      </c>
      <c r="H608" s="147">
        <v>59</v>
      </c>
      <c r="I608" s="149">
        <f t="shared" si="74"/>
        <v>59</v>
      </c>
      <c r="J608" s="147"/>
      <c r="K608" s="336" t="s">
        <v>99</v>
      </c>
      <c r="L608" s="147">
        <v>100</v>
      </c>
      <c r="M608" s="147" t="s">
        <v>9</v>
      </c>
      <c r="N608" s="147"/>
      <c r="O608" s="147" t="s">
        <v>98</v>
      </c>
      <c r="P608" s="147">
        <v>1000</v>
      </c>
      <c r="Q608" s="150">
        <f t="shared" si="75"/>
        <v>0</v>
      </c>
      <c r="R608" s="151"/>
      <c r="S608" s="152">
        <v>2600</v>
      </c>
      <c r="T608" s="158">
        <v>2600</v>
      </c>
      <c r="U608" s="153"/>
      <c r="V608" s="154"/>
      <c r="W608" s="154"/>
      <c r="X608" s="155"/>
      <c r="Y608" s="155" t="s">
        <v>1394</v>
      </c>
      <c r="Z608" s="155" t="s">
        <v>1442</v>
      </c>
      <c r="AA608" s="273">
        <f t="shared" si="76"/>
        <v>2.6</v>
      </c>
      <c r="AB608" s="273">
        <f t="shared" si="77"/>
        <v>2.6</v>
      </c>
      <c r="AC608" s="156">
        <f t="shared" si="78"/>
        <v>1000</v>
      </c>
      <c r="AD608" s="274">
        <f t="shared" si="79"/>
        <v>2600</v>
      </c>
      <c r="AE608" s="274">
        <f t="shared" si="73"/>
        <v>2600</v>
      </c>
      <c r="AF608" s="337"/>
    </row>
    <row r="609" spans="1:32">
      <c r="A609" s="337" t="s">
        <v>1523</v>
      </c>
      <c r="B609" s="146" t="s">
        <v>1</v>
      </c>
      <c r="C609" s="155" t="s">
        <v>1512</v>
      </c>
      <c r="D609" s="147"/>
      <c r="E609" s="148" t="s">
        <v>1497</v>
      </c>
      <c r="F609" s="147" t="s">
        <v>106</v>
      </c>
      <c r="G609" s="147" t="s">
        <v>1429</v>
      </c>
      <c r="H609" s="147">
        <v>69</v>
      </c>
      <c r="I609" s="149">
        <f t="shared" si="74"/>
        <v>69</v>
      </c>
      <c r="J609" s="147"/>
      <c r="K609" s="336" t="s">
        <v>1509</v>
      </c>
      <c r="L609" s="147">
        <v>100</v>
      </c>
      <c r="M609" s="147" t="s">
        <v>9</v>
      </c>
      <c r="N609" s="147"/>
      <c r="O609" s="147" t="s">
        <v>98</v>
      </c>
      <c r="P609" s="147">
        <v>1000</v>
      </c>
      <c r="Q609" s="150">
        <f t="shared" si="75"/>
        <v>0</v>
      </c>
      <c r="R609" s="151"/>
      <c r="S609" s="152">
        <v>2976</v>
      </c>
      <c r="T609" s="158">
        <v>2976</v>
      </c>
      <c r="U609" s="153"/>
      <c r="V609" s="154"/>
      <c r="W609" s="154"/>
      <c r="X609" s="155"/>
      <c r="Y609" s="155" t="s">
        <v>1394</v>
      </c>
      <c r="Z609" s="155" t="s">
        <v>1442</v>
      </c>
      <c r="AA609" s="273">
        <f t="shared" si="76"/>
        <v>2.976</v>
      </c>
      <c r="AB609" s="273">
        <f t="shared" si="77"/>
        <v>2.976</v>
      </c>
      <c r="AC609" s="156">
        <f t="shared" si="78"/>
        <v>1000</v>
      </c>
      <c r="AD609" s="274">
        <f t="shared" si="79"/>
        <v>2976</v>
      </c>
      <c r="AE609" s="274">
        <f t="shared" si="73"/>
        <v>2976</v>
      </c>
      <c r="AF609" s="337"/>
    </row>
    <row r="610" spans="1:32">
      <c r="A610" s="337" t="s">
        <v>1523</v>
      </c>
      <c r="B610" s="146" t="s">
        <v>1</v>
      </c>
      <c r="C610" s="155" t="s">
        <v>1512</v>
      </c>
      <c r="D610" s="147"/>
      <c r="E610" s="148" t="s">
        <v>1497</v>
      </c>
      <c r="F610" s="147" t="s">
        <v>106</v>
      </c>
      <c r="G610" s="147" t="s">
        <v>1429</v>
      </c>
      <c r="H610" s="147">
        <v>70</v>
      </c>
      <c r="I610" s="149">
        <f t="shared" si="74"/>
        <v>70</v>
      </c>
      <c r="J610" s="147"/>
      <c r="K610" s="336" t="s">
        <v>1510</v>
      </c>
      <c r="L610" s="147">
        <v>100</v>
      </c>
      <c r="M610" s="147" t="s">
        <v>9</v>
      </c>
      <c r="N610" s="147"/>
      <c r="O610" s="147" t="s">
        <v>98</v>
      </c>
      <c r="P610" s="147">
        <v>1000</v>
      </c>
      <c r="Q610" s="150">
        <f t="shared" si="75"/>
        <v>0</v>
      </c>
      <c r="R610" s="151"/>
      <c r="S610" s="152">
        <v>4916</v>
      </c>
      <c r="T610" s="158">
        <v>4916</v>
      </c>
      <c r="U610" s="153"/>
      <c r="V610" s="154"/>
      <c r="W610" s="154"/>
      <c r="X610" s="155"/>
      <c r="Y610" s="155" t="s">
        <v>1394</v>
      </c>
      <c r="Z610" s="155" t="s">
        <v>1442</v>
      </c>
      <c r="AA610" s="273">
        <f t="shared" si="76"/>
        <v>4.9160000000000004</v>
      </c>
      <c r="AB610" s="273">
        <f t="shared" si="77"/>
        <v>4.9160000000000004</v>
      </c>
      <c r="AC610" s="156">
        <f t="shared" si="78"/>
        <v>1000</v>
      </c>
      <c r="AD610" s="274">
        <f t="shared" si="79"/>
        <v>4916</v>
      </c>
      <c r="AE610" s="274">
        <f t="shared" si="73"/>
        <v>4916</v>
      </c>
      <c r="AF610" s="337"/>
    </row>
    <row r="611" spans="1:32">
      <c r="A611" s="337" t="s">
        <v>1523</v>
      </c>
      <c r="B611" s="146" t="s">
        <v>1</v>
      </c>
      <c r="C611" s="155" t="s">
        <v>1512</v>
      </c>
      <c r="D611" s="147"/>
      <c r="E611" s="148" t="s">
        <v>1497</v>
      </c>
      <c r="F611" s="147" t="s">
        <v>106</v>
      </c>
      <c r="G611" s="147" t="s">
        <v>1429</v>
      </c>
      <c r="H611" s="147">
        <v>70</v>
      </c>
      <c r="I611" s="149">
        <f t="shared" si="74"/>
        <v>70</v>
      </c>
      <c r="J611" s="147"/>
      <c r="K611" s="336" t="s">
        <v>1511</v>
      </c>
      <c r="L611" s="147">
        <v>100</v>
      </c>
      <c r="M611" s="147" t="s">
        <v>9</v>
      </c>
      <c r="N611" s="147"/>
      <c r="O611" s="147" t="s">
        <v>98</v>
      </c>
      <c r="P611" s="147">
        <v>1000</v>
      </c>
      <c r="Q611" s="150">
        <f t="shared" si="75"/>
        <v>0</v>
      </c>
      <c r="R611" s="151"/>
      <c r="S611" s="152">
        <v>4778</v>
      </c>
      <c r="T611" s="158">
        <v>4778</v>
      </c>
      <c r="U611" s="153"/>
      <c r="V611" s="154"/>
      <c r="W611" s="154"/>
      <c r="X611" s="155"/>
      <c r="Y611" s="155" t="s">
        <v>1394</v>
      </c>
      <c r="Z611" s="155" t="s">
        <v>1442</v>
      </c>
      <c r="AA611" s="273">
        <f t="shared" si="76"/>
        <v>4.7779999999999996</v>
      </c>
      <c r="AB611" s="273">
        <f t="shared" si="77"/>
        <v>4.7779999999999996</v>
      </c>
      <c r="AC611" s="156">
        <f t="shared" si="78"/>
        <v>1000</v>
      </c>
      <c r="AD611" s="274">
        <f t="shared" si="79"/>
        <v>4778</v>
      </c>
      <c r="AE611" s="274">
        <f t="shared" si="73"/>
        <v>4778</v>
      </c>
      <c r="AF611" s="337"/>
    </row>
    <row r="612" spans="1:32">
      <c r="A612" s="337" t="s">
        <v>1523</v>
      </c>
      <c r="B612" s="146" t="s">
        <v>1</v>
      </c>
      <c r="C612" s="155" t="s">
        <v>1512</v>
      </c>
      <c r="D612" s="147"/>
      <c r="E612" s="148" t="s">
        <v>1498</v>
      </c>
      <c r="F612" s="147" t="s">
        <v>106</v>
      </c>
      <c r="G612" s="147" t="s">
        <v>1429</v>
      </c>
      <c r="H612" s="147">
        <v>7</v>
      </c>
      <c r="I612" s="149">
        <f t="shared" si="74"/>
        <v>7</v>
      </c>
      <c r="J612" s="147"/>
      <c r="K612" s="336" t="s">
        <v>57</v>
      </c>
      <c r="L612" s="147">
        <v>100</v>
      </c>
      <c r="M612" s="147" t="s">
        <v>9</v>
      </c>
      <c r="N612" s="147"/>
      <c r="O612" s="147" t="s">
        <v>98</v>
      </c>
      <c r="P612" s="147">
        <v>1000</v>
      </c>
      <c r="Q612" s="150">
        <f t="shared" si="75"/>
        <v>0</v>
      </c>
      <c r="R612" s="151"/>
      <c r="S612" s="152">
        <v>1179</v>
      </c>
      <c r="T612" s="158">
        <v>1179</v>
      </c>
      <c r="U612" s="153"/>
      <c r="V612" s="154"/>
      <c r="W612" s="154"/>
      <c r="X612" s="155"/>
      <c r="Y612" s="155" t="s">
        <v>1394</v>
      </c>
      <c r="Z612" s="155" t="s">
        <v>1442</v>
      </c>
      <c r="AA612" s="273">
        <f t="shared" si="76"/>
        <v>1.179</v>
      </c>
      <c r="AB612" s="273">
        <f t="shared" si="77"/>
        <v>1.179</v>
      </c>
      <c r="AC612" s="156">
        <f t="shared" si="78"/>
        <v>1000</v>
      </c>
      <c r="AD612" s="274">
        <f t="shared" si="79"/>
        <v>1179</v>
      </c>
      <c r="AE612" s="274">
        <f t="shared" si="73"/>
        <v>1179</v>
      </c>
      <c r="AF612" s="337"/>
    </row>
    <row r="613" spans="1:32">
      <c r="A613" s="337" t="s">
        <v>1523</v>
      </c>
      <c r="B613" s="146" t="s">
        <v>1</v>
      </c>
      <c r="C613" s="155" t="s">
        <v>1512</v>
      </c>
      <c r="D613" s="147"/>
      <c r="E613" s="148" t="s">
        <v>1498</v>
      </c>
      <c r="F613" s="147" t="s">
        <v>106</v>
      </c>
      <c r="G613" s="147" t="s">
        <v>1429</v>
      </c>
      <c r="H613" s="147">
        <v>8</v>
      </c>
      <c r="I613" s="149">
        <f t="shared" si="74"/>
        <v>8</v>
      </c>
      <c r="J613" s="147"/>
      <c r="K613" s="336" t="s">
        <v>55</v>
      </c>
      <c r="L613" s="147">
        <v>100</v>
      </c>
      <c r="M613" s="147" t="s">
        <v>9</v>
      </c>
      <c r="N613" s="147"/>
      <c r="O613" s="147" t="s">
        <v>98</v>
      </c>
      <c r="P613" s="147">
        <v>1000</v>
      </c>
      <c r="Q613" s="150">
        <f t="shared" si="75"/>
        <v>0</v>
      </c>
      <c r="R613" s="151"/>
      <c r="S613" s="152">
        <v>1257</v>
      </c>
      <c r="T613" s="158">
        <v>1257</v>
      </c>
      <c r="U613" s="153"/>
      <c r="V613" s="154"/>
      <c r="W613" s="154"/>
      <c r="X613" s="155"/>
      <c r="Y613" s="155" t="s">
        <v>1394</v>
      </c>
      <c r="Z613" s="155" t="s">
        <v>1442</v>
      </c>
      <c r="AA613" s="273">
        <f t="shared" si="76"/>
        <v>1.2569999999999999</v>
      </c>
      <c r="AB613" s="273">
        <f t="shared" si="77"/>
        <v>1.2569999999999999</v>
      </c>
      <c r="AC613" s="156">
        <f t="shared" si="78"/>
        <v>1000</v>
      </c>
      <c r="AD613" s="274">
        <f t="shared" si="79"/>
        <v>1257</v>
      </c>
      <c r="AE613" s="274">
        <f t="shared" si="73"/>
        <v>1257</v>
      </c>
      <c r="AF613" s="337"/>
    </row>
    <row r="614" spans="1:32">
      <c r="A614" s="337" t="s">
        <v>1523</v>
      </c>
      <c r="B614" s="146" t="s">
        <v>1</v>
      </c>
      <c r="C614" s="155" t="s">
        <v>1512</v>
      </c>
      <c r="D614" s="147"/>
      <c r="E614" s="148" t="s">
        <v>1498</v>
      </c>
      <c r="F614" s="147" t="s">
        <v>106</v>
      </c>
      <c r="G614" s="147" t="s">
        <v>1429</v>
      </c>
      <c r="H614" s="147">
        <v>17</v>
      </c>
      <c r="I614" s="149">
        <f t="shared" si="74"/>
        <v>17</v>
      </c>
      <c r="J614" s="147"/>
      <c r="K614" s="336" t="s">
        <v>53</v>
      </c>
      <c r="L614" s="147">
        <v>100</v>
      </c>
      <c r="M614" s="147" t="s">
        <v>9</v>
      </c>
      <c r="N614" s="147"/>
      <c r="O614" s="147" t="s">
        <v>98</v>
      </c>
      <c r="P614" s="147">
        <v>1000</v>
      </c>
      <c r="Q614" s="150">
        <f t="shared" si="75"/>
        <v>0</v>
      </c>
      <c r="R614" s="151"/>
      <c r="S614" s="152">
        <v>2059</v>
      </c>
      <c r="T614" s="158">
        <v>2059</v>
      </c>
      <c r="U614" s="153"/>
      <c r="V614" s="154"/>
      <c r="W614" s="154"/>
      <c r="X614" s="155"/>
      <c r="Y614" s="155" t="s">
        <v>1394</v>
      </c>
      <c r="Z614" s="155" t="s">
        <v>1442</v>
      </c>
      <c r="AA614" s="273">
        <f t="shared" si="76"/>
        <v>2.0590000000000002</v>
      </c>
      <c r="AB614" s="273">
        <f t="shared" si="77"/>
        <v>2.0590000000000002</v>
      </c>
      <c r="AC614" s="156">
        <f t="shared" si="78"/>
        <v>1000</v>
      </c>
      <c r="AD614" s="274">
        <f t="shared" si="79"/>
        <v>2059</v>
      </c>
      <c r="AE614" s="274">
        <f t="shared" si="73"/>
        <v>2059</v>
      </c>
      <c r="AF614" s="337"/>
    </row>
    <row r="615" spans="1:32">
      <c r="A615" s="337" t="s">
        <v>1523</v>
      </c>
      <c r="B615" s="146" t="s">
        <v>1</v>
      </c>
      <c r="C615" s="155" t="s">
        <v>1512</v>
      </c>
      <c r="D615" s="147"/>
      <c r="E615" s="148" t="s">
        <v>1498</v>
      </c>
      <c r="F615" s="147" t="s">
        <v>106</v>
      </c>
      <c r="G615" s="147" t="s">
        <v>1429</v>
      </c>
      <c r="H615" s="147">
        <v>22</v>
      </c>
      <c r="I615" s="149">
        <f t="shared" si="74"/>
        <v>22</v>
      </c>
      <c r="J615" s="147"/>
      <c r="K615" s="336" t="s">
        <v>51</v>
      </c>
      <c r="L615" s="147">
        <v>100</v>
      </c>
      <c r="M615" s="147" t="s">
        <v>9</v>
      </c>
      <c r="N615" s="147"/>
      <c r="O615" s="147" t="s">
        <v>98</v>
      </c>
      <c r="P615" s="147">
        <v>1000</v>
      </c>
      <c r="Q615" s="150">
        <f t="shared" si="75"/>
        <v>0</v>
      </c>
      <c r="R615" s="151"/>
      <c r="S615" s="152">
        <v>4994</v>
      </c>
      <c r="T615" s="158">
        <v>4994</v>
      </c>
      <c r="U615" s="153"/>
      <c r="V615" s="154"/>
      <c r="W615" s="154"/>
      <c r="X615" s="155"/>
      <c r="Y615" s="155" t="s">
        <v>1394</v>
      </c>
      <c r="Z615" s="155" t="s">
        <v>1442</v>
      </c>
      <c r="AA615" s="273">
        <f t="shared" si="76"/>
        <v>4.9939999999999998</v>
      </c>
      <c r="AB615" s="273">
        <f t="shared" si="77"/>
        <v>4.9939999999999998</v>
      </c>
      <c r="AC615" s="156">
        <f t="shared" si="78"/>
        <v>1000</v>
      </c>
      <c r="AD615" s="274">
        <f t="shared" si="79"/>
        <v>4994</v>
      </c>
      <c r="AE615" s="274">
        <f t="shared" si="73"/>
        <v>4994</v>
      </c>
      <c r="AF615" s="337"/>
    </row>
    <row r="616" spans="1:32">
      <c r="A616" s="337" t="s">
        <v>1523</v>
      </c>
      <c r="B616" s="146" t="s">
        <v>1</v>
      </c>
      <c r="C616" s="155" t="s">
        <v>1512</v>
      </c>
      <c r="D616" s="147"/>
      <c r="E616" s="148" t="s">
        <v>1498</v>
      </c>
      <c r="F616" s="147" t="s">
        <v>106</v>
      </c>
      <c r="G616" s="147" t="s">
        <v>1429</v>
      </c>
      <c r="H616" s="147">
        <v>33</v>
      </c>
      <c r="I616" s="149">
        <f t="shared" si="74"/>
        <v>33</v>
      </c>
      <c r="J616" s="147"/>
      <c r="K616" s="336" t="s">
        <v>59</v>
      </c>
      <c r="L616" s="147">
        <v>100</v>
      </c>
      <c r="M616" s="147" t="s">
        <v>9</v>
      </c>
      <c r="N616" s="147"/>
      <c r="O616" s="147" t="s">
        <v>98</v>
      </c>
      <c r="P616" s="147">
        <v>1000</v>
      </c>
      <c r="Q616" s="150">
        <f t="shared" si="75"/>
        <v>0</v>
      </c>
      <c r="R616" s="151"/>
      <c r="S616" s="152">
        <v>2909</v>
      </c>
      <c r="T616" s="158">
        <v>2909</v>
      </c>
      <c r="U616" s="153"/>
      <c r="V616" s="154"/>
      <c r="W616" s="154"/>
      <c r="X616" s="155"/>
      <c r="Y616" s="155" t="s">
        <v>1394</v>
      </c>
      <c r="Z616" s="155" t="s">
        <v>1442</v>
      </c>
      <c r="AA616" s="273">
        <f t="shared" si="76"/>
        <v>2.9089999999999998</v>
      </c>
      <c r="AB616" s="273">
        <f t="shared" si="77"/>
        <v>2.9089999999999998</v>
      </c>
      <c r="AC616" s="156">
        <f t="shared" si="78"/>
        <v>1000</v>
      </c>
      <c r="AD616" s="274">
        <f t="shared" si="79"/>
        <v>2909</v>
      </c>
      <c r="AE616" s="274">
        <f t="shared" si="73"/>
        <v>2909</v>
      </c>
      <c r="AF616" s="337"/>
    </row>
    <row r="617" spans="1:32">
      <c r="A617" s="337" t="s">
        <v>1523</v>
      </c>
      <c r="B617" s="146" t="s">
        <v>1</v>
      </c>
      <c r="C617" s="155" t="s">
        <v>1512</v>
      </c>
      <c r="D617" s="147"/>
      <c r="E617" s="148" t="s">
        <v>1498</v>
      </c>
      <c r="F617" s="147" t="s">
        <v>106</v>
      </c>
      <c r="G617" s="147" t="s">
        <v>1429</v>
      </c>
      <c r="H617" s="147">
        <v>42</v>
      </c>
      <c r="I617" s="149">
        <f t="shared" si="74"/>
        <v>42</v>
      </c>
      <c r="J617" s="147"/>
      <c r="K617" s="336" t="s">
        <v>61</v>
      </c>
      <c r="L617" s="147">
        <v>100</v>
      </c>
      <c r="M617" s="147" t="s">
        <v>9</v>
      </c>
      <c r="N617" s="147"/>
      <c r="O617" s="147" t="s">
        <v>98</v>
      </c>
      <c r="P617" s="147">
        <v>1000</v>
      </c>
      <c r="Q617" s="150">
        <f t="shared" si="75"/>
        <v>0</v>
      </c>
      <c r="R617" s="151"/>
      <c r="S617" s="152">
        <v>2803</v>
      </c>
      <c r="T617" s="158">
        <v>2803</v>
      </c>
      <c r="U617" s="153"/>
      <c r="V617" s="154"/>
      <c r="W617" s="154"/>
      <c r="X617" s="155"/>
      <c r="Y617" s="155" t="s">
        <v>1394</v>
      </c>
      <c r="Z617" s="155" t="s">
        <v>1442</v>
      </c>
      <c r="AA617" s="273">
        <f t="shared" si="76"/>
        <v>2.8029999999999999</v>
      </c>
      <c r="AB617" s="273">
        <f t="shared" si="77"/>
        <v>2.8029999999999999</v>
      </c>
      <c r="AC617" s="156">
        <f t="shared" si="78"/>
        <v>1000</v>
      </c>
      <c r="AD617" s="274">
        <f t="shared" si="79"/>
        <v>2803</v>
      </c>
      <c r="AE617" s="274">
        <f t="shared" si="73"/>
        <v>2803</v>
      </c>
      <c r="AF617" s="337"/>
    </row>
    <row r="618" spans="1:32">
      <c r="A618" s="337" t="s">
        <v>1523</v>
      </c>
      <c r="B618" s="146" t="s">
        <v>1</v>
      </c>
      <c r="C618" s="155" t="s">
        <v>1512</v>
      </c>
      <c r="D618" s="147"/>
      <c r="E618" s="148" t="s">
        <v>1498</v>
      </c>
      <c r="F618" s="147" t="s">
        <v>106</v>
      </c>
      <c r="G618" s="147" t="s">
        <v>1429</v>
      </c>
      <c r="H618" s="147">
        <v>43</v>
      </c>
      <c r="I618" s="149">
        <f t="shared" si="74"/>
        <v>43</v>
      </c>
      <c r="J618" s="147"/>
      <c r="K618" s="336" t="s">
        <v>1505</v>
      </c>
      <c r="L618" s="147">
        <v>100</v>
      </c>
      <c r="M618" s="147" t="s">
        <v>9</v>
      </c>
      <c r="N618" s="147"/>
      <c r="O618" s="147" t="s">
        <v>98</v>
      </c>
      <c r="P618" s="147">
        <v>1000</v>
      </c>
      <c r="Q618" s="150">
        <f t="shared" si="75"/>
        <v>0</v>
      </c>
      <c r="R618" s="151"/>
      <c r="S618" s="152">
        <v>4097</v>
      </c>
      <c r="T618" s="158">
        <v>4097</v>
      </c>
      <c r="U618" s="153"/>
      <c r="V618" s="154"/>
      <c r="W618" s="154"/>
      <c r="X618" s="155"/>
      <c r="Y618" s="155" t="s">
        <v>1394</v>
      </c>
      <c r="Z618" s="155" t="s">
        <v>1442</v>
      </c>
      <c r="AA618" s="273">
        <f t="shared" si="76"/>
        <v>4.0970000000000004</v>
      </c>
      <c r="AB618" s="273">
        <f t="shared" si="77"/>
        <v>4.0970000000000004</v>
      </c>
      <c r="AC618" s="156">
        <f t="shared" si="78"/>
        <v>1000</v>
      </c>
      <c r="AD618" s="274">
        <f t="shared" si="79"/>
        <v>4097</v>
      </c>
      <c r="AE618" s="274">
        <f t="shared" si="73"/>
        <v>4097</v>
      </c>
      <c r="AF618" s="337"/>
    </row>
    <row r="619" spans="1:32">
      <c r="A619" s="337" t="s">
        <v>1523</v>
      </c>
      <c r="B619" s="146" t="s">
        <v>1</v>
      </c>
      <c r="C619" s="155" t="s">
        <v>1512</v>
      </c>
      <c r="D619" s="147"/>
      <c r="E619" s="148" t="s">
        <v>1498</v>
      </c>
      <c r="F619" s="147" t="s">
        <v>106</v>
      </c>
      <c r="G619" s="147" t="s">
        <v>1429</v>
      </c>
      <c r="H619" s="147">
        <v>46</v>
      </c>
      <c r="I619" s="149">
        <f t="shared" si="74"/>
        <v>46</v>
      </c>
      <c r="J619" s="147"/>
      <c r="K619" s="336" t="s">
        <v>1506</v>
      </c>
      <c r="L619" s="147">
        <v>100</v>
      </c>
      <c r="M619" s="147" t="s">
        <v>9</v>
      </c>
      <c r="N619" s="147"/>
      <c r="O619" s="147" t="s">
        <v>98</v>
      </c>
      <c r="P619" s="147">
        <v>1000</v>
      </c>
      <c r="Q619" s="150">
        <f t="shared" si="75"/>
        <v>0</v>
      </c>
      <c r="R619" s="151"/>
      <c r="S619" s="152">
        <v>3000</v>
      </c>
      <c r="T619" s="158">
        <v>3000</v>
      </c>
      <c r="U619" s="153"/>
      <c r="V619" s="154"/>
      <c r="W619" s="154"/>
      <c r="X619" s="155"/>
      <c r="Y619" s="155" t="s">
        <v>1394</v>
      </c>
      <c r="Z619" s="155" t="s">
        <v>1442</v>
      </c>
      <c r="AA619" s="273">
        <f t="shared" si="76"/>
        <v>3</v>
      </c>
      <c r="AB619" s="273">
        <f t="shared" si="77"/>
        <v>3</v>
      </c>
      <c r="AC619" s="156">
        <f t="shared" si="78"/>
        <v>1000</v>
      </c>
      <c r="AD619" s="274">
        <f t="shared" si="79"/>
        <v>3000</v>
      </c>
      <c r="AE619" s="274">
        <f t="shared" si="73"/>
        <v>3000</v>
      </c>
      <c r="AF619" s="337"/>
    </row>
    <row r="620" spans="1:32">
      <c r="A620" s="337" t="s">
        <v>1523</v>
      </c>
      <c r="B620" s="146" t="s">
        <v>1</v>
      </c>
      <c r="C620" s="155" t="s">
        <v>1512</v>
      </c>
      <c r="D620" s="147"/>
      <c r="E620" s="148" t="s">
        <v>1498</v>
      </c>
      <c r="F620" s="147" t="s">
        <v>106</v>
      </c>
      <c r="G620" s="147" t="s">
        <v>1429</v>
      </c>
      <c r="H620" s="147">
        <v>46</v>
      </c>
      <c r="I620" s="149">
        <f t="shared" si="74"/>
        <v>46</v>
      </c>
      <c r="J620" s="147"/>
      <c r="K620" s="336" t="s">
        <v>1507</v>
      </c>
      <c r="L620" s="147">
        <v>100</v>
      </c>
      <c r="M620" s="147" t="s">
        <v>9</v>
      </c>
      <c r="N620" s="147"/>
      <c r="O620" s="147" t="s">
        <v>98</v>
      </c>
      <c r="P620" s="147">
        <v>1000</v>
      </c>
      <c r="Q620" s="150">
        <f t="shared" si="75"/>
        <v>0</v>
      </c>
      <c r="R620" s="151"/>
      <c r="S620" s="152">
        <v>4437</v>
      </c>
      <c r="T620" s="158">
        <v>4437</v>
      </c>
      <c r="U620" s="153"/>
      <c r="V620" s="154"/>
      <c r="W620" s="154"/>
      <c r="X620" s="155"/>
      <c r="Y620" s="155" t="s">
        <v>1394</v>
      </c>
      <c r="Z620" s="155" t="s">
        <v>1442</v>
      </c>
      <c r="AA620" s="273">
        <f t="shared" si="76"/>
        <v>4.4370000000000003</v>
      </c>
      <c r="AB620" s="273">
        <f t="shared" si="77"/>
        <v>4.4370000000000003</v>
      </c>
      <c r="AC620" s="156">
        <f t="shared" si="78"/>
        <v>1000</v>
      </c>
      <c r="AD620" s="274">
        <f t="shared" si="79"/>
        <v>4437</v>
      </c>
      <c r="AE620" s="274">
        <f t="shared" si="73"/>
        <v>4437</v>
      </c>
      <c r="AF620" s="337"/>
    </row>
    <row r="621" spans="1:32">
      <c r="A621" s="337" t="s">
        <v>1523</v>
      </c>
      <c r="B621" s="146" t="s">
        <v>1</v>
      </c>
      <c r="C621" s="155" t="s">
        <v>1512</v>
      </c>
      <c r="D621" s="147"/>
      <c r="E621" s="148" t="s">
        <v>1498</v>
      </c>
      <c r="F621" s="147" t="s">
        <v>106</v>
      </c>
      <c r="G621" s="147" t="s">
        <v>1429</v>
      </c>
      <c r="H621" s="147">
        <v>46</v>
      </c>
      <c r="I621" s="149">
        <f t="shared" si="74"/>
        <v>46</v>
      </c>
      <c r="J621" s="147"/>
      <c r="K621" s="336" t="s">
        <v>1508</v>
      </c>
      <c r="L621" s="147">
        <v>100</v>
      </c>
      <c r="M621" s="147" t="s">
        <v>9</v>
      </c>
      <c r="N621" s="147"/>
      <c r="O621" s="147" t="s">
        <v>98</v>
      </c>
      <c r="P621" s="147">
        <v>1000</v>
      </c>
      <c r="Q621" s="150">
        <f t="shared" si="75"/>
        <v>0</v>
      </c>
      <c r="R621" s="151"/>
      <c r="S621" s="152">
        <v>4773</v>
      </c>
      <c r="T621" s="158">
        <v>4773</v>
      </c>
      <c r="U621" s="153"/>
      <c r="V621" s="154"/>
      <c r="W621" s="154"/>
      <c r="X621" s="155"/>
      <c r="Y621" s="155" t="s">
        <v>1394</v>
      </c>
      <c r="Z621" s="155" t="s">
        <v>1442</v>
      </c>
      <c r="AA621" s="273">
        <f t="shared" si="76"/>
        <v>4.7729999999999997</v>
      </c>
      <c r="AB621" s="273">
        <f t="shared" si="77"/>
        <v>4.7729999999999997</v>
      </c>
      <c r="AC621" s="156">
        <f t="shared" si="78"/>
        <v>1000</v>
      </c>
      <c r="AD621" s="274">
        <f t="shared" si="79"/>
        <v>4773</v>
      </c>
      <c r="AE621" s="274">
        <f t="shared" si="73"/>
        <v>4773</v>
      </c>
      <c r="AF621" s="337"/>
    </row>
    <row r="622" spans="1:32">
      <c r="A622" s="337" t="s">
        <v>1523</v>
      </c>
      <c r="B622" s="146" t="s">
        <v>1</v>
      </c>
      <c r="C622" s="155" t="s">
        <v>1512</v>
      </c>
      <c r="D622" s="147"/>
      <c r="E622" s="148" t="s">
        <v>1498</v>
      </c>
      <c r="F622" s="147" t="s">
        <v>106</v>
      </c>
      <c r="G622" s="147" t="s">
        <v>1429</v>
      </c>
      <c r="H622" s="147">
        <v>58</v>
      </c>
      <c r="I622" s="149">
        <f t="shared" si="74"/>
        <v>58</v>
      </c>
      <c r="J622" s="147"/>
      <c r="K622" s="336" t="s">
        <v>67</v>
      </c>
      <c r="L622" s="147">
        <v>100</v>
      </c>
      <c r="M622" s="147" t="s">
        <v>9</v>
      </c>
      <c r="N622" s="147"/>
      <c r="O622" s="147" t="s">
        <v>98</v>
      </c>
      <c r="P622" s="147">
        <v>1000</v>
      </c>
      <c r="Q622" s="150">
        <f t="shared" si="75"/>
        <v>0</v>
      </c>
      <c r="R622" s="151"/>
      <c r="S622" s="152">
        <v>2752</v>
      </c>
      <c r="T622" s="158">
        <v>2752</v>
      </c>
      <c r="U622" s="153"/>
      <c r="V622" s="154"/>
      <c r="W622" s="154"/>
      <c r="X622" s="155"/>
      <c r="Y622" s="155" t="s">
        <v>1394</v>
      </c>
      <c r="Z622" s="155" t="s">
        <v>1442</v>
      </c>
      <c r="AA622" s="273">
        <f t="shared" si="76"/>
        <v>2.7519999999999998</v>
      </c>
      <c r="AB622" s="273">
        <f t="shared" si="77"/>
        <v>2.7519999999999998</v>
      </c>
      <c r="AC622" s="156">
        <f t="shared" si="78"/>
        <v>1000</v>
      </c>
      <c r="AD622" s="274">
        <f t="shared" si="79"/>
        <v>2752</v>
      </c>
      <c r="AE622" s="274">
        <f t="shared" si="73"/>
        <v>2752</v>
      </c>
      <c r="AF622" s="337"/>
    </row>
    <row r="623" spans="1:32">
      <c r="A623" s="337" t="s">
        <v>1523</v>
      </c>
      <c r="B623" s="146" t="s">
        <v>1</v>
      </c>
      <c r="C623" s="155" t="s">
        <v>1512</v>
      </c>
      <c r="D623" s="147"/>
      <c r="E623" s="148" t="s">
        <v>1498</v>
      </c>
      <c r="F623" s="147" t="s">
        <v>106</v>
      </c>
      <c r="G623" s="147" t="s">
        <v>1429</v>
      </c>
      <c r="H623" s="147">
        <v>59</v>
      </c>
      <c r="I623" s="149">
        <f t="shared" si="74"/>
        <v>59</v>
      </c>
      <c r="J623" s="147"/>
      <c r="K623" s="336" t="s">
        <v>99</v>
      </c>
      <c r="L623" s="147">
        <v>100</v>
      </c>
      <c r="M623" s="147" t="s">
        <v>9</v>
      </c>
      <c r="N623" s="147"/>
      <c r="O623" s="147" t="s">
        <v>98</v>
      </c>
      <c r="P623" s="147">
        <v>1000</v>
      </c>
      <c r="Q623" s="150">
        <f t="shared" si="75"/>
        <v>0</v>
      </c>
      <c r="R623" s="151"/>
      <c r="S623" s="152">
        <v>2654</v>
      </c>
      <c r="T623" s="158">
        <v>2654</v>
      </c>
      <c r="U623" s="153"/>
      <c r="V623" s="154"/>
      <c r="W623" s="154"/>
      <c r="X623" s="155"/>
      <c r="Y623" s="155" t="s">
        <v>1394</v>
      </c>
      <c r="Z623" s="155" t="s">
        <v>1442</v>
      </c>
      <c r="AA623" s="273">
        <f t="shared" si="76"/>
        <v>2.6539999999999999</v>
      </c>
      <c r="AB623" s="273">
        <f t="shared" si="77"/>
        <v>2.6539999999999999</v>
      </c>
      <c r="AC623" s="156">
        <f t="shared" si="78"/>
        <v>1000</v>
      </c>
      <c r="AD623" s="274">
        <f t="shared" si="79"/>
        <v>2654</v>
      </c>
      <c r="AE623" s="274">
        <f t="shared" si="73"/>
        <v>2654</v>
      </c>
      <c r="AF623" s="337"/>
    </row>
    <row r="624" spans="1:32">
      <c r="A624" s="337" t="s">
        <v>1523</v>
      </c>
      <c r="B624" s="146" t="s">
        <v>1</v>
      </c>
      <c r="C624" s="155" t="s">
        <v>1512</v>
      </c>
      <c r="D624" s="147"/>
      <c r="E624" s="148" t="s">
        <v>1498</v>
      </c>
      <c r="F624" s="147" t="s">
        <v>106</v>
      </c>
      <c r="G624" s="147" t="s">
        <v>1429</v>
      </c>
      <c r="H624" s="147">
        <v>69</v>
      </c>
      <c r="I624" s="149">
        <f t="shared" si="74"/>
        <v>69</v>
      </c>
      <c r="J624" s="147"/>
      <c r="K624" s="336" t="s">
        <v>1509</v>
      </c>
      <c r="L624" s="147">
        <v>100</v>
      </c>
      <c r="M624" s="147" t="s">
        <v>9</v>
      </c>
      <c r="N624" s="147"/>
      <c r="O624" s="147" t="s">
        <v>98</v>
      </c>
      <c r="P624" s="147">
        <v>1000</v>
      </c>
      <c r="Q624" s="150">
        <f t="shared" si="75"/>
        <v>0</v>
      </c>
      <c r="R624" s="151"/>
      <c r="S624" s="152">
        <v>2991</v>
      </c>
      <c r="T624" s="158">
        <v>2991</v>
      </c>
      <c r="U624" s="153"/>
      <c r="V624" s="154"/>
      <c r="W624" s="154"/>
      <c r="X624" s="155"/>
      <c r="Y624" s="155" t="s">
        <v>1394</v>
      </c>
      <c r="Z624" s="155" t="s">
        <v>1442</v>
      </c>
      <c r="AA624" s="273">
        <f t="shared" si="76"/>
        <v>2.9910000000000001</v>
      </c>
      <c r="AB624" s="273">
        <f t="shared" si="77"/>
        <v>2.9910000000000001</v>
      </c>
      <c r="AC624" s="156">
        <f t="shared" si="78"/>
        <v>1000</v>
      </c>
      <c r="AD624" s="274">
        <f t="shared" si="79"/>
        <v>2991</v>
      </c>
      <c r="AE624" s="274">
        <f t="shared" si="73"/>
        <v>2991</v>
      </c>
      <c r="AF624" s="337"/>
    </row>
    <row r="625" spans="1:32">
      <c r="A625" s="337" t="s">
        <v>1523</v>
      </c>
      <c r="B625" s="146" t="s">
        <v>1</v>
      </c>
      <c r="C625" s="155" t="s">
        <v>1512</v>
      </c>
      <c r="D625" s="147"/>
      <c r="E625" s="148" t="s">
        <v>1498</v>
      </c>
      <c r="F625" s="147" t="s">
        <v>106</v>
      </c>
      <c r="G625" s="147" t="s">
        <v>1429</v>
      </c>
      <c r="H625" s="147">
        <v>70</v>
      </c>
      <c r="I625" s="149">
        <f t="shared" si="74"/>
        <v>70</v>
      </c>
      <c r="J625" s="147"/>
      <c r="K625" s="336" t="s">
        <v>1510</v>
      </c>
      <c r="L625" s="147">
        <v>100</v>
      </c>
      <c r="M625" s="147" t="s">
        <v>9</v>
      </c>
      <c r="N625" s="147"/>
      <c r="O625" s="147" t="s">
        <v>98</v>
      </c>
      <c r="P625" s="147">
        <v>1000</v>
      </c>
      <c r="Q625" s="150">
        <f t="shared" si="75"/>
        <v>0</v>
      </c>
      <c r="R625" s="151"/>
      <c r="S625" s="152">
        <v>4691</v>
      </c>
      <c r="T625" s="158">
        <v>4691</v>
      </c>
      <c r="U625" s="153"/>
      <c r="V625" s="154"/>
      <c r="W625" s="154"/>
      <c r="X625" s="155"/>
      <c r="Y625" s="155" t="s">
        <v>1394</v>
      </c>
      <c r="Z625" s="155" t="s">
        <v>1442</v>
      </c>
      <c r="AA625" s="273">
        <f t="shared" si="76"/>
        <v>4.6909999999999998</v>
      </c>
      <c r="AB625" s="273">
        <f t="shared" si="77"/>
        <v>4.6909999999999998</v>
      </c>
      <c r="AC625" s="156">
        <f t="shared" si="78"/>
        <v>1000</v>
      </c>
      <c r="AD625" s="274">
        <f t="shared" si="79"/>
        <v>4691</v>
      </c>
      <c r="AE625" s="274">
        <f t="shared" si="73"/>
        <v>4691</v>
      </c>
      <c r="AF625" s="337"/>
    </row>
    <row r="626" spans="1:32">
      <c r="A626" s="337" t="s">
        <v>1523</v>
      </c>
      <c r="B626" s="146" t="s">
        <v>1</v>
      </c>
      <c r="C626" s="155" t="s">
        <v>1512</v>
      </c>
      <c r="D626" s="147"/>
      <c r="E626" s="148" t="s">
        <v>1498</v>
      </c>
      <c r="F626" s="147" t="s">
        <v>106</v>
      </c>
      <c r="G626" s="147" t="s">
        <v>1429</v>
      </c>
      <c r="H626" s="147">
        <v>70</v>
      </c>
      <c r="I626" s="149">
        <f t="shared" si="74"/>
        <v>70</v>
      </c>
      <c r="J626" s="147"/>
      <c r="K626" s="336" t="s">
        <v>1511</v>
      </c>
      <c r="L626" s="147">
        <v>100</v>
      </c>
      <c r="M626" s="147" t="s">
        <v>9</v>
      </c>
      <c r="N626" s="147"/>
      <c r="O626" s="147" t="s">
        <v>98</v>
      </c>
      <c r="P626" s="147">
        <v>1000</v>
      </c>
      <c r="Q626" s="150">
        <f t="shared" si="75"/>
        <v>0</v>
      </c>
      <c r="R626" s="151"/>
      <c r="S626" s="152">
        <v>4599</v>
      </c>
      <c r="T626" s="158">
        <v>4599</v>
      </c>
      <c r="U626" s="153"/>
      <c r="V626" s="154"/>
      <c r="W626" s="154"/>
      <c r="X626" s="155"/>
      <c r="Y626" s="155" t="s">
        <v>1394</v>
      </c>
      <c r="Z626" s="155" t="s">
        <v>1442</v>
      </c>
      <c r="AA626" s="273">
        <f t="shared" si="76"/>
        <v>4.5990000000000002</v>
      </c>
      <c r="AB626" s="273">
        <f t="shared" si="77"/>
        <v>4.5990000000000002</v>
      </c>
      <c r="AC626" s="156">
        <f t="shared" si="78"/>
        <v>1000</v>
      </c>
      <c r="AD626" s="274">
        <f t="shared" si="79"/>
        <v>4599</v>
      </c>
      <c r="AE626" s="274">
        <f t="shared" si="73"/>
        <v>4599</v>
      </c>
      <c r="AF626" s="337"/>
    </row>
    <row r="627" spans="1:32">
      <c r="A627" s="337" t="s">
        <v>1523</v>
      </c>
      <c r="B627" s="146" t="s">
        <v>1</v>
      </c>
      <c r="C627" s="155" t="s">
        <v>1512</v>
      </c>
      <c r="D627" s="147"/>
      <c r="E627" s="148" t="s">
        <v>1499</v>
      </c>
      <c r="F627" s="147" t="s">
        <v>106</v>
      </c>
      <c r="G627" s="147" t="s">
        <v>1429</v>
      </c>
      <c r="H627" s="147">
        <v>7</v>
      </c>
      <c r="I627" s="149">
        <f t="shared" si="74"/>
        <v>7</v>
      </c>
      <c r="J627" s="147"/>
      <c r="K627" s="336" t="s">
        <v>57</v>
      </c>
      <c r="L627" s="147">
        <v>100</v>
      </c>
      <c r="M627" s="147" t="s">
        <v>9</v>
      </c>
      <c r="N627" s="147"/>
      <c r="O627" s="147" t="s">
        <v>98</v>
      </c>
      <c r="P627" s="147">
        <v>1000</v>
      </c>
      <c r="Q627" s="150">
        <f t="shared" si="75"/>
        <v>0</v>
      </c>
      <c r="R627" s="151"/>
      <c r="S627" s="152">
        <v>1058</v>
      </c>
      <c r="T627" s="158">
        <v>1058</v>
      </c>
      <c r="U627" s="153"/>
      <c r="V627" s="154"/>
      <c r="W627" s="154"/>
      <c r="X627" s="155"/>
      <c r="Y627" s="155" t="s">
        <v>1394</v>
      </c>
      <c r="Z627" s="155" t="s">
        <v>1442</v>
      </c>
      <c r="AA627" s="273">
        <f t="shared" si="76"/>
        <v>1.0580000000000001</v>
      </c>
      <c r="AB627" s="273">
        <f t="shared" si="77"/>
        <v>1.0580000000000001</v>
      </c>
      <c r="AC627" s="156">
        <f t="shared" si="78"/>
        <v>1000</v>
      </c>
      <c r="AD627" s="274">
        <f t="shared" si="79"/>
        <v>1058</v>
      </c>
      <c r="AE627" s="274">
        <f t="shared" si="73"/>
        <v>1058</v>
      </c>
      <c r="AF627" s="337"/>
    </row>
    <row r="628" spans="1:32">
      <c r="A628" s="337" t="s">
        <v>1523</v>
      </c>
      <c r="B628" s="146" t="s">
        <v>1</v>
      </c>
      <c r="C628" s="155" t="s">
        <v>1512</v>
      </c>
      <c r="D628" s="147"/>
      <c r="E628" s="148" t="s">
        <v>1499</v>
      </c>
      <c r="F628" s="147" t="s">
        <v>106</v>
      </c>
      <c r="G628" s="147" t="s">
        <v>1429</v>
      </c>
      <c r="H628" s="147">
        <v>8</v>
      </c>
      <c r="I628" s="149">
        <f t="shared" si="74"/>
        <v>8</v>
      </c>
      <c r="J628" s="147"/>
      <c r="K628" s="336" t="s">
        <v>55</v>
      </c>
      <c r="L628" s="147">
        <v>100</v>
      </c>
      <c r="M628" s="147" t="s">
        <v>9</v>
      </c>
      <c r="N628" s="147"/>
      <c r="O628" s="147" t="s">
        <v>98</v>
      </c>
      <c r="P628" s="147">
        <v>1000</v>
      </c>
      <c r="Q628" s="150">
        <f t="shared" si="75"/>
        <v>0</v>
      </c>
      <c r="R628" s="151"/>
      <c r="S628" s="152">
        <v>1260</v>
      </c>
      <c r="T628" s="158">
        <v>1260</v>
      </c>
      <c r="U628" s="153"/>
      <c r="V628" s="154"/>
      <c r="W628" s="154"/>
      <c r="X628" s="155"/>
      <c r="Y628" s="155" t="s">
        <v>1394</v>
      </c>
      <c r="Z628" s="155" t="s">
        <v>1442</v>
      </c>
      <c r="AA628" s="273">
        <f t="shared" si="76"/>
        <v>1.26</v>
      </c>
      <c r="AB628" s="273">
        <f t="shared" si="77"/>
        <v>1.26</v>
      </c>
      <c r="AC628" s="156">
        <f t="shared" si="78"/>
        <v>1000</v>
      </c>
      <c r="AD628" s="274">
        <f t="shared" si="79"/>
        <v>1260</v>
      </c>
      <c r="AE628" s="274">
        <f t="shared" si="73"/>
        <v>1260</v>
      </c>
      <c r="AF628" s="337"/>
    </row>
    <row r="629" spans="1:32">
      <c r="A629" s="337" t="s">
        <v>1523</v>
      </c>
      <c r="B629" s="146" t="s">
        <v>1</v>
      </c>
      <c r="C629" s="155" t="s">
        <v>1512</v>
      </c>
      <c r="D629" s="147"/>
      <c r="E629" s="148" t="s">
        <v>1499</v>
      </c>
      <c r="F629" s="147" t="s">
        <v>106</v>
      </c>
      <c r="G629" s="147" t="s">
        <v>1429</v>
      </c>
      <c r="H629" s="147">
        <v>17</v>
      </c>
      <c r="I629" s="149">
        <f t="shared" si="74"/>
        <v>17</v>
      </c>
      <c r="J629" s="147"/>
      <c r="K629" s="336" t="s">
        <v>53</v>
      </c>
      <c r="L629" s="147">
        <v>100</v>
      </c>
      <c r="M629" s="147" t="s">
        <v>9</v>
      </c>
      <c r="N629" s="147"/>
      <c r="O629" s="147" t="s">
        <v>98</v>
      </c>
      <c r="P629" s="147">
        <v>1000</v>
      </c>
      <c r="Q629" s="150">
        <f t="shared" si="75"/>
        <v>0</v>
      </c>
      <c r="R629" s="151"/>
      <c r="S629" s="152">
        <v>2217</v>
      </c>
      <c r="T629" s="158">
        <v>2217</v>
      </c>
      <c r="U629" s="153"/>
      <c r="V629" s="154"/>
      <c r="W629" s="154"/>
      <c r="X629" s="155"/>
      <c r="Y629" s="155" t="s">
        <v>1394</v>
      </c>
      <c r="Z629" s="155" t="s">
        <v>1442</v>
      </c>
      <c r="AA629" s="273">
        <f t="shared" si="76"/>
        <v>2.2170000000000001</v>
      </c>
      <c r="AB629" s="273">
        <f t="shared" si="77"/>
        <v>2.2170000000000001</v>
      </c>
      <c r="AC629" s="156">
        <f t="shared" si="78"/>
        <v>1000</v>
      </c>
      <c r="AD629" s="274">
        <f t="shared" si="79"/>
        <v>2217</v>
      </c>
      <c r="AE629" s="274">
        <f t="shared" si="73"/>
        <v>2217</v>
      </c>
      <c r="AF629" s="337"/>
    </row>
    <row r="630" spans="1:32">
      <c r="A630" s="337" t="s">
        <v>1523</v>
      </c>
      <c r="B630" s="146" t="s">
        <v>1</v>
      </c>
      <c r="C630" s="155" t="s">
        <v>1512</v>
      </c>
      <c r="D630" s="147"/>
      <c r="E630" s="148" t="s">
        <v>1499</v>
      </c>
      <c r="F630" s="147" t="s">
        <v>106</v>
      </c>
      <c r="G630" s="147" t="s">
        <v>1429</v>
      </c>
      <c r="H630" s="147">
        <v>22</v>
      </c>
      <c r="I630" s="149">
        <f t="shared" si="74"/>
        <v>22</v>
      </c>
      <c r="J630" s="147"/>
      <c r="K630" s="336" t="s">
        <v>51</v>
      </c>
      <c r="L630" s="147">
        <v>100</v>
      </c>
      <c r="M630" s="147" t="s">
        <v>9</v>
      </c>
      <c r="N630" s="147"/>
      <c r="O630" s="147" t="s">
        <v>98</v>
      </c>
      <c r="P630" s="147">
        <v>1000</v>
      </c>
      <c r="Q630" s="150">
        <f t="shared" si="75"/>
        <v>0</v>
      </c>
      <c r="R630" s="151"/>
      <c r="S630" s="152">
        <v>5000</v>
      </c>
      <c r="T630" s="158">
        <v>5000</v>
      </c>
      <c r="U630" s="153"/>
      <c r="V630" s="154"/>
      <c r="W630" s="154"/>
      <c r="X630" s="155"/>
      <c r="Y630" s="155" t="s">
        <v>1394</v>
      </c>
      <c r="Z630" s="155" t="s">
        <v>1442</v>
      </c>
      <c r="AA630" s="273">
        <f t="shared" si="76"/>
        <v>5</v>
      </c>
      <c r="AB630" s="273">
        <f t="shared" si="77"/>
        <v>5</v>
      </c>
      <c r="AC630" s="156">
        <f t="shared" si="78"/>
        <v>1000</v>
      </c>
      <c r="AD630" s="274">
        <f t="shared" si="79"/>
        <v>5000</v>
      </c>
      <c r="AE630" s="274">
        <f t="shared" si="73"/>
        <v>5000</v>
      </c>
      <c r="AF630" s="337"/>
    </row>
    <row r="631" spans="1:32">
      <c r="A631" s="337" t="s">
        <v>1523</v>
      </c>
      <c r="B631" s="146" t="s">
        <v>1</v>
      </c>
      <c r="C631" s="155" t="s">
        <v>1512</v>
      </c>
      <c r="D631" s="147"/>
      <c r="E631" s="148" t="s">
        <v>1499</v>
      </c>
      <c r="F631" s="147" t="s">
        <v>106</v>
      </c>
      <c r="G631" s="147" t="s">
        <v>1429</v>
      </c>
      <c r="H631" s="147">
        <v>33</v>
      </c>
      <c r="I631" s="149">
        <f t="shared" si="74"/>
        <v>33</v>
      </c>
      <c r="J631" s="147"/>
      <c r="K631" s="336" t="s">
        <v>59</v>
      </c>
      <c r="L631" s="147">
        <v>100</v>
      </c>
      <c r="M631" s="147" t="s">
        <v>9</v>
      </c>
      <c r="N631" s="147"/>
      <c r="O631" s="147" t="s">
        <v>98</v>
      </c>
      <c r="P631" s="147">
        <v>1000</v>
      </c>
      <c r="Q631" s="150">
        <f t="shared" si="75"/>
        <v>0</v>
      </c>
      <c r="R631" s="151"/>
      <c r="S631" s="152">
        <v>3071</v>
      </c>
      <c r="T631" s="158">
        <v>3071</v>
      </c>
      <c r="U631" s="153"/>
      <c r="V631" s="154"/>
      <c r="W631" s="154"/>
      <c r="X631" s="155"/>
      <c r="Y631" s="155" t="s">
        <v>1394</v>
      </c>
      <c r="Z631" s="155" t="s">
        <v>1442</v>
      </c>
      <c r="AA631" s="273">
        <f t="shared" si="76"/>
        <v>3.0710000000000002</v>
      </c>
      <c r="AB631" s="273">
        <f t="shared" si="77"/>
        <v>3.0710000000000002</v>
      </c>
      <c r="AC631" s="156">
        <f t="shared" si="78"/>
        <v>1000</v>
      </c>
      <c r="AD631" s="274">
        <f t="shared" si="79"/>
        <v>3071</v>
      </c>
      <c r="AE631" s="274">
        <f t="shared" si="73"/>
        <v>3071</v>
      </c>
      <c r="AF631" s="337"/>
    </row>
    <row r="632" spans="1:32">
      <c r="A632" s="337" t="s">
        <v>1523</v>
      </c>
      <c r="B632" s="146" t="s">
        <v>1</v>
      </c>
      <c r="C632" s="155" t="s">
        <v>1512</v>
      </c>
      <c r="D632" s="147"/>
      <c r="E632" s="148" t="s">
        <v>1499</v>
      </c>
      <c r="F632" s="147" t="s">
        <v>106</v>
      </c>
      <c r="G632" s="147" t="s">
        <v>1429</v>
      </c>
      <c r="H632" s="147">
        <v>42</v>
      </c>
      <c r="I632" s="149">
        <f t="shared" si="74"/>
        <v>42</v>
      </c>
      <c r="J632" s="147"/>
      <c r="K632" s="336" t="s">
        <v>61</v>
      </c>
      <c r="L632" s="147">
        <v>100</v>
      </c>
      <c r="M632" s="147" t="s">
        <v>9</v>
      </c>
      <c r="N632" s="147"/>
      <c r="O632" s="147" t="s">
        <v>98</v>
      </c>
      <c r="P632" s="147">
        <v>1000</v>
      </c>
      <c r="Q632" s="150">
        <f t="shared" si="75"/>
        <v>0</v>
      </c>
      <c r="R632" s="151"/>
      <c r="S632" s="152">
        <v>2841</v>
      </c>
      <c r="T632" s="158">
        <v>2841</v>
      </c>
      <c r="U632" s="153"/>
      <c r="V632" s="154"/>
      <c r="W632" s="154"/>
      <c r="X632" s="155"/>
      <c r="Y632" s="155" t="s">
        <v>1394</v>
      </c>
      <c r="Z632" s="155" t="s">
        <v>1442</v>
      </c>
      <c r="AA632" s="273">
        <f t="shared" si="76"/>
        <v>2.8410000000000002</v>
      </c>
      <c r="AB632" s="273">
        <f t="shared" si="77"/>
        <v>2.8410000000000002</v>
      </c>
      <c r="AC632" s="156">
        <f t="shared" si="78"/>
        <v>1000</v>
      </c>
      <c r="AD632" s="274">
        <f t="shared" si="79"/>
        <v>2841</v>
      </c>
      <c r="AE632" s="274">
        <f t="shared" si="73"/>
        <v>2841</v>
      </c>
      <c r="AF632" s="337"/>
    </row>
    <row r="633" spans="1:32">
      <c r="A633" s="337" t="s">
        <v>1523</v>
      </c>
      <c r="B633" s="146" t="s">
        <v>1</v>
      </c>
      <c r="C633" s="155" t="s">
        <v>1512</v>
      </c>
      <c r="D633" s="147"/>
      <c r="E633" s="148" t="s">
        <v>1499</v>
      </c>
      <c r="F633" s="147" t="s">
        <v>106</v>
      </c>
      <c r="G633" s="147" t="s">
        <v>1429</v>
      </c>
      <c r="H633" s="147">
        <v>43</v>
      </c>
      <c r="I633" s="149">
        <f t="shared" si="74"/>
        <v>43</v>
      </c>
      <c r="J633" s="147"/>
      <c r="K633" s="336" t="s">
        <v>1505</v>
      </c>
      <c r="L633" s="147">
        <v>100</v>
      </c>
      <c r="M633" s="147" t="s">
        <v>9</v>
      </c>
      <c r="N633" s="147"/>
      <c r="O633" s="147" t="s">
        <v>98</v>
      </c>
      <c r="P633" s="147">
        <v>1000</v>
      </c>
      <c r="Q633" s="150">
        <f t="shared" si="75"/>
        <v>0</v>
      </c>
      <c r="R633" s="151"/>
      <c r="S633" s="152">
        <v>4167</v>
      </c>
      <c r="T633" s="158">
        <v>4167</v>
      </c>
      <c r="U633" s="153"/>
      <c r="V633" s="154"/>
      <c r="W633" s="154"/>
      <c r="X633" s="155"/>
      <c r="Y633" s="155" t="s">
        <v>1394</v>
      </c>
      <c r="Z633" s="155" t="s">
        <v>1442</v>
      </c>
      <c r="AA633" s="273">
        <f t="shared" si="76"/>
        <v>4.1669999999999998</v>
      </c>
      <c r="AB633" s="273">
        <f t="shared" si="77"/>
        <v>4.1669999999999998</v>
      </c>
      <c r="AC633" s="156">
        <f t="shared" si="78"/>
        <v>1000</v>
      </c>
      <c r="AD633" s="274">
        <f t="shared" si="79"/>
        <v>4167</v>
      </c>
      <c r="AE633" s="274">
        <f t="shared" si="73"/>
        <v>4167</v>
      </c>
      <c r="AF633" s="337"/>
    </row>
    <row r="634" spans="1:32">
      <c r="A634" s="337" t="s">
        <v>1523</v>
      </c>
      <c r="B634" s="146" t="s">
        <v>1</v>
      </c>
      <c r="C634" s="155" t="s">
        <v>1512</v>
      </c>
      <c r="D634" s="147"/>
      <c r="E634" s="148" t="s">
        <v>1499</v>
      </c>
      <c r="F634" s="147" t="s">
        <v>106</v>
      </c>
      <c r="G634" s="147" t="s">
        <v>1429</v>
      </c>
      <c r="H634" s="147">
        <v>46</v>
      </c>
      <c r="I634" s="149">
        <f t="shared" si="74"/>
        <v>46</v>
      </c>
      <c r="J634" s="147"/>
      <c r="K634" s="336" t="s">
        <v>1506</v>
      </c>
      <c r="L634" s="147">
        <v>100</v>
      </c>
      <c r="M634" s="147" t="s">
        <v>9</v>
      </c>
      <c r="N634" s="147"/>
      <c r="O634" s="147" t="s">
        <v>98</v>
      </c>
      <c r="P634" s="147">
        <v>1000</v>
      </c>
      <c r="Q634" s="150">
        <f t="shared" si="75"/>
        <v>0</v>
      </c>
      <c r="R634" s="151"/>
      <c r="S634" s="152">
        <v>2950</v>
      </c>
      <c r="T634" s="158">
        <v>2950</v>
      </c>
      <c r="U634" s="153"/>
      <c r="V634" s="154"/>
      <c r="W634" s="154"/>
      <c r="X634" s="155"/>
      <c r="Y634" s="155" t="s">
        <v>1394</v>
      </c>
      <c r="Z634" s="155" t="s">
        <v>1442</v>
      </c>
      <c r="AA634" s="273">
        <f t="shared" si="76"/>
        <v>2.95</v>
      </c>
      <c r="AB634" s="273">
        <f t="shared" si="77"/>
        <v>2.95</v>
      </c>
      <c r="AC634" s="156">
        <f t="shared" si="78"/>
        <v>1000</v>
      </c>
      <c r="AD634" s="274">
        <f t="shared" si="79"/>
        <v>2950</v>
      </c>
      <c r="AE634" s="274">
        <f t="shared" si="73"/>
        <v>2950</v>
      </c>
      <c r="AF634" s="337"/>
    </row>
    <row r="635" spans="1:32">
      <c r="A635" s="337" t="s">
        <v>1523</v>
      </c>
      <c r="B635" s="146" t="s">
        <v>1</v>
      </c>
      <c r="C635" s="155" t="s">
        <v>1512</v>
      </c>
      <c r="D635" s="147"/>
      <c r="E635" s="148" t="s">
        <v>1499</v>
      </c>
      <c r="F635" s="147" t="s">
        <v>106</v>
      </c>
      <c r="G635" s="147" t="s">
        <v>1429</v>
      </c>
      <c r="H635" s="147">
        <v>46</v>
      </c>
      <c r="I635" s="149">
        <f t="shared" si="74"/>
        <v>46</v>
      </c>
      <c r="J635" s="147"/>
      <c r="K635" s="336" t="s">
        <v>1507</v>
      </c>
      <c r="L635" s="147">
        <v>100</v>
      </c>
      <c r="M635" s="147" t="s">
        <v>9</v>
      </c>
      <c r="N635" s="147"/>
      <c r="O635" s="147" t="s">
        <v>98</v>
      </c>
      <c r="P635" s="147">
        <v>1000</v>
      </c>
      <c r="Q635" s="150">
        <f t="shared" si="75"/>
        <v>0</v>
      </c>
      <c r="R635" s="151"/>
      <c r="S635" s="152">
        <v>4379</v>
      </c>
      <c r="T635" s="158">
        <v>4379</v>
      </c>
      <c r="U635" s="153"/>
      <c r="V635" s="154"/>
      <c r="W635" s="154"/>
      <c r="X635" s="155"/>
      <c r="Y635" s="155" t="s">
        <v>1394</v>
      </c>
      <c r="Z635" s="155" t="s">
        <v>1442</v>
      </c>
      <c r="AA635" s="273">
        <f t="shared" si="76"/>
        <v>4.3789999999999996</v>
      </c>
      <c r="AB635" s="273">
        <f t="shared" si="77"/>
        <v>4.3789999999999996</v>
      </c>
      <c r="AC635" s="156">
        <f t="shared" si="78"/>
        <v>1000</v>
      </c>
      <c r="AD635" s="274">
        <f t="shared" si="79"/>
        <v>4379</v>
      </c>
      <c r="AE635" s="274">
        <f t="shared" si="73"/>
        <v>4379</v>
      </c>
      <c r="AF635" s="337"/>
    </row>
    <row r="636" spans="1:32">
      <c r="A636" s="337" t="s">
        <v>1523</v>
      </c>
      <c r="B636" s="146" t="s">
        <v>1</v>
      </c>
      <c r="C636" s="155" t="s">
        <v>1512</v>
      </c>
      <c r="D636" s="147"/>
      <c r="E636" s="148" t="s">
        <v>1499</v>
      </c>
      <c r="F636" s="147" t="s">
        <v>106</v>
      </c>
      <c r="G636" s="147" t="s">
        <v>1429</v>
      </c>
      <c r="H636" s="147">
        <v>46</v>
      </c>
      <c r="I636" s="149">
        <f t="shared" si="74"/>
        <v>46</v>
      </c>
      <c r="J636" s="147"/>
      <c r="K636" s="336" t="s">
        <v>1508</v>
      </c>
      <c r="L636" s="147">
        <v>100</v>
      </c>
      <c r="M636" s="147" t="s">
        <v>9</v>
      </c>
      <c r="N636" s="147"/>
      <c r="O636" s="147" t="s">
        <v>98</v>
      </c>
      <c r="P636" s="147">
        <v>1000</v>
      </c>
      <c r="Q636" s="150">
        <f t="shared" si="75"/>
        <v>0</v>
      </c>
      <c r="R636" s="151"/>
      <c r="S636" s="152">
        <v>4537</v>
      </c>
      <c r="T636" s="158">
        <v>4537</v>
      </c>
      <c r="U636" s="153"/>
      <c r="V636" s="154"/>
      <c r="W636" s="154"/>
      <c r="X636" s="155"/>
      <c r="Y636" s="155" t="s">
        <v>1394</v>
      </c>
      <c r="Z636" s="155" t="s">
        <v>1442</v>
      </c>
      <c r="AA636" s="273">
        <f t="shared" si="76"/>
        <v>4.5369999999999999</v>
      </c>
      <c r="AB636" s="273">
        <f t="shared" si="77"/>
        <v>4.5369999999999999</v>
      </c>
      <c r="AC636" s="156">
        <f t="shared" si="78"/>
        <v>1000</v>
      </c>
      <c r="AD636" s="274">
        <f t="shared" si="79"/>
        <v>4537</v>
      </c>
      <c r="AE636" s="274">
        <f t="shared" si="73"/>
        <v>4537</v>
      </c>
      <c r="AF636" s="337"/>
    </row>
    <row r="637" spans="1:32">
      <c r="A637" s="337" t="s">
        <v>1523</v>
      </c>
      <c r="B637" s="146" t="s">
        <v>1</v>
      </c>
      <c r="C637" s="155" t="s">
        <v>1512</v>
      </c>
      <c r="D637" s="147"/>
      <c r="E637" s="148" t="s">
        <v>1499</v>
      </c>
      <c r="F637" s="147" t="s">
        <v>106</v>
      </c>
      <c r="G637" s="147" t="s">
        <v>1429</v>
      </c>
      <c r="H637" s="147">
        <v>58</v>
      </c>
      <c r="I637" s="149">
        <f t="shared" si="74"/>
        <v>58</v>
      </c>
      <c r="J637" s="147"/>
      <c r="K637" s="336" t="s">
        <v>67</v>
      </c>
      <c r="L637" s="147">
        <v>100</v>
      </c>
      <c r="M637" s="147" t="s">
        <v>9</v>
      </c>
      <c r="N637" s="147"/>
      <c r="O637" s="147" t="s">
        <v>98</v>
      </c>
      <c r="P637" s="147">
        <v>1000</v>
      </c>
      <c r="Q637" s="150">
        <f t="shared" si="75"/>
        <v>0</v>
      </c>
      <c r="R637" s="151"/>
      <c r="S637" s="152">
        <v>3002</v>
      </c>
      <c r="T637" s="158">
        <v>3002</v>
      </c>
      <c r="U637" s="153"/>
      <c r="V637" s="154"/>
      <c r="W637" s="154"/>
      <c r="X637" s="155"/>
      <c r="Y637" s="155" t="s">
        <v>1394</v>
      </c>
      <c r="Z637" s="155" t="s">
        <v>1442</v>
      </c>
      <c r="AA637" s="273">
        <f t="shared" si="76"/>
        <v>3.0019999999999998</v>
      </c>
      <c r="AB637" s="273">
        <f t="shared" si="77"/>
        <v>3.0019999999999998</v>
      </c>
      <c r="AC637" s="156">
        <f t="shared" si="78"/>
        <v>1000</v>
      </c>
      <c r="AD637" s="274">
        <f t="shared" si="79"/>
        <v>3002</v>
      </c>
      <c r="AE637" s="274">
        <f t="shared" si="73"/>
        <v>3002</v>
      </c>
      <c r="AF637" s="337"/>
    </row>
    <row r="638" spans="1:32">
      <c r="A638" s="337" t="s">
        <v>1523</v>
      </c>
      <c r="B638" s="146" t="s">
        <v>1</v>
      </c>
      <c r="C638" s="155" t="s">
        <v>1512</v>
      </c>
      <c r="D638" s="147"/>
      <c r="E638" s="148" t="s">
        <v>1499</v>
      </c>
      <c r="F638" s="147" t="s">
        <v>106</v>
      </c>
      <c r="G638" s="147" t="s">
        <v>1429</v>
      </c>
      <c r="H638" s="147">
        <v>59</v>
      </c>
      <c r="I638" s="149">
        <f t="shared" si="74"/>
        <v>59</v>
      </c>
      <c r="J638" s="147"/>
      <c r="K638" s="336" t="s">
        <v>99</v>
      </c>
      <c r="L638" s="147">
        <v>100</v>
      </c>
      <c r="M638" s="147" t="s">
        <v>9</v>
      </c>
      <c r="N638" s="147"/>
      <c r="O638" s="147" t="s">
        <v>98</v>
      </c>
      <c r="P638" s="147">
        <v>1000</v>
      </c>
      <c r="Q638" s="150">
        <f t="shared" si="75"/>
        <v>0</v>
      </c>
      <c r="R638" s="151"/>
      <c r="S638" s="152">
        <v>2678</v>
      </c>
      <c r="T638" s="158">
        <v>2678</v>
      </c>
      <c r="U638" s="153"/>
      <c r="V638" s="154"/>
      <c r="W638" s="154"/>
      <c r="X638" s="155"/>
      <c r="Y638" s="155" t="s">
        <v>1394</v>
      </c>
      <c r="Z638" s="155" t="s">
        <v>1442</v>
      </c>
      <c r="AA638" s="273">
        <f t="shared" si="76"/>
        <v>2.6779999999999999</v>
      </c>
      <c r="AB638" s="273">
        <f t="shared" si="77"/>
        <v>2.6779999999999999</v>
      </c>
      <c r="AC638" s="156">
        <f t="shared" si="78"/>
        <v>1000</v>
      </c>
      <c r="AD638" s="274">
        <f t="shared" si="79"/>
        <v>2678</v>
      </c>
      <c r="AE638" s="274">
        <f t="shared" si="73"/>
        <v>2678</v>
      </c>
      <c r="AF638" s="337"/>
    </row>
    <row r="639" spans="1:32">
      <c r="A639" s="337" t="s">
        <v>1523</v>
      </c>
      <c r="B639" s="146" t="s">
        <v>1</v>
      </c>
      <c r="C639" s="155" t="s">
        <v>1512</v>
      </c>
      <c r="D639" s="147"/>
      <c r="E639" s="148" t="s">
        <v>1499</v>
      </c>
      <c r="F639" s="147" t="s">
        <v>106</v>
      </c>
      <c r="G639" s="147" t="s">
        <v>1429</v>
      </c>
      <c r="H639" s="147">
        <v>69</v>
      </c>
      <c r="I639" s="149">
        <f t="shared" si="74"/>
        <v>69</v>
      </c>
      <c r="J639" s="147"/>
      <c r="K639" s="336" t="s">
        <v>1509</v>
      </c>
      <c r="L639" s="147">
        <v>100</v>
      </c>
      <c r="M639" s="147" t="s">
        <v>9</v>
      </c>
      <c r="N639" s="147"/>
      <c r="O639" s="147" t="s">
        <v>98</v>
      </c>
      <c r="P639" s="147">
        <v>1000</v>
      </c>
      <c r="Q639" s="150">
        <f t="shared" si="75"/>
        <v>0</v>
      </c>
      <c r="R639" s="151"/>
      <c r="S639" s="152">
        <v>2793</v>
      </c>
      <c r="T639" s="158">
        <v>2793</v>
      </c>
      <c r="U639" s="153"/>
      <c r="V639" s="154"/>
      <c r="W639" s="154"/>
      <c r="X639" s="155"/>
      <c r="Y639" s="155" t="s">
        <v>1394</v>
      </c>
      <c r="Z639" s="155" t="s">
        <v>1442</v>
      </c>
      <c r="AA639" s="273">
        <f t="shared" si="76"/>
        <v>2.7930000000000001</v>
      </c>
      <c r="AB639" s="273">
        <f t="shared" si="77"/>
        <v>2.7930000000000001</v>
      </c>
      <c r="AC639" s="156">
        <f t="shared" si="78"/>
        <v>1000</v>
      </c>
      <c r="AD639" s="274">
        <f t="shared" si="79"/>
        <v>2793</v>
      </c>
      <c r="AE639" s="274">
        <f t="shared" si="73"/>
        <v>2793</v>
      </c>
      <c r="AF639" s="337"/>
    </row>
    <row r="640" spans="1:32">
      <c r="A640" s="337" t="s">
        <v>1523</v>
      </c>
      <c r="B640" s="146" t="s">
        <v>1</v>
      </c>
      <c r="C640" s="155" t="s">
        <v>1512</v>
      </c>
      <c r="D640" s="147"/>
      <c r="E640" s="148" t="s">
        <v>1499</v>
      </c>
      <c r="F640" s="147" t="s">
        <v>106</v>
      </c>
      <c r="G640" s="147" t="s">
        <v>1429</v>
      </c>
      <c r="H640" s="147">
        <v>70</v>
      </c>
      <c r="I640" s="149">
        <f t="shared" si="74"/>
        <v>70</v>
      </c>
      <c r="J640" s="147"/>
      <c r="K640" s="336" t="s">
        <v>1510</v>
      </c>
      <c r="L640" s="147">
        <v>100</v>
      </c>
      <c r="M640" s="147" t="s">
        <v>9</v>
      </c>
      <c r="N640" s="147"/>
      <c r="O640" s="147" t="s">
        <v>98</v>
      </c>
      <c r="P640" s="147">
        <v>1000</v>
      </c>
      <c r="Q640" s="150">
        <f t="shared" si="75"/>
        <v>0</v>
      </c>
      <c r="R640" s="151"/>
      <c r="S640" s="152">
        <v>4371</v>
      </c>
      <c r="T640" s="158">
        <v>4371</v>
      </c>
      <c r="U640" s="153"/>
      <c r="V640" s="154"/>
      <c r="W640" s="154"/>
      <c r="X640" s="155"/>
      <c r="Y640" s="155" t="s">
        <v>1394</v>
      </c>
      <c r="Z640" s="155" t="s">
        <v>1442</v>
      </c>
      <c r="AA640" s="273">
        <f t="shared" si="76"/>
        <v>4.3710000000000004</v>
      </c>
      <c r="AB640" s="273">
        <f t="shared" si="77"/>
        <v>4.3710000000000004</v>
      </c>
      <c r="AC640" s="156">
        <f t="shared" si="78"/>
        <v>1000</v>
      </c>
      <c r="AD640" s="274">
        <f t="shared" si="79"/>
        <v>4371</v>
      </c>
      <c r="AE640" s="274">
        <f t="shared" si="73"/>
        <v>4371</v>
      </c>
      <c r="AF640" s="337"/>
    </row>
    <row r="641" spans="1:32">
      <c r="A641" s="337" t="s">
        <v>1523</v>
      </c>
      <c r="B641" s="146" t="s">
        <v>1</v>
      </c>
      <c r="C641" s="155" t="s">
        <v>1512</v>
      </c>
      <c r="D641" s="147"/>
      <c r="E641" s="148" t="s">
        <v>1499</v>
      </c>
      <c r="F641" s="147" t="s">
        <v>106</v>
      </c>
      <c r="G641" s="147" t="s">
        <v>1429</v>
      </c>
      <c r="H641" s="147">
        <v>70</v>
      </c>
      <c r="I641" s="149">
        <f t="shared" si="74"/>
        <v>70</v>
      </c>
      <c r="J641" s="147"/>
      <c r="K641" s="336" t="s">
        <v>1511</v>
      </c>
      <c r="L641" s="147">
        <v>100</v>
      </c>
      <c r="M641" s="147" t="s">
        <v>9</v>
      </c>
      <c r="N641" s="147"/>
      <c r="O641" s="147" t="s">
        <v>98</v>
      </c>
      <c r="P641" s="147">
        <v>1000</v>
      </c>
      <c r="Q641" s="150">
        <f t="shared" si="75"/>
        <v>0</v>
      </c>
      <c r="R641" s="151"/>
      <c r="S641" s="152">
        <v>4531</v>
      </c>
      <c r="T641" s="158">
        <v>4531</v>
      </c>
      <c r="U641" s="153"/>
      <c r="V641" s="154"/>
      <c r="W641" s="154"/>
      <c r="X641" s="155"/>
      <c r="Y641" s="155" t="s">
        <v>1394</v>
      </c>
      <c r="Z641" s="155" t="s">
        <v>1442</v>
      </c>
      <c r="AA641" s="273">
        <f t="shared" si="76"/>
        <v>4.5309999999999997</v>
      </c>
      <c r="AB641" s="273">
        <f t="shared" si="77"/>
        <v>4.5309999999999997</v>
      </c>
      <c r="AC641" s="156">
        <f t="shared" si="78"/>
        <v>1000</v>
      </c>
      <c r="AD641" s="274">
        <f t="shared" si="79"/>
        <v>4531</v>
      </c>
      <c r="AE641" s="274">
        <f t="shared" si="73"/>
        <v>4531</v>
      </c>
      <c r="AF641" s="337"/>
    </row>
    <row r="642" spans="1:32">
      <c r="A642" s="337" t="s">
        <v>1523</v>
      </c>
      <c r="B642" s="146" t="s">
        <v>1</v>
      </c>
      <c r="C642" s="155" t="s">
        <v>1512</v>
      </c>
      <c r="D642" s="147"/>
      <c r="E642" s="148" t="s">
        <v>1500</v>
      </c>
      <c r="F642" s="147" t="s">
        <v>106</v>
      </c>
      <c r="G642" s="147" t="s">
        <v>1429</v>
      </c>
      <c r="H642" s="147">
        <v>7</v>
      </c>
      <c r="I642" s="149">
        <f t="shared" si="74"/>
        <v>7</v>
      </c>
      <c r="J642" s="147"/>
      <c r="K642" s="336" t="s">
        <v>57</v>
      </c>
      <c r="L642" s="147">
        <v>100</v>
      </c>
      <c r="M642" s="147" t="s">
        <v>9</v>
      </c>
      <c r="N642" s="147"/>
      <c r="O642" s="147" t="s">
        <v>98</v>
      </c>
      <c r="P642" s="147">
        <v>1000</v>
      </c>
      <c r="Q642" s="150">
        <f t="shared" si="75"/>
        <v>0</v>
      </c>
      <c r="R642" s="151"/>
      <c r="S642" s="152">
        <v>1007</v>
      </c>
      <c r="T642" s="158">
        <v>1007</v>
      </c>
      <c r="U642" s="153"/>
      <c r="V642" s="154"/>
      <c r="W642" s="154"/>
      <c r="X642" s="155"/>
      <c r="Y642" s="155" t="s">
        <v>1394</v>
      </c>
      <c r="Z642" s="155" t="s">
        <v>1442</v>
      </c>
      <c r="AA642" s="273">
        <f t="shared" si="76"/>
        <v>1.0069999999999999</v>
      </c>
      <c r="AB642" s="273">
        <f t="shared" si="77"/>
        <v>1.0069999999999999</v>
      </c>
      <c r="AC642" s="156">
        <f t="shared" si="78"/>
        <v>1000</v>
      </c>
      <c r="AD642" s="274">
        <f t="shared" si="79"/>
        <v>1006.9999999999999</v>
      </c>
      <c r="AE642" s="274">
        <f t="shared" si="73"/>
        <v>1006.9999999999999</v>
      </c>
      <c r="AF642" s="337"/>
    </row>
    <row r="643" spans="1:32">
      <c r="A643" s="337" t="s">
        <v>1523</v>
      </c>
      <c r="B643" s="146" t="s">
        <v>1</v>
      </c>
      <c r="C643" s="155" t="s">
        <v>1512</v>
      </c>
      <c r="D643" s="147"/>
      <c r="E643" s="148" t="s">
        <v>1500</v>
      </c>
      <c r="F643" s="147" t="s">
        <v>106</v>
      </c>
      <c r="G643" s="147" t="s">
        <v>1429</v>
      </c>
      <c r="H643" s="147">
        <v>8</v>
      </c>
      <c r="I643" s="149">
        <f t="shared" si="74"/>
        <v>8</v>
      </c>
      <c r="J643" s="147"/>
      <c r="K643" s="336" t="s">
        <v>55</v>
      </c>
      <c r="L643" s="147">
        <v>100</v>
      </c>
      <c r="M643" s="147" t="s">
        <v>9</v>
      </c>
      <c r="N643" s="147"/>
      <c r="O643" s="147" t="s">
        <v>98</v>
      </c>
      <c r="P643" s="147">
        <v>1000</v>
      </c>
      <c r="Q643" s="150">
        <f t="shared" si="75"/>
        <v>0</v>
      </c>
      <c r="R643" s="151"/>
      <c r="S643" s="152">
        <v>1271</v>
      </c>
      <c r="T643" s="158">
        <v>1271</v>
      </c>
      <c r="U643" s="153"/>
      <c r="V643" s="154"/>
      <c r="W643" s="154"/>
      <c r="X643" s="155"/>
      <c r="Y643" s="155" t="s">
        <v>1394</v>
      </c>
      <c r="Z643" s="155" t="s">
        <v>1442</v>
      </c>
      <c r="AA643" s="273">
        <f t="shared" si="76"/>
        <v>1.2709999999999999</v>
      </c>
      <c r="AB643" s="273">
        <f t="shared" si="77"/>
        <v>1.2709999999999999</v>
      </c>
      <c r="AC643" s="156">
        <f t="shared" si="78"/>
        <v>1000</v>
      </c>
      <c r="AD643" s="274">
        <f t="shared" si="79"/>
        <v>1271</v>
      </c>
      <c r="AE643" s="274">
        <f t="shared" ref="AE643:AE706" si="80">AB643*AC643</f>
        <v>1271</v>
      </c>
      <c r="AF643" s="337"/>
    </row>
    <row r="644" spans="1:32">
      <c r="A644" s="337" t="s">
        <v>1523</v>
      </c>
      <c r="B644" s="146" t="s">
        <v>1</v>
      </c>
      <c r="C644" s="155" t="s">
        <v>1512</v>
      </c>
      <c r="D644" s="147"/>
      <c r="E644" s="148" t="s">
        <v>1500</v>
      </c>
      <c r="F644" s="147" t="s">
        <v>106</v>
      </c>
      <c r="G644" s="147" t="s">
        <v>1429</v>
      </c>
      <c r="H644" s="147">
        <v>17</v>
      </c>
      <c r="I644" s="149">
        <f t="shared" si="74"/>
        <v>17</v>
      </c>
      <c r="J644" s="147"/>
      <c r="K644" s="336" t="s">
        <v>53</v>
      </c>
      <c r="L644" s="147">
        <v>100</v>
      </c>
      <c r="M644" s="147" t="s">
        <v>9</v>
      </c>
      <c r="N644" s="147"/>
      <c r="O644" s="147" t="s">
        <v>98</v>
      </c>
      <c r="P644" s="147">
        <v>1000</v>
      </c>
      <c r="Q644" s="150">
        <f t="shared" si="75"/>
        <v>0</v>
      </c>
      <c r="R644" s="151"/>
      <c r="S644" s="152">
        <v>2110</v>
      </c>
      <c r="T644" s="158">
        <v>2110</v>
      </c>
      <c r="U644" s="153"/>
      <c r="V644" s="154"/>
      <c r="W644" s="154"/>
      <c r="X644" s="155"/>
      <c r="Y644" s="155" t="s">
        <v>1394</v>
      </c>
      <c r="Z644" s="155" t="s">
        <v>1442</v>
      </c>
      <c r="AA644" s="273">
        <f t="shared" si="76"/>
        <v>2.11</v>
      </c>
      <c r="AB644" s="273">
        <f t="shared" si="77"/>
        <v>2.11</v>
      </c>
      <c r="AC644" s="156">
        <f t="shared" si="78"/>
        <v>1000</v>
      </c>
      <c r="AD644" s="274">
        <f t="shared" si="79"/>
        <v>2110</v>
      </c>
      <c r="AE644" s="274">
        <f t="shared" si="80"/>
        <v>2110</v>
      </c>
      <c r="AF644" s="337"/>
    </row>
    <row r="645" spans="1:32">
      <c r="A645" s="337" t="s">
        <v>1523</v>
      </c>
      <c r="B645" s="146" t="s">
        <v>1</v>
      </c>
      <c r="C645" s="155" t="s">
        <v>1512</v>
      </c>
      <c r="D645" s="147"/>
      <c r="E645" s="148" t="s">
        <v>1500</v>
      </c>
      <c r="F645" s="147" t="s">
        <v>106</v>
      </c>
      <c r="G645" s="147" t="s">
        <v>1429</v>
      </c>
      <c r="H645" s="147">
        <v>22</v>
      </c>
      <c r="I645" s="149">
        <f t="shared" si="74"/>
        <v>22</v>
      </c>
      <c r="J645" s="147"/>
      <c r="K645" s="336" t="s">
        <v>51</v>
      </c>
      <c r="L645" s="147">
        <v>100</v>
      </c>
      <c r="M645" s="147" t="s">
        <v>9</v>
      </c>
      <c r="N645" s="147"/>
      <c r="O645" s="147" t="s">
        <v>98</v>
      </c>
      <c r="P645" s="147">
        <v>1000</v>
      </c>
      <c r="Q645" s="150">
        <f t="shared" si="75"/>
        <v>0</v>
      </c>
      <c r="R645" s="151"/>
      <c r="S645" s="152">
        <v>5000</v>
      </c>
      <c r="T645" s="158">
        <v>5000</v>
      </c>
      <c r="U645" s="153"/>
      <c r="V645" s="154"/>
      <c r="W645" s="154"/>
      <c r="X645" s="155"/>
      <c r="Y645" s="155" t="s">
        <v>1394</v>
      </c>
      <c r="Z645" s="155" t="s">
        <v>1442</v>
      </c>
      <c r="AA645" s="273">
        <f t="shared" si="76"/>
        <v>5</v>
      </c>
      <c r="AB645" s="273">
        <f t="shared" si="77"/>
        <v>5</v>
      </c>
      <c r="AC645" s="156">
        <f t="shared" si="78"/>
        <v>1000</v>
      </c>
      <c r="AD645" s="274">
        <f t="shared" si="79"/>
        <v>5000</v>
      </c>
      <c r="AE645" s="274">
        <f t="shared" si="80"/>
        <v>5000</v>
      </c>
      <c r="AF645" s="337"/>
    </row>
    <row r="646" spans="1:32">
      <c r="A646" s="337" t="s">
        <v>1523</v>
      </c>
      <c r="B646" s="146" t="s">
        <v>1</v>
      </c>
      <c r="C646" s="155" t="s">
        <v>1512</v>
      </c>
      <c r="D646" s="147"/>
      <c r="E646" s="148" t="s">
        <v>1500</v>
      </c>
      <c r="F646" s="147" t="s">
        <v>106</v>
      </c>
      <c r="G646" s="147" t="s">
        <v>1429</v>
      </c>
      <c r="H646" s="147">
        <v>33</v>
      </c>
      <c r="I646" s="149">
        <f t="shared" si="74"/>
        <v>33</v>
      </c>
      <c r="J646" s="147"/>
      <c r="K646" s="336" t="s">
        <v>59</v>
      </c>
      <c r="L646" s="147">
        <v>100</v>
      </c>
      <c r="M646" s="147" t="s">
        <v>9</v>
      </c>
      <c r="N646" s="147"/>
      <c r="O646" s="147" t="s">
        <v>98</v>
      </c>
      <c r="P646" s="147">
        <v>1000</v>
      </c>
      <c r="Q646" s="150">
        <f t="shared" si="75"/>
        <v>0</v>
      </c>
      <c r="R646" s="151"/>
      <c r="S646" s="152">
        <v>3145</v>
      </c>
      <c r="T646" s="158">
        <v>3145</v>
      </c>
      <c r="U646" s="153"/>
      <c r="V646" s="154"/>
      <c r="W646" s="154"/>
      <c r="X646" s="155"/>
      <c r="Y646" s="155" t="s">
        <v>1394</v>
      </c>
      <c r="Z646" s="155" t="s">
        <v>1442</v>
      </c>
      <c r="AA646" s="273">
        <f t="shared" si="76"/>
        <v>3.145</v>
      </c>
      <c r="AB646" s="273">
        <f t="shared" si="77"/>
        <v>3.145</v>
      </c>
      <c r="AC646" s="156">
        <f t="shared" si="78"/>
        <v>1000</v>
      </c>
      <c r="AD646" s="274">
        <f t="shared" si="79"/>
        <v>3145</v>
      </c>
      <c r="AE646" s="274">
        <f t="shared" si="80"/>
        <v>3145</v>
      </c>
      <c r="AF646" s="337"/>
    </row>
    <row r="647" spans="1:32">
      <c r="A647" s="337" t="s">
        <v>1523</v>
      </c>
      <c r="B647" s="146" t="s">
        <v>1</v>
      </c>
      <c r="C647" s="155" t="s">
        <v>1512</v>
      </c>
      <c r="D647" s="147"/>
      <c r="E647" s="148" t="s">
        <v>1500</v>
      </c>
      <c r="F647" s="147" t="s">
        <v>106</v>
      </c>
      <c r="G647" s="147" t="s">
        <v>1429</v>
      </c>
      <c r="H647" s="147">
        <v>42</v>
      </c>
      <c r="I647" s="149">
        <f t="shared" si="74"/>
        <v>42</v>
      </c>
      <c r="J647" s="147"/>
      <c r="K647" s="336" t="s">
        <v>61</v>
      </c>
      <c r="L647" s="147">
        <v>100</v>
      </c>
      <c r="M647" s="147" t="s">
        <v>9</v>
      </c>
      <c r="N647" s="147"/>
      <c r="O647" s="147" t="s">
        <v>98</v>
      </c>
      <c r="P647" s="147">
        <v>1000</v>
      </c>
      <c r="Q647" s="150">
        <f t="shared" si="75"/>
        <v>0</v>
      </c>
      <c r="R647" s="151"/>
      <c r="S647" s="152">
        <v>2797</v>
      </c>
      <c r="T647" s="158">
        <v>2797</v>
      </c>
      <c r="U647" s="153"/>
      <c r="V647" s="154"/>
      <c r="W647" s="154"/>
      <c r="X647" s="155"/>
      <c r="Y647" s="155" t="s">
        <v>1394</v>
      </c>
      <c r="Z647" s="155" t="s">
        <v>1442</v>
      </c>
      <c r="AA647" s="273">
        <f t="shared" si="76"/>
        <v>2.7970000000000002</v>
      </c>
      <c r="AB647" s="273">
        <f t="shared" si="77"/>
        <v>2.7970000000000002</v>
      </c>
      <c r="AC647" s="156">
        <f t="shared" si="78"/>
        <v>1000</v>
      </c>
      <c r="AD647" s="274">
        <f t="shared" si="79"/>
        <v>2797</v>
      </c>
      <c r="AE647" s="274">
        <f t="shared" si="80"/>
        <v>2797</v>
      </c>
      <c r="AF647" s="337"/>
    </row>
    <row r="648" spans="1:32">
      <c r="A648" s="337" t="s">
        <v>1523</v>
      </c>
      <c r="B648" s="146" t="s">
        <v>1</v>
      </c>
      <c r="C648" s="155" t="s">
        <v>1512</v>
      </c>
      <c r="D648" s="147"/>
      <c r="E648" s="148" t="s">
        <v>1500</v>
      </c>
      <c r="F648" s="147" t="s">
        <v>106</v>
      </c>
      <c r="G648" s="147" t="s">
        <v>1429</v>
      </c>
      <c r="H648" s="147">
        <v>43</v>
      </c>
      <c r="I648" s="149">
        <f t="shared" si="74"/>
        <v>43</v>
      </c>
      <c r="J648" s="147"/>
      <c r="K648" s="336" t="s">
        <v>1505</v>
      </c>
      <c r="L648" s="147">
        <v>100</v>
      </c>
      <c r="M648" s="147" t="s">
        <v>9</v>
      </c>
      <c r="N648" s="147"/>
      <c r="O648" s="147" t="s">
        <v>98</v>
      </c>
      <c r="P648" s="147">
        <v>1000</v>
      </c>
      <c r="Q648" s="150">
        <f t="shared" si="75"/>
        <v>0</v>
      </c>
      <c r="R648" s="151"/>
      <c r="S648" s="152">
        <v>4707</v>
      </c>
      <c r="T648" s="158">
        <v>4707</v>
      </c>
      <c r="U648" s="153"/>
      <c r="V648" s="154"/>
      <c r="W648" s="154"/>
      <c r="X648" s="155"/>
      <c r="Y648" s="155" t="s">
        <v>1394</v>
      </c>
      <c r="Z648" s="155" t="s">
        <v>1442</v>
      </c>
      <c r="AA648" s="273">
        <f t="shared" si="76"/>
        <v>4.7069999999999999</v>
      </c>
      <c r="AB648" s="273">
        <f t="shared" si="77"/>
        <v>4.7069999999999999</v>
      </c>
      <c r="AC648" s="156">
        <f t="shared" si="78"/>
        <v>1000</v>
      </c>
      <c r="AD648" s="274">
        <f t="shared" si="79"/>
        <v>4707</v>
      </c>
      <c r="AE648" s="274">
        <f t="shared" si="80"/>
        <v>4707</v>
      </c>
      <c r="AF648" s="337"/>
    </row>
    <row r="649" spans="1:32">
      <c r="A649" s="337" t="s">
        <v>1523</v>
      </c>
      <c r="B649" s="146" t="s">
        <v>1</v>
      </c>
      <c r="C649" s="155" t="s">
        <v>1512</v>
      </c>
      <c r="D649" s="147"/>
      <c r="E649" s="148" t="s">
        <v>1500</v>
      </c>
      <c r="F649" s="147" t="s">
        <v>106</v>
      </c>
      <c r="G649" s="147" t="s">
        <v>1429</v>
      </c>
      <c r="H649" s="147">
        <v>46</v>
      </c>
      <c r="I649" s="149">
        <f t="shared" si="74"/>
        <v>46</v>
      </c>
      <c r="J649" s="147"/>
      <c r="K649" s="336" t="s">
        <v>1506</v>
      </c>
      <c r="L649" s="147">
        <v>100</v>
      </c>
      <c r="M649" s="147" t="s">
        <v>9</v>
      </c>
      <c r="N649" s="147"/>
      <c r="O649" s="147" t="s">
        <v>98</v>
      </c>
      <c r="P649" s="147">
        <v>1000</v>
      </c>
      <c r="Q649" s="150">
        <f t="shared" si="75"/>
        <v>0</v>
      </c>
      <c r="R649" s="151"/>
      <c r="S649" s="152">
        <v>2764</v>
      </c>
      <c r="T649" s="158">
        <v>2764</v>
      </c>
      <c r="U649" s="153"/>
      <c r="V649" s="154"/>
      <c r="W649" s="154"/>
      <c r="X649" s="155"/>
      <c r="Y649" s="155" t="s">
        <v>1394</v>
      </c>
      <c r="Z649" s="155" t="s">
        <v>1442</v>
      </c>
      <c r="AA649" s="273">
        <f t="shared" si="76"/>
        <v>2.7639999999999998</v>
      </c>
      <c r="AB649" s="273">
        <f t="shared" si="77"/>
        <v>2.7639999999999998</v>
      </c>
      <c r="AC649" s="156">
        <f t="shared" si="78"/>
        <v>1000</v>
      </c>
      <c r="AD649" s="274">
        <f t="shared" si="79"/>
        <v>2764</v>
      </c>
      <c r="AE649" s="274">
        <f t="shared" si="80"/>
        <v>2764</v>
      </c>
      <c r="AF649" s="337"/>
    </row>
    <row r="650" spans="1:32">
      <c r="A650" s="337" t="s">
        <v>1523</v>
      </c>
      <c r="B650" s="146" t="s">
        <v>1</v>
      </c>
      <c r="C650" s="155" t="s">
        <v>1512</v>
      </c>
      <c r="D650" s="147"/>
      <c r="E650" s="148" t="s">
        <v>1500</v>
      </c>
      <c r="F650" s="147" t="s">
        <v>106</v>
      </c>
      <c r="G650" s="147" t="s">
        <v>1429</v>
      </c>
      <c r="H650" s="147">
        <v>46</v>
      </c>
      <c r="I650" s="149">
        <f t="shared" si="74"/>
        <v>46</v>
      </c>
      <c r="J650" s="147"/>
      <c r="K650" s="336" t="s">
        <v>1507</v>
      </c>
      <c r="L650" s="147">
        <v>100</v>
      </c>
      <c r="M650" s="147" t="s">
        <v>9</v>
      </c>
      <c r="N650" s="147"/>
      <c r="O650" s="147" t="s">
        <v>98</v>
      </c>
      <c r="P650" s="147">
        <v>1000</v>
      </c>
      <c r="Q650" s="150">
        <f t="shared" si="75"/>
        <v>0</v>
      </c>
      <c r="R650" s="151"/>
      <c r="S650" s="152">
        <v>4298</v>
      </c>
      <c r="T650" s="158">
        <v>4298</v>
      </c>
      <c r="U650" s="153"/>
      <c r="V650" s="154"/>
      <c r="W650" s="154"/>
      <c r="X650" s="155"/>
      <c r="Y650" s="155" t="s">
        <v>1394</v>
      </c>
      <c r="Z650" s="155" t="s">
        <v>1442</v>
      </c>
      <c r="AA650" s="273">
        <f t="shared" si="76"/>
        <v>4.298</v>
      </c>
      <c r="AB650" s="273">
        <f t="shared" si="77"/>
        <v>4.298</v>
      </c>
      <c r="AC650" s="156">
        <f t="shared" si="78"/>
        <v>1000</v>
      </c>
      <c r="AD650" s="274">
        <f t="shared" si="79"/>
        <v>4298</v>
      </c>
      <c r="AE650" s="274">
        <f t="shared" si="80"/>
        <v>4298</v>
      </c>
      <c r="AF650" s="337"/>
    </row>
    <row r="651" spans="1:32">
      <c r="A651" s="337" t="s">
        <v>1523</v>
      </c>
      <c r="B651" s="146" t="s">
        <v>1</v>
      </c>
      <c r="C651" s="155" t="s">
        <v>1512</v>
      </c>
      <c r="D651" s="147"/>
      <c r="E651" s="148" t="s">
        <v>1500</v>
      </c>
      <c r="F651" s="147" t="s">
        <v>106</v>
      </c>
      <c r="G651" s="147" t="s">
        <v>1429</v>
      </c>
      <c r="H651" s="147">
        <v>46</v>
      </c>
      <c r="I651" s="149">
        <f t="shared" si="74"/>
        <v>46</v>
      </c>
      <c r="J651" s="147"/>
      <c r="K651" s="336" t="s">
        <v>1508</v>
      </c>
      <c r="L651" s="147">
        <v>100</v>
      </c>
      <c r="M651" s="147" t="s">
        <v>9</v>
      </c>
      <c r="N651" s="147"/>
      <c r="O651" s="147" t="s">
        <v>98</v>
      </c>
      <c r="P651" s="147">
        <v>1000</v>
      </c>
      <c r="Q651" s="150">
        <f t="shared" si="75"/>
        <v>0</v>
      </c>
      <c r="R651" s="151"/>
      <c r="S651" s="152">
        <v>4481</v>
      </c>
      <c r="T651" s="158">
        <v>4481</v>
      </c>
      <c r="U651" s="153"/>
      <c r="V651" s="154"/>
      <c r="W651" s="154"/>
      <c r="X651" s="155"/>
      <c r="Y651" s="155" t="s">
        <v>1394</v>
      </c>
      <c r="Z651" s="155" t="s">
        <v>1442</v>
      </c>
      <c r="AA651" s="273">
        <f t="shared" si="76"/>
        <v>4.4809999999999999</v>
      </c>
      <c r="AB651" s="273">
        <f t="shared" si="77"/>
        <v>4.4809999999999999</v>
      </c>
      <c r="AC651" s="156">
        <f t="shared" si="78"/>
        <v>1000</v>
      </c>
      <c r="AD651" s="274">
        <f t="shared" si="79"/>
        <v>4481</v>
      </c>
      <c r="AE651" s="274">
        <f t="shared" si="80"/>
        <v>4481</v>
      </c>
      <c r="AF651" s="337"/>
    </row>
    <row r="652" spans="1:32">
      <c r="A652" s="337" t="s">
        <v>1523</v>
      </c>
      <c r="B652" s="146" t="s">
        <v>1</v>
      </c>
      <c r="C652" s="155" t="s">
        <v>1512</v>
      </c>
      <c r="D652" s="147"/>
      <c r="E652" s="148" t="s">
        <v>1500</v>
      </c>
      <c r="F652" s="147" t="s">
        <v>106</v>
      </c>
      <c r="G652" s="147" t="s">
        <v>1429</v>
      </c>
      <c r="H652" s="147">
        <v>58</v>
      </c>
      <c r="I652" s="149">
        <f t="shared" si="74"/>
        <v>58</v>
      </c>
      <c r="J652" s="147"/>
      <c r="K652" s="336" t="s">
        <v>67</v>
      </c>
      <c r="L652" s="147">
        <v>100</v>
      </c>
      <c r="M652" s="147" t="s">
        <v>9</v>
      </c>
      <c r="N652" s="147"/>
      <c r="O652" s="147" t="s">
        <v>98</v>
      </c>
      <c r="P652" s="147">
        <v>1000</v>
      </c>
      <c r="Q652" s="150">
        <f t="shared" si="75"/>
        <v>0</v>
      </c>
      <c r="R652" s="151"/>
      <c r="S652" s="152">
        <v>3151</v>
      </c>
      <c r="T652" s="158">
        <v>3151</v>
      </c>
      <c r="U652" s="153"/>
      <c r="V652" s="154"/>
      <c r="W652" s="154"/>
      <c r="X652" s="155"/>
      <c r="Y652" s="155" t="s">
        <v>1394</v>
      </c>
      <c r="Z652" s="155" t="s">
        <v>1442</v>
      </c>
      <c r="AA652" s="273">
        <f t="shared" si="76"/>
        <v>3.1509999999999998</v>
      </c>
      <c r="AB652" s="273">
        <f t="shared" si="77"/>
        <v>3.1509999999999998</v>
      </c>
      <c r="AC652" s="156">
        <f t="shared" si="78"/>
        <v>1000</v>
      </c>
      <c r="AD652" s="274">
        <f t="shared" si="79"/>
        <v>3151</v>
      </c>
      <c r="AE652" s="274">
        <f t="shared" si="80"/>
        <v>3151</v>
      </c>
      <c r="AF652" s="337"/>
    </row>
    <row r="653" spans="1:32">
      <c r="A653" s="337" t="s">
        <v>1523</v>
      </c>
      <c r="B653" s="146" t="s">
        <v>1</v>
      </c>
      <c r="C653" s="155" t="s">
        <v>1512</v>
      </c>
      <c r="D653" s="147"/>
      <c r="E653" s="148" t="s">
        <v>1500</v>
      </c>
      <c r="F653" s="147" t="s">
        <v>106</v>
      </c>
      <c r="G653" s="147" t="s">
        <v>1429</v>
      </c>
      <c r="H653" s="147">
        <v>59</v>
      </c>
      <c r="I653" s="149">
        <f t="shared" si="74"/>
        <v>59</v>
      </c>
      <c r="J653" s="147"/>
      <c r="K653" s="336" t="s">
        <v>99</v>
      </c>
      <c r="L653" s="147">
        <v>100</v>
      </c>
      <c r="M653" s="147" t="s">
        <v>9</v>
      </c>
      <c r="N653" s="147"/>
      <c r="O653" s="147" t="s">
        <v>98</v>
      </c>
      <c r="P653" s="147">
        <v>1000</v>
      </c>
      <c r="Q653" s="150">
        <f t="shared" si="75"/>
        <v>0</v>
      </c>
      <c r="R653" s="151"/>
      <c r="S653" s="152">
        <v>2711</v>
      </c>
      <c r="T653" s="158">
        <v>2711</v>
      </c>
      <c r="U653" s="153"/>
      <c r="V653" s="154"/>
      <c r="W653" s="154"/>
      <c r="X653" s="155"/>
      <c r="Y653" s="155" t="s">
        <v>1394</v>
      </c>
      <c r="Z653" s="155" t="s">
        <v>1442</v>
      </c>
      <c r="AA653" s="273">
        <f t="shared" si="76"/>
        <v>2.7109999999999999</v>
      </c>
      <c r="AB653" s="273">
        <f t="shared" si="77"/>
        <v>2.7109999999999999</v>
      </c>
      <c r="AC653" s="156">
        <f t="shared" si="78"/>
        <v>1000</v>
      </c>
      <c r="AD653" s="274">
        <f t="shared" si="79"/>
        <v>2711</v>
      </c>
      <c r="AE653" s="274">
        <f t="shared" si="80"/>
        <v>2711</v>
      </c>
      <c r="AF653" s="337"/>
    </row>
    <row r="654" spans="1:32">
      <c r="A654" s="337" t="s">
        <v>1523</v>
      </c>
      <c r="B654" s="146" t="s">
        <v>1</v>
      </c>
      <c r="C654" s="155" t="s">
        <v>1512</v>
      </c>
      <c r="D654" s="147"/>
      <c r="E654" s="148" t="s">
        <v>1500</v>
      </c>
      <c r="F654" s="147" t="s">
        <v>106</v>
      </c>
      <c r="G654" s="147" t="s">
        <v>1429</v>
      </c>
      <c r="H654" s="147">
        <v>69</v>
      </c>
      <c r="I654" s="149">
        <f t="shared" si="74"/>
        <v>69</v>
      </c>
      <c r="J654" s="147"/>
      <c r="K654" s="336" t="s">
        <v>1509</v>
      </c>
      <c r="L654" s="147">
        <v>100</v>
      </c>
      <c r="M654" s="147" t="s">
        <v>9</v>
      </c>
      <c r="N654" s="147"/>
      <c r="O654" s="147" t="s">
        <v>98</v>
      </c>
      <c r="P654" s="147">
        <v>1000</v>
      </c>
      <c r="Q654" s="150">
        <f t="shared" si="75"/>
        <v>0</v>
      </c>
      <c r="R654" s="151"/>
      <c r="S654" s="152">
        <v>2976</v>
      </c>
      <c r="T654" s="158">
        <v>2976</v>
      </c>
      <c r="U654" s="153"/>
      <c r="V654" s="154"/>
      <c r="W654" s="154"/>
      <c r="X654" s="155"/>
      <c r="Y654" s="155" t="s">
        <v>1394</v>
      </c>
      <c r="Z654" s="155" t="s">
        <v>1442</v>
      </c>
      <c r="AA654" s="273">
        <f t="shared" si="76"/>
        <v>2.976</v>
      </c>
      <c r="AB654" s="273">
        <f t="shared" si="77"/>
        <v>2.976</v>
      </c>
      <c r="AC654" s="156">
        <f t="shared" si="78"/>
        <v>1000</v>
      </c>
      <c r="AD654" s="274">
        <f t="shared" si="79"/>
        <v>2976</v>
      </c>
      <c r="AE654" s="274">
        <f t="shared" si="80"/>
        <v>2976</v>
      </c>
      <c r="AF654" s="337"/>
    </row>
    <row r="655" spans="1:32">
      <c r="A655" s="337" t="s">
        <v>1523</v>
      </c>
      <c r="B655" s="146" t="s">
        <v>1</v>
      </c>
      <c r="C655" s="155" t="s">
        <v>1512</v>
      </c>
      <c r="D655" s="147"/>
      <c r="E655" s="148" t="s">
        <v>1500</v>
      </c>
      <c r="F655" s="147" t="s">
        <v>106</v>
      </c>
      <c r="G655" s="147" t="s">
        <v>1429</v>
      </c>
      <c r="H655" s="147">
        <v>70</v>
      </c>
      <c r="I655" s="149">
        <f t="shared" si="74"/>
        <v>70</v>
      </c>
      <c r="J655" s="147"/>
      <c r="K655" s="336" t="s">
        <v>1510</v>
      </c>
      <c r="L655" s="147">
        <v>100</v>
      </c>
      <c r="M655" s="147" t="s">
        <v>9</v>
      </c>
      <c r="N655" s="147"/>
      <c r="O655" s="147" t="s">
        <v>98</v>
      </c>
      <c r="P655" s="147">
        <v>1000</v>
      </c>
      <c r="Q655" s="150">
        <f t="shared" si="75"/>
        <v>0</v>
      </c>
      <c r="R655" s="151"/>
      <c r="S655" s="152">
        <v>4099</v>
      </c>
      <c r="T655" s="158">
        <v>4099</v>
      </c>
      <c r="U655" s="153"/>
      <c r="V655" s="154"/>
      <c r="W655" s="154"/>
      <c r="X655" s="155"/>
      <c r="Y655" s="155" t="s">
        <v>1394</v>
      </c>
      <c r="Z655" s="155" t="s">
        <v>1442</v>
      </c>
      <c r="AA655" s="273">
        <f t="shared" si="76"/>
        <v>4.0990000000000002</v>
      </c>
      <c r="AB655" s="273">
        <f t="shared" si="77"/>
        <v>4.0990000000000002</v>
      </c>
      <c r="AC655" s="156">
        <f t="shared" si="78"/>
        <v>1000</v>
      </c>
      <c r="AD655" s="274">
        <f t="shared" si="79"/>
        <v>4099</v>
      </c>
      <c r="AE655" s="274">
        <f t="shared" si="80"/>
        <v>4099</v>
      </c>
      <c r="AF655" s="337"/>
    </row>
    <row r="656" spans="1:32">
      <c r="A656" s="337" t="s">
        <v>1523</v>
      </c>
      <c r="B656" s="146" t="s">
        <v>1</v>
      </c>
      <c r="C656" s="155" t="s">
        <v>1512</v>
      </c>
      <c r="D656" s="147"/>
      <c r="E656" s="148" t="s">
        <v>1500</v>
      </c>
      <c r="F656" s="147" t="s">
        <v>106</v>
      </c>
      <c r="G656" s="147" t="s">
        <v>1429</v>
      </c>
      <c r="H656" s="147">
        <v>70</v>
      </c>
      <c r="I656" s="149">
        <f t="shared" si="74"/>
        <v>70</v>
      </c>
      <c r="J656" s="147"/>
      <c r="K656" s="336" t="s">
        <v>1511</v>
      </c>
      <c r="L656" s="147">
        <v>100</v>
      </c>
      <c r="M656" s="147" t="s">
        <v>9</v>
      </c>
      <c r="N656" s="147"/>
      <c r="O656" s="147" t="s">
        <v>98</v>
      </c>
      <c r="P656" s="147">
        <v>1000</v>
      </c>
      <c r="Q656" s="150">
        <f t="shared" si="75"/>
        <v>0</v>
      </c>
      <c r="R656" s="151"/>
      <c r="S656" s="152">
        <v>4464</v>
      </c>
      <c r="T656" s="158">
        <v>4464</v>
      </c>
      <c r="U656" s="153"/>
      <c r="V656" s="154"/>
      <c r="W656" s="154"/>
      <c r="X656" s="155"/>
      <c r="Y656" s="155" t="s">
        <v>1394</v>
      </c>
      <c r="Z656" s="155" t="s">
        <v>1442</v>
      </c>
      <c r="AA656" s="273">
        <f t="shared" si="76"/>
        <v>4.4640000000000004</v>
      </c>
      <c r="AB656" s="273">
        <f t="shared" si="77"/>
        <v>4.4640000000000004</v>
      </c>
      <c r="AC656" s="156">
        <f t="shared" si="78"/>
        <v>1000</v>
      </c>
      <c r="AD656" s="274">
        <f t="shared" si="79"/>
        <v>4464</v>
      </c>
      <c r="AE656" s="274">
        <f t="shared" si="80"/>
        <v>4464</v>
      </c>
      <c r="AF656" s="337"/>
    </row>
    <row r="657" spans="1:32">
      <c r="A657" s="337" t="s">
        <v>1523</v>
      </c>
      <c r="B657" s="146" t="s">
        <v>1</v>
      </c>
      <c r="C657" s="155" t="s">
        <v>1512</v>
      </c>
      <c r="D657" s="147"/>
      <c r="E657" s="148" t="s">
        <v>1501</v>
      </c>
      <c r="F657" s="147" t="s">
        <v>106</v>
      </c>
      <c r="G657" s="147" t="s">
        <v>1429</v>
      </c>
      <c r="H657" s="147">
        <v>7</v>
      </c>
      <c r="I657" s="149">
        <f t="shared" si="74"/>
        <v>7</v>
      </c>
      <c r="J657" s="147"/>
      <c r="K657" s="336" t="s">
        <v>57</v>
      </c>
      <c r="L657" s="147">
        <v>100</v>
      </c>
      <c r="M657" s="147" t="s">
        <v>9</v>
      </c>
      <c r="N657" s="147"/>
      <c r="O657" s="147" t="s">
        <v>98</v>
      </c>
      <c r="P657" s="147">
        <v>1000</v>
      </c>
      <c r="Q657" s="150">
        <f t="shared" si="75"/>
        <v>0</v>
      </c>
      <c r="R657" s="151"/>
      <c r="S657" s="152">
        <v>1000</v>
      </c>
      <c r="T657" s="158">
        <v>1000</v>
      </c>
      <c r="U657" s="153"/>
      <c r="V657" s="154"/>
      <c r="W657" s="154"/>
      <c r="X657" s="155"/>
      <c r="Y657" s="155" t="s">
        <v>1394</v>
      </c>
      <c r="Z657" s="155" t="s">
        <v>1442</v>
      </c>
      <c r="AA657" s="273">
        <f t="shared" si="76"/>
        <v>1</v>
      </c>
      <c r="AB657" s="273">
        <f t="shared" si="77"/>
        <v>1</v>
      </c>
      <c r="AC657" s="156">
        <f t="shared" si="78"/>
        <v>1000</v>
      </c>
      <c r="AD657" s="274">
        <f t="shared" si="79"/>
        <v>1000</v>
      </c>
      <c r="AE657" s="274">
        <f t="shared" si="80"/>
        <v>1000</v>
      </c>
      <c r="AF657" s="337"/>
    </row>
    <row r="658" spans="1:32">
      <c r="A658" s="337" t="s">
        <v>1523</v>
      </c>
      <c r="B658" s="146" t="s">
        <v>1</v>
      </c>
      <c r="C658" s="155" t="s">
        <v>1512</v>
      </c>
      <c r="D658" s="147"/>
      <c r="E658" s="148" t="s">
        <v>1501</v>
      </c>
      <c r="F658" s="147" t="s">
        <v>106</v>
      </c>
      <c r="G658" s="147" t="s">
        <v>1429</v>
      </c>
      <c r="H658" s="147">
        <v>8</v>
      </c>
      <c r="I658" s="149">
        <f t="shared" si="74"/>
        <v>8</v>
      </c>
      <c r="J658" s="147"/>
      <c r="K658" s="336" t="s">
        <v>55</v>
      </c>
      <c r="L658" s="147">
        <v>100</v>
      </c>
      <c r="M658" s="147" t="s">
        <v>9</v>
      </c>
      <c r="N658" s="147"/>
      <c r="O658" s="147" t="s">
        <v>98</v>
      </c>
      <c r="P658" s="147">
        <v>1000</v>
      </c>
      <c r="Q658" s="150">
        <f t="shared" si="75"/>
        <v>0</v>
      </c>
      <c r="R658" s="151"/>
      <c r="S658" s="152">
        <v>1252</v>
      </c>
      <c r="T658" s="158">
        <v>1252</v>
      </c>
      <c r="U658" s="153"/>
      <c r="V658" s="154"/>
      <c r="W658" s="154"/>
      <c r="X658" s="155"/>
      <c r="Y658" s="155" t="s">
        <v>1394</v>
      </c>
      <c r="Z658" s="155" t="s">
        <v>1442</v>
      </c>
      <c r="AA658" s="273">
        <f t="shared" si="76"/>
        <v>1.252</v>
      </c>
      <c r="AB658" s="273">
        <f t="shared" si="77"/>
        <v>1.252</v>
      </c>
      <c r="AC658" s="156">
        <f t="shared" si="78"/>
        <v>1000</v>
      </c>
      <c r="AD658" s="274">
        <f t="shared" si="79"/>
        <v>1252</v>
      </c>
      <c r="AE658" s="274">
        <f t="shared" si="80"/>
        <v>1252</v>
      </c>
      <c r="AF658" s="337"/>
    </row>
    <row r="659" spans="1:32">
      <c r="A659" s="337" t="s">
        <v>1523</v>
      </c>
      <c r="B659" s="146" t="s">
        <v>1</v>
      </c>
      <c r="C659" s="155" t="s">
        <v>1512</v>
      </c>
      <c r="D659" s="147"/>
      <c r="E659" s="148" t="s">
        <v>1501</v>
      </c>
      <c r="F659" s="147" t="s">
        <v>106</v>
      </c>
      <c r="G659" s="147" t="s">
        <v>1429</v>
      </c>
      <c r="H659" s="147">
        <v>17</v>
      </c>
      <c r="I659" s="149">
        <f t="shared" si="74"/>
        <v>17</v>
      </c>
      <c r="J659" s="147"/>
      <c r="K659" s="336" t="s">
        <v>53</v>
      </c>
      <c r="L659" s="147">
        <v>100</v>
      </c>
      <c r="M659" s="147" t="s">
        <v>9</v>
      </c>
      <c r="N659" s="147"/>
      <c r="O659" s="147" t="s">
        <v>98</v>
      </c>
      <c r="P659" s="147">
        <v>1000</v>
      </c>
      <c r="Q659" s="150">
        <f t="shared" si="75"/>
        <v>0</v>
      </c>
      <c r="R659" s="151"/>
      <c r="S659" s="152">
        <v>1871</v>
      </c>
      <c r="T659" s="158">
        <v>1871</v>
      </c>
      <c r="U659" s="153"/>
      <c r="V659" s="154"/>
      <c r="W659" s="154"/>
      <c r="X659" s="155"/>
      <c r="Y659" s="155" t="s">
        <v>1394</v>
      </c>
      <c r="Z659" s="155" t="s">
        <v>1442</v>
      </c>
      <c r="AA659" s="273">
        <f t="shared" si="76"/>
        <v>1.871</v>
      </c>
      <c r="AB659" s="273">
        <f t="shared" si="77"/>
        <v>1.871</v>
      </c>
      <c r="AC659" s="156">
        <f t="shared" si="78"/>
        <v>1000</v>
      </c>
      <c r="AD659" s="274">
        <f t="shared" si="79"/>
        <v>1871</v>
      </c>
      <c r="AE659" s="274">
        <f t="shared" si="80"/>
        <v>1871</v>
      </c>
      <c r="AF659" s="337"/>
    </row>
    <row r="660" spans="1:32">
      <c r="A660" s="337" t="s">
        <v>1523</v>
      </c>
      <c r="B660" s="146" t="s">
        <v>1</v>
      </c>
      <c r="C660" s="155" t="s">
        <v>1512</v>
      </c>
      <c r="D660" s="147"/>
      <c r="E660" s="148" t="s">
        <v>1501</v>
      </c>
      <c r="F660" s="147" t="s">
        <v>106</v>
      </c>
      <c r="G660" s="147" t="s">
        <v>1429</v>
      </c>
      <c r="H660" s="147">
        <v>22</v>
      </c>
      <c r="I660" s="149">
        <f t="shared" si="74"/>
        <v>22</v>
      </c>
      <c r="J660" s="147"/>
      <c r="K660" s="336" t="s">
        <v>51</v>
      </c>
      <c r="L660" s="147">
        <v>100</v>
      </c>
      <c r="M660" s="147" t="s">
        <v>9</v>
      </c>
      <c r="N660" s="147"/>
      <c r="O660" s="147" t="s">
        <v>98</v>
      </c>
      <c r="P660" s="147">
        <v>1000</v>
      </c>
      <c r="Q660" s="150">
        <f t="shared" si="75"/>
        <v>0</v>
      </c>
      <c r="R660" s="151"/>
      <c r="S660" s="152">
        <v>5000</v>
      </c>
      <c r="T660" s="158">
        <v>5000</v>
      </c>
      <c r="U660" s="153"/>
      <c r="V660" s="154"/>
      <c r="W660" s="154"/>
      <c r="X660" s="155"/>
      <c r="Y660" s="155" t="s">
        <v>1394</v>
      </c>
      <c r="Z660" s="155" t="s">
        <v>1442</v>
      </c>
      <c r="AA660" s="273">
        <f t="shared" si="76"/>
        <v>5</v>
      </c>
      <c r="AB660" s="273">
        <f t="shared" si="77"/>
        <v>5</v>
      </c>
      <c r="AC660" s="156">
        <f t="shared" si="78"/>
        <v>1000</v>
      </c>
      <c r="AD660" s="274">
        <f t="shared" si="79"/>
        <v>5000</v>
      </c>
      <c r="AE660" s="274">
        <f t="shared" si="80"/>
        <v>5000</v>
      </c>
      <c r="AF660" s="337"/>
    </row>
    <row r="661" spans="1:32">
      <c r="A661" s="337" t="s">
        <v>1523</v>
      </c>
      <c r="B661" s="146" t="s">
        <v>1</v>
      </c>
      <c r="C661" s="155" t="s">
        <v>1512</v>
      </c>
      <c r="D661" s="147"/>
      <c r="E661" s="148" t="s">
        <v>1501</v>
      </c>
      <c r="F661" s="147" t="s">
        <v>106</v>
      </c>
      <c r="G661" s="147" t="s">
        <v>1429</v>
      </c>
      <c r="H661" s="147">
        <v>33</v>
      </c>
      <c r="I661" s="149">
        <f t="shared" ref="I661:I724" si="81">IF(AND(F661="SI",J661&lt;&gt;"",J661&lt;&gt;"NA"),CONCATENATE(H661,"_",J661),IF(F661="SI",H661,CONCATENATE(" REGISTRO COTIZACION NO EVALUADA: ",H661)))</f>
        <v>33</v>
      </c>
      <c r="J661" s="147"/>
      <c r="K661" s="336" t="s">
        <v>59</v>
      </c>
      <c r="L661" s="147">
        <v>100</v>
      </c>
      <c r="M661" s="147" t="s">
        <v>9</v>
      </c>
      <c r="N661" s="147"/>
      <c r="O661" s="147" t="s">
        <v>98</v>
      </c>
      <c r="P661" s="147">
        <v>1000</v>
      </c>
      <c r="Q661" s="150">
        <f t="shared" ref="Q661:Q724" si="82">(T661-S661)/S661</f>
        <v>0</v>
      </c>
      <c r="R661" s="151"/>
      <c r="S661" s="152">
        <v>3300</v>
      </c>
      <c r="T661" s="158">
        <v>3300</v>
      </c>
      <c r="U661" s="153"/>
      <c r="V661" s="154"/>
      <c r="W661" s="154"/>
      <c r="X661" s="155"/>
      <c r="Y661" s="155" t="s">
        <v>1394</v>
      </c>
      <c r="Z661" s="155" t="s">
        <v>1442</v>
      </c>
      <c r="AA661" s="273">
        <f t="shared" ref="AA661:AA724" si="83">S661/P661</f>
        <v>3.3</v>
      </c>
      <c r="AB661" s="273">
        <f t="shared" ref="AB661:AB724" si="84">T661/P661</f>
        <v>3.3</v>
      </c>
      <c r="AC661" s="156">
        <f t="shared" ref="AC661:AC724" si="85">P661</f>
        <v>1000</v>
      </c>
      <c r="AD661" s="274">
        <f t="shared" ref="AD661:AD724" si="86">AA661*AC661</f>
        <v>3300</v>
      </c>
      <c r="AE661" s="274">
        <f t="shared" si="80"/>
        <v>3300</v>
      </c>
      <c r="AF661" s="337"/>
    </row>
    <row r="662" spans="1:32">
      <c r="A662" s="337" t="s">
        <v>1523</v>
      </c>
      <c r="B662" s="146" t="s">
        <v>1</v>
      </c>
      <c r="C662" s="155" t="s">
        <v>1512</v>
      </c>
      <c r="D662" s="147"/>
      <c r="E662" s="148" t="s">
        <v>1501</v>
      </c>
      <c r="F662" s="147" t="s">
        <v>106</v>
      </c>
      <c r="G662" s="147" t="s">
        <v>1429</v>
      </c>
      <c r="H662" s="147">
        <v>42</v>
      </c>
      <c r="I662" s="149">
        <f t="shared" si="81"/>
        <v>42</v>
      </c>
      <c r="J662" s="147"/>
      <c r="K662" s="336" t="s">
        <v>61</v>
      </c>
      <c r="L662" s="147">
        <v>100</v>
      </c>
      <c r="M662" s="147" t="s">
        <v>9</v>
      </c>
      <c r="N662" s="147"/>
      <c r="O662" s="147" t="s">
        <v>98</v>
      </c>
      <c r="P662" s="147">
        <v>1000</v>
      </c>
      <c r="Q662" s="150">
        <f t="shared" si="82"/>
        <v>0</v>
      </c>
      <c r="R662" s="151"/>
      <c r="S662" s="152">
        <v>2857</v>
      </c>
      <c r="T662" s="158">
        <v>2857</v>
      </c>
      <c r="U662" s="153"/>
      <c r="V662" s="154"/>
      <c r="W662" s="154"/>
      <c r="X662" s="155"/>
      <c r="Y662" s="155" t="s">
        <v>1394</v>
      </c>
      <c r="Z662" s="155" t="s">
        <v>1442</v>
      </c>
      <c r="AA662" s="273">
        <f t="shared" si="83"/>
        <v>2.8570000000000002</v>
      </c>
      <c r="AB662" s="273">
        <f t="shared" si="84"/>
        <v>2.8570000000000002</v>
      </c>
      <c r="AC662" s="156">
        <f t="shared" si="85"/>
        <v>1000</v>
      </c>
      <c r="AD662" s="274">
        <f t="shared" si="86"/>
        <v>2857</v>
      </c>
      <c r="AE662" s="274">
        <f t="shared" si="80"/>
        <v>2857</v>
      </c>
      <c r="AF662" s="337"/>
    </row>
    <row r="663" spans="1:32">
      <c r="A663" s="337" t="s">
        <v>1523</v>
      </c>
      <c r="B663" s="146" t="s">
        <v>1</v>
      </c>
      <c r="C663" s="155" t="s">
        <v>1512</v>
      </c>
      <c r="D663" s="147"/>
      <c r="E663" s="148" t="s">
        <v>1501</v>
      </c>
      <c r="F663" s="147" t="s">
        <v>106</v>
      </c>
      <c r="G663" s="147" t="s">
        <v>1429</v>
      </c>
      <c r="H663" s="147">
        <v>43</v>
      </c>
      <c r="I663" s="149">
        <f t="shared" si="81"/>
        <v>43</v>
      </c>
      <c r="J663" s="147"/>
      <c r="K663" s="336" t="s">
        <v>1505</v>
      </c>
      <c r="L663" s="147">
        <v>100</v>
      </c>
      <c r="M663" s="147" t="s">
        <v>9</v>
      </c>
      <c r="N663" s="147"/>
      <c r="O663" s="147" t="s">
        <v>98</v>
      </c>
      <c r="P663" s="147">
        <v>1000</v>
      </c>
      <c r="Q663" s="150">
        <f t="shared" si="82"/>
        <v>0</v>
      </c>
      <c r="R663" s="151"/>
      <c r="S663" s="152">
        <v>4800</v>
      </c>
      <c r="T663" s="158">
        <v>4800</v>
      </c>
      <c r="U663" s="153"/>
      <c r="V663" s="154"/>
      <c r="W663" s="154"/>
      <c r="X663" s="155"/>
      <c r="Y663" s="155" t="s">
        <v>1394</v>
      </c>
      <c r="Z663" s="155" t="s">
        <v>1442</v>
      </c>
      <c r="AA663" s="273">
        <f t="shared" si="83"/>
        <v>4.8</v>
      </c>
      <c r="AB663" s="273">
        <f t="shared" si="84"/>
        <v>4.8</v>
      </c>
      <c r="AC663" s="156">
        <f t="shared" si="85"/>
        <v>1000</v>
      </c>
      <c r="AD663" s="274">
        <f t="shared" si="86"/>
        <v>4800</v>
      </c>
      <c r="AE663" s="274">
        <f t="shared" si="80"/>
        <v>4800</v>
      </c>
      <c r="AF663" s="337"/>
    </row>
    <row r="664" spans="1:32">
      <c r="A664" s="337" t="s">
        <v>1523</v>
      </c>
      <c r="B664" s="146" t="s">
        <v>1</v>
      </c>
      <c r="C664" s="155" t="s">
        <v>1512</v>
      </c>
      <c r="D664" s="147"/>
      <c r="E664" s="148" t="s">
        <v>1501</v>
      </c>
      <c r="F664" s="147" t="s">
        <v>106</v>
      </c>
      <c r="G664" s="147" t="s">
        <v>1429</v>
      </c>
      <c r="H664" s="147">
        <v>46</v>
      </c>
      <c r="I664" s="149">
        <f t="shared" si="81"/>
        <v>46</v>
      </c>
      <c r="J664" s="147"/>
      <c r="K664" s="336" t="s">
        <v>1506</v>
      </c>
      <c r="L664" s="147">
        <v>100</v>
      </c>
      <c r="M664" s="147" t="s">
        <v>9</v>
      </c>
      <c r="N664" s="147"/>
      <c r="O664" s="147" t="s">
        <v>98</v>
      </c>
      <c r="P664" s="147">
        <v>1000</v>
      </c>
      <c r="Q664" s="150">
        <f t="shared" si="82"/>
        <v>0</v>
      </c>
      <c r="R664" s="151"/>
      <c r="S664" s="152">
        <v>2556</v>
      </c>
      <c r="T664" s="158">
        <v>2556</v>
      </c>
      <c r="U664" s="153"/>
      <c r="V664" s="154"/>
      <c r="W664" s="154"/>
      <c r="X664" s="155"/>
      <c r="Y664" s="155" t="s">
        <v>1394</v>
      </c>
      <c r="Z664" s="155" t="s">
        <v>1442</v>
      </c>
      <c r="AA664" s="273">
        <f t="shared" si="83"/>
        <v>2.556</v>
      </c>
      <c r="AB664" s="273">
        <f t="shared" si="84"/>
        <v>2.556</v>
      </c>
      <c r="AC664" s="156">
        <f t="shared" si="85"/>
        <v>1000</v>
      </c>
      <c r="AD664" s="274">
        <f t="shared" si="86"/>
        <v>2556</v>
      </c>
      <c r="AE664" s="274">
        <f t="shared" si="80"/>
        <v>2556</v>
      </c>
      <c r="AF664" s="337"/>
    </row>
    <row r="665" spans="1:32">
      <c r="A665" s="337" t="s">
        <v>1523</v>
      </c>
      <c r="B665" s="146" t="s">
        <v>1</v>
      </c>
      <c r="C665" s="155" t="s">
        <v>1512</v>
      </c>
      <c r="D665" s="147"/>
      <c r="E665" s="148" t="s">
        <v>1501</v>
      </c>
      <c r="F665" s="147" t="s">
        <v>106</v>
      </c>
      <c r="G665" s="147" t="s">
        <v>1429</v>
      </c>
      <c r="H665" s="147">
        <v>46</v>
      </c>
      <c r="I665" s="149">
        <f t="shared" si="81"/>
        <v>46</v>
      </c>
      <c r="J665" s="147"/>
      <c r="K665" s="336" t="s">
        <v>1507</v>
      </c>
      <c r="L665" s="147">
        <v>100</v>
      </c>
      <c r="M665" s="147" t="s">
        <v>9</v>
      </c>
      <c r="N665" s="147"/>
      <c r="O665" s="147" t="s">
        <v>98</v>
      </c>
      <c r="P665" s="147">
        <v>1000</v>
      </c>
      <c r="Q665" s="150">
        <f t="shared" si="82"/>
        <v>0</v>
      </c>
      <c r="R665" s="151"/>
      <c r="S665" s="152">
        <v>4404</v>
      </c>
      <c r="T665" s="158">
        <v>4404</v>
      </c>
      <c r="U665" s="153"/>
      <c r="V665" s="154"/>
      <c r="W665" s="154"/>
      <c r="X665" s="155"/>
      <c r="Y665" s="155" t="s">
        <v>1394</v>
      </c>
      <c r="Z665" s="155" t="s">
        <v>1442</v>
      </c>
      <c r="AA665" s="273">
        <f t="shared" si="83"/>
        <v>4.4039999999999999</v>
      </c>
      <c r="AB665" s="273">
        <f t="shared" si="84"/>
        <v>4.4039999999999999</v>
      </c>
      <c r="AC665" s="156">
        <f t="shared" si="85"/>
        <v>1000</v>
      </c>
      <c r="AD665" s="274">
        <f t="shared" si="86"/>
        <v>4404</v>
      </c>
      <c r="AE665" s="274">
        <f t="shared" si="80"/>
        <v>4404</v>
      </c>
      <c r="AF665" s="337"/>
    </row>
    <row r="666" spans="1:32">
      <c r="A666" s="337" t="s">
        <v>1523</v>
      </c>
      <c r="B666" s="146" t="s">
        <v>1</v>
      </c>
      <c r="C666" s="155" t="s">
        <v>1512</v>
      </c>
      <c r="D666" s="147"/>
      <c r="E666" s="148" t="s">
        <v>1501</v>
      </c>
      <c r="F666" s="147" t="s">
        <v>106</v>
      </c>
      <c r="G666" s="147" t="s">
        <v>1429</v>
      </c>
      <c r="H666" s="147">
        <v>46</v>
      </c>
      <c r="I666" s="149">
        <f t="shared" si="81"/>
        <v>46</v>
      </c>
      <c r="J666" s="147"/>
      <c r="K666" s="336" t="s">
        <v>1508</v>
      </c>
      <c r="L666" s="147">
        <v>100</v>
      </c>
      <c r="M666" s="147" t="s">
        <v>9</v>
      </c>
      <c r="N666" s="147"/>
      <c r="O666" s="147" t="s">
        <v>98</v>
      </c>
      <c r="P666" s="147">
        <v>1000</v>
      </c>
      <c r="Q666" s="150">
        <f t="shared" si="82"/>
        <v>0</v>
      </c>
      <c r="R666" s="151"/>
      <c r="S666" s="152">
        <v>4686</v>
      </c>
      <c r="T666" s="158">
        <v>4686</v>
      </c>
      <c r="U666" s="153"/>
      <c r="V666" s="154"/>
      <c r="W666" s="154"/>
      <c r="X666" s="155"/>
      <c r="Y666" s="155" t="s">
        <v>1394</v>
      </c>
      <c r="Z666" s="155" t="s">
        <v>1442</v>
      </c>
      <c r="AA666" s="273">
        <f t="shared" si="83"/>
        <v>4.6859999999999999</v>
      </c>
      <c r="AB666" s="273">
        <f t="shared" si="84"/>
        <v>4.6859999999999999</v>
      </c>
      <c r="AC666" s="156">
        <f t="shared" si="85"/>
        <v>1000</v>
      </c>
      <c r="AD666" s="274">
        <f t="shared" si="86"/>
        <v>4686</v>
      </c>
      <c r="AE666" s="274">
        <f t="shared" si="80"/>
        <v>4686</v>
      </c>
      <c r="AF666" s="337"/>
    </row>
    <row r="667" spans="1:32">
      <c r="A667" s="337" t="s">
        <v>1523</v>
      </c>
      <c r="B667" s="146" t="s">
        <v>1</v>
      </c>
      <c r="C667" s="155" t="s">
        <v>1512</v>
      </c>
      <c r="D667" s="147"/>
      <c r="E667" s="148" t="s">
        <v>1501</v>
      </c>
      <c r="F667" s="147" t="s">
        <v>106</v>
      </c>
      <c r="G667" s="147" t="s">
        <v>1429</v>
      </c>
      <c r="H667" s="147">
        <v>58</v>
      </c>
      <c r="I667" s="149">
        <f t="shared" si="81"/>
        <v>58</v>
      </c>
      <c r="J667" s="147"/>
      <c r="K667" s="336" t="s">
        <v>67</v>
      </c>
      <c r="L667" s="147">
        <v>100</v>
      </c>
      <c r="M667" s="147" t="s">
        <v>9</v>
      </c>
      <c r="N667" s="147"/>
      <c r="O667" s="147" t="s">
        <v>98</v>
      </c>
      <c r="P667" s="147">
        <v>1000</v>
      </c>
      <c r="Q667" s="150">
        <f t="shared" si="82"/>
        <v>0</v>
      </c>
      <c r="R667" s="151"/>
      <c r="S667" s="152">
        <v>3437</v>
      </c>
      <c r="T667" s="158">
        <v>3437</v>
      </c>
      <c r="U667" s="153"/>
      <c r="V667" s="154"/>
      <c r="W667" s="154"/>
      <c r="X667" s="155"/>
      <c r="Y667" s="155" t="s">
        <v>1394</v>
      </c>
      <c r="Z667" s="155" t="s">
        <v>1442</v>
      </c>
      <c r="AA667" s="273">
        <f t="shared" si="83"/>
        <v>3.4369999999999998</v>
      </c>
      <c r="AB667" s="273">
        <f t="shared" si="84"/>
        <v>3.4369999999999998</v>
      </c>
      <c r="AC667" s="156">
        <f t="shared" si="85"/>
        <v>1000</v>
      </c>
      <c r="AD667" s="274">
        <f t="shared" si="86"/>
        <v>3437</v>
      </c>
      <c r="AE667" s="274">
        <f t="shared" si="80"/>
        <v>3437</v>
      </c>
      <c r="AF667" s="337"/>
    </row>
    <row r="668" spans="1:32">
      <c r="A668" s="337" t="s">
        <v>1523</v>
      </c>
      <c r="B668" s="146" t="s">
        <v>1</v>
      </c>
      <c r="C668" s="155" t="s">
        <v>1512</v>
      </c>
      <c r="D668" s="147"/>
      <c r="E668" s="148" t="s">
        <v>1501</v>
      </c>
      <c r="F668" s="147" t="s">
        <v>106</v>
      </c>
      <c r="G668" s="147" t="s">
        <v>1429</v>
      </c>
      <c r="H668" s="147">
        <v>59</v>
      </c>
      <c r="I668" s="149">
        <f t="shared" si="81"/>
        <v>59</v>
      </c>
      <c r="J668" s="147"/>
      <c r="K668" s="336" t="s">
        <v>99</v>
      </c>
      <c r="L668" s="147">
        <v>100</v>
      </c>
      <c r="M668" s="147" t="s">
        <v>9</v>
      </c>
      <c r="N668" s="147"/>
      <c r="O668" s="147" t="s">
        <v>98</v>
      </c>
      <c r="P668" s="147">
        <v>1000</v>
      </c>
      <c r="Q668" s="150">
        <f t="shared" si="82"/>
        <v>0</v>
      </c>
      <c r="R668" s="151"/>
      <c r="S668" s="152">
        <v>2840</v>
      </c>
      <c r="T668" s="158">
        <v>2840</v>
      </c>
      <c r="U668" s="153"/>
      <c r="V668" s="154"/>
      <c r="W668" s="154"/>
      <c r="X668" s="155"/>
      <c r="Y668" s="155" t="s">
        <v>1394</v>
      </c>
      <c r="Z668" s="155" t="s">
        <v>1442</v>
      </c>
      <c r="AA668" s="273">
        <f t="shared" si="83"/>
        <v>2.84</v>
      </c>
      <c r="AB668" s="273">
        <f t="shared" si="84"/>
        <v>2.84</v>
      </c>
      <c r="AC668" s="156">
        <f t="shared" si="85"/>
        <v>1000</v>
      </c>
      <c r="AD668" s="274">
        <f t="shared" si="86"/>
        <v>2840</v>
      </c>
      <c r="AE668" s="274">
        <f t="shared" si="80"/>
        <v>2840</v>
      </c>
      <c r="AF668" s="337"/>
    </row>
    <row r="669" spans="1:32">
      <c r="A669" s="337" t="s">
        <v>1523</v>
      </c>
      <c r="B669" s="146" t="s">
        <v>1</v>
      </c>
      <c r="C669" s="155" t="s">
        <v>1512</v>
      </c>
      <c r="D669" s="147"/>
      <c r="E669" s="148" t="s">
        <v>1501</v>
      </c>
      <c r="F669" s="147" t="s">
        <v>106</v>
      </c>
      <c r="G669" s="147" t="s">
        <v>1429</v>
      </c>
      <c r="H669" s="147">
        <v>69</v>
      </c>
      <c r="I669" s="149">
        <f t="shared" si="81"/>
        <v>69</v>
      </c>
      <c r="J669" s="147"/>
      <c r="K669" s="336" t="s">
        <v>1509</v>
      </c>
      <c r="L669" s="147">
        <v>100</v>
      </c>
      <c r="M669" s="147" t="s">
        <v>9</v>
      </c>
      <c r="N669" s="147"/>
      <c r="O669" s="147" t="s">
        <v>98</v>
      </c>
      <c r="P669" s="147">
        <v>1000</v>
      </c>
      <c r="Q669" s="150">
        <f t="shared" si="82"/>
        <v>0</v>
      </c>
      <c r="R669" s="151"/>
      <c r="S669" s="152">
        <v>2842</v>
      </c>
      <c r="T669" s="158">
        <v>2842</v>
      </c>
      <c r="U669" s="153"/>
      <c r="V669" s="154"/>
      <c r="W669" s="154"/>
      <c r="X669" s="155"/>
      <c r="Y669" s="155" t="s">
        <v>1394</v>
      </c>
      <c r="Z669" s="155" t="s">
        <v>1442</v>
      </c>
      <c r="AA669" s="273">
        <f t="shared" si="83"/>
        <v>2.8420000000000001</v>
      </c>
      <c r="AB669" s="273">
        <f t="shared" si="84"/>
        <v>2.8420000000000001</v>
      </c>
      <c r="AC669" s="156">
        <f t="shared" si="85"/>
        <v>1000</v>
      </c>
      <c r="AD669" s="274">
        <f t="shared" si="86"/>
        <v>2842</v>
      </c>
      <c r="AE669" s="274">
        <f t="shared" si="80"/>
        <v>2842</v>
      </c>
      <c r="AF669" s="337"/>
    </row>
    <row r="670" spans="1:32">
      <c r="A670" s="337" t="s">
        <v>1523</v>
      </c>
      <c r="B670" s="146" t="s">
        <v>1</v>
      </c>
      <c r="C670" s="155" t="s">
        <v>1512</v>
      </c>
      <c r="D670" s="147"/>
      <c r="E670" s="148" t="s">
        <v>1501</v>
      </c>
      <c r="F670" s="147" t="s">
        <v>106</v>
      </c>
      <c r="G670" s="147" t="s">
        <v>1429</v>
      </c>
      <c r="H670" s="147">
        <v>70</v>
      </c>
      <c r="I670" s="149">
        <f t="shared" si="81"/>
        <v>70</v>
      </c>
      <c r="J670" s="147"/>
      <c r="K670" s="336" t="s">
        <v>1510</v>
      </c>
      <c r="L670" s="147">
        <v>100</v>
      </c>
      <c r="M670" s="147" t="s">
        <v>9</v>
      </c>
      <c r="N670" s="147"/>
      <c r="O670" s="147" t="s">
        <v>98</v>
      </c>
      <c r="P670" s="147">
        <v>1000</v>
      </c>
      <c r="Q670" s="150">
        <f t="shared" si="82"/>
        <v>0</v>
      </c>
      <c r="R670" s="151"/>
      <c r="S670" s="152">
        <v>3836</v>
      </c>
      <c r="T670" s="158">
        <v>3836</v>
      </c>
      <c r="U670" s="153"/>
      <c r="V670" s="154"/>
      <c r="W670" s="154"/>
      <c r="X670" s="155"/>
      <c r="Y670" s="155" t="s">
        <v>1394</v>
      </c>
      <c r="Z670" s="155" t="s">
        <v>1442</v>
      </c>
      <c r="AA670" s="273">
        <f t="shared" si="83"/>
        <v>3.8359999999999999</v>
      </c>
      <c r="AB670" s="273">
        <f t="shared" si="84"/>
        <v>3.8359999999999999</v>
      </c>
      <c r="AC670" s="156">
        <f t="shared" si="85"/>
        <v>1000</v>
      </c>
      <c r="AD670" s="274">
        <f t="shared" si="86"/>
        <v>3836</v>
      </c>
      <c r="AE670" s="274">
        <f t="shared" si="80"/>
        <v>3836</v>
      </c>
      <c r="AF670" s="337"/>
    </row>
    <row r="671" spans="1:32">
      <c r="A671" s="337" t="s">
        <v>1523</v>
      </c>
      <c r="B671" s="146" t="s">
        <v>1</v>
      </c>
      <c r="C671" s="155" t="s">
        <v>1512</v>
      </c>
      <c r="D671" s="147"/>
      <c r="E671" s="148" t="s">
        <v>1501</v>
      </c>
      <c r="F671" s="147" t="s">
        <v>106</v>
      </c>
      <c r="G671" s="147" t="s">
        <v>1429</v>
      </c>
      <c r="H671" s="147">
        <v>70</v>
      </c>
      <c r="I671" s="149">
        <f t="shared" si="81"/>
        <v>70</v>
      </c>
      <c r="J671" s="147"/>
      <c r="K671" s="336" t="s">
        <v>1511</v>
      </c>
      <c r="L671" s="147">
        <v>100</v>
      </c>
      <c r="M671" s="147" t="s">
        <v>9</v>
      </c>
      <c r="N671" s="147"/>
      <c r="O671" s="147" t="s">
        <v>98</v>
      </c>
      <c r="P671" s="147">
        <v>1000</v>
      </c>
      <c r="Q671" s="150">
        <f t="shared" si="82"/>
        <v>0</v>
      </c>
      <c r="R671" s="151"/>
      <c r="S671" s="152">
        <v>4209</v>
      </c>
      <c r="T671" s="158">
        <v>4209</v>
      </c>
      <c r="U671" s="153"/>
      <c r="V671" s="154"/>
      <c r="W671" s="154"/>
      <c r="X671" s="155"/>
      <c r="Y671" s="155" t="s">
        <v>1394</v>
      </c>
      <c r="Z671" s="155" t="s">
        <v>1442</v>
      </c>
      <c r="AA671" s="273">
        <f t="shared" si="83"/>
        <v>4.2089999999999996</v>
      </c>
      <c r="AB671" s="273">
        <f t="shared" si="84"/>
        <v>4.2089999999999996</v>
      </c>
      <c r="AC671" s="156">
        <f t="shared" si="85"/>
        <v>1000</v>
      </c>
      <c r="AD671" s="274">
        <f t="shared" si="86"/>
        <v>4209</v>
      </c>
      <c r="AE671" s="274">
        <f t="shared" si="80"/>
        <v>4209</v>
      </c>
      <c r="AF671" s="337"/>
    </row>
    <row r="672" spans="1:32">
      <c r="A672" s="337" t="s">
        <v>1523</v>
      </c>
      <c r="B672" s="146" t="s">
        <v>1</v>
      </c>
      <c r="C672" s="155" t="s">
        <v>1512</v>
      </c>
      <c r="D672" s="147"/>
      <c r="E672" s="148" t="s">
        <v>1466</v>
      </c>
      <c r="F672" s="147" t="s">
        <v>106</v>
      </c>
      <c r="G672" s="147" t="s">
        <v>1429</v>
      </c>
      <c r="H672" s="147">
        <v>7</v>
      </c>
      <c r="I672" s="149">
        <f t="shared" si="81"/>
        <v>7</v>
      </c>
      <c r="J672" s="147"/>
      <c r="K672" s="336" t="s">
        <v>57</v>
      </c>
      <c r="L672" s="147">
        <v>100</v>
      </c>
      <c r="M672" s="147" t="s">
        <v>9</v>
      </c>
      <c r="N672" s="147"/>
      <c r="O672" s="147" t="s">
        <v>98</v>
      </c>
      <c r="P672" s="147">
        <v>1000</v>
      </c>
      <c r="Q672" s="150">
        <f t="shared" si="82"/>
        <v>0</v>
      </c>
      <c r="R672" s="151"/>
      <c r="S672" s="152">
        <v>1002</v>
      </c>
      <c r="T672" s="158">
        <v>1002</v>
      </c>
      <c r="U672" s="153"/>
      <c r="V672" s="154"/>
      <c r="W672" s="154"/>
      <c r="X672" s="155"/>
      <c r="Y672" s="155" t="s">
        <v>1394</v>
      </c>
      <c r="Z672" s="155" t="s">
        <v>1442</v>
      </c>
      <c r="AA672" s="273">
        <f t="shared" si="83"/>
        <v>1.002</v>
      </c>
      <c r="AB672" s="273">
        <f t="shared" si="84"/>
        <v>1.002</v>
      </c>
      <c r="AC672" s="156">
        <f t="shared" si="85"/>
        <v>1000</v>
      </c>
      <c r="AD672" s="274">
        <f t="shared" si="86"/>
        <v>1002</v>
      </c>
      <c r="AE672" s="274">
        <f t="shared" si="80"/>
        <v>1002</v>
      </c>
      <c r="AF672" s="337"/>
    </row>
    <row r="673" spans="1:32">
      <c r="A673" s="337" t="s">
        <v>1523</v>
      </c>
      <c r="B673" s="146" t="s">
        <v>1</v>
      </c>
      <c r="C673" s="155" t="s">
        <v>1512</v>
      </c>
      <c r="D673" s="147"/>
      <c r="E673" s="148" t="s">
        <v>1466</v>
      </c>
      <c r="F673" s="147" t="s">
        <v>106</v>
      </c>
      <c r="G673" s="147" t="s">
        <v>1429</v>
      </c>
      <c r="H673" s="147">
        <v>8</v>
      </c>
      <c r="I673" s="149">
        <f t="shared" si="81"/>
        <v>8</v>
      </c>
      <c r="J673" s="147"/>
      <c r="K673" s="336" t="s">
        <v>55</v>
      </c>
      <c r="L673" s="147">
        <v>100</v>
      </c>
      <c r="M673" s="147" t="s">
        <v>9</v>
      </c>
      <c r="N673" s="147"/>
      <c r="O673" s="147" t="s">
        <v>98</v>
      </c>
      <c r="P673" s="147">
        <v>1000</v>
      </c>
      <c r="Q673" s="150">
        <f t="shared" si="82"/>
        <v>0</v>
      </c>
      <c r="R673" s="151"/>
      <c r="S673" s="152">
        <v>1273</v>
      </c>
      <c r="T673" s="158">
        <v>1273</v>
      </c>
      <c r="U673" s="153"/>
      <c r="V673" s="154"/>
      <c r="W673" s="154"/>
      <c r="X673" s="155"/>
      <c r="Y673" s="155" t="s">
        <v>1394</v>
      </c>
      <c r="Z673" s="155" t="s">
        <v>1442</v>
      </c>
      <c r="AA673" s="273">
        <f t="shared" si="83"/>
        <v>1.2729999999999999</v>
      </c>
      <c r="AB673" s="273">
        <f t="shared" si="84"/>
        <v>1.2729999999999999</v>
      </c>
      <c r="AC673" s="156">
        <f t="shared" si="85"/>
        <v>1000</v>
      </c>
      <c r="AD673" s="274">
        <f t="shared" si="86"/>
        <v>1273</v>
      </c>
      <c r="AE673" s="274">
        <f t="shared" si="80"/>
        <v>1273</v>
      </c>
      <c r="AF673" s="337"/>
    </row>
    <row r="674" spans="1:32">
      <c r="A674" s="337" t="s">
        <v>1523</v>
      </c>
      <c r="B674" s="146" t="s">
        <v>1</v>
      </c>
      <c r="C674" s="155" t="s">
        <v>1512</v>
      </c>
      <c r="D674" s="147"/>
      <c r="E674" s="148" t="s">
        <v>1466</v>
      </c>
      <c r="F674" s="147" t="s">
        <v>106</v>
      </c>
      <c r="G674" s="147" t="s">
        <v>1429</v>
      </c>
      <c r="H674" s="147">
        <v>17</v>
      </c>
      <c r="I674" s="149">
        <f t="shared" si="81"/>
        <v>17</v>
      </c>
      <c r="J674" s="147"/>
      <c r="K674" s="336" t="s">
        <v>53</v>
      </c>
      <c r="L674" s="147">
        <v>100</v>
      </c>
      <c r="M674" s="147" t="s">
        <v>9</v>
      </c>
      <c r="N674" s="147"/>
      <c r="O674" s="147" t="s">
        <v>98</v>
      </c>
      <c r="P674" s="147">
        <v>1000</v>
      </c>
      <c r="Q674" s="150">
        <f t="shared" si="82"/>
        <v>0</v>
      </c>
      <c r="R674" s="151"/>
      <c r="S674" s="152">
        <v>2190</v>
      </c>
      <c r="T674" s="158">
        <v>2190</v>
      </c>
      <c r="U674" s="153"/>
      <c r="V674" s="154"/>
      <c r="W674" s="154"/>
      <c r="X674" s="155"/>
      <c r="Y674" s="155" t="s">
        <v>1394</v>
      </c>
      <c r="Z674" s="155" t="s">
        <v>1442</v>
      </c>
      <c r="AA674" s="273">
        <f t="shared" si="83"/>
        <v>2.19</v>
      </c>
      <c r="AB674" s="273">
        <f t="shared" si="84"/>
        <v>2.19</v>
      </c>
      <c r="AC674" s="156">
        <f t="shared" si="85"/>
        <v>1000</v>
      </c>
      <c r="AD674" s="274">
        <f t="shared" si="86"/>
        <v>2190</v>
      </c>
      <c r="AE674" s="274">
        <f t="shared" si="80"/>
        <v>2190</v>
      </c>
      <c r="AF674" s="337"/>
    </row>
    <row r="675" spans="1:32">
      <c r="A675" s="337" t="s">
        <v>1523</v>
      </c>
      <c r="B675" s="146" t="s">
        <v>1</v>
      </c>
      <c r="C675" s="155" t="s">
        <v>1512</v>
      </c>
      <c r="D675" s="147"/>
      <c r="E675" s="148" t="s">
        <v>1466</v>
      </c>
      <c r="F675" s="147" t="s">
        <v>106</v>
      </c>
      <c r="G675" s="147" t="s">
        <v>1429</v>
      </c>
      <c r="H675" s="147">
        <v>22</v>
      </c>
      <c r="I675" s="149">
        <f t="shared" si="81"/>
        <v>22</v>
      </c>
      <c r="J675" s="147"/>
      <c r="K675" s="336" t="s">
        <v>51</v>
      </c>
      <c r="L675" s="147">
        <v>100</v>
      </c>
      <c r="M675" s="147" t="s">
        <v>9</v>
      </c>
      <c r="N675" s="147"/>
      <c r="O675" s="147" t="s">
        <v>98</v>
      </c>
      <c r="P675" s="147">
        <v>1000</v>
      </c>
      <c r="Q675" s="150">
        <f t="shared" si="82"/>
        <v>0</v>
      </c>
      <c r="R675" s="151"/>
      <c r="S675" s="152">
        <v>5000</v>
      </c>
      <c r="T675" s="158">
        <v>5000</v>
      </c>
      <c r="U675" s="153"/>
      <c r="V675" s="154"/>
      <c r="W675" s="154"/>
      <c r="X675" s="155"/>
      <c r="Y675" s="155" t="s">
        <v>1394</v>
      </c>
      <c r="Z675" s="155" t="s">
        <v>1442</v>
      </c>
      <c r="AA675" s="273">
        <f t="shared" si="83"/>
        <v>5</v>
      </c>
      <c r="AB675" s="273">
        <f t="shared" si="84"/>
        <v>5</v>
      </c>
      <c r="AC675" s="156">
        <f t="shared" si="85"/>
        <v>1000</v>
      </c>
      <c r="AD675" s="274">
        <f t="shared" si="86"/>
        <v>5000</v>
      </c>
      <c r="AE675" s="274">
        <f t="shared" si="80"/>
        <v>5000</v>
      </c>
      <c r="AF675" s="337"/>
    </row>
    <row r="676" spans="1:32">
      <c r="A676" s="337" t="s">
        <v>1523</v>
      </c>
      <c r="B676" s="146" t="s">
        <v>1</v>
      </c>
      <c r="C676" s="155" t="s">
        <v>1512</v>
      </c>
      <c r="D676" s="147"/>
      <c r="E676" s="148" t="s">
        <v>1466</v>
      </c>
      <c r="F676" s="147" t="s">
        <v>106</v>
      </c>
      <c r="G676" s="147" t="s">
        <v>1429</v>
      </c>
      <c r="H676" s="147">
        <v>33</v>
      </c>
      <c r="I676" s="149">
        <f t="shared" si="81"/>
        <v>33</v>
      </c>
      <c r="J676" s="147"/>
      <c r="K676" s="336" t="s">
        <v>59</v>
      </c>
      <c r="L676" s="147">
        <v>100</v>
      </c>
      <c r="M676" s="147" t="s">
        <v>9</v>
      </c>
      <c r="N676" s="147"/>
      <c r="O676" s="147" t="s">
        <v>98</v>
      </c>
      <c r="P676" s="147">
        <v>1000</v>
      </c>
      <c r="Q676" s="150">
        <f t="shared" si="82"/>
        <v>0</v>
      </c>
      <c r="R676" s="151"/>
      <c r="S676" s="152">
        <v>3268</v>
      </c>
      <c r="T676" s="158">
        <v>3268</v>
      </c>
      <c r="U676" s="153"/>
      <c r="V676" s="154"/>
      <c r="W676" s="154"/>
      <c r="X676" s="155"/>
      <c r="Y676" s="155" t="s">
        <v>1394</v>
      </c>
      <c r="Z676" s="155" t="s">
        <v>1442</v>
      </c>
      <c r="AA676" s="273">
        <f t="shared" si="83"/>
        <v>3.2679999999999998</v>
      </c>
      <c r="AB676" s="273">
        <f t="shared" si="84"/>
        <v>3.2679999999999998</v>
      </c>
      <c r="AC676" s="156">
        <f t="shared" si="85"/>
        <v>1000</v>
      </c>
      <c r="AD676" s="274">
        <f t="shared" si="86"/>
        <v>3268</v>
      </c>
      <c r="AE676" s="274">
        <f t="shared" si="80"/>
        <v>3268</v>
      </c>
      <c r="AF676" s="337"/>
    </row>
    <row r="677" spans="1:32">
      <c r="A677" s="337" t="s">
        <v>1523</v>
      </c>
      <c r="B677" s="146" t="s">
        <v>1</v>
      </c>
      <c r="C677" s="155" t="s">
        <v>1512</v>
      </c>
      <c r="D677" s="147"/>
      <c r="E677" s="148" t="s">
        <v>1466</v>
      </c>
      <c r="F677" s="147" t="s">
        <v>106</v>
      </c>
      <c r="G677" s="147" t="s">
        <v>1429</v>
      </c>
      <c r="H677" s="147">
        <v>42</v>
      </c>
      <c r="I677" s="149">
        <f t="shared" si="81"/>
        <v>42</v>
      </c>
      <c r="J677" s="147"/>
      <c r="K677" s="336" t="s">
        <v>61</v>
      </c>
      <c r="L677" s="147">
        <v>100</v>
      </c>
      <c r="M677" s="147" t="s">
        <v>9</v>
      </c>
      <c r="N677" s="147"/>
      <c r="O677" s="147" t="s">
        <v>98</v>
      </c>
      <c r="P677" s="147">
        <v>1000</v>
      </c>
      <c r="Q677" s="150">
        <f t="shared" si="82"/>
        <v>0</v>
      </c>
      <c r="R677" s="151"/>
      <c r="S677" s="152">
        <v>2914</v>
      </c>
      <c r="T677" s="158">
        <v>2914</v>
      </c>
      <c r="U677" s="153"/>
      <c r="V677" s="154"/>
      <c r="W677" s="154"/>
      <c r="X677" s="155"/>
      <c r="Y677" s="155" t="s">
        <v>1394</v>
      </c>
      <c r="Z677" s="155" t="s">
        <v>1442</v>
      </c>
      <c r="AA677" s="273">
        <f t="shared" si="83"/>
        <v>2.9140000000000001</v>
      </c>
      <c r="AB677" s="273">
        <f t="shared" si="84"/>
        <v>2.9140000000000001</v>
      </c>
      <c r="AC677" s="156">
        <f t="shared" si="85"/>
        <v>1000</v>
      </c>
      <c r="AD677" s="274">
        <f t="shared" si="86"/>
        <v>2914</v>
      </c>
      <c r="AE677" s="274">
        <f t="shared" si="80"/>
        <v>2914</v>
      </c>
      <c r="AF677" s="337"/>
    </row>
    <row r="678" spans="1:32">
      <c r="A678" s="337" t="s">
        <v>1523</v>
      </c>
      <c r="B678" s="146" t="s">
        <v>1</v>
      </c>
      <c r="C678" s="155" t="s">
        <v>1512</v>
      </c>
      <c r="D678" s="147"/>
      <c r="E678" s="148" t="s">
        <v>1466</v>
      </c>
      <c r="F678" s="147" t="s">
        <v>106</v>
      </c>
      <c r="G678" s="147" t="s">
        <v>1429</v>
      </c>
      <c r="H678" s="147">
        <v>43</v>
      </c>
      <c r="I678" s="149">
        <f t="shared" si="81"/>
        <v>43</v>
      </c>
      <c r="J678" s="147"/>
      <c r="K678" s="336" t="s">
        <v>1504</v>
      </c>
      <c r="L678" s="147">
        <v>100</v>
      </c>
      <c r="M678" s="147" t="s">
        <v>9</v>
      </c>
      <c r="N678" s="147"/>
      <c r="O678" s="147" t="s">
        <v>98</v>
      </c>
      <c r="P678" s="147">
        <v>1000</v>
      </c>
      <c r="Q678" s="150">
        <f t="shared" si="82"/>
        <v>0</v>
      </c>
      <c r="R678" s="151"/>
      <c r="S678" s="152">
        <v>1367</v>
      </c>
      <c r="T678" s="158">
        <v>1367</v>
      </c>
      <c r="U678" s="153"/>
      <c r="V678" s="154"/>
      <c r="W678" s="154"/>
      <c r="X678" s="155"/>
      <c r="Y678" s="155" t="s">
        <v>1394</v>
      </c>
      <c r="Z678" s="155" t="s">
        <v>1442</v>
      </c>
      <c r="AA678" s="273">
        <f t="shared" si="83"/>
        <v>1.367</v>
      </c>
      <c r="AB678" s="273">
        <f t="shared" si="84"/>
        <v>1.367</v>
      </c>
      <c r="AC678" s="156">
        <f t="shared" si="85"/>
        <v>1000</v>
      </c>
      <c r="AD678" s="274">
        <f t="shared" si="86"/>
        <v>1367</v>
      </c>
      <c r="AE678" s="274">
        <f t="shared" si="80"/>
        <v>1367</v>
      </c>
      <c r="AF678" s="337"/>
    </row>
    <row r="679" spans="1:32">
      <c r="A679" s="337" t="s">
        <v>1523</v>
      </c>
      <c r="B679" s="146" t="s">
        <v>1</v>
      </c>
      <c r="C679" s="155" t="s">
        <v>1512</v>
      </c>
      <c r="D679" s="147"/>
      <c r="E679" s="148" t="s">
        <v>1466</v>
      </c>
      <c r="F679" s="147" t="s">
        <v>106</v>
      </c>
      <c r="G679" s="147" t="s">
        <v>1429</v>
      </c>
      <c r="H679" s="147">
        <v>46</v>
      </c>
      <c r="I679" s="149">
        <f t="shared" si="81"/>
        <v>46</v>
      </c>
      <c r="J679" s="147"/>
      <c r="K679" s="336" t="s">
        <v>1506</v>
      </c>
      <c r="L679" s="147">
        <v>100</v>
      </c>
      <c r="M679" s="147" t="s">
        <v>9</v>
      </c>
      <c r="N679" s="147"/>
      <c r="O679" s="147" t="s">
        <v>98</v>
      </c>
      <c r="P679" s="147">
        <v>1000</v>
      </c>
      <c r="Q679" s="150">
        <f t="shared" si="82"/>
        <v>0</v>
      </c>
      <c r="R679" s="151"/>
      <c r="S679" s="152">
        <v>3069</v>
      </c>
      <c r="T679" s="158">
        <v>3069</v>
      </c>
      <c r="U679" s="153"/>
      <c r="V679" s="154"/>
      <c r="W679" s="154"/>
      <c r="X679" s="155"/>
      <c r="Y679" s="155" t="s">
        <v>1394</v>
      </c>
      <c r="Z679" s="155" t="s">
        <v>1442</v>
      </c>
      <c r="AA679" s="273">
        <f t="shared" si="83"/>
        <v>3.069</v>
      </c>
      <c r="AB679" s="273">
        <f t="shared" si="84"/>
        <v>3.069</v>
      </c>
      <c r="AC679" s="156">
        <f t="shared" si="85"/>
        <v>1000</v>
      </c>
      <c r="AD679" s="274">
        <f t="shared" si="86"/>
        <v>3069</v>
      </c>
      <c r="AE679" s="274">
        <f t="shared" si="80"/>
        <v>3069</v>
      </c>
      <c r="AF679" s="337"/>
    </row>
    <row r="680" spans="1:32">
      <c r="A680" s="337" t="s">
        <v>1523</v>
      </c>
      <c r="B680" s="146" t="s">
        <v>1</v>
      </c>
      <c r="C680" s="155" t="s">
        <v>1512</v>
      </c>
      <c r="D680" s="147"/>
      <c r="E680" s="148" t="s">
        <v>1466</v>
      </c>
      <c r="F680" s="147" t="s">
        <v>106</v>
      </c>
      <c r="G680" s="147" t="s">
        <v>1429</v>
      </c>
      <c r="H680" s="147">
        <v>46</v>
      </c>
      <c r="I680" s="149">
        <f t="shared" si="81"/>
        <v>46</v>
      </c>
      <c r="J680" s="147"/>
      <c r="K680" s="336" t="s">
        <v>1507</v>
      </c>
      <c r="L680" s="147">
        <v>100</v>
      </c>
      <c r="M680" s="147" t="s">
        <v>9</v>
      </c>
      <c r="N680" s="147"/>
      <c r="O680" s="147" t="s">
        <v>98</v>
      </c>
      <c r="P680" s="147">
        <v>1000</v>
      </c>
      <c r="Q680" s="150">
        <f t="shared" si="82"/>
        <v>0</v>
      </c>
      <c r="R680" s="151"/>
      <c r="S680" s="152">
        <v>5216</v>
      </c>
      <c r="T680" s="158">
        <v>5216</v>
      </c>
      <c r="U680" s="153"/>
      <c r="V680" s="154"/>
      <c r="W680" s="154"/>
      <c r="X680" s="155"/>
      <c r="Y680" s="155" t="s">
        <v>1394</v>
      </c>
      <c r="Z680" s="155" t="s">
        <v>1442</v>
      </c>
      <c r="AA680" s="273">
        <f t="shared" si="83"/>
        <v>5.2160000000000002</v>
      </c>
      <c r="AB680" s="273">
        <f t="shared" si="84"/>
        <v>5.2160000000000002</v>
      </c>
      <c r="AC680" s="156">
        <f t="shared" si="85"/>
        <v>1000</v>
      </c>
      <c r="AD680" s="274">
        <f t="shared" si="86"/>
        <v>5216</v>
      </c>
      <c r="AE680" s="274">
        <f t="shared" si="80"/>
        <v>5216</v>
      </c>
      <c r="AF680" s="337"/>
    </row>
    <row r="681" spans="1:32">
      <c r="A681" s="337" t="s">
        <v>1523</v>
      </c>
      <c r="B681" s="146" t="s">
        <v>1</v>
      </c>
      <c r="C681" s="155" t="s">
        <v>1512</v>
      </c>
      <c r="D681" s="147"/>
      <c r="E681" s="148" t="s">
        <v>1466</v>
      </c>
      <c r="F681" s="147" t="s">
        <v>106</v>
      </c>
      <c r="G681" s="147" t="s">
        <v>1429</v>
      </c>
      <c r="H681" s="147">
        <v>46</v>
      </c>
      <c r="I681" s="149">
        <f t="shared" si="81"/>
        <v>46</v>
      </c>
      <c r="J681" s="147"/>
      <c r="K681" s="336" t="s">
        <v>1508</v>
      </c>
      <c r="L681" s="147">
        <v>100</v>
      </c>
      <c r="M681" s="147" t="s">
        <v>9</v>
      </c>
      <c r="N681" s="147"/>
      <c r="O681" s="147" t="s">
        <v>98</v>
      </c>
      <c r="P681" s="147">
        <v>1000</v>
      </c>
      <c r="Q681" s="150">
        <f t="shared" si="82"/>
        <v>0</v>
      </c>
      <c r="R681" s="151"/>
      <c r="S681" s="152">
        <v>5396</v>
      </c>
      <c r="T681" s="158">
        <v>5396</v>
      </c>
      <c r="U681" s="153"/>
      <c r="V681" s="154"/>
      <c r="W681" s="154"/>
      <c r="X681" s="155"/>
      <c r="Y681" s="155" t="s">
        <v>1394</v>
      </c>
      <c r="Z681" s="155" t="s">
        <v>1442</v>
      </c>
      <c r="AA681" s="273">
        <f t="shared" si="83"/>
        <v>5.3959999999999999</v>
      </c>
      <c r="AB681" s="273">
        <f t="shared" si="84"/>
        <v>5.3959999999999999</v>
      </c>
      <c r="AC681" s="156">
        <f t="shared" si="85"/>
        <v>1000</v>
      </c>
      <c r="AD681" s="274">
        <f t="shared" si="86"/>
        <v>5396</v>
      </c>
      <c r="AE681" s="274">
        <f t="shared" si="80"/>
        <v>5396</v>
      </c>
      <c r="AF681" s="337"/>
    </row>
    <row r="682" spans="1:32">
      <c r="A682" s="337" t="s">
        <v>1523</v>
      </c>
      <c r="B682" s="146" t="s">
        <v>1</v>
      </c>
      <c r="C682" s="155" t="s">
        <v>1512</v>
      </c>
      <c r="D682" s="147"/>
      <c r="E682" s="148" t="s">
        <v>1466</v>
      </c>
      <c r="F682" s="147" t="s">
        <v>106</v>
      </c>
      <c r="G682" s="147" t="s">
        <v>1429</v>
      </c>
      <c r="H682" s="147">
        <v>59</v>
      </c>
      <c r="I682" s="149">
        <f t="shared" si="81"/>
        <v>59</v>
      </c>
      <c r="J682" s="147"/>
      <c r="K682" s="336" t="s">
        <v>99</v>
      </c>
      <c r="L682" s="147">
        <v>100</v>
      </c>
      <c r="M682" s="147" t="s">
        <v>9</v>
      </c>
      <c r="N682" s="147"/>
      <c r="O682" s="147" t="s">
        <v>98</v>
      </c>
      <c r="P682" s="147">
        <v>1000</v>
      </c>
      <c r="Q682" s="150">
        <f t="shared" si="82"/>
        <v>0</v>
      </c>
      <c r="R682" s="151"/>
      <c r="S682" s="152">
        <v>2337</v>
      </c>
      <c r="T682" s="158">
        <v>2337</v>
      </c>
      <c r="U682" s="153"/>
      <c r="V682" s="154"/>
      <c r="W682" s="154"/>
      <c r="X682" s="155"/>
      <c r="Y682" s="155" t="s">
        <v>1394</v>
      </c>
      <c r="Z682" s="155" t="s">
        <v>1442</v>
      </c>
      <c r="AA682" s="273">
        <f t="shared" si="83"/>
        <v>2.3370000000000002</v>
      </c>
      <c r="AB682" s="273">
        <f t="shared" si="84"/>
        <v>2.3370000000000002</v>
      </c>
      <c r="AC682" s="156">
        <f t="shared" si="85"/>
        <v>1000</v>
      </c>
      <c r="AD682" s="274">
        <f t="shared" si="86"/>
        <v>2337</v>
      </c>
      <c r="AE682" s="274">
        <f t="shared" si="80"/>
        <v>2337</v>
      </c>
      <c r="AF682" s="337"/>
    </row>
    <row r="683" spans="1:32">
      <c r="A683" s="337" t="s">
        <v>1523</v>
      </c>
      <c r="B683" s="146" t="s">
        <v>1</v>
      </c>
      <c r="C683" s="155" t="s">
        <v>1512</v>
      </c>
      <c r="D683" s="147"/>
      <c r="E683" s="148" t="s">
        <v>1466</v>
      </c>
      <c r="F683" s="147" t="s">
        <v>106</v>
      </c>
      <c r="G683" s="147" t="s">
        <v>1429</v>
      </c>
      <c r="H683" s="147">
        <v>69</v>
      </c>
      <c r="I683" s="149">
        <f t="shared" si="81"/>
        <v>69</v>
      </c>
      <c r="J683" s="147"/>
      <c r="K683" s="336" t="s">
        <v>1509</v>
      </c>
      <c r="L683" s="147">
        <v>100</v>
      </c>
      <c r="M683" s="147" t="s">
        <v>9</v>
      </c>
      <c r="N683" s="147"/>
      <c r="O683" s="147" t="s">
        <v>98</v>
      </c>
      <c r="P683" s="147">
        <v>1000</v>
      </c>
      <c r="Q683" s="150">
        <f t="shared" si="82"/>
        <v>0</v>
      </c>
      <c r="R683" s="151"/>
      <c r="S683" s="152">
        <v>3664</v>
      </c>
      <c r="T683" s="158">
        <v>3664</v>
      </c>
      <c r="U683" s="153"/>
      <c r="V683" s="154"/>
      <c r="W683" s="154"/>
      <c r="X683" s="155"/>
      <c r="Y683" s="155" t="s">
        <v>1394</v>
      </c>
      <c r="Z683" s="155" t="s">
        <v>1442</v>
      </c>
      <c r="AA683" s="273">
        <f t="shared" si="83"/>
        <v>3.6640000000000001</v>
      </c>
      <c r="AB683" s="273">
        <f t="shared" si="84"/>
        <v>3.6640000000000001</v>
      </c>
      <c r="AC683" s="156">
        <f t="shared" si="85"/>
        <v>1000</v>
      </c>
      <c r="AD683" s="274">
        <f t="shared" si="86"/>
        <v>3664</v>
      </c>
      <c r="AE683" s="274">
        <f t="shared" si="80"/>
        <v>3664</v>
      </c>
      <c r="AF683" s="337"/>
    </row>
    <row r="684" spans="1:32">
      <c r="A684" s="337" t="s">
        <v>1523</v>
      </c>
      <c r="B684" s="146" t="s">
        <v>1</v>
      </c>
      <c r="C684" s="155" t="s">
        <v>1512</v>
      </c>
      <c r="D684" s="147"/>
      <c r="E684" s="148" t="s">
        <v>1466</v>
      </c>
      <c r="F684" s="147" t="s">
        <v>106</v>
      </c>
      <c r="G684" s="147" t="s">
        <v>1429</v>
      </c>
      <c r="H684" s="147">
        <v>70</v>
      </c>
      <c r="I684" s="149">
        <f t="shared" si="81"/>
        <v>70</v>
      </c>
      <c r="J684" s="147"/>
      <c r="K684" s="336" t="s">
        <v>1510</v>
      </c>
      <c r="L684" s="147">
        <v>100</v>
      </c>
      <c r="M684" s="147" t="s">
        <v>9</v>
      </c>
      <c r="N684" s="147"/>
      <c r="O684" s="147" t="s">
        <v>98</v>
      </c>
      <c r="P684" s="147">
        <v>1000</v>
      </c>
      <c r="Q684" s="150">
        <f t="shared" si="82"/>
        <v>0</v>
      </c>
      <c r="R684" s="151"/>
      <c r="S684" s="152">
        <v>4376</v>
      </c>
      <c r="T684" s="158">
        <v>4376</v>
      </c>
      <c r="U684" s="153"/>
      <c r="V684" s="154"/>
      <c r="W684" s="154"/>
      <c r="X684" s="155"/>
      <c r="Y684" s="155" t="s">
        <v>1394</v>
      </c>
      <c r="Z684" s="155" t="s">
        <v>1442</v>
      </c>
      <c r="AA684" s="273">
        <f t="shared" si="83"/>
        <v>4.3760000000000003</v>
      </c>
      <c r="AB684" s="273">
        <f t="shared" si="84"/>
        <v>4.3760000000000003</v>
      </c>
      <c r="AC684" s="156">
        <f t="shared" si="85"/>
        <v>1000</v>
      </c>
      <c r="AD684" s="274">
        <f t="shared" si="86"/>
        <v>4376</v>
      </c>
      <c r="AE684" s="274">
        <f t="shared" si="80"/>
        <v>4376</v>
      </c>
      <c r="AF684" s="337"/>
    </row>
    <row r="685" spans="1:32">
      <c r="A685" s="337" t="s">
        <v>1523</v>
      </c>
      <c r="B685" s="146" t="s">
        <v>1</v>
      </c>
      <c r="C685" s="155" t="s">
        <v>1512</v>
      </c>
      <c r="D685" s="147"/>
      <c r="E685" s="148" t="s">
        <v>1466</v>
      </c>
      <c r="F685" s="147" t="s">
        <v>106</v>
      </c>
      <c r="G685" s="147" t="s">
        <v>1429</v>
      </c>
      <c r="H685" s="147">
        <v>70</v>
      </c>
      <c r="I685" s="149">
        <f t="shared" si="81"/>
        <v>70</v>
      </c>
      <c r="J685" s="147"/>
      <c r="K685" s="336" t="s">
        <v>1511</v>
      </c>
      <c r="L685" s="147">
        <v>100</v>
      </c>
      <c r="M685" s="147" t="s">
        <v>9</v>
      </c>
      <c r="N685" s="147"/>
      <c r="O685" s="147" t="s">
        <v>98</v>
      </c>
      <c r="P685" s="147">
        <v>1000</v>
      </c>
      <c r="Q685" s="150">
        <f t="shared" si="82"/>
        <v>0</v>
      </c>
      <c r="R685" s="151"/>
      <c r="S685" s="152">
        <v>4363</v>
      </c>
      <c r="T685" s="158">
        <v>4363</v>
      </c>
      <c r="U685" s="153"/>
      <c r="V685" s="154"/>
      <c r="W685" s="154"/>
      <c r="X685" s="155"/>
      <c r="Y685" s="155" t="s">
        <v>1394</v>
      </c>
      <c r="Z685" s="155" t="s">
        <v>1442</v>
      </c>
      <c r="AA685" s="273">
        <f t="shared" si="83"/>
        <v>4.3630000000000004</v>
      </c>
      <c r="AB685" s="273">
        <f t="shared" si="84"/>
        <v>4.3630000000000004</v>
      </c>
      <c r="AC685" s="156">
        <f t="shared" si="85"/>
        <v>1000</v>
      </c>
      <c r="AD685" s="274">
        <f t="shared" si="86"/>
        <v>4363</v>
      </c>
      <c r="AE685" s="274">
        <f t="shared" si="80"/>
        <v>4363</v>
      </c>
      <c r="AF685" s="337"/>
    </row>
    <row r="686" spans="1:32">
      <c r="A686" s="337" t="s">
        <v>1523</v>
      </c>
      <c r="B686" s="146" t="s">
        <v>1</v>
      </c>
      <c r="C686" s="155" t="s">
        <v>1512</v>
      </c>
      <c r="D686" s="147"/>
      <c r="E686" s="148" t="s">
        <v>1502</v>
      </c>
      <c r="F686" s="147" t="s">
        <v>106</v>
      </c>
      <c r="G686" s="147" t="s">
        <v>1429</v>
      </c>
      <c r="H686" s="147">
        <v>7</v>
      </c>
      <c r="I686" s="149">
        <f t="shared" si="81"/>
        <v>7</v>
      </c>
      <c r="J686" s="147"/>
      <c r="K686" s="336" t="s">
        <v>57</v>
      </c>
      <c r="L686" s="147">
        <v>100</v>
      </c>
      <c r="M686" s="147" t="s">
        <v>9</v>
      </c>
      <c r="N686" s="147"/>
      <c r="O686" s="147" t="s">
        <v>98</v>
      </c>
      <c r="P686" s="147">
        <v>1000</v>
      </c>
      <c r="Q686" s="150">
        <f t="shared" si="82"/>
        <v>0</v>
      </c>
      <c r="R686" s="151"/>
      <c r="S686" s="152">
        <v>1000</v>
      </c>
      <c r="T686" s="158">
        <v>1000</v>
      </c>
      <c r="U686" s="153"/>
      <c r="V686" s="154"/>
      <c r="W686" s="154"/>
      <c r="X686" s="155"/>
      <c r="Y686" s="155" t="s">
        <v>1394</v>
      </c>
      <c r="Z686" s="155" t="s">
        <v>1442</v>
      </c>
      <c r="AA686" s="273">
        <f t="shared" si="83"/>
        <v>1</v>
      </c>
      <c r="AB686" s="273">
        <f t="shared" si="84"/>
        <v>1</v>
      </c>
      <c r="AC686" s="156">
        <f t="shared" si="85"/>
        <v>1000</v>
      </c>
      <c r="AD686" s="274">
        <f t="shared" si="86"/>
        <v>1000</v>
      </c>
      <c r="AE686" s="274">
        <f t="shared" si="80"/>
        <v>1000</v>
      </c>
      <c r="AF686" s="337"/>
    </row>
    <row r="687" spans="1:32">
      <c r="A687" s="337" t="s">
        <v>1523</v>
      </c>
      <c r="B687" s="146" t="s">
        <v>1</v>
      </c>
      <c r="C687" s="155" t="s">
        <v>1512</v>
      </c>
      <c r="D687" s="147"/>
      <c r="E687" s="148" t="s">
        <v>1502</v>
      </c>
      <c r="F687" s="147" t="s">
        <v>106</v>
      </c>
      <c r="G687" s="147" t="s">
        <v>1429</v>
      </c>
      <c r="H687" s="147">
        <v>8</v>
      </c>
      <c r="I687" s="149">
        <f t="shared" si="81"/>
        <v>8</v>
      </c>
      <c r="J687" s="147"/>
      <c r="K687" s="336" t="s">
        <v>55</v>
      </c>
      <c r="L687" s="147">
        <v>100</v>
      </c>
      <c r="M687" s="147" t="s">
        <v>9</v>
      </c>
      <c r="N687" s="147"/>
      <c r="O687" s="147" t="s">
        <v>98</v>
      </c>
      <c r="P687" s="147">
        <v>1000</v>
      </c>
      <c r="Q687" s="150">
        <f t="shared" si="82"/>
        <v>0</v>
      </c>
      <c r="R687" s="151"/>
      <c r="S687" s="152">
        <v>1252</v>
      </c>
      <c r="T687" s="158">
        <v>1252</v>
      </c>
      <c r="U687" s="153"/>
      <c r="V687" s="154"/>
      <c r="W687" s="154"/>
      <c r="X687" s="155"/>
      <c r="Y687" s="155" t="s">
        <v>1394</v>
      </c>
      <c r="Z687" s="155" t="s">
        <v>1442</v>
      </c>
      <c r="AA687" s="273">
        <f t="shared" si="83"/>
        <v>1.252</v>
      </c>
      <c r="AB687" s="273">
        <f t="shared" si="84"/>
        <v>1.252</v>
      </c>
      <c r="AC687" s="156">
        <f t="shared" si="85"/>
        <v>1000</v>
      </c>
      <c r="AD687" s="274">
        <f t="shared" si="86"/>
        <v>1252</v>
      </c>
      <c r="AE687" s="274">
        <f t="shared" si="80"/>
        <v>1252</v>
      </c>
      <c r="AF687" s="337"/>
    </row>
    <row r="688" spans="1:32">
      <c r="A688" s="337" t="s">
        <v>1523</v>
      </c>
      <c r="B688" s="146" t="s">
        <v>1</v>
      </c>
      <c r="C688" s="155" t="s">
        <v>1512</v>
      </c>
      <c r="D688" s="147"/>
      <c r="E688" s="148" t="s">
        <v>1502</v>
      </c>
      <c r="F688" s="147" t="s">
        <v>106</v>
      </c>
      <c r="G688" s="147" t="s">
        <v>1429</v>
      </c>
      <c r="H688" s="147">
        <v>17</v>
      </c>
      <c r="I688" s="149">
        <f t="shared" si="81"/>
        <v>17</v>
      </c>
      <c r="J688" s="147"/>
      <c r="K688" s="336" t="s">
        <v>53</v>
      </c>
      <c r="L688" s="147">
        <v>100</v>
      </c>
      <c r="M688" s="147" t="s">
        <v>9</v>
      </c>
      <c r="N688" s="147"/>
      <c r="O688" s="147" t="s">
        <v>98</v>
      </c>
      <c r="P688" s="147">
        <v>1000</v>
      </c>
      <c r="Q688" s="150">
        <f t="shared" si="82"/>
        <v>0</v>
      </c>
      <c r="R688" s="151"/>
      <c r="S688" s="152">
        <v>1693</v>
      </c>
      <c r="T688" s="158">
        <v>1693</v>
      </c>
      <c r="U688" s="153"/>
      <c r="V688" s="154"/>
      <c r="W688" s="154"/>
      <c r="X688" s="155"/>
      <c r="Y688" s="155" t="s">
        <v>1394</v>
      </c>
      <c r="Z688" s="155" t="s">
        <v>1442</v>
      </c>
      <c r="AA688" s="273">
        <f t="shared" si="83"/>
        <v>1.6930000000000001</v>
      </c>
      <c r="AB688" s="273">
        <f t="shared" si="84"/>
        <v>1.6930000000000001</v>
      </c>
      <c r="AC688" s="156">
        <f t="shared" si="85"/>
        <v>1000</v>
      </c>
      <c r="AD688" s="274">
        <f t="shared" si="86"/>
        <v>1693</v>
      </c>
      <c r="AE688" s="274">
        <f t="shared" si="80"/>
        <v>1693</v>
      </c>
      <c r="AF688" s="337"/>
    </row>
    <row r="689" spans="1:32">
      <c r="A689" s="337" t="s">
        <v>1523</v>
      </c>
      <c r="B689" s="146" t="s">
        <v>1</v>
      </c>
      <c r="C689" s="155" t="s">
        <v>1512</v>
      </c>
      <c r="D689" s="147"/>
      <c r="E689" s="148" t="s">
        <v>1502</v>
      </c>
      <c r="F689" s="147" t="s">
        <v>106</v>
      </c>
      <c r="G689" s="147" t="s">
        <v>1429</v>
      </c>
      <c r="H689" s="147">
        <v>22</v>
      </c>
      <c r="I689" s="149">
        <f t="shared" si="81"/>
        <v>22</v>
      </c>
      <c r="J689" s="147"/>
      <c r="K689" s="336" t="s">
        <v>51</v>
      </c>
      <c r="L689" s="147">
        <v>100</v>
      </c>
      <c r="M689" s="147" t="s">
        <v>9</v>
      </c>
      <c r="N689" s="147"/>
      <c r="O689" s="147" t="s">
        <v>98</v>
      </c>
      <c r="P689" s="147">
        <v>1000</v>
      </c>
      <c r="Q689" s="150">
        <f t="shared" si="82"/>
        <v>0</v>
      </c>
      <c r="R689" s="151"/>
      <c r="S689" s="152">
        <v>4994</v>
      </c>
      <c r="T689" s="158">
        <v>4994</v>
      </c>
      <c r="U689" s="153"/>
      <c r="V689" s="154"/>
      <c r="W689" s="154"/>
      <c r="X689" s="155"/>
      <c r="Y689" s="155" t="s">
        <v>1394</v>
      </c>
      <c r="Z689" s="155" t="s">
        <v>1442</v>
      </c>
      <c r="AA689" s="273">
        <f t="shared" si="83"/>
        <v>4.9939999999999998</v>
      </c>
      <c r="AB689" s="273">
        <f t="shared" si="84"/>
        <v>4.9939999999999998</v>
      </c>
      <c r="AC689" s="156">
        <f t="shared" si="85"/>
        <v>1000</v>
      </c>
      <c r="AD689" s="274">
        <f t="shared" si="86"/>
        <v>4994</v>
      </c>
      <c r="AE689" s="274">
        <f t="shared" si="80"/>
        <v>4994</v>
      </c>
      <c r="AF689" s="337"/>
    </row>
    <row r="690" spans="1:32">
      <c r="A690" s="337" t="s">
        <v>1523</v>
      </c>
      <c r="B690" s="146" t="s">
        <v>1</v>
      </c>
      <c r="C690" s="155" t="s">
        <v>1512</v>
      </c>
      <c r="D690" s="147"/>
      <c r="E690" s="148" t="s">
        <v>1502</v>
      </c>
      <c r="F690" s="147" t="s">
        <v>106</v>
      </c>
      <c r="G690" s="147" t="s">
        <v>1429</v>
      </c>
      <c r="H690" s="147">
        <v>33</v>
      </c>
      <c r="I690" s="149">
        <f t="shared" si="81"/>
        <v>33</v>
      </c>
      <c r="J690" s="147"/>
      <c r="K690" s="336" t="s">
        <v>59</v>
      </c>
      <c r="L690" s="147">
        <v>100</v>
      </c>
      <c r="M690" s="147" t="s">
        <v>9</v>
      </c>
      <c r="N690" s="147"/>
      <c r="O690" s="147" t="s">
        <v>98</v>
      </c>
      <c r="P690" s="147">
        <v>1000</v>
      </c>
      <c r="Q690" s="150">
        <f t="shared" si="82"/>
        <v>0</v>
      </c>
      <c r="R690" s="151"/>
      <c r="S690" s="152">
        <v>3101</v>
      </c>
      <c r="T690" s="158">
        <v>3101</v>
      </c>
      <c r="U690" s="153"/>
      <c r="V690" s="154"/>
      <c r="W690" s="154"/>
      <c r="X690" s="155"/>
      <c r="Y690" s="155" t="s">
        <v>1394</v>
      </c>
      <c r="Z690" s="155" t="s">
        <v>1442</v>
      </c>
      <c r="AA690" s="273">
        <f t="shared" si="83"/>
        <v>3.101</v>
      </c>
      <c r="AB690" s="273">
        <f t="shared" si="84"/>
        <v>3.101</v>
      </c>
      <c r="AC690" s="156">
        <f t="shared" si="85"/>
        <v>1000</v>
      </c>
      <c r="AD690" s="274">
        <f t="shared" si="86"/>
        <v>3101</v>
      </c>
      <c r="AE690" s="274">
        <f t="shared" si="80"/>
        <v>3101</v>
      </c>
      <c r="AF690" s="337"/>
    </row>
    <row r="691" spans="1:32">
      <c r="A691" s="337" t="s">
        <v>1523</v>
      </c>
      <c r="B691" s="146" t="s">
        <v>1</v>
      </c>
      <c r="C691" s="155" t="s">
        <v>1512</v>
      </c>
      <c r="D691" s="147"/>
      <c r="E691" s="148" t="s">
        <v>1502</v>
      </c>
      <c r="F691" s="147" t="s">
        <v>106</v>
      </c>
      <c r="G691" s="147" t="s">
        <v>1429</v>
      </c>
      <c r="H691" s="147">
        <v>42</v>
      </c>
      <c r="I691" s="149">
        <f t="shared" si="81"/>
        <v>42</v>
      </c>
      <c r="J691" s="147"/>
      <c r="K691" s="336" t="s">
        <v>61</v>
      </c>
      <c r="L691" s="147">
        <v>100</v>
      </c>
      <c r="M691" s="147" t="s">
        <v>9</v>
      </c>
      <c r="N691" s="147"/>
      <c r="O691" s="147" t="s">
        <v>98</v>
      </c>
      <c r="P691" s="147">
        <v>1000</v>
      </c>
      <c r="Q691" s="150">
        <f t="shared" si="82"/>
        <v>0</v>
      </c>
      <c r="R691" s="151"/>
      <c r="S691" s="152">
        <v>2828</v>
      </c>
      <c r="T691" s="158">
        <v>2828</v>
      </c>
      <c r="U691" s="153"/>
      <c r="V691" s="154"/>
      <c r="W691" s="154"/>
      <c r="X691" s="155"/>
      <c r="Y691" s="155" t="s">
        <v>1394</v>
      </c>
      <c r="Z691" s="155" t="s">
        <v>1442</v>
      </c>
      <c r="AA691" s="273">
        <f t="shared" si="83"/>
        <v>2.8279999999999998</v>
      </c>
      <c r="AB691" s="273">
        <f t="shared" si="84"/>
        <v>2.8279999999999998</v>
      </c>
      <c r="AC691" s="156">
        <f t="shared" si="85"/>
        <v>1000</v>
      </c>
      <c r="AD691" s="274">
        <f t="shared" si="86"/>
        <v>2828</v>
      </c>
      <c r="AE691" s="274">
        <f t="shared" si="80"/>
        <v>2828</v>
      </c>
      <c r="AF691" s="337"/>
    </row>
    <row r="692" spans="1:32">
      <c r="A692" s="337" t="s">
        <v>1523</v>
      </c>
      <c r="B692" s="146" t="s">
        <v>1</v>
      </c>
      <c r="C692" s="155" t="s">
        <v>1512</v>
      </c>
      <c r="D692" s="147"/>
      <c r="E692" s="148" t="s">
        <v>1502</v>
      </c>
      <c r="F692" s="147" t="s">
        <v>106</v>
      </c>
      <c r="G692" s="147" t="s">
        <v>1429</v>
      </c>
      <c r="H692" s="147">
        <v>46</v>
      </c>
      <c r="I692" s="149">
        <f t="shared" si="81"/>
        <v>46</v>
      </c>
      <c r="J692" s="147"/>
      <c r="K692" s="336" t="s">
        <v>1506</v>
      </c>
      <c r="L692" s="147">
        <v>100</v>
      </c>
      <c r="M692" s="147" t="s">
        <v>9</v>
      </c>
      <c r="N692" s="147"/>
      <c r="O692" s="147" t="s">
        <v>98</v>
      </c>
      <c r="P692" s="147">
        <v>1000</v>
      </c>
      <c r="Q692" s="150">
        <f t="shared" si="82"/>
        <v>0</v>
      </c>
      <c r="R692" s="151"/>
      <c r="S692" s="152">
        <v>2573</v>
      </c>
      <c r="T692" s="158">
        <v>2573</v>
      </c>
      <c r="U692" s="153"/>
      <c r="V692" s="154"/>
      <c r="W692" s="154"/>
      <c r="X692" s="155"/>
      <c r="Y692" s="155" t="s">
        <v>1394</v>
      </c>
      <c r="Z692" s="155" t="s">
        <v>1442</v>
      </c>
      <c r="AA692" s="273">
        <f t="shared" si="83"/>
        <v>2.573</v>
      </c>
      <c r="AB692" s="273">
        <f t="shared" si="84"/>
        <v>2.573</v>
      </c>
      <c r="AC692" s="156">
        <f t="shared" si="85"/>
        <v>1000</v>
      </c>
      <c r="AD692" s="274">
        <f t="shared" si="86"/>
        <v>2573</v>
      </c>
      <c r="AE692" s="274">
        <f t="shared" si="80"/>
        <v>2573</v>
      </c>
      <c r="AF692" s="337"/>
    </row>
    <row r="693" spans="1:32">
      <c r="A693" s="337" t="s">
        <v>1523</v>
      </c>
      <c r="B693" s="146" t="s">
        <v>1</v>
      </c>
      <c r="C693" s="155" t="s">
        <v>1512</v>
      </c>
      <c r="D693" s="147"/>
      <c r="E693" s="148" t="s">
        <v>1502</v>
      </c>
      <c r="F693" s="147" t="s">
        <v>106</v>
      </c>
      <c r="G693" s="147" t="s">
        <v>1429</v>
      </c>
      <c r="H693" s="147">
        <v>46</v>
      </c>
      <c r="I693" s="149">
        <f t="shared" si="81"/>
        <v>46</v>
      </c>
      <c r="J693" s="147"/>
      <c r="K693" s="336" t="s">
        <v>1507</v>
      </c>
      <c r="L693" s="147">
        <v>100</v>
      </c>
      <c r="M693" s="147" t="s">
        <v>9</v>
      </c>
      <c r="N693" s="147"/>
      <c r="O693" s="147" t="s">
        <v>98</v>
      </c>
      <c r="P693" s="147">
        <v>1000</v>
      </c>
      <c r="Q693" s="150">
        <f t="shared" si="82"/>
        <v>0</v>
      </c>
      <c r="R693" s="151"/>
      <c r="S693" s="152">
        <v>4358</v>
      </c>
      <c r="T693" s="158">
        <v>4358</v>
      </c>
      <c r="U693" s="153"/>
      <c r="V693" s="154"/>
      <c r="W693" s="154"/>
      <c r="X693" s="155"/>
      <c r="Y693" s="155" t="s">
        <v>1394</v>
      </c>
      <c r="Z693" s="155" t="s">
        <v>1442</v>
      </c>
      <c r="AA693" s="273">
        <f t="shared" si="83"/>
        <v>4.3579999999999997</v>
      </c>
      <c r="AB693" s="273">
        <f t="shared" si="84"/>
        <v>4.3579999999999997</v>
      </c>
      <c r="AC693" s="156">
        <f t="shared" si="85"/>
        <v>1000</v>
      </c>
      <c r="AD693" s="274">
        <f t="shared" si="86"/>
        <v>4358</v>
      </c>
      <c r="AE693" s="274">
        <f t="shared" si="80"/>
        <v>4358</v>
      </c>
      <c r="AF693" s="337"/>
    </row>
    <row r="694" spans="1:32">
      <c r="A694" s="337" t="s">
        <v>1523</v>
      </c>
      <c r="B694" s="146" t="s">
        <v>1</v>
      </c>
      <c r="C694" s="155" t="s">
        <v>1512</v>
      </c>
      <c r="D694" s="147"/>
      <c r="E694" s="148" t="s">
        <v>1502</v>
      </c>
      <c r="F694" s="147" t="s">
        <v>106</v>
      </c>
      <c r="G694" s="147" t="s">
        <v>1429</v>
      </c>
      <c r="H694" s="147">
        <v>46</v>
      </c>
      <c r="I694" s="149">
        <f t="shared" si="81"/>
        <v>46</v>
      </c>
      <c r="J694" s="147"/>
      <c r="K694" s="336" t="s">
        <v>1508</v>
      </c>
      <c r="L694" s="147">
        <v>100</v>
      </c>
      <c r="M694" s="147" t="s">
        <v>9</v>
      </c>
      <c r="N694" s="147"/>
      <c r="O694" s="147" t="s">
        <v>98</v>
      </c>
      <c r="P694" s="147">
        <v>1000</v>
      </c>
      <c r="Q694" s="150">
        <f t="shared" si="82"/>
        <v>0</v>
      </c>
      <c r="R694" s="151"/>
      <c r="S694" s="152">
        <v>4623</v>
      </c>
      <c r="T694" s="158">
        <v>4623</v>
      </c>
      <c r="U694" s="153"/>
      <c r="V694" s="154"/>
      <c r="W694" s="154"/>
      <c r="X694" s="155"/>
      <c r="Y694" s="155" t="s">
        <v>1394</v>
      </c>
      <c r="Z694" s="155" t="s">
        <v>1442</v>
      </c>
      <c r="AA694" s="273">
        <f t="shared" si="83"/>
        <v>4.6230000000000002</v>
      </c>
      <c r="AB694" s="273">
        <f t="shared" si="84"/>
        <v>4.6230000000000002</v>
      </c>
      <c r="AC694" s="156">
        <f t="shared" si="85"/>
        <v>1000</v>
      </c>
      <c r="AD694" s="274">
        <f t="shared" si="86"/>
        <v>4623</v>
      </c>
      <c r="AE694" s="274">
        <f t="shared" si="80"/>
        <v>4623</v>
      </c>
      <c r="AF694" s="337"/>
    </row>
    <row r="695" spans="1:32">
      <c r="A695" s="337" t="s">
        <v>1523</v>
      </c>
      <c r="B695" s="146" t="s">
        <v>1</v>
      </c>
      <c r="C695" s="155" t="s">
        <v>1512</v>
      </c>
      <c r="D695" s="147"/>
      <c r="E695" s="148" t="s">
        <v>1502</v>
      </c>
      <c r="F695" s="147" t="s">
        <v>106</v>
      </c>
      <c r="G695" s="147" t="s">
        <v>1429</v>
      </c>
      <c r="H695" s="147">
        <v>58</v>
      </c>
      <c r="I695" s="149">
        <f t="shared" si="81"/>
        <v>58</v>
      </c>
      <c r="J695" s="147"/>
      <c r="K695" s="336" t="s">
        <v>67</v>
      </c>
      <c r="L695" s="147">
        <v>100</v>
      </c>
      <c r="M695" s="147" t="s">
        <v>9</v>
      </c>
      <c r="N695" s="147"/>
      <c r="O695" s="147" t="s">
        <v>98</v>
      </c>
      <c r="P695" s="147">
        <v>1000</v>
      </c>
      <c r="Q695" s="150">
        <f t="shared" si="82"/>
        <v>0</v>
      </c>
      <c r="R695" s="151"/>
      <c r="S695" s="152">
        <v>3469</v>
      </c>
      <c r="T695" s="158">
        <v>3469</v>
      </c>
      <c r="U695" s="153"/>
      <c r="V695" s="154"/>
      <c r="W695" s="154"/>
      <c r="X695" s="155"/>
      <c r="Y695" s="155" t="s">
        <v>1394</v>
      </c>
      <c r="Z695" s="155" t="s">
        <v>1442</v>
      </c>
      <c r="AA695" s="273">
        <f t="shared" si="83"/>
        <v>3.4689999999999999</v>
      </c>
      <c r="AB695" s="273">
        <f t="shared" si="84"/>
        <v>3.4689999999999999</v>
      </c>
      <c r="AC695" s="156">
        <f t="shared" si="85"/>
        <v>1000</v>
      </c>
      <c r="AD695" s="274">
        <f t="shared" si="86"/>
        <v>3469</v>
      </c>
      <c r="AE695" s="274">
        <f t="shared" si="80"/>
        <v>3469</v>
      </c>
      <c r="AF695" s="337"/>
    </row>
    <row r="696" spans="1:32">
      <c r="A696" s="337" t="s">
        <v>1523</v>
      </c>
      <c r="B696" s="146" t="s">
        <v>1</v>
      </c>
      <c r="C696" s="155" t="s">
        <v>1512</v>
      </c>
      <c r="D696" s="147"/>
      <c r="E696" s="148" t="s">
        <v>1502</v>
      </c>
      <c r="F696" s="147" t="s">
        <v>106</v>
      </c>
      <c r="G696" s="147" t="s">
        <v>1429</v>
      </c>
      <c r="H696" s="147">
        <v>59</v>
      </c>
      <c r="I696" s="149">
        <f t="shared" si="81"/>
        <v>59</v>
      </c>
      <c r="J696" s="147"/>
      <c r="K696" s="336" t="s">
        <v>99</v>
      </c>
      <c r="L696" s="147">
        <v>100</v>
      </c>
      <c r="M696" s="147" t="s">
        <v>9</v>
      </c>
      <c r="N696" s="147"/>
      <c r="O696" s="147" t="s">
        <v>98</v>
      </c>
      <c r="P696" s="147">
        <v>1000</v>
      </c>
      <c r="Q696" s="150">
        <f t="shared" si="82"/>
        <v>0</v>
      </c>
      <c r="R696" s="151"/>
      <c r="S696" s="152">
        <v>2872</v>
      </c>
      <c r="T696" s="158">
        <v>2872</v>
      </c>
      <c r="U696" s="153"/>
      <c r="V696" s="154"/>
      <c r="W696" s="154"/>
      <c r="X696" s="155"/>
      <c r="Y696" s="155" t="s">
        <v>1394</v>
      </c>
      <c r="Z696" s="155" t="s">
        <v>1442</v>
      </c>
      <c r="AA696" s="273">
        <f t="shared" si="83"/>
        <v>2.8719999999999999</v>
      </c>
      <c r="AB696" s="273">
        <f t="shared" si="84"/>
        <v>2.8719999999999999</v>
      </c>
      <c r="AC696" s="156">
        <f t="shared" si="85"/>
        <v>1000</v>
      </c>
      <c r="AD696" s="274">
        <f t="shared" si="86"/>
        <v>2872</v>
      </c>
      <c r="AE696" s="274">
        <f t="shared" si="80"/>
        <v>2872</v>
      </c>
      <c r="AF696" s="337"/>
    </row>
    <row r="697" spans="1:32">
      <c r="A697" s="337" t="s">
        <v>1523</v>
      </c>
      <c r="B697" s="146" t="s">
        <v>1</v>
      </c>
      <c r="C697" s="155" t="s">
        <v>1512</v>
      </c>
      <c r="D697" s="147"/>
      <c r="E697" s="148" t="s">
        <v>1502</v>
      </c>
      <c r="F697" s="147" t="s">
        <v>106</v>
      </c>
      <c r="G697" s="147" t="s">
        <v>1429</v>
      </c>
      <c r="H697" s="147">
        <v>69</v>
      </c>
      <c r="I697" s="149">
        <f t="shared" si="81"/>
        <v>69</v>
      </c>
      <c r="J697" s="147"/>
      <c r="K697" s="336" t="s">
        <v>1509</v>
      </c>
      <c r="L697" s="147">
        <v>100</v>
      </c>
      <c r="M697" s="147" t="s">
        <v>9</v>
      </c>
      <c r="N697" s="147"/>
      <c r="O697" s="147" t="s">
        <v>98</v>
      </c>
      <c r="P697" s="147">
        <v>1000</v>
      </c>
      <c r="Q697" s="150">
        <f t="shared" si="82"/>
        <v>0</v>
      </c>
      <c r="R697" s="151"/>
      <c r="S697" s="152">
        <v>2573</v>
      </c>
      <c r="T697" s="158">
        <v>2573</v>
      </c>
      <c r="U697" s="153"/>
      <c r="V697" s="154"/>
      <c r="W697" s="154"/>
      <c r="X697" s="155"/>
      <c r="Y697" s="155" t="s">
        <v>1394</v>
      </c>
      <c r="Z697" s="155" t="s">
        <v>1442</v>
      </c>
      <c r="AA697" s="273">
        <f t="shared" si="83"/>
        <v>2.573</v>
      </c>
      <c r="AB697" s="273">
        <f t="shared" si="84"/>
        <v>2.573</v>
      </c>
      <c r="AC697" s="156">
        <f t="shared" si="85"/>
        <v>1000</v>
      </c>
      <c r="AD697" s="274">
        <f t="shared" si="86"/>
        <v>2573</v>
      </c>
      <c r="AE697" s="274">
        <f t="shared" si="80"/>
        <v>2573</v>
      </c>
      <c r="AF697" s="337"/>
    </row>
    <row r="698" spans="1:32">
      <c r="A698" s="337" t="s">
        <v>1523</v>
      </c>
      <c r="B698" s="146" t="s">
        <v>1</v>
      </c>
      <c r="C698" s="155" t="s">
        <v>1512</v>
      </c>
      <c r="D698" s="147"/>
      <c r="E698" s="148" t="s">
        <v>1502</v>
      </c>
      <c r="F698" s="147" t="s">
        <v>106</v>
      </c>
      <c r="G698" s="147" t="s">
        <v>1429</v>
      </c>
      <c r="H698" s="147">
        <v>70</v>
      </c>
      <c r="I698" s="149">
        <f t="shared" si="81"/>
        <v>70</v>
      </c>
      <c r="J698" s="147"/>
      <c r="K698" s="336" t="s">
        <v>1510</v>
      </c>
      <c r="L698" s="147">
        <v>100</v>
      </c>
      <c r="M698" s="147" t="s">
        <v>9</v>
      </c>
      <c r="N698" s="147"/>
      <c r="O698" s="147" t="s">
        <v>98</v>
      </c>
      <c r="P698" s="147">
        <v>1000</v>
      </c>
      <c r="Q698" s="150">
        <f t="shared" si="82"/>
        <v>0</v>
      </c>
      <c r="R698" s="151"/>
      <c r="S698" s="152">
        <v>3403</v>
      </c>
      <c r="T698" s="158">
        <v>3403</v>
      </c>
      <c r="U698" s="153"/>
      <c r="V698" s="154"/>
      <c r="W698" s="154"/>
      <c r="X698" s="155"/>
      <c r="Y698" s="155" t="s">
        <v>1394</v>
      </c>
      <c r="Z698" s="155" t="s">
        <v>1442</v>
      </c>
      <c r="AA698" s="273">
        <f t="shared" si="83"/>
        <v>3.403</v>
      </c>
      <c r="AB698" s="273">
        <f t="shared" si="84"/>
        <v>3.403</v>
      </c>
      <c r="AC698" s="156">
        <f t="shared" si="85"/>
        <v>1000</v>
      </c>
      <c r="AD698" s="274">
        <f t="shared" si="86"/>
        <v>3403</v>
      </c>
      <c r="AE698" s="274">
        <f t="shared" si="80"/>
        <v>3403</v>
      </c>
      <c r="AF698" s="337"/>
    </row>
    <row r="699" spans="1:32">
      <c r="A699" s="337" t="s">
        <v>1523</v>
      </c>
      <c r="B699" s="146" t="s">
        <v>1</v>
      </c>
      <c r="C699" s="155" t="s">
        <v>1512</v>
      </c>
      <c r="D699" s="147"/>
      <c r="E699" s="148" t="s">
        <v>1502</v>
      </c>
      <c r="F699" s="147" t="s">
        <v>106</v>
      </c>
      <c r="G699" s="147" t="s">
        <v>1429</v>
      </c>
      <c r="H699" s="147">
        <v>70</v>
      </c>
      <c r="I699" s="149">
        <f t="shared" si="81"/>
        <v>70</v>
      </c>
      <c r="J699" s="147"/>
      <c r="K699" s="336" t="s">
        <v>1511</v>
      </c>
      <c r="L699" s="147">
        <v>100</v>
      </c>
      <c r="M699" s="147" t="s">
        <v>9</v>
      </c>
      <c r="N699" s="147"/>
      <c r="O699" s="147" t="s">
        <v>98</v>
      </c>
      <c r="P699" s="147">
        <v>1000</v>
      </c>
      <c r="Q699" s="150">
        <f t="shared" si="82"/>
        <v>0</v>
      </c>
      <c r="R699" s="151"/>
      <c r="S699" s="152">
        <v>3743</v>
      </c>
      <c r="T699" s="158">
        <v>3743</v>
      </c>
      <c r="U699" s="153"/>
      <c r="V699" s="154"/>
      <c r="W699" s="154"/>
      <c r="X699" s="155"/>
      <c r="Y699" s="155" t="s">
        <v>1394</v>
      </c>
      <c r="Z699" s="155" t="s">
        <v>1442</v>
      </c>
      <c r="AA699" s="273">
        <f t="shared" si="83"/>
        <v>3.7429999999999999</v>
      </c>
      <c r="AB699" s="273">
        <f t="shared" si="84"/>
        <v>3.7429999999999999</v>
      </c>
      <c r="AC699" s="156">
        <f t="shared" si="85"/>
        <v>1000</v>
      </c>
      <c r="AD699" s="274">
        <f t="shared" si="86"/>
        <v>3743</v>
      </c>
      <c r="AE699" s="274">
        <f t="shared" si="80"/>
        <v>3743</v>
      </c>
      <c r="AF699" s="337"/>
    </row>
    <row r="700" spans="1:32">
      <c r="A700" s="337" t="s">
        <v>1523</v>
      </c>
      <c r="B700" s="146" t="s">
        <v>1</v>
      </c>
      <c r="C700" s="155" t="s">
        <v>1512</v>
      </c>
      <c r="D700" s="147"/>
      <c r="E700" s="148" t="s">
        <v>1503</v>
      </c>
      <c r="F700" s="147" t="s">
        <v>106</v>
      </c>
      <c r="G700" s="147" t="s">
        <v>1429</v>
      </c>
      <c r="H700" s="147">
        <v>7</v>
      </c>
      <c r="I700" s="149">
        <f t="shared" si="81"/>
        <v>7</v>
      </c>
      <c r="J700" s="147"/>
      <c r="K700" s="336" t="s">
        <v>57</v>
      </c>
      <c r="L700" s="147">
        <v>100</v>
      </c>
      <c r="M700" s="147" t="s">
        <v>9</v>
      </c>
      <c r="N700" s="147"/>
      <c r="O700" s="147" t="s">
        <v>98</v>
      </c>
      <c r="P700" s="147">
        <v>1000</v>
      </c>
      <c r="Q700" s="150">
        <f t="shared" si="82"/>
        <v>0</v>
      </c>
      <c r="R700" s="151"/>
      <c r="S700" s="152">
        <v>1000</v>
      </c>
      <c r="T700" s="158">
        <v>1000</v>
      </c>
      <c r="U700" s="153"/>
      <c r="V700" s="154"/>
      <c r="W700" s="154"/>
      <c r="X700" s="155"/>
      <c r="Y700" s="155" t="s">
        <v>1394</v>
      </c>
      <c r="Z700" s="155" t="s">
        <v>1442</v>
      </c>
      <c r="AA700" s="273">
        <f t="shared" si="83"/>
        <v>1</v>
      </c>
      <c r="AB700" s="273">
        <f t="shared" si="84"/>
        <v>1</v>
      </c>
      <c r="AC700" s="156">
        <f t="shared" si="85"/>
        <v>1000</v>
      </c>
      <c r="AD700" s="274">
        <f t="shared" si="86"/>
        <v>1000</v>
      </c>
      <c r="AE700" s="274">
        <f t="shared" si="80"/>
        <v>1000</v>
      </c>
      <c r="AF700" s="337"/>
    </row>
    <row r="701" spans="1:32">
      <c r="A701" s="337" t="s">
        <v>1523</v>
      </c>
      <c r="B701" s="146" t="s">
        <v>1</v>
      </c>
      <c r="C701" s="155" t="s">
        <v>1512</v>
      </c>
      <c r="D701" s="147"/>
      <c r="E701" s="148" t="s">
        <v>1503</v>
      </c>
      <c r="F701" s="147" t="s">
        <v>106</v>
      </c>
      <c r="G701" s="147" t="s">
        <v>1429</v>
      </c>
      <c r="H701" s="147">
        <v>8</v>
      </c>
      <c r="I701" s="149">
        <f t="shared" si="81"/>
        <v>8</v>
      </c>
      <c r="J701" s="147"/>
      <c r="K701" s="336" t="s">
        <v>55</v>
      </c>
      <c r="L701" s="147">
        <v>100</v>
      </c>
      <c r="M701" s="147" t="s">
        <v>9</v>
      </c>
      <c r="N701" s="147"/>
      <c r="O701" s="147" t="s">
        <v>98</v>
      </c>
      <c r="P701" s="147">
        <v>1000</v>
      </c>
      <c r="Q701" s="150">
        <f t="shared" si="82"/>
        <v>0</v>
      </c>
      <c r="R701" s="151"/>
      <c r="S701" s="152">
        <v>1263</v>
      </c>
      <c r="T701" s="158">
        <v>1263</v>
      </c>
      <c r="U701" s="153"/>
      <c r="V701" s="154"/>
      <c r="W701" s="154"/>
      <c r="X701" s="155"/>
      <c r="Y701" s="155" t="s">
        <v>1394</v>
      </c>
      <c r="Z701" s="155" t="s">
        <v>1442</v>
      </c>
      <c r="AA701" s="273">
        <f t="shared" si="83"/>
        <v>1.2629999999999999</v>
      </c>
      <c r="AB701" s="273">
        <f t="shared" si="84"/>
        <v>1.2629999999999999</v>
      </c>
      <c r="AC701" s="156">
        <f t="shared" si="85"/>
        <v>1000</v>
      </c>
      <c r="AD701" s="274">
        <f t="shared" si="86"/>
        <v>1263</v>
      </c>
      <c r="AE701" s="274">
        <f t="shared" si="80"/>
        <v>1263</v>
      </c>
      <c r="AF701" s="337"/>
    </row>
    <row r="702" spans="1:32">
      <c r="A702" s="337" t="s">
        <v>1523</v>
      </c>
      <c r="B702" s="146" t="s">
        <v>1</v>
      </c>
      <c r="C702" s="155" t="s">
        <v>1512</v>
      </c>
      <c r="D702" s="147"/>
      <c r="E702" s="148" t="s">
        <v>1503</v>
      </c>
      <c r="F702" s="147" t="s">
        <v>106</v>
      </c>
      <c r="G702" s="147" t="s">
        <v>1429</v>
      </c>
      <c r="H702" s="147">
        <v>17</v>
      </c>
      <c r="I702" s="149">
        <f t="shared" si="81"/>
        <v>17</v>
      </c>
      <c r="J702" s="147"/>
      <c r="K702" s="336" t="s">
        <v>53</v>
      </c>
      <c r="L702" s="147">
        <v>100</v>
      </c>
      <c r="M702" s="147" t="s">
        <v>9</v>
      </c>
      <c r="N702" s="147"/>
      <c r="O702" s="147" t="s">
        <v>98</v>
      </c>
      <c r="P702" s="147">
        <v>1000</v>
      </c>
      <c r="Q702" s="150">
        <f t="shared" si="82"/>
        <v>0</v>
      </c>
      <c r="R702" s="151"/>
      <c r="S702" s="152">
        <v>1953</v>
      </c>
      <c r="T702" s="158">
        <v>1953</v>
      </c>
      <c r="U702" s="153"/>
      <c r="V702" s="154"/>
      <c r="W702" s="154"/>
      <c r="X702" s="155"/>
      <c r="Y702" s="155" t="s">
        <v>1394</v>
      </c>
      <c r="Z702" s="155" t="s">
        <v>1442</v>
      </c>
      <c r="AA702" s="273">
        <f t="shared" si="83"/>
        <v>1.9530000000000001</v>
      </c>
      <c r="AB702" s="273">
        <f t="shared" si="84"/>
        <v>1.9530000000000001</v>
      </c>
      <c r="AC702" s="156">
        <f t="shared" si="85"/>
        <v>1000</v>
      </c>
      <c r="AD702" s="274">
        <f t="shared" si="86"/>
        <v>1953</v>
      </c>
      <c r="AE702" s="274">
        <f t="shared" si="80"/>
        <v>1953</v>
      </c>
      <c r="AF702" s="337"/>
    </row>
    <row r="703" spans="1:32">
      <c r="A703" s="337" t="s">
        <v>1523</v>
      </c>
      <c r="B703" s="146" t="s">
        <v>1</v>
      </c>
      <c r="C703" s="155" t="s">
        <v>1512</v>
      </c>
      <c r="D703" s="147"/>
      <c r="E703" s="148" t="s">
        <v>1503</v>
      </c>
      <c r="F703" s="147" t="s">
        <v>106</v>
      </c>
      <c r="G703" s="147" t="s">
        <v>1429</v>
      </c>
      <c r="H703" s="147">
        <v>22</v>
      </c>
      <c r="I703" s="149">
        <f t="shared" si="81"/>
        <v>22</v>
      </c>
      <c r="J703" s="147"/>
      <c r="K703" s="336" t="s">
        <v>51</v>
      </c>
      <c r="L703" s="147">
        <v>100</v>
      </c>
      <c r="M703" s="147" t="s">
        <v>9</v>
      </c>
      <c r="N703" s="147"/>
      <c r="O703" s="147" t="s">
        <v>98</v>
      </c>
      <c r="P703" s="147">
        <v>1000</v>
      </c>
      <c r="Q703" s="150">
        <f t="shared" si="82"/>
        <v>0</v>
      </c>
      <c r="R703" s="151"/>
      <c r="S703" s="152">
        <v>5000</v>
      </c>
      <c r="T703" s="158">
        <v>5000</v>
      </c>
      <c r="U703" s="153"/>
      <c r="V703" s="154"/>
      <c r="W703" s="154"/>
      <c r="X703" s="155"/>
      <c r="Y703" s="155" t="s">
        <v>1394</v>
      </c>
      <c r="Z703" s="155" t="s">
        <v>1442</v>
      </c>
      <c r="AA703" s="273">
        <f t="shared" si="83"/>
        <v>5</v>
      </c>
      <c r="AB703" s="273">
        <f t="shared" si="84"/>
        <v>5</v>
      </c>
      <c r="AC703" s="156">
        <f t="shared" si="85"/>
        <v>1000</v>
      </c>
      <c r="AD703" s="274">
        <f t="shared" si="86"/>
        <v>5000</v>
      </c>
      <c r="AE703" s="274">
        <f t="shared" si="80"/>
        <v>5000</v>
      </c>
      <c r="AF703" s="337"/>
    </row>
    <row r="704" spans="1:32">
      <c r="A704" s="337" t="s">
        <v>1523</v>
      </c>
      <c r="B704" s="146" t="s">
        <v>1</v>
      </c>
      <c r="C704" s="155" t="s">
        <v>1512</v>
      </c>
      <c r="D704" s="147"/>
      <c r="E704" s="148" t="s">
        <v>1503</v>
      </c>
      <c r="F704" s="147" t="s">
        <v>106</v>
      </c>
      <c r="G704" s="147" t="s">
        <v>1429</v>
      </c>
      <c r="H704" s="147">
        <v>33</v>
      </c>
      <c r="I704" s="149">
        <f t="shared" si="81"/>
        <v>33</v>
      </c>
      <c r="J704" s="147"/>
      <c r="K704" s="336" t="s">
        <v>59</v>
      </c>
      <c r="L704" s="147">
        <v>100</v>
      </c>
      <c r="M704" s="147" t="s">
        <v>9</v>
      </c>
      <c r="N704" s="147"/>
      <c r="O704" s="147" t="s">
        <v>98</v>
      </c>
      <c r="P704" s="147">
        <v>1000</v>
      </c>
      <c r="Q704" s="150">
        <f t="shared" si="82"/>
        <v>0</v>
      </c>
      <c r="R704" s="151"/>
      <c r="S704" s="152">
        <v>2839</v>
      </c>
      <c r="T704" s="158">
        <v>2839</v>
      </c>
      <c r="U704" s="153"/>
      <c r="V704" s="154"/>
      <c r="W704" s="154"/>
      <c r="X704" s="155"/>
      <c r="Y704" s="155" t="s">
        <v>1394</v>
      </c>
      <c r="Z704" s="155" t="s">
        <v>1442</v>
      </c>
      <c r="AA704" s="273">
        <f t="shared" si="83"/>
        <v>2.839</v>
      </c>
      <c r="AB704" s="273">
        <f t="shared" si="84"/>
        <v>2.839</v>
      </c>
      <c r="AC704" s="156">
        <f t="shared" si="85"/>
        <v>1000</v>
      </c>
      <c r="AD704" s="274">
        <f t="shared" si="86"/>
        <v>2839</v>
      </c>
      <c r="AE704" s="274">
        <f t="shared" si="80"/>
        <v>2839</v>
      </c>
      <c r="AF704" s="337"/>
    </row>
    <row r="705" spans="1:32">
      <c r="A705" s="337" t="s">
        <v>1523</v>
      </c>
      <c r="B705" s="146" t="s">
        <v>1</v>
      </c>
      <c r="C705" s="155" t="s">
        <v>1512</v>
      </c>
      <c r="D705" s="147"/>
      <c r="E705" s="148" t="s">
        <v>1503</v>
      </c>
      <c r="F705" s="147" t="s">
        <v>106</v>
      </c>
      <c r="G705" s="147" t="s">
        <v>1429</v>
      </c>
      <c r="H705" s="147">
        <v>42</v>
      </c>
      <c r="I705" s="149">
        <f t="shared" si="81"/>
        <v>42</v>
      </c>
      <c r="J705" s="147"/>
      <c r="K705" s="336" t="s">
        <v>61</v>
      </c>
      <c r="L705" s="147">
        <v>100</v>
      </c>
      <c r="M705" s="147" t="s">
        <v>9</v>
      </c>
      <c r="N705" s="147"/>
      <c r="O705" s="147" t="s">
        <v>98</v>
      </c>
      <c r="P705" s="147">
        <v>1000</v>
      </c>
      <c r="Q705" s="150">
        <f t="shared" si="82"/>
        <v>0</v>
      </c>
      <c r="R705" s="151"/>
      <c r="S705" s="152">
        <v>2675</v>
      </c>
      <c r="T705" s="158">
        <v>2675</v>
      </c>
      <c r="U705" s="153"/>
      <c r="V705" s="154"/>
      <c r="W705" s="154"/>
      <c r="X705" s="155"/>
      <c r="Y705" s="155" t="s">
        <v>1394</v>
      </c>
      <c r="Z705" s="155" t="s">
        <v>1442</v>
      </c>
      <c r="AA705" s="273">
        <f t="shared" si="83"/>
        <v>2.6749999999999998</v>
      </c>
      <c r="AB705" s="273">
        <f t="shared" si="84"/>
        <v>2.6749999999999998</v>
      </c>
      <c r="AC705" s="156">
        <f t="shared" si="85"/>
        <v>1000</v>
      </c>
      <c r="AD705" s="274">
        <f t="shared" si="86"/>
        <v>2675</v>
      </c>
      <c r="AE705" s="274">
        <f t="shared" si="80"/>
        <v>2675</v>
      </c>
      <c r="AF705" s="337"/>
    </row>
    <row r="706" spans="1:32">
      <c r="A706" s="337" t="s">
        <v>1523</v>
      </c>
      <c r="B706" s="146" t="s">
        <v>1</v>
      </c>
      <c r="C706" s="155" t="s">
        <v>1512</v>
      </c>
      <c r="D706" s="147"/>
      <c r="E706" s="148" t="s">
        <v>1503</v>
      </c>
      <c r="F706" s="147" t="s">
        <v>106</v>
      </c>
      <c r="G706" s="147" t="s">
        <v>1429</v>
      </c>
      <c r="H706" s="147">
        <v>46</v>
      </c>
      <c r="I706" s="149">
        <f t="shared" si="81"/>
        <v>46</v>
      </c>
      <c r="J706" s="147"/>
      <c r="K706" s="336" t="s">
        <v>1506</v>
      </c>
      <c r="L706" s="147">
        <v>100</v>
      </c>
      <c r="M706" s="147" t="s">
        <v>9</v>
      </c>
      <c r="N706" s="147"/>
      <c r="O706" s="147" t="s">
        <v>98</v>
      </c>
      <c r="P706" s="147">
        <v>1000</v>
      </c>
      <c r="Q706" s="150">
        <f t="shared" si="82"/>
        <v>0</v>
      </c>
      <c r="R706" s="151"/>
      <c r="S706" s="152">
        <v>2583</v>
      </c>
      <c r="T706" s="158">
        <v>2583</v>
      </c>
      <c r="U706" s="153"/>
      <c r="V706" s="154"/>
      <c r="W706" s="154"/>
      <c r="X706" s="155"/>
      <c r="Y706" s="155" t="s">
        <v>1394</v>
      </c>
      <c r="Z706" s="155" t="s">
        <v>1442</v>
      </c>
      <c r="AA706" s="273">
        <f t="shared" si="83"/>
        <v>2.5830000000000002</v>
      </c>
      <c r="AB706" s="273">
        <f t="shared" si="84"/>
        <v>2.5830000000000002</v>
      </c>
      <c r="AC706" s="156">
        <f t="shared" si="85"/>
        <v>1000</v>
      </c>
      <c r="AD706" s="274">
        <f t="shared" si="86"/>
        <v>2583</v>
      </c>
      <c r="AE706" s="274">
        <f t="shared" si="80"/>
        <v>2583</v>
      </c>
      <c r="AF706" s="337"/>
    </row>
    <row r="707" spans="1:32">
      <c r="A707" s="337" t="s">
        <v>1523</v>
      </c>
      <c r="B707" s="146" t="s">
        <v>1</v>
      </c>
      <c r="C707" s="155" t="s">
        <v>1512</v>
      </c>
      <c r="D707" s="147"/>
      <c r="E707" s="148" t="s">
        <v>1503</v>
      </c>
      <c r="F707" s="147" t="s">
        <v>106</v>
      </c>
      <c r="G707" s="147" t="s">
        <v>1429</v>
      </c>
      <c r="H707" s="147">
        <v>46</v>
      </c>
      <c r="I707" s="149">
        <f t="shared" si="81"/>
        <v>46</v>
      </c>
      <c r="J707" s="147"/>
      <c r="K707" s="336" t="s">
        <v>1507</v>
      </c>
      <c r="L707" s="147">
        <v>100</v>
      </c>
      <c r="M707" s="147" t="s">
        <v>9</v>
      </c>
      <c r="N707" s="147"/>
      <c r="O707" s="147" t="s">
        <v>98</v>
      </c>
      <c r="P707" s="147">
        <v>1000</v>
      </c>
      <c r="Q707" s="150">
        <f t="shared" si="82"/>
        <v>0</v>
      </c>
      <c r="R707" s="151"/>
      <c r="S707" s="152">
        <v>4371</v>
      </c>
      <c r="T707" s="158">
        <v>4371</v>
      </c>
      <c r="U707" s="153"/>
      <c r="V707" s="154"/>
      <c r="W707" s="154"/>
      <c r="X707" s="155"/>
      <c r="Y707" s="155" t="s">
        <v>1394</v>
      </c>
      <c r="Z707" s="155" t="s">
        <v>1442</v>
      </c>
      <c r="AA707" s="273">
        <f t="shared" si="83"/>
        <v>4.3710000000000004</v>
      </c>
      <c r="AB707" s="273">
        <f t="shared" si="84"/>
        <v>4.3710000000000004</v>
      </c>
      <c r="AC707" s="156">
        <f t="shared" si="85"/>
        <v>1000</v>
      </c>
      <c r="AD707" s="274">
        <f t="shared" si="86"/>
        <v>4371</v>
      </c>
      <c r="AE707" s="274">
        <f t="shared" ref="AE707:AE770" si="87">AB707*AC707</f>
        <v>4371</v>
      </c>
      <c r="AF707" s="337"/>
    </row>
    <row r="708" spans="1:32">
      <c r="A708" s="337" t="s">
        <v>1523</v>
      </c>
      <c r="B708" s="146" t="s">
        <v>1</v>
      </c>
      <c r="C708" s="155" t="s">
        <v>1512</v>
      </c>
      <c r="D708" s="147"/>
      <c r="E708" s="148" t="s">
        <v>1503</v>
      </c>
      <c r="F708" s="147" t="s">
        <v>106</v>
      </c>
      <c r="G708" s="147" t="s">
        <v>1429</v>
      </c>
      <c r="H708" s="147">
        <v>46</v>
      </c>
      <c r="I708" s="149">
        <f t="shared" si="81"/>
        <v>46</v>
      </c>
      <c r="J708" s="147"/>
      <c r="K708" s="336" t="s">
        <v>1508</v>
      </c>
      <c r="L708" s="147">
        <v>100</v>
      </c>
      <c r="M708" s="147" t="s">
        <v>9</v>
      </c>
      <c r="N708" s="147"/>
      <c r="O708" s="147" t="s">
        <v>98</v>
      </c>
      <c r="P708" s="147">
        <v>1000</v>
      </c>
      <c r="Q708" s="150">
        <f t="shared" si="82"/>
        <v>0</v>
      </c>
      <c r="R708" s="151"/>
      <c r="S708" s="152">
        <v>4596</v>
      </c>
      <c r="T708" s="158">
        <v>4596</v>
      </c>
      <c r="U708" s="153"/>
      <c r="V708" s="154"/>
      <c r="W708" s="154"/>
      <c r="X708" s="155"/>
      <c r="Y708" s="155" t="s">
        <v>1394</v>
      </c>
      <c r="Z708" s="155" t="s">
        <v>1442</v>
      </c>
      <c r="AA708" s="273">
        <f t="shared" si="83"/>
        <v>4.5960000000000001</v>
      </c>
      <c r="AB708" s="273">
        <f t="shared" si="84"/>
        <v>4.5960000000000001</v>
      </c>
      <c r="AC708" s="156">
        <f t="shared" si="85"/>
        <v>1000</v>
      </c>
      <c r="AD708" s="274">
        <f t="shared" si="86"/>
        <v>4596</v>
      </c>
      <c r="AE708" s="274">
        <f t="shared" si="87"/>
        <v>4596</v>
      </c>
      <c r="AF708" s="337"/>
    </row>
    <row r="709" spans="1:32">
      <c r="A709" s="337" t="s">
        <v>1523</v>
      </c>
      <c r="B709" s="146" t="s">
        <v>1</v>
      </c>
      <c r="C709" s="155" t="s">
        <v>1512</v>
      </c>
      <c r="D709" s="147"/>
      <c r="E709" s="148" t="s">
        <v>1503</v>
      </c>
      <c r="F709" s="147" t="s">
        <v>106</v>
      </c>
      <c r="G709" s="147" t="s">
        <v>1429</v>
      </c>
      <c r="H709" s="147">
        <v>58</v>
      </c>
      <c r="I709" s="149">
        <f t="shared" si="81"/>
        <v>58</v>
      </c>
      <c r="J709" s="147"/>
      <c r="K709" s="336" t="s">
        <v>67</v>
      </c>
      <c r="L709" s="147">
        <v>100</v>
      </c>
      <c r="M709" s="147" t="s">
        <v>9</v>
      </c>
      <c r="N709" s="147"/>
      <c r="O709" s="147" t="s">
        <v>98</v>
      </c>
      <c r="P709" s="147">
        <v>1000</v>
      </c>
      <c r="Q709" s="150">
        <f t="shared" si="82"/>
        <v>0</v>
      </c>
      <c r="R709" s="151"/>
      <c r="S709" s="152">
        <v>3429</v>
      </c>
      <c r="T709" s="158">
        <v>3429</v>
      </c>
      <c r="U709" s="153"/>
      <c r="V709" s="154"/>
      <c r="W709" s="154"/>
      <c r="X709" s="155"/>
      <c r="Y709" s="155" t="s">
        <v>1394</v>
      </c>
      <c r="Z709" s="155" t="s">
        <v>1442</v>
      </c>
      <c r="AA709" s="273">
        <f t="shared" si="83"/>
        <v>3.4289999999999998</v>
      </c>
      <c r="AB709" s="273">
        <f t="shared" si="84"/>
        <v>3.4289999999999998</v>
      </c>
      <c r="AC709" s="156">
        <f t="shared" si="85"/>
        <v>1000</v>
      </c>
      <c r="AD709" s="274">
        <f t="shared" si="86"/>
        <v>3429</v>
      </c>
      <c r="AE709" s="274">
        <f t="shared" si="87"/>
        <v>3429</v>
      </c>
      <c r="AF709" s="337"/>
    </row>
    <row r="710" spans="1:32">
      <c r="A710" s="337" t="s">
        <v>1523</v>
      </c>
      <c r="B710" s="146" t="s">
        <v>1</v>
      </c>
      <c r="C710" s="155" t="s">
        <v>1512</v>
      </c>
      <c r="D710" s="147"/>
      <c r="E710" s="148" t="s">
        <v>1503</v>
      </c>
      <c r="F710" s="147" t="s">
        <v>106</v>
      </c>
      <c r="G710" s="147" t="s">
        <v>1429</v>
      </c>
      <c r="H710" s="147">
        <v>59</v>
      </c>
      <c r="I710" s="149">
        <f t="shared" si="81"/>
        <v>59</v>
      </c>
      <c r="J710" s="147"/>
      <c r="K710" s="336" t="s">
        <v>99</v>
      </c>
      <c r="L710" s="147">
        <v>100</v>
      </c>
      <c r="M710" s="147" t="s">
        <v>9</v>
      </c>
      <c r="N710" s="147"/>
      <c r="O710" s="147" t="s">
        <v>98</v>
      </c>
      <c r="P710" s="147">
        <v>1000</v>
      </c>
      <c r="Q710" s="150">
        <f t="shared" si="82"/>
        <v>0</v>
      </c>
      <c r="R710" s="151"/>
      <c r="S710" s="152">
        <v>2611</v>
      </c>
      <c r="T710" s="158">
        <v>2611</v>
      </c>
      <c r="U710" s="153"/>
      <c r="V710" s="154"/>
      <c r="W710" s="154"/>
      <c r="X710" s="155"/>
      <c r="Y710" s="155" t="s">
        <v>1394</v>
      </c>
      <c r="Z710" s="155" t="s">
        <v>1442</v>
      </c>
      <c r="AA710" s="273">
        <f t="shared" si="83"/>
        <v>2.6110000000000002</v>
      </c>
      <c r="AB710" s="273">
        <f t="shared" si="84"/>
        <v>2.6110000000000002</v>
      </c>
      <c r="AC710" s="156">
        <f t="shared" si="85"/>
        <v>1000</v>
      </c>
      <c r="AD710" s="274">
        <f t="shared" si="86"/>
        <v>2611</v>
      </c>
      <c r="AE710" s="274">
        <f t="shared" si="87"/>
        <v>2611</v>
      </c>
      <c r="AF710" s="337"/>
    </row>
    <row r="711" spans="1:32">
      <c r="A711" s="337" t="s">
        <v>1523</v>
      </c>
      <c r="B711" s="146" t="s">
        <v>1</v>
      </c>
      <c r="C711" s="155" t="s">
        <v>1512</v>
      </c>
      <c r="D711" s="147"/>
      <c r="E711" s="148" t="s">
        <v>1503</v>
      </c>
      <c r="F711" s="147" t="s">
        <v>106</v>
      </c>
      <c r="G711" s="147" t="s">
        <v>1429</v>
      </c>
      <c r="H711" s="147">
        <v>69</v>
      </c>
      <c r="I711" s="149">
        <f t="shared" si="81"/>
        <v>69</v>
      </c>
      <c r="J711" s="147"/>
      <c r="K711" s="336" t="s">
        <v>1509</v>
      </c>
      <c r="L711" s="147">
        <v>100</v>
      </c>
      <c r="M711" s="147" t="s">
        <v>9</v>
      </c>
      <c r="N711" s="147"/>
      <c r="O711" s="147" t="s">
        <v>98</v>
      </c>
      <c r="P711" s="147">
        <v>1000</v>
      </c>
      <c r="Q711" s="150">
        <f t="shared" si="82"/>
        <v>0</v>
      </c>
      <c r="R711" s="151"/>
      <c r="S711" s="152">
        <v>2587</v>
      </c>
      <c r="T711" s="158">
        <v>2587</v>
      </c>
      <c r="U711" s="153"/>
      <c r="V711" s="154"/>
      <c r="W711" s="154"/>
      <c r="X711" s="155"/>
      <c r="Y711" s="155" t="s">
        <v>1394</v>
      </c>
      <c r="Z711" s="155" t="s">
        <v>1442</v>
      </c>
      <c r="AA711" s="273">
        <f t="shared" si="83"/>
        <v>2.5870000000000002</v>
      </c>
      <c r="AB711" s="273">
        <f t="shared" si="84"/>
        <v>2.5870000000000002</v>
      </c>
      <c r="AC711" s="156">
        <f t="shared" si="85"/>
        <v>1000</v>
      </c>
      <c r="AD711" s="274">
        <f t="shared" si="86"/>
        <v>2587</v>
      </c>
      <c r="AE711" s="274">
        <f t="shared" si="87"/>
        <v>2587</v>
      </c>
      <c r="AF711" s="337"/>
    </row>
    <row r="712" spans="1:32">
      <c r="A712" s="337" t="s">
        <v>1523</v>
      </c>
      <c r="B712" s="146" t="s">
        <v>1</v>
      </c>
      <c r="C712" s="155" t="s">
        <v>1512</v>
      </c>
      <c r="D712" s="147"/>
      <c r="E712" s="148" t="s">
        <v>1503</v>
      </c>
      <c r="F712" s="147" t="s">
        <v>106</v>
      </c>
      <c r="G712" s="147" t="s">
        <v>1429</v>
      </c>
      <c r="H712" s="147">
        <v>70</v>
      </c>
      <c r="I712" s="149">
        <f t="shared" si="81"/>
        <v>70</v>
      </c>
      <c r="J712" s="147"/>
      <c r="K712" s="336" t="s">
        <v>1510</v>
      </c>
      <c r="L712" s="147">
        <v>100</v>
      </c>
      <c r="M712" s="147" t="s">
        <v>9</v>
      </c>
      <c r="N712" s="147"/>
      <c r="O712" s="147" t="s">
        <v>98</v>
      </c>
      <c r="P712" s="147">
        <v>1000</v>
      </c>
      <c r="Q712" s="150">
        <f t="shared" si="82"/>
        <v>0</v>
      </c>
      <c r="R712" s="151"/>
      <c r="S712" s="152">
        <v>3448</v>
      </c>
      <c r="T712" s="158">
        <v>3448</v>
      </c>
      <c r="U712" s="153"/>
      <c r="V712" s="154"/>
      <c r="W712" s="154"/>
      <c r="X712" s="155"/>
      <c r="Y712" s="155" t="s">
        <v>1394</v>
      </c>
      <c r="Z712" s="155" t="s">
        <v>1442</v>
      </c>
      <c r="AA712" s="273">
        <f t="shared" si="83"/>
        <v>3.448</v>
      </c>
      <c r="AB712" s="273">
        <f t="shared" si="84"/>
        <v>3.448</v>
      </c>
      <c r="AC712" s="156">
        <f t="shared" si="85"/>
        <v>1000</v>
      </c>
      <c r="AD712" s="274">
        <f t="shared" si="86"/>
        <v>3448</v>
      </c>
      <c r="AE712" s="274">
        <f t="shared" si="87"/>
        <v>3448</v>
      </c>
      <c r="AF712" s="337"/>
    </row>
    <row r="713" spans="1:32">
      <c r="A713" s="337" t="s">
        <v>1523</v>
      </c>
      <c r="B713" s="146" t="s">
        <v>1</v>
      </c>
      <c r="C713" s="155" t="s">
        <v>1512</v>
      </c>
      <c r="D713" s="147"/>
      <c r="E713" s="148" t="s">
        <v>1503</v>
      </c>
      <c r="F713" s="147" t="s">
        <v>106</v>
      </c>
      <c r="G713" s="147" t="s">
        <v>1429</v>
      </c>
      <c r="H713" s="147">
        <v>70</v>
      </c>
      <c r="I713" s="149">
        <f t="shared" si="81"/>
        <v>70</v>
      </c>
      <c r="J713" s="147"/>
      <c r="K713" s="336" t="s">
        <v>1511</v>
      </c>
      <c r="L713" s="147">
        <v>100</v>
      </c>
      <c r="M713" s="147" t="s">
        <v>9</v>
      </c>
      <c r="N713" s="147"/>
      <c r="O713" s="147" t="s">
        <v>98</v>
      </c>
      <c r="P713" s="147">
        <v>1000</v>
      </c>
      <c r="Q713" s="150">
        <f t="shared" si="82"/>
        <v>0</v>
      </c>
      <c r="R713" s="151"/>
      <c r="S713" s="152">
        <v>3844</v>
      </c>
      <c r="T713" s="158">
        <v>3844</v>
      </c>
      <c r="U713" s="153"/>
      <c r="V713" s="154"/>
      <c r="W713" s="154"/>
      <c r="X713" s="155"/>
      <c r="Y713" s="155" t="s">
        <v>1394</v>
      </c>
      <c r="Z713" s="155" t="s">
        <v>1442</v>
      </c>
      <c r="AA713" s="273">
        <f t="shared" si="83"/>
        <v>3.8439999999999999</v>
      </c>
      <c r="AB713" s="273">
        <f t="shared" si="84"/>
        <v>3.8439999999999999</v>
      </c>
      <c r="AC713" s="156">
        <f t="shared" si="85"/>
        <v>1000</v>
      </c>
      <c r="AD713" s="274">
        <f t="shared" si="86"/>
        <v>3844</v>
      </c>
      <c r="AE713" s="274">
        <f t="shared" si="87"/>
        <v>3844</v>
      </c>
      <c r="AF713" s="337"/>
    </row>
    <row r="714" spans="1:32">
      <c r="A714" s="337" t="s">
        <v>1523</v>
      </c>
      <c r="B714" s="146" t="s">
        <v>1</v>
      </c>
      <c r="C714" s="155" t="s">
        <v>1512</v>
      </c>
      <c r="D714" s="147"/>
      <c r="E714" s="148" t="s">
        <v>1467</v>
      </c>
      <c r="F714" s="147" t="s">
        <v>106</v>
      </c>
      <c r="G714" s="147" t="s">
        <v>1429</v>
      </c>
      <c r="H714" s="147">
        <v>7</v>
      </c>
      <c r="I714" s="149">
        <f t="shared" si="81"/>
        <v>7</v>
      </c>
      <c r="J714" s="147"/>
      <c r="K714" s="336" t="s">
        <v>57</v>
      </c>
      <c r="L714" s="147">
        <v>100</v>
      </c>
      <c r="M714" s="147" t="s">
        <v>9</v>
      </c>
      <c r="N714" s="147"/>
      <c r="O714" s="147" t="s">
        <v>98</v>
      </c>
      <c r="P714" s="147">
        <v>1000</v>
      </c>
      <c r="Q714" s="150">
        <f t="shared" si="82"/>
        <v>0</v>
      </c>
      <c r="R714" s="151"/>
      <c r="S714" s="152">
        <v>1000</v>
      </c>
      <c r="T714" s="158">
        <v>1000</v>
      </c>
      <c r="U714" s="153"/>
      <c r="V714" s="154"/>
      <c r="W714" s="154"/>
      <c r="X714" s="155"/>
      <c r="Y714" s="155" t="s">
        <v>1394</v>
      </c>
      <c r="Z714" s="155" t="s">
        <v>1442</v>
      </c>
      <c r="AA714" s="273">
        <f t="shared" si="83"/>
        <v>1</v>
      </c>
      <c r="AB714" s="273">
        <f t="shared" si="84"/>
        <v>1</v>
      </c>
      <c r="AC714" s="156">
        <f t="shared" si="85"/>
        <v>1000</v>
      </c>
      <c r="AD714" s="274">
        <f t="shared" si="86"/>
        <v>1000</v>
      </c>
      <c r="AE714" s="274">
        <f t="shared" si="87"/>
        <v>1000</v>
      </c>
      <c r="AF714" s="337"/>
    </row>
    <row r="715" spans="1:32">
      <c r="A715" s="337" t="s">
        <v>1523</v>
      </c>
      <c r="B715" s="146" t="s">
        <v>1</v>
      </c>
      <c r="C715" s="155" t="s">
        <v>1512</v>
      </c>
      <c r="D715" s="147"/>
      <c r="E715" s="148" t="s">
        <v>1467</v>
      </c>
      <c r="F715" s="147" t="s">
        <v>106</v>
      </c>
      <c r="G715" s="147" t="s">
        <v>1429</v>
      </c>
      <c r="H715" s="147">
        <v>8</v>
      </c>
      <c r="I715" s="149">
        <f t="shared" si="81"/>
        <v>8</v>
      </c>
      <c r="J715" s="147"/>
      <c r="K715" s="336" t="s">
        <v>55</v>
      </c>
      <c r="L715" s="147">
        <v>100</v>
      </c>
      <c r="M715" s="147" t="s">
        <v>9</v>
      </c>
      <c r="N715" s="147"/>
      <c r="O715" s="147" t="s">
        <v>98</v>
      </c>
      <c r="P715" s="147">
        <v>1000</v>
      </c>
      <c r="Q715" s="150">
        <f t="shared" si="82"/>
        <v>0</v>
      </c>
      <c r="R715" s="151"/>
      <c r="S715" s="152">
        <v>1267</v>
      </c>
      <c r="T715" s="158">
        <v>1267</v>
      </c>
      <c r="U715" s="153"/>
      <c r="V715" s="154"/>
      <c r="W715" s="154"/>
      <c r="X715" s="155"/>
      <c r="Y715" s="155" t="s">
        <v>1394</v>
      </c>
      <c r="Z715" s="155" t="s">
        <v>1442</v>
      </c>
      <c r="AA715" s="273">
        <f t="shared" si="83"/>
        <v>1.2669999999999999</v>
      </c>
      <c r="AB715" s="273">
        <f t="shared" si="84"/>
        <v>1.2669999999999999</v>
      </c>
      <c r="AC715" s="156">
        <f t="shared" si="85"/>
        <v>1000</v>
      </c>
      <c r="AD715" s="274">
        <f t="shared" si="86"/>
        <v>1267</v>
      </c>
      <c r="AE715" s="274">
        <f t="shared" si="87"/>
        <v>1267</v>
      </c>
      <c r="AF715" s="337"/>
    </row>
    <row r="716" spans="1:32">
      <c r="A716" s="337" t="s">
        <v>1523</v>
      </c>
      <c r="B716" s="146" t="s">
        <v>1</v>
      </c>
      <c r="C716" s="155" t="s">
        <v>1512</v>
      </c>
      <c r="D716" s="147"/>
      <c r="E716" s="148" t="s">
        <v>1467</v>
      </c>
      <c r="F716" s="147" t="s">
        <v>106</v>
      </c>
      <c r="G716" s="147" t="s">
        <v>1429</v>
      </c>
      <c r="H716" s="147">
        <v>17</v>
      </c>
      <c r="I716" s="149">
        <f t="shared" si="81"/>
        <v>17</v>
      </c>
      <c r="J716" s="147"/>
      <c r="K716" s="336" t="s">
        <v>53</v>
      </c>
      <c r="L716" s="147">
        <v>100</v>
      </c>
      <c r="M716" s="147" t="s">
        <v>9</v>
      </c>
      <c r="N716" s="147"/>
      <c r="O716" s="147" t="s">
        <v>98</v>
      </c>
      <c r="P716" s="147">
        <v>1000</v>
      </c>
      <c r="Q716" s="150">
        <f t="shared" si="82"/>
        <v>0</v>
      </c>
      <c r="R716" s="151"/>
      <c r="S716" s="152">
        <v>2368</v>
      </c>
      <c r="T716" s="158">
        <v>2368</v>
      </c>
      <c r="U716" s="153"/>
      <c r="V716" s="154"/>
      <c r="W716" s="154"/>
      <c r="X716" s="155"/>
      <c r="Y716" s="155" t="s">
        <v>1394</v>
      </c>
      <c r="Z716" s="155" t="s">
        <v>1442</v>
      </c>
      <c r="AA716" s="273">
        <f t="shared" si="83"/>
        <v>2.3679999999999999</v>
      </c>
      <c r="AB716" s="273">
        <f t="shared" si="84"/>
        <v>2.3679999999999999</v>
      </c>
      <c r="AC716" s="156">
        <f t="shared" si="85"/>
        <v>1000</v>
      </c>
      <c r="AD716" s="274">
        <f t="shared" si="86"/>
        <v>2368</v>
      </c>
      <c r="AE716" s="274">
        <f t="shared" si="87"/>
        <v>2368</v>
      </c>
      <c r="AF716" s="337"/>
    </row>
    <row r="717" spans="1:32">
      <c r="A717" s="337" t="s">
        <v>1523</v>
      </c>
      <c r="B717" s="146" t="s">
        <v>1</v>
      </c>
      <c r="C717" s="155" t="s">
        <v>1512</v>
      </c>
      <c r="D717" s="147"/>
      <c r="E717" s="148" t="s">
        <v>1467</v>
      </c>
      <c r="F717" s="147" t="s">
        <v>106</v>
      </c>
      <c r="G717" s="147" t="s">
        <v>1429</v>
      </c>
      <c r="H717" s="147">
        <v>22</v>
      </c>
      <c r="I717" s="149">
        <f t="shared" si="81"/>
        <v>22</v>
      </c>
      <c r="J717" s="147"/>
      <c r="K717" s="336" t="s">
        <v>51</v>
      </c>
      <c r="L717" s="147">
        <v>100</v>
      </c>
      <c r="M717" s="147" t="s">
        <v>9</v>
      </c>
      <c r="N717" s="147"/>
      <c r="O717" s="147" t="s">
        <v>98</v>
      </c>
      <c r="P717" s="147">
        <v>1000</v>
      </c>
      <c r="Q717" s="150">
        <f t="shared" si="82"/>
        <v>0</v>
      </c>
      <c r="R717" s="151"/>
      <c r="S717" s="152">
        <v>5000</v>
      </c>
      <c r="T717" s="158">
        <v>5000</v>
      </c>
      <c r="U717" s="153"/>
      <c r="V717" s="154"/>
      <c r="W717" s="154"/>
      <c r="X717" s="155"/>
      <c r="Y717" s="155" t="s">
        <v>1394</v>
      </c>
      <c r="Z717" s="155" t="s">
        <v>1442</v>
      </c>
      <c r="AA717" s="273">
        <f t="shared" si="83"/>
        <v>5</v>
      </c>
      <c r="AB717" s="273">
        <f t="shared" si="84"/>
        <v>5</v>
      </c>
      <c r="AC717" s="156">
        <f t="shared" si="85"/>
        <v>1000</v>
      </c>
      <c r="AD717" s="274">
        <f t="shared" si="86"/>
        <v>5000</v>
      </c>
      <c r="AE717" s="274">
        <f t="shared" si="87"/>
        <v>5000</v>
      </c>
      <c r="AF717" s="337"/>
    </row>
    <row r="718" spans="1:32">
      <c r="A718" s="337" t="s">
        <v>1523</v>
      </c>
      <c r="B718" s="146" t="s">
        <v>1</v>
      </c>
      <c r="C718" s="155" t="s">
        <v>1512</v>
      </c>
      <c r="D718" s="147"/>
      <c r="E718" s="148" t="s">
        <v>1467</v>
      </c>
      <c r="F718" s="147" t="s">
        <v>106</v>
      </c>
      <c r="G718" s="147" t="s">
        <v>1429</v>
      </c>
      <c r="H718" s="147">
        <v>33</v>
      </c>
      <c r="I718" s="149">
        <f t="shared" si="81"/>
        <v>33</v>
      </c>
      <c r="J718" s="147"/>
      <c r="K718" s="336" t="s">
        <v>59</v>
      </c>
      <c r="L718" s="147">
        <v>100</v>
      </c>
      <c r="M718" s="147" t="s">
        <v>9</v>
      </c>
      <c r="N718" s="147"/>
      <c r="O718" s="147" t="s">
        <v>98</v>
      </c>
      <c r="P718" s="147">
        <v>1000</v>
      </c>
      <c r="Q718" s="150">
        <f t="shared" si="82"/>
        <v>0</v>
      </c>
      <c r="R718" s="151"/>
      <c r="S718" s="152">
        <v>3677</v>
      </c>
      <c r="T718" s="158">
        <v>3677</v>
      </c>
      <c r="U718" s="153"/>
      <c r="V718" s="154"/>
      <c r="W718" s="154"/>
      <c r="X718" s="155"/>
      <c r="Y718" s="155" t="s">
        <v>1394</v>
      </c>
      <c r="Z718" s="155" t="s">
        <v>1442</v>
      </c>
      <c r="AA718" s="273">
        <f t="shared" si="83"/>
        <v>3.677</v>
      </c>
      <c r="AB718" s="273">
        <f t="shared" si="84"/>
        <v>3.677</v>
      </c>
      <c r="AC718" s="156">
        <f t="shared" si="85"/>
        <v>1000</v>
      </c>
      <c r="AD718" s="274">
        <f t="shared" si="86"/>
        <v>3677</v>
      </c>
      <c r="AE718" s="274">
        <f t="shared" si="87"/>
        <v>3677</v>
      </c>
      <c r="AF718" s="337"/>
    </row>
    <row r="719" spans="1:32">
      <c r="A719" s="337" t="s">
        <v>1523</v>
      </c>
      <c r="B719" s="146" t="s">
        <v>1</v>
      </c>
      <c r="C719" s="155" t="s">
        <v>1512</v>
      </c>
      <c r="D719" s="147"/>
      <c r="E719" s="148" t="s">
        <v>1467</v>
      </c>
      <c r="F719" s="147" t="s">
        <v>106</v>
      </c>
      <c r="G719" s="147" t="s">
        <v>1429</v>
      </c>
      <c r="H719" s="147">
        <v>42</v>
      </c>
      <c r="I719" s="149">
        <f t="shared" si="81"/>
        <v>42</v>
      </c>
      <c r="J719" s="147"/>
      <c r="K719" s="336" t="s">
        <v>61</v>
      </c>
      <c r="L719" s="147">
        <v>100</v>
      </c>
      <c r="M719" s="147" t="s">
        <v>9</v>
      </c>
      <c r="N719" s="147"/>
      <c r="O719" s="147" t="s">
        <v>98</v>
      </c>
      <c r="P719" s="147">
        <v>1000</v>
      </c>
      <c r="Q719" s="150">
        <f t="shared" si="82"/>
        <v>0</v>
      </c>
      <c r="R719" s="151"/>
      <c r="S719" s="152">
        <v>3541</v>
      </c>
      <c r="T719" s="158">
        <v>3541</v>
      </c>
      <c r="U719" s="153"/>
      <c r="V719" s="154"/>
      <c r="W719" s="154"/>
      <c r="X719" s="155"/>
      <c r="Y719" s="155" t="s">
        <v>1394</v>
      </c>
      <c r="Z719" s="155" t="s">
        <v>1442</v>
      </c>
      <c r="AA719" s="273">
        <f t="shared" si="83"/>
        <v>3.5409999999999999</v>
      </c>
      <c r="AB719" s="273">
        <f t="shared" si="84"/>
        <v>3.5409999999999999</v>
      </c>
      <c r="AC719" s="156">
        <f t="shared" si="85"/>
        <v>1000</v>
      </c>
      <c r="AD719" s="274">
        <f t="shared" si="86"/>
        <v>3541</v>
      </c>
      <c r="AE719" s="274">
        <f t="shared" si="87"/>
        <v>3541</v>
      </c>
      <c r="AF719" s="337"/>
    </row>
    <row r="720" spans="1:32">
      <c r="A720" s="337" t="s">
        <v>1523</v>
      </c>
      <c r="B720" s="146" t="s">
        <v>1</v>
      </c>
      <c r="C720" s="155" t="s">
        <v>1512</v>
      </c>
      <c r="D720" s="147"/>
      <c r="E720" s="148" t="s">
        <v>1467</v>
      </c>
      <c r="F720" s="147" t="s">
        <v>106</v>
      </c>
      <c r="G720" s="147" t="s">
        <v>1429</v>
      </c>
      <c r="H720" s="147">
        <v>43</v>
      </c>
      <c r="I720" s="149">
        <f t="shared" si="81"/>
        <v>43</v>
      </c>
      <c r="J720" s="147"/>
      <c r="K720" s="336" t="s">
        <v>1504</v>
      </c>
      <c r="L720" s="147">
        <v>100</v>
      </c>
      <c r="M720" s="147" t="s">
        <v>9</v>
      </c>
      <c r="N720" s="147"/>
      <c r="O720" s="147" t="s">
        <v>98</v>
      </c>
      <c r="P720" s="147">
        <v>1000</v>
      </c>
      <c r="Q720" s="150">
        <f t="shared" si="82"/>
        <v>0</v>
      </c>
      <c r="R720" s="151"/>
      <c r="S720" s="152">
        <v>1501</v>
      </c>
      <c r="T720" s="158">
        <v>1501</v>
      </c>
      <c r="U720" s="153"/>
      <c r="V720" s="154"/>
      <c r="W720" s="154"/>
      <c r="X720" s="155"/>
      <c r="Y720" s="155" t="s">
        <v>1394</v>
      </c>
      <c r="Z720" s="155" t="s">
        <v>1442</v>
      </c>
      <c r="AA720" s="273">
        <f t="shared" si="83"/>
        <v>1.5009999999999999</v>
      </c>
      <c r="AB720" s="273">
        <f t="shared" si="84"/>
        <v>1.5009999999999999</v>
      </c>
      <c r="AC720" s="156">
        <f t="shared" si="85"/>
        <v>1000</v>
      </c>
      <c r="AD720" s="274">
        <f t="shared" si="86"/>
        <v>1501</v>
      </c>
      <c r="AE720" s="274">
        <f t="shared" si="87"/>
        <v>1501</v>
      </c>
      <c r="AF720" s="337"/>
    </row>
    <row r="721" spans="1:32">
      <c r="A721" s="337" t="s">
        <v>1523</v>
      </c>
      <c r="B721" s="146" t="s">
        <v>1</v>
      </c>
      <c r="C721" s="155" t="s">
        <v>1512</v>
      </c>
      <c r="D721" s="147"/>
      <c r="E721" s="148" t="s">
        <v>1467</v>
      </c>
      <c r="F721" s="147" t="s">
        <v>106</v>
      </c>
      <c r="G721" s="147" t="s">
        <v>1429</v>
      </c>
      <c r="H721" s="147">
        <v>46</v>
      </c>
      <c r="I721" s="149">
        <f t="shared" si="81"/>
        <v>46</v>
      </c>
      <c r="J721" s="147"/>
      <c r="K721" s="336" t="s">
        <v>1506</v>
      </c>
      <c r="L721" s="147">
        <v>100</v>
      </c>
      <c r="M721" s="147" t="s">
        <v>9</v>
      </c>
      <c r="N721" s="147"/>
      <c r="O721" s="147" t="s">
        <v>98</v>
      </c>
      <c r="P721" s="147">
        <v>1000</v>
      </c>
      <c r="Q721" s="150">
        <f t="shared" si="82"/>
        <v>0</v>
      </c>
      <c r="R721" s="151"/>
      <c r="S721" s="152">
        <v>3035</v>
      </c>
      <c r="T721" s="158">
        <v>3035</v>
      </c>
      <c r="U721" s="153"/>
      <c r="V721" s="154"/>
      <c r="W721" s="154"/>
      <c r="X721" s="155"/>
      <c r="Y721" s="155" t="s">
        <v>1394</v>
      </c>
      <c r="Z721" s="155" t="s">
        <v>1442</v>
      </c>
      <c r="AA721" s="273">
        <f t="shared" si="83"/>
        <v>3.0350000000000001</v>
      </c>
      <c r="AB721" s="273">
        <f t="shared" si="84"/>
        <v>3.0350000000000001</v>
      </c>
      <c r="AC721" s="156">
        <f t="shared" si="85"/>
        <v>1000</v>
      </c>
      <c r="AD721" s="274">
        <f t="shared" si="86"/>
        <v>3035</v>
      </c>
      <c r="AE721" s="274">
        <f t="shared" si="87"/>
        <v>3035</v>
      </c>
      <c r="AF721" s="337"/>
    </row>
    <row r="722" spans="1:32">
      <c r="A722" s="337" t="s">
        <v>1523</v>
      </c>
      <c r="B722" s="146" t="s">
        <v>1</v>
      </c>
      <c r="C722" s="155" t="s">
        <v>1512</v>
      </c>
      <c r="D722" s="147"/>
      <c r="E722" s="148" t="s">
        <v>1467</v>
      </c>
      <c r="F722" s="147" t="s">
        <v>106</v>
      </c>
      <c r="G722" s="147" t="s">
        <v>1429</v>
      </c>
      <c r="H722" s="147">
        <v>46</v>
      </c>
      <c r="I722" s="149">
        <f t="shared" si="81"/>
        <v>46</v>
      </c>
      <c r="J722" s="147"/>
      <c r="K722" s="336" t="s">
        <v>1507</v>
      </c>
      <c r="L722" s="147">
        <v>100</v>
      </c>
      <c r="M722" s="147" t="s">
        <v>9</v>
      </c>
      <c r="N722" s="147"/>
      <c r="O722" s="147" t="s">
        <v>98</v>
      </c>
      <c r="P722" s="147">
        <v>1000</v>
      </c>
      <c r="Q722" s="150">
        <f t="shared" si="82"/>
        <v>0</v>
      </c>
      <c r="R722" s="151"/>
      <c r="S722" s="152">
        <v>5216</v>
      </c>
      <c r="T722" s="158">
        <v>5216</v>
      </c>
      <c r="U722" s="153"/>
      <c r="V722" s="154"/>
      <c r="W722" s="154"/>
      <c r="X722" s="155"/>
      <c r="Y722" s="155" t="s">
        <v>1394</v>
      </c>
      <c r="Z722" s="155" t="s">
        <v>1442</v>
      </c>
      <c r="AA722" s="273">
        <f t="shared" si="83"/>
        <v>5.2160000000000002</v>
      </c>
      <c r="AB722" s="273">
        <f t="shared" si="84"/>
        <v>5.2160000000000002</v>
      </c>
      <c r="AC722" s="156">
        <f t="shared" si="85"/>
        <v>1000</v>
      </c>
      <c r="AD722" s="274">
        <f t="shared" si="86"/>
        <v>5216</v>
      </c>
      <c r="AE722" s="274">
        <f t="shared" si="87"/>
        <v>5216</v>
      </c>
      <c r="AF722" s="337"/>
    </row>
    <row r="723" spans="1:32">
      <c r="A723" s="337" t="s">
        <v>1523</v>
      </c>
      <c r="B723" s="146" t="s">
        <v>1</v>
      </c>
      <c r="C723" s="155" t="s">
        <v>1512</v>
      </c>
      <c r="D723" s="147"/>
      <c r="E723" s="148" t="s">
        <v>1467</v>
      </c>
      <c r="F723" s="147" t="s">
        <v>106</v>
      </c>
      <c r="G723" s="147" t="s">
        <v>1429</v>
      </c>
      <c r="H723" s="147">
        <v>46</v>
      </c>
      <c r="I723" s="149">
        <f t="shared" si="81"/>
        <v>46</v>
      </c>
      <c r="J723" s="147"/>
      <c r="K723" s="336" t="s">
        <v>1508</v>
      </c>
      <c r="L723" s="147">
        <v>100</v>
      </c>
      <c r="M723" s="147" t="s">
        <v>9</v>
      </c>
      <c r="N723" s="147"/>
      <c r="O723" s="147" t="s">
        <v>98</v>
      </c>
      <c r="P723" s="147">
        <v>1000</v>
      </c>
      <c r="Q723" s="150">
        <f t="shared" si="82"/>
        <v>0</v>
      </c>
      <c r="R723" s="151"/>
      <c r="S723" s="152">
        <v>5317</v>
      </c>
      <c r="T723" s="158">
        <v>5317</v>
      </c>
      <c r="U723" s="153"/>
      <c r="V723" s="154"/>
      <c r="W723" s="154"/>
      <c r="X723" s="155"/>
      <c r="Y723" s="155" t="s">
        <v>1394</v>
      </c>
      <c r="Z723" s="155" t="s">
        <v>1442</v>
      </c>
      <c r="AA723" s="273">
        <f t="shared" si="83"/>
        <v>5.3170000000000002</v>
      </c>
      <c r="AB723" s="273">
        <f t="shared" si="84"/>
        <v>5.3170000000000002</v>
      </c>
      <c r="AC723" s="156">
        <f t="shared" si="85"/>
        <v>1000</v>
      </c>
      <c r="AD723" s="274">
        <f t="shared" si="86"/>
        <v>5317</v>
      </c>
      <c r="AE723" s="274">
        <f t="shared" si="87"/>
        <v>5317</v>
      </c>
      <c r="AF723" s="337"/>
    </row>
    <row r="724" spans="1:32">
      <c r="A724" s="337" t="s">
        <v>1523</v>
      </c>
      <c r="B724" s="146" t="s">
        <v>1</v>
      </c>
      <c r="C724" s="155" t="s">
        <v>1512</v>
      </c>
      <c r="D724" s="147"/>
      <c r="E724" s="148" t="s">
        <v>1467</v>
      </c>
      <c r="F724" s="147" t="s">
        <v>106</v>
      </c>
      <c r="G724" s="147" t="s">
        <v>1429</v>
      </c>
      <c r="H724" s="147">
        <v>59</v>
      </c>
      <c r="I724" s="149">
        <f t="shared" si="81"/>
        <v>59</v>
      </c>
      <c r="J724" s="147"/>
      <c r="K724" s="336" t="s">
        <v>99</v>
      </c>
      <c r="L724" s="147">
        <v>100</v>
      </c>
      <c r="M724" s="147" t="s">
        <v>9</v>
      </c>
      <c r="N724" s="147"/>
      <c r="O724" s="147" t="s">
        <v>98</v>
      </c>
      <c r="P724" s="147">
        <v>1000</v>
      </c>
      <c r="Q724" s="150">
        <f t="shared" si="82"/>
        <v>0</v>
      </c>
      <c r="R724" s="151"/>
      <c r="S724" s="152">
        <v>2494</v>
      </c>
      <c r="T724" s="158">
        <v>2494</v>
      </c>
      <c r="U724" s="153"/>
      <c r="V724" s="154"/>
      <c r="W724" s="154"/>
      <c r="X724" s="155"/>
      <c r="Y724" s="155" t="s">
        <v>1394</v>
      </c>
      <c r="Z724" s="155" t="s">
        <v>1442</v>
      </c>
      <c r="AA724" s="273">
        <f t="shared" si="83"/>
        <v>2.4940000000000002</v>
      </c>
      <c r="AB724" s="273">
        <f t="shared" si="84"/>
        <v>2.4940000000000002</v>
      </c>
      <c r="AC724" s="156">
        <f t="shared" si="85"/>
        <v>1000</v>
      </c>
      <c r="AD724" s="274">
        <f t="shared" si="86"/>
        <v>2494</v>
      </c>
      <c r="AE724" s="274">
        <f t="shared" si="87"/>
        <v>2494</v>
      </c>
      <c r="AF724" s="337"/>
    </row>
    <row r="725" spans="1:32">
      <c r="A725" s="337" t="s">
        <v>1523</v>
      </c>
      <c r="B725" s="146" t="s">
        <v>1</v>
      </c>
      <c r="C725" s="155" t="s">
        <v>1512</v>
      </c>
      <c r="D725" s="147"/>
      <c r="E725" s="148" t="s">
        <v>1467</v>
      </c>
      <c r="F725" s="147" t="s">
        <v>106</v>
      </c>
      <c r="G725" s="147" t="s">
        <v>1429</v>
      </c>
      <c r="H725" s="147">
        <v>69</v>
      </c>
      <c r="I725" s="149">
        <f t="shared" ref="I725:I783" si="88">IF(AND(F725="SI",J725&lt;&gt;"",J725&lt;&gt;"NA"),CONCATENATE(H725,"_",J725),IF(F725="SI",H725,CONCATENATE(" REGISTRO COTIZACION NO EVALUADA: ",H725)))</f>
        <v>69</v>
      </c>
      <c r="J725" s="147"/>
      <c r="K725" s="336" t="s">
        <v>1509</v>
      </c>
      <c r="L725" s="147">
        <v>100</v>
      </c>
      <c r="M725" s="147" t="s">
        <v>9</v>
      </c>
      <c r="N725" s="147"/>
      <c r="O725" s="147" t="s">
        <v>98</v>
      </c>
      <c r="P725" s="147">
        <v>1000</v>
      </c>
      <c r="Q725" s="150">
        <f t="shared" ref="Q725:Q783" si="89">(T725-S725)/S725</f>
        <v>0</v>
      </c>
      <c r="R725" s="151"/>
      <c r="S725" s="152">
        <v>3596</v>
      </c>
      <c r="T725" s="158">
        <v>3596</v>
      </c>
      <c r="U725" s="153"/>
      <c r="V725" s="154"/>
      <c r="W725" s="154"/>
      <c r="X725" s="155"/>
      <c r="Y725" s="155" t="s">
        <v>1394</v>
      </c>
      <c r="Z725" s="155" t="s">
        <v>1442</v>
      </c>
      <c r="AA725" s="273">
        <f t="shared" ref="AA725:AA783" si="90">S725/P725</f>
        <v>3.5960000000000001</v>
      </c>
      <c r="AB725" s="273">
        <f t="shared" ref="AB725:AB783" si="91">T725/P725</f>
        <v>3.5960000000000001</v>
      </c>
      <c r="AC725" s="156">
        <f t="shared" ref="AC725:AC783" si="92">P725</f>
        <v>1000</v>
      </c>
      <c r="AD725" s="274">
        <f t="shared" ref="AD725:AD783" si="93">AA725*AC725</f>
        <v>3596</v>
      </c>
      <c r="AE725" s="274">
        <f t="shared" si="87"/>
        <v>3596</v>
      </c>
      <c r="AF725" s="337"/>
    </row>
    <row r="726" spans="1:32">
      <c r="A726" s="337" t="s">
        <v>1523</v>
      </c>
      <c r="B726" s="146" t="s">
        <v>1</v>
      </c>
      <c r="C726" s="155" t="s">
        <v>1512</v>
      </c>
      <c r="D726" s="147"/>
      <c r="E726" s="148" t="s">
        <v>1467</v>
      </c>
      <c r="F726" s="147" t="s">
        <v>106</v>
      </c>
      <c r="G726" s="147" t="s">
        <v>1429</v>
      </c>
      <c r="H726" s="147">
        <v>70</v>
      </c>
      <c r="I726" s="149">
        <f t="shared" si="88"/>
        <v>70</v>
      </c>
      <c r="J726" s="147"/>
      <c r="K726" s="336" t="s">
        <v>1510</v>
      </c>
      <c r="L726" s="147">
        <v>100</v>
      </c>
      <c r="M726" s="147" t="s">
        <v>9</v>
      </c>
      <c r="N726" s="147"/>
      <c r="O726" s="147" t="s">
        <v>98</v>
      </c>
      <c r="P726" s="147">
        <v>1000</v>
      </c>
      <c r="Q726" s="150">
        <f t="shared" si="89"/>
        <v>0</v>
      </c>
      <c r="R726" s="151"/>
      <c r="S726" s="152">
        <v>4363</v>
      </c>
      <c r="T726" s="158">
        <v>4363</v>
      </c>
      <c r="U726" s="153"/>
      <c r="V726" s="154"/>
      <c r="W726" s="154"/>
      <c r="X726" s="155"/>
      <c r="Y726" s="155" t="s">
        <v>1394</v>
      </c>
      <c r="Z726" s="155" t="s">
        <v>1442</v>
      </c>
      <c r="AA726" s="273">
        <f t="shared" si="90"/>
        <v>4.3630000000000004</v>
      </c>
      <c r="AB726" s="273">
        <f t="shared" si="91"/>
        <v>4.3630000000000004</v>
      </c>
      <c r="AC726" s="156">
        <f t="shared" si="92"/>
        <v>1000</v>
      </c>
      <c r="AD726" s="274">
        <f t="shared" si="93"/>
        <v>4363</v>
      </c>
      <c r="AE726" s="274">
        <f t="shared" si="87"/>
        <v>4363</v>
      </c>
      <c r="AF726" s="337"/>
    </row>
    <row r="727" spans="1:32">
      <c r="A727" s="337" t="s">
        <v>1523</v>
      </c>
      <c r="B727" s="146" t="s">
        <v>1</v>
      </c>
      <c r="C727" s="155" t="s">
        <v>1512</v>
      </c>
      <c r="D727" s="147"/>
      <c r="E727" s="148" t="s">
        <v>1467</v>
      </c>
      <c r="F727" s="147" t="s">
        <v>106</v>
      </c>
      <c r="G727" s="147" t="s">
        <v>1429</v>
      </c>
      <c r="H727" s="147">
        <v>70</v>
      </c>
      <c r="I727" s="149">
        <f t="shared" si="88"/>
        <v>70</v>
      </c>
      <c r="J727" s="147"/>
      <c r="K727" s="336" t="s">
        <v>1511</v>
      </c>
      <c r="L727" s="147">
        <v>100</v>
      </c>
      <c r="M727" s="147" t="s">
        <v>9</v>
      </c>
      <c r="N727" s="147"/>
      <c r="O727" s="147" t="s">
        <v>98</v>
      </c>
      <c r="P727" s="147">
        <v>1000</v>
      </c>
      <c r="Q727" s="150">
        <f t="shared" si="89"/>
        <v>0</v>
      </c>
      <c r="R727" s="151"/>
      <c r="S727" s="152">
        <v>4394</v>
      </c>
      <c r="T727" s="158">
        <v>4394</v>
      </c>
      <c r="U727" s="153"/>
      <c r="V727" s="154"/>
      <c r="W727" s="154"/>
      <c r="X727" s="155"/>
      <c r="Y727" s="155" t="s">
        <v>1394</v>
      </c>
      <c r="Z727" s="155" t="s">
        <v>1442</v>
      </c>
      <c r="AA727" s="273">
        <f t="shared" si="90"/>
        <v>4.3940000000000001</v>
      </c>
      <c r="AB727" s="273">
        <f t="shared" si="91"/>
        <v>4.3940000000000001</v>
      </c>
      <c r="AC727" s="156">
        <f t="shared" si="92"/>
        <v>1000</v>
      </c>
      <c r="AD727" s="274">
        <f t="shared" si="93"/>
        <v>4394</v>
      </c>
      <c r="AE727" s="274">
        <f t="shared" si="87"/>
        <v>4394</v>
      </c>
      <c r="AF727" s="337"/>
    </row>
    <row r="728" spans="1:32">
      <c r="A728" s="337" t="s">
        <v>1523</v>
      </c>
      <c r="B728" s="146" t="s">
        <v>1</v>
      </c>
      <c r="C728" s="155" t="s">
        <v>1512</v>
      </c>
      <c r="D728" s="147"/>
      <c r="E728" s="148" t="s">
        <v>1468</v>
      </c>
      <c r="F728" s="147" t="s">
        <v>106</v>
      </c>
      <c r="G728" s="147" t="s">
        <v>1429</v>
      </c>
      <c r="H728" s="147">
        <v>7</v>
      </c>
      <c r="I728" s="149">
        <f t="shared" si="88"/>
        <v>7</v>
      </c>
      <c r="J728" s="147"/>
      <c r="K728" s="336" t="s">
        <v>57</v>
      </c>
      <c r="L728" s="147">
        <v>100</v>
      </c>
      <c r="M728" s="147" t="s">
        <v>9</v>
      </c>
      <c r="N728" s="147"/>
      <c r="O728" s="147" t="s">
        <v>98</v>
      </c>
      <c r="P728" s="147">
        <v>1000</v>
      </c>
      <c r="Q728" s="150">
        <f t="shared" si="89"/>
        <v>0</v>
      </c>
      <c r="R728" s="151"/>
      <c r="S728" s="152">
        <v>1000</v>
      </c>
      <c r="T728" s="158">
        <v>1000</v>
      </c>
      <c r="U728" s="153"/>
      <c r="V728" s="154"/>
      <c r="W728" s="154"/>
      <c r="X728" s="155"/>
      <c r="Y728" s="155" t="s">
        <v>1394</v>
      </c>
      <c r="Z728" s="155" t="s">
        <v>1442</v>
      </c>
      <c r="AA728" s="273">
        <f t="shared" si="90"/>
        <v>1</v>
      </c>
      <c r="AB728" s="273">
        <f t="shared" si="91"/>
        <v>1</v>
      </c>
      <c r="AC728" s="156">
        <f t="shared" si="92"/>
        <v>1000</v>
      </c>
      <c r="AD728" s="274">
        <f t="shared" si="93"/>
        <v>1000</v>
      </c>
      <c r="AE728" s="274">
        <f t="shared" si="87"/>
        <v>1000</v>
      </c>
      <c r="AF728" s="337"/>
    </row>
    <row r="729" spans="1:32">
      <c r="A729" s="337" t="s">
        <v>1523</v>
      </c>
      <c r="B729" s="146" t="s">
        <v>1</v>
      </c>
      <c r="C729" s="155" t="s">
        <v>1512</v>
      </c>
      <c r="D729" s="147"/>
      <c r="E729" s="148" t="s">
        <v>1468</v>
      </c>
      <c r="F729" s="147" t="s">
        <v>106</v>
      </c>
      <c r="G729" s="147" t="s">
        <v>1429</v>
      </c>
      <c r="H729" s="147">
        <v>8</v>
      </c>
      <c r="I729" s="149">
        <f t="shared" si="88"/>
        <v>8</v>
      </c>
      <c r="J729" s="147"/>
      <c r="K729" s="336" t="s">
        <v>55</v>
      </c>
      <c r="L729" s="147">
        <v>100</v>
      </c>
      <c r="M729" s="147" t="s">
        <v>9</v>
      </c>
      <c r="N729" s="147"/>
      <c r="O729" s="147" t="s">
        <v>98</v>
      </c>
      <c r="P729" s="147">
        <v>1000</v>
      </c>
      <c r="Q729" s="150">
        <f t="shared" si="89"/>
        <v>0</v>
      </c>
      <c r="R729" s="151"/>
      <c r="S729" s="152">
        <v>1254</v>
      </c>
      <c r="T729" s="158">
        <v>1254</v>
      </c>
      <c r="U729" s="153"/>
      <c r="V729" s="154"/>
      <c r="W729" s="154"/>
      <c r="X729" s="155"/>
      <c r="Y729" s="155" t="s">
        <v>1394</v>
      </c>
      <c r="Z729" s="155" t="s">
        <v>1442</v>
      </c>
      <c r="AA729" s="273">
        <f t="shared" si="90"/>
        <v>1.254</v>
      </c>
      <c r="AB729" s="273">
        <f t="shared" si="91"/>
        <v>1.254</v>
      </c>
      <c r="AC729" s="156">
        <f t="shared" si="92"/>
        <v>1000</v>
      </c>
      <c r="AD729" s="274">
        <f t="shared" si="93"/>
        <v>1254</v>
      </c>
      <c r="AE729" s="274">
        <f t="shared" si="87"/>
        <v>1254</v>
      </c>
      <c r="AF729" s="337"/>
    </row>
    <row r="730" spans="1:32">
      <c r="A730" s="337" t="s">
        <v>1523</v>
      </c>
      <c r="B730" s="146" t="s">
        <v>1</v>
      </c>
      <c r="C730" s="155" t="s">
        <v>1512</v>
      </c>
      <c r="D730" s="147"/>
      <c r="E730" s="148" t="s">
        <v>1468</v>
      </c>
      <c r="F730" s="147" t="s">
        <v>106</v>
      </c>
      <c r="G730" s="147" t="s">
        <v>1429</v>
      </c>
      <c r="H730" s="147">
        <v>17</v>
      </c>
      <c r="I730" s="149">
        <f t="shared" si="88"/>
        <v>17</v>
      </c>
      <c r="J730" s="147"/>
      <c r="K730" s="336" t="s">
        <v>53</v>
      </c>
      <c r="L730" s="147">
        <v>100</v>
      </c>
      <c r="M730" s="147" t="s">
        <v>9</v>
      </c>
      <c r="N730" s="147"/>
      <c r="O730" s="147" t="s">
        <v>98</v>
      </c>
      <c r="P730" s="147">
        <v>1000</v>
      </c>
      <c r="Q730" s="150">
        <f t="shared" si="89"/>
        <v>0</v>
      </c>
      <c r="R730" s="151"/>
      <c r="S730" s="152">
        <v>2489</v>
      </c>
      <c r="T730" s="158">
        <v>2489</v>
      </c>
      <c r="U730" s="153"/>
      <c r="V730" s="154"/>
      <c r="W730" s="154"/>
      <c r="X730" s="155"/>
      <c r="Y730" s="155" t="s">
        <v>1394</v>
      </c>
      <c r="Z730" s="155" t="s">
        <v>1442</v>
      </c>
      <c r="AA730" s="273">
        <f t="shared" si="90"/>
        <v>2.4889999999999999</v>
      </c>
      <c r="AB730" s="273">
        <f t="shared" si="91"/>
        <v>2.4889999999999999</v>
      </c>
      <c r="AC730" s="156">
        <f t="shared" si="92"/>
        <v>1000</v>
      </c>
      <c r="AD730" s="274">
        <f t="shared" si="93"/>
        <v>2489</v>
      </c>
      <c r="AE730" s="274">
        <f t="shared" si="87"/>
        <v>2489</v>
      </c>
      <c r="AF730" s="337"/>
    </row>
    <row r="731" spans="1:32">
      <c r="A731" s="337" t="s">
        <v>1523</v>
      </c>
      <c r="B731" s="146" t="s">
        <v>1</v>
      </c>
      <c r="C731" s="155" t="s">
        <v>1512</v>
      </c>
      <c r="D731" s="147"/>
      <c r="E731" s="148" t="s">
        <v>1468</v>
      </c>
      <c r="F731" s="147" t="s">
        <v>106</v>
      </c>
      <c r="G731" s="147" t="s">
        <v>1429</v>
      </c>
      <c r="H731" s="147">
        <v>22</v>
      </c>
      <c r="I731" s="149">
        <f t="shared" si="88"/>
        <v>22</v>
      </c>
      <c r="J731" s="147"/>
      <c r="K731" s="336" t="s">
        <v>51</v>
      </c>
      <c r="L731" s="147">
        <v>100</v>
      </c>
      <c r="M731" s="147" t="s">
        <v>9</v>
      </c>
      <c r="N731" s="147"/>
      <c r="O731" s="147" t="s">
        <v>98</v>
      </c>
      <c r="P731" s="147">
        <v>1000</v>
      </c>
      <c r="Q731" s="150">
        <f t="shared" si="89"/>
        <v>0</v>
      </c>
      <c r="R731" s="151"/>
      <c r="S731" s="152">
        <v>5000</v>
      </c>
      <c r="T731" s="158">
        <v>5000</v>
      </c>
      <c r="U731" s="153"/>
      <c r="V731" s="154"/>
      <c r="W731" s="154"/>
      <c r="X731" s="155"/>
      <c r="Y731" s="155" t="s">
        <v>1394</v>
      </c>
      <c r="Z731" s="155" t="s">
        <v>1442</v>
      </c>
      <c r="AA731" s="273">
        <f t="shared" si="90"/>
        <v>5</v>
      </c>
      <c r="AB731" s="273">
        <f t="shared" si="91"/>
        <v>5</v>
      </c>
      <c r="AC731" s="156">
        <f t="shared" si="92"/>
        <v>1000</v>
      </c>
      <c r="AD731" s="274">
        <f t="shared" si="93"/>
        <v>5000</v>
      </c>
      <c r="AE731" s="274">
        <f t="shared" si="87"/>
        <v>5000</v>
      </c>
      <c r="AF731" s="337"/>
    </row>
    <row r="732" spans="1:32">
      <c r="A732" s="337" t="s">
        <v>1523</v>
      </c>
      <c r="B732" s="146" t="s">
        <v>1</v>
      </c>
      <c r="C732" s="155" t="s">
        <v>1512</v>
      </c>
      <c r="D732" s="147"/>
      <c r="E732" s="148" t="s">
        <v>1468</v>
      </c>
      <c r="F732" s="147" t="s">
        <v>106</v>
      </c>
      <c r="G732" s="147" t="s">
        <v>1429</v>
      </c>
      <c r="H732" s="147">
        <v>33</v>
      </c>
      <c r="I732" s="149">
        <f t="shared" si="88"/>
        <v>33</v>
      </c>
      <c r="J732" s="147"/>
      <c r="K732" s="336" t="s">
        <v>59</v>
      </c>
      <c r="L732" s="147">
        <v>100</v>
      </c>
      <c r="M732" s="147" t="s">
        <v>9</v>
      </c>
      <c r="N732" s="147"/>
      <c r="O732" s="147" t="s">
        <v>98</v>
      </c>
      <c r="P732" s="147">
        <v>1000</v>
      </c>
      <c r="Q732" s="150">
        <f t="shared" si="89"/>
        <v>0</v>
      </c>
      <c r="R732" s="151"/>
      <c r="S732" s="152">
        <v>4298</v>
      </c>
      <c r="T732" s="158">
        <v>4298</v>
      </c>
      <c r="U732" s="153"/>
      <c r="V732" s="154"/>
      <c r="W732" s="154"/>
      <c r="X732" s="155"/>
      <c r="Y732" s="155" t="s">
        <v>1394</v>
      </c>
      <c r="Z732" s="155" t="s">
        <v>1442</v>
      </c>
      <c r="AA732" s="273">
        <f t="shared" si="90"/>
        <v>4.298</v>
      </c>
      <c r="AB732" s="273">
        <f t="shared" si="91"/>
        <v>4.298</v>
      </c>
      <c r="AC732" s="156">
        <f t="shared" si="92"/>
        <v>1000</v>
      </c>
      <c r="AD732" s="274">
        <f t="shared" si="93"/>
        <v>4298</v>
      </c>
      <c r="AE732" s="274">
        <f t="shared" si="87"/>
        <v>4298</v>
      </c>
      <c r="AF732" s="337"/>
    </row>
    <row r="733" spans="1:32">
      <c r="A733" s="337" t="s">
        <v>1523</v>
      </c>
      <c r="B733" s="146" t="s">
        <v>1</v>
      </c>
      <c r="C733" s="155" t="s">
        <v>1512</v>
      </c>
      <c r="D733" s="147"/>
      <c r="E733" s="148" t="s">
        <v>1468</v>
      </c>
      <c r="F733" s="147" t="s">
        <v>106</v>
      </c>
      <c r="G733" s="147" t="s">
        <v>1429</v>
      </c>
      <c r="H733" s="147">
        <v>42</v>
      </c>
      <c r="I733" s="149">
        <f t="shared" si="88"/>
        <v>42</v>
      </c>
      <c r="J733" s="147"/>
      <c r="K733" s="336" t="s">
        <v>61</v>
      </c>
      <c r="L733" s="147">
        <v>100</v>
      </c>
      <c r="M733" s="147" t="s">
        <v>9</v>
      </c>
      <c r="N733" s="147"/>
      <c r="O733" s="147" t="s">
        <v>98</v>
      </c>
      <c r="P733" s="147">
        <v>1000</v>
      </c>
      <c r="Q733" s="150">
        <f t="shared" si="89"/>
        <v>0</v>
      </c>
      <c r="R733" s="151"/>
      <c r="S733" s="152">
        <v>3687</v>
      </c>
      <c r="T733" s="158">
        <v>3687</v>
      </c>
      <c r="U733" s="153"/>
      <c r="V733" s="154"/>
      <c r="W733" s="154"/>
      <c r="X733" s="155"/>
      <c r="Y733" s="155" t="s">
        <v>1394</v>
      </c>
      <c r="Z733" s="155" t="s">
        <v>1442</v>
      </c>
      <c r="AA733" s="273">
        <f t="shared" si="90"/>
        <v>3.6869999999999998</v>
      </c>
      <c r="AB733" s="273">
        <f t="shared" si="91"/>
        <v>3.6869999999999998</v>
      </c>
      <c r="AC733" s="156">
        <f t="shared" si="92"/>
        <v>1000</v>
      </c>
      <c r="AD733" s="274">
        <f t="shared" si="93"/>
        <v>3687</v>
      </c>
      <c r="AE733" s="274">
        <f t="shared" si="87"/>
        <v>3687</v>
      </c>
      <c r="AF733" s="337"/>
    </row>
    <row r="734" spans="1:32">
      <c r="A734" s="337" t="s">
        <v>1523</v>
      </c>
      <c r="B734" s="146" t="s">
        <v>1</v>
      </c>
      <c r="C734" s="155" t="s">
        <v>1512</v>
      </c>
      <c r="D734" s="147"/>
      <c r="E734" s="148" t="s">
        <v>1468</v>
      </c>
      <c r="F734" s="147" t="s">
        <v>106</v>
      </c>
      <c r="G734" s="147" t="s">
        <v>1429</v>
      </c>
      <c r="H734" s="147">
        <v>43</v>
      </c>
      <c r="I734" s="149">
        <f t="shared" si="88"/>
        <v>43</v>
      </c>
      <c r="J734" s="147"/>
      <c r="K734" s="336" t="s">
        <v>1504</v>
      </c>
      <c r="L734" s="147">
        <v>100</v>
      </c>
      <c r="M734" s="147" t="s">
        <v>9</v>
      </c>
      <c r="N734" s="147"/>
      <c r="O734" s="147" t="s">
        <v>98</v>
      </c>
      <c r="P734" s="147">
        <v>1000</v>
      </c>
      <c r="Q734" s="150">
        <f t="shared" si="89"/>
        <v>0</v>
      </c>
      <c r="R734" s="151"/>
      <c r="S734" s="152">
        <v>1603</v>
      </c>
      <c r="T734" s="158">
        <v>1603</v>
      </c>
      <c r="U734" s="153"/>
      <c r="V734" s="154"/>
      <c r="W734" s="154"/>
      <c r="X734" s="155"/>
      <c r="Y734" s="155" t="s">
        <v>1394</v>
      </c>
      <c r="Z734" s="155" t="s">
        <v>1442</v>
      </c>
      <c r="AA734" s="273">
        <f t="shared" si="90"/>
        <v>1.603</v>
      </c>
      <c r="AB734" s="273">
        <f t="shared" si="91"/>
        <v>1.603</v>
      </c>
      <c r="AC734" s="156">
        <f t="shared" si="92"/>
        <v>1000</v>
      </c>
      <c r="AD734" s="274">
        <f t="shared" si="93"/>
        <v>1603</v>
      </c>
      <c r="AE734" s="274">
        <f t="shared" si="87"/>
        <v>1603</v>
      </c>
      <c r="AF734" s="337"/>
    </row>
    <row r="735" spans="1:32">
      <c r="A735" s="337" t="s">
        <v>1523</v>
      </c>
      <c r="B735" s="146" t="s">
        <v>1</v>
      </c>
      <c r="C735" s="155" t="s">
        <v>1512</v>
      </c>
      <c r="D735" s="147"/>
      <c r="E735" s="148" t="s">
        <v>1468</v>
      </c>
      <c r="F735" s="147" t="s">
        <v>106</v>
      </c>
      <c r="G735" s="147" t="s">
        <v>1429</v>
      </c>
      <c r="H735" s="147">
        <v>46</v>
      </c>
      <c r="I735" s="149">
        <f t="shared" si="88"/>
        <v>46</v>
      </c>
      <c r="J735" s="147"/>
      <c r="K735" s="336" t="s">
        <v>1506</v>
      </c>
      <c r="L735" s="147">
        <v>100</v>
      </c>
      <c r="M735" s="147" t="s">
        <v>9</v>
      </c>
      <c r="N735" s="147"/>
      <c r="O735" s="147" t="s">
        <v>98</v>
      </c>
      <c r="P735" s="147">
        <v>1000</v>
      </c>
      <c r="Q735" s="150">
        <f t="shared" si="89"/>
        <v>0</v>
      </c>
      <c r="R735" s="151"/>
      <c r="S735" s="152">
        <v>3014</v>
      </c>
      <c r="T735" s="158">
        <v>3014</v>
      </c>
      <c r="U735" s="153"/>
      <c r="V735" s="154"/>
      <c r="W735" s="154"/>
      <c r="X735" s="155"/>
      <c r="Y735" s="155" t="s">
        <v>1394</v>
      </c>
      <c r="Z735" s="155" t="s">
        <v>1442</v>
      </c>
      <c r="AA735" s="273">
        <f t="shared" si="90"/>
        <v>3.0139999999999998</v>
      </c>
      <c r="AB735" s="273">
        <f t="shared" si="91"/>
        <v>3.0139999999999998</v>
      </c>
      <c r="AC735" s="156">
        <f t="shared" si="92"/>
        <v>1000</v>
      </c>
      <c r="AD735" s="274">
        <f t="shared" si="93"/>
        <v>3014</v>
      </c>
      <c r="AE735" s="274">
        <f t="shared" si="87"/>
        <v>3014</v>
      </c>
      <c r="AF735" s="337"/>
    </row>
    <row r="736" spans="1:32">
      <c r="A736" s="337" t="s">
        <v>1523</v>
      </c>
      <c r="B736" s="146" t="s">
        <v>1</v>
      </c>
      <c r="C736" s="155" t="s">
        <v>1512</v>
      </c>
      <c r="D736" s="147"/>
      <c r="E736" s="148" t="s">
        <v>1468</v>
      </c>
      <c r="F736" s="147" t="s">
        <v>106</v>
      </c>
      <c r="G736" s="147" t="s">
        <v>1429</v>
      </c>
      <c r="H736" s="147">
        <v>46</v>
      </c>
      <c r="I736" s="149">
        <f t="shared" si="88"/>
        <v>46</v>
      </c>
      <c r="J736" s="147"/>
      <c r="K736" s="336" t="s">
        <v>1507</v>
      </c>
      <c r="L736" s="147">
        <v>100</v>
      </c>
      <c r="M736" s="147" t="s">
        <v>9</v>
      </c>
      <c r="N736" s="147"/>
      <c r="O736" s="147" t="s">
        <v>98</v>
      </c>
      <c r="P736" s="147">
        <v>1000</v>
      </c>
      <c r="Q736" s="150">
        <f t="shared" si="89"/>
        <v>0</v>
      </c>
      <c r="R736" s="151"/>
      <c r="S736" s="152">
        <v>5256</v>
      </c>
      <c r="T736" s="158">
        <v>5256</v>
      </c>
      <c r="U736" s="153"/>
      <c r="V736" s="154"/>
      <c r="W736" s="154"/>
      <c r="X736" s="155"/>
      <c r="Y736" s="155" t="s">
        <v>1394</v>
      </c>
      <c r="Z736" s="155" t="s">
        <v>1442</v>
      </c>
      <c r="AA736" s="273">
        <f t="shared" si="90"/>
        <v>5.2560000000000002</v>
      </c>
      <c r="AB736" s="273">
        <f t="shared" si="91"/>
        <v>5.2560000000000002</v>
      </c>
      <c r="AC736" s="156">
        <f t="shared" si="92"/>
        <v>1000</v>
      </c>
      <c r="AD736" s="274">
        <f t="shared" si="93"/>
        <v>5256</v>
      </c>
      <c r="AE736" s="274">
        <f t="shared" si="87"/>
        <v>5256</v>
      </c>
      <c r="AF736" s="337"/>
    </row>
    <row r="737" spans="1:32">
      <c r="A737" s="337" t="s">
        <v>1523</v>
      </c>
      <c r="B737" s="146" t="s">
        <v>1</v>
      </c>
      <c r="C737" s="155" t="s">
        <v>1512</v>
      </c>
      <c r="D737" s="147"/>
      <c r="E737" s="148" t="s">
        <v>1468</v>
      </c>
      <c r="F737" s="147" t="s">
        <v>106</v>
      </c>
      <c r="G737" s="147" t="s">
        <v>1429</v>
      </c>
      <c r="H737" s="147">
        <v>46</v>
      </c>
      <c r="I737" s="149">
        <f t="shared" si="88"/>
        <v>46</v>
      </c>
      <c r="J737" s="147"/>
      <c r="K737" s="336" t="s">
        <v>1508</v>
      </c>
      <c r="L737" s="147">
        <v>100</v>
      </c>
      <c r="M737" s="147" t="s">
        <v>9</v>
      </c>
      <c r="N737" s="147"/>
      <c r="O737" s="147" t="s">
        <v>98</v>
      </c>
      <c r="P737" s="147">
        <v>1000</v>
      </c>
      <c r="Q737" s="150">
        <f t="shared" si="89"/>
        <v>0</v>
      </c>
      <c r="R737" s="151"/>
      <c r="S737" s="152">
        <v>5294</v>
      </c>
      <c r="T737" s="158">
        <v>5294</v>
      </c>
      <c r="U737" s="153"/>
      <c r="V737" s="154"/>
      <c r="W737" s="154"/>
      <c r="X737" s="155"/>
      <c r="Y737" s="155" t="s">
        <v>1394</v>
      </c>
      <c r="Z737" s="155" t="s">
        <v>1442</v>
      </c>
      <c r="AA737" s="273">
        <f t="shared" si="90"/>
        <v>5.2939999999999996</v>
      </c>
      <c r="AB737" s="273">
        <f t="shared" si="91"/>
        <v>5.2939999999999996</v>
      </c>
      <c r="AC737" s="156">
        <f t="shared" si="92"/>
        <v>1000</v>
      </c>
      <c r="AD737" s="274">
        <f t="shared" si="93"/>
        <v>5294</v>
      </c>
      <c r="AE737" s="274">
        <f t="shared" si="87"/>
        <v>5294</v>
      </c>
      <c r="AF737" s="337"/>
    </row>
    <row r="738" spans="1:32">
      <c r="A738" s="337" t="s">
        <v>1523</v>
      </c>
      <c r="B738" s="146" t="s">
        <v>1</v>
      </c>
      <c r="C738" s="155" t="s">
        <v>1512</v>
      </c>
      <c r="D738" s="147"/>
      <c r="E738" s="148" t="s">
        <v>1468</v>
      </c>
      <c r="F738" s="147" t="s">
        <v>106</v>
      </c>
      <c r="G738" s="147" t="s">
        <v>1429</v>
      </c>
      <c r="H738" s="147">
        <v>59</v>
      </c>
      <c r="I738" s="149">
        <f t="shared" si="88"/>
        <v>59</v>
      </c>
      <c r="J738" s="147"/>
      <c r="K738" s="336" t="s">
        <v>99</v>
      </c>
      <c r="L738" s="147">
        <v>100</v>
      </c>
      <c r="M738" s="147" t="s">
        <v>9</v>
      </c>
      <c r="N738" s="147"/>
      <c r="O738" s="147" t="s">
        <v>98</v>
      </c>
      <c r="P738" s="147">
        <v>1000</v>
      </c>
      <c r="Q738" s="150">
        <f t="shared" si="89"/>
        <v>0</v>
      </c>
      <c r="R738" s="151"/>
      <c r="S738" s="152">
        <v>2507</v>
      </c>
      <c r="T738" s="158">
        <v>2507</v>
      </c>
      <c r="U738" s="153"/>
      <c r="V738" s="154"/>
      <c r="W738" s="154"/>
      <c r="X738" s="155"/>
      <c r="Y738" s="155" t="s">
        <v>1394</v>
      </c>
      <c r="Z738" s="155" t="s">
        <v>1442</v>
      </c>
      <c r="AA738" s="273">
        <f t="shared" si="90"/>
        <v>2.5070000000000001</v>
      </c>
      <c r="AB738" s="273">
        <f t="shared" si="91"/>
        <v>2.5070000000000001</v>
      </c>
      <c r="AC738" s="156">
        <f t="shared" si="92"/>
        <v>1000</v>
      </c>
      <c r="AD738" s="274">
        <f t="shared" si="93"/>
        <v>2507</v>
      </c>
      <c r="AE738" s="274">
        <f t="shared" si="87"/>
        <v>2507</v>
      </c>
      <c r="AF738" s="337"/>
    </row>
    <row r="739" spans="1:32">
      <c r="A739" s="337" t="s">
        <v>1523</v>
      </c>
      <c r="B739" s="146" t="s">
        <v>1</v>
      </c>
      <c r="C739" s="155" t="s">
        <v>1512</v>
      </c>
      <c r="D739" s="147"/>
      <c r="E739" s="148" t="s">
        <v>1468</v>
      </c>
      <c r="F739" s="147" t="s">
        <v>106</v>
      </c>
      <c r="G739" s="147" t="s">
        <v>1429</v>
      </c>
      <c r="H739" s="147">
        <v>69</v>
      </c>
      <c r="I739" s="149">
        <f t="shared" si="88"/>
        <v>69</v>
      </c>
      <c r="J739" s="147"/>
      <c r="K739" s="336" t="s">
        <v>1509</v>
      </c>
      <c r="L739" s="147">
        <v>100</v>
      </c>
      <c r="M739" s="147" t="s">
        <v>9</v>
      </c>
      <c r="N739" s="147"/>
      <c r="O739" s="147" t="s">
        <v>98</v>
      </c>
      <c r="P739" s="147">
        <v>1000</v>
      </c>
      <c r="Q739" s="150">
        <f t="shared" si="89"/>
        <v>0</v>
      </c>
      <c r="R739" s="151"/>
      <c r="S739" s="152">
        <v>3576</v>
      </c>
      <c r="T739" s="158">
        <v>3576</v>
      </c>
      <c r="U739" s="153"/>
      <c r="V739" s="154"/>
      <c r="W739" s="154"/>
      <c r="X739" s="155"/>
      <c r="Y739" s="155" t="s">
        <v>1394</v>
      </c>
      <c r="Z739" s="155" t="s">
        <v>1442</v>
      </c>
      <c r="AA739" s="273">
        <f t="shared" si="90"/>
        <v>3.5760000000000001</v>
      </c>
      <c r="AB739" s="273">
        <f t="shared" si="91"/>
        <v>3.5760000000000001</v>
      </c>
      <c r="AC739" s="156">
        <f t="shared" si="92"/>
        <v>1000</v>
      </c>
      <c r="AD739" s="274">
        <f t="shared" si="93"/>
        <v>3576</v>
      </c>
      <c r="AE739" s="274">
        <f t="shared" si="87"/>
        <v>3576</v>
      </c>
      <c r="AF739" s="337"/>
    </row>
    <row r="740" spans="1:32">
      <c r="A740" s="337" t="s">
        <v>1523</v>
      </c>
      <c r="B740" s="146" t="s">
        <v>1</v>
      </c>
      <c r="C740" s="155" t="s">
        <v>1512</v>
      </c>
      <c r="D740" s="147"/>
      <c r="E740" s="148" t="s">
        <v>1468</v>
      </c>
      <c r="F740" s="147" t="s">
        <v>106</v>
      </c>
      <c r="G740" s="147" t="s">
        <v>1429</v>
      </c>
      <c r="H740" s="147">
        <v>70</v>
      </c>
      <c r="I740" s="149">
        <f t="shared" si="88"/>
        <v>70</v>
      </c>
      <c r="J740" s="147"/>
      <c r="K740" s="336" t="s">
        <v>1510</v>
      </c>
      <c r="L740" s="147">
        <v>100</v>
      </c>
      <c r="M740" s="147" t="s">
        <v>9</v>
      </c>
      <c r="N740" s="147"/>
      <c r="O740" s="147" t="s">
        <v>98</v>
      </c>
      <c r="P740" s="147">
        <v>1000</v>
      </c>
      <c r="Q740" s="150">
        <f t="shared" si="89"/>
        <v>0</v>
      </c>
      <c r="R740" s="151"/>
      <c r="S740" s="152">
        <v>4333</v>
      </c>
      <c r="T740" s="158">
        <v>4333</v>
      </c>
      <c r="U740" s="153"/>
      <c r="V740" s="154"/>
      <c r="W740" s="154"/>
      <c r="X740" s="155"/>
      <c r="Y740" s="155" t="s">
        <v>1394</v>
      </c>
      <c r="Z740" s="155" t="s">
        <v>1442</v>
      </c>
      <c r="AA740" s="273">
        <f t="shared" si="90"/>
        <v>4.3330000000000002</v>
      </c>
      <c r="AB740" s="273">
        <f t="shared" si="91"/>
        <v>4.3330000000000002</v>
      </c>
      <c r="AC740" s="156">
        <f t="shared" si="92"/>
        <v>1000</v>
      </c>
      <c r="AD740" s="274">
        <f t="shared" si="93"/>
        <v>4333</v>
      </c>
      <c r="AE740" s="274">
        <f t="shared" si="87"/>
        <v>4333</v>
      </c>
      <c r="AF740" s="337"/>
    </row>
    <row r="741" spans="1:32">
      <c r="A741" s="337" t="s">
        <v>1523</v>
      </c>
      <c r="B741" s="146" t="s">
        <v>1</v>
      </c>
      <c r="C741" s="155" t="s">
        <v>1512</v>
      </c>
      <c r="D741" s="147"/>
      <c r="E741" s="148" t="s">
        <v>1468</v>
      </c>
      <c r="F741" s="147" t="s">
        <v>106</v>
      </c>
      <c r="G741" s="147" t="s">
        <v>1429</v>
      </c>
      <c r="H741" s="147">
        <v>70</v>
      </c>
      <c r="I741" s="149">
        <f t="shared" si="88"/>
        <v>70</v>
      </c>
      <c r="J741" s="147"/>
      <c r="K741" s="336" t="s">
        <v>1511</v>
      </c>
      <c r="L741" s="147">
        <v>100</v>
      </c>
      <c r="M741" s="147" t="s">
        <v>9</v>
      </c>
      <c r="N741" s="147"/>
      <c r="O741" s="147" t="s">
        <v>98</v>
      </c>
      <c r="P741" s="147">
        <v>1000</v>
      </c>
      <c r="Q741" s="150">
        <f t="shared" si="89"/>
        <v>0</v>
      </c>
      <c r="R741" s="151"/>
      <c r="S741" s="152">
        <v>4300</v>
      </c>
      <c r="T741" s="158">
        <v>4300</v>
      </c>
      <c r="U741" s="153"/>
      <c r="V741" s="154"/>
      <c r="W741" s="154"/>
      <c r="X741" s="155"/>
      <c r="Y741" s="155" t="s">
        <v>1394</v>
      </c>
      <c r="Z741" s="155" t="s">
        <v>1442</v>
      </c>
      <c r="AA741" s="273">
        <f t="shared" si="90"/>
        <v>4.3</v>
      </c>
      <c r="AB741" s="273">
        <f t="shared" si="91"/>
        <v>4.3</v>
      </c>
      <c r="AC741" s="156">
        <f t="shared" si="92"/>
        <v>1000</v>
      </c>
      <c r="AD741" s="274">
        <f t="shared" si="93"/>
        <v>4300</v>
      </c>
      <c r="AE741" s="274">
        <f t="shared" si="87"/>
        <v>4300</v>
      </c>
      <c r="AF741" s="337"/>
    </row>
    <row r="742" spans="1:32">
      <c r="A742" s="337" t="s">
        <v>1523</v>
      </c>
      <c r="B742" s="146" t="s">
        <v>1</v>
      </c>
      <c r="C742" s="155" t="s">
        <v>1512</v>
      </c>
      <c r="D742" s="147"/>
      <c r="E742" s="148" t="s">
        <v>1469</v>
      </c>
      <c r="F742" s="147" t="s">
        <v>106</v>
      </c>
      <c r="G742" s="147" t="s">
        <v>1429</v>
      </c>
      <c r="H742" s="147">
        <v>7</v>
      </c>
      <c r="I742" s="149">
        <f t="shared" si="88"/>
        <v>7</v>
      </c>
      <c r="J742" s="147"/>
      <c r="K742" s="336" t="s">
        <v>57</v>
      </c>
      <c r="L742" s="147">
        <v>100</v>
      </c>
      <c r="M742" s="147" t="s">
        <v>9</v>
      </c>
      <c r="N742" s="147"/>
      <c r="O742" s="147" t="s">
        <v>98</v>
      </c>
      <c r="P742" s="147">
        <v>1000</v>
      </c>
      <c r="Q742" s="150">
        <f t="shared" si="89"/>
        <v>0</v>
      </c>
      <c r="R742" s="151"/>
      <c r="S742" s="152">
        <v>1000</v>
      </c>
      <c r="T742" s="158">
        <v>1000</v>
      </c>
      <c r="U742" s="153"/>
      <c r="V742" s="154"/>
      <c r="W742" s="154"/>
      <c r="X742" s="155"/>
      <c r="Y742" s="155" t="s">
        <v>1394</v>
      </c>
      <c r="Z742" s="155" t="s">
        <v>1442</v>
      </c>
      <c r="AA742" s="273">
        <f t="shared" si="90"/>
        <v>1</v>
      </c>
      <c r="AB742" s="273">
        <f t="shared" si="91"/>
        <v>1</v>
      </c>
      <c r="AC742" s="156">
        <f t="shared" si="92"/>
        <v>1000</v>
      </c>
      <c r="AD742" s="274">
        <f t="shared" si="93"/>
        <v>1000</v>
      </c>
      <c r="AE742" s="274">
        <f t="shared" si="87"/>
        <v>1000</v>
      </c>
      <c r="AF742" s="337"/>
    </row>
    <row r="743" spans="1:32">
      <c r="A743" s="337" t="s">
        <v>1523</v>
      </c>
      <c r="B743" s="146" t="s">
        <v>1</v>
      </c>
      <c r="C743" s="155" t="s">
        <v>1512</v>
      </c>
      <c r="D743" s="147"/>
      <c r="E743" s="148" t="s">
        <v>1469</v>
      </c>
      <c r="F743" s="147" t="s">
        <v>106</v>
      </c>
      <c r="G743" s="147" t="s">
        <v>1429</v>
      </c>
      <c r="H743" s="147">
        <v>8</v>
      </c>
      <c r="I743" s="149">
        <f t="shared" si="88"/>
        <v>8</v>
      </c>
      <c r="J743" s="147"/>
      <c r="K743" s="336" t="s">
        <v>55</v>
      </c>
      <c r="L743" s="147">
        <v>100</v>
      </c>
      <c r="M743" s="147" t="s">
        <v>9</v>
      </c>
      <c r="N743" s="147"/>
      <c r="O743" s="147" t="s">
        <v>98</v>
      </c>
      <c r="P743" s="147">
        <v>1000</v>
      </c>
      <c r="Q743" s="150">
        <f t="shared" si="89"/>
        <v>0</v>
      </c>
      <c r="R743" s="151"/>
      <c r="S743" s="152">
        <v>1250</v>
      </c>
      <c r="T743" s="158">
        <v>1250</v>
      </c>
      <c r="U743" s="153"/>
      <c r="V743" s="154"/>
      <c r="W743" s="154"/>
      <c r="X743" s="155"/>
      <c r="Y743" s="155" t="s">
        <v>1394</v>
      </c>
      <c r="Z743" s="155" t="s">
        <v>1442</v>
      </c>
      <c r="AA743" s="273">
        <f t="shared" si="90"/>
        <v>1.25</v>
      </c>
      <c r="AB743" s="273">
        <f t="shared" si="91"/>
        <v>1.25</v>
      </c>
      <c r="AC743" s="156">
        <f t="shared" si="92"/>
        <v>1000</v>
      </c>
      <c r="AD743" s="274">
        <f t="shared" si="93"/>
        <v>1250</v>
      </c>
      <c r="AE743" s="274">
        <f t="shared" si="87"/>
        <v>1250</v>
      </c>
      <c r="AF743" s="337"/>
    </row>
    <row r="744" spans="1:32">
      <c r="A744" s="337" t="s">
        <v>1523</v>
      </c>
      <c r="B744" s="146" t="s">
        <v>1</v>
      </c>
      <c r="C744" s="155" t="s">
        <v>1512</v>
      </c>
      <c r="D744" s="147"/>
      <c r="E744" s="148" t="s">
        <v>1469</v>
      </c>
      <c r="F744" s="147" t="s">
        <v>106</v>
      </c>
      <c r="G744" s="147" t="s">
        <v>1429</v>
      </c>
      <c r="H744" s="147">
        <v>17</v>
      </c>
      <c r="I744" s="149">
        <f t="shared" si="88"/>
        <v>17</v>
      </c>
      <c r="J744" s="147"/>
      <c r="K744" s="336" t="s">
        <v>53</v>
      </c>
      <c r="L744" s="147">
        <v>100</v>
      </c>
      <c r="M744" s="147" t="s">
        <v>9</v>
      </c>
      <c r="N744" s="147"/>
      <c r="O744" s="147" t="s">
        <v>98</v>
      </c>
      <c r="P744" s="147">
        <v>1000</v>
      </c>
      <c r="Q744" s="150">
        <f t="shared" si="89"/>
        <v>0</v>
      </c>
      <c r="R744" s="151"/>
      <c r="S744" s="152">
        <v>2221</v>
      </c>
      <c r="T744" s="158">
        <v>2221</v>
      </c>
      <c r="U744" s="153"/>
      <c r="V744" s="154"/>
      <c r="W744" s="154"/>
      <c r="X744" s="155"/>
      <c r="Y744" s="155" t="s">
        <v>1394</v>
      </c>
      <c r="Z744" s="155" t="s">
        <v>1442</v>
      </c>
      <c r="AA744" s="273">
        <f t="shared" si="90"/>
        <v>2.2210000000000001</v>
      </c>
      <c r="AB744" s="273">
        <f t="shared" si="91"/>
        <v>2.2210000000000001</v>
      </c>
      <c r="AC744" s="156">
        <f t="shared" si="92"/>
        <v>1000</v>
      </c>
      <c r="AD744" s="274">
        <f t="shared" si="93"/>
        <v>2221</v>
      </c>
      <c r="AE744" s="274">
        <f t="shared" si="87"/>
        <v>2221</v>
      </c>
      <c r="AF744" s="337"/>
    </row>
    <row r="745" spans="1:32">
      <c r="A745" s="337" t="s">
        <v>1523</v>
      </c>
      <c r="B745" s="146" t="s">
        <v>1</v>
      </c>
      <c r="C745" s="155" t="s">
        <v>1512</v>
      </c>
      <c r="D745" s="147"/>
      <c r="E745" s="148" t="s">
        <v>1469</v>
      </c>
      <c r="F745" s="147" t="s">
        <v>106</v>
      </c>
      <c r="G745" s="147" t="s">
        <v>1429</v>
      </c>
      <c r="H745" s="147">
        <v>22</v>
      </c>
      <c r="I745" s="149">
        <f t="shared" si="88"/>
        <v>22</v>
      </c>
      <c r="J745" s="147"/>
      <c r="K745" s="336" t="s">
        <v>51</v>
      </c>
      <c r="L745" s="147">
        <v>100</v>
      </c>
      <c r="M745" s="147" t="s">
        <v>9</v>
      </c>
      <c r="N745" s="147"/>
      <c r="O745" s="147" t="s">
        <v>98</v>
      </c>
      <c r="P745" s="147">
        <v>1000</v>
      </c>
      <c r="Q745" s="150">
        <f t="shared" si="89"/>
        <v>0</v>
      </c>
      <c r="R745" s="151"/>
      <c r="S745" s="152">
        <v>4936</v>
      </c>
      <c r="T745" s="158">
        <v>4936</v>
      </c>
      <c r="U745" s="153"/>
      <c r="V745" s="154"/>
      <c r="W745" s="154"/>
      <c r="X745" s="155"/>
      <c r="Y745" s="155" t="s">
        <v>1394</v>
      </c>
      <c r="Z745" s="155" t="s">
        <v>1442</v>
      </c>
      <c r="AA745" s="273">
        <f t="shared" si="90"/>
        <v>4.9359999999999999</v>
      </c>
      <c r="AB745" s="273">
        <f t="shared" si="91"/>
        <v>4.9359999999999999</v>
      </c>
      <c r="AC745" s="156">
        <f t="shared" si="92"/>
        <v>1000</v>
      </c>
      <c r="AD745" s="274">
        <f t="shared" si="93"/>
        <v>4936</v>
      </c>
      <c r="AE745" s="274">
        <f t="shared" si="87"/>
        <v>4936</v>
      </c>
      <c r="AF745" s="337"/>
    </row>
    <row r="746" spans="1:32">
      <c r="A746" s="337" t="s">
        <v>1523</v>
      </c>
      <c r="B746" s="146" t="s">
        <v>1</v>
      </c>
      <c r="C746" s="155" t="s">
        <v>1512</v>
      </c>
      <c r="D746" s="147"/>
      <c r="E746" s="148" t="s">
        <v>1469</v>
      </c>
      <c r="F746" s="147" t="s">
        <v>106</v>
      </c>
      <c r="G746" s="147" t="s">
        <v>1429</v>
      </c>
      <c r="H746" s="147">
        <v>33</v>
      </c>
      <c r="I746" s="149">
        <f t="shared" si="88"/>
        <v>33</v>
      </c>
      <c r="J746" s="147"/>
      <c r="K746" s="336" t="s">
        <v>59</v>
      </c>
      <c r="L746" s="147">
        <v>100</v>
      </c>
      <c r="M746" s="147" t="s">
        <v>9</v>
      </c>
      <c r="N746" s="147"/>
      <c r="O746" s="147" t="s">
        <v>98</v>
      </c>
      <c r="P746" s="147">
        <v>1000</v>
      </c>
      <c r="Q746" s="150">
        <f t="shared" si="89"/>
        <v>0</v>
      </c>
      <c r="R746" s="151"/>
      <c r="S746" s="152">
        <v>4641</v>
      </c>
      <c r="T746" s="158">
        <v>4641</v>
      </c>
      <c r="U746" s="153"/>
      <c r="V746" s="154"/>
      <c r="W746" s="154"/>
      <c r="X746" s="155"/>
      <c r="Y746" s="155" t="s">
        <v>1394</v>
      </c>
      <c r="Z746" s="155" t="s">
        <v>1442</v>
      </c>
      <c r="AA746" s="273">
        <f t="shared" si="90"/>
        <v>4.641</v>
      </c>
      <c r="AB746" s="273">
        <f t="shared" si="91"/>
        <v>4.641</v>
      </c>
      <c r="AC746" s="156">
        <f t="shared" si="92"/>
        <v>1000</v>
      </c>
      <c r="AD746" s="274">
        <f t="shared" si="93"/>
        <v>4641</v>
      </c>
      <c r="AE746" s="274">
        <f t="shared" si="87"/>
        <v>4641</v>
      </c>
      <c r="AF746" s="337"/>
    </row>
    <row r="747" spans="1:32">
      <c r="A747" s="337" t="s">
        <v>1523</v>
      </c>
      <c r="B747" s="146" t="s">
        <v>1</v>
      </c>
      <c r="C747" s="155" t="s">
        <v>1512</v>
      </c>
      <c r="D747" s="147"/>
      <c r="E747" s="148" t="s">
        <v>1469</v>
      </c>
      <c r="F747" s="147" t="s">
        <v>106</v>
      </c>
      <c r="G747" s="147" t="s">
        <v>1429</v>
      </c>
      <c r="H747" s="147">
        <v>42</v>
      </c>
      <c r="I747" s="149">
        <f t="shared" si="88"/>
        <v>42</v>
      </c>
      <c r="J747" s="147"/>
      <c r="K747" s="336" t="s">
        <v>61</v>
      </c>
      <c r="L747" s="147">
        <v>100</v>
      </c>
      <c r="M747" s="147" t="s">
        <v>9</v>
      </c>
      <c r="N747" s="147"/>
      <c r="O747" s="147" t="s">
        <v>98</v>
      </c>
      <c r="P747" s="147">
        <v>1000</v>
      </c>
      <c r="Q747" s="150">
        <f t="shared" si="89"/>
        <v>0</v>
      </c>
      <c r="R747" s="151"/>
      <c r="S747" s="152">
        <v>3798</v>
      </c>
      <c r="T747" s="158">
        <v>3798</v>
      </c>
      <c r="U747" s="153"/>
      <c r="V747" s="154"/>
      <c r="W747" s="154"/>
      <c r="X747" s="155"/>
      <c r="Y747" s="155" t="s">
        <v>1394</v>
      </c>
      <c r="Z747" s="155" t="s">
        <v>1442</v>
      </c>
      <c r="AA747" s="273">
        <f t="shared" si="90"/>
        <v>3.798</v>
      </c>
      <c r="AB747" s="273">
        <f t="shared" si="91"/>
        <v>3.798</v>
      </c>
      <c r="AC747" s="156">
        <f t="shared" si="92"/>
        <v>1000</v>
      </c>
      <c r="AD747" s="274">
        <f t="shared" si="93"/>
        <v>3798</v>
      </c>
      <c r="AE747" s="274">
        <f t="shared" si="87"/>
        <v>3798</v>
      </c>
      <c r="AF747" s="337"/>
    </row>
    <row r="748" spans="1:32">
      <c r="A748" s="337" t="s">
        <v>1523</v>
      </c>
      <c r="B748" s="146" t="s">
        <v>1</v>
      </c>
      <c r="C748" s="155" t="s">
        <v>1512</v>
      </c>
      <c r="D748" s="147"/>
      <c r="E748" s="148" t="s">
        <v>1469</v>
      </c>
      <c r="F748" s="147" t="s">
        <v>106</v>
      </c>
      <c r="G748" s="147" t="s">
        <v>1429</v>
      </c>
      <c r="H748" s="147">
        <v>43</v>
      </c>
      <c r="I748" s="149">
        <f t="shared" si="88"/>
        <v>43</v>
      </c>
      <c r="J748" s="147"/>
      <c r="K748" s="336" t="s">
        <v>1504</v>
      </c>
      <c r="L748" s="147">
        <v>100</v>
      </c>
      <c r="M748" s="147" t="s">
        <v>9</v>
      </c>
      <c r="N748" s="147"/>
      <c r="O748" s="147" t="s">
        <v>98</v>
      </c>
      <c r="P748" s="147">
        <v>1000</v>
      </c>
      <c r="Q748" s="150">
        <f t="shared" si="89"/>
        <v>0</v>
      </c>
      <c r="R748" s="151"/>
      <c r="S748" s="152">
        <v>1986</v>
      </c>
      <c r="T748" s="158">
        <v>1986</v>
      </c>
      <c r="U748" s="153"/>
      <c r="V748" s="154"/>
      <c r="W748" s="154"/>
      <c r="X748" s="155"/>
      <c r="Y748" s="155" t="s">
        <v>1394</v>
      </c>
      <c r="Z748" s="155" t="s">
        <v>1442</v>
      </c>
      <c r="AA748" s="273">
        <f t="shared" si="90"/>
        <v>1.986</v>
      </c>
      <c r="AB748" s="273">
        <f t="shared" si="91"/>
        <v>1.986</v>
      </c>
      <c r="AC748" s="156">
        <f t="shared" si="92"/>
        <v>1000</v>
      </c>
      <c r="AD748" s="274">
        <f t="shared" si="93"/>
        <v>1986</v>
      </c>
      <c r="AE748" s="274">
        <f t="shared" si="87"/>
        <v>1986</v>
      </c>
      <c r="AF748" s="337"/>
    </row>
    <row r="749" spans="1:32">
      <c r="A749" s="337" t="s">
        <v>1523</v>
      </c>
      <c r="B749" s="146" t="s">
        <v>1</v>
      </c>
      <c r="C749" s="155" t="s">
        <v>1512</v>
      </c>
      <c r="D749" s="147"/>
      <c r="E749" s="148" t="s">
        <v>1469</v>
      </c>
      <c r="F749" s="147" t="s">
        <v>106</v>
      </c>
      <c r="G749" s="147" t="s">
        <v>1429</v>
      </c>
      <c r="H749" s="147">
        <v>46</v>
      </c>
      <c r="I749" s="149">
        <f t="shared" si="88"/>
        <v>46</v>
      </c>
      <c r="J749" s="147"/>
      <c r="K749" s="336" t="s">
        <v>1506</v>
      </c>
      <c r="L749" s="147">
        <v>100</v>
      </c>
      <c r="M749" s="147" t="s">
        <v>9</v>
      </c>
      <c r="N749" s="147"/>
      <c r="O749" s="147" t="s">
        <v>98</v>
      </c>
      <c r="P749" s="147">
        <v>1000</v>
      </c>
      <c r="Q749" s="150">
        <f t="shared" si="89"/>
        <v>0</v>
      </c>
      <c r="R749" s="151"/>
      <c r="S749" s="152">
        <v>2993</v>
      </c>
      <c r="T749" s="158">
        <v>2993</v>
      </c>
      <c r="U749" s="153"/>
      <c r="V749" s="154"/>
      <c r="W749" s="154"/>
      <c r="X749" s="155"/>
      <c r="Y749" s="155" t="s">
        <v>1394</v>
      </c>
      <c r="Z749" s="155" t="s">
        <v>1442</v>
      </c>
      <c r="AA749" s="273">
        <f t="shared" si="90"/>
        <v>2.9929999999999999</v>
      </c>
      <c r="AB749" s="273">
        <f t="shared" si="91"/>
        <v>2.9929999999999999</v>
      </c>
      <c r="AC749" s="156">
        <f t="shared" si="92"/>
        <v>1000</v>
      </c>
      <c r="AD749" s="274">
        <f t="shared" si="93"/>
        <v>2993</v>
      </c>
      <c r="AE749" s="274">
        <f t="shared" si="87"/>
        <v>2993</v>
      </c>
      <c r="AF749" s="337"/>
    </row>
    <row r="750" spans="1:32">
      <c r="A750" s="337" t="s">
        <v>1523</v>
      </c>
      <c r="B750" s="146" t="s">
        <v>1</v>
      </c>
      <c r="C750" s="155" t="s">
        <v>1512</v>
      </c>
      <c r="D750" s="147"/>
      <c r="E750" s="148" t="s">
        <v>1469</v>
      </c>
      <c r="F750" s="147" t="s">
        <v>106</v>
      </c>
      <c r="G750" s="147" t="s">
        <v>1429</v>
      </c>
      <c r="H750" s="147">
        <v>46</v>
      </c>
      <c r="I750" s="149">
        <f t="shared" si="88"/>
        <v>46</v>
      </c>
      <c r="J750" s="147"/>
      <c r="K750" s="336" t="s">
        <v>1507</v>
      </c>
      <c r="L750" s="147">
        <v>100</v>
      </c>
      <c r="M750" s="147" t="s">
        <v>9</v>
      </c>
      <c r="N750" s="147"/>
      <c r="O750" s="147" t="s">
        <v>98</v>
      </c>
      <c r="P750" s="147">
        <v>1000</v>
      </c>
      <c r="Q750" s="150">
        <f t="shared" si="89"/>
        <v>0</v>
      </c>
      <c r="R750" s="151"/>
      <c r="S750" s="152">
        <v>5278</v>
      </c>
      <c r="T750" s="158">
        <v>5278</v>
      </c>
      <c r="U750" s="153"/>
      <c r="V750" s="154"/>
      <c r="W750" s="154"/>
      <c r="X750" s="155"/>
      <c r="Y750" s="155" t="s">
        <v>1394</v>
      </c>
      <c r="Z750" s="155" t="s">
        <v>1442</v>
      </c>
      <c r="AA750" s="273">
        <f t="shared" si="90"/>
        <v>5.2779999999999996</v>
      </c>
      <c r="AB750" s="273">
        <f t="shared" si="91"/>
        <v>5.2779999999999996</v>
      </c>
      <c r="AC750" s="156">
        <f t="shared" si="92"/>
        <v>1000</v>
      </c>
      <c r="AD750" s="274">
        <f t="shared" si="93"/>
        <v>5278</v>
      </c>
      <c r="AE750" s="274">
        <f t="shared" si="87"/>
        <v>5278</v>
      </c>
      <c r="AF750" s="337"/>
    </row>
    <row r="751" spans="1:32">
      <c r="A751" s="337" t="s">
        <v>1523</v>
      </c>
      <c r="B751" s="146" t="s">
        <v>1</v>
      </c>
      <c r="C751" s="155" t="s">
        <v>1512</v>
      </c>
      <c r="D751" s="147"/>
      <c r="E751" s="148" t="s">
        <v>1469</v>
      </c>
      <c r="F751" s="147" t="s">
        <v>106</v>
      </c>
      <c r="G751" s="147" t="s">
        <v>1429</v>
      </c>
      <c r="H751" s="147">
        <v>46</v>
      </c>
      <c r="I751" s="149">
        <f t="shared" si="88"/>
        <v>46</v>
      </c>
      <c r="J751" s="147"/>
      <c r="K751" s="336" t="s">
        <v>1508</v>
      </c>
      <c r="L751" s="147">
        <v>100</v>
      </c>
      <c r="M751" s="147" t="s">
        <v>9</v>
      </c>
      <c r="N751" s="147"/>
      <c r="O751" s="147" t="s">
        <v>98</v>
      </c>
      <c r="P751" s="147">
        <v>1000</v>
      </c>
      <c r="Q751" s="150">
        <f t="shared" si="89"/>
        <v>0</v>
      </c>
      <c r="R751" s="151"/>
      <c r="S751" s="152">
        <v>5276</v>
      </c>
      <c r="T751" s="158">
        <v>5276</v>
      </c>
      <c r="U751" s="153"/>
      <c r="V751" s="154"/>
      <c r="W751" s="154"/>
      <c r="X751" s="155"/>
      <c r="Y751" s="155" t="s">
        <v>1394</v>
      </c>
      <c r="Z751" s="155" t="s">
        <v>1442</v>
      </c>
      <c r="AA751" s="273">
        <f t="shared" si="90"/>
        <v>5.2759999999999998</v>
      </c>
      <c r="AB751" s="273">
        <f t="shared" si="91"/>
        <v>5.2759999999999998</v>
      </c>
      <c r="AC751" s="156">
        <f t="shared" si="92"/>
        <v>1000</v>
      </c>
      <c r="AD751" s="274">
        <f t="shared" si="93"/>
        <v>5276</v>
      </c>
      <c r="AE751" s="274">
        <f t="shared" si="87"/>
        <v>5276</v>
      </c>
      <c r="AF751" s="337"/>
    </row>
    <row r="752" spans="1:32">
      <c r="A752" s="337" t="s">
        <v>1523</v>
      </c>
      <c r="B752" s="146" t="s">
        <v>1</v>
      </c>
      <c r="C752" s="155" t="s">
        <v>1512</v>
      </c>
      <c r="D752" s="147"/>
      <c r="E752" s="148" t="s">
        <v>1469</v>
      </c>
      <c r="F752" s="147" t="s">
        <v>106</v>
      </c>
      <c r="G752" s="147" t="s">
        <v>1429</v>
      </c>
      <c r="H752" s="147">
        <v>59</v>
      </c>
      <c r="I752" s="149">
        <f t="shared" si="88"/>
        <v>59</v>
      </c>
      <c r="J752" s="147"/>
      <c r="K752" s="336" t="s">
        <v>99</v>
      </c>
      <c r="L752" s="147">
        <v>100</v>
      </c>
      <c r="M752" s="147" t="s">
        <v>9</v>
      </c>
      <c r="N752" s="147"/>
      <c r="O752" s="147" t="s">
        <v>98</v>
      </c>
      <c r="P752" s="147">
        <v>1000</v>
      </c>
      <c r="Q752" s="150">
        <f t="shared" si="89"/>
        <v>0</v>
      </c>
      <c r="R752" s="151"/>
      <c r="S752" s="152">
        <v>2077</v>
      </c>
      <c r="T752" s="158">
        <v>2077</v>
      </c>
      <c r="U752" s="153"/>
      <c r="V752" s="154"/>
      <c r="W752" s="154"/>
      <c r="X752" s="155"/>
      <c r="Y752" s="155" t="s">
        <v>1394</v>
      </c>
      <c r="Z752" s="155" t="s">
        <v>1442</v>
      </c>
      <c r="AA752" s="273">
        <f t="shared" si="90"/>
        <v>2.077</v>
      </c>
      <c r="AB752" s="273">
        <f t="shared" si="91"/>
        <v>2.077</v>
      </c>
      <c r="AC752" s="156">
        <f t="shared" si="92"/>
        <v>1000</v>
      </c>
      <c r="AD752" s="274">
        <f t="shared" si="93"/>
        <v>2077</v>
      </c>
      <c r="AE752" s="274">
        <f t="shared" si="87"/>
        <v>2077</v>
      </c>
      <c r="AF752" s="337"/>
    </row>
    <row r="753" spans="1:32">
      <c r="A753" s="337" t="s">
        <v>1523</v>
      </c>
      <c r="B753" s="146" t="s">
        <v>1</v>
      </c>
      <c r="C753" s="155" t="s">
        <v>1512</v>
      </c>
      <c r="D753" s="147"/>
      <c r="E753" s="148" t="s">
        <v>1469</v>
      </c>
      <c r="F753" s="147" t="s">
        <v>106</v>
      </c>
      <c r="G753" s="147" t="s">
        <v>1429</v>
      </c>
      <c r="H753" s="147">
        <v>69</v>
      </c>
      <c r="I753" s="149">
        <f t="shared" si="88"/>
        <v>69</v>
      </c>
      <c r="J753" s="147"/>
      <c r="K753" s="336" t="s">
        <v>1509</v>
      </c>
      <c r="L753" s="147">
        <v>100</v>
      </c>
      <c r="M753" s="147" t="s">
        <v>9</v>
      </c>
      <c r="N753" s="147"/>
      <c r="O753" s="147" t="s">
        <v>98</v>
      </c>
      <c r="P753" s="147">
        <v>1000</v>
      </c>
      <c r="Q753" s="150">
        <f t="shared" si="89"/>
        <v>0</v>
      </c>
      <c r="R753" s="151"/>
      <c r="S753" s="152">
        <v>3411</v>
      </c>
      <c r="T753" s="158">
        <v>3411</v>
      </c>
      <c r="U753" s="153"/>
      <c r="V753" s="154"/>
      <c r="W753" s="154"/>
      <c r="X753" s="155"/>
      <c r="Y753" s="155" t="s">
        <v>1394</v>
      </c>
      <c r="Z753" s="155" t="s">
        <v>1442</v>
      </c>
      <c r="AA753" s="273">
        <f t="shared" si="90"/>
        <v>3.411</v>
      </c>
      <c r="AB753" s="273">
        <f t="shared" si="91"/>
        <v>3.411</v>
      </c>
      <c r="AC753" s="156">
        <f t="shared" si="92"/>
        <v>1000</v>
      </c>
      <c r="AD753" s="274">
        <f t="shared" si="93"/>
        <v>3411</v>
      </c>
      <c r="AE753" s="274">
        <f t="shared" si="87"/>
        <v>3411</v>
      </c>
      <c r="AF753" s="337"/>
    </row>
    <row r="754" spans="1:32">
      <c r="A754" s="337" t="s">
        <v>1523</v>
      </c>
      <c r="B754" s="146" t="s">
        <v>1</v>
      </c>
      <c r="C754" s="155" t="s">
        <v>1512</v>
      </c>
      <c r="D754" s="147"/>
      <c r="E754" s="148" t="s">
        <v>1469</v>
      </c>
      <c r="F754" s="147" t="s">
        <v>106</v>
      </c>
      <c r="G754" s="147" t="s">
        <v>1429</v>
      </c>
      <c r="H754" s="147">
        <v>70</v>
      </c>
      <c r="I754" s="149">
        <f t="shared" si="88"/>
        <v>70</v>
      </c>
      <c r="J754" s="147"/>
      <c r="K754" s="336" t="s">
        <v>1510</v>
      </c>
      <c r="L754" s="147">
        <v>100</v>
      </c>
      <c r="M754" s="147" t="s">
        <v>9</v>
      </c>
      <c r="N754" s="147"/>
      <c r="O754" s="147" t="s">
        <v>98</v>
      </c>
      <c r="P754" s="147">
        <v>1000</v>
      </c>
      <c r="Q754" s="150">
        <f t="shared" si="89"/>
        <v>0</v>
      </c>
      <c r="R754" s="151"/>
      <c r="S754" s="152">
        <v>4264</v>
      </c>
      <c r="T754" s="158">
        <v>4264</v>
      </c>
      <c r="U754" s="153"/>
      <c r="V754" s="154"/>
      <c r="W754" s="154"/>
      <c r="X754" s="155"/>
      <c r="Y754" s="155" t="s">
        <v>1394</v>
      </c>
      <c r="Z754" s="155" t="s">
        <v>1442</v>
      </c>
      <c r="AA754" s="273">
        <f t="shared" si="90"/>
        <v>4.2640000000000002</v>
      </c>
      <c r="AB754" s="273">
        <f t="shared" si="91"/>
        <v>4.2640000000000002</v>
      </c>
      <c r="AC754" s="156">
        <f t="shared" si="92"/>
        <v>1000</v>
      </c>
      <c r="AD754" s="274">
        <f t="shared" si="93"/>
        <v>4264</v>
      </c>
      <c r="AE754" s="274">
        <f t="shared" si="87"/>
        <v>4264</v>
      </c>
      <c r="AF754" s="337"/>
    </row>
    <row r="755" spans="1:32">
      <c r="A755" s="337" t="s">
        <v>1523</v>
      </c>
      <c r="B755" s="146" t="s">
        <v>1</v>
      </c>
      <c r="C755" s="155" t="s">
        <v>1512</v>
      </c>
      <c r="D755" s="147"/>
      <c r="E755" s="148" t="s">
        <v>1469</v>
      </c>
      <c r="F755" s="147" t="s">
        <v>106</v>
      </c>
      <c r="G755" s="147" t="s">
        <v>1429</v>
      </c>
      <c r="H755" s="147">
        <v>70</v>
      </c>
      <c r="I755" s="149">
        <f t="shared" si="88"/>
        <v>70</v>
      </c>
      <c r="J755" s="147"/>
      <c r="K755" s="336" t="s">
        <v>1511</v>
      </c>
      <c r="L755" s="147">
        <v>100</v>
      </c>
      <c r="M755" s="147" t="s">
        <v>9</v>
      </c>
      <c r="N755" s="147"/>
      <c r="O755" s="147" t="s">
        <v>98</v>
      </c>
      <c r="P755" s="147">
        <v>1000</v>
      </c>
      <c r="Q755" s="150">
        <f t="shared" si="89"/>
        <v>0</v>
      </c>
      <c r="R755" s="151"/>
      <c r="S755" s="152">
        <v>4273</v>
      </c>
      <c r="T755" s="158">
        <v>4273</v>
      </c>
      <c r="U755" s="153"/>
      <c r="V755" s="154"/>
      <c r="W755" s="154"/>
      <c r="X755" s="155"/>
      <c r="Y755" s="155" t="s">
        <v>1394</v>
      </c>
      <c r="Z755" s="155" t="s">
        <v>1442</v>
      </c>
      <c r="AA755" s="273">
        <f t="shared" si="90"/>
        <v>4.2729999999999997</v>
      </c>
      <c r="AB755" s="273">
        <f t="shared" si="91"/>
        <v>4.2729999999999997</v>
      </c>
      <c r="AC755" s="156">
        <f t="shared" si="92"/>
        <v>1000</v>
      </c>
      <c r="AD755" s="274">
        <f t="shared" si="93"/>
        <v>4273</v>
      </c>
      <c r="AE755" s="274">
        <f t="shared" si="87"/>
        <v>4273</v>
      </c>
      <c r="AF755" s="337"/>
    </row>
    <row r="756" spans="1:32">
      <c r="A756" s="337" t="s">
        <v>1523</v>
      </c>
      <c r="B756" s="146" t="s">
        <v>1</v>
      </c>
      <c r="C756" s="155" t="s">
        <v>1512</v>
      </c>
      <c r="D756" s="147"/>
      <c r="E756" s="148" t="s">
        <v>1470</v>
      </c>
      <c r="F756" s="147" t="s">
        <v>106</v>
      </c>
      <c r="G756" s="147" t="s">
        <v>1429</v>
      </c>
      <c r="H756" s="147">
        <v>7</v>
      </c>
      <c r="I756" s="149">
        <f t="shared" si="88"/>
        <v>7</v>
      </c>
      <c r="J756" s="147"/>
      <c r="K756" s="336" t="s">
        <v>57</v>
      </c>
      <c r="L756" s="147">
        <v>100</v>
      </c>
      <c r="M756" s="147" t="s">
        <v>9</v>
      </c>
      <c r="N756" s="147"/>
      <c r="O756" s="147" t="s">
        <v>98</v>
      </c>
      <c r="P756" s="147">
        <v>1000</v>
      </c>
      <c r="Q756" s="150">
        <f t="shared" si="89"/>
        <v>0</v>
      </c>
      <c r="R756" s="151"/>
      <c r="S756" s="152">
        <v>1000</v>
      </c>
      <c r="T756" s="158">
        <v>1000</v>
      </c>
      <c r="U756" s="153"/>
      <c r="V756" s="154"/>
      <c r="W756" s="154"/>
      <c r="X756" s="155"/>
      <c r="Y756" s="155" t="s">
        <v>1394</v>
      </c>
      <c r="Z756" s="155" t="s">
        <v>1442</v>
      </c>
      <c r="AA756" s="273">
        <f t="shared" si="90"/>
        <v>1</v>
      </c>
      <c r="AB756" s="273">
        <f t="shared" si="91"/>
        <v>1</v>
      </c>
      <c r="AC756" s="156">
        <f t="shared" si="92"/>
        <v>1000</v>
      </c>
      <c r="AD756" s="274">
        <f t="shared" si="93"/>
        <v>1000</v>
      </c>
      <c r="AE756" s="274">
        <f t="shared" si="87"/>
        <v>1000</v>
      </c>
      <c r="AF756" s="337"/>
    </row>
    <row r="757" spans="1:32">
      <c r="A757" s="337" t="s">
        <v>1523</v>
      </c>
      <c r="B757" s="146" t="s">
        <v>1</v>
      </c>
      <c r="C757" s="155" t="s">
        <v>1512</v>
      </c>
      <c r="D757" s="147"/>
      <c r="E757" s="148" t="s">
        <v>1470</v>
      </c>
      <c r="F757" s="147" t="s">
        <v>106</v>
      </c>
      <c r="G757" s="147" t="s">
        <v>1429</v>
      </c>
      <c r="H757" s="147">
        <v>8</v>
      </c>
      <c r="I757" s="149">
        <f t="shared" si="88"/>
        <v>8</v>
      </c>
      <c r="J757" s="147"/>
      <c r="K757" s="336" t="s">
        <v>55</v>
      </c>
      <c r="L757" s="147">
        <v>100</v>
      </c>
      <c r="M757" s="147" t="s">
        <v>9</v>
      </c>
      <c r="N757" s="147"/>
      <c r="O757" s="147" t="s">
        <v>98</v>
      </c>
      <c r="P757" s="147">
        <v>1000</v>
      </c>
      <c r="Q757" s="150">
        <f t="shared" si="89"/>
        <v>0</v>
      </c>
      <c r="R757" s="151"/>
      <c r="S757" s="152">
        <v>1250</v>
      </c>
      <c r="T757" s="158">
        <v>1250</v>
      </c>
      <c r="U757" s="153"/>
      <c r="V757" s="154"/>
      <c r="W757" s="154"/>
      <c r="X757" s="155"/>
      <c r="Y757" s="155" t="s">
        <v>1394</v>
      </c>
      <c r="Z757" s="155" t="s">
        <v>1442</v>
      </c>
      <c r="AA757" s="273">
        <f t="shared" si="90"/>
        <v>1.25</v>
      </c>
      <c r="AB757" s="273">
        <f t="shared" si="91"/>
        <v>1.25</v>
      </c>
      <c r="AC757" s="156">
        <f t="shared" si="92"/>
        <v>1000</v>
      </c>
      <c r="AD757" s="274">
        <f t="shared" si="93"/>
        <v>1250</v>
      </c>
      <c r="AE757" s="274">
        <f t="shared" si="87"/>
        <v>1250</v>
      </c>
      <c r="AF757" s="337"/>
    </row>
    <row r="758" spans="1:32">
      <c r="A758" s="337" t="s">
        <v>1523</v>
      </c>
      <c r="B758" s="146" t="s">
        <v>1</v>
      </c>
      <c r="C758" s="155" t="s">
        <v>1512</v>
      </c>
      <c r="D758" s="147"/>
      <c r="E758" s="148" t="s">
        <v>1470</v>
      </c>
      <c r="F758" s="147" t="s">
        <v>106</v>
      </c>
      <c r="G758" s="147" t="s">
        <v>1429</v>
      </c>
      <c r="H758" s="147">
        <v>17</v>
      </c>
      <c r="I758" s="149">
        <f t="shared" si="88"/>
        <v>17</v>
      </c>
      <c r="J758" s="147"/>
      <c r="K758" s="336" t="s">
        <v>53</v>
      </c>
      <c r="L758" s="147">
        <v>100</v>
      </c>
      <c r="M758" s="147" t="s">
        <v>9</v>
      </c>
      <c r="N758" s="147"/>
      <c r="O758" s="147" t="s">
        <v>98</v>
      </c>
      <c r="P758" s="147">
        <v>1000</v>
      </c>
      <c r="Q758" s="150">
        <f t="shared" si="89"/>
        <v>0</v>
      </c>
      <c r="R758" s="151"/>
      <c r="S758" s="152">
        <v>2283</v>
      </c>
      <c r="T758" s="158">
        <v>2283</v>
      </c>
      <c r="U758" s="153"/>
      <c r="V758" s="154"/>
      <c r="W758" s="154"/>
      <c r="X758" s="155"/>
      <c r="Y758" s="155" t="s">
        <v>1394</v>
      </c>
      <c r="Z758" s="155" t="s">
        <v>1442</v>
      </c>
      <c r="AA758" s="273">
        <f t="shared" si="90"/>
        <v>2.2829999999999999</v>
      </c>
      <c r="AB758" s="273">
        <f t="shared" si="91"/>
        <v>2.2829999999999999</v>
      </c>
      <c r="AC758" s="156">
        <f t="shared" si="92"/>
        <v>1000</v>
      </c>
      <c r="AD758" s="274">
        <f t="shared" si="93"/>
        <v>2283</v>
      </c>
      <c r="AE758" s="274">
        <f t="shared" si="87"/>
        <v>2283</v>
      </c>
      <c r="AF758" s="337"/>
    </row>
    <row r="759" spans="1:32">
      <c r="A759" s="337" t="s">
        <v>1523</v>
      </c>
      <c r="B759" s="146" t="s">
        <v>1</v>
      </c>
      <c r="C759" s="155" t="s">
        <v>1512</v>
      </c>
      <c r="D759" s="147"/>
      <c r="E759" s="148" t="s">
        <v>1470</v>
      </c>
      <c r="F759" s="147" t="s">
        <v>106</v>
      </c>
      <c r="G759" s="147" t="s">
        <v>1429</v>
      </c>
      <c r="H759" s="147">
        <v>22</v>
      </c>
      <c r="I759" s="149">
        <f t="shared" si="88"/>
        <v>22</v>
      </c>
      <c r="J759" s="147"/>
      <c r="K759" s="336" t="s">
        <v>51</v>
      </c>
      <c r="L759" s="147">
        <v>100</v>
      </c>
      <c r="M759" s="147" t="s">
        <v>9</v>
      </c>
      <c r="N759" s="147"/>
      <c r="O759" s="147" t="s">
        <v>98</v>
      </c>
      <c r="P759" s="147">
        <v>1000</v>
      </c>
      <c r="Q759" s="150">
        <f t="shared" si="89"/>
        <v>0</v>
      </c>
      <c r="R759" s="151"/>
      <c r="S759" s="152">
        <v>5000</v>
      </c>
      <c r="T759" s="158">
        <v>5000</v>
      </c>
      <c r="U759" s="153"/>
      <c r="V759" s="154"/>
      <c r="W759" s="154"/>
      <c r="X759" s="155"/>
      <c r="Y759" s="155" t="s">
        <v>1394</v>
      </c>
      <c r="Z759" s="155" t="s">
        <v>1442</v>
      </c>
      <c r="AA759" s="273">
        <f t="shared" si="90"/>
        <v>5</v>
      </c>
      <c r="AB759" s="273">
        <f t="shared" si="91"/>
        <v>5</v>
      </c>
      <c r="AC759" s="156">
        <f t="shared" si="92"/>
        <v>1000</v>
      </c>
      <c r="AD759" s="274">
        <f t="shared" si="93"/>
        <v>5000</v>
      </c>
      <c r="AE759" s="274">
        <f t="shared" si="87"/>
        <v>5000</v>
      </c>
      <c r="AF759" s="337"/>
    </row>
    <row r="760" spans="1:32">
      <c r="A760" s="337" t="s">
        <v>1523</v>
      </c>
      <c r="B760" s="146" t="s">
        <v>1</v>
      </c>
      <c r="C760" s="155" t="s">
        <v>1512</v>
      </c>
      <c r="D760" s="147"/>
      <c r="E760" s="148" t="s">
        <v>1470</v>
      </c>
      <c r="F760" s="147" t="s">
        <v>106</v>
      </c>
      <c r="G760" s="147" t="s">
        <v>1429</v>
      </c>
      <c r="H760" s="147">
        <v>33</v>
      </c>
      <c r="I760" s="149">
        <f t="shared" si="88"/>
        <v>33</v>
      </c>
      <c r="J760" s="147"/>
      <c r="K760" s="336" t="s">
        <v>59</v>
      </c>
      <c r="L760" s="147">
        <v>100</v>
      </c>
      <c r="M760" s="147" t="s">
        <v>9</v>
      </c>
      <c r="N760" s="147"/>
      <c r="O760" s="147" t="s">
        <v>98</v>
      </c>
      <c r="P760" s="147">
        <v>1000</v>
      </c>
      <c r="Q760" s="150">
        <f t="shared" si="89"/>
        <v>0</v>
      </c>
      <c r="R760" s="151"/>
      <c r="S760" s="152">
        <v>4362</v>
      </c>
      <c r="T760" s="158">
        <v>4362</v>
      </c>
      <c r="U760" s="153"/>
      <c r="V760" s="154"/>
      <c r="W760" s="154"/>
      <c r="X760" s="155"/>
      <c r="Y760" s="155" t="s">
        <v>1394</v>
      </c>
      <c r="Z760" s="155" t="s">
        <v>1442</v>
      </c>
      <c r="AA760" s="273">
        <f t="shared" si="90"/>
        <v>4.3620000000000001</v>
      </c>
      <c r="AB760" s="273">
        <f t="shared" si="91"/>
        <v>4.3620000000000001</v>
      </c>
      <c r="AC760" s="156">
        <f t="shared" si="92"/>
        <v>1000</v>
      </c>
      <c r="AD760" s="274">
        <f t="shared" si="93"/>
        <v>4362</v>
      </c>
      <c r="AE760" s="274">
        <f t="shared" si="87"/>
        <v>4362</v>
      </c>
      <c r="AF760" s="337"/>
    </row>
    <row r="761" spans="1:32">
      <c r="A761" s="337" t="s">
        <v>1523</v>
      </c>
      <c r="B761" s="146" t="s">
        <v>1</v>
      </c>
      <c r="C761" s="155" t="s">
        <v>1512</v>
      </c>
      <c r="D761" s="147"/>
      <c r="E761" s="148" t="s">
        <v>1470</v>
      </c>
      <c r="F761" s="147" t="s">
        <v>106</v>
      </c>
      <c r="G761" s="147" t="s">
        <v>1429</v>
      </c>
      <c r="H761" s="147">
        <v>42</v>
      </c>
      <c r="I761" s="149">
        <f t="shared" si="88"/>
        <v>42</v>
      </c>
      <c r="J761" s="147"/>
      <c r="K761" s="336" t="s">
        <v>61</v>
      </c>
      <c r="L761" s="147">
        <v>100</v>
      </c>
      <c r="M761" s="147" t="s">
        <v>9</v>
      </c>
      <c r="N761" s="147"/>
      <c r="O761" s="147" t="s">
        <v>98</v>
      </c>
      <c r="P761" s="147">
        <v>1000</v>
      </c>
      <c r="Q761" s="150">
        <f t="shared" si="89"/>
        <v>0</v>
      </c>
      <c r="R761" s="151"/>
      <c r="S761" s="152">
        <v>4101</v>
      </c>
      <c r="T761" s="158">
        <v>4101</v>
      </c>
      <c r="U761" s="153"/>
      <c r="V761" s="154"/>
      <c r="W761" s="154"/>
      <c r="X761" s="155"/>
      <c r="Y761" s="155" t="s">
        <v>1394</v>
      </c>
      <c r="Z761" s="155" t="s">
        <v>1442</v>
      </c>
      <c r="AA761" s="273">
        <f t="shared" si="90"/>
        <v>4.101</v>
      </c>
      <c r="AB761" s="273">
        <f t="shared" si="91"/>
        <v>4.101</v>
      </c>
      <c r="AC761" s="156">
        <f t="shared" si="92"/>
        <v>1000</v>
      </c>
      <c r="AD761" s="274">
        <f t="shared" si="93"/>
        <v>4101</v>
      </c>
      <c r="AE761" s="274">
        <f t="shared" si="87"/>
        <v>4101</v>
      </c>
      <c r="AF761" s="337"/>
    </row>
    <row r="762" spans="1:32">
      <c r="A762" s="337" t="s">
        <v>1523</v>
      </c>
      <c r="B762" s="146" t="s">
        <v>1</v>
      </c>
      <c r="C762" s="155" t="s">
        <v>1512</v>
      </c>
      <c r="D762" s="147"/>
      <c r="E762" s="148" t="s">
        <v>1470</v>
      </c>
      <c r="F762" s="147" t="s">
        <v>106</v>
      </c>
      <c r="G762" s="147" t="s">
        <v>1429</v>
      </c>
      <c r="H762" s="147">
        <v>43</v>
      </c>
      <c r="I762" s="149">
        <f t="shared" si="88"/>
        <v>43</v>
      </c>
      <c r="J762" s="147"/>
      <c r="K762" s="336" t="s">
        <v>1504</v>
      </c>
      <c r="L762" s="147">
        <v>100</v>
      </c>
      <c r="M762" s="147" t="s">
        <v>9</v>
      </c>
      <c r="N762" s="147"/>
      <c r="O762" s="147" t="s">
        <v>98</v>
      </c>
      <c r="P762" s="147">
        <v>1000</v>
      </c>
      <c r="Q762" s="150">
        <f t="shared" si="89"/>
        <v>0</v>
      </c>
      <c r="R762" s="151"/>
      <c r="S762" s="152">
        <v>2271</v>
      </c>
      <c r="T762" s="158">
        <v>2271</v>
      </c>
      <c r="U762" s="153"/>
      <c r="V762" s="154"/>
      <c r="W762" s="154"/>
      <c r="X762" s="155"/>
      <c r="Y762" s="155" t="s">
        <v>1394</v>
      </c>
      <c r="Z762" s="155" t="s">
        <v>1442</v>
      </c>
      <c r="AA762" s="273">
        <f t="shared" si="90"/>
        <v>2.2709999999999999</v>
      </c>
      <c r="AB762" s="273">
        <f t="shared" si="91"/>
        <v>2.2709999999999999</v>
      </c>
      <c r="AC762" s="156">
        <f t="shared" si="92"/>
        <v>1000</v>
      </c>
      <c r="AD762" s="274">
        <f t="shared" si="93"/>
        <v>2271</v>
      </c>
      <c r="AE762" s="274">
        <f t="shared" si="87"/>
        <v>2271</v>
      </c>
      <c r="AF762" s="337"/>
    </row>
    <row r="763" spans="1:32">
      <c r="A763" s="337" t="s">
        <v>1523</v>
      </c>
      <c r="B763" s="146" t="s">
        <v>1</v>
      </c>
      <c r="C763" s="155" t="s">
        <v>1512</v>
      </c>
      <c r="D763" s="147"/>
      <c r="E763" s="148" t="s">
        <v>1470</v>
      </c>
      <c r="F763" s="147" t="s">
        <v>106</v>
      </c>
      <c r="G763" s="147" t="s">
        <v>1429</v>
      </c>
      <c r="H763" s="147">
        <v>46</v>
      </c>
      <c r="I763" s="149">
        <f t="shared" si="88"/>
        <v>46</v>
      </c>
      <c r="J763" s="147"/>
      <c r="K763" s="336" t="s">
        <v>1506</v>
      </c>
      <c r="L763" s="147">
        <v>100</v>
      </c>
      <c r="M763" s="147" t="s">
        <v>9</v>
      </c>
      <c r="N763" s="147"/>
      <c r="O763" s="147" t="s">
        <v>98</v>
      </c>
      <c r="P763" s="147">
        <v>1000</v>
      </c>
      <c r="Q763" s="150">
        <f t="shared" si="89"/>
        <v>0</v>
      </c>
      <c r="R763" s="151"/>
      <c r="S763" s="152">
        <v>3083</v>
      </c>
      <c r="T763" s="158">
        <v>3083</v>
      </c>
      <c r="U763" s="153"/>
      <c r="V763" s="154"/>
      <c r="W763" s="154"/>
      <c r="X763" s="155"/>
      <c r="Y763" s="155" t="s">
        <v>1394</v>
      </c>
      <c r="Z763" s="155" t="s">
        <v>1442</v>
      </c>
      <c r="AA763" s="273">
        <f t="shared" si="90"/>
        <v>3.0830000000000002</v>
      </c>
      <c r="AB763" s="273">
        <f t="shared" si="91"/>
        <v>3.0830000000000002</v>
      </c>
      <c r="AC763" s="156">
        <f t="shared" si="92"/>
        <v>1000</v>
      </c>
      <c r="AD763" s="274">
        <f t="shared" si="93"/>
        <v>3083</v>
      </c>
      <c r="AE763" s="274">
        <f t="shared" si="87"/>
        <v>3083</v>
      </c>
      <c r="AF763" s="337"/>
    </row>
    <row r="764" spans="1:32">
      <c r="A764" s="337" t="s">
        <v>1523</v>
      </c>
      <c r="B764" s="146" t="s">
        <v>1</v>
      </c>
      <c r="C764" s="155" t="s">
        <v>1512</v>
      </c>
      <c r="D764" s="147"/>
      <c r="E764" s="148" t="s">
        <v>1470</v>
      </c>
      <c r="F764" s="147" t="s">
        <v>106</v>
      </c>
      <c r="G764" s="147" t="s">
        <v>1429</v>
      </c>
      <c r="H764" s="147">
        <v>46</v>
      </c>
      <c r="I764" s="149">
        <f t="shared" si="88"/>
        <v>46</v>
      </c>
      <c r="J764" s="147"/>
      <c r="K764" s="336" t="s">
        <v>1507</v>
      </c>
      <c r="L764" s="147">
        <v>100</v>
      </c>
      <c r="M764" s="147" t="s">
        <v>9</v>
      </c>
      <c r="N764" s="147"/>
      <c r="O764" s="147" t="s">
        <v>98</v>
      </c>
      <c r="P764" s="147">
        <v>1000</v>
      </c>
      <c r="Q764" s="150">
        <f t="shared" si="89"/>
        <v>0</v>
      </c>
      <c r="R764" s="151"/>
      <c r="S764" s="152">
        <v>5254</v>
      </c>
      <c r="T764" s="158">
        <v>5254</v>
      </c>
      <c r="U764" s="153"/>
      <c r="V764" s="154"/>
      <c r="W764" s="154"/>
      <c r="X764" s="155"/>
      <c r="Y764" s="155" t="s">
        <v>1394</v>
      </c>
      <c r="Z764" s="155" t="s">
        <v>1442</v>
      </c>
      <c r="AA764" s="273">
        <f t="shared" si="90"/>
        <v>5.2539999999999996</v>
      </c>
      <c r="AB764" s="273">
        <f t="shared" si="91"/>
        <v>5.2539999999999996</v>
      </c>
      <c r="AC764" s="156">
        <f t="shared" si="92"/>
        <v>1000</v>
      </c>
      <c r="AD764" s="274">
        <f t="shared" si="93"/>
        <v>5254</v>
      </c>
      <c r="AE764" s="274">
        <f t="shared" si="87"/>
        <v>5254</v>
      </c>
      <c r="AF764" s="337"/>
    </row>
    <row r="765" spans="1:32">
      <c r="A765" s="337" t="s">
        <v>1523</v>
      </c>
      <c r="B765" s="146" t="s">
        <v>1</v>
      </c>
      <c r="C765" s="155" t="s">
        <v>1512</v>
      </c>
      <c r="D765" s="147"/>
      <c r="E765" s="148" t="s">
        <v>1470</v>
      </c>
      <c r="F765" s="147" t="s">
        <v>106</v>
      </c>
      <c r="G765" s="147" t="s">
        <v>1429</v>
      </c>
      <c r="H765" s="147">
        <v>46</v>
      </c>
      <c r="I765" s="149">
        <f t="shared" si="88"/>
        <v>46</v>
      </c>
      <c r="J765" s="147"/>
      <c r="K765" s="336" t="s">
        <v>1508</v>
      </c>
      <c r="L765" s="147">
        <v>100</v>
      </c>
      <c r="M765" s="147" t="s">
        <v>9</v>
      </c>
      <c r="N765" s="147"/>
      <c r="O765" s="147" t="s">
        <v>98</v>
      </c>
      <c r="P765" s="147">
        <v>1000</v>
      </c>
      <c r="Q765" s="150">
        <f t="shared" si="89"/>
        <v>0</v>
      </c>
      <c r="R765" s="151"/>
      <c r="S765" s="152">
        <v>5257</v>
      </c>
      <c r="T765" s="158">
        <v>5257</v>
      </c>
      <c r="U765" s="153"/>
      <c r="V765" s="154"/>
      <c r="W765" s="154"/>
      <c r="X765" s="155"/>
      <c r="Y765" s="155" t="s">
        <v>1394</v>
      </c>
      <c r="Z765" s="155" t="s">
        <v>1442</v>
      </c>
      <c r="AA765" s="273">
        <f t="shared" si="90"/>
        <v>5.2569999999999997</v>
      </c>
      <c r="AB765" s="273">
        <f t="shared" si="91"/>
        <v>5.2569999999999997</v>
      </c>
      <c r="AC765" s="156">
        <f t="shared" si="92"/>
        <v>1000</v>
      </c>
      <c r="AD765" s="274">
        <f t="shared" si="93"/>
        <v>5257</v>
      </c>
      <c r="AE765" s="274">
        <f t="shared" si="87"/>
        <v>5257</v>
      </c>
      <c r="AF765" s="337"/>
    </row>
    <row r="766" spans="1:32">
      <c r="A766" s="337" t="s">
        <v>1523</v>
      </c>
      <c r="B766" s="146" t="s">
        <v>1</v>
      </c>
      <c r="C766" s="155" t="s">
        <v>1512</v>
      </c>
      <c r="D766" s="147"/>
      <c r="E766" s="148" t="s">
        <v>1470</v>
      </c>
      <c r="F766" s="147" t="s">
        <v>106</v>
      </c>
      <c r="G766" s="147" t="s">
        <v>1429</v>
      </c>
      <c r="H766" s="147">
        <v>59</v>
      </c>
      <c r="I766" s="149">
        <f t="shared" si="88"/>
        <v>59</v>
      </c>
      <c r="J766" s="147"/>
      <c r="K766" s="336" t="s">
        <v>99</v>
      </c>
      <c r="L766" s="147">
        <v>100</v>
      </c>
      <c r="M766" s="147" t="s">
        <v>9</v>
      </c>
      <c r="N766" s="147"/>
      <c r="O766" s="147" t="s">
        <v>98</v>
      </c>
      <c r="P766" s="147">
        <v>1000</v>
      </c>
      <c r="Q766" s="150">
        <f t="shared" si="89"/>
        <v>0</v>
      </c>
      <c r="R766" s="151"/>
      <c r="S766" s="152">
        <v>2136</v>
      </c>
      <c r="T766" s="158">
        <v>2136</v>
      </c>
      <c r="U766" s="153"/>
      <c r="V766" s="154"/>
      <c r="W766" s="154"/>
      <c r="X766" s="155"/>
      <c r="Y766" s="155" t="s">
        <v>1394</v>
      </c>
      <c r="Z766" s="155" t="s">
        <v>1442</v>
      </c>
      <c r="AA766" s="273">
        <f t="shared" si="90"/>
        <v>2.1360000000000001</v>
      </c>
      <c r="AB766" s="273">
        <f t="shared" si="91"/>
        <v>2.1360000000000001</v>
      </c>
      <c r="AC766" s="156">
        <f t="shared" si="92"/>
        <v>1000</v>
      </c>
      <c r="AD766" s="274">
        <f t="shared" si="93"/>
        <v>2136</v>
      </c>
      <c r="AE766" s="274">
        <f t="shared" si="87"/>
        <v>2136</v>
      </c>
      <c r="AF766" s="337"/>
    </row>
    <row r="767" spans="1:32">
      <c r="A767" s="337" t="s">
        <v>1523</v>
      </c>
      <c r="B767" s="146" t="s">
        <v>1</v>
      </c>
      <c r="C767" s="155" t="s">
        <v>1512</v>
      </c>
      <c r="D767" s="147"/>
      <c r="E767" s="148" t="s">
        <v>1470</v>
      </c>
      <c r="F767" s="147" t="s">
        <v>106</v>
      </c>
      <c r="G767" s="147" t="s">
        <v>1429</v>
      </c>
      <c r="H767" s="147">
        <v>69</v>
      </c>
      <c r="I767" s="149">
        <f t="shared" si="88"/>
        <v>69</v>
      </c>
      <c r="J767" s="147"/>
      <c r="K767" s="336" t="s">
        <v>1509</v>
      </c>
      <c r="L767" s="147">
        <v>100</v>
      </c>
      <c r="M767" s="147" t="s">
        <v>9</v>
      </c>
      <c r="N767" s="147"/>
      <c r="O767" s="147" t="s">
        <v>98</v>
      </c>
      <c r="P767" s="147">
        <v>1000</v>
      </c>
      <c r="Q767" s="150">
        <f t="shared" si="89"/>
        <v>0</v>
      </c>
      <c r="R767" s="151"/>
      <c r="S767" s="152">
        <v>3133</v>
      </c>
      <c r="T767" s="158">
        <v>3133</v>
      </c>
      <c r="U767" s="153"/>
      <c r="V767" s="154"/>
      <c r="W767" s="154"/>
      <c r="X767" s="155"/>
      <c r="Y767" s="155" t="s">
        <v>1394</v>
      </c>
      <c r="Z767" s="155" t="s">
        <v>1442</v>
      </c>
      <c r="AA767" s="273">
        <f t="shared" si="90"/>
        <v>3.133</v>
      </c>
      <c r="AB767" s="273">
        <f t="shared" si="91"/>
        <v>3.133</v>
      </c>
      <c r="AC767" s="156">
        <f t="shared" si="92"/>
        <v>1000</v>
      </c>
      <c r="AD767" s="274">
        <f t="shared" si="93"/>
        <v>3133</v>
      </c>
      <c r="AE767" s="274">
        <f t="shared" si="87"/>
        <v>3133</v>
      </c>
      <c r="AF767" s="337"/>
    </row>
    <row r="768" spans="1:32">
      <c r="A768" s="337" t="s">
        <v>1523</v>
      </c>
      <c r="B768" s="146" t="s">
        <v>1</v>
      </c>
      <c r="C768" s="155" t="s">
        <v>1512</v>
      </c>
      <c r="D768" s="147"/>
      <c r="E768" s="148" t="s">
        <v>1470</v>
      </c>
      <c r="F768" s="147" t="s">
        <v>106</v>
      </c>
      <c r="G768" s="147" t="s">
        <v>1429</v>
      </c>
      <c r="H768" s="147">
        <v>70</v>
      </c>
      <c r="I768" s="149">
        <f t="shared" si="88"/>
        <v>70</v>
      </c>
      <c r="J768" s="147"/>
      <c r="K768" s="336" t="s">
        <v>1510</v>
      </c>
      <c r="L768" s="147">
        <v>100</v>
      </c>
      <c r="M768" s="147" t="s">
        <v>9</v>
      </c>
      <c r="N768" s="147"/>
      <c r="O768" s="147" t="s">
        <v>98</v>
      </c>
      <c r="P768" s="147">
        <v>1000</v>
      </c>
      <c r="Q768" s="150">
        <f t="shared" si="89"/>
        <v>0</v>
      </c>
      <c r="R768" s="151"/>
      <c r="S768" s="152">
        <v>4149</v>
      </c>
      <c r="T768" s="158">
        <v>4149</v>
      </c>
      <c r="U768" s="153"/>
      <c r="V768" s="154"/>
      <c r="W768" s="154"/>
      <c r="X768" s="155"/>
      <c r="Y768" s="155" t="s">
        <v>1394</v>
      </c>
      <c r="Z768" s="155" t="s">
        <v>1442</v>
      </c>
      <c r="AA768" s="273">
        <f t="shared" si="90"/>
        <v>4.149</v>
      </c>
      <c r="AB768" s="273">
        <f t="shared" si="91"/>
        <v>4.149</v>
      </c>
      <c r="AC768" s="156">
        <f t="shared" si="92"/>
        <v>1000</v>
      </c>
      <c r="AD768" s="274">
        <f t="shared" si="93"/>
        <v>4149</v>
      </c>
      <c r="AE768" s="274">
        <f t="shared" si="87"/>
        <v>4149</v>
      </c>
      <c r="AF768" s="337"/>
    </row>
    <row r="769" spans="1:32">
      <c r="A769" s="337" t="s">
        <v>1523</v>
      </c>
      <c r="B769" s="146" t="s">
        <v>1</v>
      </c>
      <c r="C769" s="155" t="s">
        <v>1512</v>
      </c>
      <c r="D769" s="147"/>
      <c r="E769" s="148" t="s">
        <v>1470</v>
      </c>
      <c r="F769" s="147" t="s">
        <v>106</v>
      </c>
      <c r="G769" s="147" t="s">
        <v>1429</v>
      </c>
      <c r="H769" s="147">
        <v>70</v>
      </c>
      <c r="I769" s="149">
        <f t="shared" si="88"/>
        <v>70</v>
      </c>
      <c r="J769" s="147"/>
      <c r="K769" s="336" t="s">
        <v>1511</v>
      </c>
      <c r="L769" s="147">
        <v>100</v>
      </c>
      <c r="M769" s="147" t="s">
        <v>9</v>
      </c>
      <c r="N769" s="147"/>
      <c r="O769" s="147" t="s">
        <v>98</v>
      </c>
      <c r="P769" s="147">
        <v>1000</v>
      </c>
      <c r="Q769" s="150">
        <f t="shared" si="89"/>
        <v>0</v>
      </c>
      <c r="R769" s="151"/>
      <c r="S769" s="152">
        <v>4192</v>
      </c>
      <c r="T769" s="158">
        <v>4192</v>
      </c>
      <c r="U769" s="153"/>
      <c r="V769" s="154"/>
      <c r="W769" s="154"/>
      <c r="X769" s="155"/>
      <c r="Y769" s="155" t="s">
        <v>1394</v>
      </c>
      <c r="Z769" s="155" t="s">
        <v>1442</v>
      </c>
      <c r="AA769" s="273">
        <f t="shared" si="90"/>
        <v>4.1920000000000002</v>
      </c>
      <c r="AB769" s="273">
        <f t="shared" si="91"/>
        <v>4.1920000000000002</v>
      </c>
      <c r="AC769" s="156">
        <f t="shared" si="92"/>
        <v>1000</v>
      </c>
      <c r="AD769" s="274">
        <f t="shared" si="93"/>
        <v>4192</v>
      </c>
      <c r="AE769" s="274">
        <f t="shared" si="87"/>
        <v>4192</v>
      </c>
      <c r="AF769" s="337"/>
    </row>
    <row r="770" spans="1:32">
      <c r="A770" s="337" t="s">
        <v>1523</v>
      </c>
      <c r="B770" s="146" t="s">
        <v>1</v>
      </c>
      <c r="C770" s="155" t="s">
        <v>1512</v>
      </c>
      <c r="D770" s="147"/>
      <c r="E770" s="148" t="s">
        <v>1471</v>
      </c>
      <c r="F770" s="147" t="s">
        <v>106</v>
      </c>
      <c r="G770" s="147" t="s">
        <v>1429</v>
      </c>
      <c r="H770" s="147">
        <v>7</v>
      </c>
      <c r="I770" s="149">
        <f t="shared" si="88"/>
        <v>7</v>
      </c>
      <c r="J770" s="147"/>
      <c r="K770" s="336" t="s">
        <v>57</v>
      </c>
      <c r="L770" s="147">
        <v>100</v>
      </c>
      <c r="M770" s="147" t="s">
        <v>9</v>
      </c>
      <c r="N770" s="147"/>
      <c r="O770" s="147" t="s">
        <v>98</v>
      </c>
      <c r="P770" s="147">
        <v>1000</v>
      </c>
      <c r="Q770" s="150">
        <f t="shared" si="89"/>
        <v>0</v>
      </c>
      <c r="R770" s="151"/>
      <c r="S770" s="152">
        <v>1000</v>
      </c>
      <c r="T770" s="158">
        <v>1000</v>
      </c>
      <c r="U770" s="153"/>
      <c r="V770" s="154"/>
      <c r="W770" s="154"/>
      <c r="X770" s="155"/>
      <c r="Y770" s="155" t="s">
        <v>1394</v>
      </c>
      <c r="Z770" s="155" t="s">
        <v>1442</v>
      </c>
      <c r="AA770" s="273">
        <f t="shared" si="90"/>
        <v>1</v>
      </c>
      <c r="AB770" s="273">
        <f t="shared" si="91"/>
        <v>1</v>
      </c>
      <c r="AC770" s="156">
        <f t="shared" si="92"/>
        <v>1000</v>
      </c>
      <c r="AD770" s="274">
        <f t="shared" si="93"/>
        <v>1000</v>
      </c>
      <c r="AE770" s="274">
        <f t="shared" si="87"/>
        <v>1000</v>
      </c>
      <c r="AF770" s="337"/>
    </row>
    <row r="771" spans="1:32">
      <c r="A771" s="337" t="s">
        <v>1523</v>
      </c>
      <c r="B771" s="146" t="s">
        <v>1</v>
      </c>
      <c r="C771" s="155" t="s">
        <v>1512</v>
      </c>
      <c r="D771" s="147"/>
      <c r="E771" s="148" t="s">
        <v>1471</v>
      </c>
      <c r="F771" s="147" t="s">
        <v>106</v>
      </c>
      <c r="G771" s="147" t="s">
        <v>1429</v>
      </c>
      <c r="H771" s="147">
        <v>8</v>
      </c>
      <c r="I771" s="149">
        <f t="shared" si="88"/>
        <v>8</v>
      </c>
      <c r="J771" s="147"/>
      <c r="K771" s="336" t="s">
        <v>55</v>
      </c>
      <c r="L771" s="147">
        <v>100</v>
      </c>
      <c r="M771" s="147" t="s">
        <v>9</v>
      </c>
      <c r="N771" s="147"/>
      <c r="O771" s="147" t="s">
        <v>98</v>
      </c>
      <c r="P771" s="147">
        <v>1000</v>
      </c>
      <c r="Q771" s="150">
        <f t="shared" si="89"/>
        <v>0</v>
      </c>
      <c r="R771" s="151"/>
      <c r="S771" s="152">
        <v>1247</v>
      </c>
      <c r="T771" s="158">
        <v>1247</v>
      </c>
      <c r="U771" s="153"/>
      <c r="V771" s="154"/>
      <c r="W771" s="154"/>
      <c r="X771" s="155"/>
      <c r="Y771" s="155" t="s">
        <v>1394</v>
      </c>
      <c r="Z771" s="155" t="s">
        <v>1442</v>
      </c>
      <c r="AA771" s="273">
        <f t="shared" si="90"/>
        <v>1.2470000000000001</v>
      </c>
      <c r="AB771" s="273">
        <f t="shared" si="91"/>
        <v>1.2470000000000001</v>
      </c>
      <c r="AC771" s="156">
        <f t="shared" si="92"/>
        <v>1000</v>
      </c>
      <c r="AD771" s="274">
        <f t="shared" si="93"/>
        <v>1247</v>
      </c>
      <c r="AE771" s="274">
        <f t="shared" ref="AE771:AE783" si="94">AB771*AC771</f>
        <v>1247</v>
      </c>
      <c r="AF771" s="337"/>
    </row>
    <row r="772" spans="1:32">
      <c r="A772" s="337" t="s">
        <v>1523</v>
      </c>
      <c r="B772" s="146" t="s">
        <v>1</v>
      </c>
      <c r="C772" s="155" t="s">
        <v>1512</v>
      </c>
      <c r="D772" s="147"/>
      <c r="E772" s="148" t="s">
        <v>1471</v>
      </c>
      <c r="F772" s="147" t="s">
        <v>106</v>
      </c>
      <c r="G772" s="147" t="s">
        <v>1429</v>
      </c>
      <c r="H772" s="147">
        <v>17</v>
      </c>
      <c r="I772" s="149">
        <f t="shared" si="88"/>
        <v>17</v>
      </c>
      <c r="J772" s="147"/>
      <c r="K772" s="336" t="s">
        <v>53</v>
      </c>
      <c r="L772" s="147">
        <v>100</v>
      </c>
      <c r="M772" s="147" t="s">
        <v>9</v>
      </c>
      <c r="N772" s="147"/>
      <c r="O772" s="147" t="s">
        <v>98</v>
      </c>
      <c r="P772" s="147">
        <v>1000</v>
      </c>
      <c r="Q772" s="150">
        <f t="shared" si="89"/>
        <v>0</v>
      </c>
      <c r="R772" s="151"/>
      <c r="S772" s="152">
        <v>2303</v>
      </c>
      <c r="T772" s="158">
        <v>2303</v>
      </c>
      <c r="U772" s="153"/>
      <c r="V772" s="154"/>
      <c r="W772" s="154"/>
      <c r="X772" s="155"/>
      <c r="Y772" s="155" t="s">
        <v>1394</v>
      </c>
      <c r="Z772" s="155" t="s">
        <v>1442</v>
      </c>
      <c r="AA772" s="273">
        <f t="shared" si="90"/>
        <v>2.3029999999999999</v>
      </c>
      <c r="AB772" s="273">
        <f t="shared" si="91"/>
        <v>2.3029999999999999</v>
      </c>
      <c r="AC772" s="156">
        <f t="shared" si="92"/>
        <v>1000</v>
      </c>
      <c r="AD772" s="274">
        <f t="shared" si="93"/>
        <v>2303</v>
      </c>
      <c r="AE772" s="274">
        <f t="shared" si="94"/>
        <v>2303</v>
      </c>
      <c r="AF772" s="337"/>
    </row>
    <row r="773" spans="1:32">
      <c r="A773" s="337" t="s">
        <v>1523</v>
      </c>
      <c r="B773" s="146" t="s">
        <v>1</v>
      </c>
      <c r="C773" s="155" t="s">
        <v>1512</v>
      </c>
      <c r="D773" s="147"/>
      <c r="E773" s="148" t="s">
        <v>1471</v>
      </c>
      <c r="F773" s="147" t="s">
        <v>106</v>
      </c>
      <c r="G773" s="147" t="s">
        <v>1429</v>
      </c>
      <c r="H773" s="147">
        <v>22</v>
      </c>
      <c r="I773" s="149">
        <f t="shared" si="88"/>
        <v>22</v>
      </c>
      <c r="J773" s="147"/>
      <c r="K773" s="336" t="s">
        <v>51</v>
      </c>
      <c r="L773" s="147">
        <v>100</v>
      </c>
      <c r="M773" s="147" t="s">
        <v>9</v>
      </c>
      <c r="N773" s="147"/>
      <c r="O773" s="147" t="s">
        <v>98</v>
      </c>
      <c r="P773" s="147">
        <v>1000</v>
      </c>
      <c r="Q773" s="150">
        <f t="shared" si="89"/>
        <v>0</v>
      </c>
      <c r="R773" s="151"/>
      <c r="S773" s="152">
        <v>4919</v>
      </c>
      <c r="T773" s="158">
        <v>4919</v>
      </c>
      <c r="U773" s="153"/>
      <c r="V773" s="154"/>
      <c r="W773" s="154"/>
      <c r="X773" s="155"/>
      <c r="Y773" s="155" t="s">
        <v>1394</v>
      </c>
      <c r="Z773" s="155" t="s">
        <v>1442</v>
      </c>
      <c r="AA773" s="273">
        <f t="shared" si="90"/>
        <v>4.9189999999999996</v>
      </c>
      <c r="AB773" s="273">
        <f t="shared" si="91"/>
        <v>4.9189999999999996</v>
      </c>
      <c r="AC773" s="156">
        <f t="shared" si="92"/>
        <v>1000</v>
      </c>
      <c r="AD773" s="274">
        <f t="shared" si="93"/>
        <v>4919</v>
      </c>
      <c r="AE773" s="274">
        <f t="shared" si="94"/>
        <v>4919</v>
      </c>
      <c r="AF773" s="337"/>
    </row>
    <row r="774" spans="1:32">
      <c r="A774" s="337" t="s">
        <v>1523</v>
      </c>
      <c r="B774" s="146" t="s">
        <v>1</v>
      </c>
      <c r="C774" s="155" t="s">
        <v>1512</v>
      </c>
      <c r="D774" s="147"/>
      <c r="E774" s="148" t="s">
        <v>1471</v>
      </c>
      <c r="F774" s="147" t="s">
        <v>106</v>
      </c>
      <c r="G774" s="147" t="s">
        <v>1429</v>
      </c>
      <c r="H774" s="147">
        <v>33</v>
      </c>
      <c r="I774" s="149">
        <f t="shared" si="88"/>
        <v>33</v>
      </c>
      <c r="J774" s="147"/>
      <c r="K774" s="336" t="s">
        <v>59</v>
      </c>
      <c r="L774" s="147">
        <v>100</v>
      </c>
      <c r="M774" s="147" t="s">
        <v>9</v>
      </c>
      <c r="N774" s="147"/>
      <c r="O774" s="147" t="s">
        <v>98</v>
      </c>
      <c r="P774" s="147">
        <v>1000</v>
      </c>
      <c r="Q774" s="150">
        <f t="shared" si="89"/>
        <v>0</v>
      </c>
      <c r="R774" s="151"/>
      <c r="S774" s="152">
        <v>3666</v>
      </c>
      <c r="T774" s="158">
        <v>3666</v>
      </c>
      <c r="U774" s="153"/>
      <c r="V774" s="154"/>
      <c r="W774" s="154"/>
      <c r="X774" s="155"/>
      <c r="Y774" s="155" t="s">
        <v>1394</v>
      </c>
      <c r="Z774" s="155" t="s">
        <v>1442</v>
      </c>
      <c r="AA774" s="273">
        <f t="shared" si="90"/>
        <v>3.6659999999999999</v>
      </c>
      <c r="AB774" s="273">
        <f t="shared" si="91"/>
        <v>3.6659999999999999</v>
      </c>
      <c r="AC774" s="156">
        <f t="shared" si="92"/>
        <v>1000</v>
      </c>
      <c r="AD774" s="274">
        <f t="shared" si="93"/>
        <v>3666</v>
      </c>
      <c r="AE774" s="274">
        <f t="shared" si="94"/>
        <v>3666</v>
      </c>
      <c r="AF774" s="337"/>
    </row>
    <row r="775" spans="1:32">
      <c r="A775" s="337" t="s">
        <v>1523</v>
      </c>
      <c r="B775" s="146" t="s">
        <v>1</v>
      </c>
      <c r="C775" s="155" t="s">
        <v>1512</v>
      </c>
      <c r="D775" s="147"/>
      <c r="E775" s="148" t="s">
        <v>1471</v>
      </c>
      <c r="F775" s="147" t="s">
        <v>106</v>
      </c>
      <c r="G775" s="147" t="s">
        <v>1429</v>
      </c>
      <c r="H775" s="147">
        <v>42</v>
      </c>
      <c r="I775" s="149">
        <f t="shared" si="88"/>
        <v>42</v>
      </c>
      <c r="J775" s="147"/>
      <c r="K775" s="336" t="s">
        <v>61</v>
      </c>
      <c r="L775" s="147">
        <v>100</v>
      </c>
      <c r="M775" s="147" t="s">
        <v>9</v>
      </c>
      <c r="N775" s="147"/>
      <c r="O775" s="147" t="s">
        <v>98</v>
      </c>
      <c r="P775" s="147">
        <v>1000</v>
      </c>
      <c r="Q775" s="150">
        <f t="shared" si="89"/>
        <v>0</v>
      </c>
      <c r="R775" s="151"/>
      <c r="S775" s="152">
        <v>4271</v>
      </c>
      <c r="T775" s="158">
        <v>4271</v>
      </c>
      <c r="U775" s="153"/>
      <c r="V775" s="154"/>
      <c r="W775" s="154"/>
      <c r="X775" s="155"/>
      <c r="Y775" s="155" t="s">
        <v>1394</v>
      </c>
      <c r="Z775" s="155" t="s">
        <v>1442</v>
      </c>
      <c r="AA775" s="273">
        <f t="shared" si="90"/>
        <v>4.2709999999999999</v>
      </c>
      <c r="AB775" s="273">
        <f t="shared" si="91"/>
        <v>4.2709999999999999</v>
      </c>
      <c r="AC775" s="156">
        <f t="shared" si="92"/>
        <v>1000</v>
      </c>
      <c r="AD775" s="274">
        <f t="shared" si="93"/>
        <v>4271</v>
      </c>
      <c r="AE775" s="274">
        <f t="shared" si="94"/>
        <v>4271</v>
      </c>
      <c r="AF775" s="337"/>
    </row>
    <row r="776" spans="1:32">
      <c r="A776" s="337" t="s">
        <v>1523</v>
      </c>
      <c r="B776" s="146" t="s">
        <v>1</v>
      </c>
      <c r="C776" s="155" t="s">
        <v>1512</v>
      </c>
      <c r="D776" s="147"/>
      <c r="E776" s="148" t="s">
        <v>1471</v>
      </c>
      <c r="F776" s="147" t="s">
        <v>106</v>
      </c>
      <c r="G776" s="147" t="s">
        <v>1429</v>
      </c>
      <c r="H776" s="147">
        <v>43</v>
      </c>
      <c r="I776" s="149">
        <f t="shared" si="88"/>
        <v>43</v>
      </c>
      <c r="J776" s="147"/>
      <c r="K776" s="336" t="s">
        <v>1504</v>
      </c>
      <c r="L776" s="147">
        <v>100</v>
      </c>
      <c r="M776" s="147" t="s">
        <v>9</v>
      </c>
      <c r="N776" s="147"/>
      <c r="O776" s="147" t="s">
        <v>98</v>
      </c>
      <c r="P776" s="147">
        <v>1000</v>
      </c>
      <c r="Q776" s="150">
        <f t="shared" si="89"/>
        <v>0</v>
      </c>
      <c r="R776" s="151"/>
      <c r="S776" s="152">
        <v>2536</v>
      </c>
      <c r="T776" s="158">
        <v>2536</v>
      </c>
      <c r="U776" s="153"/>
      <c r="V776" s="154"/>
      <c r="W776" s="154"/>
      <c r="X776" s="155"/>
      <c r="Y776" s="155" t="s">
        <v>1394</v>
      </c>
      <c r="Z776" s="155" t="s">
        <v>1442</v>
      </c>
      <c r="AA776" s="273">
        <f t="shared" si="90"/>
        <v>2.536</v>
      </c>
      <c r="AB776" s="273">
        <f t="shared" si="91"/>
        <v>2.536</v>
      </c>
      <c r="AC776" s="156">
        <f t="shared" si="92"/>
        <v>1000</v>
      </c>
      <c r="AD776" s="274">
        <f t="shared" si="93"/>
        <v>2536</v>
      </c>
      <c r="AE776" s="274">
        <f t="shared" si="94"/>
        <v>2536</v>
      </c>
      <c r="AF776" s="337"/>
    </row>
    <row r="777" spans="1:32">
      <c r="A777" s="337" t="s">
        <v>1523</v>
      </c>
      <c r="B777" s="146" t="s">
        <v>1</v>
      </c>
      <c r="C777" s="155" t="s">
        <v>1512</v>
      </c>
      <c r="D777" s="147"/>
      <c r="E777" s="148" t="s">
        <v>1471</v>
      </c>
      <c r="F777" s="147" t="s">
        <v>106</v>
      </c>
      <c r="G777" s="147" t="s">
        <v>1429</v>
      </c>
      <c r="H777" s="147">
        <v>46</v>
      </c>
      <c r="I777" s="149">
        <f t="shared" si="88"/>
        <v>46</v>
      </c>
      <c r="J777" s="147"/>
      <c r="K777" s="336" t="s">
        <v>1506</v>
      </c>
      <c r="L777" s="147">
        <v>100</v>
      </c>
      <c r="M777" s="147" t="s">
        <v>9</v>
      </c>
      <c r="N777" s="147"/>
      <c r="O777" s="147" t="s">
        <v>98</v>
      </c>
      <c r="P777" s="147">
        <v>1000</v>
      </c>
      <c r="Q777" s="150">
        <f t="shared" si="89"/>
        <v>0</v>
      </c>
      <c r="R777" s="151"/>
      <c r="S777" s="152">
        <v>3007</v>
      </c>
      <c r="T777" s="158">
        <v>3007</v>
      </c>
      <c r="U777" s="153"/>
      <c r="V777" s="154"/>
      <c r="W777" s="154"/>
      <c r="X777" s="155"/>
      <c r="Y777" s="155" t="s">
        <v>1394</v>
      </c>
      <c r="Z777" s="155" t="s">
        <v>1442</v>
      </c>
      <c r="AA777" s="273">
        <f t="shared" si="90"/>
        <v>3.0070000000000001</v>
      </c>
      <c r="AB777" s="273">
        <f t="shared" si="91"/>
        <v>3.0070000000000001</v>
      </c>
      <c r="AC777" s="156">
        <f t="shared" si="92"/>
        <v>1000</v>
      </c>
      <c r="AD777" s="274">
        <f t="shared" si="93"/>
        <v>3007</v>
      </c>
      <c r="AE777" s="274">
        <f t="shared" si="94"/>
        <v>3007</v>
      </c>
      <c r="AF777" s="337"/>
    </row>
    <row r="778" spans="1:32">
      <c r="A778" s="337" t="s">
        <v>1523</v>
      </c>
      <c r="B778" s="146" t="s">
        <v>1</v>
      </c>
      <c r="C778" s="155" t="s">
        <v>1512</v>
      </c>
      <c r="D778" s="147"/>
      <c r="E778" s="148" t="s">
        <v>1471</v>
      </c>
      <c r="F778" s="147" t="s">
        <v>106</v>
      </c>
      <c r="G778" s="147" t="s">
        <v>1429</v>
      </c>
      <c r="H778" s="147">
        <v>46</v>
      </c>
      <c r="I778" s="149">
        <f t="shared" si="88"/>
        <v>46</v>
      </c>
      <c r="J778" s="147"/>
      <c r="K778" s="336" t="s">
        <v>1507</v>
      </c>
      <c r="L778" s="147">
        <v>100</v>
      </c>
      <c r="M778" s="147" t="s">
        <v>9</v>
      </c>
      <c r="N778" s="147"/>
      <c r="O778" s="147" t="s">
        <v>98</v>
      </c>
      <c r="P778" s="147">
        <v>1000</v>
      </c>
      <c r="Q778" s="150">
        <f t="shared" si="89"/>
        <v>0</v>
      </c>
      <c r="R778" s="151"/>
      <c r="S778" s="152">
        <v>5270</v>
      </c>
      <c r="T778" s="158">
        <v>5270</v>
      </c>
      <c r="U778" s="153"/>
      <c r="V778" s="154"/>
      <c r="W778" s="154"/>
      <c r="X778" s="155"/>
      <c r="Y778" s="155" t="s">
        <v>1394</v>
      </c>
      <c r="Z778" s="155" t="s">
        <v>1442</v>
      </c>
      <c r="AA778" s="273">
        <f t="shared" si="90"/>
        <v>5.27</v>
      </c>
      <c r="AB778" s="273">
        <f t="shared" si="91"/>
        <v>5.27</v>
      </c>
      <c r="AC778" s="156">
        <f t="shared" si="92"/>
        <v>1000</v>
      </c>
      <c r="AD778" s="274">
        <f t="shared" si="93"/>
        <v>5270</v>
      </c>
      <c r="AE778" s="274">
        <f t="shared" si="94"/>
        <v>5270</v>
      </c>
      <c r="AF778" s="337"/>
    </row>
    <row r="779" spans="1:32">
      <c r="A779" s="337" t="s">
        <v>1523</v>
      </c>
      <c r="B779" s="146" t="s">
        <v>1</v>
      </c>
      <c r="C779" s="155" t="s">
        <v>1512</v>
      </c>
      <c r="D779" s="147"/>
      <c r="E779" s="148" t="s">
        <v>1471</v>
      </c>
      <c r="F779" s="147" t="s">
        <v>106</v>
      </c>
      <c r="G779" s="147" t="s">
        <v>1429</v>
      </c>
      <c r="H779" s="147">
        <v>46</v>
      </c>
      <c r="I779" s="149">
        <f t="shared" si="88"/>
        <v>46</v>
      </c>
      <c r="J779" s="147"/>
      <c r="K779" s="336" t="s">
        <v>1508</v>
      </c>
      <c r="L779" s="147">
        <v>100</v>
      </c>
      <c r="M779" s="147" t="s">
        <v>9</v>
      </c>
      <c r="N779" s="147"/>
      <c r="O779" s="147" t="s">
        <v>98</v>
      </c>
      <c r="P779" s="147">
        <v>1000</v>
      </c>
      <c r="Q779" s="150">
        <f t="shared" si="89"/>
        <v>0</v>
      </c>
      <c r="R779" s="151"/>
      <c r="S779" s="152">
        <v>5250</v>
      </c>
      <c r="T779" s="158">
        <v>5250</v>
      </c>
      <c r="U779" s="153"/>
      <c r="V779" s="154"/>
      <c r="W779" s="154"/>
      <c r="X779" s="155"/>
      <c r="Y779" s="155" t="s">
        <v>1394</v>
      </c>
      <c r="Z779" s="155" t="s">
        <v>1442</v>
      </c>
      <c r="AA779" s="273">
        <f t="shared" si="90"/>
        <v>5.25</v>
      </c>
      <c r="AB779" s="273">
        <f t="shared" si="91"/>
        <v>5.25</v>
      </c>
      <c r="AC779" s="156">
        <f t="shared" si="92"/>
        <v>1000</v>
      </c>
      <c r="AD779" s="274">
        <f t="shared" si="93"/>
        <v>5250</v>
      </c>
      <c r="AE779" s="274">
        <f t="shared" si="94"/>
        <v>5250</v>
      </c>
      <c r="AF779" s="337"/>
    </row>
    <row r="780" spans="1:32">
      <c r="A780" s="337" t="s">
        <v>1523</v>
      </c>
      <c r="B780" s="146" t="s">
        <v>1</v>
      </c>
      <c r="C780" s="155" t="s">
        <v>1512</v>
      </c>
      <c r="D780" s="147"/>
      <c r="E780" s="148" t="s">
        <v>1471</v>
      </c>
      <c r="F780" s="147" t="s">
        <v>106</v>
      </c>
      <c r="G780" s="147" t="s">
        <v>1429</v>
      </c>
      <c r="H780" s="147">
        <v>59</v>
      </c>
      <c r="I780" s="149">
        <f t="shared" si="88"/>
        <v>59</v>
      </c>
      <c r="J780" s="147"/>
      <c r="K780" s="336" t="s">
        <v>99</v>
      </c>
      <c r="L780" s="147">
        <v>100</v>
      </c>
      <c r="M780" s="147" t="s">
        <v>9</v>
      </c>
      <c r="N780" s="147"/>
      <c r="O780" s="147" t="s">
        <v>98</v>
      </c>
      <c r="P780" s="147">
        <v>1000</v>
      </c>
      <c r="Q780" s="150">
        <f t="shared" si="89"/>
        <v>0</v>
      </c>
      <c r="R780" s="151"/>
      <c r="S780" s="152">
        <v>2680</v>
      </c>
      <c r="T780" s="158">
        <v>2680</v>
      </c>
      <c r="U780" s="153"/>
      <c r="V780" s="154"/>
      <c r="W780" s="154"/>
      <c r="X780" s="155"/>
      <c r="Y780" s="155" t="s">
        <v>1394</v>
      </c>
      <c r="Z780" s="155" t="s">
        <v>1442</v>
      </c>
      <c r="AA780" s="273">
        <f t="shared" si="90"/>
        <v>2.68</v>
      </c>
      <c r="AB780" s="273">
        <f t="shared" si="91"/>
        <v>2.68</v>
      </c>
      <c r="AC780" s="156">
        <f t="shared" si="92"/>
        <v>1000</v>
      </c>
      <c r="AD780" s="274">
        <f t="shared" si="93"/>
        <v>2680</v>
      </c>
      <c r="AE780" s="274">
        <f t="shared" si="94"/>
        <v>2680</v>
      </c>
      <c r="AF780" s="337"/>
    </row>
    <row r="781" spans="1:32">
      <c r="A781" s="337" t="s">
        <v>1523</v>
      </c>
      <c r="B781" s="146" t="s">
        <v>1</v>
      </c>
      <c r="C781" s="155" t="s">
        <v>1512</v>
      </c>
      <c r="D781" s="147"/>
      <c r="E781" s="148" t="s">
        <v>1471</v>
      </c>
      <c r="F781" s="147" t="s">
        <v>106</v>
      </c>
      <c r="G781" s="147" t="s">
        <v>1429</v>
      </c>
      <c r="H781" s="147">
        <v>69</v>
      </c>
      <c r="I781" s="149">
        <f t="shared" si="88"/>
        <v>69</v>
      </c>
      <c r="J781" s="147"/>
      <c r="K781" s="336" t="s">
        <v>1509</v>
      </c>
      <c r="L781" s="147">
        <v>100</v>
      </c>
      <c r="M781" s="147" t="s">
        <v>9</v>
      </c>
      <c r="N781" s="147"/>
      <c r="O781" s="147" t="s">
        <v>98</v>
      </c>
      <c r="P781" s="147">
        <v>1000</v>
      </c>
      <c r="Q781" s="150">
        <f t="shared" si="89"/>
        <v>0</v>
      </c>
      <c r="R781" s="151"/>
      <c r="S781" s="152">
        <v>2836</v>
      </c>
      <c r="T781" s="158">
        <v>2836</v>
      </c>
      <c r="U781" s="153"/>
      <c r="V781" s="154"/>
      <c r="W781" s="154"/>
      <c r="X781" s="155"/>
      <c r="Y781" s="155" t="s">
        <v>1394</v>
      </c>
      <c r="Z781" s="155" t="s">
        <v>1442</v>
      </c>
      <c r="AA781" s="273">
        <f t="shared" si="90"/>
        <v>2.8359999999999999</v>
      </c>
      <c r="AB781" s="273">
        <f t="shared" si="91"/>
        <v>2.8359999999999999</v>
      </c>
      <c r="AC781" s="156">
        <f t="shared" si="92"/>
        <v>1000</v>
      </c>
      <c r="AD781" s="274">
        <f t="shared" si="93"/>
        <v>2836</v>
      </c>
      <c r="AE781" s="274">
        <f t="shared" si="94"/>
        <v>2836</v>
      </c>
      <c r="AF781" s="337"/>
    </row>
    <row r="782" spans="1:32">
      <c r="A782" s="337" t="s">
        <v>1523</v>
      </c>
      <c r="B782" s="146" t="s">
        <v>1</v>
      </c>
      <c r="C782" s="155" t="s">
        <v>1512</v>
      </c>
      <c r="D782" s="147"/>
      <c r="E782" s="148" t="s">
        <v>1471</v>
      </c>
      <c r="F782" s="147" t="s">
        <v>106</v>
      </c>
      <c r="G782" s="147" t="s">
        <v>1429</v>
      </c>
      <c r="H782" s="147">
        <v>70</v>
      </c>
      <c r="I782" s="149">
        <f t="shared" si="88"/>
        <v>70</v>
      </c>
      <c r="J782" s="147"/>
      <c r="K782" s="336" t="s">
        <v>1510</v>
      </c>
      <c r="L782" s="147">
        <v>100</v>
      </c>
      <c r="M782" s="147" t="s">
        <v>9</v>
      </c>
      <c r="N782" s="147"/>
      <c r="O782" s="147" t="s">
        <v>98</v>
      </c>
      <c r="P782" s="147">
        <v>1000</v>
      </c>
      <c r="Q782" s="150">
        <f t="shared" si="89"/>
        <v>0</v>
      </c>
      <c r="R782" s="151"/>
      <c r="S782" s="152">
        <v>4057</v>
      </c>
      <c r="T782" s="158">
        <v>4057</v>
      </c>
      <c r="U782" s="153"/>
      <c r="V782" s="154"/>
      <c r="W782" s="154"/>
      <c r="X782" s="155"/>
      <c r="Y782" s="155" t="s">
        <v>1394</v>
      </c>
      <c r="Z782" s="155" t="s">
        <v>1442</v>
      </c>
      <c r="AA782" s="273">
        <f t="shared" si="90"/>
        <v>4.0570000000000004</v>
      </c>
      <c r="AB782" s="273">
        <f t="shared" si="91"/>
        <v>4.0570000000000004</v>
      </c>
      <c r="AC782" s="156">
        <f t="shared" si="92"/>
        <v>1000</v>
      </c>
      <c r="AD782" s="274">
        <f t="shared" si="93"/>
        <v>4057.0000000000005</v>
      </c>
      <c r="AE782" s="274">
        <f t="shared" si="94"/>
        <v>4057.0000000000005</v>
      </c>
      <c r="AF782" s="337"/>
    </row>
    <row r="783" spans="1:32">
      <c r="A783" s="337" t="s">
        <v>1523</v>
      </c>
      <c r="B783" s="146" t="s">
        <v>1</v>
      </c>
      <c r="C783" s="155" t="s">
        <v>1512</v>
      </c>
      <c r="D783" s="147"/>
      <c r="E783" s="148" t="s">
        <v>1471</v>
      </c>
      <c r="F783" s="147" t="s">
        <v>106</v>
      </c>
      <c r="G783" s="147" t="s">
        <v>1429</v>
      </c>
      <c r="H783" s="147">
        <v>70</v>
      </c>
      <c r="I783" s="149">
        <f t="shared" si="88"/>
        <v>70</v>
      </c>
      <c r="J783" s="147"/>
      <c r="K783" s="336" t="s">
        <v>1511</v>
      </c>
      <c r="L783" s="147">
        <v>100</v>
      </c>
      <c r="M783" s="147" t="s">
        <v>9</v>
      </c>
      <c r="N783" s="147"/>
      <c r="O783" s="147" t="s">
        <v>98</v>
      </c>
      <c r="P783" s="147">
        <v>1000</v>
      </c>
      <c r="Q783" s="150">
        <f t="shared" si="89"/>
        <v>0</v>
      </c>
      <c r="R783" s="151"/>
      <c r="S783" s="152">
        <v>4127</v>
      </c>
      <c r="T783" s="158">
        <v>4127</v>
      </c>
      <c r="U783" s="153"/>
      <c r="V783" s="154"/>
      <c r="W783" s="154"/>
      <c r="X783" s="155"/>
      <c r="Y783" s="155" t="s">
        <v>1394</v>
      </c>
      <c r="Z783" s="155" t="s">
        <v>1442</v>
      </c>
      <c r="AA783" s="273">
        <f t="shared" si="90"/>
        <v>4.1269999999999998</v>
      </c>
      <c r="AB783" s="273">
        <f t="shared" si="91"/>
        <v>4.1269999999999998</v>
      </c>
      <c r="AC783" s="156">
        <f t="shared" si="92"/>
        <v>1000</v>
      </c>
      <c r="AD783" s="274">
        <f t="shared" si="93"/>
        <v>4127</v>
      </c>
      <c r="AE783" s="274">
        <f t="shared" si="94"/>
        <v>4127</v>
      </c>
      <c r="AF783" s="337"/>
    </row>
    <row r="784" spans="1:32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</sheetData>
  <autoFilter ref="A14:AF783">
    <sortState ref="A15:AF1760">
      <sortCondition ref="B15:B1760"/>
    </sortState>
  </autoFilter>
  <sortState ref="A15:AF2355">
    <sortCondition ref="B15:B2355"/>
    <sortCondition ref="C15:C2355"/>
    <sortCondition ref="E15:E2355"/>
  </sortState>
  <mergeCells count="9">
    <mergeCell ref="D2:E2"/>
    <mergeCell ref="A3:Q3"/>
    <mergeCell ref="A4:Q4"/>
    <mergeCell ref="A6:Q6"/>
    <mergeCell ref="U12:W12"/>
    <mergeCell ref="R12:T12"/>
    <mergeCell ref="R2:S2"/>
    <mergeCell ref="A7:Q7"/>
    <mergeCell ref="A5:Q5"/>
  </mergeCells>
  <hyperlinks>
    <hyperlink ref="D2:E2" location="'INDICE_ MODELO'!C86" display="Ir a Indice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O1032"/>
  <sheetViews>
    <sheetView zoomScale="85" zoomScaleNormal="85" workbookViewId="0"/>
  </sheetViews>
  <sheetFormatPr baseColWidth="10" defaultColWidth="0" defaultRowHeight="15" zeroHeight="1"/>
  <cols>
    <col min="1" max="1" width="27.85546875" customWidth="1"/>
    <col min="2" max="2" width="26.140625" customWidth="1"/>
    <col min="3" max="3" width="11.42578125" customWidth="1"/>
    <col min="4" max="4" width="14.85546875" customWidth="1"/>
    <col min="5" max="5" width="60.5703125" customWidth="1"/>
    <col min="6" max="6" width="6.42578125" customWidth="1"/>
    <col min="7" max="7" width="24.140625" customWidth="1"/>
    <col min="8" max="8" width="17" style="227" customWidth="1"/>
    <col min="9" max="11" width="15.28515625" customWidth="1"/>
    <col min="12" max="12" width="15.28515625" style="227" customWidth="1"/>
    <col min="13" max="13" width="15.28515625" customWidth="1"/>
    <col min="14" max="14" width="15.28515625" style="227" customWidth="1"/>
    <col min="15" max="15" width="15.28515625" customWidth="1"/>
    <col min="16" max="16" width="15.28515625" style="227" customWidth="1"/>
    <col min="17" max="17" width="15.28515625" customWidth="1"/>
    <col min="18" max="18" width="16" style="227" customWidth="1"/>
    <col min="19" max="19" width="15.28515625" customWidth="1"/>
    <col min="20" max="20" width="15.28515625" style="227" customWidth="1"/>
    <col min="21" max="21" width="15.28515625" customWidth="1"/>
    <col min="22" max="22" width="15.28515625" style="227" customWidth="1"/>
    <col min="23" max="23" width="15.28515625" customWidth="1"/>
    <col min="24" max="24" width="15.28515625" style="227" customWidth="1"/>
    <col min="25" max="25" width="15.28515625" customWidth="1"/>
    <col min="26" max="26" width="15.28515625" style="227" customWidth="1"/>
    <col min="27" max="27" width="15.28515625" customWidth="1"/>
    <col min="28" max="28" width="15.28515625" style="227" customWidth="1"/>
    <col min="29" max="29" width="15.28515625" customWidth="1"/>
    <col min="30" max="30" width="29.140625" hidden="1" customWidth="1"/>
    <col min="31" max="32" width="29.42578125" style="227" hidden="1" customWidth="1"/>
    <col min="33" max="33" width="29.140625" hidden="1" customWidth="1"/>
    <col min="34" max="34" width="24.85546875" style="227" hidden="1" customWidth="1"/>
    <col min="35" max="35" width="24.28515625" hidden="1" customWidth="1"/>
    <col min="36" max="36" width="24.28515625" style="227" hidden="1" customWidth="1"/>
    <col min="37" max="37" width="29.140625" hidden="1" customWidth="1"/>
    <col min="38" max="40" width="29.140625" style="227" hidden="1" customWidth="1"/>
    <col min="41" max="41" width="29.140625" hidden="1" customWidth="1"/>
    <col min="42" max="16384" width="11.42578125" hidden="1"/>
  </cols>
  <sheetData>
    <row r="1" spans="1:41" ht="15.75">
      <c r="A1" s="214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9"/>
      <c r="AD1" s="37"/>
      <c r="AE1" s="72"/>
      <c r="AF1" s="72"/>
      <c r="AG1" s="37"/>
      <c r="AH1" s="72"/>
      <c r="AI1" s="72"/>
      <c r="AJ1" s="72"/>
      <c r="AK1" s="37"/>
      <c r="AL1" s="72"/>
      <c r="AM1" s="72"/>
      <c r="AN1" s="72"/>
      <c r="AO1" s="40"/>
    </row>
    <row r="2" spans="1:41" ht="20.25">
      <c r="A2" s="217"/>
      <c r="B2" s="86"/>
      <c r="C2" s="86"/>
      <c r="D2" s="480" t="s">
        <v>1940</v>
      </c>
      <c r="E2" s="480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2"/>
      <c r="T2" s="82"/>
      <c r="U2" s="82"/>
      <c r="V2" s="82"/>
      <c r="W2" s="82"/>
      <c r="X2" s="82"/>
      <c r="Y2" s="82"/>
      <c r="Z2" s="82"/>
      <c r="AA2" s="82"/>
      <c r="AB2" s="82"/>
      <c r="AC2" s="220"/>
      <c r="AD2" s="71" t="s">
        <v>1455</v>
      </c>
      <c r="AE2" s="82"/>
      <c r="AF2" s="82"/>
      <c r="AG2" s="12"/>
      <c r="AH2" s="82"/>
      <c r="AI2" s="71"/>
      <c r="AJ2" s="82"/>
      <c r="AK2" s="12"/>
      <c r="AL2" s="82"/>
      <c r="AM2" s="82"/>
      <c r="AN2" s="82"/>
      <c r="AO2" s="41"/>
    </row>
    <row r="3" spans="1:41" ht="20.25" customHeight="1">
      <c r="A3" s="525" t="s">
        <v>1937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7"/>
      <c r="AD3" s="71" t="s">
        <v>1456</v>
      </c>
      <c r="AE3" s="82"/>
      <c r="AF3" s="82"/>
      <c r="AG3" s="57"/>
      <c r="AH3" s="236"/>
      <c r="AI3" s="76"/>
      <c r="AJ3" s="236"/>
      <c r="AK3" s="57"/>
      <c r="AL3" s="236"/>
      <c r="AM3" s="236"/>
      <c r="AN3" s="236"/>
      <c r="AO3" s="58"/>
    </row>
    <row r="4" spans="1:41" ht="20.25" customHeight="1">
      <c r="A4" s="525" t="s">
        <v>1938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  <c r="S4" s="526"/>
      <c r="T4" s="526"/>
      <c r="U4" s="526"/>
      <c r="V4" s="526"/>
      <c r="W4" s="526"/>
      <c r="X4" s="526"/>
      <c r="Y4" s="526"/>
      <c r="Z4" s="526"/>
      <c r="AA4" s="526"/>
      <c r="AB4" s="526"/>
      <c r="AC4" s="527"/>
      <c r="AD4" s="71" t="s">
        <v>1458</v>
      </c>
      <c r="AE4" s="82"/>
      <c r="AF4" s="82"/>
      <c r="AG4" s="57"/>
      <c r="AH4" s="236"/>
      <c r="AI4" s="76"/>
      <c r="AJ4" s="236"/>
      <c r="AK4" s="57"/>
      <c r="AL4" s="236"/>
      <c r="AM4" s="236"/>
      <c r="AN4" s="236"/>
      <c r="AO4" s="58"/>
    </row>
    <row r="5" spans="1:41" ht="20.25" customHeight="1">
      <c r="A5" s="525" t="s">
        <v>1939</v>
      </c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7"/>
      <c r="AD5" s="71" t="s">
        <v>1457</v>
      </c>
      <c r="AE5" s="82"/>
      <c r="AF5" s="82"/>
      <c r="AG5" s="62"/>
      <c r="AH5" s="62"/>
      <c r="AI5" s="62"/>
      <c r="AJ5" s="62"/>
      <c r="AK5" s="62"/>
      <c r="AL5" s="62"/>
      <c r="AM5" s="62"/>
      <c r="AN5" s="62"/>
      <c r="AO5" s="63"/>
    </row>
    <row r="6" spans="1:41" s="227" customFormat="1" ht="9" customHeight="1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1"/>
      <c r="AD6" s="82" t="s">
        <v>1459</v>
      </c>
      <c r="AE6" s="82"/>
      <c r="AF6" s="82"/>
      <c r="AG6" s="62"/>
      <c r="AH6" s="62"/>
      <c r="AI6" s="62"/>
      <c r="AJ6" s="62"/>
      <c r="AK6" s="62"/>
      <c r="AL6" s="62"/>
      <c r="AM6" s="62"/>
      <c r="AN6" s="62"/>
      <c r="AO6" s="63"/>
    </row>
    <row r="7" spans="1:41" ht="20.25">
      <c r="A7" s="525" t="s">
        <v>1379</v>
      </c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  <c r="V7" s="526"/>
      <c r="W7" s="526"/>
      <c r="X7" s="526"/>
      <c r="Y7" s="526"/>
      <c r="Z7" s="526"/>
      <c r="AA7" s="526"/>
      <c r="AB7" s="526"/>
      <c r="AC7" s="527"/>
      <c r="AD7" s="82" t="s">
        <v>1460</v>
      </c>
      <c r="AE7" s="82"/>
      <c r="AF7" s="82"/>
      <c r="AG7" s="57"/>
      <c r="AH7" s="236"/>
      <c r="AI7" s="76"/>
      <c r="AJ7" s="236"/>
      <c r="AK7" s="57"/>
      <c r="AL7" s="236"/>
      <c r="AM7" s="236"/>
      <c r="AN7" s="236"/>
      <c r="AO7" s="58"/>
    </row>
    <row r="8" spans="1:41" ht="20.25" hidden="1" customHeight="1">
      <c r="A8" s="221"/>
      <c r="B8" s="236"/>
      <c r="C8" s="218"/>
      <c r="H8"/>
      <c r="L8"/>
      <c r="N8"/>
      <c r="P8"/>
      <c r="R8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22"/>
      <c r="AD8" s="82" t="s">
        <v>1934</v>
      </c>
      <c r="AE8" s="82"/>
      <c r="AF8" s="82"/>
      <c r="AG8" s="57"/>
      <c r="AH8" s="236"/>
      <c r="AI8" s="76"/>
      <c r="AJ8" s="236"/>
      <c r="AK8" s="48"/>
      <c r="AL8" s="236"/>
      <c r="AM8" s="236"/>
      <c r="AN8" s="236"/>
      <c r="AO8" s="49"/>
    </row>
    <row r="9" spans="1:41" ht="18.75" hidden="1" customHeight="1">
      <c r="A9" s="221"/>
      <c r="B9" s="236"/>
      <c r="C9" s="80"/>
      <c r="H9"/>
      <c r="L9"/>
      <c r="N9"/>
      <c r="P9"/>
      <c r="R9"/>
      <c r="S9" s="53"/>
      <c r="T9" s="53"/>
      <c r="U9" s="53"/>
      <c r="V9" s="53"/>
      <c r="W9" s="53"/>
      <c r="X9" s="53"/>
      <c r="Y9" s="53"/>
      <c r="Z9" s="53"/>
      <c r="AA9" s="236"/>
      <c r="AB9" s="236"/>
      <c r="AC9" s="222"/>
      <c r="AD9" s="71"/>
      <c r="AE9" s="82"/>
      <c r="AF9" s="82"/>
      <c r="AG9" s="78"/>
      <c r="AH9" s="236"/>
      <c r="AI9" s="78"/>
      <c r="AJ9" s="236"/>
      <c r="AK9" s="78"/>
      <c r="AL9" s="236"/>
      <c r="AM9" s="236"/>
      <c r="AN9" s="236"/>
      <c r="AO9" s="79"/>
    </row>
    <row r="10" spans="1:41" ht="20.25" hidden="1" customHeight="1">
      <c r="A10" s="221"/>
      <c r="B10" s="236"/>
      <c r="C10" s="80"/>
      <c r="H10"/>
      <c r="L10"/>
      <c r="N10"/>
      <c r="P10"/>
      <c r="R10"/>
      <c r="S10" s="53"/>
      <c r="T10" s="53"/>
      <c r="U10" s="53"/>
      <c r="V10" s="53"/>
      <c r="W10" s="53"/>
      <c r="X10" s="53"/>
      <c r="Y10" s="53"/>
      <c r="Z10" s="53"/>
      <c r="AA10" s="236"/>
      <c r="AB10" s="236"/>
      <c r="AC10" s="222"/>
      <c r="AD10" s="82"/>
      <c r="AE10" s="82"/>
      <c r="AF10" s="82"/>
      <c r="AG10" s="87"/>
      <c r="AH10" s="236"/>
      <c r="AI10" s="87"/>
      <c r="AJ10" s="236"/>
      <c r="AK10" s="87"/>
      <c r="AL10" s="236"/>
      <c r="AM10" s="236"/>
      <c r="AN10" s="236"/>
      <c r="AO10" s="88"/>
    </row>
    <row r="11" spans="1:41" ht="20.25" hidden="1" customHeight="1">
      <c r="A11" s="221"/>
      <c r="B11" s="236"/>
      <c r="C11" s="80"/>
      <c r="H11"/>
      <c r="L11"/>
      <c r="N11"/>
      <c r="P11"/>
      <c r="R11"/>
      <c r="S11" s="53"/>
      <c r="T11" s="53"/>
      <c r="U11" s="53"/>
      <c r="V11" s="53"/>
      <c r="W11" s="53"/>
      <c r="X11" s="53"/>
      <c r="Y11" s="53"/>
      <c r="Z11" s="53"/>
      <c r="AA11" s="236"/>
      <c r="AB11" s="236"/>
      <c r="AC11" s="222"/>
      <c r="AD11" s="82" t="s">
        <v>1954</v>
      </c>
      <c r="AE11" s="82"/>
      <c r="AF11" s="82"/>
      <c r="AG11" s="87"/>
      <c r="AH11" s="236"/>
      <c r="AI11" s="87"/>
      <c r="AJ11" s="236"/>
      <c r="AK11" s="87"/>
      <c r="AL11" s="236"/>
      <c r="AM11" s="236"/>
      <c r="AN11" s="236"/>
      <c r="AO11" s="88"/>
    </row>
    <row r="12" spans="1:41" ht="20.25" hidden="1" customHeight="1">
      <c r="A12" s="221"/>
      <c r="B12" s="236"/>
      <c r="C12" s="80"/>
      <c r="H12"/>
      <c r="L12"/>
      <c r="N12"/>
      <c r="P12"/>
      <c r="R12"/>
      <c r="S12" s="53"/>
      <c r="T12" s="53"/>
      <c r="U12" s="53"/>
      <c r="V12" s="53"/>
      <c r="W12" s="53"/>
      <c r="X12" s="53"/>
      <c r="Y12" s="53"/>
      <c r="Z12" s="53"/>
      <c r="AA12" s="236"/>
      <c r="AB12" s="236"/>
      <c r="AC12" s="222"/>
      <c r="AD12" s="82" t="s">
        <v>1648</v>
      </c>
      <c r="AE12" s="82"/>
      <c r="AF12" s="82"/>
      <c r="AG12" s="87"/>
      <c r="AH12" s="236"/>
      <c r="AI12" s="87"/>
      <c r="AJ12" s="236"/>
      <c r="AK12" s="87"/>
      <c r="AL12" s="236"/>
      <c r="AM12" s="236"/>
      <c r="AN12" s="236"/>
      <c r="AO12" s="88"/>
    </row>
    <row r="13" spans="1:41" ht="20.25" hidden="1" customHeight="1">
      <c r="A13" s="221"/>
      <c r="B13" s="236"/>
      <c r="C13" s="80"/>
      <c r="H13"/>
      <c r="L13"/>
      <c r="N13"/>
      <c r="P13"/>
      <c r="R13"/>
      <c r="S13" s="53"/>
      <c r="T13" s="53"/>
      <c r="U13" s="53"/>
      <c r="V13" s="53"/>
      <c r="W13" s="53"/>
      <c r="X13" s="53"/>
      <c r="Y13" s="53"/>
      <c r="Z13" s="53"/>
      <c r="AA13" s="236"/>
      <c r="AB13" s="236"/>
      <c r="AC13" s="222"/>
      <c r="AD13" s="82"/>
      <c r="AE13" s="82"/>
      <c r="AF13" s="82"/>
      <c r="AG13" s="87"/>
      <c r="AH13" s="236"/>
      <c r="AI13" s="87"/>
      <c r="AJ13" s="236"/>
      <c r="AK13" s="87"/>
      <c r="AL13" s="236"/>
      <c r="AM13" s="236"/>
      <c r="AN13" s="236"/>
      <c r="AO13" s="88"/>
    </row>
    <row r="14" spans="1:41" ht="20.25" hidden="1" customHeight="1">
      <c r="A14" s="221"/>
      <c r="B14" s="236"/>
      <c r="C14" s="80"/>
      <c r="H14"/>
      <c r="L14"/>
      <c r="N14"/>
      <c r="P14"/>
      <c r="R14"/>
      <c r="S14" s="53"/>
      <c r="T14" s="53"/>
      <c r="U14" s="53"/>
      <c r="V14" s="53"/>
      <c r="W14" s="53"/>
      <c r="X14" s="53"/>
      <c r="Y14" s="53"/>
      <c r="Z14" s="53"/>
      <c r="AA14" s="236"/>
      <c r="AB14" s="236"/>
      <c r="AC14" s="222"/>
      <c r="AD14" s="82"/>
      <c r="AE14" s="82"/>
      <c r="AF14" s="82"/>
      <c r="AG14" s="87"/>
      <c r="AH14" s="236"/>
      <c r="AI14" s="87"/>
      <c r="AJ14" s="236"/>
      <c r="AK14" s="87"/>
      <c r="AL14" s="236"/>
      <c r="AM14" s="236"/>
      <c r="AN14" s="236"/>
      <c r="AO14" s="88"/>
    </row>
    <row r="15" spans="1:41" ht="20.25" hidden="1" customHeight="1">
      <c r="A15" s="221"/>
      <c r="B15" s="236"/>
      <c r="C15" s="80"/>
      <c r="H15"/>
      <c r="L15"/>
      <c r="N15"/>
      <c r="P15"/>
      <c r="R15"/>
      <c r="S15" s="53"/>
      <c r="T15" s="53"/>
      <c r="U15" s="53"/>
      <c r="V15" s="53"/>
      <c r="W15" s="53"/>
      <c r="X15" s="53"/>
      <c r="Y15" s="53"/>
      <c r="Z15" s="53"/>
      <c r="AA15" s="236"/>
      <c r="AB15" s="236"/>
      <c r="AC15" s="222"/>
      <c r="AD15" s="82"/>
      <c r="AE15" s="82"/>
      <c r="AF15" s="82"/>
      <c r="AG15" s="87"/>
      <c r="AH15" s="236"/>
      <c r="AI15" s="87"/>
      <c r="AJ15" s="236"/>
      <c r="AK15" s="87"/>
      <c r="AL15" s="236"/>
      <c r="AM15" s="236"/>
      <c r="AN15" s="236"/>
      <c r="AO15" s="88"/>
    </row>
    <row r="16" spans="1:41" ht="20.25" hidden="1" customHeight="1">
      <c r="A16" s="221"/>
      <c r="B16" s="236"/>
      <c r="C16" s="80"/>
      <c r="H16"/>
      <c r="L16"/>
      <c r="N16"/>
      <c r="P16"/>
      <c r="R16"/>
      <c r="S16" s="53"/>
      <c r="T16" s="53"/>
      <c r="U16" s="236"/>
      <c r="V16" s="236"/>
      <c r="W16" s="236"/>
      <c r="X16" s="236"/>
      <c r="Y16" s="236"/>
      <c r="Z16" s="236"/>
      <c r="AA16" s="236"/>
      <c r="AB16" s="236"/>
      <c r="AC16" s="222"/>
      <c r="AD16" s="82"/>
      <c r="AE16" s="82"/>
      <c r="AF16" s="82"/>
      <c r="AG16" s="236"/>
      <c r="AH16" s="236"/>
      <c r="AI16" s="236"/>
      <c r="AJ16" s="236"/>
      <c r="AK16" s="236"/>
      <c r="AL16" s="236"/>
      <c r="AM16" s="236"/>
      <c r="AN16" s="236"/>
      <c r="AO16" s="88"/>
    </row>
    <row r="17" spans="1:41" ht="18.75" hidden="1" customHeight="1">
      <c r="A17" s="221"/>
      <c r="B17" s="236"/>
      <c r="C17" s="80"/>
      <c r="H17"/>
      <c r="L17"/>
      <c r="N17"/>
      <c r="P17"/>
      <c r="R17"/>
      <c r="S17" s="53"/>
      <c r="T17" s="53"/>
      <c r="U17" s="53"/>
      <c r="V17" s="53"/>
      <c r="W17" s="53"/>
      <c r="X17" s="53"/>
      <c r="Y17" s="53"/>
      <c r="Z17" s="53"/>
      <c r="AA17" s="236"/>
      <c r="AB17" s="236"/>
      <c r="AC17" s="222"/>
      <c r="AD17" s="82"/>
      <c r="AE17" s="82"/>
      <c r="AF17" s="82"/>
      <c r="AG17" s="236"/>
      <c r="AH17" s="236"/>
      <c r="AI17" s="236"/>
      <c r="AJ17" s="236"/>
      <c r="AK17" s="236"/>
      <c r="AL17" s="236"/>
      <c r="AM17" s="236"/>
      <c r="AN17" s="236"/>
      <c r="AO17" s="88"/>
    </row>
    <row r="18" spans="1:41" ht="20.25" hidden="1" customHeight="1">
      <c r="A18" s="221"/>
      <c r="B18" s="236"/>
      <c r="C18" s="80"/>
      <c r="H18"/>
      <c r="L18"/>
      <c r="N18"/>
      <c r="P18"/>
      <c r="R18"/>
      <c r="S18" s="314"/>
      <c r="T18" s="534"/>
      <c r="U18" s="535"/>
      <c r="V18" s="535"/>
      <c r="W18" s="53"/>
      <c r="X18" s="53"/>
      <c r="Y18" s="53"/>
      <c r="Z18" s="53"/>
      <c r="AA18" s="236"/>
      <c r="AB18" s="236"/>
      <c r="AC18" s="222"/>
      <c r="AD18" s="82"/>
      <c r="AE18" s="82"/>
      <c r="AF18" s="82"/>
      <c r="AG18" s="236"/>
      <c r="AH18" s="236"/>
      <c r="AI18" s="236"/>
      <c r="AJ18" s="236"/>
      <c r="AK18" s="236"/>
      <c r="AL18" s="236"/>
      <c r="AM18" s="236"/>
      <c r="AN18" s="236"/>
      <c r="AO18" s="88"/>
    </row>
    <row r="19" spans="1:41" ht="20.25" hidden="1" customHeight="1">
      <c r="A19" s="221"/>
      <c r="B19" s="236"/>
      <c r="C19" s="80"/>
      <c r="H19"/>
      <c r="L19"/>
      <c r="N19"/>
      <c r="P19"/>
      <c r="R19"/>
      <c r="S19" s="315"/>
      <c r="T19" s="534"/>
      <c r="U19" s="534"/>
      <c r="V19" s="534"/>
      <c r="W19" s="53"/>
      <c r="X19" s="53"/>
      <c r="Y19" s="53"/>
      <c r="Z19" s="53"/>
      <c r="AA19" s="236"/>
      <c r="AB19" s="236"/>
      <c r="AC19" s="222"/>
      <c r="AD19" s="82"/>
      <c r="AE19" s="82"/>
      <c r="AF19" s="82"/>
      <c r="AG19" s="236"/>
      <c r="AH19" s="236"/>
      <c r="AI19" s="236"/>
      <c r="AJ19" s="236"/>
      <c r="AK19" s="236"/>
      <c r="AL19" s="236"/>
      <c r="AM19" s="236"/>
      <c r="AN19" s="236"/>
      <c r="AO19" s="88"/>
    </row>
    <row r="20" spans="1:41" ht="20.25" hidden="1" customHeight="1">
      <c r="A20" s="221"/>
      <c r="B20" s="236"/>
      <c r="C20" s="80"/>
      <c r="H20"/>
      <c r="L20"/>
      <c r="N20"/>
      <c r="P20"/>
      <c r="R20"/>
      <c r="S20" s="315"/>
      <c r="T20" s="53"/>
      <c r="U20" s="53"/>
      <c r="V20" s="53"/>
      <c r="W20" s="53"/>
      <c r="X20" s="53"/>
      <c r="Y20" s="53"/>
      <c r="Z20" s="53"/>
      <c r="AA20" s="236"/>
      <c r="AB20" s="236"/>
      <c r="AC20" s="222"/>
      <c r="AD20" s="82"/>
      <c r="AE20" s="82"/>
      <c r="AF20" s="82"/>
      <c r="AG20" s="236"/>
      <c r="AH20" s="236"/>
      <c r="AI20" s="236"/>
      <c r="AJ20" s="236"/>
      <c r="AK20" s="236"/>
      <c r="AL20" s="236"/>
      <c r="AM20" s="236"/>
      <c r="AN20" s="236"/>
      <c r="AO20" s="88"/>
    </row>
    <row r="21" spans="1:41" ht="20.25" hidden="1" customHeight="1">
      <c r="A21" s="221"/>
      <c r="B21" s="236"/>
      <c r="C21" s="80"/>
      <c r="H21"/>
      <c r="L21"/>
      <c r="N21"/>
      <c r="P21"/>
      <c r="R21"/>
      <c r="S21" s="315"/>
      <c r="T21" s="53"/>
      <c r="U21" s="53"/>
      <c r="V21" s="53"/>
      <c r="W21" s="53"/>
      <c r="X21" s="53"/>
      <c r="Y21" s="53"/>
      <c r="Z21" s="53"/>
      <c r="AA21" s="236"/>
      <c r="AB21" s="236"/>
      <c r="AC21" s="222"/>
      <c r="AD21" s="82"/>
      <c r="AE21" s="82"/>
      <c r="AF21" s="82"/>
      <c r="AG21" s="236"/>
      <c r="AH21" s="236"/>
      <c r="AI21" s="236"/>
      <c r="AJ21" s="236"/>
      <c r="AK21" s="236"/>
      <c r="AL21" s="236"/>
      <c r="AM21" s="236"/>
      <c r="AN21" s="236"/>
      <c r="AO21" s="88"/>
    </row>
    <row r="22" spans="1:41" ht="18.75" customHeight="1">
      <c r="A22" s="221"/>
      <c r="B22" s="236"/>
      <c r="C22" s="80"/>
      <c r="D22" s="298"/>
      <c r="E22" s="298"/>
      <c r="F22" s="298"/>
      <c r="G22" s="268"/>
      <c r="H22" s="268"/>
      <c r="I22" s="233"/>
      <c r="J22" s="233"/>
      <c r="K22" s="234"/>
      <c r="L22" s="234"/>
      <c r="M22" s="234"/>
      <c r="N22" s="234"/>
      <c r="O22" s="234"/>
      <c r="P22" s="234"/>
      <c r="Q22" s="316"/>
      <c r="R22" s="316"/>
      <c r="S22" s="115"/>
      <c r="T22" s="115"/>
      <c r="U22" s="235"/>
      <c r="V22" s="235"/>
      <c r="W22" s="235"/>
      <c r="X22" s="235"/>
      <c r="Y22" s="235"/>
      <c r="Z22" s="235"/>
      <c r="AA22" s="236"/>
      <c r="AB22" s="236"/>
      <c r="AC22" s="222"/>
      <c r="AD22" s="82"/>
      <c r="AE22" s="82"/>
      <c r="AF22" s="82"/>
      <c r="AG22" s="236"/>
      <c r="AH22" s="236"/>
      <c r="AI22" s="236"/>
      <c r="AJ22" s="236"/>
      <c r="AK22" s="236"/>
      <c r="AL22" s="236"/>
      <c r="AM22" s="236"/>
      <c r="AN22" s="236"/>
      <c r="AO22" s="88"/>
    </row>
    <row r="23" spans="1:41" ht="18.75" customHeight="1">
      <c r="A23" s="221"/>
      <c r="B23" s="236"/>
      <c r="C23" s="80"/>
      <c r="D23" s="528" t="s">
        <v>1952</v>
      </c>
      <c r="E23" s="528"/>
      <c r="F23" s="528"/>
      <c r="G23" s="268"/>
      <c r="H23" s="268"/>
      <c r="I23" s="218"/>
      <c r="J23" s="233"/>
      <c r="K23" s="234"/>
      <c r="L23" s="234"/>
      <c r="M23" s="534"/>
      <c r="N23" s="535"/>
      <c r="O23" s="535"/>
      <c r="P23" s="234"/>
      <c r="Q23" s="316"/>
      <c r="R23" s="316"/>
      <c r="S23" s="115"/>
      <c r="T23" s="115"/>
      <c r="U23" s="235"/>
      <c r="V23" s="235"/>
      <c r="W23" s="235"/>
      <c r="X23" s="235"/>
      <c r="Y23" s="235"/>
      <c r="Z23" s="235"/>
      <c r="AA23" s="236"/>
      <c r="AB23" s="236"/>
      <c r="AC23" s="222"/>
      <c r="AD23" s="82"/>
      <c r="AE23" s="82"/>
      <c r="AF23" s="82"/>
      <c r="AG23" s="236"/>
      <c r="AH23" s="236"/>
      <c r="AI23" s="236"/>
      <c r="AJ23" s="236"/>
      <c r="AK23" s="236"/>
      <c r="AL23" s="236"/>
      <c r="AM23" s="236"/>
      <c r="AN23" s="236"/>
      <c r="AO23" s="88"/>
    </row>
    <row r="24" spans="1:41" ht="18.75" customHeight="1">
      <c r="A24" s="221"/>
      <c r="B24" s="236"/>
      <c r="C24" s="80"/>
      <c r="D24" s="528" t="s">
        <v>1648</v>
      </c>
      <c r="E24" s="528"/>
      <c r="F24" s="528"/>
      <c r="G24" s="268"/>
      <c r="H24" s="268"/>
      <c r="I24" s="233"/>
      <c r="J24" s="233"/>
      <c r="K24" s="234"/>
      <c r="L24" s="234"/>
      <c r="M24" s="536"/>
      <c r="N24" s="535"/>
      <c r="O24" s="535"/>
      <c r="P24" s="234"/>
      <c r="Q24" s="316"/>
      <c r="R24" s="316"/>
      <c r="S24" s="115"/>
      <c r="T24" s="115"/>
      <c r="U24" s="235"/>
      <c r="V24" s="235"/>
      <c r="W24" s="235"/>
      <c r="X24" s="235"/>
      <c r="Y24" s="235"/>
      <c r="Z24" s="235"/>
      <c r="AA24" s="236"/>
      <c r="AB24" s="236"/>
      <c r="AC24" s="222"/>
      <c r="AD24" s="82"/>
      <c r="AE24" s="82"/>
      <c r="AF24" s="82"/>
      <c r="AG24" s="236"/>
      <c r="AH24" s="236"/>
      <c r="AI24" s="236"/>
      <c r="AJ24" s="236"/>
      <c r="AK24" s="236"/>
      <c r="AL24" s="236"/>
      <c r="AM24" s="236"/>
      <c r="AN24" s="236"/>
      <c r="AO24" s="88"/>
    </row>
    <row r="25" spans="1:41" ht="18.75" customHeight="1">
      <c r="A25" s="221"/>
      <c r="B25" s="236"/>
      <c r="C25" s="80"/>
      <c r="D25" s="267"/>
      <c r="E25" s="267"/>
      <c r="F25" s="267"/>
      <c r="G25" s="268"/>
      <c r="H25" s="268"/>
      <c r="I25" s="233"/>
      <c r="J25" s="233"/>
      <c r="K25" s="234"/>
      <c r="L25" s="234"/>
      <c r="M25" s="534"/>
      <c r="N25" s="535"/>
      <c r="O25" s="535"/>
      <c r="P25" s="234"/>
      <c r="Q25" s="314"/>
      <c r="R25" s="314"/>
      <c r="S25" s="115"/>
      <c r="T25" s="115"/>
      <c r="U25" s="235"/>
      <c r="V25" s="235"/>
      <c r="W25" s="235"/>
      <c r="X25" s="235"/>
      <c r="Y25" s="235"/>
      <c r="Z25" s="235"/>
      <c r="AA25" s="236"/>
      <c r="AB25" s="236"/>
      <c r="AC25" s="222"/>
      <c r="AD25" s="82"/>
      <c r="AE25" s="82"/>
      <c r="AF25" s="82"/>
      <c r="AG25" s="236"/>
      <c r="AH25" s="236"/>
      <c r="AI25" s="236"/>
      <c r="AJ25" s="236"/>
      <c r="AK25" s="236"/>
      <c r="AL25" s="236"/>
      <c r="AM25" s="236"/>
      <c r="AN25" s="236"/>
      <c r="AO25" s="88"/>
    </row>
    <row r="26" spans="1:41" ht="18.75" customHeight="1">
      <c r="A26" s="221"/>
      <c r="B26" s="236"/>
      <c r="C26" s="242" t="s">
        <v>1461</v>
      </c>
      <c r="D26" s="236"/>
      <c r="E26" s="236"/>
      <c r="F26" s="236"/>
      <c r="G26" s="268"/>
      <c r="H26" s="268"/>
      <c r="I26" s="233"/>
      <c r="J26" s="233"/>
      <c r="K26" s="234"/>
      <c r="L26" s="234"/>
      <c r="M26" s="535"/>
      <c r="N26" s="535"/>
      <c r="O26" s="535"/>
      <c r="P26" s="234"/>
      <c r="Q26" s="115"/>
      <c r="R26" s="115"/>
      <c r="S26" s="115"/>
      <c r="T26" s="115"/>
      <c r="U26" s="235"/>
      <c r="V26" s="235"/>
      <c r="W26" s="235"/>
      <c r="X26" s="235"/>
      <c r="Y26" s="235"/>
      <c r="Z26" s="235"/>
      <c r="AA26" s="236"/>
      <c r="AB26" s="236"/>
      <c r="AC26" s="222"/>
      <c r="AD26" s="82"/>
      <c r="AE26" s="82"/>
      <c r="AF26" s="82"/>
      <c r="AG26" s="89"/>
      <c r="AH26" s="236"/>
      <c r="AI26" s="89"/>
      <c r="AJ26" s="236"/>
      <c r="AK26" s="89"/>
      <c r="AL26" s="236"/>
      <c r="AM26" s="236"/>
      <c r="AN26" s="236"/>
      <c r="AO26" s="88"/>
    </row>
    <row r="27" spans="1:41" ht="18.75" thickBot="1">
      <c r="A27" s="223"/>
      <c r="B27" s="224"/>
      <c r="C27" s="224"/>
      <c r="D27" s="224"/>
      <c r="E27" s="224"/>
      <c r="F27" s="224"/>
      <c r="G27" s="523" t="s">
        <v>1707</v>
      </c>
      <c r="H27" s="523"/>
      <c r="I27" s="523"/>
      <c r="J27" s="523"/>
      <c r="K27" s="224"/>
      <c r="L27" s="524" t="s">
        <v>1712</v>
      </c>
      <c r="M27" s="524"/>
      <c r="N27" s="530" t="s">
        <v>1736</v>
      </c>
      <c r="O27" s="530"/>
      <c r="P27" s="532" t="s">
        <v>1737</v>
      </c>
      <c r="Q27" s="532"/>
      <c r="R27" s="533" t="s">
        <v>1713</v>
      </c>
      <c r="S27" s="533"/>
      <c r="T27" s="531" t="s">
        <v>1722</v>
      </c>
      <c r="U27" s="531"/>
      <c r="V27" s="529" t="s">
        <v>1723</v>
      </c>
      <c r="W27" s="529"/>
      <c r="X27" s="539" t="s">
        <v>1740</v>
      </c>
      <c r="Y27" s="539"/>
      <c r="Z27" s="537" t="s">
        <v>1745</v>
      </c>
      <c r="AA27" s="537"/>
      <c r="AB27" s="537" t="s">
        <v>1746</v>
      </c>
      <c r="AC27" s="538"/>
      <c r="AD27" s="57"/>
      <c r="AE27" s="236"/>
      <c r="AF27" s="236"/>
      <c r="AG27" s="57"/>
      <c r="AH27" s="236"/>
      <c r="AI27" s="76"/>
      <c r="AJ27" s="236"/>
      <c r="AK27" s="57"/>
      <c r="AL27" s="236"/>
      <c r="AM27" s="236"/>
      <c r="AN27" s="236"/>
      <c r="AO27" s="58"/>
    </row>
    <row r="28" spans="1:41" ht="5.25" customHeight="1">
      <c r="A28" s="43"/>
      <c r="B28" s="75"/>
      <c r="C28" s="75"/>
      <c r="D28" s="43"/>
      <c r="E28" s="43"/>
      <c r="F28" s="43"/>
      <c r="G28" s="75"/>
      <c r="H28" s="75"/>
      <c r="I28" s="75"/>
      <c r="J28" s="75"/>
      <c r="K28" s="43"/>
      <c r="L28" s="75"/>
      <c r="M28" s="43"/>
      <c r="N28" s="75"/>
      <c r="O28" s="43"/>
      <c r="P28" s="75"/>
      <c r="Q28" s="43"/>
      <c r="R28" s="75"/>
      <c r="S28" s="43"/>
      <c r="T28" s="75"/>
      <c r="U28" s="75"/>
      <c r="V28" s="75"/>
      <c r="W28" s="43"/>
      <c r="X28" s="75"/>
      <c r="Y28" s="75"/>
      <c r="Z28" s="75"/>
      <c r="AA28" s="43"/>
      <c r="AB28" s="75"/>
      <c r="AC28" s="43"/>
      <c r="AD28" s="43"/>
      <c r="AE28" s="75"/>
      <c r="AF28" s="75"/>
      <c r="AG28" s="43"/>
      <c r="AH28" s="75"/>
      <c r="AI28" s="75"/>
      <c r="AJ28" s="75"/>
      <c r="AK28" s="43"/>
      <c r="AL28" s="75"/>
      <c r="AM28" s="75"/>
      <c r="AN28" s="75"/>
      <c r="AO28" s="43"/>
    </row>
    <row r="29" spans="1:41" ht="39.75" customHeight="1">
      <c r="A29" s="130" t="s">
        <v>1951</v>
      </c>
      <c r="B29" s="130" t="s">
        <v>1944</v>
      </c>
      <c r="C29" s="130" t="s">
        <v>1380</v>
      </c>
      <c r="D29" s="130" t="s">
        <v>1650</v>
      </c>
      <c r="E29" s="131" t="s">
        <v>1391</v>
      </c>
      <c r="F29" s="132" t="s">
        <v>1390</v>
      </c>
      <c r="G29" s="270" t="s">
        <v>1454</v>
      </c>
      <c r="H29" s="270" t="s">
        <v>1727</v>
      </c>
      <c r="I29" s="270" t="s">
        <v>1726</v>
      </c>
      <c r="J29" s="270" t="s">
        <v>1724</v>
      </c>
      <c r="K29" s="132" t="s">
        <v>1725</v>
      </c>
      <c r="L29" s="278" t="s">
        <v>1728</v>
      </c>
      <c r="M29" s="278" t="s">
        <v>1729</v>
      </c>
      <c r="N29" s="281" t="s">
        <v>1730</v>
      </c>
      <c r="O29" s="281" t="s">
        <v>1731</v>
      </c>
      <c r="P29" s="290" t="s">
        <v>1739</v>
      </c>
      <c r="Q29" s="290" t="s">
        <v>1738</v>
      </c>
      <c r="R29" s="275" t="s">
        <v>1714</v>
      </c>
      <c r="S29" s="275" t="s">
        <v>1715</v>
      </c>
      <c r="T29" s="283" t="s">
        <v>1733</v>
      </c>
      <c r="U29" s="283" t="s">
        <v>1732</v>
      </c>
      <c r="V29" s="287" t="s">
        <v>1735</v>
      </c>
      <c r="W29" s="287" t="s">
        <v>1734</v>
      </c>
      <c r="X29" s="296" t="s">
        <v>1935</v>
      </c>
      <c r="Y29" s="296" t="s">
        <v>1936</v>
      </c>
      <c r="Z29" s="132" t="s">
        <v>1741</v>
      </c>
      <c r="AA29" s="132" t="s">
        <v>1742</v>
      </c>
      <c r="AB29" s="132" t="s">
        <v>1743</v>
      </c>
      <c r="AC29" s="132" t="s">
        <v>1744</v>
      </c>
      <c r="AD29" s="132" t="s">
        <v>1716</v>
      </c>
      <c r="AE29" s="132" t="s">
        <v>1717</v>
      </c>
      <c r="AF29" s="132" t="s">
        <v>1720</v>
      </c>
      <c r="AG29" s="132" t="s">
        <v>1718</v>
      </c>
      <c r="AH29" s="132" t="s">
        <v>1721</v>
      </c>
      <c r="AI29" s="132" t="s">
        <v>1719</v>
      </c>
      <c r="AJ29" s="132" t="s">
        <v>1747</v>
      </c>
      <c r="AK29" s="132" t="s">
        <v>1748</v>
      </c>
      <c r="AL29" s="132" t="s">
        <v>1932</v>
      </c>
      <c r="AM29" s="132" t="s">
        <v>1933</v>
      </c>
      <c r="AN29" s="132" t="s">
        <v>1750</v>
      </c>
      <c r="AO29" s="132" t="s">
        <v>1749</v>
      </c>
    </row>
    <row r="30" spans="1:41" ht="15.75">
      <c r="A30" s="133" t="s">
        <v>1523</v>
      </c>
      <c r="B30" s="243" t="s">
        <v>1</v>
      </c>
      <c r="C30" s="134">
        <v>7</v>
      </c>
      <c r="D30" s="134">
        <v>7</v>
      </c>
      <c r="E30" s="331" t="s">
        <v>57</v>
      </c>
      <c r="F30" s="134">
        <f t="shared" ref="F30:F42" si="0">COUNTIF(COT_CODIGO_ALIMENTOS,D30)</f>
        <v>49</v>
      </c>
      <c r="G30" s="318" t="s">
        <v>1934</v>
      </c>
      <c r="H30" s="319">
        <f t="shared" ref="H30:H42" si="1">IF($G30=$AD$2,L30,IF($G30=$AD$3,R30,IF($G30=$AD$4,T30,IF($G30=$AD$5,V30,IF($G30=$AD$6,Z30,IF($G30=$AD$7,AB30,IF($G30=$AD$8,X30,0)))))))</f>
        <v>1</v>
      </c>
      <c r="I30" s="319">
        <f t="shared" ref="I30:I42" si="2">IF($G30=$AD$2,M30,IF($G30=$AD$3,S30,IF($G30=$AD$4,U30,IF($G30=$AD$5,W30,IF($G30=$AD$6,AA30,IF($G30=$AD$7,AC30,IF($G30=$AD$8,Y30,0)))))))</f>
        <v>1</v>
      </c>
      <c r="J30" s="320" t="s">
        <v>1817</v>
      </c>
      <c r="K30" s="134" t="str">
        <f t="shared" ref="K30:K42" si="3">VLOOKUP(D30,COT_ALIMENTOS,5,FALSE)</f>
        <v>gr</v>
      </c>
      <c r="L30" s="294">
        <f t="shared" ref="L30:L42" si="4">AVERAGEIF(COT_CODIGO_ALIMENTOS,D30,COT_VALOR_UNITARIO_SINIVA)</f>
        <v>1.4293061224489796</v>
      </c>
      <c r="M30" s="294">
        <f t="shared" ref="M30:M42" si="5">AVERAGEIF(COT_CODIGO_ALIMENTOS,D30,COT_VALOR_UNITARIO_CONIVA)</f>
        <v>1.4293061224489796</v>
      </c>
      <c r="N30" s="295">
        <f t="shared" ref="N30:N42" si="6">AF30</f>
        <v>0.89766800201228869</v>
      </c>
      <c r="O30" s="295">
        <f t="shared" ref="O30:O42" si="7">AG30</f>
        <v>0.89766800201228869</v>
      </c>
      <c r="P30" s="291">
        <f t="shared" ref="P30:P42" si="8">IF(N30=0,"NA",N30/L30)</f>
        <v>0.62804460703926757</v>
      </c>
      <c r="Q30" s="291">
        <f t="shared" ref="Q30:Q42" si="9">IF(O30=0,"NA",O30/M30)</f>
        <v>0.62804460703926757</v>
      </c>
      <c r="R30" s="277">
        <f t="shared" ref="R30:R42" si="10">POWER(AD30,1/F30)</f>
        <v>1.2826132825254375</v>
      </c>
      <c r="S30" s="277">
        <f t="shared" ref="S30:S42" si="11">POWER(AE30,1/F30)</f>
        <v>1.2826132825254375</v>
      </c>
      <c r="T30" s="284">
        <f t="shared" ref="T30:T42" si="12">AH30</f>
        <v>1.0069999999999999</v>
      </c>
      <c r="U30" s="284">
        <f t="shared" ref="U30:U42" si="13">AI30</f>
        <v>1.0069999999999999</v>
      </c>
      <c r="V30" s="293">
        <f t="shared" ref="V30:V42" si="14">SUMIF(COT_CODIGO_ALIMENTOS,D30,COT_VALORES_PONDERADOS_SINIVA)/SUMIF(COT_CODIGO_ALIMENTOS,D30,COT_FACTOR_PROMEDIO_PONDERADO)</f>
        <v>1.2934521158129175</v>
      </c>
      <c r="W30" s="293">
        <f t="shared" ref="W30:W42" si="15">SUMIF(COT_CODIGO_ALIMENTOS,D30,COT_VALORES_PONDERADOS_CONIVA)/SUMIF(COT_CODIGO_ALIMENTOS,D30,COT_FACTOR_PROMEDIO_PONDERADO)</f>
        <v>1.2934521158129175</v>
      </c>
      <c r="X30" s="313">
        <f t="shared" ref="X30:X42" si="16">IF(ISERROR(AL30),"NA",AL30)</f>
        <v>1</v>
      </c>
      <c r="Y30" s="313">
        <f t="shared" ref="Y30:Y42" si="17">IF(ISERROR(AM30),"NA",AM30)</f>
        <v>1</v>
      </c>
      <c r="Z30" s="299">
        <f t="shared" ref="Z30:Z42" si="18">AJ30</f>
        <v>0.99299999999999999</v>
      </c>
      <c r="AA30" s="299">
        <f t="shared" ref="AA30:AA42" si="19">AK30</f>
        <v>0.99299999999999999</v>
      </c>
      <c r="AB30" s="299">
        <f t="shared" ref="AB30:AB42" si="20">AN30</f>
        <v>5.2</v>
      </c>
      <c r="AC30" s="299">
        <f t="shared" ref="AC30:AC42" si="21">AO30</f>
        <v>5.2</v>
      </c>
      <c r="AD30" s="256">
        <f t="array" ref="AD30">PRODUCT((IF(COT_CODIGO_ALIMENTOS=D30,COT_VALOR_UNITARIO_SINIVA,1)))</f>
        <v>198011.73135885716</v>
      </c>
      <c r="AE30" s="256">
        <f t="array" ref="AE30">PRODUCT((IF(COT_CODIGO_ALIMENTOS=D30,COT_VALOR_UNITARIO_CONIVA,1)))</f>
        <v>198011.73135885716</v>
      </c>
      <c r="AF30" s="256">
        <f t="array" ref="AF30">IFERROR(STDEV(IF(COT_CODIGO_ALIMENTOS=D30,COT_VALOR_UNITARIO_SINIVA,"")),0)</f>
        <v>0.89766800201228869</v>
      </c>
      <c r="AG30" s="256">
        <f t="array" ref="AG30">IFERROR(STDEV(IF(COT_CODIGO_ALIMENTOS=D30,COT_VALOR_UNITARIO_CONIVA,"")),0)</f>
        <v>0.89766800201228869</v>
      </c>
      <c r="AH30" s="256">
        <f t="array" ref="AH30">MEDIAN(IF(COT_CODIGO_ALIMENTOS=D30,COT_VALOR_UNITARIO_SINIVA,""))</f>
        <v>1.0069999999999999</v>
      </c>
      <c r="AI30" s="256">
        <f t="array" ref="AI30">MEDIAN(IF(COT_CODIGO_ALIMENTOS=D30,COT_VALOR_UNITARIO_CONIVA,""))</f>
        <v>1.0069999999999999</v>
      </c>
      <c r="AJ30" s="256">
        <f t="array" ref="AJ30">MIN((IF(COT_CODIGO_ALIMENTOS=D30,COT_VALOR_UNITARIO_SINIVA,"")))</f>
        <v>0.99299999999999999</v>
      </c>
      <c r="AK30" s="256">
        <f t="array" ref="AK30">MIN((IF(COT_CODIGO_ALIMENTOS=D30,COT_VALOR_UNITARIO_CONIVA,"")))</f>
        <v>0.99299999999999999</v>
      </c>
      <c r="AL30" s="256">
        <f t="array" ref="AL30">_xlfn.QUARTILE.EXC(IF(COT_CODIGO_ALIMENTOS=D30,COT_VALOR_UNITARIO_SINIVA,""),1)</f>
        <v>1</v>
      </c>
      <c r="AM30" s="256">
        <f t="array" ref="AM30">_xlfn.QUARTILE.EXC(IF(COT_CODIGO_ALIMENTOS=D30,COT_VALOR_UNITARIO_CONIVA,""),1)</f>
        <v>1</v>
      </c>
      <c r="AN30" s="256">
        <f t="array" ref="AN30">MAX((IF(COT_CODIGO_ALIMENTOS=D30,COT_VALOR_UNITARIO_SINIVA,"")))</f>
        <v>5.2</v>
      </c>
      <c r="AO30" s="256">
        <f t="array" ref="AO30">MAX((IF(COT_CODIGO_ALIMENTOS=D30,COT_VALOR_UNITARIO_CONIVA,"")))</f>
        <v>5.2</v>
      </c>
    </row>
    <row r="31" spans="1:41" ht="15.75">
      <c r="A31" s="133" t="s">
        <v>1523</v>
      </c>
      <c r="B31" s="243" t="s">
        <v>1</v>
      </c>
      <c r="C31" s="134">
        <v>8</v>
      </c>
      <c r="D31" s="134">
        <v>8</v>
      </c>
      <c r="E31" s="331" t="s">
        <v>55</v>
      </c>
      <c r="F31" s="134">
        <f t="shared" si="0"/>
        <v>46</v>
      </c>
      <c r="G31" s="318" t="s">
        <v>1934</v>
      </c>
      <c r="H31" s="319">
        <f t="shared" si="1"/>
        <v>1.25</v>
      </c>
      <c r="I31" s="319">
        <f t="shared" si="2"/>
        <v>1.25</v>
      </c>
      <c r="J31" s="320" t="s">
        <v>1817</v>
      </c>
      <c r="K31" s="134" t="str">
        <f t="shared" si="3"/>
        <v>gr</v>
      </c>
      <c r="L31" s="294">
        <f t="shared" si="4"/>
        <v>1.5820217391304354</v>
      </c>
      <c r="M31" s="294">
        <f t="shared" si="5"/>
        <v>1.5820217391304354</v>
      </c>
      <c r="N31" s="295">
        <f t="shared" si="6"/>
        <v>0.83410432305505378</v>
      </c>
      <c r="O31" s="295">
        <f t="shared" si="7"/>
        <v>0.83410432305505378</v>
      </c>
      <c r="P31" s="291">
        <f t="shared" si="8"/>
        <v>0.52723948250769459</v>
      </c>
      <c r="Q31" s="291">
        <f t="shared" si="9"/>
        <v>0.52723948250769459</v>
      </c>
      <c r="R31" s="277">
        <f t="shared" si="10"/>
        <v>1.460336934187537</v>
      </c>
      <c r="S31" s="277">
        <f t="shared" si="11"/>
        <v>1.460336934187537</v>
      </c>
      <c r="T31" s="284">
        <f t="shared" si="12"/>
        <v>1.2614999999999998</v>
      </c>
      <c r="U31" s="284">
        <f t="shared" si="13"/>
        <v>1.2614999999999998</v>
      </c>
      <c r="V31" s="293">
        <f t="shared" si="14"/>
        <v>1.4679952830188678</v>
      </c>
      <c r="W31" s="293">
        <f t="shared" si="15"/>
        <v>1.4679952830188678</v>
      </c>
      <c r="X31" s="313">
        <f t="shared" si="16"/>
        <v>1.25</v>
      </c>
      <c r="Y31" s="313">
        <f t="shared" si="17"/>
        <v>1.25</v>
      </c>
      <c r="Z31" s="299">
        <f t="shared" si="18"/>
        <v>1.2</v>
      </c>
      <c r="AA31" s="299">
        <f t="shared" si="19"/>
        <v>1.2</v>
      </c>
      <c r="AB31" s="299">
        <f t="shared" si="20"/>
        <v>5.2</v>
      </c>
      <c r="AC31" s="299">
        <f t="shared" si="21"/>
        <v>5.2</v>
      </c>
      <c r="AD31" s="256">
        <f t="array" ref="AD31">PRODUCT((IF(COT_CODIGO_ALIMENTOS=D31,COT_VALOR_UNITARIO_SINIVA,1)))</f>
        <v>36714801.893547297</v>
      </c>
      <c r="AE31" s="256">
        <f t="array" ref="AE31">PRODUCT((IF(COT_CODIGO_ALIMENTOS=D31,COT_VALOR_UNITARIO_CONIVA,1)))</f>
        <v>36714801.893547297</v>
      </c>
      <c r="AF31" s="256">
        <f t="array" ref="AF31">IFERROR(STDEV(IF(COT_CODIGO_ALIMENTOS=D31,COT_VALOR_UNITARIO_SINIVA,"")),0)</f>
        <v>0.83410432305505378</v>
      </c>
      <c r="AG31" s="256">
        <f t="array" ref="AG31">IFERROR(STDEV(IF(COT_CODIGO_ALIMENTOS=D31,COT_VALOR_UNITARIO_CONIVA,"")),0)</f>
        <v>0.83410432305505378</v>
      </c>
      <c r="AH31" s="256">
        <f t="array" ref="AH31">MEDIAN(IF(COT_CODIGO_ALIMENTOS=D31,COT_VALOR_UNITARIO_SINIVA,""))</f>
        <v>1.2614999999999998</v>
      </c>
      <c r="AI31" s="256">
        <f t="array" ref="AI31">MEDIAN(IF(COT_CODIGO_ALIMENTOS=D31,COT_VALOR_UNITARIO_CONIVA,""))</f>
        <v>1.2614999999999998</v>
      </c>
      <c r="AJ31" s="256">
        <f t="array" ref="AJ31">MIN((IF(COT_CODIGO_ALIMENTOS=D31,COT_VALOR_UNITARIO_SINIVA,"")))</f>
        <v>1.2</v>
      </c>
      <c r="AK31" s="256">
        <f t="array" ref="AK31">MIN((IF(COT_CODIGO_ALIMENTOS=D31,COT_VALOR_UNITARIO_CONIVA,"")))</f>
        <v>1.2</v>
      </c>
      <c r="AL31" s="256">
        <f t="array" ref="AL31">_xlfn.QUARTILE.EXC(IF(COT_CODIGO_ALIMENTOS=D31,COT_VALOR_UNITARIO_SINIVA,""),1)</f>
        <v>1.25</v>
      </c>
      <c r="AM31" s="256">
        <f t="array" ref="AM31">_xlfn.QUARTILE.EXC(IF(COT_CODIGO_ALIMENTOS=D31,COT_VALOR_UNITARIO_CONIVA,""),1)</f>
        <v>1.25</v>
      </c>
      <c r="AN31" s="256">
        <f t="array" ref="AN31">MAX((IF(COT_CODIGO_ALIMENTOS=D31,COT_VALOR_UNITARIO_SINIVA,"")))</f>
        <v>5.2</v>
      </c>
      <c r="AO31" s="256">
        <f t="array" ref="AO31">MAX((IF(COT_CODIGO_ALIMENTOS=D31,COT_VALOR_UNITARIO_CONIVA,"")))</f>
        <v>5.2</v>
      </c>
    </row>
    <row r="32" spans="1:41" ht="15.75">
      <c r="A32" s="133" t="s">
        <v>1523</v>
      </c>
      <c r="B32" s="243" t="s">
        <v>1</v>
      </c>
      <c r="C32" s="134">
        <v>17</v>
      </c>
      <c r="D32" s="134">
        <v>17</v>
      </c>
      <c r="E32" s="331" t="s">
        <v>53</v>
      </c>
      <c r="F32" s="134">
        <f t="shared" si="0"/>
        <v>47</v>
      </c>
      <c r="G32" s="318" t="s">
        <v>1934</v>
      </c>
      <c r="H32" s="319">
        <f t="shared" si="1"/>
        <v>2.11</v>
      </c>
      <c r="I32" s="319">
        <f t="shared" si="2"/>
        <v>2.11</v>
      </c>
      <c r="J32" s="320" t="s">
        <v>1817</v>
      </c>
      <c r="K32" s="134" t="str">
        <f t="shared" si="3"/>
        <v>gr</v>
      </c>
      <c r="L32" s="294">
        <f t="shared" si="4"/>
        <v>2.6962553191489356</v>
      </c>
      <c r="M32" s="294">
        <f t="shared" si="5"/>
        <v>2.6962553191489356</v>
      </c>
      <c r="N32" s="295">
        <f t="shared" si="6"/>
        <v>1.056181750418338</v>
      </c>
      <c r="O32" s="295">
        <f t="shared" si="7"/>
        <v>1.056181750418338</v>
      </c>
      <c r="P32" s="291">
        <f t="shared" si="8"/>
        <v>0.39172171230123648</v>
      </c>
      <c r="Q32" s="291">
        <f t="shared" si="9"/>
        <v>0.39172171230123648</v>
      </c>
      <c r="R32" s="277">
        <f t="shared" si="10"/>
        <v>2.5322174804193556</v>
      </c>
      <c r="S32" s="277">
        <f t="shared" si="11"/>
        <v>2.5322174804193556</v>
      </c>
      <c r="T32" s="284">
        <f t="shared" si="12"/>
        <v>2.6110000000000002</v>
      </c>
      <c r="U32" s="284">
        <f t="shared" si="13"/>
        <v>2.6110000000000002</v>
      </c>
      <c r="V32" s="293">
        <f t="shared" si="14"/>
        <v>2.5863205417607222</v>
      </c>
      <c r="W32" s="293">
        <f t="shared" si="15"/>
        <v>2.5863205417607222</v>
      </c>
      <c r="X32" s="313">
        <f t="shared" si="16"/>
        <v>2.11</v>
      </c>
      <c r="Y32" s="313">
        <f t="shared" si="17"/>
        <v>2.11</v>
      </c>
      <c r="Z32" s="299">
        <f t="shared" si="18"/>
        <v>1.081</v>
      </c>
      <c r="AA32" s="299">
        <f t="shared" si="19"/>
        <v>1.081</v>
      </c>
      <c r="AB32" s="299">
        <f t="shared" si="20"/>
        <v>7.09</v>
      </c>
      <c r="AC32" s="299">
        <f t="shared" si="21"/>
        <v>7.09</v>
      </c>
      <c r="AD32" s="256">
        <f t="array" ref="AD32">PRODUCT((IF(COT_CODIGO_ALIMENTOS=D32,COT_VALOR_UNITARIO_SINIVA,1)))</f>
        <v>9.2160986933144678E+18</v>
      </c>
      <c r="AE32" s="256">
        <f t="array" ref="AE32">PRODUCT((IF(COT_CODIGO_ALIMENTOS=D32,COT_VALOR_UNITARIO_CONIVA,1)))</f>
        <v>9.2160986933144678E+18</v>
      </c>
      <c r="AF32" s="256">
        <f t="array" ref="AF32">IFERROR(STDEV(IF(COT_CODIGO_ALIMENTOS=D32,COT_VALOR_UNITARIO_SINIVA,"")),0)</f>
        <v>1.056181750418338</v>
      </c>
      <c r="AG32" s="256">
        <f t="array" ref="AG32">IFERROR(STDEV(IF(COT_CODIGO_ALIMENTOS=D32,COT_VALOR_UNITARIO_CONIVA,"")),0)</f>
        <v>1.056181750418338</v>
      </c>
      <c r="AH32" s="256">
        <f t="array" ref="AH32">MEDIAN(IF(COT_CODIGO_ALIMENTOS=D32,COT_VALOR_UNITARIO_SINIVA,""))</f>
        <v>2.6110000000000002</v>
      </c>
      <c r="AI32" s="256">
        <f t="array" ref="AI32">MEDIAN(IF(COT_CODIGO_ALIMENTOS=D32,COT_VALOR_UNITARIO_CONIVA,""))</f>
        <v>2.6110000000000002</v>
      </c>
      <c r="AJ32" s="256">
        <f t="array" ref="AJ32">MIN((IF(COT_CODIGO_ALIMENTOS=D32,COT_VALOR_UNITARIO_SINIVA,"")))</f>
        <v>1.081</v>
      </c>
      <c r="AK32" s="256">
        <f t="array" ref="AK32">MIN((IF(COT_CODIGO_ALIMENTOS=D32,COT_VALOR_UNITARIO_CONIVA,"")))</f>
        <v>1.081</v>
      </c>
      <c r="AL32" s="256">
        <f t="array" ref="AL32">_xlfn.QUARTILE.EXC(IF(COT_CODIGO_ALIMENTOS=D32,COT_VALOR_UNITARIO_SINIVA,""),1)</f>
        <v>2.11</v>
      </c>
      <c r="AM32" s="256">
        <f t="array" ref="AM32">_xlfn.QUARTILE.EXC(IF(COT_CODIGO_ALIMENTOS=D32,COT_VALOR_UNITARIO_CONIVA,""),1)</f>
        <v>2.11</v>
      </c>
      <c r="AN32" s="256">
        <f t="array" ref="AN32">MAX((IF(COT_CODIGO_ALIMENTOS=D32,COT_VALOR_UNITARIO_SINIVA,"")))</f>
        <v>7.09</v>
      </c>
      <c r="AO32" s="256">
        <f t="array" ref="AO32">MAX((IF(COT_CODIGO_ALIMENTOS=D32,COT_VALOR_UNITARIO_CONIVA,"")))</f>
        <v>7.09</v>
      </c>
    </row>
    <row r="33" spans="1:41" ht="15.75">
      <c r="A33" s="133" t="s">
        <v>1523</v>
      </c>
      <c r="B33" s="243" t="s">
        <v>1</v>
      </c>
      <c r="C33" s="134">
        <v>22</v>
      </c>
      <c r="D33" s="134">
        <v>22</v>
      </c>
      <c r="E33" s="331" t="s">
        <v>51</v>
      </c>
      <c r="F33" s="134">
        <f t="shared" si="0"/>
        <v>49</v>
      </c>
      <c r="G33" s="318" t="s">
        <v>1934</v>
      </c>
      <c r="H33" s="319">
        <f t="shared" si="1"/>
        <v>4.9124999999999996</v>
      </c>
      <c r="I33" s="319">
        <f t="shared" si="2"/>
        <v>4.9124999999999996</v>
      </c>
      <c r="J33" s="320" t="s">
        <v>1817</v>
      </c>
      <c r="K33" s="134" t="str">
        <f t="shared" si="3"/>
        <v>gr</v>
      </c>
      <c r="L33" s="294">
        <f t="shared" si="4"/>
        <v>5.2834897959183662</v>
      </c>
      <c r="M33" s="294">
        <f t="shared" si="5"/>
        <v>5.2834897959183662</v>
      </c>
      <c r="N33" s="295">
        <f t="shared" si="6"/>
        <v>2.052680657116944</v>
      </c>
      <c r="O33" s="295">
        <f t="shared" si="7"/>
        <v>2.052680657116944</v>
      </c>
      <c r="P33" s="291">
        <f t="shared" si="8"/>
        <v>0.38850849275845928</v>
      </c>
      <c r="Q33" s="291">
        <f t="shared" si="9"/>
        <v>0.38850849275845928</v>
      </c>
      <c r="R33" s="277">
        <f t="shared" si="10"/>
        <v>5.0710550280626565</v>
      </c>
      <c r="S33" s="277">
        <f t="shared" si="11"/>
        <v>5.0710550280626565</v>
      </c>
      <c r="T33" s="284">
        <f t="shared" si="12"/>
        <v>4.9939999999999998</v>
      </c>
      <c r="U33" s="284">
        <f t="shared" si="13"/>
        <v>4.9939999999999998</v>
      </c>
      <c r="V33" s="293">
        <f t="shared" si="14"/>
        <v>5.1611135371179042</v>
      </c>
      <c r="W33" s="293">
        <f t="shared" si="15"/>
        <v>5.1611135371179042</v>
      </c>
      <c r="X33" s="313">
        <f t="shared" si="16"/>
        <v>4.9124999999999996</v>
      </c>
      <c r="Y33" s="313">
        <f t="shared" si="17"/>
        <v>4.9124999999999996</v>
      </c>
      <c r="Z33" s="299">
        <f t="shared" si="18"/>
        <v>1.8</v>
      </c>
      <c r="AA33" s="299">
        <f t="shared" si="19"/>
        <v>1.8</v>
      </c>
      <c r="AB33" s="299">
        <f t="shared" si="20"/>
        <v>17.52</v>
      </c>
      <c r="AC33" s="299">
        <f t="shared" si="21"/>
        <v>17.52</v>
      </c>
      <c r="AD33" s="256">
        <f t="array" ref="AD33">PRODUCT((IF(COT_CODIGO_ALIMENTOS=D33,COT_VALOR_UNITARIO_SINIVA,1)))</f>
        <v>3.5466459840886771E+34</v>
      </c>
      <c r="AE33" s="256">
        <f t="array" ref="AE33">PRODUCT((IF(COT_CODIGO_ALIMENTOS=D33,COT_VALOR_UNITARIO_CONIVA,1)))</f>
        <v>3.5466459840886771E+34</v>
      </c>
      <c r="AF33" s="256">
        <f t="array" ref="AF33">IFERROR(STDEV(IF(COT_CODIGO_ALIMENTOS=D33,COT_VALOR_UNITARIO_SINIVA,"")),0)</f>
        <v>2.052680657116944</v>
      </c>
      <c r="AG33" s="256">
        <f t="array" ref="AG33">IFERROR(STDEV(IF(COT_CODIGO_ALIMENTOS=D33,COT_VALOR_UNITARIO_CONIVA,"")),0)</f>
        <v>2.052680657116944</v>
      </c>
      <c r="AH33" s="256">
        <f t="array" ref="AH33">MEDIAN(IF(COT_CODIGO_ALIMENTOS=D33,COT_VALOR_UNITARIO_SINIVA,""))</f>
        <v>4.9939999999999998</v>
      </c>
      <c r="AI33" s="256">
        <f t="array" ref="AI33">MEDIAN(IF(COT_CODIGO_ALIMENTOS=D33,COT_VALOR_UNITARIO_CONIVA,""))</f>
        <v>4.9939999999999998</v>
      </c>
      <c r="AJ33" s="256">
        <f t="array" ref="AJ33">MIN((IF(COT_CODIGO_ALIMENTOS=D33,COT_VALOR_UNITARIO_SINIVA,"")))</f>
        <v>1.8</v>
      </c>
      <c r="AK33" s="256">
        <f t="array" ref="AK33">MIN((IF(COT_CODIGO_ALIMENTOS=D33,COT_VALOR_UNITARIO_CONIVA,"")))</f>
        <v>1.8</v>
      </c>
      <c r="AL33" s="256">
        <f t="array" ref="AL33">_xlfn.QUARTILE.EXC(IF(COT_CODIGO_ALIMENTOS=D33,COT_VALOR_UNITARIO_SINIVA,""),1)</f>
        <v>4.9124999999999996</v>
      </c>
      <c r="AM33" s="256">
        <f t="array" ref="AM33">_xlfn.QUARTILE.EXC(IF(COT_CODIGO_ALIMENTOS=D33,COT_VALOR_UNITARIO_CONIVA,""),1)</f>
        <v>4.9124999999999996</v>
      </c>
      <c r="AN33" s="256">
        <f t="array" ref="AN33">MAX((IF(COT_CODIGO_ALIMENTOS=D33,COT_VALOR_UNITARIO_SINIVA,"")))</f>
        <v>17.52</v>
      </c>
      <c r="AO33" s="256">
        <f t="array" ref="AO33">MAX((IF(COT_CODIGO_ALIMENTOS=D33,COT_VALOR_UNITARIO_CONIVA,"")))</f>
        <v>17.52</v>
      </c>
    </row>
    <row r="34" spans="1:41" ht="15.75">
      <c r="A34" s="133" t="s">
        <v>1523</v>
      </c>
      <c r="B34" s="243" t="s">
        <v>1</v>
      </c>
      <c r="C34" s="134">
        <v>33</v>
      </c>
      <c r="D34" s="134">
        <v>33</v>
      </c>
      <c r="E34" s="331" t="s">
        <v>59</v>
      </c>
      <c r="F34" s="134">
        <f t="shared" si="0"/>
        <v>50</v>
      </c>
      <c r="G34" s="318" t="s">
        <v>1934</v>
      </c>
      <c r="H34" s="319">
        <f t="shared" si="1"/>
        <v>2.8014999999999999</v>
      </c>
      <c r="I34" s="319">
        <f t="shared" si="2"/>
        <v>2.8014999999999999</v>
      </c>
      <c r="J34" s="320" t="s">
        <v>1817</v>
      </c>
      <c r="K34" s="134" t="str">
        <f t="shared" si="3"/>
        <v>gr</v>
      </c>
      <c r="L34" s="294">
        <f t="shared" si="4"/>
        <v>4.1220999999999997</v>
      </c>
      <c r="M34" s="294">
        <f t="shared" si="5"/>
        <v>4.1220999999999997</v>
      </c>
      <c r="N34" s="295">
        <f t="shared" si="6"/>
        <v>2.0713979037138679</v>
      </c>
      <c r="O34" s="295">
        <f t="shared" si="7"/>
        <v>2.0713979037138679</v>
      </c>
      <c r="P34" s="291">
        <f t="shared" si="8"/>
        <v>0.50251034756892554</v>
      </c>
      <c r="Q34" s="291">
        <f t="shared" si="9"/>
        <v>0.50251034756892554</v>
      </c>
      <c r="R34" s="277">
        <f t="shared" si="10"/>
        <v>3.7702783490785774</v>
      </c>
      <c r="S34" s="277">
        <f t="shared" si="11"/>
        <v>3.7702783490785774</v>
      </c>
      <c r="T34" s="284">
        <f t="shared" si="12"/>
        <v>3.2489999999999997</v>
      </c>
      <c r="U34" s="284">
        <f t="shared" si="13"/>
        <v>3.2489999999999997</v>
      </c>
      <c r="V34" s="293">
        <f t="shared" si="14"/>
        <v>3.9260348583877995</v>
      </c>
      <c r="W34" s="293">
        <f t="shared" si="15"/>
        <v>3.9260348583877995</v>
      </c>
      <c r="X34" s="313">
        <f t="shared" si="16"/>
        <v>2.8014999999999999</v>
      </c>
      <c r="Y34" s="313">
        <f t="shared" si="17"/>
        <v>2.8014999999999999</v>
      </c>
      <c r="Z34" s="299">
        <f t="shared" si="18"/>
        <v>2.2000000000000002</v>
      </c>
      <c r="AA34" s="299">
        <f t="shared" si="19"/>
        <v>2.2000000000000002</v>
      </c>
      <c r="AB34" s="299">
        <f t="shared" si="20"/>
        <v>13.28</v>
      </c>
      <c r="AC34" s="299">
        <f t="shared" si="21"/>
        <v>13.28</v>
      </c>
      <c r="AD34" s="256">
        <f t="array" ref="AD34">PRODUCT((IF(COT_CODIGO_ALIMENTOS=D34,COT_VALOR_UNITARIO_SINIVA,1)))</f>
        <v>6.586742819368434E+28</v>
      </c>
      <c r="AE34" s="256">
        <f t="array" ref="AE34">PRODUCT((IF(COT_CODIGO_ALIMENTOS=D34,COT_VALOR_UNITARIO_CONIVA,1)))</f>
        <v>6.586742819368434E+28</v>
      </c>
      <c r="AF34" s="256">
        <f t="array" ref="AF34">IFERROR(STDEV(IF(COT_CODIGO_ALIMENTOS=D34,COT_VALOR_UNITARIO_SINIVA,"")),0)</f>
        <v>2.0713979037138679</v>
      </c>
      <c r="AG34" s="256">
        <f t="array" ref="AG34">IFERROR(STDEV(IF(COT_CODIGO_ALIMENTOS=D34,COT_VALOR_UNITARIO_CONIVA,"")),0)</f>
        <v>2.0713979037138679</v>
      </c>
      <c r="AH34" s="256">
        <f t="array" ref="AH34">MEDIAN(IF(COT_CODIGO_ALIMENTOS=D34,COT_VALOR_UNITARIO_SINIVA,""))</f>
        <v>3.2489999999999997</v>
      </c>
      <c r="AI34" s="256">
        <f t="array" ref="AI34">MEDIAN(IF(COT_CODIGO_ALIMENTOS=D34,COT_VALOR_UNITARIO_CONIVA,""))</f>
        <v>3.2489999999999997</v>
      </c>
      <c r="AJ34" s="256">
        <f t="array" ref="AJ34">MIN((IF(COT_CODIGO_ALIMENTOS=D34,COT_VALOR_UNITARIO_SINIVA,"")))</f>
        <v>2.2000000000000002</v>
      </c>
      <c r="AK34" s="256">
        <f t="array" ref="AK34">MIN((IF(COT_CODIGO_ALIMENTOS=D34,COT_VALOR_UNITARIO_CONIVA,"")))</f>
        <v>2.2000000000000002</v>
      </c>
      <c r="AL34" s="256">
        <f t="array" ref="AL34">_xlfn.QUARTILE.EXC(IF(COT_CODIGO_ALIMENTOS=D34,COT_VALOR_UNITARIO_SINIVA,""),1)</f>
        <v>2.8014999999999999</v>
      </c>
      <c r="AM34" s="256">
        <f t="array" ref="AM34">_xlfn.QUARTILE.EXC(IF(COT_CODIGO_ALIMENTOS=D34,COT_VALOR_UNITARIO_CONIVA,""),1)</f>
        <v>2.8014999999999999</v>
      </c>
      <c r="AN34" s="256">
        <f t="array" ref="AN34">MAX((IF(COT_CODIGO_ALIMENTOS=D34,COT_VALOR_UNITARIO_SINIVA,"")))</f>
        <v>13.28</v>
      </c>
      <c r="AO34" s="256">
        <f t="array" ref="AO34">MAX((IF(COT_CODIGO_ALIMENTOS=D34,COT_VALOR_UNITARIO_CONIVA,"")))</f>
        <v>13.28</v>
      </c>
    </row>
    <row r="35" spans="1:41" ht="15.75">
      <c r="A35" s="133" t="s">
        <v>1523</v>
      </c>
      <c r="B35" s="243" t="s">
        <v>1</v>
      </c>
      <c r="C35" s="134">
        <v>36</v>
      </c>
      <c r="D35" s="134">
        <v>36</v>
      </c>
      <c r="E35" s="331" t="s">
        <v>1340</v>
      </c>
      <c r="F35" s="134">
        <f t="shared" si="0"/>
        <v>12</v>
      </c>
      <c r="G35" s="318" t="s">
        <v>1934</v>
      </c>
      <c r="H35" s="319">
        <f t="shared" si="1"/>
        <v>5.9</v>
      </c>
      <c r="I35" s="319">
        <f t="shared" si="2"/>
        <v>5.9</v>
      </c>
      <c r="J35" s="320" t="s">
        <v>1817</v>
      </c>
      <c r="K35" s="134" t="str">
        <f t="shared" si="3"/>
        <v>gr</v>
      </c>
      <c r="L35" s="294">
        <f t="shared" si="4"/>
        <v>13.155833333333334</v>
      </c>
      <c r="M35" s="294">
        <f t="shared" si="5"/>
        <v>13.155833333333334</v>
      </c>
      <c r="N35" s="295">
        <f t="shared" si="6"/>
        <v>7.9118868664736839</v>
      </c>
      <c r="O35" s="295">
        <f t="shared" si="7"/>
        <v>7.9118868664736839</v>
      </c>
      <c r="P35" s="291">
        <f t="shared" si="8"/>
        <v>0.60139762081259396</v>
      </c>
      <c r="Q35" s="291">
        <f t="shared" si="9"/>
        <v>0.60139762081259396</v>
      </c>
      <c r="R35" s="277">
        <f t="shared" si="10"/>
        <v>11.123914469474208</v>
      </c>
      <c r="S35" s="277">
        <f t="shared" si="11"/>
        <v>11.123914469474208</v>
      </c>
      <c r="T35" s="284">
        <f t="shared" si="12"/>
        <v>12.75</v>
      </c>
      <c r="U35" s="284">
        <f t="shared" si="13"/>
        <v>12.75</v>
      </c>
      <c r="V35" s="293">
        <f t="shared" si="14"/>
        <v>8.9169184290030206</v>
      </c>
      <c r="W35" s="293">
        <f t="shared" si="15"/>
        <v>8.9169184290030206</v>
      </c>
      <c r="X35" s="313">
        <f t="shared" si="16"/>
        <v>5.9</v>
      </c>
      <c r="Y35" s="313">
        <f t="shared" si="17"/>
        <v>5.9</v>
      </c>
      <c r="Z35" s="299">
        <f t="shared" si="18"/>
        <v>4.6500000000000004</v>
      </c>
      <c r="AA35" s="299">
        <f t="shared" si="19"/>
        <v>4.6500000000000004</v>
      </c>
      <c r="AB35" s="299">
        <f t="shared" si="20"/>
        <v>31.92</v>
      </c>
      <c r="AC35" s="299">
        <f t="shared" si="21"/>
        <v>31.92</v>
      </c>
      <c r="AD35" s="256">
        <f t="array" ref="AD35">PRODUCT((IF(COT_CODIGO_ALIMENTOS=D35,COT_VALOR_UNITARIO_SINIVA,1)))</f>
        <v>3589977209811.0937</v>
      </c>
      <c r="AE35" s="256">
        <f t="array" ref="AE35">PRODUCT((IF(COT_CODIGO_ALIMENTOS=D35,COT_VALOR_UNITARIO_CONIVA,1)))</f>
        <v>3589977209811.0937</v>
      </c>
      <c r="AF35" s="256">
        <f t="array" ref="AF35">IFERROR(STDEV(IF(COT_CODIGO_ALIMENTOS=D35,COT_VALOR_UNITARIO_SINIVA,"")),0)</f>
        <v>7.9118868664736839</v>
      </c>
      <c r="AG35" s="256">
        <f t="array" ref="AG35">IFERROR(STDEV(IF(COT_CODIGO_ALIMENTOS=D35,COT_VALOR_UNITARIO_CONIVA,"")),0)</f>
        <v>7.9118868664736839</v>
      </c>
      <c r="AH35" s="256">
        <f t="array" ref="AH35">MEDIAN(IF(COT_CODIGO_ALIMENTOS=D35,COT_VALOR_UNITARIO_SINIVA,""))</f>
        <v>12.75</v>
      </c>
      <c r="AI35" s="256">
        <f t="array" ref="AI35">MEDIAN(IF(COT_CODIGO_ALIMENTOS=D35,COT_VALOR_UNITARIO_CONIVA,""))</f>
        <v>12.75</v>
      </c>
      <c r="AJ35" s="256">
        <f t="array" ref="AJ35">MIN((IF(COT_CODIGO_ALIMENTOS=D35,COT_VALOR_UNITARIO_SINIVA,"")))</f>
        <v>4.6500000000000004</v>
      </c>
      <c r="AK35" s="256">
        <f t="array" ref="AK35">MIN((IF(COT_CODIGO_ALIMENTOS=D35,COT_VALOR_UNITARIO_CONIVA,"")))</f>
        <v>4.6500000000000004</v>
      </c>
      <c r="AL35" s="256">
        <f t="array" ref="AL35">_xlfn.QUARTILE.EXC(IF(COT_CODIGO_ALIMENTOS=D35,COT_VALOR_UNITARIO_SINIVA,""),1)</f>
        <v>5.9</v>
      </c>
      <c r="AM35" s="256">
        <f t="array" ref="AM35">_xlfn.QUARTILE.EXC(IF(COT_CODIGO_ALIMENTOS=D35,COT_VALOR_UNITARIO_CONIVA,""),1)</f>
        <v>5.9</v>
      </c>
      <c r="AN35" s="256">
        <f t="array" ref="AN35">MAX((IF(COT_CODIGO_ALIMENTOS=D35,COT_VALOR_UNITARIO_SINIVA,"")))</f>
        <v>31.92</v>
      </c>
      <c r="AO35" s="256">
        <f t="array" ref="AO35">MAX((IF(COT_CODIGO_ALIMENTOS=D35,COT_VALOR_UNITARIO_CONIVA,"")))</f>
        <v>31.92</v>
      </c>
    </row>
    <row r="36" spans="1:41" ht="15.75">
      <c r="A36" s="133" t="s">
        <v>1523</v>
      </c>
      <c r="B36" s="243" t="s">
        <v>1</v>
      </c>
      <c r="C36" s="134">
        <v>42</v>
      </c>
      <c r="D36" s="134">
        <v>42</v>
      </c>
      <c r="E36" s="331" t="s">
        <v>61</v>
      </c>
      <c r="F36" s="134">
        <f t="shared" si="0"/>
        <v>51</v>
      </c>
      <c r="G36" s="318" t="s">
        <v>1934</v>
      </c>
      <c r="H36" s="319">
        <f t="shared" si="1"/>
        <v>1.8169999999999999</v>
      </c>
      <c r="I36" s="319">
        <f t="shared" si="2"/>
        <v>1.8169999999999999</v>
      </c>
      <c r="J36" s="320" t="s">
        <v>1817</v>
      </c>
      <c r="K36" s="134" t="str">
        <f t="shared" si="3"/>
        <v>gr</v>
      </c>
      <c r="L36" s="294">
        <f t="shared" si="4"/>
        <v>2.9141764705882358</v>
      </c>
      <c r="M36" s="294">
        <f t="shared" si="5"/>
        <v>2.9141764705882358</v>
      </c>
      <c r="N36" s="295">
        <f t="shared" si="6"/>
        <v>1.4831318580069988</v>
      </c>
      <c r="O36" s="295">
        <f t="shared" si="7"/>
        <v>1.4831318580069988</v>
      </c>
      <c r="P36" s="291">
        <f t="shared" si="8"/>
        <v>0.50893687220926054</v>
      </c>
      <c r="Q36" s="291">
        <f t="shared" si="9"/>
        <v>0.50893687220926054</v>
      </c>
      <c r="R36" s="277">
        <f t="shared" si="10"/>
        <v>2.6275467310685623</v>
      </c>
      <c r="S36" s="277">
        <f t="shared" si="11"/>
        <v>2.6275467310685623</v>
      </c>
      <c r="T36" s="284">
        <f t="shared" si="12"/>
        <v>2.7</v>
      </c>
      <c r="U36" s="284">
        <f t="shared" si="13"/>
        <v>2.7</v>
      </c>
      <c r="V36" s="293">
        <f t="shared" si="14"/>
        <v>2.8029741379310344</v>
      </c>
      <c r="W36" s="293">
        <f t="shared" si="15"/>
        <v>2.8029741379310344</v>
      </c>
      <c r="X36" s="313">
        <f t="shared" si="16"/>
        <v>1.8169999999999999</v>
      </c>
      <c r="Y36" s="313">
        <f t="shared" si="17"/>
        <v>1.8169999999999999</v>
      </c>
      <c r="Z36" s="299">
        <f t="shared" si="18"/>
        <v>0.75</v>
      </c>
      <c r="AA36" s="299">
        <f t="shared" si="19"/>
        <v>0.75</v>
      </c>
      <c r="AB36" s="299">
        <f t="shared" si="20"/>
        <v>8.76</v>
      </c>
      <c r="AC36" s="299">
        <f t="shared" si="21"/>
        <v>8.76</v>
      </c>
      <c r="AD36" s="256">
        <f t="array" ref="AD36">PRODUCT((IF(COT_CODIGO_ALIMENTOS=D36,COT_VALOR_UNITARIO_SINIVA,1)))</f>
        <v>2.4950134134440848E+21</v>
      </c>
      <c r="AE36" s="256">
        <f t="array" ref="AE36">PRODUCT((IF(COT_CODIGO_ALIMENTOS=D36,COT_VALOR_UNITARIO_CONIVA,1)))</f>
        <v>2.4950134134440848E+21</v>
      </c>
      <c r="AF36" s="256">
        <f t="array" ref="AF36">IFERROR(STDEV(IF(COT_CODIGO_ALIMENTOS=D36,COT_VALOR_UNITARIO_SINIVA,"")),0)</f>
        <v>1.4831318580069988</v>
      </c>
      <c r="AG36" s="256">
        <f t="array" ref="AG36">IFERROR(STDEV(IF(COT_CODIGO_ALIMENTOS=D36,COT_VALOR_UNITARIO_CONIVA,"")),0)</f>
        <v>1.4831318580069988</v>
      </c>
      <c r="AH36" s="256">
        <f t="array" ref="AH36">MEDIAN(IF(COT_CODIGO_ALIMENTOS=D36,COT_VALOR_UNITARIO_SINIVA,""))</f>
        <v>2.7</v>
      </c>
      <c r="AI36" s="256">
        <f t="array" ref="AI36">MEDIAN(IF(COT_CODIGO_ALIMENTOS=D36,COT_VALOR_UNITARIO_CONIVA,""))</f>
        <v>2.7</v>
      </c>
      <c r="AJ36" s="256">
        <f t="array" ref="AJ36">MIN((IF(COT_CODIGO_ALIMENTOS=D36,COT_VALOR_UNITARIO_SINIVA,"")))</f>
        <v>0.75</v>
      </c>
      <c r="AK36" s="256">
        <f t="array" ref="AK36">MIN((IF(COT_CODIGO_ALIMENTOS=D36,COT_VALOR_UNITARIO_CONIVA,"")))</f>
        <v>0.75</v>
      </c>
      <c r="AL36" s="256">
        <f t="array" ref="AL36">_xlfn.QUARTILE.EXC(IF(COT_CODIGO_ALIMENTOS=D36,COT_VALOR_UNITARIO_SINIVA,""),1)</f>
        <v>1.8169999999999999</v>
      </c>
      <c r="AM36" s="256">
        <f t="array" ref="AM36">_xlfn.QUARTILE.EXC(IF(COT_CODIGO_ALIMENTOS=D36,COT_VALOR_UNITARIO_CONIVA,""),1)</f>
        <v>1.8169999999999999</v>
      </c>
      <c r="AN36" s="256">
        <f t="array" ref="AN36">MAX((IF(COT_CODIGO_ALIMENTOS=D36,COT_VALOR_UNITARIO_SINIVA,"")))</f>
        <v>8.76</v>
      </c>
      <c r="AO36" s="256">
        <f t="array" ref="AO36">MAX((IF(COT_CODIGO_ALIMENTOS=D36,COT_VALOR_UNITARIO_CONIVA,"")))</f>
        <v>8.76</v>
      </c>
    </row>
    <row r="37" spans="1:41" ht="15.75">
      <c r="A37" s="133" t="s">
        <v>1523</v>
      </c>
      <c r="B37" s="243" t="s">
        <v>1</v>
      </c>
      <c r="C37" s="134">
        <v>43</v>
      </c>
      <c r="D37" s="134">
        <v>43</v>
      </c>
      <c r="E37" s="331" t="s">
        <v>62</v>
      </c>
      <c r="F37" s="134">
        <f t="shared" si="0"/>
        <v>38</v>
      </c>
      <c r="G37" s="318" t="s">
        <v>1934</v>
      </c>
      <c r="H37" s="319">
        <f t="shared" si="1"/>
        <v>1.5892500000000001</v>
      </c>
      <c r="I37" s="319">
        <f t="shared" si="2"/>
        <v>1.5892500000000001</v>
      </c>
      <c r="J37" s="320" t="s">
        <v>1817</v>
      </c>
      <c r="K37" s="134" t="str">
        <f t="shared" si="3"/>
        <v>gr</v>
      </c>
      <c r="L37" s="294">
        <f t="shared" si="4"/>
        <v>2.9868947368421046</v>
      </c>
      <c r="M37" s="294">
        <f t="shared" si="5"/>
        <v>2.9868947368421046</v>
      </c>
      <c r="N37" s="295">
        <f t="shared" si="6"/>
        <v>1.7256678266919332</v>
      </c>
      <c r="O37" s="295">
        <f t="shared" si="7"/>
        <v>1.7256678266919332</v>
      </c>
      <c r="P37" s="291">
        <f t="shared" si="8"/>
        <v>0.57774644864666236</v>
      </c>
      <c r="Q37" s="291">
        <f t="shared" si="9"/>
        <v>0.57774644864666236</v>
      </c>
      <c r="R37" s="277">
        <f t="shared" si="10"/>
        <v>2.6125978390141702</v>
      </c>
      <c r="S37" s="277">
        <f t="shared" si="11"/>
        <v>2.6125978390141702</v>
      </c>
      <c r="T37" s="284">
        <f t="shared" si="12"/>
        <v>2.4750000000000001</v>
      </c>
      <c r="U37" s="284">
        <f t="shared" si="13"/>
        <v>2.4750000000000001</v>
      </c>
      <c r="V37" s="293">
        <f t="shared" si="14"/>
        <v>2.8601149425287358</v>
      </c>
      <c r="W37" s="293">
        <f t="shared" si="15"/>
        <v>2.8601149425287358</v>
      </c>
      <c r="X37" s="313">
        <f t="shared" si="16"/>
        <v>1.5892500000000001</v>
      </c>
      <c r="Y37" s="313">
        <f t="shared" si="17"/>
        <v>1.5892500000000001</v>
      </c>
      <c r="Z37" s="299">
        <f t="shared" si="18"/>
        <v>1.367</v>
      </c>
      <c r="AA37" s="299">
        <f t="shared" si="19"/>
        <v>1.367</v>
      </c>
      <c r="AB37" s="299">
        <f t="shared" si="20"/>
        <v>9.41</v>
      </c>
      <c r="AC37" s="299">
        <f t="shared" si="21"/>
        <v>9.41</v>
      </c>
      <c r="AD37" s="256">
        <f t="array" ref="AD37">PRODUCT((IF(COT_CODIGO_ALIMENTOS=D37,COT_VALOR_UNITARIO_SINIVA,1)))</f>
        <v>7059231186157858</v>
      </c>
      <c r="AE37" s="256">
        <f t="array" ref="AE37">PRODUCT((IF(COT_CODIGO_ALIMENTOS=D37,COT_VALOR_UNITARIO_CONIVA,1)))</f>
        <v>7059231186157858</v>
      </c>
      <c r="AF37" s="256">
        <f t="array" ref="AF37">IFERROR(STDEV(IF(COT_CODIGO_ALIMENTOS=D37,COT_VALOR_UNITARIO_SINIVA,"")),0)</f>
        <v>1.7256678266919332</v>
      </c>
      <c r="AG37" s="256">
        <f t="array" ref="AG37">IFERROR(STDEV(IF(COT_CODIGO_ALIMENTOS=D37,COT_VALOR_UNITARIO_CONIVA,"")),0)</f>
        <v>1.7256678266919332</v>
      </c>
      <c r="AH37" s="256">
        <f t="array" ref="AH37">MEDIAN(IF(COT_CODIGO_ALIMENTOS=D37,COT_VALOR_UNITARIO_SINIVA,""))</f>
        <v>2.4750000000000001</v>
      </c>
      <c r="AI37" s="256">
        <f t="array" ref="AI37">MEDIAN(IF(COT_CODIGO_ALIMENTOS=D37,COT_VALOR_UNITARIO_CONIVA,""))</f>
        <v>2.4750000000000001</v>
      </c>
      <c r="AJ37" s="256">
        <f t="array" ref="AJ37">MIN((IF(COT_CODIGO_ALIMENTOS=D37,COT_VALOR_UNITARIO_SINIVA,"")))</f>
        <v>1.367</v>
      </c>
      <c r="AK37" s="256">
        <f t="array" ref="AK37">MIN((IF(COT_CODIGO_ALIMENTOS=D37,COT_VALOR_UNITARIO_CONIVA,"")))</f>
        <v>1.367</v>
      </c>
      <c r="AL37" s="256">
        <f t="array" ref="AL37">_xlfn.QUARTILE.EXC(IF(COT_CODIGO_ALIMENTOS=D37,COT_VALOR_UNITARIO_SINIVA,""),1)</f>
        <v>1.5892500000000001</v>
      </c>
      <c r="AM37" s="256">
        <f t="array" ref="AM37">_xlfn.QUARTILE.EXC(IF(COT_CODIGO_ALIMENTOS=D37,COT_VALOR_UNITARIO_CONIVA,""),1)</f>
        <v>1.5892500000000001</v>
      </c>
      <c r="AN37" s="256">
        <f t="array" ref="AN37">MAX((IF(COT_CODIGO_ALIMENTOS=D37,COT_VALOR_UNITARIO_SINIVA,"")))</f>
        <v>9.41</v>
      </c>
      <c r="AO37" s="256">
        <f t="array" ref="AO37">MAX((IF(COT_CODIGO_ALIMENTOS=D37,COT_VALOR_UNITARIO_CONIVA,"")))</f>
        <v>9.41</v>
      </c>
    </row>
    <row r="38" spans="1:41" ht="15.75">
      <c r="A38" s="133" t="s">
        <v>1523</v>
      </c>
      <c r="B38" s="243" t="s">
        <v>1</v>
      </c>
      <c r="C38" s="134">
        <v>46</v>
      </c>
      <c r="D38" s="134">
        <v>46</v>
      </c>
      <c r="E38" s="331" t="s">
        <v>64</v>
      </c>
      <c r="F38" s="134">
        <f t="shared" si="0"/>
        <v>129</v>
      </c>
      <c r="G38" s="318" t="s">
        <v>1934</v>
      </c>
      <c r="H38" s="319">
        <f t="shared" si="1"/>
        <v>3.7214999999999998</v>
      </c>
      <c r="I38" s="319">
        <f t="shared" si="2"/>
        <v>3.7214999999999998</v>
      </c>
      <c r="J38" s="320" t="s">
        <v>1817</v>
      </c>
      <c r="K38" s="134" t="str">
        <f t="shared" si="3"/>
        <v>gr</v>
      </c>
      <c r="L38" s="294">
        <f t="shared" si="4"/>
        <v>4.6154763918252284</v>
      </c>
      <c r="M38" s="294">
        <f t="shared" si="5"/>
        <v>4.6154763918252284</v>
      </c>
      <c r="N38" s="295">
        <f t="shared" si="6"/>
        <v>2.2904798486243947</v>
      </c>
      <c r="O38" s="295">
        <f t="shared" si="7"/>
        <v>2.2904798486243947</v>
      </c>
      <c r="P38" s="291">
        <f t="shared" si="8"/>
        <v>0.49626076577516748</v>
      </c>
      <c r="Q38" s="291">
        <f t="shared" si="9"/>
        <v>0.49626076577516748</v>
      </c>
      <c r="R38" s="277">
        <f t="shared" si="10"/>
        <v>4.3423774320096218</v>
      </c>
      <c r="S38" s="277">
        <f t="shared" si="11"/>
        <v>4.3423774320096218</v>
      </c>
      <c r="T38" s="284">
        <f t="shared" si="12"/>
        <v>4.4370000000000003</v>
      </c>
      <c r="U38" s="284">
        <f t="shared" si="13"/>
        <v>4.4370000000000003</v>
      </c>
      <c r="V38" s="293">
        <f t="shared" si="14"/>
        <v>4.3639514731369147</v>
      </c>
      <c r="W38" s="293">
        <f t="shared" si="15"/>
        <v>4.3639514731369147</v>
      </c>
      <c r="X38" s="313">
        <f t="shared" si="16"/>
        <v>3.7214999999999998</v>
      </c>
      <c r="Y38" s="313">
        <f t="shared" si="17"/>
        <v>3.7214999999999998</v>
      </c>
      <c r="Z38" s="299">
        <f t="shared" si="18"/>
        <v>1.5</v>
      </c>
      <c r="AA38" s="299">
        <f t="shared" si="19"/>
        <v>1.5</v>
      </c>
      <c r="AB38" s="299">
        <f t="shared" si="20"/>
        <v>22.545454545454547</v>
      </c>
      <c r="AC38" s="299">
        <f t="shared" si="21"/>
        <v>22.545454545454547</v>
      </c>
      <c r="AD38" s="256">
        <f t="array" ref="AD38">PRODUCT((IF(COT_CODIGO_ALIMENTOS=D38,COT_VALOR_UNITARIO_SINIVA,1)))</f>
        <v>1.8486572018614508E+82</v>
      </c>
      <c r="AE38" s="256">
        <f t="array" ref="AE38">PRODUCT((IF(COT_CODIGO_ALIMENTOS=D38,COT_VALOR_UNITARIO_CONIVA,1)))</f>
        <v>1.8486572018614508E+82</v>
      </c>
      <c r="AF38" s="256">
        <f t="array" ref="AF38">IFERROR(STDEV(IF(COT_CODIGO_ALIMENTOS=D38,COT_VALOR_UNITARIO_SINIVA,"")),0)</f>
        <v>2.2904798486243947</v>
      </c>
      <c r="AG38" s="256">
        <f t="array" ref="AG38">IFERROR(STDEV(IF(COT_CODIGO_ALIMENTOS=D38,COT_VALOR_UNITARIO_CONIVA,"")),0)</f>
        <v>2.2904798486243947</v>
      </c>
      <c r="AH38" s="256">
        <f t="array" ref="AH38">MEDIAN(IF(COT_CODIGO_ALIMENTOS=D38,COT_VALOR_UNITARIO_SINIVA,""))</f>
        <v>4.4370000000000003</v>
      </c>
      <c r="AI38" s="256">
        <f t="array" ref="AI38">MEDIAN(IF(COT_CODIGO_ALIMENTOS=D38,COT_VALOR_UNITARIO_CONIVA,""))</f>
        <v>4.4370000000000003</v>
      </c>
      <c r="AJ38" s="256">
        <f t="array" ref="AJ38">MIN((IF(COT_CODIGO_ALIMENTOS=D38,COT_VALOR_UNITARIO_SINIVA,"")))</f>
        <v>1.5</v>
      </c>
      <c r="AK38" s="256">
        <f t="array" ref="AK38">MIN((IF(COT_CODIGO_ALIMENTOS=D38,COT_VALOR_UNITARIO_CONIVA,"")))</f>
        <v>1.5</v>
      </c>
      <c r="AL38" s="256">
        <f t="array" ref="AL38">_xlfn.QUARTILE.EXC(IF(COT_CODIGO_ALIMENTOS=D38,COT_VALOR_UNITARIO_SINIVA,""),1)</f>
        <v>3.7214999999999998</v>
      </c>
      <c r="AM38" s="256">
        <f t="array" ref="AM38">_xlfn.QUARTILE.EXC(IF(COT_CODIGO_ALIMENTOS=D38,COT_VALOR_UNITARIO_CONIVA,""),1)</f>
        <v>3.7214999999999998</v>
      </c>
      <c r="AN38" s="256">
        <f t="array" ref="AN38">MAX((IF(COT_CODIGO_ALIMENTOS=D38,COT_VALOR_UNITARIO_SINIVA,"")))</f>
        <v>22.545454545454547</v>
      </c>
      <c r="AO38" s="256">
        <f t="array" ref="AO38">MAX((IF(COT_CODIGO_ALIMENTOS=D38,COT_VALOR_UNITARIO_CONIVA,"")))</f>
        <v>22.545454545454547</v>
      </c>
    </row>
    <row r="39" spans="1:41" ht="15.75">
      <c r="A39" s="133" t="s">
        <v>1523</v>
      </c>
      <c r="B39" s="243" t="s">
        <v>1</v>
      </c>
      <c r="C39" s="134">
        <v>58</v>
      </c>
      <c r="D39" s="134">
        <v>58</v>
      </c>
      <c r="E39" s="331" t="s">
        <v>67</v>
      </c>
      <c r="F39" s="134">
        <f t="shared" si="0"/>
        <v>40</v>
      </c>
      <c r="G39" s="318" t="s">
        <v>1934</v>
      </c>
      <c r="H39" s="319">
        <f t="shared" si="1"/>
        <v>1.4384999999999999</v>
      </c>
      <c r="I39" s="319">
        <f t="shared" si="2"/>
        <v>1.4384999999999999</v>
      </c>
      <c r="J39" s="320" t="s">
        <v>1817</v>
      </c>
      <c r="K39" s="134" t="str">
        <f t="shared" si="3"/>
        <v>gr</v>
      </c>
      <c r="L39" s="294">
        <f t="shared" si="4"/>
        <v>2.8570477272727262</v>
      </c>
      <c r="M39" s="294">
        <f t="shared" si="5"/>
        <v>2.8570477272727262</v>
      </c>
      <c r="N39" s="295">
        <f t="shared" si="6"/>
        <v>3.0127856755854947</v>
      </c>
      <c r="O39" s="295">
        <f t="shared" si="7"/>
        <v>3.0127856755854947</v>
      </c>
      <c r="P39" s="291">
        <f t="shared" si="8"/>
        <v>1.0545100968479209</v>
      </c>
      <c r="Q39" s="291">
        <f t="shared" si="9"/>
        <v>1.0545100968479209</v>
      </c>
      <c r="R39" s="277">
        <f t="shared" si="10"/>
        <v>2.2510612148565272</v>
      </c>
      <c r="S39" s="277">
        <f t="shared" si="11"/>
        <v>2.2510612148565272</v>
      </c>
      <c r="T39" s="284">
        <f t="shared" si="12"/>
        <v>1.7825</v>
      </c>
      <c r="U39" s="284">
        <f t="shared" si="13"/>
        <v>1.7825</v>
      </c>
      <c r="V39" s="293">
        <f t="shared" si="14"/>
        <v>2.4658800666296501</v>
      </c>
      <c r="W39" s="293">
        <f t="shared" si="15"/>
        <v>2.4658800666296501</v>
      </c>
      <c r="X39" s="313">
        <f t="shared" si="16"/>
        <v>1.4384999999999999</v>
      </c>
      <c r="Y39" s="313">
        <f t="shared" si="17"/>
        <v>1.4384999999999999</v>
      </c>
      <c r="Z39" s="299">
        <f t="shared" si="18"/>
        <v>1.083</v>
      </c>
      <c r="AA39" s="299">
        <f t="shared" si="19"/>
        <v>1.083</v>
      </c>
      <c r="AB39" s="299">
        <f t="shared" si="20"/>
        <v>19.16</v>
      </c>
      <c r="AC39" s="299">
        <f t="shared" si="21"/>
        <v>19.16</v>
      </c>
      <c r="AD39" s="256">
        <f t="array" ref="AD39">PRODUCT((IF(COT_CODIGO_ALIMENTOS=D39,COT_VALOR_UNITARIO_SINIVA,1)))</f>
        <v>124592589083336.97</v>
      </c>
      <c r="AE39" s="256">
        <f t="array" ref="AE39">PRODUCT((IF(COT_CODIGO_ALIMENTOS=D39,COT_VALOR_UNITARIO_CONIVA,1)))</f>
        <v>124592589083336.97</v>
      </c>
      <c r="AF39" s="256">
        <f t="array" ref="AF39">IFERROR(STDEV(IF(COT_CODIGO_ALIMENTOS=D39,COT_VALOR_UNITARIO_SINIVA,"")),0)</f>
        <v>3.0127856755854947</v>
      </c>
      <c r="AG39" s="256">
        <f t="array" ref="AG39">IFERROR(STDEV(IF(COT_CODIGO_ALIMENTOS=D39,COT_VALOR_UNITARIO_CONIVA,"")),0)</f>
        <v>3.0127856755854947</v>
      </c>
      <c r="AH39" s="256">
        <f t="array" ref="AH39">MEDIAN(IF(COT_CODIGO_ALIMENTOS=D39,COT_VALOR_UNITARIO_SINIVA,""))</f>
        <v>1.7825</v>
      </c>
      <c r="AI39" s="256">
        <f t="array" ref="AI39">MEDIAN(IF(COT_CODIGO_ALIMENTOS=D39,COT_VALOR_UNITARIO_CONIVA,""))</f>
        <v>1.7825</v>
      </c>
      <c r="AJ39" s="256">
        <f t="array" ref="AJ39">MIN((IF(COT_CODIGO_ALIMENTOS=D39,COT_VALOR_UNITARIO_SINIVA,"")))</f>
        <v>1.083</v>
      </c>
      <c r="AK39" s="256">
        <f t="array" ref="AK39">MIN((IF(COT_CODIGO_ALIMENTOS=D39,COT_VALOR_UNITARIO_CONIVA,"")))</f>
        <v>1.083</v>
      </c>
      <c r="AL39" s="256">
        <f t="array" ref="AL39">_xlfn.QUARTILE.EXC(IF(COT_CODIGO_ALIMENTOS=D39,COT_VALOR_UNITARIO_SINIVA,""),1)</f>
        <v>1.4384999999999999</v>
      </c>
      <c r="AM39" s="256">
        <f t="array" ref="AM39">_xlfn.QUARTILE.EXC(IF(COT_CODIGO_ALIMENTOS=D39,COT_VALOR_UNITARIO_CONIVA,""),1)</f>
        <v>1.4384999999999999</v>
      </c>
      <c r="AN39" s="256">
        <f t="array" ref="AN39">MAX((IF(COT_CODIGO_ALIMENTOS=D39,COT_VALOR_UNITARIO_SINIVA,"")))</f>
        <v>19.16</v>
      </c>
      <c r="AO39" s="256">
        <f t="array" ref="AO39">MAX((IF(COT_CODIGO_ALIMENTOS=D39,COT_VALOR_UNITARIO_CONIVA,"")))</f>
        <v>19.16</v>
      </c>
    </row>
    <row r="40" spans="1:41" ht="15.75">
      <c r="A40" s="133" t="s">
        <v>1523</v>
      </c>
      <c r="B40" s="243" t="s">
        <v>1</v>
      </c>
      <c r="C40" s="134">
        <v>59</v>
      </c>
      <c r="D40" s="134">
        <v>59</v>
      </c>
      <c r="E40" s="331" t="s">
        <v>99</v>
      </c>
      <c r="F40" s="134">
        <f t="shared" si="0"/>
        <v>52</v>
      </c>
      <c r="G40" s="318" t="s">
        <v>1934</v>
      </c>
      <c r="H40" s="319">
        <f t="shared" si="1"/>
        <v>2.6785000000000001</v>
      </c>
      <c r="I40" s="319">
        <f t="shared" si="2"/>
        <v>2.6785000000000001</v>
      </c>
      <c r="J40" s="320" t="s">
        <v>1817</v>
      </c>
      <c r="K40" s="134" t="str">
        <f t="shared" si="3"/>
        <v>gr</v>
      </c>
      <c r="L40" s="294">
        <f t="shared" si="4"/>
        <v>3.9182756410256414</v>
      </c>
      <c r="M40" s="294">
        <f t="shared" si="5"/>
        <v>3.9182756410256414</v>
      </c>
      <c r="N40" s="295">
        <f t="shared" si="6"/>
        <v>1.942393487596842</v>
      </c>
      <c r="O40" s="295">
        <f t="shared" si="7"/>
        <v>1.942393487596842</v>
      </c>
      <c r="P40" s="291">
        <f t="shared" si="8"/>
        <v>0.49572660668875362</v>
      </c>
      <c r="Q40" s="291">
        <f t="shared" si="9"/>
        <v>0.49572660668875362</v>
      </c>
      <c r="R40" s="277">
        <f t="shared" si="10"/>
        <v>3.5943291414525125</v>
      </c>
      <c r="S40" s="277">
        <f t="shared" si="11"/>
        <v>3.5943291414525125</v>
      </c>
      <c r="T40" s="284">
        <f t="shared" si="12"/>
        <v>3.484</v>
      </c>
      <c r="U40" s="284">
        <f t="shared" si="13"/>
        <v>3.484</v>
      </c>
      <c r="V40" s="293">
        <f t="shared" si="14"/>
        <v>3.5609947089947092</v>
      </c>
      <c r="W40" s="293">
        <f t="shared" si="15"/>
        <v>3.5609947089947092</v>
      </c>
      <c r="X40" s="313">
        <f t="shared" si="16"/>
        <v>2.6785000000000001</v>
      </c>
      <c r="Y40" s="313">
        <f t="shared" si="17"/>
        <v>2.6785000000000001</v>
      </c>
      <c r="Z40" s="299">
        <f t="shared" si="18"/>
        <v>2.008</v>
      </c>
      <c r="AA40" s="299">
        <f t="shared" si="19"/>
        <v>2.008</v>
      </c>
      <c r="AB40" s="299">
        <f t="shared" si="20"/>
        <v>11.333333333333334</v>
      </c>
      <c r="AC40" s="299">
        <f t="shared" si="21"/>
        <v>11.333333333333334</v>
      </c>
      <c r="AD40" s="256">
        <f t="array" ref="AD40">PRODUCT((IF(COT_CODIGO_ALIMENTOS=D40,COT_VALOR_UNITARIO_SINIVA,1)))</f>
        <v>7.8005978277135256E+28</v>
      </c>
      <c r="AE40" s="256">
        <f t="array" ref="AE40">PRODUCT((IF(COT_CODIGO_ALIMENTOS=D40,COT_VALOR_UNITARIO_CONIVA,1)))</f>
        <v>7.8005978277135256E+28</v>
      </c>
      <c r="AF40" s="256">
        <f t="array" ref="AF40">IFERROR(STDEV(IF(COT_CODIGO_ALIMENTOS=D40,COT_VALOR_UNITARIO_SINIVA,"")),0)</f>
        <v>1.942393487596842</v>
      </c>
      <c r="AG40" s="256">
        <f t="array" ref="AG40">IFERROR(STDEV(IF(COT_CODIGO_ALIMENTOS=D40,COT_VALOR_UNITARIO_CONIVA,"")),0)</f>
        <v>1.942393487596842</v>
      </c>
      <c r="AH40" s="256">
        <f t="array" ref="AH40">MEDIAN(IF(COT_CODIGO_ALIMENTOS=D40,COT_VALOR_UNITARIO_SINIVA,""))</f>
        <v>3.484</v>
      </c>
      <c r="AI40" s="256">
        <f t="array" ref="AI40">MEDIAN(IF(COT_CODIGO_ALIMENTOS=D40,COT_VALOR_UNITARIO_CONIVA,""))</f>
        <v>3.484</v>
      </c>
      <c r="AJ40" s="256">
        <f t="array" ref="AJ40">MIN((IF(COT_CODIGO_ALIMENTOS=D40,COT_VALOR_UNITARIO_SINIVA,"")))</f>
        <v>2.008</v>
      </c>
      <c r="AK40" s="256">
        <f t="array" ref="AK40">MIN((IF(COT_CODIGO_ALIMENTOS=D40,COT_VALOR_UNITARIO_CONIVA,"")))</f>
        <v>2.008</v>
      </c>
      <c r="AL40" s="256">
        <f t="array" ref="AL40">_xlfn.QUARTILE.EXC(IF(COT_CODIGO_ALIMENTOS=D40,COT_VALOR_UNITARIO_SINIVA,""),1)</f>
        <v>2.6785000000000001</v>
      </c>
      <c r="AM40" s="256">
        <f t="array" ref="AM40">_xlfn.QUARTILE.EXC(IF(COT_CODIGO_ALIMENTOS=D40,COT_VALOR_UNITARIO_CONIVA,""),1)</f>
        <v>2.6785000000000001</v>
      </c>
      <c r="AN40" s="256">
        <f t="array" ref="AN40">MAX((IF(COT_CODIGO_ALIMENTOS=D40,COT_VALOR_UNITARIO_SINIVA,"")))</f>
        <v>11.333333333333334</v>
      </c>
      <c r="AO40" s="256">
        <f t="array" ref="AO40">MAX((IF(COT_CODIGO_ALIMENTOS=D40,COT_VALOR_UNITARIO_CONIVA,"")))</f>
        <v>11.333333333333334</v>
      </c>
    </row>
    <row r="41" spans="1:41" ht="15.75">
      <c r="A41" s="133" t="s">
        <v>1523</v>
      </c>
      <c r="B41" s="243" t="s">
        <v>1</v>
      </c>
      <c r="C41" s="134">
        <v>69</v>
      </c>
      <c r="D41" s="134">
        <v>69</v>
      </c>
      <c r="E41" s="331" t="s">
        <v>70</v>
      </c>
      <c r="F41" s="134">
        <f t="shared" si="0"/>
        <v>47</v>
      </c>
      <c r="G41" s="318" t="s">
        <v>1934</v>
      </c>
      <c r="H41" s="319">
        <f t="shared" si="1"/>
        <v>2.8519999999999999</v>
      </c>
      <c r="I41" s="319">
        <f t="shared" si="2"/>
        <v>2.8519999999999999</v>
      </c>
      <c r="J41" s="320" t="s">
        <v>1817</v>
      </c>
      <c r="K41" s="134" t="str">
        <f t="shared" si="3"/>
        <v>gr</v>
      </c>
      <c r="L41" s="294">
        <f t="shared" si="4"/>
        <v>3.3819148936170218</v>
      </c>
      <c r="M41" s="294">
        <f t="shared" si="5"/>
        <v>3.3819148936170218</v>
      </c>
      <c r="N41" s="295">
        <f t="shared" si="6"/>
        <v>1.1359555033727882</v>
      </c>
      <c r="O41" s="295">
        <f t="shared" si="7"/>
        <v>1.1359555033727882</v>
      </c>
      <c r="P41" s="291">
        <f t="shared" si="8"/>
        <v>0.33589121521560888</v>
      </c>
      <c r="Q41" s="291">
        <f t="shared" si="9"/>
        <v>0.33589121521560888</v>
      </c>
      <c r="R41" s="277">
        <f t="shared" si="10"/>
        <v>3.2652409122395034</v>
      </c>
      <c r="S41" s="277">
        <f t="shared" si="11"/>
        <v>3.2652409122395034</v>
      </c>
      <c r="T41" s="284">
        <f t="shared" si="12"/>
        <v>3.04</v>
      </c>
      <c r="U41" s="284">
        <f t="shared" si="13"/>
        <v>3.04</v>
      </c>
      <c r="V41" s="293">
        <f t="shared" si="14"/>
        <v>3.2384439359267736</v>
      </c>
      <c r="W41" s="293">
        <f t="shared" si="15"/>
        <v>3.2384439359267736</v>
      </c>
      <c r="X41" s="313">
        <f t="shared" si="16"/>
        <v>2.8519999999999999</v>
      </c>
      <c r="Y41" s="313">
        <f t="shared" si="17"/>
        <v>2.8519999999999999</v>
      </c>
      <c r="Z41" s="299">
        <f t="shared" si="18"/>
        <v>2.573</v>
      </c>
      <c r="AA41" s="299">
        <f t="shared" si="19"/>
        <v>2.573</v>
      </c>
      <c r="AB41" s="299">
        <f t="shared" si="20"/>
        <v>8.83</v>
      </c>
      <c r="AC41" s="299">
        <f t="shared" si="21"/>
        <v>8.83</v>
      </c>
      <c r="AD41" s="256">
        <f t="array" ref="AD41">PRODUCT((IF(COT_CODIGO_ALIMENTOS=D41,COT_VALOR_UNITARIO_SINIVA,1)))</f>
        <v>1.4256594008198813E+24</v>
      </c>
      <c r="AE41" s="256">
        <f t="array" ref="AE41">PRODUCT((IF(COT_CODIGO_ALIMENTOS=D41,COT_VALOR_UNITARIO_CONIVA,1)))</f>
        <v>1.4256594008198813E+24</v>
      </c>
      <c r="AF41" s="256">
        <f t="array" ref="AF41">IFERROR(STDEV(IF(COT_CODIGO_ALIMENTOS=D41,COT_VALOR_UNITARIO_SINIVA,"")),0)</f>
        <v>1.1359555033727882</v>
      </c>
      <c r="AG41" s="256">
        <f t="array" ref="AG41">IFERROR(STDEV(IF(COT_CODIGO_ALIMENTOS=D41,COT_VALOR_UNITARIO_CONIVA,"")),0)</f>
        <v>1.1359555033727882</v>
      </c>
      <c r="AH41" s="256">
        <f t="array" ref="AH41">MEDIAN(IF(COT_CODIGO_ALIMENTOS=D41,COT_VALOR_UNITARIO_SINIVA,""))</f>
        <v>3.04</v>
      </c>
      <c r="AI41" s="256">
        <f t="array" ref="AI41">MEDIAN(IF(COT_CODIGO_ALIMENTOS=D41,COT_VALOR_UNITARIO_CONIVA,""))</f>
        <v>3.04</v>
      </c>
      <c r="AJ41" s="256">
        <f t="array" ref="AJ41">MIN((IF(COT_CODIGO_ALIMENTOS=D41,COT_VALOR_UNITARIO_SINIVA,"")))</f>
        <v>2.573</v>
      </c>
      <c r="AK41" s="256">
        <f t="array" ref="AK41">MIN((IF(COT_CODIGO_ALIMENTOS=D41,COT_VALOR_UNITARIO_CONIVA,"")))</f>
        <v>2.573</v>
      </c>
      <c r="AL41" s="256">
        <f t="array" ref="AL41">_xlfn.QUARTILE.EXC(IF(COT_CODIGO_ALIMENTOS=D41,COT_VALOR_UNITARIO_SINIVA,""),1)</f>
        <v>2.8519999999999999</v>
      </c>
      <c r="AM41" s="256">
        <f t="array" ref="AM41">_xlfn.QUARTILE.EXC(IF(COT_CODIGO_ALIMENTOS=D41,COT_VALOR_UNITARIO_CONIVA,""),1)</f>
        <v>2.8519999999999999</v>
      </c>
      <c r="AN41" s="256">
        <f t="array" ref="AN41">MAX((IF(COT_CODIGO_ALIMENTOS=D41,COT_VALOR_UNITARIO_SINIVA,"")))</f>
        <v>8.83</v>
      </c>
      <c r="AO41" s="256">
        <f t="array" ref="AO41">MAX((IF(COT_CODIGO_ALIMENTOS=D41,COT_VALOR_UNITARIO_CONIVA,"")))</f>
        <v>8.83</v>
      </c>
    </row>
    <row r="42" spans="1:41" ht="15.75">
      <c r="A42" s="133" t="s">
        <v>1523</v>
      </c>
      <c r="B42" s="243" t="s">
        <v>1</v>
      </c>
      <c r="C42" s="134">
        <v>70</v>
      </c>
      <c r="D42" s="134">
        <v>70</v>
      </c>
      <c r="E42" s="331" t="s">
        <v>71</v>
      </c>
      <c r="F42" s="134">
        <f t="shared" si="0"/>
        <v>88</v>
      </c>
      <c r="G42" s="318" t="s">
        <v>1934</v>
      </c>
      <c r="H42" s="319">
        <f t="shared" si="1"/>
        <v>4.0575000000000001</v>
      </c>
      <c r="I42" s="319">
        <f t="shared" si="2"/>
        <v>4.0575000000000001</v>
      </c>
      <c r="J42" s="320" t="s">
        <v>1817</v>
      </c>
      <c r="K42" s="134" t="str">
        <f t="shared" si="3"/>
        <v>gr</v>
      </c>
      <c r="L42" s="294">
        <f t="shared" si="4"/>
        <v>4.5264204545454554</v>
      </c>
      <c r="M42" s="294">
        <f t="shared" si="5"/>
        <v>4.5264204545454554</v>
      </c>
      <c r="N42" s="295">
        <f t="shared" si="6"/>
        <v>0.89056963201192718</v>
      </c>
      <c r="O42" s="295">
        <f t="shared" si="7"/>
        <v>0.89056963201192718</v>
      </c>
      <c r="P42" s="291">
        <f t="shared" si="8"/>
        <v>0.19674920634419024</v>
      </c>
      <c r="Q42" s="291">
        <f t="shared" si="9"/>
        <v>0.19674920634419024</v>
      </c>
      <c r="R42" s="277">
        <f t="shared" si="10"/>
        <v>4.4613851308622561</v>
      </c>
      <c r="S42" s="277">
        <f t="shared" si="11"/>
        <v>4.4613851308622561</v>
      </c>
      <c r="T42" s="284">
        <f t="shared" si="12"/>
        <v>4.2450000000000001</v>
      </c>
      <c r="U42" s="284">
        <f t="shared" si="13"/>
        <v>4.2450000000000001</v>
      </c>
      <c r="V42" s="293">
        <f t="shared" si="14"/>
        <v>4.4628956623681129</v>
      </c>
      <c r="W42" s="293">
        <f t="shared" si="15"/>
        <v>4.4628956623681129</v>
      </c>
      <c r="X42" s="313">
        <f t="shared" si="16"/>
        <v>4.0575000000000001</v>
      </c>
      <c r="Y42" s="313">
        <f t="shared" si="17"/>
        <v>4.0575000000000001</v>
      </c>
      <c r="Z42" s="299">
        <f t="shared" si="18"/>
        <v>3.403</v>
      </c>
      <c r="AA42" s="299">
        <f t="shared" si="19"/>
        <v>3.403</v>
      </c>
      <c r="AB42" s="299">
        <f t="shared" si="20"/>
        <v>9</v>
      </c>
      <c r="AC42" s="299">
        <f t="shared" si="21"/>
        <v>9</v>
      </c>
      <c r="AD42" s="256">
        <f t="array" ref="AD42">PRODUCT((IF(COT_CODIGO_ALIMENTOS=D42,COT_VALOR_UNITARIO_SINIVA,1)))</f>
        <v>1.4234262300158251E+57</v>
      </c>
      <c r="AE42" s="256">
        <f t="array" ref="AE42">PRODUCT((IF(COT_CODIGO_ALIMENTOS=D42,COT_VALOR_UNITARIO_CONIVA,1)))</f>
        <v>1.4234262300158251E+57</v>
      </c>
      <c r="AF42" s="256">
        <f t="array" ref="AF42">IFERROR(STDEV(IF(COT_CODIGO_ALIMENTOS=D42,COT_VALOR_UNITARIO_SINIVA,"")),0)</f>
        <v>0.89056963201192718</v>
      </c>
      <c r="AG42" s="256">
        <f t="array" ref="AG42">IFERROR(STDEV(IF(COT_CODIGO_ALIMENTOS=D42,COT_VALOR_UNITARIO_CONIVA,"")),0)</f>
        <v>0.89056963201192718</v>
      </c>
      <c r="AH42" s="256">
        <f t="array" ref="AH42">MEDIAN(IF(COT_CODIGO_ALIMENTOS=D42,COT_VALOR_UNITARIO_SINIVA,""))</f>
        <v>4.2450000000000001</v>
      </c>
      <c r="AI42" s="256">
        <f t="array" ref="AI42">MEDIAN(IF(COT_CODIGO_ALIMENTOS=D42,COT_VALOR_UNITARIO_CONIVA,""))</f>
        <v>4.2450000000000001</v>
      </c>
      <c r="AJ42" s="256">
        <f t="array" ref="AJ42">MIN((IF(COT_CODIGO_ALIMENTOS=D42,COT_VALOR_UNITARIO_SINIVA,"")))</f>
        <v>3.403</v>
      </c>
      <c r="AK42" s="256">
        <f t="array" ref="AK42">MIN((IF(COT_CODIGO_ALIMENTOS=D42,COT_VALOR_UNITARIO_CONIVA,"")))</f>
        <v>3.403</v>
      </c>
      <c r="AL42" s="256">
        <f t="array" ref="AL42">_xlfn.QUARTILE.EXC(IF(COT_CODIGO_ALIMENTOS=D42,COT_VALOR_UNITARIO_SINIVA,""),1)</f>
        <v>4.0575000000000001</v>
      </c>
      <c r="AM42" s="256">
        <f t="array" ref="AM42">_xlfn.QUARTILE.EXC(IF(COT_CODIGO_ALIMENTOS=D42,COT_VALOR_UNITARIO_CONIVA,""),1)</f>
        <v>4.0575000000000001</v>
      </c>
      <c r="AN42" s="256">
        <f t="array" ref="AN42">MAX((IF(COT_CODIGO_ALIMENTOS=D42,COT_VALOR_UNITARIO_SINIVA,"")))</f>
        <v>9</v>
      </c>
      <c r="AO42" s="256">
        <f t="array" ref="AO42">MAX((IF(COT_CODIGO_ALIMENTOS=D42,COT_VALOR_UNITARIO_CONIVA,"")))</f>
        <v>9</v>
      </c>
    </row>
    <row r="43" spans="1:41">
      <c r="A43" s="133"/>
      <c r="B43" s="133"/>
      <c r="C43" s="133"/>
      <c r="D43" s="133"/>
      <c r="E43" s="135"/>
      <c r="F43" s="133"/>
      <c r="G43" s="272"/>
      <c r="H43" s="271"/>
      <c r="I43" s="271"/>
      <c r="J43" s="271"/>
      <c r="K43" s="133"/>
      <c r="L43" s="279"/>
      <c r="M43" s="280"/>
      <c r="N43" s="282"/>
      <c r="O43" s="282"/>
      <c r="P43" s="292"/>
      <c r="Q43" s="292"/>
      <c r="R43" s="276"/>
      <c r="S43" s="135"/>
      <c r="T43" s="286"/>
      <c r="U43" s="285"/>
      <c r="V43" s="288"/>
      <c r="W43" s="289"/>
      <c r="X43" s="297"/>
      <c r="Y43" s="297"/>
      <c r="Z43" s="136"/>
      <c r="AA43" s="137"/>
      <c r="AB43" s="136"/>
      <c r="AC43" s="137"/>
      <c r="AD43" s="256">
        <f t="array" ref="AD43">PRODUCT((IF(COT_CODIGO_ALIMENTOS=D43,COT_VALOR_UNITARIO_SINIVA,1)))</f>
        <v>1</v>
      </c>
      <c r="AE43" s="256">
        <f t="array" ref="AE43">PRODUCT((IF(COT_CODIGO_ALIMENTOS=D43,COT_VALOR_UNITARIO_CONIVA,1)))</f>
        <v>1</v>
      </c>
      <c r="AF43" s="256">
        <f t="array" ref="AF43">IFERROR(STDEV(IF(COT_CODIGO_ALIMENTOS=D43,COT_VALOR_UNITARIO_SINIVA,"")),0)</f>
        <v>0</v>
      </c>
      <c r="AG43" s="256">
        <f t="array" ref="AG43">IFERROR(STDEV(IF(COT_CODIGO_ALIMENTOS=D43,COT_VALOR_UNITARIO_CONIVA,"")),0)</f>
        <v>0</v>
      </c>
      <c r="AH43" s="256" t="e">
        <f t="array" ref="AH43">MEDIAN(IF(COT_CODIGO_ALIMENTOS=D43,COT_VALOR_UNITARIO_SINIVA,""))</f>
        <v>#NUM!</v>
      </c>
      <c r="AI43" s="256" t="e">
        <f t="array" ref="AI43">MEDIAN(IF(COT_CODIGO_ALIMENTOS=D43,COT_VALOR_UNITARIO_CONIVA,""))</f>
        <v>#NUM!</v>
      </c>
      <c r="AJ43" s="256">
        <f t="array" ref="AJ43">MIN((IF(COT_CODIGO_ALIMENTOS=D43,COT_VALOR_UNITARIO_SINIVA,"")))</f>
        <v>0</v>
      </c>
      <c r="AK43" s="256">
        <f t="array" ref="AK43">MIN((IF(COT_CODIGO_ALIMENTOS=D43,COT_VALOR_UNITARIO_CONIVA,"")))</f>
        <v>0</v>
      </c>
      <c r="AL43" s="256"/>
      <c r="AM43" s="256" t="e">
        <f t="array" ref="AM43">_xlfn.QUARTILE.EXC(IF(COT_CODIGO_ALIMENTOS=D43,COT_VALOR_UNITARIO_CONIVA,""),1)</f>
        <v>#NUM!</v>
      </c>
      <c r="AN43" s="256">
        <f t="array" ref="AN43">MAX((IF(COT_CODIGO_ALIMENTOS=D43,COT_VALOR_UNITARIO_SINIVA,"")))</f>
        <v>0</v>
      </c>
      <c r="AO43" s="256">
        <f t="array" ref="AO43">MAX((IF(COT_CODIGO_ALIMENTOS=D43,COT_VALOR_UNITARIO_CONIVA,"")))</f>
        <v>0</v>
      </c>
    </row>
    <row r="44" spans="1:41">
      <c r="A44" s="133"/>
      <c r="B44" s="133"/>
      <c r="C44" s="133"/>
      <c r="D44" s="133"/>
      <c r="E44" s="135"/>
      <c r="F44" s="133"/>
      <c r="G44" s="272"/>
      <c r="H44" s="271"/>
      <c r="I44" s="271"/>
      <c r="J44" s="271"/>
      <c r="K44" s="133"/>
      <c r="L44" s="279"/>
      <c r="M44" s="280"/>
      <c r="N44" s="282"/>
      <c r="O44" s="282"/>
      <c r="P44" s="292"/>
      <c r="Q44" s="292"/>
      <c r="R44" s="276"/>
      <c r="S44" s="135"/>
      <c r="T44" s="286"/>
      <c r="U44" s="285"/>
      <c r="V44" s="288"/>
      <c r="W44" s="289"/>
      <c r="X44" s="297"/>
      <c r="Y44" s="297"/>
      <c r="Z44" s="136"/>
      <c r="AA44" s="137"/>
      <c r="AB44" s="136"/>
      <c r="AC44" s="137"/>
      <c r="AD44" s="256">
        <f t="array" ref="AD44">PRODUCT((IF(COT_CODIGO_ALIMENTOS=D44,COT_VALOR_UNITARIO_SINIVA,1)))</f>
        <v>1</v>
      </c>
      <c r="AE44" s="256">
        <f t="array" ref="AE44">PRODUCT((IF(COT_CODIGO_ALIMENTOS=D44,COT_VALOR_UNITARIO_CONIVA,1)))</f>
        <v>1</v>
      </c>
      <c r="AF44" s="256">
        <f t="array" ref="AF44">IFERROR(STDEV(IF(COT_CODIGO_ALIMENTOS=D44,COT_VALOR_UNITARIO_SINIVA,"")),0)</f>
        <v>0</v>
      </c>
      <c r="AG44" s="256">
        <f t="array" ref="AG44">IFERROR(STDEV(IF(COT_CODIGO_ALIMENTOS=D44,COT_VALOR_UNITARIO_CONIVA,"")),0)</f>
        <v>0</v>
      </c>
      <c r="AH44" s="256" t="e">
        <f t="array" ref="AH44">MEDIAN(IF(COT_CODIGO_ALIMENTOS=D44,COT_VALOR_UNITARIO_SINIVA,""))</f>
        <v>#NUM!</v>
      </c>
      <c r="AI44" s="256" t="e">
        <f t="array" ref="AI44">MEDIAN(IF(COT_CODIGO_ALIMENTOS=D44,COT_VALOR_UNITARIO_CONIVA,""))</f>
        <v>#NUM!</v>
      </c>
      <c r="AJ44" s="256">
        <f t="array" ref="AJ44">MIN((IF(COT_CODIGO_ALIMENTOS=D44,COT_VALOR_UNITARIO_SINIVA,"")))</f>
        <v>0</v>
      </c>
      <c r="AK44" s="256">
        <f t="array" ref="AK44">MIN((IF(COT_CODIGO_ALIMENTOS=D44,COT_VALOR_UNITARIO_CONIVA,"")))</f>
        <v>0</v>
      </c>
      <c r="AL44" s="256"/>
      <c r="AM44" s="256" t="e">
        <f t="array" ref="AM44">_xlfn.QUARTILE.EXC(IF(COT_CODIGO_ALIMENTOS=D44,COT_VALOR_UNITARIO_CONIVA,""),1)</f>
        <v>#NUM!</v>
      </c>
      <c r="AN44" s="256">
        <f t="array" ref="AN44">MAX((IF(COT_CODIGO_ALIMENTOS=D44,COT_VALOR_UNITARIO_SINIVA,"")))</f>
        <v>0</v>
      </c>
      <c r="AO44" s="256">
        <f t="array" ref="AO44">MAX((IF(COT_CODIGO_ALIMENTOS=D44,COT_VALOR_UNITARIO_CONIVA,"")))</f>
        <v>0</v>
      </c>
    </row>
    <row r="45" spans="1:41">
      <c r="A45" s="133"/>
      <c r="B45" s="133"/>
      <c r="C45" s="133"/>
      <c r="D45" s="133"/>
      <c r="E45" s="135"/>
      <c r="F45" s="133"/>
      <c r="G45" s="272"/>
      <c r="H45" s="271"/>
      <c r="I45" s="271"/>
      <c r="J45" s="271"/>
      <c r="K45" s="133"/>
      <c r="L45" s="279"/>
      <c r="M45" s="280"/>
      <c r="N45" s="282"/>
      <c r="O45" s="282"/>
      <c r="P45" s="292"/>
      <c r="Q45" s="292"/>
      <c r="R45" s="276"/>
      <c r="S45" s="135"/>
      <c r="T45" s="286"/>
      <c r="U45" s="285"/>
      <c r="V45" s="288"/>
      <c r="W45" s="289"/>
      <c r="X45" s="297"/>
      <c r="Y45" s="297"/>
      <c r="Z45" s="136"/>
      <c r="AA45" s="137"/>
      <c r="AB45" s="136"/>
      <c r="AC45" s="137"/>
      <c r="AD45" s="256">
        <f t="array" ref="AD45">PRODUCT((IF(COT_CODIGO_ALIMENTOS=D45,COT_VALOR_UNITARIO_SINIVA,1)))</f>
        <v>1</v>
      </c>
      <c r="AE45" s="256">
        <f t="array" ref="AE45">PRODUCT((IF(COT_CODIGO_ALIMENTOS=D45,COT_VALOR_UNITARIO_CONIVA,1)))</f>
        <v>1</v>
      </c>
      <c r="AF45" s="256">
        <f t="array" ref="AF45">IFERROR(STDEV(IF(COT_CODIGO_ALIMENTOS=D45,COT_VALOR_UNITARIO_SINIVA,"")),0)</f>
        <v>0</v>
      </c>
      <c r="AG45" s="256">
        <f t="array" ref="AG45">IFERROR(STDEV(IF(COT_CODIGO_ALIMENTOS=D45,COT_VALOR_UNITARIO_CONIVA,"")),0)</f>
        <v>0</v>
      </c>
      <c r="AH45" s="256" t="e">
        <f t="array" ref="AH45">MEDIAN(IF(COT_CODIGO_ALIMENTOS=D45,COT_VALOR_UNITARIO_SINIVA,""))</f>
        <v>#NUM!</v>
      </c>
      <c r="AI45" s="256" t="e">
        <f t="array" ref="AI45">MEDIAN(IF(COT_CODIGO_ALIMENTOS=D45,COT_VALOR_UNITARIO_CONIVA,""))</f>
        <v>#NUM!</v>
      </c>
      <c r="AJ45" s="256">
        <f t="array" ref="AJ45">MIN((IF(COT_CODIGO_ALIMENTOS=D45,COT_VALOR_UNITARIO_SINIVA,"")))</f>
        <v>0</v>
      </c>
      <c r="AK45" s="256">
        <f t="array" ref="AK45">MIN((IF(COT_CODIGO_ALIMENTOS=D45,COT_VALOR_UNITARIO_CONIVA,"")))</f>
        <v>0</v>
      </c>
      <c r="AL45" s="256"/>
      <c r="AM45" s="256" t="e">
        <f t="array" ref="AM45">_xlfn.QUARTILE.EXC(IF(COT_CODIGO_ALIMENTOS=D45,COT_VALOR_UNITARIO_CONIVA,""),1)</f>
        <v>#NUM!</v>
      </c>
      <c r="AN45" s="256">
        <f t="array" ref="AN45">MAX((IF(COT_CODIGO_ALIMENTOS=D45,COT_VALOR_UNITARIO_SINIVA,"")))</f>
        <v>0</v>
      </c>
      <c r="AO45" s="256">
        <f t="array" ref="AO45">MAX((IF(COT_CODIGO_ALIMENTOS=D45,COT_VALOR_UNITARIO_CONIVA,"")))</f>
        <v>0</v>
      </c>
    </row>
    <row r="46" spans="1:41">
      <c r="A46" s="133"/>
      <c r="B46" s="133"/>
      <c r="C46" s="133"/>
      <c r="D46" s="133"/>
      <c r="E46" s="135"/>
      <c r="F46" s="133"/>
      <c r="G46" s="272"/>
      <c r="H46" s="271"/>
      <c r="I46" s="271"/>
      <c r="J46" s="271"/>
      <c r="K46" s="133"/>
      <c r="L46" s="279"/>
      <c r="M46" s="280"/>
      <c r="N46" s="282"/>
      <c r="O46" s="282"/>
      <c r="P46" s="292"/>
      <c r="Q46" s="292"/>
      <c r="R46" s="276"/>
      <c r="S46" s="135"/>
      <c r="T46" s="286"/>
      <c r="U46" s="285"/>
      <c r="V46" s="288"/>
      <c r="W46" s="289"/>
      <c r="X46" s="297"/>
      <c r="Y46" s="297"/>
      <c r="Z46" s="136"/>
      <c r="AA46" s="137"/>
      <c r="AB46" s="136"/>
      <c r="AC46" s="137"/>
      <c r="AD46" s="256">
        <f t="array" ref="AD46">PRODUCT((IF(COT_CODIGO_ALIMENTOS=D46,COT_VALOR_UNITARIO_SINIVA,1)))</f>
        <v>1</v>
      </c>
      <c r="AE46" s="256">
        <f t="array" ref="AE46">PRODUCT((IF(COT_CODIGO_ALIMENTOS=D46,COT_VALOR_UNITARIO_CONIVA,1)))</f>
        <v>1</v>
      </c>
      <c r="AF46" s="256">
        <f t="array" ref="AF46">IFERROR(STDEV(IF(COT_CODIGO_ALIMENTOS=D46,COT_VALOR_UNITARIO_SINIVA,"")),0)</f>
        <v>0</v>
      </c>
      <c r="AG46" s="256">
        <f t="array" ref="AG46">IFERROR(STDEV(IF(COT_CODIGO_ALIMENTOS=D46,COT_VALOR_UNITARIO_CONIVA,"")),0)</f>
        <v>0</v>
      </c>
      <c r="AH46" s="256" t="e">
        <f t="array" ref="AH46">MEDIAN(IF(COT_CODIGO_ALIMENTOS=D46,COT_VALOR_UNITARIO_SINIVA,""))</f>
        <v>#NUM!</v>
      </c>
      <c r="AI46" s="256" t="e">
        <f t="array" ref="AI46">MEDIAN(IF(COT_CODIGO_ALIMENTOS=D46,COT_VALOR_UNITARIO_CONIVA,""))</f>
        <v>#NUM!</v>
      </c>
      <c r="AJ46" s="256">
        <f t="array" ref="AJ46">MIN((IF(COT_CODIGO_ALIMENTOS=D46,COT_VALOR_UNITARIO_SINIVA,"")))</f>
        <v>0</v>
      </c>
      <c r="AK46" s="256">
        <f t="array" ref="AK46">MIN((IF(COT_CODIGO_ALIMENTOS=D46,COT_VALOR_UNITARIO_CONIVA,"")))</f>
        <v>0</v>
      </c>
      <c r="AL46" s="256"/>
      <c r="AM46" s="256" t="e">
        <f t="array" ref="AM46">_xlfn.QUARTILE.EXC(IF(COT_CODIGO_ALIMENTOS=D46,COT_VALOR_UNITARIO_CONIVA,""),1)</f>
        <v>#NUM!</v>
      </c>
      <c r="AN46" s="256">
        <f t="array" ref="AN46">MAX((IF(COT_CODIGO_ALIMENTOS=D46,COT_VALOR_UNITARIO_SINIVA,"")))</f>
        <v>0</v>
      </c>
      <c r="AO46" s="256">
        <f t="array" ref="AO46">MAX((IF(COT_CODIGO_ALIMENTOS=D46,COT_VALOR_UNITARIO_CONIVA,"")))</f>
        <v>0</v>
      </c>
    </row>
    <row r="47" spans="1:41">
      <c r="A47" s="133"/>
      <c r="B47" s="133"/>
      <c r="C47" s="133"/>
      <c r="D47" s="133"/>
      <c r="E47" s="135"/>
      <c r="F47" s="133"/>
      <c r="G47" s="272"/>
      <c r="H47" s="271"/>
      <c r="I47" s="271"/>
      <c r="J47" s="271"/>
      <c r="K47" s="133"/>
      <c r="L47" s="279"/>
      <c r="M47" s="280"/>
      <c r="N47" s="282"/>
      <c r="O47" s="282"/>
      <c r="P47" s="292"/>
      <c r="Q47" s="292"/>
      <c r="R47" s="276"/>
      <c r="S47" s="135"/>
      <c r="T47" s="286"/>
      <c r="U47" s="285"/>
      <c r="V47" s="288"/>
      <c r="W47" s="289"/>
      <c r="X47" s="297"/>
      <c r="Y47" s="297"/>
      <c r="Z47" s="136"/>
      <c r="AA47" s="137"/>
      <c r="AB47" s="136"/>
      <c r="AC47" s="137"/>
      <c r="AD47" s="256">
        <f t="array" ref="AD47">PRODUCT((IF(COT_CODIGO_ALIMENTOS=D47,COT_VALOR_UNITARIO_SINIVA,1)))</f>
        <v>1</v>
      </c>
      <c r="AE47" s="256">
        <f t="array" ref="AE47">PRODUCT((IF(COT_CODIGO_ALIMENTOS=D47,COT_VALOR_UNITARIO_CONIVA,1)))</f>
        <v>1</v>
      </c>
      <c r="AF47" s="256">
        <f t="array" ref="AF47">IFERROR(STDEV(IF(COT_CODIGO_ALIMENTOS=D47,COT_VALOR_UNITARIO_SINIVA,"")),0)</f>
        <v>0</v>
      </c>
      <c r="AG47" s="256">
        <f t="array" ref="AG47">IFERROR(STDEV(IF(COT_CODIGO_ALIMENTOS=D47,COT_VALOR_UNITARIO_CONIVA,"")),0)</f>
        <v>0</v>
      </c>
      <c r="AH47" s="256" t="e">
        <f t="array" ref="AH47">MEDIAN(IF(COT_CODIGO_ALIMENTOS=D47,COT_VALOR_UNITARIO_SINIVA,""))</f>
        <v>#NUM!</v>
      </c>
      <c r="AI47" s="256" t="e">
        <f t="array" ref="AI47">MEDIAN(IF(COT_CODIGO_ALIMENTOS=D47,COT_VALOR_UNITARIO_CONIVA,""))</f>
        <v>#NUM!</v>
      </c>
      <c r="AJ47" s="256">
        <f t="array" ref="AJ47">MIN((IF(COT_CODIGO_ALIMENTOS=D47,COT_VALOR_UNITARIO_SINIVA,"")))</f>
        <v>0</v>
      </c>
      <c r="AK47" s="256">
        <f t="array" ref="AK47">MIN((IF(COT_CODIGO_ALIMENTOS=D47,COT_VALOR_UNITARIO_CONIVA,"")))</f>
        <v>0</v>
      </c>
      <c r="AL47" s="256"/>
      <c r="AM47" s="256" t="e">
        <f t="array" ref="AM47">_xlfn.QUARTILE.EXC(IF(COT_CODIGO_ALIMENTOS=D47,COT_VALOR_UNITARIO_CONIVA,""),1)</f>
        <v>#NUM!</v>
      </c>
      <c r="AN47" s="256">
        <f t="array" ref="AN47">MAX((IF(COT_CODIGO_ALIMENTOS=D47,COT_VALOR_UNITARIO_SINIVA,"")))</f>
        <v>0</v>
      </c>
      <c r="AO47" s="256">
        <f t="array" ref="AO47">MAX((IF(COT_CODIGO_ALIMENTOS=D47,COT_VALOR_UNITARIO_CONIVA,"")))</f>
        <v>0</v>
      </c>
    </row>
    <row r="48" spans="1:41">
      <c r="A48" s="133"/>
      <c r="B48" s="133"/>
      <c r="C48" s="133"/>
      <c r="D48" s="133"/>
      <c r="E48" s="135"/>
      <c r="F48" s="133"/>
      <c r="G48" s="272"/>
      <c r="H48" s="271"/>
      <c r="I48" s="271"/>
      <c r="J48" s="271"/>
      <c r="K48" s="133"/>
      <c r="L48" s="279"/>
      <c r="M48" s="280"/>
      <c r="N48" s="282"/>
      <c r="O48" s="282"/>
      <c r="P48" s="292"/>
      <c r="Q48" s="292"/>
      <c r="R48" s="276"/>
      <c r="S48" s="135"/>
      <c r="T48" s="286"/>
      <c r="U48" s="285"/>
      <c r="V48" s="288"/>
      <c r="W48" s="289"/>
      <c r="X48" s="297"/>
      <c r="Y48" s="297"/>
      <c r="Z48" s="136"/>
      <c r="AA48" s="137"/>
      <c r="AB48" s="136"/>
      <c r="AC48" s="137"/>
      <c r="AD48" s="256">
        <f t="array" ref="AD48">PRODUCT((IF(COT_CODIGO_ALIMENTOS=D48,COT_VALOR_UNITARIO_SINIVA,1)))</f>
        <v>1</v>
      </c>
      <c r="AE48" s="256">
        <f t="array" ref="AE48">PRODUCT((IF(COT_CODIGO_ALIMENTOS=D48,COT_VALOR_UNITARIO_CONIVA,1)))</f>
        <v>1</v>
      </c>
      <c r="AF48" s="256">
        <f t="array" ref="AF48">IFERROR(STDEV(IF(COT_CODIGO_ALIMENTOS=D48,COT_VALOR_UNITARIO_SINIVA,"")),0)</f>
        <v>0</v>
      </c>
      <c r="AG48" s="256">
        <f t="array" ref="AG48">IFERROR(STDEV(IF(COT_CODIGO_ALIMENTOS=D48,COT_VALOR_UNITARIO_CONIVA,"")),0)</f>
        <v>0</v>
      </c>
      <c r="AH48" s="256" t="e">
        <f t="array" ref="AH48">MEDIAN(IF(COT_CODIGO_ALIMENTOS=D48,COT_VALOR_UNITARIO_SINIVA,""))</f>
        <v>#NUM!</v>
      </c>
      <c r="AI48" s="256" t="e">
        <f t="array" ref="AI48">MEDIAN(IF(COT_CODIGO_ALIMENTOS=D48,COT_VALOR_UNITARIO_CONIVA,""))</f>
        <v>#NUM!</v>
      </c>
      <c r="AJ48" s="256">
        <f t="array" ref="AJ48">MIN((IF(COT_CODIGO_ALIMENTOS=D48,COT_VALOR_UNITARIO_SINIVA,"")))</f>
        <v>0</v>
      </c>
      <c r="AK48" s="256">
        <f t="array" ref="AK48">MIN((IF(COT_CODIGO_ALIMENTOS=D48,COT_VALOR_UNITARIO_CONIVA,"")))</f>
        <v>0</v>
      </c>
      <c r="AL48" s="256"/>
      <c r="AM48" s="256" t="e">
        <f t="array" ref="AM48">_xlfn.QUARTILE.EXC(IF(COT_CODIGO_ALIMENTOS=D48,COT_VALOR_UNITARIO_CONIVA,""),1)</f>
        <v>#NUM!</v>
      </c>
      <c r="AN48" s="256">
        <f t="array" ref="AN48">MAX((IF(COT_CODIGO_ALIMENTOS=D48,COT_VALOR_UNITARIO_SINIVA,"")))</f>
        <v>0</v>
      </c>
      <c r="AO48" s="256">
        <f t="array" ref="AO48">MAX((IF(COT_CODIGO_ALIMENTOS=D48,COT_VALOR_UNITARIO_CONIVA,"")))</f>
        <v>0</v>
      </c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</sheetData>
  <autoFilter ref="A29:AO48">
    <sortState ref="A30:AO190">
      <sortCondition ref="B30:B190"/>
    </sortState>
  </autoFilter>
  <sortState ref="A30:AO190">
    <sortCondition ref="B30:B190"/>
  </sortState>
  <dataConsolidate/>
  <mergeCells count="23">
    <mergeCell ref="AB27:AC27"/>
    <mergeCell ref="X27:Y27"/>
    <mergeCell ref="M25:O25"/>
    <mergeCell ref="T18:V18"/>
    <mergeCell ref="T19:V19"/>
    <mergeCell ref="M26:O26"/>
    <mergeCell ref="Z27:AA27"/>
    <mergeCell ref="G27:J27"/>
    <mergeCell ref="L27:M27"/>
    <mergeCell ref="D2:E2"/>
    <mergeCell ref="A3:AC3"/>
    <mergeCell ref="A4:AC4"/>
    <mergeCell ref="A7:AC7"/>
    <mergeCell ref="A5:AC5"/>
    <mergeCell ref="D24:F24"/>
    <mergeCell ref="D23:F23"/>
    <mergeCell ref="V27:W27"/>
    <mergeCell ref="N27:O27"/>
    <mergeCell ref="T27:U27"/>
    <mergeCell ref="P27:Q27"/>
    <mergeCell ref="R27:S27"/>
    <mergeCell ref="M23:O23"/>
    <mergeCell ref="M24:O24"/>
  </mergeCells>
  <dataValidations count="3">
    <dataValidation type="list" allowBlank="1" showInputMessage="1" showErrorMessage="1" sqref="A35:A38 A40:A42 A30:A33">
      <formula1>TIPO</formula1>
    </dataValidation>
    <dataValidation type="list" allowBlank="1" showInputMessage="1" showErrorMessage="1" sqref="D24:D25">
      <formula1>$AD$11:$AD$12</formula1>
    </dataValidation>
    <dataValidation type="list" allowBlank="1" showInputMessage="1" showErrorMessage="1" sqref="G30:G42">
      <formula1>COT_PRE_ESTADISTICOS</formula1>
    </dataValidation>
  </dataValidations>
  <hyperlinks>
    <hyperlink ref="D2:E2" location="'INDICE_ MODELO'!C96" display="Ir a Índic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36"/>
  <sheetViews>
    <sheetView zoomScaleNormal="100" workbookViewId="0"/>
  </sheetViews>
  <sheetFormatPr baseColWidth="10" defaultColWidth="0" defaultRowHeight="0" customHeight="1" zeroHeight="1"/>
  <cols>
    <col min="1" max="1" width="10" style="355" customWidth="1"/>
    <col min="2" max="3" width="13.5703125" style="355" hidden="1" customWidth="1"/>
    <col min="4" max="4" width="24.42578125" style="355" customWidth="1"/>
    <col min="5" max="5" width="8.42578125" style="355" customWidth="1"/>
    <col min="6" max="6" width="62" style="355" customWidth="1"/>
    <col min="7" max="7" width="7.140625" style="355" customWidth="1"/>
    <col min="8" max="8" width="9.85546875" style="355" customWidth="1"/>
    <col min="9" max="9" width="10.85546875" style="355" customWidth="1"/>
    <col min="10" max="10" width="10.140625" style="355" customWidth="1"/>
    <col min="11" max="11" width="10.42578125" style="355" customWidth="1"/>
    <col min="12" max="14" width="12" style="355" customWidth="1"/>
    <col min="15" max="15" width="17" style="355" customWidth="1"/>
    <col min="16" max="17" width="17.140625" style="355" customWidth="1"/>
    <col min="18" max="18" width="9.85546875" style="355" customWidth="1"/>
    <col min="19" max="19" width="10.85546875" style="355" customWidth="1"/>
    <col min="20" max="20" width="10.140625" style="355" customWidth="1"/>
    <col min="21" max="21" width="10.42578125" style="355" customWidth="1"/>
    <col min="22" max="22" width="12" style="355" customWidth="1"/>
    <col min="23" max="23" width="15.42578125" style="355" customWidth="1"/>
    <col min="24" max="25" width="13.85546875" style="355" customWidth="1"/>
    <col min="26" max="27" width="17.140625" style="355" customWidth="1"/>
    <col min="28" max="28" width="9.85546875" style="355" customWidth="1"/>
    <col min="29" max="29" width="10.85546875" style="355" customWidth="1"/>
    <col min="30" max="30" width="10.140625" style="355" customWidth="1"/>
    <col min="31" max="31" width="10.42578125" style="355" customWidth="1"/>
    <col min="32" max="32" width="12" style="355" customWidth="1"/>
    <col min="33" max="33" width="15.42578125" style="355" customWidth="1"/>
    <col min="34" max="35" width="13.85546875" style="355" customWidth="1"/>
    <col min="36" max="37" width="17.140625" style="355" customWidth="1"/>
    <col min="38" max="38" width="9.85546875" style="355" customWidth="1"/>
    <col min="39" max="39" width="10.85546875" style="355" customWidth="1"/>
    <col min="40" max="40" width="10.140625" style="355" customWidth="1"/>
    <col min="41" max="41" width="10.42578125" style="355" customWidth="1"/>
    <col min="42" max="42" width="12" style="355" customWidth="1"/>
    <col min="43" max="45" width="13.85546875" style="355" customWidth="1"/>
    <col min="46" max="47" width="17.140625" style="355" customWidth="1"/>
    <col min="48" max="48" width="9.85546875" style="355" customWidth="1"/>
    <col min="49" max="49" width="10.85546875" style="355" customWidth="1"/>
    <col min="50" max="50" width="10.140625" style="355" customWidth="1"/>
    <col min="51" max="51" width="10.42578125" style="355" customWidth="1"/>
    <col min="52" max="52" width="12" style="355" customWidth="1"/>
    <col min="53" max="55" width="13.85546875" style="355" customWidth="1"/>
    <col min="56" max="58" width="17.140625" style="355" customWidth="1"/>
    <col min="59" max="59" width="16.5703125" style="355" customWidth="1"/>
    <col min="60" max="63" width="11.42578125" style="354" hidden="1" customWidth="1"/>
    <col min="64" max="104" width="14.7109375" style="354" hidden="1" customWidth="1"/>
    <col min="105" max="16384" width="11.42578125" style="354" hidden="1"/>
  </cols>
  <sheetData>
    <row r="1" spans="1:59" ht="15.75">
      <c r="A1" s="389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1"/>
      <c r="AC1" s="391"/>
      <c r="AD1" s="391"/>
      <c r="AE1" s="391"/>
      <c r="AF1" s="390"/>
      <c r="AG1" s="390"/>
      <c r="AH1" s="390"/>
      <c r="AI1" s="390"/>
      <c r="AJ1" s="390"/>
      <c r="AK1" s="390"/>
      <c r="AL1" s="391"/>
      <c r="AM1" s="391"/>
      <c r="AN1" s="391"/>
      <c r="AO1" s="391"/>
      <c r="AP1" s="390"/>
      <c r="AQ1" s="390"/>
      <c r="AR1" s="390"/>
      <c r="AS1" s="390"/>
      <c r="AT1" s="390"/>
      <c r="AU1" s="390"/>
      <c r="AV1" s="391"/>
      <c r="AW1" s="391"/>
      <c r="AX1" s="391"/>
      <c r="AY1" s="391"/>
      <c r="AZ1" s="390"/>
      <c r="BA1" s="390"/>
      <c r="BB1" s="390"/>
      <c r="BC1" s="390"/>
      <c r="BD1" s="390"/>
      <c r="BE1" s="390"/>
      <c r="BF1" s="390"/>
      <c r="BG1" s="265"/>
    </row>
    <row r="2" spans="1:59" ht="20.25">
      <c r="A2" s="392"/>
      <c r="B2" s="356"/>
      <c r="C2" s="356"/>
      <c r="D2" s="356"/>
      <c r="E2" s="480" t="s">
        <v>1940</v>
      </c>
      <c r="F2" s="480"/>
      <c r="G2" s="374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61"/>
      <c r="AC2" s="361"/>
      <c r="AD2" s="361"/>
      <c r="AE2" s="361"/>
      <c r="AF2" s="356"/>
      <c r="AG2" s="356"/>
      <c r="AH2" s="356"/>
      <c r="AI2" s="356"/>
      <c r="AJ2" s="356"/>
      <c r="AK2" s="356"/>
      <c r="AL2" s="361"/>
      <c r="AM2" s="361"/>
      <c r="AN2" s="361"/>
      <c r="AO2" s="361"/>
      <c r="AP2" s="356"/>
      <c r="AQ2" s="356"/>
      <c r="AR2" s="356"/>
      <c r="AS2" s="356"/>
      <c r="AT2" s="356"/>
      <c r="AU2" s="356"/>
      <c r="AV2" s="361"/>
      <c r="AW2" s="361"/>
      <c r="AX2" s="361"/>
      <c r="AY2" s="361"/>
      <c r="AZ2" s="356"/>
      <c r="BA2" s="356"/>
      <c r="BB2" s="356"/>
      <c r="BC2" s="356"/>
      <c r="BD2" s="356"/>
      <c r="BE2" s="356"/>
      <c r="BF2" s="356"/>
      <c r="BG2" s="266"/>
    </row>
    <row r="3" spans="1:59" ht="18">
      <c r="A3" s="422" t="s">
        <v>1937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423"/>
    </row>
    <row r="4" spans="1:59" ht="18">
      <c r="A4" s="422" t="s">
        <v>1938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423"/>
    </row>
    <row r="5" spans="1:59" ht="18">
      <c r="A5" s="422" t="s">
        <v>1939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423"/>
    </row>
    <row r="6" spans="1:59" ht="18">
      <c r="A6" s="342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105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  <c r="AU6" s="343"/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4"/>
    </row>
    <row r="7" spans="1:59" ht="18">
      <c r="A7" s="422" t="s">
        <v>1953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423"/>
    </row>
    <row r="8" spans="1:59" ht="18">
      <c r="A8" s="424" t="str">
        <f>CONCATENATE("VALORES UNITARIOS CÁLCULADOS :"," ",COT_PRECALCULOS!D24)</f>
        <v>VALORES UNITARIOS CÁLCULADOS : Precios Base Gravable</v>
      </c>
      <c r="B8" s="425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5"/>
      <c r="W8" s="425"/>
      <c r="X8" s="425"/>
      <c r="Y8" s="425"/>
      <c r="Z8" s="425"/>
      <c r="AA8" s="425"/>
      <c r="AB8" s="425"/>
      <c r="AC8" s="425"/>
      <c r="AD8" s="425"/>
      <c r="AE8" s="425"/>
      <c r="AF8" s="425"/>
      <c r="AG8" s="425"/>
      <c r="AH8" s="425"/>
      <c r="AI8" s="425"/>
      <c r="AJ8" s="425"/>
      <c r="AK8" s="425"/>
      <c r="AL8" s="425"/>
      <c r="AM8" s="425"/>
      <c r="AN8" s="425"/>
      <c r="AO8" s="425"/>
      <c r="AP8" s="425"/>
      <c r="AQ8" s="425"/>
      <c r="AR8" s="425"/>
      <c r="AS8" s="425"/>
      <c r="AT8" s="425"/>
      <c r="AU8" s="425"/>
      <c r="AV8" s="425"/>
      <c r="AW8" s="425"/>
      <c r="AX8" s="425"/>
      <c r="AY8" s="425"/>
      <c r="AZ8" s="425"/>
      <c r="BA8" s="425"/>
      <c r="BB8" s="425"/>
      <c r="BC8" s="425"/>
      <c r="BD8" s="425"/>
      <c r="BE8" s="425"/>
      <c r="BF8" s="425"/>
      <c r="BG8" s="426"/>
    </row>
    <row r="9" spans="1:59" ht="15.75" thickBot="1">
      <c r="A9" s="393"/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  <c r="Z9" s="394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X9" s="394"/>
      <c r="AY9" s="394"/>
      <c r="AZ9" s="394"/>
      <c r="BA9" s="394"/>
      <c r="BB9" s="394"/>
      <c r="BC9" s="394"/>
      <c r="BD9" s="394"/>
      <c r="BE9" s="394"/>
      <c r="BF9" s="394"/>
      <c r="BG9" s="453"/>
    </row>
    <row r="10" spans="1:59" ht="15.75">
      <c r="A10" s="226"/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  <c r="AP10" s="391"/>
      <c r="AQ10" s="391"/>
      <c r="AR10" s="391"/>
      <c r="AS10" s="391"/>
      <c r="AT10" s="391"/>
      <c r="AU10" s="391"/>
      <c r="AV10" s="391"/>
      <c r="AW10" s="391"/>
      <c r="AX10" s="391"/>
      <c r="AY10" s="391"/>
      <c r="AZ10" s="391"/>
      <c r="BA10" s="391"/>
      <c r="BB10" s="391"/>
      <c r="BC10" s="391"/>
      <c r="BD10" s="391"/>
      <c r="BE10" s="391"/>
      <c r="BF10" s="391"/>
      <c r="BG10" s="391"/>
    </row>
    <row r="11" spans="1:59" ht="15.75">
      <c r="A11" s="361"/>
      <c r="B11" s="361"/>
      <c r="C11" s="361"/>
      <c r="D11" s="361"/>
      <c r="E11" s="361"/>
      <c r="F11" s="361"/>
      <c r="G11" s="361"/>
      <c r="H11" s="264"/>
      <c r="I11" s="264"/>
      <c r="J11" s="435">
        <f>SUM(J16:J405)</f>
        <v>2123264</v>
      </c>
      <c r="K11" s="435">
        <f>SUM(K16:K405)</f>
        <v>32175616</v>
      </c>
      <c r="L11" s="264"/>
      <c r="M11" s="264"/>
      <c r="N11" s="264"/>
      <c r="O11" s="264"/>
      <c r="P11" s="436">
        <f>SUM(P16:P405)</f>
        <v>7381445632</v>
      </c>
      <c r="Q11" s="436">
        <f>SUM(Q16:Q405)</f>
        <v>7746810368</v>
      </c>
      <c r="R11" s="264"/>
      <c r="S11" s="264"/>
      <c r="T11" s="435">
        <f>SUM(T16:T405)</f>
        <v>2832921</v>
      </c>
      <c r="U11" s="435">
        <f>SUM(U16:U405)</f>
        <v>42929649</v>
      </c>
      <c r="V11" s="264"/>
      <c r="W11" s="264"/>
      <c r="X11" s="264"/>
      <c r="Y11" s="264"/>
      <c r="Z11" s="436">
        <f>SUM(Z16:Z405)</f>
        <v>11743329213</v>
      </c>
      <c r="AA11" s="436">
        <f>SUM(AA16:AA405)</f>
        <v>12327128856</v>
      </c>
      <c r="AB11" s="264"/>
      <c r="AC11" s="264"/>
      <c r="AD11" s="435">
        <f>SUM(AD16:AD405)</f>
        <v>3030053</v>
      </c>
      <c r="AE11" s="435">
        <f>SUM(AE16:AE405)</f>
        <v>45916957</v>
      </c>
      <c r="AF11" s="264"/>
      <c r="AG11" s="264"/>
      <c r="AH11" s="264"/>
      <c r="AI11" s="264"/>
      <c r="AJ11" s="436">
        <f>SUM(AJ16:AJ405)</f>
        <v>12560502009</v>
      </c>
      <c r="AK11" s="436">
        <f>SUM(AK16:AK405)</f>
        <v>13184926008</v>
      </c>
      <c r="AL11" s="264"/>
      <c r="AM11" s="264"/>
      <c r="AN11" s="435">
        <f>SUM(AN16:AN405)</f>
        <v>98566</v>
      </c>
      <c r="AO11" s="435">
        <f>SUM(AO16:AO405)</f>
        <v>1493654</v>
      </c>
      <c r="AP11" s="264"/>
      <c r="AQ11" s="264"/>
      <c r="AR11" s="264"/>
      <c r="AS11" s="264"/>
      <c r="AT11" s="436">
        <f>SUM(AT16:AT405)</f>
        <v>408586398</v>
      </c>
      <c r="AU11" s="436">
        <f>SUM(AU16:AU405)</f>
        <v>428898576</v>
      </c>
      <c r="AV11" s="264"/>
      <c r="AW11" s="264"/>
      <c r="AX11" s="435">
        <f>SUM(AX16:AX405)</f>
        <v>97890</v>
      </c>
      <c r="AY11" s="435">
        <f>SUM(AY16:AY405)</f>
        <v>1483410</v>
      </c>
      <c r="AZ11" s="264"/>
      <c r="BA11" s="264"/>
      <c r="BB11" s="264"/>
      <c r="BC11" s="264"/>
      <c r="BD11" s="436">
        <f>SUM(BD16:BD405)</f>
        <v>405784170</v>
      </c>
      <c r="BE11" s="436">
        <f>SUM(BE16:BE405)</f>
        <v>425957040</v>
      </c>
      <c r="BF11" s="434">
        <f>SUM(BF16:BF405)</f>
        <v>32499647422</v>
      </c>
      <c r="BG11" s="434">
        <f>SUM(BG16:BG405)</f>
        <v>34113720848</v>
      </c>
    </row>
    <row r="12" spans="1:59" ht="4.5" customHeight="1">
      <c r="A12" s="361"/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  <c r="AS12" s="361"/>
      <c r="AT12" s="361"/>
      <c r="AU12" s="361"/>
      <c r="AV12" s="361"/>
      <c r="AW12" s="361"/>
      <c r="AX12" s="361"/>
      <c r="AY12" s="361"/>
      <c r="AZ12" s="361"/>
      <c r="BA12" s="361"/>
      <c r="BB12" s="361"/>
      <c r="BC12" s="361"/>
      <c r="BD12" s="361"/>
      <c r="BE12" s="361"/>
      <c r="BF12" s="361"/>
      <c r="BG12" s="433"/>
    </row>
    <row r="13" spans="1:59" ht="15.75">
      <c r="A13" s="361"/>
      <c r="B13" s="361"/>
      <c r="C13" s="361"/>
      <c r="D13" s="361"/>
      <c r="E13" s="361"/>
      <c r="F13" s="361"/>
      <c r="G13" s="361"/>
      <c r="H13" s="495" t="s">
        <v>1640</v>
      </c>
      <c r="I13" s="495"/>
      <c r="J13" s="495"/>
      <c r="K13" s="495"/>
      <c r="L13" s="495"/>
      <c r="M13" s="495"/>
      <c r="N13" s="495"/>
      <c r="O13" s="495"/>
      <c r="P13" s="495"/>
      <c r="Q13" s="495"/>
      <c r="R13" s="496" t="s">
        <v>1641</v>
      </c>
      <c r="S13" s="496"/>
      <c r="T13" s="496"/>
      <c r="U13" s="496"/>
      <c r="V13" s="496"/>
      <c r="W13" s="496"/>
      <c r="X13" s="496"/>
      <c r="Y13" s="496"/>
      <c r="Z13" s="496"/>
      <c r="AA13" s="496"/>
      <c r="AB13" s="495" t="s">
        <v>1642</v>
      </c>
      <c r="AC13" s="495"/>
      <c r="AD13" s="495"/>
      <c r="AE13" s="495"/>
      <c r="AF13" s="495"/>
      <c r="AG13" s="495"/>
      <c r="AH13" s="495"/>
      <c r="AI13" s="495"/>
      <c r="AJ13" s="495"/>
      <c r="AK13" s="495"/>
      <c r="AL13" s="496" t="s">
        <v>1643</v>
      </c>
      <c r="AM13" s="496"/>
      <c r="AN13" s="496"/>
      <c r="AO13" s="496"/>
      <c r="AP13" s="496"/>
      <c r="AQ13" s="496"/>
      <c r="AR13" s="496"/>
      <c r="AS13" s="496"/>
      <c r="AT13" s="496"/>
      <c r="AU13" s="496"/>
      <c r="AV13" s="497" t="s">
        <v>1644</v>
      </c>
      <c r="AW13" s="498"/>
      <c r="AX13" s="498"/>
      <c r="AY13" s="498"/>
      <c r="AZ13" s="498"/>
      <c r="BA13" s="498"/>
      <c r="BB13" s="498"/>
      <c r="BC13" s="498"/>
      <c r="BD13" s="498"/>
      <c r="BE13" s="498"/>
      <c r="BF13" s="434"/>
      <c r="BG13" s="434"/>
    </row>
    <row r="14" spans="1:59" ht="4.5" customHeight="1">
      <c r="A14" s="361"/>
      <c r="B14" s="361"/>
      <c r="C14" s="361"/>
      <c r="D14" s="361"/>
      <c r="E14" s="361"/>
      <c r="F14" s="361"/>
      <c r="G14" s="36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2"/>
      <c r="AM14" s="312"/>
      <c r="AN14" s="312"/>
      <c r="AO14" s="312"/>
      <c r="AP14" s="312"/>
      <c r="AQ14" s="312"/>
      <c r="AR14" s="312"/>
      <c r="AS14" s="312"/>
      <c r="AT14" s="312"/>
      <c r="AU14" s="312"/>
      <c r="AV14" s="312"/>
      <c r="AW14" s="312"/>
      <c r="AX14" s="312"/>
      <c r="AY14" s="312"/>
      <c r="AZ14" s="312"/>
      <c r="BA14" s="312"/>
      <c r="BB14" s="312"/>
      <c r="BC14" s="312"/>
      <c r="BD14" s="312"/>
      <c r="BE14" s="312"/>
      <c r="BF14" s="361"/>
      <c r="BG14" s="361"/>
    </row>
    <row r="15" spans="1:59" ht="37.5" customHeight="1">
      <c r="A15" s="383" t="s">
        <v>2462</v>
      </c>
      <c r="B15" s="383" t="s">
        <v>2401</v>
      </c>
      <c r="C15" s="383" t="s">
        <v>1331</v>
      </c>
      <c r="D15" s="383" t="s">
        <v>2463</v>
      </c>
      <c r="E15" s="269" t="s">
        <v>1977</v>
      </c>
      <c r="F15" s="340" t="s">
        <v>1645</v>
      </c>
      <c r="G15" s="269" t="s">
        <v>8</v>
      </c>
      <c r="H15" s="257" t="s">
        <v>2461</v>
      </c>
      <c r="I15" s="257" t="s">
        <v>2417</v>
      </c>
      <c r="J15" s="257" t="s">
        <v>2464</v>
      </c>
      <c r="K15" s="257" t="s">
        <v>2465</v>
      </c>
      <c r="L15" s="451" t="s">
        <v>2479</v>
      </c>
      <c r="M15" s="451" t="s">
        <v>2477</v>
      </c>
      <c r="N15" s="451" t="s">
        <v>2478</v>
      </c>
      <c r="O15" s="451" t="s">
        <v>2480</v>
      </c>
      <c r="P15" s="257" t="s">
        <v>2481</v>
      </c>
      <c r="Q15" s="257" t="s">
        <v>2482</v>
      </c>
      <c r="R15" s="269" t="s">
        <v>2461</v>
      </c>
      <c r="S15" s="269" t="s">
        <v>2417</v>
      </c>
      <c r="T15" s="269" t="s">
        <v>2464</v>
      </c>
      <c r="U15" s="303" t="s">
        <v>2465</v>
      </c>
      <c r="V15" s="451" t="s">
        <v>2479</v>
      </c>
      <c r="W15" s="451" t="s">
        <v>2477</v>
      </c>
      <c r="X15" s="451" t="s">
        <v>2478</v>
      </c>
      <c r="Y15" s="451" t="s">
        <v>2480</v>
      </c>
      <c r="Z15" s="303" t="s">
        <v>2481</v>
      </c>
      <c r="AA15" s="303" t="s">
        <v>2482</v>
      </c>
      <c r="AB15" s="257" t="s">
        <v>2461</v>
      </c>
      <c r="AC15" s="257" t="s">
        <v>2417</v>
      </c>
      <c r="AD15" s="257" t="s">
        <v>2464</v>
      </c>
      <c r="AE15" s="257" t="s">
        <v>2465</v>
      </c>
      <c r="AF15" s="451" t="s">
        <v>2479</v>
      </c>
      <c r="AG15" s="451" t="s">
        <v>2477</v>
      </c>
      <c r="AH15" s="451" t="s">
        <v>2478</v>
      </c>
      <c r="AI15" s="451" t="s">
        <v>2480</v>
      </c>
      <c r="AJ15" s="257" t="s">
        <v>2481</v>
      </c>
      <c r="AK15" s="257" t="s">
        <v>2482</v>
      </c>
      <c r="AL15" s="269" t="s">
        <v>2461</v>
      </c>
      <c r="AM15" s="269" t="s">
        <v>2417</v>
      </c>
      <c r="AN15" s="269" t="s">
        <v>2464</v>
      </c>
      <c r="AO15" s="303" t="s">
        <v>2465</v>
      </c>
      <c r="AP15" s="451" t="s">
        <v>2479</v>
      </c>
      <c r="AQ15" s="451" t="s">
        <v>2477</v>
      </c>
      <c r="AR15" s="451" t="s">
        <v>2478</v>
      </c>
      <c r="AS15" s="451" t="s">
        <v>2480</v>
      </c>
      <c r="AT15" s="303" t="s">
        <v>2481</v>
      </c>
      <c r="AU15" s="303" t="s">
        <v>2482</v>
      </c>
      <c r="AV15" s="257" t="s">
        <v>2461</v>
      </c>
      <c r="AW15" s="257" t="s">
        <v>2417</v>
      </c>
      <c r="AX15" s="257" t="s">
        <v>2464</v>
      </c>
      <c r="AY15" s="257" t="s">
        <v>2465</v>
      </c>
      <c r="AZ15" s="451" t="s">
        <v>2479</v>
      </c>
      <c r="BA15" s="451" t="s">
        <v>2477</v>
      </c>
      <c r="BB15" s="451" t="s">
        <v>2478</v>
      </c>
      <c r="BC15" s="451" t="s">
        <v>2480</v>
      </c>
      <c r="BD15" s="257" t="s">
        <v>2481</v>
      </c>
      <c r="BE15" s="257" t="s">
        <v>2482</v>
      </c>
      <c r="BF15" s="303" t="s">
        <v>2483</v>
      </c>
      <c r="BG15" s="303" t="s">
        <v>2482</v>
      </c>
    </row>
    <row r="16" spans="1:59" ht="15.75">
      <c r="A16" s="338">
        <v>1</v>
      </c>
      <c r="B16" s="338" t="str">
        <f t="shared" ref="B16:B59" si="0">CONCATENATE(D16,"_",A16)</f>
        <v>FRUTA_1</v>
      </c>
      <c r="C16" s="338" t="str">
        <f t="shared" ref="C16:C59" si="1">CONCATENATE(E16,"_",A16)</f>
        <v>7_1</v>
      </c>
      <c r="D16" s="338" t="s">
        <v>1</v>
      </c>
      <c r="E16" s="258">
        <v>7</v>
      </c>
      <c r="F16" s="328" t="s">
        <v>57</v>
      </c>
      <c r="G16" s="258" t="s">
        <v>9</v>
      </c>
      <c r="H16" s="431">
        <f t="shared" ref="H16:H59" si="2">SUMIF(MNU_CODIGO_ALIMENTO_ENTREGA,CONCATENATE($E16,"_","P_"),MNU_FRECUENCIAS_LAV_TIPOA)</f>
        <v>22</v>
      </c>
      <c r="I16" s="431">
        <f t="array" ref="I16">MAX((IF(MNU_CODIGO_ALIMENTO_ENTREGA=CONCATENATE($E16,"_","P_"),MNU_GRAMAJE_REQUERIDO_TIPOA,"")))</f>
        <v>100</v>
      </c>
      <c r="J16" s="259">
        <f t="shared" ref="J16:J59" si="3">SUMIF(VOL_GRUPO,CONCATENATE($A16,"1052-1NO"),VOL_TIPOA)</f>
        <v>5932</v>
      </c>
      <c r="K16" s="259">
        <f t="shared" ref="K16:K59" si="4">H16*J16</f>
        <v>130504</v>
      </c>
      <c r="L16" s="452">
        <f t="shared" ref="L16:L59" si="5">IF(ISERROR(AVERAGEIFS(MNU_COSTO_UNITARIO_TIPOA_SELECCIONADO,MNU_CODIGO_ALIMENTO_ENTREGA,CONCATENATE($E16,"_","P_"))),0,AVERAGEIFS(MNU_COSTO_UNITARIO_TIPOA_SELECCIONADO,MNU_CODIGO_ALIMENTO_ENTREGA,CONCATENATE($E16,"_","P_")))</f>
        <v>107</v>
      </c>
      <c r="M16" s="452">
        <f t="shared" ref="M16:M59" si="6">(L16*0.01)+(L16*0.005)+(L16*0.02)+(L16*(13.8/1000))</f>
        <v>5.2216000000000005</v>
      </c>
      <c r="N16" s="452">
        <f t="shared" ref="N16:N59" si="7">((L16+M16)*0.00071)+((L16+M16)*0.00011)</f>
        <v>9.2021712000000006E-2</v>
      </c>
      <c r="O16" s="452">
        <f t="shared" ref="O16:O59" si="8">ROUND(L16+M16+N16,0)</f>
        <v>112</v>
      </c>
      <c r="P16" s="260">
        <f t="shared" ref="P16:P59" si="9">H16*J16*L16</f>
        <v>13963928</v>
      </c>
      <c r="Q16" s="260">
        <f t="shared" ref="Q16:Q59" si="10">H16*J16*O16</f>
        <v>14616448</v>
      </c>
      <c r="R16" s="432">
        <f t="shared" ref="R16:R59" si="11">SUMIF(MNU_CODIGO_ALIMENTO_ENTREGA,CONCATENATE($E16,"_","P_"),MNU_FRECUENCIAS_LAV_TIPOB)</f>
        <v>9</v>
      </c>
      <c r="S16" s="432">
        <f t="array" ref="S16">MAX((IF(MNU_CODIGO_ALIMENTO_ENTREGA=CONCATENATE($E16,"_","P_"),MNU_GRAMAJE_REQUERIDO_TIPOB,"")))</f>
        <v>100</v>
      </c>
      <c r="T16" s="261">
        <f t="shared" ref="T16:T59" si="12">SUMIF(VOL_GRUPO,CONCATENATE($A16,"1052-1NO"),VOL_TIPOB)</f>
        <v>8240</v>
      </c>
      <c r="U16" s="261">
        <f t="shared" ref="U16:U59" si="13">R16*T16</f>
        <v>74160</v>
      </c>
      <c r="V16" s="452">
        <f t="shared" ref="V16:V59" si="14">IF(ISERROR(AVERAGEIFS(MNU_COSTO_UNITARIO_TIPOB_SELECCIONADO,MNU_CODIGO_ALIMENTO_ENTREGA,CONCATENATE($E16,"_","P_"))),0,AVERAGEIFS(MNU_COSTO_UNITARIO_TIPOB_SELECCIONADO,MNU_CODIGO_ALIMENTO_ENTREGA,CONCATENATE($E16,"_","P_")))</f>
        <v>107</v>
      </c>
      <c r="W16" s="452">
        <f t="shared" ref="W16:W59" si="15">(V16*0.01)+(V16*0.005)+(V16*0.02)+(V16*(13.8/1000))</f>
        <v>5.2216000000000005</v>
      </c>
      <c r="X16" s="452">
        <f t="shared" ref="X16:X59" si="16">((V16+W16)*0.00071)+((V16+W16)*0.00011)</f>
        <v>9.2021712000000006E-2</v>
      </c>
      <c r="Y16" s="452">
        <f t="shared" ref="Y16:Y59" si="17">ROUND(V16+W16+X16,0)</f>
        <v>112</v>
      </c>
      <c r="Z16" s="262">
        <f t="shared" ref="Z16:Z59" si="18">R16*T16*V16</f>
        <v>7935120</v>
      </c>
      <c r="AA16" s="262">
        <f t="shared" ref="AA16:AA59" si="19">R16*T16*Y16</f>
        <v>8305920</v>
      </c>
      <c r="AB16" s="431">
        <f t="shared" ref="AB16:AB59" si="20">SUMIF(MNU_CODIGO_ALIMENTO_ENTREGA,CONCATENATE($E16,"_","P_"),MNU_FRECUENCIAS_LAV_TIPOC)</f>
        <v>9</v>
      </c>
      <c r="AC16" s="431">
        <f t="array" ref="AC16">MAX((IF(MNU_CODIGO_ALIMENTO_ENTREGA=CONCATENATE($E16,"_","P_"),MNU_GRAMAJE_REQUERIDO_TIPOC,"")))</f>
        <v>100</v>
      </c>
      <c r="AD16" s="259">
        <f t="shared" ref="AD16:AD59" si="21">SUMIF(VOL_GRUPO,CONCATENATE($A16,"1052-1NO"),VOL_TIPOC)</f>
        <v>8404</v>
      </c>
      <c r="AE16" s="259">
        <f t="shared" ref="AE16:AE59" si="22">AB16*AD16</f>
        <v>75636</v>
      </c>
      <c r="AF16" s="452">
        <f t="shared" ref="AF16:AF59" si="23">IF(ISERROR(AVERAGEIFS(MNU_COSTO_UNITARIO_TIPOC_SELECCIONADO,MNU_CODIGO_ALIMENTO_ENTREGA,CONCATENATE($E16,"_","P_"))),0,AVERAGEIFS(MNU_COSTO_UNITARIO_TIPOC_SELECCIONADO,MNU_CODIGO_ALIMENTO_ENTREGA,CONCATENATE($E16,"_","P_")))</f>
        <v>107</v>
      </c>
      <c r="AG16" s="452">
        <f t="shared" ref="AG16:AG59" si="24">(AF16*0.01)+(AF16*0.005)+(AF16*0.02)+(AF16*(13.8/1000))</f>
        <v>5.2216000000000005</v>
      </c>
      <c r="AH16" s="452">
        <f t="shared" ref="AH16:AH59" si="25">((AF16+AG16)*0.00071)+((AF16+AG16)*0.00011)</f>
        <v>9.2021712000000006E-2</v>
      </c>
      <c r="AI16" s="452">
        <f t="shared" ref="AI16:AI59" si="26">ROUND(AF16+AG16+AH16,0)</f>
        <v>112</v>
      </c>
      <c r="AJ16" s="260">
        <f t="shared" ref="AJ16:AJ59" si="27">AB16*AD16*AF16</f>
        <v>8093052</v>
      </c>
      <c r="AK16" s="260">
        <f t="shared" ref="AK16:AK59" si="28">AB16*AD16*AI16</f>
        <v>8471232</v>
      </c>
      <c r="AL16" s="432">
        <f t="shared" ref="AL16:AL59" si="29">SUMIF(MNU_CODIGO_ALIMENTO_ENTREGA,CONCATENATE($E16,"_","P_"),MNU_FRECUENCIAS_LAV_TIPOM)</f>
        <v>9</v>
      </c>
      <c r="AM16" s="432">
        <f t="array" ref="AM16">MAX((IF(MNU_CODIGO_ALIMENTO_ENTREGA=CONCATENATE($E16,"_","P_"),MNU_GRAMAJE_REQUERIDO_TIPOM,"")))</f>
        <v>100</v>
      </c>
      <c r="AN16" s="261">
        <f t="shared" ref="AN16:AN59" si="30">SUMIF(VOL_GRUPO,CONCATENATE($A16,"1052-1NO"),VOL_TIPOM)</f>
        <v>384</v>
      </c>
      <c r="AO16" s="261">
        <f t="shared" ref="AO16:AO59" si="31">AL16*AN16</f>
        <v>3456</v>
      </c>
      <c r="AP16" s="452">
        <f t="shared" ref="AP16:AP59" si="32">IF(ISERROR(AVERAGEIFS(MNU_COSTO_UNITARIO_TIPOM_SELECCIONADO,MNU_CODIGO_ALIMENTO_ENTREGA,CONCATENATE($E16,"_","P_"))),0,AVERAGEIFS(MNU_COSTO_UNITARIO_TIPOM_SELECCIONADO,MNU_CODIGO_ALIMENTO_ENTREGA,CONCATENATE($E16,"_","P_")))</f>
        <v>107</v>
      </c>
      <c r="AQ16" s="452">
        <f t="shared" ref="AQ16:AQ59" si="33">(AP16*0.01)+(AP16*0.005)+(AP16*0.02)+(AP16*(13.8/1000))</f>
        <v>5.2216000000000005</v>
      </c>
      <c r="AR16" s="452">
        <f t="shared" ref="AR16:AR59" si="34">((AP16+AQ16)*0.00071)+((AP16+AQ16)*0.00011)</f>
        <v>9.2021712000000006E-2</v>
      </c>
      <c r="AS16" s="452">
        <f t="shared" ref="AS16:AS59" si="35">ROUND(AP16+AQ16+AR16,0)</f>
        <v>112</v>
      </c>
      <c r="AT16" s="262">
        <f t="shared" ref="AT16:AT59" si="36">AL16*AN16*AP16</f>
        <v>369792</v>
      </c>
      <c r="AU16" s="262">
        <f t="shared" ref="AU16:AU59" si="37">AL16*AN16*AS16</f>
        <v>387072</v>
      </c>
      <c r="AV16" s="431">
        <f t="shared" ref="AV16:AV59" si="38">SUMIF(MNU_CODIGO_ALIMENTO_ENTREGA,CONCATENATE($E16,"_","P_"),MNU_FRECUENCIAS_LAV_TIPOH)</f>
        <v>9</v>
      </c>
      <c r="AW16" s="431">
        <f t="array" ref="AW16">MAX((IF(MNU_CODIGO_ALIMENTO_ENTREGA=CONCATENATE($E16,"_","P_"),MNU_GRAMAJE_REQUERIDO_TIPOH,"")))</f>
        <v>100</v>
      </c>
      <c r="AX16" s="259">
        <f t="shared" ref="AX16:AX59" si="39">SUMIF(VOL_GRUPO,CONCATENATE($A16,"1052-1NO"),VOL_TIPOH)</f>
        <v>395</v>
      </c>
      <c r="AY16" s="259">
        <f t="shared" ref="AY16:AY59" si="40">AV16*AX16</f>
        <v>3555</v>
      </c>
      <c r="AZ16" s="452">
        <f t="shared" ref="AZ16:AZ59" si="41">IF(ISERROR(AVERAGEIFS(MNU_COSTO_UNITARIO_TIPOH_SELECCIONADO,MNU_CODIGO_ALIMENTO_ENTREGA,CONCATENATE($E16,"_","P_"))),0,AVERAGEIFS(MNU_COSTO_UNITARIO_TIPOH_SELECCIONADO,MNU_CODIGO_ALIMENTO_ENTREGA,CONCATENATE($E16,"_","P_")))</f>
        <v>107</v>
      </c>
      <c r="BA16" s="452">
        <f t="shared" ref="BA16:BA59" si="42">(AZ16*0.01)+(AZ16*0.005)+(AZ16*0.02)+(AZ16*(13.8/1000))</f>
        <v>5.2216000000000005</v>
      </c>
      <c r="BB16" s="452">
        <f t="shared" ref="BB16:BB59" si="43">((AZ16+BA16)*0.00071)+((AZ16+BA16)*0.00011)</f>
        <v>9.2021712000000006E-2</v>
      </c>
      <c r="BC16" s="452">
        <f t="shared" ref="BC16:BC59" si="44">ROUND(AZ16+BA16+BB16,0)</f>
        <v>112</v>
      </c>
      <c r="BD16" s="260">
        <f t="shared" ref="BD16:BD59" si="45">AV16*AX16*AZ16</f>
        <v>380385</v>
      </c>
      <c r="BE16" s="260">
        <f t="shared" ref="BE16:BE59" si="46">AV16*AX16*BC16</f>
        <v>398160</v>
      </c>
      <c r="BF16" s="397">
        <f t="shared" ref="BF16:BF59" si="47">BD16+AT16+AJ16+Z16+P16</f>
        <v>30742277</v>
      </c>
      <c r="BG16" s="397">
        <f t="shared" ref="BG16:BG59" si="48">BE16+AU16+AK16+AA16+Q16</f>
        <v>32178832</v>
      </c>
    </row>
    <row r="17" spans="1:59" ht="15.75">
      <c r="A17" s="338">
        <v>1</v>
      </c>
      <c r="B17" s="338" t="str">
        <f t="shared" si="0"/>
        <v>FRUTA_1</v>
      </c>
      <c r="C17" s="338" t="str">
        <f t="shared" si="1"/>
        <v>8_1</v>
      </c>
      <c r="D17" s="338" t="s">
        <v>1</v>
      </c>
      <c r="E17" s="258">
        <v>8</v>
      </c>
      <c r="F17" s="328" t="s">
        <v>55</v>
      </c>
      <c r="G17" s="258" t="s">
        <v>9</v>
      </c>
      <c r="H17" s="431">
        <f t="shared" si="2"/>
        <v>10</v>
      </c>
      <c r="I17" s="431">
        <f t="array" ref="I17">MAX((IF(MNU_CODIGO_ALIMENTO_ENTREGA=CONCATENATE($E17,"_","P_"),MNU_GRAMAJE_REQUERIDO_TIPOA,"")))</f>
        <v>100</v>
      </c>
      <c r="J17" s="259">
        <f t="shared" si="3"/>
        <v>5932</v>
      </c>
      <c r="K17" s="259">
        <f t="shared" si="4"/>
        <v>59320</v>
      </c>
      <c r="L17" s="452">
        <f t="shared" si="5"/>
        <v>134</v>
      </c>
      <c r="M17" s="452">
        <f t="shared" si="6"/>
        <v>6.539200000000001</v>
      </c>
      <c r="N17" s="452">
        <f t="shared" si="7"/>
        <v>0.115242144</v>
      </c>
      <c r="O17" s="452">
        <f t="shared" si="8"/>
        <v>141</v>
      </c>
      <c r="P17" s="260">
        <f t="shared" si="9"/>
        <v>7948880</v>
      </c>
      <c r="Q17" s="260">
        <f t="shared" si="10"/>
        <v>8364120</v>
      </c>
      <c r="R17" s="432">
        <f t="shared" si="11"/>
        <v>8</v>
      </c>
      <c r="S17" s="432">
        <f t="array" ref="S17">MAX((IF(MNU_CODIGO_ALIMENTO_ENTREGA=CONCATENATE($E17,"_","P_"),MNU_GRAMAJE_REQUERIDO_TIPOB,"")))</f>
        <v>100</v>
      </c>
      <c r="T17" s="261">
        <f t="shared" si="12"/>
        <v>8240</v>
      </c>
      <c r="U17" s="261">
        <f t="shared" si="13"/>
        <v>65920</v>
      </c>
      <c r="V17" s="452">
        <f t="shared" si="14"/>
        <v>134</v>
      </c>
      <c r="W17" s="452">
        <f t="shared" si="15"/>
        <v>6.539200000000001</v>
      </c>
      <c r="X17" s="452">
        <f t="shared" si="16"/>
        <v>0.115242144</v>
      </c>
      <c r="Y17" s="452">
        <f t="shared" si="17"/>
        <v>141</v>
      </c>
      <c r="Z17" s="262">
        <f t="shared" si="18"/>
        <v>8833280</v>
      </c>
      <c r="AA17" s="262">
        <f t="shared" si="19"/>
        <v>9294720</v>
      </c>
      <c r="AB17" s="431">
        <f t="shared" si="20"/>
        <v>8</v>
      </c>
      <c r="AC17" s="431">
        <f t="array" ref="AC17">MAX((IF(MNU_CODIGO_ALIMENTO_ENTREGA=CONCATENATE($E17,"_","P_"),MNU_GRAMAJE_REQUERIDO_TIPOC,"")))</f>
        <v>100</v>
      </c>
      <c r="AD17" s="259">
        <f t="shared" si="21"/>
        <v>8404</v>
      </c>
      <c r="AE17" s="259">
        <f t="shared" si="22"/>
        <v>67232</v>
      </c>
      <c r="AF17" s="452">
        <f t="shared" si="23"/>
        <v>134</v>
      </c>
      <c r="AG17" s="452">
        <f t="shared" si="24"/>
        <v>6.539200000000001</v>
      </c>
      <c r="AH17" s="452">
        <f t="shared" si="25"/>
        <v>0.115242144</v>
      </c>
      <c r="AI17" s="452">
        <f t="shared" si="26"/>
        <v>141</v>
      </c>
      <c r="AJ17" s="260">
        <f t="shared" si="27"/>
        <v>9009088</v>
      </c>
      <c r="AK17" s="260">
        <f t="shared" si="28"/>
        <v>9479712</v>
      </c>
      <c r="AL17" s="432">
        <f t="shared" si="29"/>
        <v>8</v>
      </c>
      <c r="AM17" s="432">
        <f t="array" ref="AM17">MAX((IF(MNU_CODIGO_ALIMENTO_ENTREGA=CONCATENATE($E17,"_","P_"),MNU_GRAMAJE_REQUERIDO_TIPOM,"")))</f>
        <v>100</v>
      </c>
      <c r="AN17" s="261">
        <f t="shared" si="30"/>
        <v>384</v>
      </c>
      <c r="AO17" s="261">
        <f t="shared" si="31"/>
        <v>3072</v>
      </c>
      <c r="AP17" s="452">
        <f t="shared" si="32"/>
        <v>134</v>
      </c>
      <c r="AQ17" s="452">
        <f t="shared" si="33"/>
        <v>6.539200000000001</v>
      </c>
      <c r="AR17" s="452">
        <f t="shared" si="34"/>
        <v>0.115242144</v>
      </c>
      <c r="AS17" s="452">
        <f t="shared" si="35"/>
        <v>141</v>
      </c>
      <c r="AT17" s="262">
        <f t="shared" si="36"/>
        <v>411648</v>
      </c>
      <c r="AU17" s="262">
        <f t="shared" si="37"/>
        <v>433152</v>
      </c>
      <c r="AV17" s="431">
        <f t="shared" si="38"/>
        <v>8</v>
      </c>
      <c r="AW17" s="431">
        <f t="array" ref="AW17">MAX((IF(MNU_CODIGO_ALIMENTO_ENTREGA=CONCATENATE($E17,"_","P_"),MNU_GRAMAJE_REQUERIDO_TIPOH,"")))</f>
        <v>100</v>
      </c>
      <c r="AX17" s="259">
        <f t="shared" si="39"/>
        <v>395</v>
      </c>
      <c r="AY17" s="259">
        <f t="shared" si="40"/>
        <v>3160</v>
      </c>
      <c r="AZ17" s="452">
        <f t="shared" si="41"/>
        <v>134</v>
      </c>
      <c r="BA17" s="452">
        <f t="shared" si="42"/>
        <v>6.539200000000001</v>
      </c>
      <c r="BB17" s="452">
        <f t="shared" si="43"/>
        <v>0.115242144</v>
      </c>
      <c r="BC17" s="452">
        <f t="shared" si="44"/>
        <v>141</v>
      </c>
      <c r="BD17" s="260">
        <f t="shared" si="45"/>
        <v>423440</v>
      </c>
      <c r="BE17" s="260">
        <f t="shared" si="46"/>
        <v>445560</v>
      </c>
      <c r="BF17" s="397">
        <f t="shared" si="47"/>
        <v>26626336</v>
      </c>
      <c r="BG17" s="397">
        <f t="shared" si="48"/>
        <v>28017264</v>
      </c>
    </row>
    <row r="18" spans="1:59" ht="15.75">
      <c r="A18" s="338">
        <v>1</v>
      </c>
      <c r="B18" s="338" t="str">
        <f t="shared" si="0"/>
        <v>FRUTA_1</v>
      </c>
      <c r="C18" s="338" t="str">
        <f t="shared" si="1"/>
        <v>17_1</v>
      </c>
      <c r="D18" s="338" t="s">
        <v>1</v>
      </c>
      <c r="E18" s="258">
        <v>17</v>
      </c>
      <c r="F18" s="328" t="s">
        <v>53</v>
      </c>
      <c r="G18" s="258" t="s">
        <v>9</v>
      </c>
      <c r="H18" s="431">
        <f t="shared" si="2"/>
        <v>0</v>
      </c>
      <c r="I18" s="431">
        <f t="array" ref="I18">MAX((IF(MNU_CODIGO_ALIMENTO_ENTREGA=CONCATENATE($E18,"_","P_"),MNU_GRAMAJE_REQUERIDO_TIPOA,"")))</f>
        <v>0</v>
      </c>
      <c r="J18" s="259">
        <f t="shared" si="3"/>
        <v>5932</v>
      </c>
      <c r="K18" s="259">
        <f t="shared" si="4"/>
        <v>0</v>
      </c>
      <c r="L18" s="452">
        <f t="shared" si="5"/>
        <v>0</v>
      </c>
      <c r="M18" s="452">
        <f t="shared" si="6"/>
        <v>0</v>
      </c>
      <c r="N18" s="452">
        <f t="shared" si="7"/>
        <v>0</v>
      </c>
      <c r="O18" s="452">
        <f t="shared" si="8"/>
        <v>0</v>
      </c>
      <c r="P18" s="260">
        <f t="shared" si="9"/>
        <v>0</v>
      </c>
      <c r="Q18" s="260">
        <f t="shared" si="10"/>
        <v>0</v>
      </c>
      <c r="R18" s="432">
        <f t="shared" si="11"/>
        <v>21</v>
      </c>
      <c r="S18" s="432">
        <f t="array" ref="S18">MAX((IF(MNU_CODIGO_ALIMENTO_ENTREGA=CONCATENATE($E18,"_","P_"),MNU_GRAMAJE_REQUERIDO_TIPOB,"")))</f>
        <v>100</v>
      </c>
      <c r="T18" s="261">
        <f t="shared" si="12"/>
        <v>8240</v>
      </c>
      <c r="U18" s="261">
        <f t="shared" si="13"/>
        <v>173040</v>
      </c>
      <c r="V18" s="452">
        <f t="shared" si="14"/>
        <v>226</v>
      </c>
      <c r="W18" s="452">
        <f t="shared" si="15"/>
        <v>11.0288</v>
      </c>
      <c r="X18" s="452">
        <f t="shared" si="16"/>
        <v>0.19436361600000002</v>
      </c>
      <c r="Y18" s="452">
        <f t="shared" si="17"/>
        <v>237</v>
      </c>
      <c r="Z18" s="262">
        <f t="shared" si="18"/>
        <v>39107040</v>
      </c>
      <c r="AA18" s="262">
        <f t="shared" si="19"/>
        <v>41010480</v>
      </c>
      <c r="AB18" s="431">
        <f t="shared" si="20"/>
        <v>21</v>
      </c>
      <c r="AC18" s="431">
        <f t="array" ref="AC18">MAX((IF(MNU_CODIGO_ALIMENTO_ENTREGA=CONCATENATE($E18,"_","P_"),MNU_GRAMAJE_REQUERIDO_TIPOC,"")))</f>
        <v>100</v>
      </c>
      <c r="AD18" s="259">
        <f t="shared" si="21"/>
        <v>8404</v>
      </c>
      <c r="AE18" s="259">
        <f t="shared" si="22"/>
        <v>176484</v>
      </c>
      <c r="AF18" s="452">
        <f t="shared" si="23"/>
        <v>226</v>
      </c>
      <c r="AG18" s="452">
        <f t="shared" si="24"/>
        <v>11.0288</v>
      </c>
      <c r="AH18" s="452">
        <f t="shared" si="25"/>
        <v>0.19436361600000002</v>
      </c>
      <c r="AI18" s="452">
        <f t="shared" si="26"/>
        <v>237</v>
      </c>
      <c r="AJ18" s="260">
        <f t="shared" si="27"/>
        <v>39885384</v>
      </c>
      <c r="AK18" s="260">
        <f t="shared" si="28"/>
        <v>41826708</v>
      </c>
      <c r="AL18" s="432">
        <f t="shared" si="29"/>
        <v>21</v>
      </c>
      <c r="AM18" s="432">
        <f t="array" ref="AM18">MAX((IF(MNU_CODIGO_ALIMENTO_ENTREGA=CONCATENATE($E18,"_","P_"),MNU_GRAMAJE_REQUERIDO_TIPOM,"")))</f>
        <v>100</v>
      </c>
      <c r="AN18" s="261">
        <f t="shared" si="30"/>
        <v>384</v>
      </c>
      <c r="AO18" s="261">
        <f t="shared" si="31"/>
        <v>8064</v>
      </c>
      <c r="AP18" s="452">
        <f t="shared" si="32"/>
        <v>226</v>
      </c>
      <c r="AQ18" s="452">
        <f t="shared" si="33"/>
        <v>11.0288</v>
      </c>
      <c r="AR18" s="452">
        <f t="shared" si="34"/>
        <v>0.19436361600000002</v>
      </c>
      <c r="AS18" s="452">
        <f t="shared" si="35"/>
        <v>237</v>
      </c>
      <c r="AT18" s="262">
        <f t="shared" si="36"/>
        <v>1822464</v>
      </c>
      <c r="AU18" s="262">
        <f t="shared" si="37"/>
        <v>1911168</v>
      </c>
      <c r="AV18" s="431">
        <f t="shared" si="38"/>
        <v>21</v>
      </c>
      <c r="AW18" s="431">
        <f t="array" ref="AW18">MAX((IF(MNU_CODIGO_ALIMENTO_ENTREGA=CONCATENATE($E18,"_","P_"),MNU_GRAMAJE_REQUERIDO_TIPOH,"")))</f>
        <v>100</v>
      </c>
      <c r="AX18" s="259">
        <f t="shared" si="39"/>
        <v>395</v>
      </c>
      <c r="AY18" s="259">
        <f t="shared" si="40"/>
        <v>8295</v>
      </c>
      <c r="AZ18" s="452">
        <f t="shared" si="41"/>
        <v>226</v>
      </c>
      <c r="BA18" s="452">
        <f t="shared" si="42"/>
        <v>11.0288</v>
      </c>
      <c r="BB18" s="452">
        <f t="shared" si="43"/>
        <v>0.19436361600000002</v>
      </c>
      <c r="BC18" s="452">
        <f t="shared" si="44"/>
        <v>237</v>
      </c>
      <c r="BD18" s="260">
        <f t="shared" si="45"/>
        <v>1874670</v>
      </c>
      <c r="BE18" s="260">
        <f t="shared" si="46"/>
        <v>1965915</v>
      </c>
      <c r="BF18" s="397">
        <f t="shared" si="47"/>
        <v>82689558</v>
      </c>
      <c r="BG18" s="397">
        <f t="shared" si="48"/>
        <v>86714271</v>
      </c>
    </row>
    <row r="19" spans="1:59" ht="15.75">
      <c r="A19" s="338">
        <v>1</v>
      </c>
      <c r="B19" s="338" t="str">
        <f t="shared" si="0"/>
        <v>FRUTA_1</v>
      </c>
      <c r="C19" s="338" t="str">
        <f t="shared" si="1"/>
        <v>22_1</v>
      </c>
      <c r="D19" s="338" t="s">
        <v>1</v>
      </c>
      <c r="E19" s="258">
        <v>22</v>
      </c>
      <c r="F19" s="328" t="s">
        <v>51</v>
      </c>
      <c r="G19" s="258" t="s">
        <v>9</v>
      </c>
      <c r="H19" s="431">
        <f t="shared" si="2"/>
        <v>0</v>
      </c>
      <c r="I19" s="431">
        <f t="array" ref="I19">MAX((IF(MNU_CODIGO_ALIMENTO_ENTREGA=CONCATENATE($E19,"_","P_"),MNU_GRAMAJE_REQUERIDO_TIPOA,"")))</f>
        <v>0</v>
      </c>
      <c r="J19" s="259">
        <f t="shared" si="3"/>
        <v>5932</v>
      </c>
      <c r="K19" s="259">
        <f t="shared" si="4"/>
        <v>0</v>
      </c>
      <c r="L19" s="452">
        <f t="shared" si="5"/>
        <v>0</v>
      </c>
      <c r="M19" s="452">
        <f t="shared" si="6"/>
        <v>0</v>
      </c>
      <c r="N19" s="452">
        <f t="shared" si="7"/>
        <v>0</v>
      </c>
      <c r="O19" s="452">
        <f t="shared" si="8"/>
        <v>0</v>
      </c>
      <c r="P19" s="260">
        <f t="shared" si="9"/>
        <v>0</v>
      </c>
      <c r="Q19" s="260">
        <f t="shared" si="10"/>
        <v>0</v>
      </c>
      <c r="R19" s="432">
        <f t="shared" si="11"/>
        <v>20</v>
      </c>
      <c r="S19" s="432">
        <f t="array" ref="S19">MAX((IF(MNU_CODIGO_ALIMENTO_ENTREGA=CONCATENATE($E19,"_","P_"),MNU_GRAMAJE_REQUERIDO_TIPOB,"")))</f>
        <v>100</v>
      </c>
      <c r="T19" s="261">
        <f t="shared" si="12"/>
        <v>8240</v>
      </c>
      <c r="U19" s="261">
        <f t="shared" si="13"/>
        <v>164800</v>
      </c>
      <c r="V19" s="452">
        <f t="shared" si="14"/>
        <v>525</v>
      </c>
      <c r="W19" s="452">
        <f t="shared" si="15"/>
        <v>25.62</v>
      </c>
      <c r="X19" s="452">
        <f t="shared" si="16"/>
        <v>0.45150840000000003</v>
      </c>
      <c r="Y19" s="452">
        <f t="shared" si="17"/>
        <v>551</v>
      </c>
      <c r="Z19" s="262">
        <f t="shared" si="18"/>
        <v>86520000</v>
      </c>
      <c r="AA19" s="262">
        <f t="shared" si="19"/>
        <v>90804800</v>
      </c>
      <c r="AB19" s="431">
        <f t="shared" si="20"/>
        <v>20</v>
      </c>
      <c r="AC19" s="431">
        <f t="array" ref="AC19">MAX((IF(MNU_CODIGO_ALIMENTO_ENTREGA=CONCATENATE($E19,"_","P_"),MNU_GRAMAJE_REQUERIDO_TIPOC,"")))</f>
        <v>100</v>
      </c>
      <c r="AD19" s="259">
        <f t="shared" si="21"/>
        <v>8404</v>
      </c>
      <c r="AE19" s="259">
        <f t="shared" si="22"/>
        <v>168080</v>
      </c>
      <c r="AF19" s="452">
        <f t="shared" si="23"/>
        <v>525</v>
      </c>
      <c r="AG19" s="452">
        <f t="shared" si="24"/>
        <v>25.62</v>
      </c>
      <c r="AH19" s="452">
        <f t="shared" si="25"/>
        <v>0.45150840000000003</v>
      </c>
      <c r="AI19" s="452">
        <f t="shared" si="26"/>
        <v>551</v>
      </c>
      <c r="AJ19" s="260">
        <f t="shared" si="27"/>
        <v>88242000</v>
      </c>
      <c r="AK19" s="260">
        <f t="shared" si="28"/>
        <v>92612080</v>
      </c>
      <c r="AL19" s="432">
        <f t="shared" si="29"/>
        <v>20</v>
      </c>
      <c r="AM19" s="432">
        <f t="array" ref="AM19">MAX((IF(MNU_CODIGO_ALIMENTO_ENTREGA=CONCATENATE($E19,"_","P_"),MNU_GRAMAJE_REQUERIDO_TIPOM,"")))</f>
        <v>100</v>
      </c>
      <c r="AN19" s="261">
        <f t="shared" si="30"/>
        <v>384</v>
      </c>
      <c r="AO19" s="261">
        <f t="shared" si="31"/>
        <v>7680</v>
      </c>
      <c r="AP19" s="452">
        <f t="shared" si="32"/>
        <v>525</v>
      </c>
      <c r="AQ19" s="452">
        <f t="shared" si="33"/>
        <v>25.62</v>
      </c>
      <c r="AR19" s="452">
        <f t="shared" si="34"/>
        <v>0.45150840000000003</v>
      </c>
      <c r="AS19" s="452">
        <f t="shared" si="35"/>
        <v>551</v>
      </c>
      <c r="AT19" s="262">
        <f t="shared" si="36"/>
        <v>4032000</v>
      </c>
      <c r="AU19" s="262">
        <f t="shared" si="37"/>
        <v>4231680</v>
      </c>
      <c r="AV19" s="431">
        <f t="shared" si="38"/>
        <v>20</v>
      </c>
      <c r="AW19" s="431">
        <f t="array" ref="AW19">MAX((IF(MNU_CODIGO_ALIMENTO_ENTREGA=CONCATENATE($E19,"_","P_"),MNU_GRAMAJE_REQUERIDO_TIPOH,"")))</f>
        <v>100</v>
      </c>
      <c r="AX19" s="259">
        <f t="shared" si="39"/>
        <v>395</v>
      </c>
      <c r="AY19" s="259">
        <f t="shared" si="40"/>
        <v>7900</v>
      </c>
      <c r="AZ19" s="452">
        <f t="shared" si="41"/>
        <v>525</v>
      </c>
      <c r="BA19" s="452">
        <f t="shared" si="42"/>
        <v>25.62</v>
      </c>
      <c r="BB19" s="452">
        <f t="shared" si="43"/>
        <v>0.45150840000000003</v>
      </c>
      <c r="BC19" s="452">
        <f t="shared" si="44"/>
        <v>551</v>
      </c>
      <c r="BD19" s="260">
        <f t="shared" si="45"/>
        <v>4147500</v>
      </c>
      <c r="BE19" s="260">
        <f t="shared" si="46"/>
        <v>4352900</v>
      </c>
      <c r="BF19" s="397">
        <f t="shared" si="47"/>
        <v>182941500</v>
      </c>
      <c r="BG19" s="397">
        <f t="shared" si="48"/>
        <v>192001460</v>
      </c>
    </row>
    <row r="20" spans="1:59" ht="15.75">
      <c r="A20" s="338">
        <v>1</v>
      </c>
      <c r="B20" s="338" t="str">
        <f t="shared" si="0"/>
        <v>FRUTA_1</v>
      </c>
      <c r="C20" s="338" t="str">
        <f t="shared" si="1"/>
        <v>33_1</v>
      </c>
      <c r="D20" s="338" t="s">
        <v>1</v>
      </c>
      <c r="E20" s="258">
        <v>33</v>
      </c>
      <c r="F20" s="328" t="s">
        <v>59</v>
      </c>
      <c r="G20" s="258" t="s">
        <v>48</v>
      </c>
      <c r="H20" s="431">
        <f t="shared" si="2"/>
        <v>27</v>
      </c>
      <c r="I20" s="431">
        <v>1</v>
      </c>
      <c r="J20" s="259">
        <f t="shared" si="3"/>
        <v>5932</v>
      </c>
      <c r="K20" s="259">
        <f t="shared" si="4"/>
        <v>160164</v>
      </c>
      <c r="L20" s="452">
        <f t="shared" si="5"/>
        <v>270</v>
      </c>
      <c r="M20" s="452">
        <f t="shared" si="6"/>
        <v>13.176000000000002</v>
      </c>
      <c r="N20" s="452">
        <f t="shared" si="7"/>
        <v>0.23220432000000002</v>
      </c>
      <c r="O20" s="452">
        <f t="shared" si="8"/>
        <v>283</v>
      </c>
      <c r="P20" s="260">
        <f t="shared" si="9"/>
        <v>43244280</v>
      </c>
      <c r="Q20" s="260">
        <f t="shared" si="10"/>
        <v>45326412</v>
      </c>
      <c r="R20" s="432">
        <f t="shared" si="11"/>
        <v>18</v>
      </c>
      <c r="S20" s="432">
        <v>1</v>
      </c>
      <c r="T20" s="261">
        <f t="shared" si="12"/>
        <v>8240</v>
      </c>
      <c r="U20" s="261">
        <f t="shared" si="13"/>
        <v>148320</v>
      </c>
      <c r="V20" s="452">
        <f t="shared" si="14"/>
        <v>270</v>
      </c>
      <c r="W20" s="452">
        <f t="shared" si="15"/>
        <v>13.176000000000002</v>
      </c>
      <c r="X20" s="452">
        <f t="shared" si="16"/>
        <v>0.23220432000000002</v>
      </c>
      <c r="Y20" s="452">
        <f t="shared" si="17"/>
        <v>283</v>
      </c>
      <c r="Z20" s="262">
        <f t="shared" si="18"/>
        <v>40046400</v>
      </c>
      <c r="AA20" s="262">
        <f t="shared" si="19"/>
        <v>41974560</v>
      </c>
      <c r="AB20" s="431">
        <f t="shared" si="20"/>
        <v>18</v>
      </c>
      <c r="AC20" s="431">
        <v>1</v>
      </c>
      <c r="AD20" s="259">
        <f t="shared" si="21"/>
        <v>8404</v>
      </c>
      <c r="AE20" s="259">
        <f t="shared" si="22"/>
        <v>151272</v>
      </c>
      <c r="AF20" s="452">
        <f t="shared" si="23"/>
        <v>270</v>
      </c>
      <c r="AG20" s="452">
        <f t="shared" si="24"/>
        <v>13.176000000000002</v>
      </c>
      <c r="AH20" s="452">
        <f t="shared" si="25"/>
        <v>0.23220432000000002</v>
      </c>
      <c r="AI20" s="452">
        <f t="shared" si="26"/>
        <v>283</v>
      </c>
      <c r="AJ20" s="260">
        <f t="shared" si="27"/>
        <v>40843440</v>
      </c>
      <c r="AK20" s="260">
        <f t="shared" si="28"/>
        <v>42809976</v>
      </c>
      <c r="AL20" s="432">
        <f t="shared" si="29"/>
        <v>18</v>
      </c>
      <c r="AM20" s="432">
        <v>1</v>
      </c>
      <c r="AN20" s="261">
        <f t="shared" si="30"/>
        <v>384</v>
      </c>
      <c r="AO20" s="261">
        <f t="shared" si="31"/>
        <v>6912</v>
      </c>
      <c r="AP20" s="452">
        <f t="shared" si="32"/>
        <v>270</v>
      </c>
      <c r="AQ20" s="452">
        <f t="shared" si="33"/>
        <v>13.176000000000002</v>
      </c>
      <c r="AR20" s="452">
        <f t="shared" si="34"/>
        <v>0.23220432000000002</v>
      </c>
      <c r="AS20" s="452">
        <f t="shared" si="35"/>
        <v>283</v>
      </c>
      <c r="AT20" s="262">
        <f t="shared" si="36"/>
        <v>1866240</v>
      </c>
      <c r="AU20" s="262">
        <f t="shared" si="37"/>
        <v>1956096</v>
      </c>
      <c r="AV20" s="431">
        <f t="shared" si="38"/>
        <v>18</v>
      </c>
      <c r="AW20" s="431">
        <v>1</v>
      </c>
      <c r="AX20" s="259">
        <f t="shared" si="39"/>
        <v>395</v>
      </c>
      <c r="AY20" s="259">
        <f t="shared" si="40"/>
        <v>7110</v>
      </c>
      <c r="AZ20" s="452">
        <f t="shared" si="41"/>
        <v>270</v>
      </c>
      <c r="BA20" s="452">
        <f t="shared" si="42"/>
        <v>13.176000000000002</v>
      </c>
      <c r="BB20" s="452">
        <f t="shared" si="43"/>
        <v>0.23220432000000002</v>
      </c>
      <c r="BC20" s="452">
        <f t="shared" si="44"/>
        <v>283</v>
      </c>
      <c r="BD20" s="260">
        <f t="shared" si="45"/>
        <v>1919700</v>
      </c>
      <c r="BE20" s="260">
        <f t="shared" si="46"/>
        <v>2012130</v>
      </c>
      <c r="BF20" s="397">
        <f t="shared" si="47"/>
        <v>127920060</v>
      </c>
      <c r="BG20" s="397">
        <f t="shared" si="48"/>
        <v>134079174</v>
      </c>
    </row>
    <row r="21" spans="1:59" ht="15.75">
      <c r="A21" s="338">
        <v>1</v>
      </c>
      <c r="B21" s="338" t="str">
        <f t="shared" si="0"/>
        <v>FRUTA_1</v>
      </c>
      <c r="C21" s="338" t="str">
        <f t="shared" si="1"/>
        <v>36_1</v>
      </c>
      <c r="D21" s="338" t="s">
        <v>1</v>
      </c>
      <c r="E21" s="258">
        <v>36</v>
      </c>
      <c r="F21" s="328" t="s">
        <v>1340</v>
      </c>
      <c r="G21" s="258" t="s">
        <v>9</v>
      </c>
      <c r="H21" s="431">
        <f t="shared" si="2"/>
        <v>7</v>
      </c>
      <c r="I21" s="431">
        <f t="array" ref="I21">MAX((IF(MNU_CODIGO_ALIMENTO_ENTREGA=CONCATENATE($E21,"_","P_"),MNU_GRAMAJE_REQUERIDO_TIPOA,"")))</f>
        <v>20</v>
      </c>
      <c r="J21" s="259">
        <f t="shared" si="3"/>
        <v>5932</v>
      </c>
      <c r="K21" s="259">
        <f t="shared" si="4"/>
        <v>41524</v>
      </c>
      <c r="L21" s="452">
        <f t="shared" si="5"/>
        <v>126</v>
      </c>
      <c r="M21" s="452">
        <f t="shared" si="6"/>
        <v>6.1488000000000005</v>
      </c>
      <c r="N21" s="452">
        <f t="shared" si="7"/>
        <v>0.10836201599999999</v>
      </c>
      <c r="O21" s="452">
        <f t="shared" si="8"/>
        <v>132</v>
      </c>
      <c r="P21" s="260">
        <f t="shared" si="9"/>
        <v>5232024</v>
      </c>
      <c r="Q21" s="260">
        <f t="shared" si="10"/>
        <v>5481168</v>
      </c>
      <c r="R21" s="432">
        <f t="shared" si="11"/>
        <v>7</v>
      </c>
      <c r="S21" s="432">
        <f t="array" ref="S21">MAX((IF(MNU_CODIGO_ALIMENTO_ENTREGA=CONCATENATE($E21,"_","P_"),MNU_GRAMAJE_REQUERIDO_TIPOB,"")))</f>
        <v>40</v>
      </c>
      <c r="T21" s="261">
        <f t="shared" si="12"/>
        <v>8240</v>
      </c>
      <c r="U21" s="261">
        <f t="shared" si="13"/>
        <v>57680</v>
      </c>
      <c r="V21" s="452">
        <f t="shared" si="14"/>
        <v>252</v>
      </c>
      <c r="W21" s="452">
        <f t="shared" si="15"/>
        <v>12.297600000000001</v>
      </c>
      <c r="X21" s="452">
        <f t="shared" si="16"/>
        <v>0.21672403199999998</v>
      </c>
      <c r="Y21" s="452">
        <f t="shared" si="17"/>
        <v>265</v>
      </c>
      <c r="Z21" s="262">
        <f t="shared" si="18"/>
        <v>14535360</v>
      </c>
      <c r="AA21" s="262">
        <f t="shared" si="19"/>
        <v>15285200</v>
      </c>
      <c r="AB21" s="431">
        <f t="shared" si="20"/>
        <v>7</v>
      </c>
      <c r="AC21" s="431">
        <f t="array" ref="AC21">MAX((IF(MNU_CODIGO_ALIMENTO_ENTREGA=CONCATENATE($E21,"_","P_"),MNU_GRAMAJE_REQUERIDO_TIPOC,"")))</f>
        <v>40</v>
      </c>
      <c r="AD21" s="259">
        <f t="shared" si="21"/>
        <v>8404</v>
      </c>
      <c r="AE21" s="259">
        <f t="shared" si="22"/>
        <v>58828</v>
      </c>
      <c r="AF21" s="452">
        <f t="shared" si="23"/>
        <v>252</v>
      </c>
      <c r="AG21" s="452">
        <f t="shared" si="24"/>
        <v>12.297600000000001</v>
      </c>
      <c r="AH21" s="452">
        <f t="shared" si="25"/>
        <v>0.21672403199999998</v>
      </c>
      <c r="AI21" s="452">
        <f t="shared" si="26"/>
        <v>265</v>
      </c>
      <c r="AJ21" s="260">
        <f t="shared" si="27"/>
        <v>14824656</v>
      </c>
      <c r="AK21" s="260">
        <f t="shared" si="28"/>
        <v>15589420</v>
      </c>
      <c r="AL21" s="432">
        <f t="shared" si="29"/>
        <v>7</v>
      </c>
      <c r="AM21" s="432">
        <f t="array" ref="AM21">MAX((IF(MNU_CODIGO_ALIMENTO_ENTREGA=CONCATENATE($E21,"_","P_"),MNU_GRAMAJE_REQUERIDO_TIPOM,"")))</f>
        <v>40</v>
      </c>
      <c r="AN21" s="261">
        <f t="shared" si="30"/>
        <v>384</v>
      </c>
      <c r="AO21" s="261">
        <f t="shared" si="31"/>
        <v>2688</v>
      </c>
      <c r="AP21" s="452">
        <f t="shared" si="32"/>
        <v>252</v>
      </c>
      <c r="AQ21" s="452">
        <f t="shared" si="33"/>
        <v>12.297600000000001</v>
      </c>
      <c r="AR21" s="452">
        <f t="shared" si="34"/>
        <v>0.21672403199999998</v>
      </c>
      <c r="AS21" s="452">
        <f t="shared" si="35"/>
        <v>265</v>
      </c>
      <c r="AT21" s="262">
        <f t="shared" si="36"/>
        <v>677376</v>
      </c>
      <c r="AU21" s="262">
        <f t="shared" si="37"/>
        <v>712320</v>
      </c>
      <c r="AV21" s="431">
        <f t="shared" si="38"/>
        <v>7</v>
      </c>
      <c r="AW21" s="431">
        <f t="array" ref="AW21">MAX((IF(MNU_CODIGO_ALIMENTO_ENTREGA=CONCATENATE($E21,"_","P_"),MNU_GRAMAJE_REQUERIDO_TIPOH,"")))</f>
        <v>40</v>
      </c>
      <c r="AX21" s="259">
        <f t="shared" si="39"/>
        <v>395</v>
      </c>
      <c r="AY21" s="259">
        <f t="shared" si="40"/>
        <v>2765</v>
      </c>
      <c r="AZ21" s="452">
        <f t="shared" si="41"/>
        <v>252</v>
      </c>
      <c r="BA21" s="452">
        <f t="shared" si="42"/>
        <v>12.297600000000001</v>
      </c>
      <c r="BB21" s="452">
        <f t="shared" si="43"/>
        <v>0.21672403199999998</v>
      </c>
      <c r="BC21" s="452">
        <f t="shared" si="44"/>
        <v>265</v>
      </c>
      <c r="BD21" s="260">
        <f t="shared" si="45"/>
        <v>696780</v>
      </c>
      <c r="BE21" s="260">
        <f t="shared" si="46"/>
        <v>732725</v>
      </c>
      <c r="BF21" s="397">
        <f t="shared" si="47"/>
        <v>35966196</v>
      </c>
      <c r="BG21" s="397">
        <f t="shared" si="48"/>
        <v>37800833</v>
      </c>
    </row>
    <row r="22" spans="1:59" ht="15.75">
      <c r="A22" s="338">
        <v>1</v>
      </c>
      <c r="B22" s="338" t="str">
        <f t="shared" si="0"/>
        <v>FRUTA_1</v>
      </c>
      <c r="C22" s="338" t="str">
        <f t="shared" si="1"/>
        <v>42_1</v>
      </c>
      <c r="D22" s="338" t="s">
        <v>1</v>
      </c>
      <c r="E22" s="258">
        <v>42</v>
      </c>
      <c r="F22" s="328" t="s">
        <v>61</v>
      </c>
      <c r="G22" s="258" t="s">
        <v>9</v>
      </c>
      <c r="H22" s="431">
        <f t="shared" si="2"/>
        <v>23</v>
      </c>
      <c r="I22" s="431">
        <f t="array" ref="I22">MAX((IF(MNU_CODIGO_ALIMENTO_ENTREGA=CONCATENATE($E22,"_","P_"),MNU_GRAMAJE_REQUERIDO_TIPOA,"")))</f>
        <v>100</v>
      </c>
      <c r="J22" s="259">
        <f t="shared" si="3"/>
        <v>5932</v>
      </c>
      <c r="K22" s="259">
        <f t="shared" si="4"/>
        <v>136436</v>
      </c>
      <c r="L22" s="452">
        <f t="shared" si="5"/>
        <v>194</v>
      </c>
      <c r="M22" s="452">
        <f t="shared" si="6"/>
        <v>9.4672000000000001</v>
      </c>
      <c r="N22" s="452">
        <f t="shared" si="7"/>
        <v>0.16684310399999999</v>
      </c>
      <c r="O22" s="452">
        <f t="shared" si="8"/>
        <v>204</v>
      </c>
      <c r="P22" s="260">
        <f t="shared" si="9"/>
        <v>26468584</v>
      </c>
      <c r="Q22" s="260">
        <f t="shared" si="10"/>
        <v>27832944</v>
      </c>
      <c r="R22" s="432">
        <f t="shared" si="11"/>
        <v>19</v>
      </c>
      <c r="S22" s="432">
        <f t="array" ref="S22">MAX((IF(MNU_CODIGO_ALIMENTO_ENTREGA=CONCATENATE($E22,"_","P_"),MNU_GRAMAJE_REQUERIDO_TIPOB,"")))</f>
        <v>100</v>
      </c>
      <c r="T22" s="261">
        <f t="shared" si="12"/>
        <v>8240</v>
      </c>
      <c r="U22" s="261">
        <f t="shared" si="13"/>
        <v>156560</v>
      </c>
      <c r="V22" s="452">
        <f t="shared" si="14"/>
        <v>194</v>
      </c>
      <c r="W22" s="452">
        <f t="shared" si="15"/>
        <v>9.4672000000000001</v>
      </c>
      <c r="X22" s="452">
        <f t="shared" si="16"/>
        <v>0.16684310399999999</v>
      </c>
      <c r="Y22" s="452">
        <f t="shared" si="17"/>
        <v>204</v>
      </c>
      <c r="Z22" s="262">
        <f t="shared" si="18"/>
        <v>30372640</v>
      </c>
      <c r="AA22" s="262">
        <f t="shared" si="19"/>
        <v>31938240</v>
      </c>
      <c r="AB22" s="431">
        <f t="shared" si="20"/>
        <v>19</v>
      </c>
      <c r="AC22" s="431">
        <f t="array" ref="AC22">MAX((IF(MNU_CODIGO_ALIMENTO_ENTREGA=CONCATENATE($E22,"_","P_"),MNU_GRAMAJE_REQUERIDO_TIPOC,"")))</f>
        <v>100</v>
      </c>
      <c r="AD22" s="259">
        <f t="shared" si="21"/>
        <v>8404</v>
      </c>
      <c r="AE22" s="259">
        <f t="shared" si="22"/>
        <v>159676</v>
      </c>
      <c r="AF22" s="452">
        <f t="shared" si="23"/>
        <v>194</v>
      </c>
      <c r="AG22" s="452">
        <f t="shared" si="24"/>
        <v>9.4672000000000001</v>
      </c>
      <c r="AH22" s="452">
        <f t="shared" si="25"/>
        <v>0.16684310399999999</v>
      </c>
      <c r="AI22" s="452">
        <f t="shared" si="26"/>
        <v>204</v>
      </c>
      <c r="AJ22" s="260">
        <f t="shared" si="27"/>
        <v>30977144</v>
      </c>
      <c r="AK22" s="260">
        <f t="shared" si="28"/>
        <v>32573904</v>
      </c>
      <c r="AL22" s="432">
        <f t="shared" si="29"/>
        <v>19</v>
      </c>
      <c r="AM22" s="432">
        <f t="array" ref="AM22">MAX((IF(MNU_CODIGO_ALIMENTO_ENTREGA=CONCATENATE($E22,"_","P_"),MNU_GRAMAJE_REQUERIDO_TIPOM,"")))</f>
        <v>100</v>
      </c>
      <c r="AN22" s="261">
        <f t="shared" si="30"/>
        <v>384</v>
      </c>
      <c r="AO22" s="261">
        <f t="shared" si="31"/>
        <v>7296</v>
      </c>
      <c r="AP22" s="452">
        <f t="shared" si="32"/>
        <v>194</v>
      </c>
      <c r="AQ22" s="452">
        <f t="shared" si="33"/>
        <v>9.4672000000000001</v>
      </c>
      <c r="AR22" s="452">
        <f t="shared" si="34"/>
        <v>0.16684310399999999</v>
      </c>
      <c r="AS22" s="452">
        <f t="shared" si="35"/>
        <v>204</v>
      </c>
      <c r="AT22" s="262">
        <f t="shared" si="36"/>
        <v>1415424</v>
      </c>
      <c r="AU22" s="262">
        <f t="shared" si="37"/>
        <v>1488384</v>
      </c>
      <c r="AV22" s="431">
        <f t="shared" si="38"/>
        <v>19</v>
      </c>
      <c r="AW22" s="431">
        <f t="array" ref="AW22">MAX((IF(MNU_CODIGO_ALIMENTO_ENTREGA=CONCATENATE($E22,"_","P_"),MNU_GRAMAJE_REQUERIDO_TIPOH,"")))</f>
        <v>100</v>
      </c>
      <c r="AX22" s="259">
        <f t="shared" si="39"/>
        <v>395</v>
      </c>
      <c r="AY22" s="259">
        <f t="shared" si="40"/>
        <v>7505</v>
      </c>
      <c r="AZ22" s="452">
        <f t="shared" si="41"/>
        <v>194</v>
      </c>
      <c r="BA22" s="452">
        <f t="shared" si="42"/>
        <v>9.4672000000000001</v>
      </c>
      <c r="BB22" s="452">
        <f t="shared" si="43"/>
        <v>0.16684310399999999</v>
      </c>
      <c r="BC22" s="452">
        <f t="shared" si="44"/>
        <v>204</v>
      </c>
      <c r="BD22" s="260">
        <f t="shared" si="45"/>
        <v>1455970</v>
      </c>
      <c r="BE22" s="260">
        <f t="shared" si="46"/>
        <v>1531020</v>
      </c>
      <c r="BF22" s="397">
        <f t="shared" si="47"/>
        <v>90689762</v>
      </c>
      <c r="BG22" s="397">
        <f t="shared" si="48"/>
        <v>95364492</v>
      </c>
    </row>
    <row r="23" spans="1:59" ht="15.75">
      <c r="A23" s="338">
        <v>1</v>
      </c>
      <c r="B23" s="338" t="str">
        <f t="shared" si="0"/>
        <v>FRUTA_1</v>
      </c>
      <c r="C23" s="338" t="str">
        <f t="shared" si="1"/>
        <v>43_1</v>
      </c>
      <c r="D23" s="338" t="s">
        <v>1</v>
      </c>
      <c r="E23" s="258">
        <v>43</v>
      </c>
      <c r="F23" s="328" t="s">
        <v>62</v>
      </c>
      <c r="G23" s="258" t="s">
        <v>9</v>
      </c>
      <c r="H23" s="431">
        <f t="shared" si="2"/>
        <v>24</v>
      </c>
      <c r="I23" s="431">
        <f t="array" ref="I23">MAX((IF(MNU_CODIGO_ALIMENTO_ENTREGA=CONCATENATE($E23,"_","P_"),MNU_GRAMAJE_REQUERIDO_TIPOA,"")))</f>
        <v>100</v>
      </c>
      <c r="J23" s="259">
        <f t="shared" si="3"/>
        <v>5932</v>
      </c>
      <c r="K23" s="259">
        <f t="shared" si="4"/>
        <v>142368</v>
      </c>
      <c r="L23" s="452">
        <f t="shared" si="5"/>
        <v>170</v>
      </c>
      <c r="M23" s="452">
        <f t="shared" si="6"/>
        <v>8.2959999999999994</v>
      </c>
      <c r="N23" s="452">
        <f t="shared" si="7"/>
        <v>0.14620272000000001</v>
      </c>
      <c r="O23" s="452">
        <f t="shared" si="8"/>
        <v>178</v>
      </c>
      <c r="P23" s="260">
        <f t="shared" si="9"/>
        <v>24202560</v>
      </c>
      <c r="Q23" s="260">
        <f t="shared" si="10"/>
        <v>25341504</v>
      </c>
      <c r="R23" s="432">
        <f t="shared" si="11"/>
        <v>17</v>
      </c>
      <c r="S23" s="432">
        <f t="array" ref="S23">MAX((IF(MNU_CODIGO_ALIMENTO_ENTREGA=CONCATENATE($E23,"_","P_"),MNU_GRAMAJE_REQUERIDO_TIPOB,"")))</f>
        <v>100</v>
      </c>
      <c r="T23" s="261">
        <f t="shared" si="12"/>
        <v>8240</v>
      </c>
      <c r="U23" s="261">
        <f t="shared" si="13"/>
        <v>140080</v>
      </c>
      <c r="V23" s="452">
        <f t="shared" si="14"/>
        <v>170</v>
      </c>
      <c r="W23" s="452">
        <f t="shared" si="15"/>
        <v>8.2959999999999994</v>
      </c>
      <c r="X23" s="452">
        <f t="shared" si="16"/>
        <v>0.14620272000000001</v>
      </c>
      <c r="Y23" s="452">
        <f t="shared" si="17"/>
        <v>178</v>
      </c>
      <c r="Z23" s="262">
        <f t="shared" si="18"/>
        <v>23813600</v>
      </c>
      <c r="AA23" s="262">
        <f t="shared" si="19"/>
        <v>24934240</v>
      </c>
      <c r="AB23" s="431">
        <f t="shared" si="20"/>
        <v>17</v>
      </c>
      <c r="AC23" s="431">
        <f t="array" ref="AC23">MAX((IF(MNU_CODIGO_ALIMENTO_ENTREGA=CONCATENATE($E23,"_","P_"),MNU_GRAMAJE_REQUERIDO_TIPOC,"")))</f>
        <v>100</v>
      </c>
      <c r="AD23" s="259">
        <f t="shared" si="21"/>
        <v>8404</v>
      </c>
      <c r="AE23" s="259">
        <f t="shared" si="22"/>
        <v>142868</v>
      </c>
      <c r="AF23" s="452">
        <f t="shared" si="23"/>
        <v>170</v>
      </c>
      <c r="AG23" s="452">
        <f t="shared" si="24"/>
        <v>8.2959999999999994</v>
      </c>
      <c r="AH23" s="452">
        <f t="shared" si="25"/>
        <v>0.14620272000000001</v>
      </c>
      <c r="AI23" s="452">
        <f t="shared" si="26"/>
        <v>178</v>
      </c>
      <c r="AJ23" s="260">
        <f t="shared" si="27"/>
        <v>24287560</v>
      </c>
      <c r="AK23" s="260">
        <f t="shared" si="28"/>
        <v>25430504</v>
      </c>
      <c r="AL23" s="432">
        <f t="shared" si="29"/>
        <v>17</v>
      </c>
      <c r="AM23" s="432">
        <f t="array" ref="AM23">MAX((IF(MNU_CODIGO_ALIMENTO_ENTREGA=CONCATENATE($E23,"_","P_"),MNU_GRAMAJE_REQUERIDO_TIPOM,"")))</f>
        <v>100</v>
      </c>
      <c r="AN23" s="261">
        <f t="shared" si="30"/>
        <v>384</v>
      </c>
      <c r="AO23" s="261">
        <f t="shared" si="31"/>
        <v>6528</v>
      </c>
      <c r="AP23" s="452">
        <f t="shared" si="32"/>
        <v>170</v>
      </c>
      <c r="AQ23" s="452">
        <f t="shared" si="33"/>
        <v>8.2959999999999994</v>
      </c>
      <c r="AR23" s="452">
        <f t="shared" si="34"/>
        <v>0.14620272000000001</v>
      </c>
      <c r="AS23" s="452">
        <f t="shared" si="35"/>
        <v>178</v>
      </c>
      <c r="AT23" s="262">
        <f t="shared" si="36"/>
        <v>1109760</v>
      </c>
      <c r="AU23" s="262">
        <f t="shared" si="37"/>
        <v>1161984</v>
      </c>
      <c r="AV23" s="431">
        <f t="shared" si="38"/>
        <v>17</v>
      </c>
      <c r="AW23" s="431">
        <f t="array" ref="AW23">MAX((IF(MNU_CODIGO_ALIMENTO_ENTREGA=CONCATENATE($E23,"_","P_"),MNU_GRAMAJE_REQUERIDO_TIPOH,"")))</f>
        <v>100</v>
      </c>
      <c r="AX23" s="259">
        <f t="shared" si="39"/>
        <v>395</v>
      </c>
      <c r="AY23" s="259">
        <f t="shared" si="40"/>
        <v>6715</v>
      </c>
      <c r="AZ23" s="452">
        <f t="shared" si="41"/>
        <v>170</v>
      </c>
      <c r="BA23" s="452">
        <f t="shared" si="42"/>
        <v>8.2959999999999994</v>
      </c>
      <c r="BB23" s="452">
        <f t="shared" si="43"/>
        <v>0.14620272000000001</v>
      </c>
      <c r="BC23" s="452">
        <f t="shared" si="44"/>
        <v>178</v>
      </c>
      <c r="BD23" s="260">
        <f t="shared" si="45"/>
        <v>1141550</v>
      </c>
      <c r="BE23" s="260">
        <f t="shared" si="46"/>
        <v>1195270</v>
      </c>
      <c r="BF23" s="397">
        <f t="shared" si="47"/>
        <v>74555030</v>
      </c>
      <c r="BG23" s="397">
        <f t="shared" si="48"/>
        <v>78063502</v>
      </c>
    </row>
    <row r="24" spans="1:59" ht="15.75">
      <c r="A24" s="338">
        <v>1</v>
      </c>
      <c r="B24" s="338" t="str">
        <f t="shared" si="0"/>
        <v>FRUTA_1</v>
      </c>
      <c r="C24" s="338" t="str">
        <f t="shared" si="1"/>
        <v>46_1</v>
      </c>
      <c r="D24" s="338" t="s">
        <v>1</v>
      </c>
      <c r="E24" s="258">
        <v>46</v>
      </c>
      <c r="F24" s="328" t="s">
        <v>64</v>
      </c>
      <c r="G24" s="258" t="s">
        <v>9</v>
      </c>
      <c r="H24" s="431">
        <f t="shared" si="2"/>
        <v>30</v>
      </c>
      <c r="I24" s="431">
        <f t="array" ref="I24">MAX((IF(MNU_CODIGO_ALIMENTO_ENTREGA=CONCATENATE($E24,"_","P_"),MNU_GRAMAJE_REQUERIDO_TIPOA,"")))</f>
        <v>100</v>
      </c>
      <c r="J24" s="259">
        <f t="shared" si="3"/>
        <v>5932</v>
      </c>
      <c r="K24" s="259">
        <f t="shared" si="4"/>
        <v>177960</v>
      </c>
      <c r="L24" s="452">
        <f t="shared" si="5"/>
        <v>398</v>
      </c>
      <c r="M24" s="452">
        <f t="shared" si="6"/>
        <v>19.4224</v>
      </c>
      <c r="N24" s="452">
        <f t="shared" si="7"/>
        <v>0.34228636800000001</v>
      </c>
      <c r="O24" s="452">
        <f t="shared" si="8"/>
        <v>418</v>
      </c>
      <c r="P24" s="260">
        <f t="shared" si="9"/>
        <v>70828080</v>
      </c>
      <c r="Q24" s="260">
        <f t="shared" si="10"/>
        <v>74387280</v>
      </c>
      <c r="R24" s="432">
        <f t="shared" si="11"/>
        <v>21</v>
      </c>
      <c r="S24" s="432">
        <f t="array" ref="S24">MAX((IF(MNU_CODIGO_ALIMENTO_ENTREGA=CONCATENATE($E24,"_","P_"),MNU_GRAMAJE_REQUERIDO_TIPOB,"")))</f>
        <v>100</v>
      </c>
      <c r="T24" s="261">
        <f t="shared" si="12"/>
        <v>8240</v>
      </c>
      <c r="U24" s="261">
        <f t="shared" si="13"/>
        <v>173040</v>
      </c>
      <c r="V24" s="452">
        <f t="shared" si="14"/>
        <v>398</v>
      </c>
      <c r="W24" s="452">
        <f t="shared" si="15"/>
        <v>19.4224</v>
      </c>
      <c r="X24" s="452">
        <f t="shared" si="16"/>
        <v>0.34228636800000001</v>
      </c>
      <c r="Y24" s="452">
        <f t="shared" si="17"/>
        <v>418</v>
      </c>
      <c r="Z24" s="262">
        <f t="shared" si="18"/>
        <v>68869920</v>
      </c>
      <c r="AA24" s="262">
        <f t="shared" si="19"/>
        <v>72330720</v>
      </c>
      <c r="AB24" s="431">
        <f t="shared" si="20"/>
        <v>21</v>
      </c>
      <c r="AC24" s="431">
        <f t="array" ref="AC24">MAX((IF(MNU_CODIGO_ALIMENTO_ENTREGA=CONCATENATE($E24,"_","P_"),MNU_GRAMAJE_REQUERIDO_TIPOC,"")))</f>
        <v>100</v>
      </c>
      <c r="AD24" s="259">
        <f t="shared" si="21"/>
        <v>8404</v>
      </c>
      <c r="AE24" s="259">
        <f t="shared" si="22"/>
        <v>176484</v>
      </c>
      <c r="AF24" s="452">
        <f t="shared" si="23"/>
        <v>398</v>
      </c>
      <c r="AG24" s="452">
        <f t="shared" si="24"/>
        <v>19.4224</v>
      </c>
      <c r="AH24" s="452">
        <f t="shared" si="25"/>
        <v>0.34228636800000001</v>
      </c>
      <c r="AI24" s="452">
        <f t="shared" si="26"/>
        <v>418</v>
      </c>
      <c r="AJ24" s="260">
        <f t="shared" si="27"/>
        <v>70240632</v>
      </c>
      <c r="AK24" s="260">
        <f t="shared" si="28"/>
        <v>73770312</v>
      </c>
      <c r="AL24" s="432">
        <f t="shared" si="29"/>
        <v>21</v>
      </c>
      <c r="AM24" s="432">
        <f t="array" ref="AM24">MAX((IF(MNU_CODIGO_ALIMENTO_ENTREGA=CONCATENATE($E24,"_","P_"),MNU_GRAMAJE_REQUERIDO_TIPOM,"")))</f>
        <v>100</v>
      </c>
      <c r="AN24" s="261">
        <f t="shared" si="30"/>
        <v>384</v>
      </c>
      <c r="AO24" s="261">
        <f t="shared" si="31"/>
        <v>8064</v>
      </c>
      <c r="AP24" s="452">
        <f t="shared" si="32"/>
        <v>398</v>
      </c>
      <c r="AQ24" s="452">
        <f t="shared" si="33"/>
        <v>19.4224</v>
      </c>
      <c r="AR24" s="452">
        <f t="shared" si="34"/>
        <v>0.34228636800000001</v>
      </c>
      <c r="AS24" s="452">
        <f t="shared" si="35"/>
        <v>418</v>
      </c>
      <c r="AT24" s="262">
        <f t="shared" si="36"/>
        <v>3209472</v>
      </c>
      <c r="AU24" s="262">
        <f t="shared" si="37"/>
        <v>3370752</v>
      </c>
      <c r="AV24" s="431">
        <f t="shared" si="38"/>
        <v>21</v>
      </c>
      <c r="AW24" s="431">
        <f t="array" ref="AW24">MAX((IF(MNU_CODIGO_ALIMENTO_ENTREGA=CONCATENATE($E24,"_","P_"),MNU_GRAMAJE_REQUERIDO_TIPOH,"")))</f>
        <v>100</v>
      </c>
      <c r="AX24" s="259">
        <f t="shared" si="39"/>
        <v>395</v>
      </c>
      <c r="AY24" s="259">
        <f t="shared" si="40"/>
        <v>8295</v>
      </c>
      <c r="AZ24" s="452">
        <f t="shared" si="41"/>
        <v>398</v>
      </c>
      <c r="BA24" s="452">
        <f t="shared" si="42"/>
        <v>19.4224</v>
      </c>
      <c r="BB24" s="452">
        <f t="shared" si="43"/>
        <v>0.34228636800000001</v>
      </c>
      <c r="BC24" s="452">
        <f t="shared" si="44"/>
        <v>418</v>
      </c>
      <c r="BD24" s="260">
        <f t="shared" si="45"/>
        <v>3301410</v>
      </c>
      <c r="BE24" s="260">
        <f t="shared" si="46"/>
        <v>3467310</v>
      </c>
      <c r="BF24" s="397">
        <f t="shared" si="47"/>
        <v>216449514</v>
      </c>
      <c r="BG24" s="397">
        <f t="shared" si="48"/>
        <v>227326374</v>
      </c>
    </row>
    <row r="25" spans="1:59" ht="15.75">
      <c r="A25" s="338">
        <v>1</v>
      </c>
      <c r="B25" s="338" t="str">
        <f t="shared" si="0"/>
        <v>FRUTA_1</v>
      </c>
      <c r="C25" s="338" t="str">
        <f t="shared" si="1"/>
        <v>58_1</v>
      </c>
      <c r="D25" s="338" t="s">
        <v>1</v>
      </c>
      <c r="E25" s="258">
        <v>58</v>
      </c>
      <c r="F25" s="328" t="s">
        <v>67</v>
      </c>
      <c r="G25" s="258" t="s">
        <v>9</v>
      </c>
      <c r="H25" s="431">
        <f t="shared" si="2"/>
        <v>24</v>
      </c>
      <c r="I25" s="431">
        <f t="array" ref="I25">MAX((IF(MNU_CODIGO_ALIMENTO_ENTREGA=CONCATENATE($E25,"_","P_"),MNU_GRAMAJE_REQUERIDO_TIPOA,"")))</f>
        <v>100</v>
      </c>
      <c r="J25" s="259">
        <f t="shared" si="3"/>
        <v>5932</v>
      </c>
      <c r="K25" s="259">
        <f t="shared" si="4"/>
        <v>142368</v>
      </c>
      <c r="L25" s="452">
        <f t="shared" si="5"/>
        <v>154</v>
      </c>
      <c r="M25" s="452">
        <f t="shared" si="6"/>
        <v>7.515200000000001</v>
      </c>
      <c r="N25" s="452">
        <f t="shared" si="7"/>
        <v>0.13244246400000001</v>
      </c>
      <c r="O25" s="452">
        <f t="shared" si="8"/>
        <v>162</v>
      </c>
      <c r="P25" s="260">
        <f t="shared" si="9"/>
        <v>21924672</v>
      </c>
      <c r="Q25" s="260">
        <f t="shared" si="10"/>
        <v>23063616</v>
      </c>
      <c r="R25" s="432">
        <f t="shared" si="11"/>
        <v>23</v>
      </c>
      <c r="S25" s="432">
        <f t="array" ref="S25">MAX((IF(MNU_CODIGO_ALIMENTO_ENTREGA=CONCATENATE($E25,"_","P_"),MNU_GRAMAJE_REQUERIDO_TIPOB,"")))</f>
        <v>100</v>
      </c>
      <c r="T25" s="261">
        <f t="shared" si="12"/>
        <v>8240</v>
      </c>
      <c r="U25" s="261">
        <f t="shared" si="13"/>
        <v>189520</v>
      </c>
      <c r="V25" s="452">
        <f t="shared" si="14"/>
        <v>154</v>
      </c>
      <c r="W25" s="452">
        <f t="shared" si="15"/>
        <v>7.515200000000001</v>
      </c>
      <c r="X25" s="452">
        <f t="shared" si="16"/>
        <v>0.13244246400000001</v>
      </c>
      <c r="Y25" s="452">
        <f t="shared" si="17"/>
        <v>162</v>
      </c>
      <c r="Z25" s="262">
        <f t="shared" si="18"/>
        <v>29186080</v>
      </c>
      <c r="AA25" s="262">
        <f t="shared" si="19"/>
        <v>30702240</v>
      </c>
      <c r="AB25" s="431">
        <f t="shared" si="20"/>
        <v>23</v>
      </c>
      <c r="AC25" s="431">
        <f t="array" ref="AC25">MAX((IF(MNU_CODIGO_ALIMENTO_ENTREGA=CONCATENATE($E25,"_","P_"),MNU_GRAMAJE_REQUERIDO_TIPOC,"")))</f>
        <v>100</v>
      </c>
      <c r="AD25" s="259">
        <f t="shared" si="21"/>
        <v>8404</v>
      </c>
      <c r="AE25" s="259">
        <f t="shared" si="22"/>
        <v>193292</v>
      </c>
      <c r="AF25" s="452">
        <f t="shared" si="23"/>
        <v>154</v>
      </c>
      <c r="AG25" s="452">
        <f t="shared" si="24"/>
        <v>7.515200000000001</v>
      </c>
      <c r="AH25" s="452">
        <f t="shared" si="25"/>
        <v>0.13244246400000001</v>
      </c>
      <c r="AI25" s="452">
        <f t="shared" si="26"/>
        <v>162</v>
      </c>
      <c r="AJ25" s="260">
        <f t="shared" si="27"/>
        <v>29766968</v>
      </c>
      <c r="AK25" s="260">
        <f t="shared" si="28"/>
        <v>31313304</v>
      </c>
      <c r="AL25" s="432">
        <f t="shared" si="29"/>
        <v>23</v>
      </c>
      <c r="AM25" s="432">
        <f t="array" ref="AM25">MAX((IF(MNU_CODIGO_ALIMENTO_ENTREGA=CONCATENATE($E25,"_","P_"),MNU_GRAMAJE_REQUERIDO_TIPOM,"")))</f>
        <v>100</v>
      </c>
      <c r="AN25" s="261">
        <f t="shared" si="30"/>
        <v>384</v>
      </c>
      <c r="AO25" s="261">
        <f t="shared" si="31"/>
        <v>8832</v>
      </c>
      <c r="AP25" s="452">
        <f t="shared" si="32"/>
        <v>154</v>
      </c>
      <c r="AQ25" s="452">
        <f t="shared" si="33"/>
        <v>7.515200000000001</v>
      </c>
      <c r="AR25" s="452">
        <f t="shared" si="34"/>
        <v>0.13244246400000001</v>
      </c>
      <c r="AS25" s="452">
        <f t="shared" si="35"/>
        <v>162</v>
      </c>
      <c r="AT25" s="262">
        <f t="shared" si="36"/>
        <v>1360128</v>
      </c>
      <c r="AU25" s="262">
        <f t="shared" si="37"/>
        <v>1430784</v>
      </c>
      <c r="AV25" s="431">
        <f t="shared" si="38"/>
        <v>23</v>
      </c>
      <c r="AW25" s="431">
        <f t="array" ref="AW25">MAX((IF(MNU_CODIGO_ALIMENTO_ENTREGA=CONCATENATE($E25,"_","P_"),MNU_GRAMAJE_REQUERIDO_TIPOH,"")))</f>
        <v>100</v>
      </c>
      <c r="AX25" s="259">
        <f t="shared" si="39"/>
        <v>395</v>
      </c>
      <c r="AY25" s="259">
        <f t="shared" si="40"/>
        <v>9085</v>
      </c>
      <c r="AZ25" s="452">
        <f t="shared" si="41"/>
        <v>154</v>
      </c>
      <c r="BA25" s="452">
        <f t="shared" si="42"/>
        <v>7.515200000000001</v>
      </c>
      <c r="BB25" s="452">
        <f t="shared" si="43"/>
        <v>0.13244246400000001</v>
      </c>
      <c r="BC25" s="452">
        <f t="shared" si="44"/>
        <v>162</v>
      </c>
      <c r="BD25" s="260">
        <f t="shared" si="45"/>
        <v>1399090</v>
      </c>
      <c r="BE25" s="260">
        <f t="shared" si="46"/>
        <v>1471770</v>
      </c>
      <c r="BF25" s="397">
        <f t="shared" si="47"/>
        <v>83636938</v>
      </c>
      <c r="BG25" s="397">
        <f t="shared" si="48"/>
        <v>87981714</v>
      </c>
    </row>
    <row r="26" spans="1:59" ht="15.75">
      <c r="A26" s="338">
        <v>1</v>
      </c>
      <c r="B26" s="338" t="str">
        <f t="shared" si="0"/>
        <v>FRUTA_1</v>
      </c>
      <c r="C26" s="338" t="str">
        <f t="shared" si="1"/>
        <v>59_1</v>
      </c>
      <c r="D26" s="338" t="s">
        <v>1</v>
      </c>
      <c r="E26" s="258">
        <v>59</v>
      </c>
      <c r="F26" s="328" t="s">
        <v>99</v>
      </c>
      <c r="G26" s="258" t="s">
        <v>9</v>
      </c>
      <c r="H26" s="431">
        <f t="shared" si="2"/>
        <v>0</v>
      </c>
      <c r="I26" s="431">
        <f t="array" ref="I26">MAX((IF(MNU_CODIGO_ALIMENTO_ENTREGA=CONCATENATE($E26,"_","P_"),MNU_GRAMAJE_REQUERIDO_TIPOA,"")))</f>
        <v>0</v>
      </c>
      <c r="J26" s="259">
        <f t="shared" si="3"/>
        <v>5932</v>
      </c>
      <c r="K26" s="259">
        <f t="shared" si="4"/>
        <v>0</v>
      </c>
      <c r="L26" s="452">
        <f t="shared" si="5"/>
        <v>0</v>
      </c>
      <c r="M26" s="452">
        <f t="shared" si="6"/>
        <v>0</v>
      </c>
      <c r="N26" s="452">
        <f t="shared" si="7"/>
        <v>0</v>
      </c>
      <c r="O26" s="452">
        <f t="shared" si="8"/>
        <v>0</v>
      </c>
      <c r="P26" s="260">
        <f t="shared" si="9"/>
        <v>0</v>
      </c>
      <c r="Q26" s="260">
        <f t="shared" si="10"/>
        <v>0</v>
      </c>
      <c r="R26" s="432">
        <f t="shared" si="11"/>
        <v>8</v>
      </c>
      <c r="S26" s="432">
        <f t="array" ref="S26">MAX((IF(MNU_CODIGO_ALIMENTO_ENTREGA=CONCATENATE($E26,"_","P_"),MNU_GRAMAJE_REQUERIDO_TIPOB,"")))</f>
        <v>100</v>
      </c>
      <c r="T26" s="261">
        <f t="shared" si="12"/>
        <v>8240</v>
      </c>
      <c r="U26" s="261">
        <f t="shared" si="13"/>
        <v>65920</v>
      </c>
      <c r="V26" s="452">
        <f t="shared" si="14"/>
        <v>286</v>
      </c>
      <c r="W26" s="452">
        <f t="shared" si="15"/>
        <v>13.956800000000001</v>
      </c>
      <c r="X26" s="452">
        <f t="shared" si="16"/>
        <v>0.24596457599999999</v>
      </c>
      <c r="Y26" s="452">
        <f t="shared" si="17"/>
        <v>300</v>
      </c>
      <c r="Z26" s="262">
        <f t="shared" si="18"/>
        <v>18853120</v>
      </c>
      <c r="AA26" s="262">
        <f t="shared" si="19"/>
        <v>19776000</v>
      </c>
      <c r="AB26" s="431">
        <f t="shared" si="20"/>
        <v>8</v>
      </c>
      <c r="AC26" s="431">
        <f t="array" ref="AC26">MAX((IF(MNU_CODIGO_ALIMENTO_ENTREGA=CONCATENATE($E26,"_","P_"),MNU_GRAMAJE_REQUERIDO_TIPOC,"")))</f>
        <v>100</v>
      </c>
      <c r="AD26" s="259">
        <f t="shared" si="21"/>
        <v>8404</v>
      </c>
      <c r="AE26" s="259">
        <f t="shared" si="22"/>
        <v>67232</v>
      </c>
      <c r="AF26" s="452">
        <f t="shared" si="23"/>
        <v>286</v>
      </c>
      <c r="AG26" s="452">
        <f t="shared" si="24"/>
        <v>13.956800000000001</v>
      </c>
      <c r="AH26" s="452">
        <f t="shared" si="25"/>
        <v>0.24596457599999999</v>
      </c>
      <c r="AI26" s="452">
        <f t="shared" si="26"/>
        <v>300</v>
      </c>
      <c r="AJ26" s="260">
        <f t="shared" si="27"/>
        <v>19228352</v>
      </c>
      <c r="AK26" s="260">
        <f t="shared" si="28"/>
        <v>20169600</v>
      </c>
      <c r="AL26" s="432">
        <f t="shared" si="29"/>
        <v>8</v>
      </c>
      <c r="AM26" s="432">
        <f t="array" ref="AM26">MAX((IF(MNU_CODIGO_ALIMENTO_ENTREGA=CONCATENATE($E26,"_","P_"),MNU_GRAMAJE_REQUERIDO_TIPOM,"")))</f>
        <v>100</v>
      </c>
      <c r="AN26" s="261">
        <f t="shared" si="30"/>
        <v>384</v>
      </c>
      <c r="AO26" s="261">
        <f t="shared" si="31"/>
        <v>3072</v>
      </c>
      <c r="AP26" s="452">
        <f t="shared" si="32"/>
        <v>286</v>
      </c>
      <c r="AQ26" s="452">
        <f t="shared" si="33"/>
        <v>13.956800000000001</v>
      </c>
      <c r="AR26" s="452">
        <f t="shared" si="34"/>
        <v>0.24596457599999999</v>
      </c>
      <c r="AS26" s="452">
        <f t="shared" si="35"/>
        <v>300</v>
      </c>
      <c r="AT26" s="262">
        <f t="shared" si="36"/>
        <v>878592</v>
      </c>
      <c r="AU26" s="262">
        <f t="shared" si="37"/>
        <v>921600</v>
      </c>
      <c r="AV26" s="431">
        <f t="shared" si="38"/>
        <v>8</v>
      </c>
      <c r="AW26" s="431">
        <f t="array" ref="AW26">MAX((IF(MNU_CODIGO_ALIMENTO_ENTREGA=CONCATENATE($E26,"_","P_"),MNU_GRAMAJE_REQUERIDO_TIPOH,"")))</f>
        <v>100</v>
      </c>
      <c r="AX26" s="259">
        <f t="shared" si="39"/>
        <v>395</v>
      </c>
      <c r="AY26" s="259">
        <f t="shared" si="40"/>
        <v>3160</v>
      </c>
      <c r="AZ26" s="452">
        <f t="shared" si="41"/>
        <v>286</v>
      </c>
      <c r="BA26" s="452">
        <f t="shared" si="42"/>
        <v>13.956800000000001</v>
      </c>
      <c r="BB26" s="452">
        <f t="shared" si="43"/>
        <v>0.24596457599999999</v>
      </c>
      <c r="BC26" s="452">
        <f t="shared" si="44"/>
        <v>300</v>
      </c>
      <c r="BD26" s="260">
        <f t="shared" si="45"/>
        <v>903760</v>
      </c>
      <c r="BE26" s="260">
        <f t="shared" si="46"/>
        <v>948000</v>
      </c>
      <c r="BF26" s="397">
        <f t="shared" si="47"/>
        <v>39863824</v>
      </c>
      <c r="BG26" s="397">
        <f t="shared" si="48"/>
        <v>41815200</v>
      </c>
    </row>
    <row r="27" spans="1:59" ht="15.75">
      <c r="A27" s="338">
        <v>1</v>
      </c>
      <c r="B27" s="338" t="str">
        <f t="shared" si="0"/>
        <v>FRUTA_1</v>
      </c>
      <c r="C27" s="338" t="str">
        <f t="shared" si="1"/>
        <v>69_1</v>
      </c>
      <c r="D27" s="338" t="s">
        <v>1</v>
      </c>
      <c r="E27" s="258">
        <v>69</v>
      </c>
      <c r="F27" s="328" t="s">
        <v>70</v>
      </c>
      <c r="G27" s="258" t="s">
        <v>9</v>
      </c>
      <c r="H27" s="431">
        <f t="shared" si="2"/>
        <v>30</v>
      </c>
      <c r="I27" s="431">
        <f t="array" ref="I27">MAX((IF(MNU_CODIGO_ALIMENTO_ENTREGA=CONCATENATE($E27,"_","P_"),MNU_GRAMAJE_REQUERIDO_TIPOA,"")))</f>
        <v>100</v>
      </c>
      <c r="J27" s="259">
        <f t="shared" si="3"/>
        <v>5932</v>
      </c>
      <c r="K27" s="259">
        <f t="shared" si="4"/>
        <v>177960</v>
      </c>
      <c r="L27" s="452">
        <f t="shared" si="5"/>
        <v>305</v>
      </c>
      <c r="M27" s="452">
        <f t="shared" si="6"/>
        <v>14.884</v>
      </c>
      <c r="N27" s="452">
        <f t="shared" si="7"/>
        <v>0.26230488000000002</v>
      </c>
      <c r="O27" s="452">
        <f t="shared" si="8"/>
        <v>320</v>
      </c>
      <c r="P27" s="260">
        <f t="shared" si="9"/>
        <v>54277800</v>
      </c>
      <c r="Q27" s="260">
        <f t="shared" si="10"/>
        <v>56947200</v>
      </c>
      <c r="R27" s="432">
        <f t="shared" si="11"/>
        <v>16</v>
      </c>
      <c r="S27" s="432">
        <f t="array" ref="S27">MAX((IF(MNU_CODIGO_ALIMENTO_ENTREGA=CONCATENATE($E27,"_","P_"),MNU_GRAMAJE_REQUERIDO_TIPOB,"")))</f>
        <v>100</v>
      </c>
      <c r="T27" s="261">
        <f t="shared" si="12"/>
        <v>8240</v>
      </c>
      <c r="U27" s="261">
        <f t="shared" si="13"/>
        <v>131840</v>
      </c>
      <c r="V27" s="452">
        <f t="shared" si="14"/>
        <v>305</v>
      </c>
      <c r="W27" s="452">
        <f t="shared" si="15"/>
        <v>14.884</v>
      </c>
      <c r="X27" s="452">
        <f t="shared" si="16"/>
        <v>0.26230488000000002</v>
      </c>
      <c r="Y27" s="452">
        <f t="shared" si="17"/>
        <v>320</v>
      </c>
      <c r="Z27" s="262">
        <f t="shared" si="18"/>
        <v>40211200</v>
      </c>
      <c r="AA27" s="262">
        <f t="shared" si="19"/>
        <v>42188800</v>
      </c>
      <c r="AB27" s="431">
        <f t="shared" si="20"/>
        <v>16</v>
      </c>
      <c r="AC27" s="431">
        <f t="array" ref="AC27">MAX((IF(MNU_CODIGO_ALIMENTO_ENTREGA=CONCATENATE($E27,"_","P_"),MNU_GRAMAJE_REQUERIDO_TIPOC,"")))</f>
        <v>100</v>
      </c>
      <c r="AD27" s="259">
        <f t="shared" si="21"/>
        <v>8404</v>
      </c>
      <c r="AE27" s="259">
        <f t="shared" si="22"/>
        <v>134464</v>
      </c>
      <c r="AF27" s="452">
        <f t="shared" si="23"/>
        <v>305</v>
      </c>
      <c r="AG27" s="452">
        <f t="shared" si="24"/>
        <v>14.884</v>
      </c>
      <c r="AH27" s="452">
        <f t="shared" si="25"/>
        <v>0.26230488000000002</v>
      </c>
      <c r="AI27" s="452">
        <f t="shared" si="26"/>
        <v>320</v>
      </c>
      <c r="AJ27" s="260">
        <f t="shared" si="27"/>
        <v>41011520</v>
      </c>
      <c r="AK27" s="260">
        <f t="shared" si="28"/>
        <v>43028480</v>
      </c>
      <c r="AL27" s="432">
        <f t="shared" si="29"/>
        <v>16</v>
      </c>
      <c r="AM27" s="432">
        <f t="array" ref="AM27">MAX((IF(MNU_CODIGO_ALIMENTO_ENTREGA=CONCATENATE($E27,"_","P_"),MNU_GRAMAJE_REQUERIDO_TIPOM,"")))</f>
        <v>100</v>
      </c>
      <c r="AN27" s="261">
        <f t="shared" si="30"/>
        <v>384</v>
      </c>
      <c r="AO27" s="261">
        <f t="shared" si="31"/>
        <v>6144</v>
      </c>
      <c r="AP27" s="452">
        <f t="shared" si="32"/>
        <v>305</v>
      </c>
      <c r="AQ27" s="452">
        <f t="shared" si="33"/>
        <v>14.884</v>
      </c>
      <c r="AR27" s="452">
        <f t="shared" si="34"/>
        <v>0.26230488000000002</v>
      </c>
      <c r="AS27" s="452">
        <f t="shared" si="35"/>
        <v>320</v>
      </c>
      <c r="AT27" s="262">
        <f t="shared" si="36"/>
        <v>1873920</v>
      </c>
      <c r="AU27" s="262">
        <f t="shared" si="37"/>
        <v>1966080</v>
      </c>
      <c r="AV27" s="431">
        <f t="shared" si="38"/>
        <v>16</v>
      </c>
      <c r="AW27" s="431">
        <f t="array" ref="AW27">MAX((IF(MNU_CODIGO_ALIMENTO_ENTREGA=CONCATENATE($E27,"_","P_"),MNU_GRAMAJE_REQUERIDO_TIPOH,"")))</f>
        <v>100</v>
      </c>
      <c r="AX27" s="259">
        <f t="shared" si="39"/>
        <v>395</v>
      </c>
      <c r="AY27" s="259">
        <f t="shared" si="40"/>
        <v>6320</v>
      </c>
      <c r="AZ27" s="452">
        <f t="shared" si="41"/>
        <v>305</v>
      </c>
      <c r="BA27" s="452">
        <f t="shared" si="42"/>
        <v>14.884</v>
      </c>
      <c r="BB27" s="452">
        <f t="shared" si="43"/>
        <v>0.26230488000000002</v>
      </c>
      <c r="BC27" s="452">
        <f t="shared" si="44"/>
        <v>320</v>
      </c>
      <c r="BD27" s="260">
        <f t="shared" si="45"/>
        <v>1927600</v>
      </c>
      <c r="BE27" s="260">
        <f t="shared" si="46"/>
        <v>2022400</v>
      </c>
      <c r="BF27" s="397">
        <f t="shared" si="47"/>
        <v>139302040</v>
      </c>
      <c r="BG27" s="397">
        <f t="shared" si="48"/>
        <v>146152960</v>
      </c>
    </row>
    <row r="28" spans="1:59" ht="15.75">
      <c r="A28" s="338">
        <v>1</v>
      </c>
      <c r="B28" s="338" t="str">
        <f t="shared" si="0"/>
        <v>FRUTA_1</v>
      </c>
      <c r="C28" s="338" t="str">
        <f t="shared" si="1"/>
        <v>70_1</v>
      </c>
      <c r="D28" s="338" t="s">
        <v>1</v>
      </c>
      <c r="E28" s="258">
        <v>70</v>
      </c>
      <c r="F28" s="328" t="s">
        <v>71</v>
      </c>
      <c r="G28" s="258" t="s">
        <v>9</v>
      </c>
      <c r="H28" s="431">
        <f t="shared" si="2"/>
        <v>0</v>
      </c>
      <c r="I28" s="431">
        <f t="array" ref="I28">MAX((IF(MNU_CODIGO_ALIMENTO_ENTREGA=CONCATENATE($E28,"_","P_"),MNU_GRAMAJE_REQUERIDO_TIPOA,"")))</f>
        <v>0</v>
      </c>
      <c r="J28" s="259">
        <f t="shared" si="3"/>
        <v>5932</v>
      </c>
      <c r="K28" s="259">
        <f t="shared" si="4"/>
        <v>0</v>
      </c>
      <c r="L28" s="452">
        <f t="shared" si="5"/>
        <v>0</v>
      </c>
      <c r="M28" s="452">
        <f t="shared" si="6"/>
        <v>0</v>
      </c>
      <c r="N28" s="452">
        <f t="shared" si="7"/>
        <v>0</v>
      </c>
      <c r="O28" s="452">
        <f t="shared" si="8"/>
        <v>0</v>
      </c>
      <c r="P28" s="260">
        <f t="shared" si="9"/>
        <v>0</v>
      </c>
      <c r="Q28" s="260">
        <f t="shared" si="10"/>
        <v>0</v>
      </c>
      <c r="R28" s="432">
        <f t="shared" si="11"/>
        <v>10</v>
      </c>
      <c r="S28" s="432">
        <f t="array" ref="S28">MAX((IF(MNU_CODIGO_ALIMENTO_ENTREGA=CONCATENATE($E28,"_","P_"),MNU_GRAMAJE_REQUERIDO_TIPOB,"")))</f>
        <v>100</v>
      </c>
      <c r="T28" s="261">
        <f t="shared" si="12"/>
        <v>8240</v>
      </c>
      <c r="U28" s="261">
        <f t="shared" si="13"/>
        <v>82400</v>
      </c>
      <c r="V28" s="452">
        <f t="shared" si="14"/>
        <v>434</v>
      </c>
      <c r="W28" s="452">
        <f t="shared" si="15"/>
        <v>21.179200000000002</v>
      </c>
      <c r="X28" s="452">
        <f t="shared" si="16"/>
        <v>0.37324694399999997</v>
      </c>
      <c r="Y28" s="452">
        <f t="shared" si="17"/>
        <v>456</v>
      </c>
      <c r="Z28" s="262">
        <f t="shared" si="18"/>
        <v>35761600</v>
      </c>
      <c r="AA28" s="262">
        <f t="shared" si="19"/>
        <v>37574400</v>
      </c>
      <c r="AB28" s="431">
        <f t="shared" si="20"/>
        <v>10</v>
      </c>
      <c r="AC28" s="431">
        <f t="array" ref="AC28">MAX((IF(MNU_CODIGO_ALIMENTO_ENTREGA=CONCATENATE($E28,"_","P_"),MNU_GRAMAJE_REQUERIDO_TIPOC,"")))</f>
        <v>100</v>
      </c>
      <c r="AD28" s="259">
        <f t="shared" si="21"/>
        <v>8404</v>
      </c>
      <c r="AE28" s="259">
        <f t="shared" si="22"/>
        <v>84040</v>
      </c>
      <c r="AF28" s="452">
        <f t="shared" si="23"/>
        <v>434</v>
      </c>
      <c r="AG28" s="452">
        <f t="shared" si="24"/>
        <v>21.179200000000002</v>
      </c>
      <c r="AH28" s="452">
        <f t="shared" si="25"/>
        <v>0.37324694399999997</v>
      </c>
      <c r="AI28" s="452">
        <f t="shared" si="26"/>
        <v>456</v>
      </c>
      <c r="AJ28" s="260">
        <f t="shared" si="27"/>
        <v>36473360</v>
      </c>
      <c r="AK28" s="260">
        <f t="shared" si="28"/>
        <v>38322240</v>
      </c>
      <c r="AL28" s="432">
        <f t="shared" si="29"/>
        <v>10</v>
      </c>
      <c r="AM28" s="432">
        <f t="array" ref="AM28">MAX((IF(MNU_CODIGO_ALIMENTO_ENTREGA=CONCATENATE($E28,"_","P_"),MNU_GRAMAJE_REQUERIDO_TIPOM,"")))</f>
        <v>100</v>
      </c>
      <c r="AN28" s="261">
        <f t="shared" si="30"/>
        <v>384</v>
      </c>
      <c r="AO28" s="261">
        <f t="shared" si="31"/>
        <v>3840</v>
      </c>
      <c r="AP28" s="452">
        <f t="shared" si="32"/>
        <v>434</v>
      </c>
      <c r="AQ28" s="452">
        <f t="shared" si="33"/>
        <v>21.179200000000002</v>
      </c>
      <c r="AR28" s="452">
        <f t="shared" si="34"/>
        <v>0.37324694399999997</v>
      </c>
      <c r="AS28" s="452">
        <f t="shared" si="35"/>
        <v>456</v>
      </c>
      <c r="AT28" s="262">
        <f t="shared" si="36"/>
        <v>1666560</v>
      </c>
      <c r="AU28" s="262">
        <f t="shared" si="37"/>
        <v>1751040</v>
      </c>
      <c r="AV28" s="431">
        <f t="shared" si="38"/>
        <v>10</v>
      </c>
      <c r="AW28" s="431">
        <f t="array" ref="AW28">MAX((IF(MNU_CODIGO_ALIMENTO_ENTREGA=CONCATENATE($E28,"_","P_"),MNU_GRAMAJE_REQUERIDO_TIPOH,"")))</f>
        <v>100</v>
      </c>
      <c r="AX28" s="259">
        <f t="shared" si="39"/>
        <v>395</v>
      </c>
      <c r="AY28" s="259">
        <f t="shared" si="40"/>
        <v>3950</v>
      </c>
      <c r="AZ28" s="452">
        <f t="shared" si="41"/>
        <v>434</v>
      </c>
      <c r="BA28" s="452">
        <f t="shared" si="42"/>
        <v>21.179200000000002</v>
      </c>
      <c r="BB28" s="452">
        <f t="shared" si="43"/>
        <v>0.37324694399999997</v>
      </c>
      <c r="BC28" s="452">
        <f t="shared" si="44"/>
        <v>456</v>
      </c>
      <c r="BD28" s="260">
        <f t="shared" si="45"/>
        <v>1714300</v>
      </c>
      <c r="BE28" s="260">
        <f t="shared" si="46"/>
        <v>1801200</v>
      </c>
      <c r="BF28" s="397">
        <f t="shared" si="47"/>
        <v>75615820</v>
      </c>
      <c r="BG28" s="397">
        <f t="shared" si="48"/>
        <v>79448880</v>
      </c>
    </row>
    <row r="29" spans="1:59" ht="15.75">
      <c r="A29" s="338">
        <v>2</v>
      </c>
      <c r="B29" s="338" t="str">
        <f t="shared" si="0"/>
        <v>FRUTA_2</v>
      </c>
      <c r="C29" s="338" t="str">
        <f t="shared" si="1"/>
        <v>7_2</v>
      </c>
      <c r="D29" s="338" t="s">
        <v>1</v>
      </c>
      <c r="E29" s="258">
        <v>7</v>
      </c>
      <c r="F29" s="328" t="s">
        <v>57</v>
      </c>
      <c r="G29" s="258" t="s">
        <v>9</v>
      </c>
      <c r="H29" s="431">
        <f t="shared" si="2"/>
        <v>22</v>
      </c>
      <c r="I29" s="431">
        <f t="array" ref="I29">MAX((IF(MNU_CODIGO_ALIMENTO_ENTREGA=CONCATENATE($E29,"_","P_"),MNU_GRAMAJE_REQUERIDO_TIPOA,"")))</f>
        <v>100</v>
      </c>
      <c r="J29" s="259">
        <f t="shared" si="3"/>
        <v>5880</v>
      </c>
      <c r="K29" s="259">
        <f t="shared" si="4"/>
        <v>129360</v>
      </c>
      <c r="L29" s="452">
        <f t="shared" si="5"/>
        <v>107</v>
      </c>
      <c r="M29" s="452">
        <f t="shared" si="6"/>
        <v>5.2216000000000005</v>
      </c>
      <c r="N29" s="452">
        <f t="shared" si="7"/>
        <v>9.2021712000000006E-2</v>
      </c>
      <c r="O29" s="452">
        <f t="shared" si="8"/>
        <v>112</v>
      </c>
      <c r="P29" s="260">
        <f t="shared" si="9"/>
        <v>13841520</v>
      </c>
      <c r="Q29" s="260">
        <f t="shared" si="10"/>
        <v>14488320</v>
      </c>
      <c r="R29" s="432">
        <f t="shared" si="11"/>
        <v>9</v>
      </c>
      <c r="S29" s="432">
        <f t="array" ref="S29">MAX((IF(MNU_CODIGO_ALIMENTO_ENTREGA=CONCATENATE($E29,"_","P_"),MNU_GRAMAJE_REQUERIDO_TIPOB,"")))</f>
        <v>100</v>
      </c>
      <c r="T29" s="261">
        <f t="shared" si="12"/>
        <v>7991</v>
      </c>
      <c r="U29" s="261">
        <f t="shared" si="13"/>
        <v>71919</v>
      </c>
      <c r="V29" s="452">
        <f t="shared" si="14"/>
        <v>107</v>
      </c>
      <c r="W29" s="452">
        <f t="shared" si="15"/>
        <v>5.2216000000000005</v>
      </c>
      <c r="X29" s="452">
        <f t="shared" si="16"/>
        <v>9.2021712000000006E-2</v>
      </c>
      <c r="Y29" s="452">
        <f t="shared" si="17"/>
        <v>112</v>
      </c>
      <c r="Z29" s="262">
        <f t="shared" si="18"/>
        <v>7695333</v>
      </c>
      <c r="AA29" s="262">
        <f t="shared" si="19"/>
        <v>8054928</v>
      </c>
      <c r="AB29" s="431">
        <f t="shared" si="20"/>
        <v>9</v>
      </c>
      <c r="AC29" s="431">
        <f t="array" ref="AC29">MAX((IF(MNU_CODIGO_ALIMENTO_ENTREGA=CONCATENATE($E29,"_","P_"),MNU_GRAMAJE_REQUERIDO_TIPOC,"")))</f>
        <v>100</v>
      </c>
      <c r="AD29" s="259">
        <f t="shared" si="21"/>
        <v>8100</v>
      </c>
      <c r="AE29" s="259">
        <f t="shared" si="22"/>
        <v>72900</v>
      </c>
      <c r="AF29" s="452">
        <f t="shared" si="23"/>
        <v>107</v>
      </c>
      <c r="AG29" s="452">
        <f t="shared" si="24"/>
        <v>5.2216000000000005</v>
      </c>
      <c r="AH29" s="452">
        <f t="shared" si="25"/>
        <v>9.2021712000000006E-2</v>
      </c>
      <c r="AI29" s="452">
        <f t="shared" si="26"/>
        <v>112</v>
      </c>
      <c r="AJ29" s="260">
        <f t="shared" si="27"/>
        <v>7800300</v>
      </c>
      <c r="AK29" s="260">
        <f t="shared" si="28"/>
        <v>8164800</v>
      </c>
      <c r="AL29" s="432">
        <f t="shared" si="29"/>
        <v>9</v>
      </c>
      <c r="AM29" s="432">
        <f t="array" ref="AM29">MAX((IF(MNU_CODIGO_ALIMENTO_ENTREGA=CONCATENATE($E29,"_","P_"),MNU_GRAMAJE_REQUERIDO_TIPOM,"")))</f>
        <v>100</v>
      </c>
      <c r="AN29" s="261">
        <f t="shared" si="30"/>
        <v>350</v>
      </c>
      <c r="AO29" s="261">
        <f t="shared" si="31"/>
        <v>3150</v>
      </c>
      <c r="AP29" s="452">
        <f t="shared" si="32"/>
        <v>107</v>
      </c>
      <c r="AQ29" s="452">
        <f t="shared" si="33"/>
        <v>5.2216000000000005</v>
      </c>
      <c r="AR29" s="452">
        <f t="shared" si="34"/>
        <v>9.2021712000000006E-2</v>
      </c>
      <c r="AS29" s="452">
        <f t="shared" si="35"/>
        <v>112</v>
      </c>
      <c r="AT29" s="262">
        <f t="shared" si="36"/>
        <v>337050</v>
      </c>
      <c r="AU29" s="262">
        <f t="shared" si="37"/>
        <v>352800</v>
      </c>
      <c r="AV29" s="431">
        <f t="shared" si="38"/>
        <v>9</v>
      </c>
      <c r="AW29" s="431">
        <f t="array" ref="AW29">MAX((IF(MNU_CODIGO_ALIMENTO_ENTREGA=CONCATENATE($E29,"_","P_"),MNU_GRAMAJE_REQUERIDO_TIPOH,"")))</f>
        <v>100</v>
      </c>
      <c r="AX29" s="259">
        <f t="shared" si="39"/>
        <v>291</v>
      </c>
      <c r="AY29" s="259">
        <f t="shared" si="40"/>
        <v>2619</v>
      </c>
      <c r="AZ29" s="452">
        <f t="shared" si="41"/>
        <v>107</v>
      </c>
      <c r="BA29" s="452">
        <f t="shared" si="42"/>
        <v>5.2216000000000005</v>
      </c>
      <c r="BB29" s="452">
        <f t="shared" si="43"/>
        <v>9.2021712000000006E-2</v>
      </c>
      <c r="BC29" s="452">
        <f t="shared" si="44"/>
        <v>112</v>
      </c>
      <c r="BD29" s="260">
        <f t="shared" si="45"/>
        <v>280233</v>
      </c>
      <c r="BE29" s="260">
        <f t="shared" si="46"/>
        <v>293328</v>
      </c>
      <c r="BF29" s="397">
        <f t="shared" si="47"/>
        <v>29954436</v>
      </c>
      <c r="BG29" s="397">
        <f t="shared" si="48"/>
        <v>31354176</v>
      </c>
    </row>
    <row r="30" spans="1:59" ht="15.75">
      <c r="A30" s="338">
        <v>2</v>
      </c>
      <c r="B30" s="338" t="str">
        <f t="shared" si="0"/>
        <v>FRUTA_2</v>
      </c>
      <c r="C30" s="338" t="str">
        <f t="shared" si="1"/>
        <v>8_2</v>
      </c>
      <c r="D30" s="338" t="s">
        <v>1</v>
      </c>
      <c r="E30" s="258">
        <v>8</v>
      </c>
      <c r="F30" s="328" t="s">
        <v>55</v>
      </c>
      <c r="G30" s="258" t="s">
        <v>9</v>
      </c>
      <c r="H30" s="431">
        <f t="shared" si="2"/>
        <v>10</v>
      </c>
      <c r="I30" s="431">
        <f t="array" ref="I30">MAX((IF(MNU_CODIGO_ALIMENTO_ENTREGA=CONCATENATE($E30,"_","P_"),MNU_GRAMAJE_REQUERIDO_TIPOA,"")))</f>
        <v>100</v>
      </c>
      <c r="J30" s="259">
        <f t="shared" si="3"/>
        <v>5880</v>
      </c>
      <c r="K30" s="259">
        <f t="shared" si="4"/>
        <v>58800</v>
      </c>
      <c r="L30" s="452">
        <f t="shared" si="5"/>
        <v>134</v>
      </c>
      <c r="M30" s="452">
        <f t="shared" si="6"/>
        <v>6.539200000000001</v>
      </c>
      <c r="N30" s="452">
        <f t="shared" si="7"/>
        <v>0.115242144</v>
      </c>
      <c r="O30" s="452">
        <f t="shared" si="8"/>
        <v>141</v>
      </c>
      <c r="P30" s="260">
        <f t="shared" si="9"/>
        <v>7879200</v>
      </c>
      <c r="Q30" s="260">
        <f t="shared" si="10"/>
        <v>8290800</v>
      </c>
      <c r="R30" s="432">
        <f t="shared" si="11"/>
        <v>8</v>
      </c>
      <c r="S30" s="432">
        <f t="array" ref="S30">MAX((IF(MNU_CODIGO_ALIMENTO_ENTREGA=CONCATENATE($E30,"_","P_"),MNU_GRAMAJE_REQUERIDO_TIPOB,"")))</f>
        <v>100</v>
      </c>
      <c r="T30" s="261">
        <f t="shared" si="12"/>
        <v>7991</v>
      </c>
      <c r="U30" s="261">
        <f t="shared" si="13"/>
        <v>63928</v>
      </c>
      <c r="V30" s="452">
        <f t="shared" si="14"/>
        <v>134</v>
      </c>
      <c r="W30" s="452">
        <f t="shared" si="15"/>
        <v>6.539200000000001</v>
      </c>
      <c r="X30" s="452">
        <f t="shared" si="16"/>
        <v>0.115242144</v>
      </c>
      <c r="Y30" s="452">
        <f t="shared" si="17"/>
        <v>141</v>
      </c>
      <c r="Z30" s="262">
        <f t="shared" si="18"/>
        <v>8566352</v>
      </c>
      <c r="AA30" s="262">
        <f t="shared" si="19"/>
        <v>9013848</v>
      </c>
      <c r="AB30" s="431">
        <f t="shared" si="20"/>
        <v>8</v>
      </c>
      <c r="AC30" s="431">
        <f t="array" ref="AC30">MAX((IF(MNU_CODIGO_ALIMENTO_ENTREGA=CONCATENATE($E30,"_","P_"),MNU_GRAMAJE_REQUERIDO_TIPOC,"")))</f>
        <v>100</v>
      </c>
      <c r="AD30" s="259">
        <f t="shared" si="21"/>
        <v>8100</v>
      </c>
      <c r="AE30" s="259">
        <f t="shared" si="22"/>
        <v>64800</v>
      </c>
      <c r="AF30" s="452">
        <f t="shared" si="23"/>
        <v>134</v>
      </c>
      <c r="AG30" s="452">
        <f t="shared" si="24"/>
        <v>6.539200000000001</v>
      </c>
      <c r="AH30" s="452">
        <f t="shared" si="25"/>
        <v>0.115242144</v>
      </c>
      <c r="AI30" s="452">
        <f t="shared" si="26"/>
        <v>141</v>
      </c>
      <c r="AJ30" s="260">
        <f t="shared" si="27"/>
        <v>8683200</v>
      </c>
      <c r="AK30" s="260">
        <f t="shared" si="28"/>
        <v>9136800</v>
      </c>
      <c r="AL30" s="432">
        <f t="shared" si="29"/>
        <v>8</v>
      </c>
      <c r="AM30" s="432">
        <f t="array" ref="AM30">MAX((IF(MNU_CODIGO_ALIMENTO_ENTREGA=CONCATENATE($E30,"_","P_"),MNU_GRAMAJE_REQUERIDO_TIPOM,"")))</f>
        <v>100</v>
      </c>
      <c r="AN30" s="261">
        <f t="shared" si="30"/>
        <v>350</v>
      </c>
      <c r="AO30" s="261">
        <f t="shared" si="31"/>
        <v>2800</v>
      </c>
      <c r="AP30" s="452">
        <f t="shared" si="32"/>
        <v>134</v>
      </c>
      <c r="AQ30" s="452">
        <f t="shared" si="33"/>
        <v>6.539200000000001</v>
      </c>
      <c r="AR30" s="452">
        <f t="shared" si="34"/>
        <v>0.115242144</v>
      </c>
      <c r="AS30" s="452">
        <f t="shared" si="35"/>
        <v>141</v>
      </c>
      <c r="AT30" s="262">
        <f t="shared" si="36"/>
        <v>375200</v>
      </c>
      <c r="AU30" s="262">
        <f t="shared" si="37"/>
        <v>394800</v>
      </c>
      <c r="AV30" s="431">
        <f t="shared" si="38"/>
        <v>8</v>
      </c>
      <c r="AW30" s="431">
        <f t="array" ref="AW30">MAX((IF(MNU_CODIGO_ALIMENTO_ENTREGA=CONCATENATE($E30,"_","P_"),MNU_GRAMAJE_REQUERIDO_TIPOH,"")))</f>
        <v>100</v>
      </c>
      <c r="AX30" s="259">
        <f t="shared" si="39"/>
        <v>291</v>
      </c>
      <c r="AY30" s="259">
        <f t="shared" si="40"/>
        <v>2328</v>
      </c>
      <c r="AZ30" s="452">
        <f t="shared" si="41"/>
        <v>134</v>
      </c>
      <c r="BA30" s="452">
        <f t="shared" si="42"/>
        <v>6.539200000000001</v>
      </c>
      <c r="BB30" s="452">
        <f t="shared" si="43"/>
        <v>0.115242144</v>
      </c>
      <c r="BC30" s="452">
        <f t="shared" si="44"/>
        <v>141</v>
      </c>
      <c r="BD30" s="260">
        <f t="shared" si="45"/>
        <v>311952</v>
      </c>
      <c r="BE30" s="260">
        <f t="shared" si="46"/>
        <v>328248</v>
      </c>
      <c r="BF30" s="397">
        <f t="shared" si="47"/>
        <v>25815904</v>
      </c>
      <c r="BG30" s="397">
        <f t="shared" si="48"/>
        <v>27164496</v>
      </c>
    </row>
    <row r="31" spans="1:59" ht="15.75">
      <c r="A31" s="338">
        <v>2</v>
      </c>
      <c r="B31" s="338" t="str">
        <f t="shared" si="0"/>
        <v>FRUTA_2</v>
      </c>
      <c r="C31" s="338" t="str">
        <f t="shared" si="1"/>
        <v>17_2</v>
      </c>
      <c r="D31" s="338" t="s">
        <v>1</v>
      </c>
      <c r="E31" s="258">
        <v>17</v>
      </c>
      <c r="F31" s="328" t="s">
        <v>53</v>
      </c>
      <c r="G31" s="258" t="s">
        <v>9</v>
      </c>
      <c r="H31" s="431">
        <f t="shared" si="2"/>
        <v>0</v>
      </c>
      <c r="I31" s="431">
        <f t="array" ref="I31">MAX((IF(MNU_CODIGO_ALIMENTO_ENTREGA=CONCATENATE($E31,"_","P_"),MNU_GRAMAJE_REQUERIDO_TIPOA,"")))</f>
        <v>0</v>
      </c>
      <c r="J31" s="259">
        <f t="shared" si="3"/>
        <v>5880</v>
      </c>
      <c r="K31" s="259">
        <f t="shared" si="4"/>
        <v>0</v>
      </c>
      <c r="L31" s="452">
        <f t="shared" si="5"/>
        <v>0</v>
      </c>
      <c r="M31" s="452">
        <f t="shared" si="6"/>
        <v>0</v>
      </c>
      <c r="N31" s="452">
        <f t="shared" si="7"/>
        <v>0</v>
      </c>
      <c r="O31" s="452">
        <f t="shared" si="8"/>
        <v>0</v>
      </c>
      <c r="P31" s="260">
        <f t="shared" si="9"/>
        <v>0</v>
      </c>
      <c r="Q31" s="260">
        <f t="shared" si="10"/>
        <v>0</v>
      </c>
      <c r="R31" s="432">
        <f t="shared" si="11"/>
        <v>21</v>
      </c>
      <c r="S31" s="432">
        <f t="array" ref="S31">MAX((IF(MNU_CODIGO_ALIMENTO_ENTREGA=CONCATENATE($E31,"_","P_"),MNU_GRAMAJE_REQUERIDO_TIPOB,"")))</f>
        <v>100</v>
      </c>
      <c r="T31" s="261">
        <f t="shared" si="12"/>
        <v>7991</v>
      </c>
      <c r="U31" s="261">
        <f t="shared" si="13"/>
        <v>167811</v>
      </c>
      <c r="V31" s="452">
        <f t="shared" si="14"/>
        <v>226</v>
      </c>
      <c r="W31" s="452">
        <f t="shared" si="15"/>
        <v>11.0288</v>
      </c>
      <c r="X31" s="452">
        <f t="shared" si="16"/>
        <v>0.19436361600000002</v>
      </c>
      <c r="Y31" s="452">
        <f t="shared" si="17"/>
        <v>237</v>
      </c>
      <c r="Z31" s="262">
        <f t="shared" si="18"/>
        <v>37925286</v>
      </c>
      <c r="AA31" s="262">
        <f t="shared" si="19"/>
        <v>39771207</v>
      </c>
      <c r="AB31" s="431">
        <f t="shared" si="20"/>
        <v>21</v>
      </c>
      <c r="AC31" s="431">
        <f t="array" ref="AC31">MAX((IF(MNU_CODIGO_ALIMENTO_ENTREGA=CONCATENATE($E31,"_","P_"),MNU_GRAMAJE_REQUERIDO_TIPOC,"")))</f>
        <v>100</v>
      </c>
      <c r="AD31" s="259">
        <f t="shared" si="21"/>
        <v>8100</v>
      </c>
      <c r="AE31" s="259">
        <f t="shared" si="22"/>
        <v>170100</v>
      </c>
      <c r="AF31" s="452">
        <f t="shared" si="23"/>
        <v>226</v>
      </c>
      <c r="AG31" s="452">
        <f t="shared" si="24"/>
        <v>11.0288</v>
      </c>
      <c r="AH31" s="452">
        <f t="shared" si="25"/>
        <v>0.19436361600000002</v>
      </c>
      <c r="AI31" s="452">
        <f t="shared" si="26"/>
        <v>237</v>
      </c>
      <c r="AJ31" s="260">
        <f t="shared" si="27"/>
        <v>38442600</v>
      </c>
      <c r="AK31" s="260">
        <f t="shared" si="28"/>
        <v>40313700</v>
      </c>
      <c r="AL31" s="432">
        <f t="shared" si="29"/>
        <v>21</v>
      </c>
      <c r="AM31" s="432">
        <f t="array" ref="AM31">MAX((IF(MNU_CODIGO_ALIMENTO_ENTREGA=CONCATENATE($E31,"_","P_"),MNU_GRAMAJE_REQUERIDO_TIPOM,"")))</f>
        <v>100</v>
      </c>
      <c r="AN31" s="261">
        <f t="shared" si="30"/>
        <v>350</v>
      </c>
      <c r="AO31" s="261">
        <f t="shared" si="31"/>
        <v>7350</v>
      </c>
      <c r="AP31" s="452">
        <f t="shared" si="32"/>
        <v>226</v>
      </c>
      <c r="AQ31" s="452">
        <f t="shared" si="33"/>
        <v>11.0288</v>
      </c>
      <c r="AR31" s="452">
        <f t="shared" si="34"/>
        <v>0.19436361600000002</v>
      </c>
      <c r="AS31" s="452">
        <f t="shared" si="35"/>
        <v>237</v>
      </c>
      <c r="AT31" s="262">
        <f t="shared" si="36"/>
        <v>1661100</v>
      </c>
      <c r="AU31" s="262">
        <f t="shared" si="37"/>
        <v>1741950</v>
      </c>
      <c r="AV31" s="431">
        <f t="shared" si="38"/>
        <v>21</v>
      </c>
      <c r="AW31" s="431">
        <f t="array" ref="AW31">MAX((IF(MNU_CODIGO_ALIMENTO_ENTREGA=CONCATENATE($E31,"_","P_"),MNU_GRAMAJE_REQUERIDO_TIPOH,"")))</f>
        <v>100</v>
      </c>
      <c r="AX31" s="259">
        <f t="shared" si="39"/>
        <v>291</v>
      </c>
      <c r="AY31" s="259">
        <f t="shared" si="40"/>
        <v>6111</v>
      </c>
      <c r="AZ31" s="452">
        <f t="shared" si="41"/>
        <v>226</v>
      </c>
      <c r="BA31" s="452">
        <f t="shared" si="42"/>
        <v>11.0288</v>
      </c>
      <c r="BB31" s="452">
        <f t="shared" si="43"/>
        <v>0.19436361600000002</v>
      </c>
      <c r="BC31" s="452">
        <f t="shared" si="44"/>
        <v>237</v>
      </c>
      <c r="BD31" s="260">
        <f t="shared" si="45"/>
        <v>1381086</v>
      </c>
      <c r="BE31" s="260">
        <f t="shared" si="46"/>
        <v>1448307</v>
      </c>
      <c r="BF31" s="397">
        <f t="shared" si="47"/>
        <v>79410072</v>
      </c>
      <c r="BG31" s="397">
        <f t="shared" si="48"/>
        <v>83275164</v>
      </c>
    </row>
    <row r="32" spans="1:59" ht="15.75">
      <c r="A32" s="338">
        <v>2</v>
      </c>
      <c r="B32" s="338" t="str">
        <f t="shared" si="0"/>
        <v>FRUTA_2</v>
      </c>
      <c r="C32" s="338" t="str">
        <f t="shared" si="1"/>
        <v>22_2</v>
      </c>
      <c r="D32" s="338" t="s">
        <v>1</v>
      </c>
      <c r="E32" s="258">
        <v>22</v>
      </c>
      <c r="F32" s="328" t="s">
        <v>51</v>
      </c>
      <c r="G32" s="258" t="s">
        <v>9</v>
      </c>
      <c r="H32" s="431">
        <f t="shared" si="2"/>
        <v>0</v>
      </c>
      <c r="I32" s="431">
        <f t="array" ref="I32">MAX((IF(MNU_CODIGO_ALIMENTO_ENTREGA=CONCATENATE($E32,"_","P_"),MNU_GRAMAJE_REQUERIDO_TIPOA,"")))</f>
        <v>0</v>
      </c>
      <c r="J32" s="259">
        <f t="shared" si="3"/>
        <v>5880</v>
      </c>
      <c r="K32" s="259">
        <f t="shared" si="4"/>
        <v>0</v>
      </c>
      <c r="L32" s="452">
        <f t="shared" si="5"/>
        <v>0</v>
      </c>
      <c r="M32" s="452">
        <f t="shared" si="6"/>
        <v>0</v>
      </c>
      <c r="N32" s="452">
        <f t="shared" si="7"/>
        <v>0</v>
      </c>
      <c r="O32" s="452">
        <f t="shared" si="8"/>
        <v>0</v>
      </c>
      <c r="P32" s="260">
        <f t="shared" si="9"/>
        <v>0</v>
      </c>
      <c r="Q32" s="260">
        <f t="shared" si="10"/>
        <v>0</v>
      </c>
      <c r="R32" s="432">
        <f t="shared" si="11"/>
        <v>20</v>
      </c>
      <c r="S32" s="432">
        <f t="array" ref="S32">MAX((IF(MNU_CODIGO_ALIMENTO_ENTREGA=CONCATENATE($E32,"_","P_"),MNU_GRAMAJE_REQUERIDO_TIPOB,"")))</f>
        <v>100</v>
      </c>
      <c r="T32" s="261">
        <f t="shared" si="12"/>
        <v>7991</v>
      </c>
      <c r="U32" s="261">
        <f t="shared" si="13"/>
        <v>159820</v>
      </c>
      <c r="V32" s="452">
        <f t="shared" si="14"/>
        <v>525</v>
      </c>
      <c r="W32" s="452">
        <f t="shared" si="15"/>
        <v>25.62</v>
      </c>
      <c r="X32" s="452">
        <f t="shared" si="16"/>
        <v>0.45150840000000003</v>
      </c>
      <c r="Y32" s="452">
        <f t="shared" si="17"/>
        <v>551</v>
      </c>
      <c r="Z32" s="262">
        <f t="shared" si="18"/>
        <v>83905500</v>
      </c>
      <c r="AA32" s="262">
        <f t="shared" si="19"/>
        <v>88060820</v>
      </c>
      <c r="AB32" s="431">
        <f t="shared" si="20"/>
        <v>20</v>
      </c>
      <c r="AC32" s="431">
        <f t="array" ref="AC32">MAX((IF(MNU_CODIGO_ALIMENTO_ENTREGA=CONCATENATE($E32,"_","P_"),MNU_GRAMAJE_REQUERIDO_TIPOC,"")))</f>
        <v>100</v>
      </c>
      <c r="AD32" s="259">
        <f t="shared" si="21"/>
        <v>8100</v>
      </c>
      <c r="AE32" s="259">
        <f t="shared" si="22"/>
        <v>162000</v>
      </c>
      <c r="AF32" s="452">
        <f t="shared" si="23"/>
        <v>525</v>
      </c>
      <c r="AG32" s="452">
        <f t="shared" si="24"/>
        <v>25.62</v>
      </c>
      <c r="AH32" s="452">
        <f t="shared" si="25"/>
        <v>0.45150840000000003</v>
      </c>
      <c r="AI32" s="452">
        <f t="shared" si="26"/>
        <v>551</v>
      </c>
      <c r="AJ32" s="260">
        <f t="shared" si="27"/>
        <v>85050000</v>
      </c>
      <c r="AK32" s="260">
        <f t="shared" si="28"/>
        <v>89262000</v>
      </c>
      <c r="AL32" s="432">
        <f t="shared" si="29"/>
        <v>20</v>
      </c>
      <c r="AM32" s="432">
        <f t="array" ref="AM32">MAX((IF(MNU_CODIGO_ALIMENTO_ENTREGA=CONCATENATE($E32,"_","P_"),MNU_GRAMAJE_REQUERIDO_TIPOM,"")))</f>
        <v>100</v>
      </c>
      <c r="AN32" s="261">
        <f t="shared" si="30"/>
        <v>350</v>
      </c>
      <c r="AO32" s="261">
        <f t="shared" si="31"/>
        <v>7000</v>
      </c>
      <c r="AP32" s="452">
        <f t="shared" si="32"/>
        <v>525</v>
      </c>
      <c r="AQ32" s="452">
        <f t="shared" si="33"/>
        <v>25.62</v>
      </c>
      <c r="AR32" s="452">
        <f t="shared" si="34"/>
        <v>0.45150840000000003</v>
      </c>
      <c r="AS32" s="452">
        <f t="shared" si="35"/>
        <v>551</v>
      </c>
      <c r="AT32" s="262">
        <f t="shared" si="36"/>
        <v>3675000</v>
      </c>
      <c r="AU32" s="262">
        <f t="shared" si="37"/>
        <v>3857000</v>
      </c>
      <c r="AV32" s="431">
        <f t="shared" si="38"/>
        <v>20</v>
      </c>
      <c r="AW32" s="431">
        <f t="array" ref="AW32">MAX((IF(MNU_CODIGO_ALIMENTO_ENTREGA=CONCATENATE($E32,"_","P_"),MNU_GRAMAJE_REQUERIDO_TIPOH,"")))</f>
        <v>100</v>
      </c>
      <c r="AX32" s="259">
        <f t="shared" si="39"/>
        <v>291</v>
      </c>
      <c r="AY32" s="259">
        <f t="shared" si="40"/>
        <v>5820</v>
      </c>
      <c r="AZ32" s="452">
        <f t="shared" si="41"/>
        <v>525</v>
      </c>
      <c r="BA32" s="452">
        <f t="shared" si="42"/>
        <v>25.62</v>
      </c>
      <c r="BB32" s="452">
        <f t="shared" si="43"/>
        <v>0.45150840000000003</v>
      </c>
      <c r="BC32" s="452">
        <f t="shared" si="44"/>
        <v>551</v>
      </c>
      <c r="BD32" s="260">
        <f t="shared" si="45"/>
        <v>3055500</v>
      </c>
      <c r="BE32" s="260">
        <f t="shared" si="46"/>
        <v>3206820</v>
      </c>
      <c r="BF32" s="397">
        <f t="shared" si="47"/>
        <v>175686000</v>
      </c>
      <c r="BG32" s="397">
        <f t="shared" si="48"/>
        <v>184386640</v>
      </c>
    </row>
    <row r="33" spans="1:59" ht="15.75">
      <c r="A33" s="338">
        <v>2</v>
      </c>
      <c r="B33" s="338" t="str">
        <f t="shared" si="0"/>
        <v>FRUTA_2</v>
      </c>
      <c r="C33" s="338" t="str">
        <f t="shared" si="1"/>
        <v>33_2</v>
      </c>
      <c r="D33" s="338" t="s">
        <v>1</v>
      </c>
      <c r="E33" s="258">
        <v>33</v>
      </c>
      <c r="F33" s="328" t="s">
        <v>59</v>
      </c>
      <c r="G33" s="258" t="s">
        <v>48</v>
      </c>
      <c r="H33" s="431">
        <f t="shared" si="2"/>
        <v>27</v>
      </c>
      <c r="I33" s="431">
        <v>1</v>
      </c>
      <c r="J33" s="259">
        <f t="shared" si="3"/>
        <v>5880</v>
      </c>
      <c r="K33" s="259">
        <f t="shared" si="4"/>
        <v>158760</v>
      </c>
      <c r="L33" s="452">
        <f t="shared" si="5"/>
        <v>270</v>
      </c>
      <c r="M33" s="452">
        <f t="shared" si="6"/>
        <v>13.176000000000002</v>
      </c>
      <c r="N33" s="452">
        <f t="shared" si="7"/>
        <v>0.23220432000000002</v>
      </c>
      <c r="O33" s="452">
        <f t="shared" si="8"/>
        <v>283</v>
      </c>
      <c r="P33" s="260">
        <f t="shared" si="9"/>
        <v>42865200</v>
      </c>
      <c r="Q33" s="260">
        <f t="shared" si="10"/>
        <v>44929080</v>
      </c>
      <c r="R33" s="432">
        <f t="shared" si="11"/>
        <v>18</v>
      </c>
      <c r="S33" s="432">
        <v>1</v>
      </c>
      <c r="T33" s="261">
        <f t="shared" si="12"/>
        <v>7991</v>
      </c>
      <c r="U33" s="261">
        <f t="shared" si="13"/>
        <v>143838</v>
      </c>
      <c r="V33" s="452">
        <f t="shared" si="14"/>
        <v>270</v>
      </c>
      <c r="W33" s="452">
        <f t="shared" si="15"/>
        <v>13.176000000000002</v>
      </c>
      <c r="X33" s="452">
        <f t="shared" si="16"/>
        <v>0.23220432000000002</v>
      </c>
      <c r="Y33" s="452">
        <f t="shared" si="17"/>
        <v>283</v>
      </c>
      <c r="Z33" s="262">
        <f t="shared" si="18"/>
        <v>38836260</v>
      </c>
      <c r="AA33" s="262">
        <f t="shared" si="19"/>
        <v>40706154</v>
      </c>
      <c r="AB33" s="431">
        <f t="shared" si="20"/>
        <v>18</v>
      </c>
      <c r="AC33" s="431">
        <v>1</v>
      </c>
      <c r="AD33" s="259">
        <f t="shared" si="21"/>
        <v>8100</v>
      </c>
      <c r="AE33" s="259">
        <f t="shared" si="22"/>
        <v>145800</v>
      </c>
      <c r="AF33" s="452">
        <f t="shared" si="23"/>
        <v>270</v>
      </c>
      <c r="AG33" s="452">
        <f t="shared" si="24"/>
        <v>13.176000000000002</v>
      </c>
      <c r="AH33" s="452">
        <f t="shared" si="25"/>
        <v>0.23220432000000002</v>
      </c>
      <c r="AI33" s="452">
        <f t="shared" si="26"/>
        <v>283</v>
      </c>
      <c r="AJ33" s="260">
        <f t="shared" si="27"/>
        <v>39366000</v>
      </c>
      <c r="AK33" s="260">
        <f t="shared" si="28"/>
        <v>41261400</v>
      </c>
      <c r="AL33" s="432">
        <f t="shared" si="29"/>
        <v>18</v>
      </c>
      <c r="AM33" s="432">
        <v>1</v>
      </c>
      <c r="AN33" s="261">
        <f t="shared" si="30"/>
        <v>350</v>
      </c>
      <c r="AO33" s="261">
        <f t="shared" si="31"/>
        <v>6300</v>
      </c>
      <c r="AP33" s="452">
        <f t="shared" si="32"/>
        <v>270</v>
      </c>
      <c r="AQ33" s="452">
        <f t="shared" si="33"/>
        <v>13.176000000000002</v>
      </c>
      <c r="AR33" s="452">
        <f t="shared" si="34"/>
        <v>0.23220432000000002</v>
      </c>
      <c r="AS33" s="452">
        <f t="shared" si="35"/>
        <v>283</v>
      </c>
      <c r="AT33" s="262">
        <f t="shared" si="36"/>
        <v>1701000</v>
      </c>
      <c r="AU33" s="262">
        <f t="shared" si="37"/>
        <v>1782900</v>
      </c>
      <c r="AV33" s="431">
        <f t="shared" si="38"/>
        <v>18</v>
      </c>
      <c r="AW33" s="431">
        <v>1</v>
      </c>
      <c r="AX33" s="259">
        <f t="shared" si="39"/>
        <v>291</v>
      </c>
      <c r="AY33" s="259">
        <f t="shared" si="40"/>
        <v>5238</v>
      </c>
      <c r="AZ33" s="452">
        <f t="shared" si="41"/>
        <v>270</v>
      </c>
      <c r="BA33" s="452">
        <f t="shared" si="42"/>
        <v>13.176000000000002</v>
      </c>
      <c r="BB33" s="452">
        <f t="shared" si="43"/>
        <v>0.23220432000000002</v>
      </c>
      <c r="BC33" s="452">
        <f t="shared" si="44"/>
        <v>283</v>
      </c>
      <c r="BD33" s="260">
        <f t="shared" si="45"/>
        <v>1414260</v>
      </c>
      <c r="BE33" s="260">
        <f t="shared" si="46"/>
        <v>1482354</v>
      </c>
      <c r="BF33" s="397">
        <f t="shared" si="47"/>
        <v>124182720</v>
      </c>
      <c r="BG33" s="397">
        <f t="shared" si="48"/>
        <v>130161888</v>
      </c>
    </row>
    <row r="34" spans="1:59" ht="15.75">
      <c r="A34" s="338">
        <v>2</v>
      </c>
      <c r="B34" s="338" t="str">
        <f t="shared" si="0"/>
        <v>FRUTA_2</v>
      </c>
      <c r="C34" s="338" t="str">
        <f t="shared" si="1"/>
        <v>36_2</v>
      </c>
      <c r="D34" s="338" t="s">
        <v>1</v>
      </c>
      <c r="E34" s="258">
        <v>36</v>
      </c>
      <c r="F34" s="328" t="s">
        <v>1340</v>
      </c>
      <c r="G34" s="258" t="s">
        <v>9</v>
      </c>
      <c r="H34" s="431">
        <f t="shared" si="2"/>
        <v>7</v>
      </c>
      <c r="I34" s="431">
        <f t="array" ref="I34">MAX((IF(MNU_CODIGO_ALIMENTO_ENTREGA=CONCATENATE($E34,"_","P_"),MNU_GRAMAJE_REQUERIDO_TIPOA,"")))</f>
        <v>20</v>
      </c>
      <c r="J34" s="259">
        <f t="shared" si="3"/>
        <v>5880</v>
      </c>
      <c r="K34" s="259">
        <f t="shared" si="4"/>
        <v>41160</v>
      </c>
      <c r="L34" s="452">
        <f t="shared" si="5"/>
        <v>126</v>
      </c>
      <c r="M34" s="452">
        <f t="shared" si="6"/>
        <v>6.1488000000000005</v>
      </c>
      <c r="N34" s="452">
        <f t="shared" si="7"/>
        <v>0.10836201599999999</v>
      </c>
      <c r="O34" s="452">
        <f t="shared" si="8"/>
        <v>132</v>
      </c>
      <c r="P34" s="260">
        <f t="shared" si="9"/>
        <v>5186160</v>
      </c>
      <c r="Q34" s="260">
        <f t="shared" si="10"/>
        <v>5433120</v>
      </c>
      <c r="R34" s="432">
        <f t="shared" si="11"/>
        <v>7</v>
      </c>
      <c r="S34" s="432">
        <f t="array" ref="S34">MAX((IF(MNU_CODIGO_ALIMENTO_ENTREGA=CONCATENATE($E34,"_","P_"),MNU_GRAMAJE_REQUERIDO_TIPOB,"")))</f>
        <v>40</v>
      </c>
      <c r="T34" s="261">
        <f t="shared" si="12"/>
        <v>7991</v>
      </c>
      <c r="U34" s="261">
        <f t="shared" si="13"/>
        <v>55937</v>
      </c>
      <c r="V34" s="452">
        <f t="shared" si="14"/>
        <v>252</v>
      </c>
      <c r="W34" s="452">
        <f t="shared" si="15"/>
        <v>12.297600000000001</v>
      </c>
      <c r="X34" s="452">
        <f t="shared" si="16"/>
        <v>0.21672403199999998</v>
      </c>
      <c r="Y34" s="452">
        <f t="shared" si="17"/>
        <v>265</v>
      </c>
      <c r="Z34" s="262">
        <f t="shared" si="18"/>
        <v>14096124</v>
      </c>
      <c r="AA34" s="262">
        <f t="shared" si="19"/>
        <v>14823305</v>
      </c>
      <c r="AB34" s="431">
        <f t="shared" si="20"/>
        <v>7</v>
      </c>
      <c r="AC34" s="431">
        <f t="array" ref="AC34">MAX((IF(MNU_CODIGO_ALIMENTO_ENTREGA=CONCATENATE($E34,"_","P_"),MNU_GRAMAJE_REQUERIDO_TIPOC,"")))</f>
        <v>40</v>
      </c>
      <c r="AD34" s="259">
        <f t="shared" si="21"/>
        <v>8100</v>
      </c>
      <c r="AE34" s="259">
        <f t="shared" si="22"/>
        <v>56700</v>
      </c>
      <c r="AF34" s="452">
        <f t="shared" si="23"/>
        <v>252</v>
      </c>
      <c r="AG34" s="452">
        <f t="shared" si="24"/>
        <v>12.297600000000001</v>
      </c>
      <c r="AH34" s="452">
        <f t="shared" si="25"/>
        <v>0.21672403199999998</v>
      </c>
      <c r="AI34" s="452">
        <f t="shared" si="26"/>
        <v>265</v>
      </c>
      <c r="AJ34" s="260">
        <f t="shared" si="27"/>
        <v>14288400</v>
      </c>
      <c r="AK34" s="260">
        <f t="shared" si="28"/>
        <v>15025500</v>
      </c>
      <c r="AL34" s="432">
        <f t="shared" si="29"/>
        <v>7</v>
      </c>
      <c r="AM34" s="432">
        <f t="array" ref="AM34">MAX((IF(MNU_CODIGO_ALIMENTO_ENTREGA=CONCATENATE($E34,"_","P_"),MNU_GRAMAJE_REQUERIDO_TIPOM,"")))</f>
        <v>40</v>
      </c>
      <c r="AN34" s="261">
        <f t="shared" si="30"/>
        <v>350</v>
      </c>
      <c r="AO34" s="261">
        <f t="shared" si="31"/>
        <v>2450</v>
      </c>
      <c r="AP34" s="452">
        <f t="shared" si="32"/>
        <v>252</v>
      </c>
      <c r="AQ34" s="452">
        <f t="shared" si="33"/>
        <v>12.297600000000001</v>
      </c>
      <c r="AR34" s="452">
        <f t="shared" si="34"/>
        <v>0.21672403199999998</v>
      </c>
      <c r="AS34" s="452">
        <f t="shared" si="35"/>
        <v>265</v>
      </c>
      <c r="AT34" s="262">
        <f t="shared" si="36"/>
        <v>617400</v>
      </c>
      <c r="AU34" s="262">
        <f t="shared" si="37"/>
        <v>649250</v>
      </c>
      <c r="AV34" s="431">
        <f t="shared" si="38"/>
        <v>7</v>
      </c>
      <c r="AW34" s="431">
        <f t="array" ref="AW34">MAX((IF(MNU_CODIGO_ALIMENTO_ENTREGA=CONCATENATE($E34,"_","P_"),MNU_GRAMAJE_REQUERIDO_TIPOH,"")))</f>
        <v>40</v>
      </c>
      <c r="AX34" s="259">
        <f t="shared" si="39"/>
        <v>291</v>
      </c>
      <c r="AY34" s="259">
        <f t="shared" si="40"/>
        <v>2037</v>
      </c>
      <c r="AZ34" s="452">
        <f t="shared" si="41"/>
        <v>252</v>
      </c>
      <c r="BA34" s="452">
        <f t="shared" si="42"/>
        <v>12.297600000000001</v>
      </c>
      <c r="BB34" s="452">
        <f t="shared" si="43"/>
        <v>0.21672403199999998</v>
      </c>
      <c r="BC34" s="452">
        <f t="shared" si="44"/>
        <v>265</v>
      </c>
      <c r="BD34" s="260">
        <f t="shared" si="45"/>
        <v>513324</v>
      </c>
      <c r="BE34" s="260">
        <f t="shared" si="46"/>
        <v>539805</v>
      </c>
      <c r="BF34" s="397">
        <f t="shared" si="47"/>
        <v>34701408</v>
      </c>
      <c r="BG34" s="397">
        <f t="shared" si="48"/>
        <v>36470980</v>
      </c>
    </row>
    <row r="35" spans="1:59" ht="15.75">
      <c r="A35" s="338">
        <v>2</v>
      </c>
      <c r="B35" s="338" t="str">
        <f t="shared" si="0"/>
        <v>FRUTA_2</v>
      </c>
      <c r="C35" s="338" t="str">
        <f t="shared" si="1"/>
        <v>42_2</v>
      </c>
      <c r="D35" s="338" t="s">
        <v>1</v>
      </c>
      <c r="E35" s="258">
        <v>42</v>
      </c>
      <c r="F35" s="328" t="s">
        <v>61</v>
      </c>
      <c r="G35" s="258" t="s">
        <v>9</v>
      </c>
      <c r="H35" s="431">
        <f t="shared" si="2"/>
        <v>23</v>
      </c>
      <c r="I35" s="431">
        <f t="array" ref="I35">MAX((IF(MNU_CODIGO_ALIMENTO_ENTREGA=CONCATENATE($E35,"_","P_"),MNU_GRAMAJE_REQUERIDO_TIPOA,"")))</f>
        <v>100</v>
      </c>
      <c r="J35" s="259">
        <f t="shared" si="3"/>
        <v>5880</v>
      </c>
      <c r="K35" s="259">
        <f t="shared" si="4"/>
        <v>135240</v>
      </c>
      <c r="L35" s="452">
        <f t="shared" si="5"/>
        <v>194</v>
      </c>
      <c r="M35" s="452">
        <f t="shared" si="6"/>
        <v>9.4672000000000001</v>
      </c>
      <c r="N35" s="452">
        <f t="shared" si="7"/>
        <v>0.16684310399999999</v>
      </c>
      <c r="O35" s="452">
        <f t="shared" si="8"/>
        <v>204</v>
      </c>
      <c r="P35" s="260">
        <f t="shared" si="9"/>
        <v>26236560</v>
      </c>
      <c r="Q35" s="260">
        <f t="shared" si="10"/>
        <v>27588960</v>
      </c>
      <c r="R35" s="432">
        <f t="shared" si="11"/>
        <v>19</v>
      </c>
      <c r="S35" s="432">
        <f t="array" ref="S35">MAX((IF(MNU_CODIGO_ALIMENTO_ENTREGA=CONCATENATE($E35,"_","P_"),MNU_GRAMAJE_REQUERIDO_TIPOB,"")))</f>
        <v>100</v>
      </c>
      <c r="T35" s="261">
        <f t="shared" si="12"/>
        <v>7991</v>
      </c>
      <c r="U35" s="261">
        <f t="shared" si="13"/>
        <v>151829</v>
      </c>
      <c r="V35" s="452">
        <f t="shared" si="14"/>
        <v>194</v>
      </c>
      <c r="W35" s="452">
        <f t="shared" si="15"/>
        <v>9.4672000000000001</v>
      </c>
      <c r="X35" s="452">
        <f t="shared" si="16"/>
        <v>0.16684310399999999</v>
      </c>
      <c r="Y35" s="452">
        <f t="shared" si="17"/>
        <v>204</v>
      </c>
      <c r="Z35" s="262">
        <f t="shared" si="18"/>
        <v>29454826</v>
      </c>
      <c r="AA35" s="262">
        <f t="shared" si="19"/>
        <v>30973116</v>
      </c>
      <c r="AB35" s="431">
        <f t="shared" si="20"/>
        <v>19</v>
      </c>
      <c r="AC35" s="431">
        <f t="array" ref="AC35">MAX((IF(MNU_CODIGO_ALIMENTO_ENTREGA=CONCATENATE($E35,"_","P_"),MNU_GRAMAJE_REQUERIDO_TIPOC,"")))</f>
        <v>100</v>
      </c>
      <c r="AD35" s="259">
        <f t="shared" si="21"/>
        <v>8100</v>
      </c>
      <c r="AE35" s="259">
        <f t="shared" si="22"/>
        <v>153900</v>
      </c>
      <c r="AF35" s="452">
        <f t="shared" si="23"/>
        <v>194</v>
      </c>
      <c r="AG35" s="452">
        <f t="shared" si="24"/>
        <v>9.4672000000000001</v>
      </c>
      <c r="AH35" s="452">
        <f t="shared" si="25"/>
        <v>0.16684310399999999</v>
      </c>
      <c r="AI35" s="452">
        <f t="shared" si="26"/>
        <v>204</v>
      </c>
      <c r="AJ35" s="260">
        <f t="shared" si="27"/>
        <v>29856600</v>
      </c>
      <c r="AK35" s="260">
        <f t="shared" si="28"/>
        <v>31395600</v>
      </c>
      <c r="AL35" s="432">
        <f t="shared" si="29"/>
        <v>19</v>
      </c>
      <c r="AM35" s="432">
        <f t="array" ref="AM35">MAX((IF(MNU_CODIGO_ALIMENTO_ENTREGA=CONCATENATE($E35,"_","P_"),MNU_GRAMAJE_REQUERIDO_TIPOM,"")))</f>
        <v>100</v>
      </c>
      <c r="AN35" s="261">
        <f t="shared" si="30"/>
        <v>350</v>
      </c>
      <c r="AO35" s="261">
        <f t="shared" si="31"/>
        <v>6650</v>
      </c>
      <c r="AP35" s="452">
        <f t="shared" si="32"/>
        <v>194</v>
      </c>
      <c r="AQ35" s="452">
        <f t="shared" si="33"/>
        <v>9.4672000000000001</v>
      </c>
      <c r="AR35" s="452">
        <f t="shared" si="34"/>
        <v>0.16684310399999999</v>
      </c>
      <c r="AS35" s="452">
        <f t="shared" si="35"/>
        <v>204</v>
      </c>
      <c r="AT35" s="262">
        <f t="shared" si="36"/>
        <v>1290100</v>
      </c>
      <c r="AU35" s="262">
        <f t="shared" si="37"/>
        <v>1356600</v>
      </c>
      <c r="AV35" s="431">
        <f t="shared" si="38"/>
        <v>19</v>
      </c>
      <c r="AW35" s="431">
        <f t="array" ref="AW35">MAX((IF(MNU_CODIGO_ALIMENTO_ENTREGA=CONCATENATE($E35,"_","P_"),MNU_GRAMAJE_REQUERIDO_TIPOH,"")))</f>
        <v>100</v>
      </c>
      <c r="AX35" s="259">
        <f t="shared" si="39"/>
        <v>291</v>
      </c>
      <c r="AY35" s="259">
        <f t="shared" si="40"/>
        <v>5529</v>
      </c>
      <c r="AZ35" s="452">
        <f t="shared" si="41"/>
        <v>194</v>
      </c>
      <c r="BA35" s="452">
        <f t="shared" si="42"/>
        <v>9.4672000000000001</v>
      </c>
      <c r="BB35" s="452">
        <f t="shared" si="43"/>
        <v>0.16684310399999999</v>
      </c>
      <c r="BC35" s="452">
        <f t="shared" si="44"/>
        <v>204</v>
      </c>
      <c r="BD35" s="260">
        <f t="shared" si="45"/>
        <v>1072626</v>
      </c>
      <c r="BE35" s="260">
        <f t="shared" si="46"/>
        <v>1127916</v>
      </c>
      <c r="BF35" s="397">
        <f t="shared" si="47"/>
        <v>87910712</v>
      </c>
      <c r="BG35" s="397">
        <f t="shared" si="48"/>
        <v>92442192</v>
      </c>
    </row>
    <row r="36" spans="1:59" ht="15.75">
      <c r="A36" s="338">
        <v>2</v>
      </c>
      <c r="B36" s="338" t="str">
        <f t="shared" si="0"/>
        <v>FRUTA_2</v>
      </c>
      <c r="C36" s="338" t="str">
        <f t="shared" si="1"/>
        <v>43_2</v>
      </c>
      <c r="D36" s="338" t="s">
        <v>1</v>
      </c>
      <c r="E36" s="258">
        <v>43</v>
      </c>
      <c r="F36" s="328" t="s">
        <v>62</v>
      </c>
      <c r="G36" s="258" t="s">
        <v>9</v>
      </c>
      <c r="H36" s="431">
        <f t="shared" si="2"/>
        <v>24</v>
      </c>
      <c r="I36" s="431">
        <f t="array" ref="I36">MAX((IF(MNU_CODIGO_ALIMENTO_ENTREGA=CONCATENATE($E36,"_","P_"),MNU_GRAMAJE_REQUERIDO_TIPOA,"")))</f>
        <v>100</v>
      </c>
      <c r="J36" s="259">
        <f t="shared" si="3"/>
        <v>5880</v>
      </c>
      <c r="K36" s="259">
        <f t="shared" si="4"/>
        <v>141120</v>
      </c>
      <c r="L36" s="452">
        <f t="shared" si="5"/>
        <v>170</v>
      </c>
      <c r="M36" s="452">
        <f t="shared" si="6"/>
        <v>8.2959999999999994</v>
      </c>
      <c r="N36" s="452">
        <f t="shared" si="7"/>
        <v>0.14620272000000001</v>
      </c>
      <c r="O36" s="452">
        <f t="shared" si="8"/>
        <v>178</v>
      </c>
      <c r="P36" s="260">
        <f t="shared" si="9"/>
        <v>23990400</v>
      </c>
      <c r="Q36" s="260">
        <f t="shared" si="10"/>
        <v>25119360</v>
      </c>
      <c r="R36" s="432">
        <f t="shared" si="11"/>
        <v>17</v>
      </c>
      <c r="S36" s="432">
        <f t="array" ref="S36">MAX((IF(MNU_CODIGO_ALIMENTO_ENTREGA=CONCATENATE($E36,"_","P_"),MNU_GRAMAJE_REQUERIDO_TIPOB,"")))</f>
        <v>100</v>
      </c>
      <c r="T36" s="261">
        <f t="shared" si="12"/>
        <v>7991</v>
      </c>
      <c r="U36" s="261">
        <f t="shared" si="13"/>
        <v>135847</v>
      </c>
      <c r="V36" s="452">
        <f t="shared" si="14"/>
        <v>170</v>
      </c>
      <c r="W36" s="452">
        <f t="shared" si="15"/>
        <v>8.2959999999999994</v>
      </c>
      <c r="X36" s="452">
        <f t="shared" si="16"/>
        <v>0.14620272000000001</v>
      </c>
      <c r="Y36" s="452">
        <f t="shared" si="17"/>
        <v>178</v>
      </c>
      <c r="Z36" s="262">
        <f t="shared" si="18"/>
        <v>23093990</v>
      </c>
      <c r="AA36" s="262">
        <f t="shared" si="19"/>
        <v>24180766</v>
      </c>
      <c r="AB36" s="431">
        <f t="shared" si="20"/>
        <v>17</v>
      </c>
      <c r="AC36" s="431">
        <f t="array" ref="AC36">MAX((IF(MNU_CODIGO_ALIMENTO_ENTREGA=CONCATENATE($E36,"_","P_"),MNU_GRAMAJE_REQUERIDO_TIPOC,"")))</f>
        <v>100</v>
      </c>
      <c r="AD36" s="259">
        <f t="shared" si="21"/>
        <v>8100</v>
      </c>
      <c r="AE36" s="259">
        <f t="shared" si="22"/>
        <v>137700</v>
      </c>
      <c r="AF36" s="452">
        <f t="shared" si="23"/>
        <v>170</v>
      </c>
      <c r="AG36" s="452">
        <f t="shared" si="24"/>
        <v>8.2959999999999994</v>
      </c>
      <c r="AH36" s="452">
        <f t="shared" si="25"/>
        <v>0.14620272000000001</v>
      </c>
      <c r="AI36" s="452">
        <f t="shared" si="26"/>
        <v>178</v>
      </c>
      <c r="AJ36" s="260">
        <f t="shared" si="27"/>
        <v>23409000</v>
      </c>
      <c r="AK36" s="260">
        <f t="shared" si="28"/>
        <v>24510600</v>
      </c>
      <c r="AL36" s="432">
        <f t="shared" si="29"/>
        <v>17</v>
      </c>
      <c r="AM36" s="432">
        <f t="array" ref="AM36">MAX((IF(MNU_CODIGO_ALIMENTO_ENTREGA=CONCATENATE($E36,"_","P_"),MNU_GRAMAJE_REQUERIDO_TIPOM,"")))</f>
        <v>100</v>
      </c>
      <c r="AN36" s="261">
        <f t="shared" si="30"/>
        <v>350</v>
      </c>
      <c r="AO36" s="261">
        <f t="shared" si="31"/>
        <v>5950</v>
      </c>
      <c r="AP36" s="452">
        <f t="shared" si="32"/>
        <v>170</v>
      </c>
      <c r="AQ36" s="452">
        <f t="shared" si="33"/>
        <v>8.2959999999999994</v>
      </c>
      <c r="AR36" s="452">
        <f t="shared" si="34"/>
        <v>0.14620272000000001</v>
      </c>
      <c r="AS36" s="452">
        <f t="shared" si="35"/>
        <v>178</v>
      </c>
      <c r="AT36" s="262">
        <f t="shared" si="36"/>
        <v>1011500</v>
      </c>
      <c r="AU36" s="262">
        <f t="shared" si="37"/>
        <v>1059100</v>
      </c>
      <c r="AV36" s="431">
        <f t="shared" si="38"/>
        <v>17</v>
      </c>
      <c r="AW36" s="431">
        <f t="array" ref="AW36">MAX((IF(MNU_CODIGO_ALIMENTO_ENTREGA=CONCATENATE($E36,"_","P_"),MNU_GRAMAJE_REQUERIDO_TIPOH,"")))</f>
        <v>100</v>
      </c>
      <c r="AX36" s="259">
        <f t="shared" si="39"/>
        <v>291</v>
      </c>
      <c r="AY36" s="259">
        <f t="shared" si="40"/>
        <v>4947</v>
      </c>
      <c r="AZ36" s="452">
        <f t="shared" si="41"/>
        <v>170</v>
      </c>
      <c r="BA36" s="452">
        <f t="shared" si="42"/>
        <v>8.2959999999999994</v>
      </c>
      <c r="BB36" s="452">
        <f t="shared" si="43"/>
        <v>0.14620272000000001</v>
      </c>
      <c r="BC36" s="452">
        <f t="shared" si="44"/>
        <v>178</v>
      </c>
      <c r="BD36" s="260">
        <f t="shared" si="45"/>
        <v>840990</v>
      </c>
      <c r="BE36" s="260">
        <f t="shared" si="46"/>
        <v>880566</v>
      </c>
      <c r="BF36" s="397">
        <f t="shared" si="47"/>
        <v>72345880</v>
      </c>
      <c r="BG36" s="397">
        <f t="shared" si="48"/>
        <v>75750392</v>
      </c>
    </row>
    <row r="37" spans="1:59" ht="15.75">
      <c r="A37" s="338">
        <v>2</v>
      </c>
      <c r="B37" s="338" t="str">
        <f t="shared" si="0"/>
        <v>FRUTA_2</v>
      </c>
      <c r="C37" s="338" t="str">
        <f t="shared" si="1"/>
        <v>46_2</v>
      </c>
      <c r="D37" s="338" t="s">
        <v>1</v>
      </c>
      <c r="E37" s="258">
        <v>46</v>
      </c>
      <c r="F37" s="328" t="s">
        <v>64</v>
      </c>
      <c r="G37" s="258" t="s">
        <v>9</v>
      </c>
      <c r="H37" s="431">
        <f t="shared" si="2"/>
        <v>30</v>
      </c>
      <c r="I37" s="431">
        <f t="array" ref="I37">MAX((IF(MNU_CODIGO_ALIMENTO_ENTREGA=CONCATENATE($E37,"_","P_"),MNU_GRAMAJE_REQUERIDO_TIPOA,"")))</f>
        <v>100</v>
      </c>
      <c r="J37" s="259">
        <f t="shared" si="3"/>
        <v>5880</v>
      </c>
      <c r="K37" s="259">
        <f t="shared" si="4"/>
        <v>176400</v>
      </c>
      <c r="L37" s="452">
        <f t="shared" si="5"/>
        <v>398</v>
      </c>
      <c r="M37" s="452">
        <f t="shared" si="6"/>
        <v>19.4224</v>
      </c>
      <c r="N37" s="452">
        <f t="shared" si="7"/>
        <v>0.34228636800000001</v>
      </c>
      <c r="O37" s="452">
        <f t="shared" si="8"/>
        <v>418</v>
      </c>
      <c r="P37" s="260">
        <f t="shared" si="9"/>
        <v>70207200</v>
      </c>
      <c r="Q37" s="260">
        <f t="shared" si="10"/>
        <v>73735200</v>
      </c>
      <c r="R37" s="432">
        <f t="shared" si="11"/>
        <v>21</v>
      </c>
      <c r="S37" s="432">
        <f t="array" ref="S37">MAX((IF(MNU_CODIGO_ALIMENTO_ENTREGA=CONCATENATE($E37,"_","P_"),MNU_GRAMAJE_REQUERIDO_TIPOB,"")))</f>
        <v>100</v>
      </c>
      <c r="T37" s="261">
        <f t="shared" si="12"/>
        <v>7991</v>
      </c>
      <c r="U37" s="261">
        <f t="shared" si="13"/>
        <v>167811</v>
      </c>
      <c r="V37" s="452">
        <f t="shared" si="14"/>
        <v>398</v>
      </c>
      <c r="W37" s="452">
        <f t="shared" si="15"/>
        <v>19.4224</v>
      </c>
      <c r="X37" s="452">
        <f t="shared" si="16"/>
        <v>0.34228636800000001</v>
      </c>
      <c r="Y37" s="452">
        <f t="shared" si="17"/>
        <v>418</v>
      </c>
      <c r="Z37" s="262">
        <f t="shared" si="18"/>
        <v>66788778</v>
      </c>
      <c r="AA37" s="262">
        <f t="shared" si="19"/>
        <v>70144998</v>
      </c>
      <c r="AB37" s="431">
        <f t="shared" si="20"/>
        <v>21</v>
      </c>
      <c r="AC37" s="431">
        <f t="array" ref="AC37">MAX((IF(MNU_CODIGO_ALIMENTO_ENTREGA=CONCATENATE($E37,"_","P_"),MNU_GRAMAJE_REQUERIDO_TIPOC,"")))</f>
        <v>100</v>
      </c>
      <c r="AD37" s="259">
        <f t="shared" si="21"/>
        <v>8100</v>
      </c>
      <c r="AE37" s="259">
        <f t="shared" si="22"/>
        <v>170100</v>
      </c>
      <c r="AF37" s="452">
        <f t="shared" si="23"/>
        <v>398</v>
      </c>
      <c r="AG37" s="452">
        <f t="shared" si="24"/>
        <v>19.4224</v>
      </c>
      <c r="AH37" s="452">
        <f t="shared" si="25"/>
        <v>0.34228636800000001</v>
      </c>
      <c r="AI37" s="452">
        <f t="shared" si="26"/>
        <v>418</v>
      </c>
      <c r="AJ37" s="260">
        <f t="shared" si="27"/>
        <v>67699800</v>
      </c>
      <c r="AK37" s="260">
        <f t="shared" si="28"/>
        <v>71101800</v>
      </c>
      <c r="AL37" s="432">
        <f t="shared" si="29"/>
        <v>21</v>
      </c>
      <c r="AM37" s="432">
        <f t="array" ref="AM37">MAX((IF(MNU_CODIGO_ALIMENTO_ENTREGA=CONCATENATE($E37,"_","P_"),MNU_GRAMAJE_REQUERIDO_TIPOM,"")))</f>
        <v>100</v>
      </c>
      <c r="AN37" s="261">
        <f t="shared" si="30"/>
        <v>350</v>
      </c>
      <c r="AO37" s="261">
        <f t="shared" si="31"/>
        <v>7350</v>
      </c>
      <c r="AP37" s="452">
        <f t="shared" si="32"/>
        <v>398</v>
      </c>
      <c r="AQ37" s="452">
        <f t="shared" si="33"/>
        <v>19.4224</v>
      </c>
      <c r="AR37" s="452">
        <f t="shared" si="34"/>
        <v>0.34228636800000001</v>
      </c>
      <c r="AS37" s="452">
        <f t="shared" si="35"/>
        <v>418</v>
      </c>
      <c r="AT37" s="262">
        <f t="shared" si="36"/>
        <v>2925300</v>
      </c>
      <c r="AU37" s="262">
        <f t="shared" si="37"/>
        <v>3072300</v>
      </c>
      <c r="AV37" s="431">
        <f t="shared" si="38"/>
        <v>21</v>
      </c>
      <c r="AW37" s="431">
        <f t="array" ref="AW37">MAX((IF(MNU_CODIGO_ALIMENTO_ENTREGA=CONCATENATE($E37,"_","P_"),MNU_GRAMAJE_REQUERIDO_TIPOH,"")))</f>
        <v>100</v>
      </c>
      <c r="AX37" s="259">
        <f t="shared" si="39"/>
        <v>291</v>
      </c>
      <c r="AY37" s="259">
        <f t="shared" si="40"/>
        <v>6111</v>
      </c>
      <c r="AZ37" s="452">
        <f t="shared" si="41"/>
        <v>398</v>
      </c>
      <c r="BA37" s="452">
        <f t="shared" si="42"/>
        <v>19.4224</v>
      </c>
      <c r="BB37" s="452">
        <f t="shared" si="43"/>
        <v>0.34228636800000001</v>
      </c>
      <c r="BC37" s="452">
        <f t="shared" si="44"/>
        <v>418</v>
      </c>
      <c r="BD37" s="260">
        <f t="shared" si="45"/>
        <v>2432178</v>
      </c>
      <c r="BE37" s="260">
        <f t="shared" si="46"/>
        <v>2554398</v>
      </c>
      <c r="BF37" s="397">
        <f t="shared" si="47"/>
        <v>210053256</v>
      </c>
      <c r="BG37" s="397">
        <f t="shared" si="48"/>
        <v>220608696</v>
      </c>
    </row>
    <row r="38" spans="1:59" ht="15.75">
      <c r="A38" s="338">
        <v>2</v>
      </c>
      <c r="B38" s="338" t="str">
        <f t="shared" si="0"/>
        <v>FRUTA_2</v>
      </c>
      <c r="C38" s="338" t="str">
        <f t="shared" si="1"/>
        <v>58_2</v>
      </c>
      <c r="D38" s="338" t="s">
        <v>1</v>
      </c>
      <c r="E38" s="258">
        <v>58</v>
      </c>
      <c r="F38" s="328" t="s">
        <v>67</v>
      </c>
      <c r="G38" s="258" t="s">
        <v>9</v>
      </c>
      <c r="H38" s="431">
        <f t="shared" si="2"/>
        <v>24</v>
      </c>
      <c r="I38" s="431">
        <f t="array" ref="I38">MAX((IF(MNU_CODIGO_ALIMENTO_ENTREGA=CONCATENATE($E38,"_","P_"),MNU_GRAMAJE_REQUERIDO_TIPOA,"")))</f>
        <v>100</v>
      </c>
      <c r="J38" s="259">
        <f t="shared" si="3"/>
        <v>5880</v>
      </c>
      <c r="K38" s="259">
        <f t="shared" si="4"/>
        <v>141120</v>
      </c>
      <c r="L38" s="452">
        <f t="shared" si="5"/>
        <v>154</v>
      </c>
      <c r="M38" s="452">
        <f t="shared" si="6"/>
        <v>7.515200000000001</v>
      </c>
      <c r="N38" s="452">
        <f t="shared" si="7"/>
        <v>0.13244246400000001</v>
      </c>
      <c r="O38" s="452">
        <f t="shared" si="8"/>
        <v>162</v>
      </c>
      <c r="P38" s="260">
        <f t="shared" si="9"/>
        <v>21732480</v>
      </c>
      <c r="Q38" s="260">
        <f t="shared" si="10"/>
        <v>22861440</v>
      </c>
      <c r="R38" s="432">
        <f t="shared" si="11"/>
        <v>23</v>
      </c>
      <c r="S38" s="432">
        <f t="array" ref="S38">MAX((IF(MNU_CODIGO_ALIMENTO_ENTREGA=CONCATENATE($E38,"_","P_"),MNU_GRAMAJE_REQUERIDO_TIPOB,"")))</f>
        <v>100</v>
      </c>
      <c r="T38" s="261">
        <f t="shared" si="12"/>
        <v>7991</v>
      </c>
      <c r="U38" s="261">
        <f t="shared" si="13"/>
        <v>183793</v>
      </c>
      <c r="V38" s="452">
        <f t="shared" si="14"/>
        <v>154</v>
      </c>
      <c r="W38" s="452">
        <f t="shared" si="15"/>
        <v>7.515200000000001</v>
      </c>
      <c r="X38" s="452">
        <f t="shared" si="16"/>
        <v>0.13244246400000001</v>
      </c>
      <c r="Y38" s="452">
        <f t="shared" si="17"/>
        <v>162</v>
      </c>
      <c r="Z38" s="262">
        <f t="shared" si="18"/>
        <v>28304122</v>
      </c>
      <c r="AA38" s="262">
        <f t="shared" si="19"/>
        <v>29774466</v>
      </c>
      <c r="AB38" s="431">
        <f t="shared" si="20"/>
        <v>23</v>
      </c>
      <c r="AC38" s="431">
        <f t="array" ref="AC38">MAX((IF(MNU_CODIGO_ALIMENTO_ENTREGA=CONCATENATE($E38,"_","P_"),MNU_GRAMAJE_REQUERIDO_TIPOC,"")))</f>
        <v>100</v>
      </c>
      <c r="AD38" s="259">
        <f t="shared" si="21"/>
        <v>8100</v>
      </c>
      <c r="AE38" s="259">
        <f t="shared" si="22"/>
        <v>186300</v>
      </c>
      <c r="AF38" s="452">
        <f t="shared" si="23"/>
        <v>154</v>
      </c>
      <c r="AG38" s="452">
        <f t="shared" si="24"/>
        <v>7.515200000000001</v>
      </c>
      <c r="AH38" s="452">
        <f t="shared" si="25"/>
        <v>0.13244246400000001</v>
      </c>
      <c r="AI38" s="452">
        <f t="shared" si="26"/>
        <v>162</v>
      </c>
      <c r="AJ38" s="260">
        <f t="shared" si="27"/>
        <v>28690200</v>
      </c>
      <c r="AK38" s="260">
        <f t="shared" si="28"/>
        <v>30180600</v>
      </c>
      <c r="AL38" s="432">
        <f t="shared" si="29"/>
        <v>23</v>
      </c>
      <c r="AM38" s="432">
        <f t="array" ref="AM38">MAX((IF(MNU_CODIGO_ALIMENTO_ENTREGA=CONCATENATE($E38,"_","P_"),MNU_GRAMAJE_REQUERIDO_TIPOM,"")))</f>
        <v>100</v>
      </c>
      <c r="AN38" s="261">
        <f t="shared" si="30"/>
        <v>350</v>
      </c>
      <c r="AO38" s="261">
        <f t="shared" si="31"/>
        <v>8050</v>
      </c>
      <c r="AP38" s="452">
        <f t="shared" si="32"/>
        <v>154</v>
      </c>
      <c r="AQ38" s="452">
        <f t="shared" si="33"/>
        <v>7.515200000000001</v>
      </c>
      <c r="AR38" s="452">
        <f t="shared" si="34"/>
        <v>0.13244246400000001</v>
      </c>
      <c r="AS38" s="452">
        <f t="shared" si="35"/>
        <v>162</v>
      </c>
      <c r="AT38" s="262">
        <f t="shared" si="36"/>
        <v>1239700</v>
      </c>
      <c r="AU38" s="262">
        <f t="shared" si="37"/>
        <v>1304100</v>
      </c>
      <c r="AV38" s="431">
        <f t="shared" si="38"/>
        <v>23</v>
      </c>
      <c r="AW38" s="431">
        <f t="array" ref="AW38">MAX((IF(MNU_CODIGO_ALIMENTO_ENTREGA=CONCATENATE($E38,"_","P_"),MNU_GRAMAJE_REQUERIDO_TIPOH,"")))</f>
        <v>100</v>
      </c>
      <c r="AX38" s="259">
        <f t="shared" si="39"/>
        <v>291</v>
      </c>
      <c r="AY38" s="259">
        <f t="shared" si="40"/>
        <v>6693</v>
      </c>
      <c r="AZ38" s="452">
        <f t="shared" si="41"/>
        <v>154</v>
      </c>
      <c r="BA38" s="452">
        <f t="shared" si="42"/>
        <v>7.515200000000001</v>
      </c>
      <c r="BB38" s="452">
        <f t="shared" si="43"/>
        <v>0.13244246400000001</v>
      </c>
      <c r="BC38" s="452">
        <f t="shared" si="44"/>
        <v>162</v>
      </c>
      <c r="BD38" s="260">
        <f t="shared" si="45"/>
        <v>1030722</v>
      </c>
      <c r="BE38" s="260">
        <f t="shared" si="46"/>
        <v>1084266</v>
      </c>
      <c r="BF38" s="397">
        <f t="shared" si="47"/>
        <v>80997224</v>
      </c>
      <c r="BG38" s="397">
        <f t="shared" si="48"/>
        <v>85204872</v>
      </c>
    </row>
    <row r="39" spans="1:59" ht="15.75">
      <c r="A39" s="338">
        <v>2</v>
      </c>
      <c r="B39" s="338" t="str">
        <f t="shared" si="0"/>
        <v>FRUTA_2</v>
      </c>
      <c r="C39" s="338" t="str">
        <f t="shared" si="1"/>
        <v>59_2</v>
      </c>
      <c r="D39" s="338" t="s">
        <v>1</v>
      </c>
      <c r="E39" s="258">
        <v>59</v>
      </c>
      <c r="F39" s="328" t="s">
        <v>99</v>
      </c>
      <c r="G39" s="258" t="s">
        <v>9</v>
      </c>
      <c r="H39" s="431">
        <f t="shared" si="2"/>
        <v>0</v>
      </c>
      <c r="I39" s="431">
        <f t="array" ref="I39">MAX((IF(MNU_CODIGO_ALIMENTO_ENTREGA=CONCATENATE($E39,"_","P_"),MNU_GRAMAJE_REQUERIDO_TIPOA,"")))</f>
        <v>0</v>
      </c>
      <c r="J39" s="259">
        <f t="shared" si="3"/>
        <v>5880</v>
      </c>
      <c r="K39" s="259">
        <f t="shared" si="4"/>
        <v>0</v>
      </c>
      <c r="L39" s="452">
        <f t="shared" si="5"/>
        <v>0</v>
      </c>
      <c r="M39" s="452">
        <f t="shared" si="6"/>
        <v>0</v>
      </c>
      <c r="N39" s="452">
        <f t="shared" si="7"/>
        <v>0</v>
      </c>
      <c r="O39" s="452">
        <f t="shared" si="8"/>
        <v>0</v>
      </c>
      <c r="P39" s="260">
        <f t="shared" si="9"/>
        <v>0</v>
      </c>
      <c r="Q39" s="260">
        <f t="shared" si="10"/>
        <v>0</v>
      </c>
      <c r="R39" s="432">
        <f t="shared" si="11"/>
        <v>8</v>
      </c>
      <c r="S39" s="432">
        <f t="array" ref="S39">MAX((IF(MNU_CODIGO_ALIMENTO_ENTREGA=CONCATENATE($E39,"_","P_"),MNU_GRAMAJE_REQUERIDO_TIPOB,"")))</f>
        <v>100</v>
      </c>
      <c r="T39" s="261">
        <f t="shared" si="12"/>
        <v>7991</v>
      </c>
      <c r="U39" s="261">
        <f t="shared" si="13"/>
        <v>63928</v>
      </c>
      <c r="V39" s="452">
        <f t="shared" si="14"/>
        <v>286</v>
      </c>
      <c r="W39" s="452">
        <f t="shared" si="15"/>
        <v>13.956800000000001</v>
      </c>
      <c r="X39" s="452">
        <f t="shared" si="16"/>
        <v>0.24596457599999999</v>
      </c>
      <c r="Y39" s="452">
        <f t="shared" si="17"/>
        <v>300</v>
      </c>
      <c r="Z39" s="262">
        <f t="shared" si="18"/>
        <v>18283408</v>
      </c>
      <c r="AA39" s="262">
        <f t="shared" si="19"/>
        <v>19178400</v>
      </c>
      <c r="AB39" s="431">
        <f t="shared" si="20"/>
        <v>8</v>
      </c>
      <c r="AC39" s="431">
        <f t="array" ref="AC39">MAX((IF(MNU_CODIGO_ALIMENTO_ENTREGA=CONCATENATE($E39,"_","P_"),MNU_GRAMAJE_REQUERIDO_TIPOC,"")))</f>
        <v>100</v>
      </c>
      <c r="AD39" s="259">
        <f t="shared" si="21"/>
        <v>8100</v>
      </c>
      <c r="AE39" s="259">
        <f t="shared" si="22"/>
        <v>64800</v>
      </c>
      <c r="AF39" s="452">
        <f t="shared" si="23"/>
        <v>286</v>
      </c>
      <c r="AG39" s="452">
        <f t="shared" si="24"/>
        <v>13.956800000000001</v>
      </c>
      <c r="AH39" s="452">
        <f t="shared" si="25"/>
        <v>0.24596457599999999</v>
      </c>
      <c r="AI39" s="452">
        <f t="shared" si="26"/>
        <v>300</v>
      </c>
      <c r="AJ39" s="260">
        <f t="shared" si="27"/>
        <v>18532800</v>
      </c>
      <c r="AK39" s="260">
        <f t="shared" si="28"/>
        <v>19440000</v>
      </c>
      <c r="AL39" s="432">
        <f t="shared" si="29"/>
        <v>8</v>
      </c>
      <c r="AM39" s="432">
        <f t="array" ref="AM39">MAX((IF(MNU_CODIGO_ALIMENTO_ENTREGA=CONCATENATE($E39,"_","P_"),MNU_GRAMAJE_REQUERIDO_TIPOM,"")))</f>
        <v>100</v>
      </c>
      <c r="AN39" s="261">
        <f t="shared" si="30"/>
        <v>350</v>
      </c>
      <c r="AO39" s="261">
        <f t="shared" si="31"/>
        <v>2800</v>
      </c>
      <c r="AP39" s="452">
        <f t="shared" si="32"/>
        <v>286</v>
      </c>
      <c r="AQ39" s="452">
        <f t="shared" si="33"/>
        <v>13.956800000000001</v>
      </c>
      <c r="AR39" s="452">
        <f t="shared" si="34"/>
        <v>0.24596457599999999</v>
      </c>
      <c r="AS39" s="452">
        <f t="shared" si="35"/>
        <v>300</v>
      </c>
      <c r="AT39" s="262">
        <f t="shared" si="36"/>
        <v>800800</v>
      </c>
      <c r="AU39" s="262">
        <f t="shared" si="37"/>
        <v>840000</v>
      </c>
      <c r="AV39" s="431">
        <f t="shared" si="38"/>
        <v>8</v>
      </c>
      <c r="AW39" s="431">
        <f t="array" ref="AW39">MAX((IF(MNU_CODIGO_ALIMENTO_ENTREGA=CONCATENATE($E39,"_","P_"),MNU_GRAMAJE_REQUERIDO_TIPOH,"")))</f>
        <v>100</v>
      </c>
      <c r="AX39" s="259">
        <f t="shared" si="39"/>
        <v>291</v>
      </c>
      <c r="AY39" s="259">
        <f t="shared" si="40"/>
        <v>2328</v>
      </c>
      <c r="AZ39" s="452">
        <f t="shared" si="41"/>
        <v>286</v>
      </c>
      <c r="BA39" s="452">
        <f t="shared" si="42"/>
        <v>13.956800000000001</v>
      </c>
      <c r="BB39" s="452">
        <f t="shared" si="43"/>
        <v>0.24596457599999999</v>
      </c>
      <c r="BC39" s="452">
        <f t="shared" si="44"/>
        <v>300</v>
      </c>
      <c r="BD39" s="260">
        <f t="shared" si="45"/>
        <v>665808</v>
      </c>
      <c r="BE39" s="260">
        <f t="shared" si="46"/>
        <v>698400</v>
      </c>
      <c r="BF39" s="397">
        <f t="shared" si="47"/>
        <v>38282816</v>
      </c>
      <c r="BG39" s="397">
        <f t="shared" si="48"/>
        <v>40156800</v>
      </c>
    </row>
    <row r="40" spans="1:59" ht="15.75">
      <c r="A40" s="338">
        <v>2</v>
      </c>
      <c r="B40" s="338" t="str">
        <f t="shared" si="0"/>
        <v>FRUTA_2</v>
      </c>
      <c r="C40" s="338" t="str">
        <f t="shared" si="1"/>
        <v>69_2</v>
      </c>
      <c r="D40" s="338" t="s">
        <v>1</v>
      </c>
      <c r="E40" s="258">
        <v>69</v>
      </c>
      <c r="F40" s="328" t="s">
        <v>70</v>
      </c>
      <c r="G40" s="258" t="s">
        <v>9</v>
      </c>
      <c r="H40" s="431">
        <f t="shared" si="2"/>
        <v>30</v>
      </c>
      <c r="I40" s="431">
        <f t="array" ref="I40">MAX((IF(MNU_CODIGO_ALIMENTO_ENTREGA=CONCATENATE($E40,"_","P_"),MNU_GRAMAJE_REQUERIDO_TIPOA,"")))</f>
        <v>100</v>
      </c>
      <c r="J40" s="259">
        <f t="shared" si="3"/>
        <v>5880</v>
      </c>
      <c r="K40" s="259">
        <f t="shared" si="4"/>
        <v>176400</v>
      </c>
      <c r="L40" s="452">
        <f t="shared" si="5"/>
        <v>305</v>
      </c>
      <c r="M40" s="452">
        <f t="shared" si="6"/>
        <v>14.884</v>
      </c>
      <c r="N40" s="452">
        <f t="shared" si="7"/>
        <v>0.26230488000000002</v>
      </c>
      <c r="O40" s="452">
        <f t="shared" si="8"/>
        <v>320</v>
      </c>
      <c r="P40" s="260">
        <f t="shared" si="9"/>
        <v>53802000</v>
      </c>
      <c r="Q40" s="260">
        <f t="shared" si="10"/>
        <v>56448000</v>
      </c>
      <c r="R40" s="432">
        <f t="shared" si="11"/>
        <v>16</v>
      </c>
      <c r="S40" s="432">
        <f t="array" ref="S40">MAX((IF(MNU_CODIGO_ALIMENTO_ENTREGA=CONCATENATE($E40,"_","P_"),MNU_GRAMAJE_REQUERIDO_TIPOB,"")))</f>
        <v>100</v>
      </c>
      <c r="T40" s="261">
        <f t="shared" si="12"/>
        <v>7991</v>
      </c>
      <c r="U40" s="261">
        <f t="shared" si="13"/>
        <v>127856</v>
      </c>
      <c r="V40" s="452">
        <f t="shared" si="14"/>
        <v>305</v>
      </c>
      <c r="W40" s="452">
        <f t="shared" si="15"/>
        <v>14.884</v>
      </c>
      <c r="X40" s="452">
        <f t="shared" si="16"/>
        <v>0.26230488000000002</v>
      </c>
      <c r="Y40" s="452">
        <f t="shared" si="17"/>
        <v>320</v>
      </c>
      <c r="Z40" s="262">
        <f t="shared" si="18"/>
        <v>38996080</v>
      </c>
      <c r="AA40" s="262">
        <f t="shared" si="19"/>
        <v>40913920</v>
      </c>
      <c r="AB40" s="431">
        <f t="shared" si="20"/>
        <v>16</v>
      </c>
      <c r="AC40" s="431">
        <f t="array" ref="AC40">MAX((IF(MNU_CODIGO_ALIMENTO_ENTREGA=CONCATENATE($E40,"_","P_"),MNU_GRAMAJE_REQUERIDO_TIPOC,"")))</f>
        <v>100</v>
      </c>
      <c r="AD40" s="259">
        <f t="shared" si="21"/>
        <v>8100</v>
      </c>
      <c r="AE40" s="259">
        <f t="shared" si="22"/>
        <v>129600</v>
      </c>
      <c r="AF40" s="452">
        <f t="shared" si="23"/>
        <v>305</v>
      </c>
      <c r="AG40" s="452">
        <f t="shared" si="24"/>
        <v>14.884</v>
      </c>
      <c r="AH40" s="452">
        <f t="shared" si="25"/>
        <v>0.26230488000000002</v>
      </c>
      <c r="AI40" s="452">
        <f t="shared" si="26"/>
        <v>320</v>
      </c>
      <c r="AJ40" s="260">
        <f t="shared" si="27"/>
        <v>39528000</v>
      </c>
      <c r="AK40" s="260">
        <f t="shared" si="28"/>
        <v>41472000</v>
      </c>
      <c r="AL40" s="432">
        <f t="shared" si="29"/>
        <v>16</v>
      </c>
      <c r="AM40" s="432">
        <f t="array" ref="AM40">MAX((IF(MNU_CODIGO_ALIMENTO_ENTREGA=CONCATENATE($E40,"_","P_"),MNU_GRAMAJE_REQUERIDO_TIPOM,"")))</f>
        <v>100</v>
      </c>
      <c r="AN40" s="261">
        <f t="shared" si="30"/>
        <v>350</v>
      </c>
      <c r="AO40" s="261">
        <f t="shared" si="31"/>
        <v>5600</v>
      </c>
      <c r="AP40" s="452">
        <f t="shared" si="32"/>
        <v>305</v>
      </c>
      <c r="AQ40" s="452">
        <f t="shared" si="33"/>
        <v>14.884</v>
      </c>
      <c r="AR40" s="452">
        <f t="shared" si="34"/>
        <v>0.26230488000000002</v>
      </c>
      <c r="AS40" s="452">
        <f t="shared" si="35"/>
        <v>320</v>
      </c>
      <c r="AT40" s="262">
        <f t="shared" si="36"/>
        <v>1708000</v>
      </c>
      <c r="AU40" s="262">
        <f t="shared" si="37"/>
        <v>1792000</v>
      </c>
      <c r="AV40" s="431">
        <f t="shared" si="38"/>
        <v>16</v>
      </c>
      <c r="AW40" s="431">
        <f t="array" ref="AW40">MAX((IF(MNU_CODIGO_ALIMENTO_ENTREGA=CONCATENATE($E40,"_","P_"),MNU_GRAMAJE_REQUERIDO_TIPOH,"")))</f>
        <v>100</v>
      </c>
      <c r="AX40" s="259">
        <f t="shared" si="39"/>
        <v>291</v>
      </c>
      <c r="AY40" s="259">
        <f t="shared" si="40"/>
        <v>4656</v>
      </c>
      <c r="AZ40" s="452">
        <f t="shared" si="41"/>
        <v>305</v>
      </c>
      <c r="BA40" s="452">
        <f t="shared" si="42"/>
        <v>14.884</v>
      </c>
      <c r="BB40" s="452">
        <f t="shared" si="43"/>
        <v>0.26230488000000002</v>
      </c>
      <c r="BC40" s="452">
        <f t="shared" si="44"/>
        <v>320</v>
      </c>
      <c r="BD40" s="260">
        <f t="shared" si="45"/>
        <v>1420080</v>
      </c>
      <c r="BE40" s="260">
        <f t="shared" si="46"/>
        <v>1489920</v>
      </c>
      <c r="BF40" s="397">
        <f t="shared" si="47"/>
        <v>135454160</v>
      </c>
      <c r="BG40" s="397">
        <f t="shared" si="48"/>
        <v>142115840</v>
      </c>
    </row>
    <row r="41" spans="1:59" ht="15.75">
      <c r="A41" s="338">
        <v>2</v>
      </c>
      <c r="B41" s="338" t="str">
        <f t="shared" si="0"/>
        <v>FRUTA_2</v>
      </c>
      <c r="C41" s="338" t="str">
        <f t="shared" si="1"/>
        <v>70_2</v>
      </c>
      <c r="D41" s="338" t="s">
        <v>1</v>
      </c>
      <c r="E41" s="258">
        <v>70</v>
      </c>
      <c r="F41" s="328" t="s">
        <v>71</v>
      </c>
      <c r="G41" s="258" t="s">
        <v>9</v>
      </c>
      <c r="H41" s="431">
        <f t="shared" si="2"/>
        <v>0</v>
      </c>
      <c r="I41" s="431">
        <f t="array" ref="I41">MAX((IF(MNU_CODIGO_ALIMENTO_ENTREGA=CONCATENATE($E41,"_","P_"),MNU_GRAMAJE_REQUERIDO_TIPOA,"")))</f>
        <v>0</v>
      </c>
      <c r="J41" s="259">
        <f t="shared" si="3"/>
        <v>5880</v>
      </c>
      <c r="K41" s="259">
        <f t="shared" si="4"/>
        <v>0</v>
      </c>
      <c r="L41" s="452">
        <f t="shared" si="5"/>
        <v>0</v>
      </c>
      <c r="M41" s="452">
        <f t="shared" si="6"/>
        <v>0</v>
      </c>
      <c r="N41" s="452">
        <f t="shared" si="7"/>
        <v>0</v>
      </c>
      <c r="O41" s="452">
        <f t="shared" si="8"/>
        <v>0</v>
      </c>
      <c r="P41" s="260">
        <f t="shared" si="9"/>
        <v>0</v>
      </c>
      <c r="Q41" s="260">
        <f t="shared" si="10"/>
        <v>0</v>
      </c>
      <c r="R41" s="432">
        <f t="shared" si="11"/>
        <v>10</v>
      </c>
      <c r="S41" s="432">
        <f t="array" ref="S41">MAX((IF(MNU_CODIGO_ALIMENTO_ENTREGA=CONCATENATE($E41,"_","P_"),MNU_GRAMAJE_REQUERIDO_TIPOB,"")))</f>
        <v>100</v>
      </c>
      <c r="T41" s="261">
        <f t="shared" si="12"/>
        <v>7991</v>
      </c>
      <c r="U41" s="261">
        <f t="shared" si="13"/>
        <v>79910</v>
      </c>
      <c r="V41" s="452">
        <f t="shared" si="14"/>
        <v>434</v>
      </c>
      <c r="W41" s="452">
        <f t="shared" si="15"/>
        <v>21.179200000000002</v>
      </c>
      <c r="X41" s="452">
        <f t="shared" si="16"/>
        <v>0.37324694399999997</v>
      </c>
      <c r="Y41" s="452">
        <f t="shared" si="17"/>
        <v>456</v>
      </c>
      <c r="Z41" s="262">
        <f t="shared" si="18"/>
        <v>34680940</v>
      </c>
      <c r="AA41" s="262">
        <f t="shared" si="19"/>
        <v>36438960</v>
      </c>
      <c r="AB41" s="431">
        <f t="shared" si="20"/>
        <v>10</v>
      </c>
      <c r="AC41" s="431">
        <f t="array" ref="AC41">MAX((IF(MNU_CODIGO_ALIMENTO_ENTREGA=CONCATENATE($E41,"_","P_"),MNU_GRAMAJE_REQUERIDO_TIPOC,"")))</f>
        <v>100</v>
      </c>
      <c r="AD41" s="259">
        <f t="shared" si="21"/>
        <v>8100</v>
      </c>
      <c r="AE41" s="259">
        <f t="shared" si="22"/>
        <v>81000</v>
      </c>
      <c r="AF41" s="452">
        <f t="shared" si="23"/>
        <v>434</v>
      </c>
      <c r="AG41" s="452">
        <f t="shared" si="24"/>
        <v>21.179200000000002</v>
      </c>
      <c r="AH41" s="452">
        <f t="shared" si="25"/>
        <v>0.37324694399999997</v>
      </c>
      <c r="AI41" s="452">
        <f t="shared" si="26"/>
        <v>456</v>
      </c>
      <c r="AJ41" s="260">
        <f t="shared" si="27"/>
        <v>35154000</v>
      </c>
      <c r="AK41" s="260">
        <f t="shared" si="28"/>
        <v>36936000</v>
      </c>
      <c r="AL41" s="432">
        <f t="shared" si="29"/>
        <v>10</v>
      </c>
      <c r="AM41" s="432">
        <f t="array" ref="AM41">MAX((IF(MNU_CODIGO_ALIMENTO_ENTREGA=CONCATENATE($E41,"_","P_"),MNU_GRAMAJE_REQUERIDO_TIPOM,"")))</f>
        <v>100</v>
      </c>
      <c r="AN41" s="261">
        <f t="shared" si="30"/>
        <v>350</v>
      </c>
      <c r="AO41" s="261">
        <f t="shared" si="31"/>
        <v>3500</v>
      </c>
      <c r="AP41" s="452">
        <f t="shared" si="32"/>
        <v>434</v>
      </c>
      <c r="AQ41" s="452">
        <f t="shared" si="33"/>
        <v>21.179200000000002</v>
      </c>
      <c r="AR41" s="452">
        <f t="shared" si="34"/>
        <v>0.37324694399999997</v>
      </c>
      <c r="AS41" s="452">
        <f t="shared" si="35"/>
        <v>456</v>
      </c>
      <c r="AT41" s="262">
        <f t="shared" si="36"/>
        <v>1519000</v>
      </c>
      <c r="AU41" s="262">
        <f t="shared" si="37"/>
        <v>1596000</v>
      </c>
      <c r="AV41" s="431">
        <f t="shared" si="38"/>
        <v>10</v>
      </c>
      <c r="AW41" s="431">
        <f t="array" ref="AW41">MAX((IF(MNU_CODIGO_ALIMENTO_ENTREGA=CONCATENATE($E41,"_","P_"),MNU_GRAMAJE_REQUERIDO_TIPOH,"")))</f>
        <v>100</v>
      </c>
      <c r="AX41" s="259">
        <f t="shared" si="39"/>
        <v>291</v>
      </c>
      <c r="AY41" s="259">
        <f t="shared" si="40"/>
        <v>2910</v>
      </c>
      <c r="AZ41" s="452">
        <f t="shared" si="41"/>
        <v>434</v>
      </c>
      <c r="BA41" s="452">
        <f t="shared" si="42"/>
        <v>21.179200000000002</v>
      </c>
      <c r="BB41" s="452">
        <f t="shared" si="43"/>
        <v>0.37324694399999997</v>
      </c>
      <c r="BC41" s="452">
        <f t="shared" si="44"/>
        <v>456</v>
      </c>
      <c r="BD41" s="260">
        <f t="shared" si="45"/>
        <v>1262940</v>
      </c>
      <c r="BE41" s="260">
        <f t="shared" si="46"/>
        <v>1326960</v>
      </c>
      <c r="BF41" s="397">
        <f t="shared" si="47"/>
        <v>72616880</v>
      </c>
      <c r="BG41" s="397">
        <f t="shared" si="48"/>
        <v>76297920</v>
      </c>
    </row>
    <row r="42" spans="1:59" ht="15.75">
      <c r="A42" s="338">
        <v>3</v>
      </c>
      <c r="B42" s="338" t="str">
        <f t="shared" si="0"/>
        <v>FRUTA_3</v>
      </c>
      <c r="C42" s="338" t="str">
        <f t="shared" si="1"/>
        <v>7_3</v>
      </c>
      <c r="D42" s="338" t="s">
        <v>1</v>
      </c>
      <c r="E42" s="258">
        <v>7</v>
      </c>
      <c r="F42" s="465" t="s">
        <v>57</v>
      </c>
      <c r="G42" s="258" t="s">
        <v>9</v>
      </c>
      <c r="H42" s="431">
        <f t="shared" si="2"/>
        <v>22</v>
      </c>
      <c r="I42" s="431">
        <f t="array" ref="I42">MAX((IF(MNU_CODIGO_ALIMENTO_ENTREGA=CONCATENATE($E42,"_","P_"),MNU_GRAMAJE_REQUERIDO_TIPOA,"")))</f>
        <v>100</v>
      </c>
      <c r="J42" s="259">
        <f t="shared" si="3"/>
        <v>6099</v>
      </c>
      <c r="K42" s="259">
        <f t="shared" si="4"/>
        <v>134178</v>
      </c>
      <c r="L42" s="452">
        <f t="shared" si="5"/>
        <v>107</v>
      </c>
      <c r="M42" s="452">
        <f t="shared" si="6"/>
        <v>5.2216000000000005</v>
      </c>
      <c r="N42" s="452">
        <f t="shared" si="7"/>
        <v>9.2021712000000006E-2</v>
      </c>
      <c r="O42" s="452">
        <f t="shared" si="8"/>
        <v>112</v>
      </c>
      <c r="P42" s="260">
        <f t="shared" si="9"/>
        <v>14357046</v>
      </c>
      <c r="Q42" s="260">
        <f t="shared" si="10"/>
        <v>15027936</v>
      </c>
      <c r="R42" s="432">
        <f t="shared" si="11"/>
        <v>9</v>
      </c>
      <c r="S42" s="432">
        <f t="array" ref="S42">MAX((IF(MNU_CODIGO_ALIMENTO_ENTREGA=CONCATENATE($E42,"_","P_"),MNU_GRAMAJE_REQUERIDO_TIPOB,"")))</f>
        <v>100</v>
      </c>
      <c r="T42" s="261">
        <f t="shared" si="12"/>
        <v>7295</v>
      </c>
      <c r="U42" s="261">
        <f t="shared" si="13"/>
        <v>65655</v>
      </c>
      <c r="V42" s="452">
        <f t="shared" si="14"/>
        <v>107</v>
      </c>
      <c r="W42" s="452">
        <f t="shared" si="15"/>
        <v>5.2216000000000005</v>
      </c>
      <c r="X42" s="452">
        <f t="shared" si="16"/>
        <v>9.2021712000000006E-2</v>
      </c>
      <c r="Y42" s="452">
        <f t="shared" si="17"/>
        <v>112</v>
      </c>
      <c r="Z42" s="262">
        <f t="shared" si="18"/>
        <v>7025085</v>
      </c>
      <c r="AA42" s="262">
        <f t="shared" si="19"/>
        <v>7353360</v>
      </c>
      <c r="AB42" s="431">
        <f t="shared" si="20"/>
        <v>9</v>
      </c>
      <c r="AC42" s="431">
        <f t="array" ref="AC42">MAX((IF(MNU_CODIGO_ALIMENTO_ENTREGA=CONCATENATE($E42,"_","P_"),MNU_GRAMAJE_REQUERIDO_TIPOC,"")))</f>
        <v>100</v>
      </c>
      <c r="AD42" s="259">
        <f t="shared" si="21"/>
        <v>7610</v>
      </c>
      <c r="AE42" s="259">
        <f t="shared" si="22"/>
        <v>68490</v>
      </c>
      <c r="AF42" s="452">
        <f t="shared" si="23"/>
        <v>107</v>
      </c>
      <c r="AG42" s="452">
        <f t="shared" si="24"/>
        <v>5.2216000000000005</v>
      </c>
      <c r="AH42" s="452">
        <f t="shared" si="25"/>
        <v>9.2021712000000006E-2</v>
      </c>
      <c r="AI42" s="452">
        <f t="shared" si="26"/>
        <v>112</v>
      </c>
      <c r="AJ42" s="260">
        <f t="shared" si="27"/>
        <v>7328430</v>
      </c>
      <c r="AK42" s="260">
        <f t="shared" si="28"/>
        <v>7670880</v>
      </c>
      <c r="AL42" s="432">
        <f t="shared" si="29"/>
        <v>9</v>
      </c>
      <c r="AM42" s="432">
        <f t="array" ref="AM42">MAX((IF(MNU_CODIGO_ALIMENTO_ENTREGA=CONCATENATE($E42,"_","P_"),MNU_GRAMAJE_REQUERIDO_TIPOM,"")))</f>
        <v>100</v>
      </c>
      <c r="AN42" s="261">
        <f t="shared" si="30"/>
        <v>243</v>
      </c>
      <c r="AO42" s="261">
        <f t="shared" si="31"/>
        <v>2187</v>
      </c>
      <c r="AP42" s="452">
        <f t="shared" si="32"/>
        <v>107</v>
      </c>
      <c r="AQ42" s="452">
        <f t="shared" si="33"/>
        <v>5.2216000000000005</v>
      </c>
      <c r="AR42" s="452">
        <f t="shared" si="34"/>
        <v>9.2021712000000006E-2</v>
      </c>
      <c r="AS42" s="452">
        <f t="shared" si="35"/>
        <v>112</v>
      </c>
      <c r="AT42" s="262">
        <f t="shared" si="36"/>
        <v>234009</v>
      </c>
      <c r="AU42" s="262">
        <f t="shared" si="37"/>
        <v>244944</v>
      </c>
      <c r="AV42" s="431">
        <f t="shared" si="38"/>
        <v>9</v>
      </c>
      <c r="AW42" s="431">
        <f t="array" ref="AW42">MAX((IF(MNU_CODIGO_ALIMENTO_ENTREGA=CONCATENATE($E42,"_","P_"),MNU_GRAMAJE_REQUERIDO_TIPOH,"")))</f>
        <v>100</v>
      </c>
      <c r="AX42" s="259">
        <f t="shared" si="39"/>
        <v>220</v>
      </c>
      <c r="AY42" s="259">
        <f t="shared" si="40"/>
        <v>1980</v>
      </c>
      <c r="AZ42" s="452">
        <f t="shared" si="41"/>
        <v>107</v>
      </c>
      <c r="BA42" s="452">
        <f t="shared" si="42"/>
        <v>5.2216000000000005</v>
      </c>
      <c r="BB42" s="452">
        <f t="shared" si="43"/>
        <v>9.2021712000000006E-2</v>
      </c>
      <c r="BC42" s="452">
        <f t="shared" si="44"/>
        <v>112</v>
      </c>
      <c r="BD42" s="260">
        <f t="shared" si="45"/>
        <v>211860</v>
      </c>
      <c r="BE42" s="260">
        <f t="shared" si="46"/>
        <v>221760</v>
      </c>
      <c r="BF42" s="397">
        <f t="shared" si="47"/>
        <v>29156430</v>
      </c>
      <c r="BG42" s="397">
        <f t="shared" si="48"/>
        <v>30518880</v>
      </c>
    </row>
    <row r="43" spans="1:59" ht="15.75">
      <c r="A43" s="338">
        <v>3</v>
      </c>
      <c r="B43" s="338" t="str">
        <f t="shared" si="0"/>
        <v>FRUTA_3</v>
      </c>
      <c r="C43" s="338" t="str">
        <f t="shared" si="1"/>
        <v>8_3</v>
      </c>
      <c r="D43" s="338" t="s">
        <v>1</v>
      </c>
      <c r="E43" s="258">
        <v>8</v>
      </c>
      <c r="F43" s="328" t="s">
        <v>55</v>
      </c>
      <c r="G43" s="258" t="s">
        <v>9</v>
      </c>
      <c r="H43" s="431">
        <f t="shared" si="2"/>
        <v>10</v>
      </c>
      <c r="I43" s="431">
        <f t="array" ref="I43">MAX((IF(MNU_CODIGO_ALIMENTO_ENTREGA=CONCATENATE($E43,"_","P_"),MNU_GRAMAJE_REQUERIDO_TIPOA,"")))</f>
        <v>100</v>
      </c>
      <c r="J43" s="259">
        <f t="shared" si="3"/>
        <v>6099</v>
      </c>
      <c r="K43" s="259">
        <f t="shared" si="4"/>
        <v>60990</v>
      </c>
      <c r="L43" s="452">
        <f t="shared" si="5"/>
        <v>134</v>
      </c>
      <c r="M43" s="452">
        <f t="shared" si="6"/>
        <v>6.539200000000001</v>
      </c>
      <c r="N43" s="452">
        <f t="shared" si="7"/>
        <v>0.115242144</v>
      </c>
      <c r="O43" s="452">
        <f t="shared" si="8"/>
        <v>141</v>
      </c>
      <c r="P43" s="260">
        <f t="shared" si="9"/>
        <v>8172660</v>
      </c>
      <c r="Q43" s="260">
        <f t="shared" si="10"/>
        <v>8599590</v>
      </c>
      <c r="R43" s="432">
        <f t="shared" si="11"/>
        <v>8</v>
      </c>
      <c r="S43" s="432">
        <f t="array" ref="S43">MAX((IF(MNU_CODIGO_ALIMENTO_ENTREGA=CONCATENATE($E43,"_","P_"),MNU_GRAMAJE_REQUERIDO_TIPOB,"")))</f>
        <v>100</v>
      </c>
      <c r="T43" s="261">
        <f t="shared" si="12"/>
        <v>7295</v>
      </c>
      <c r="U43" s="261">
        <f t="shared" si="13"/>
        <v>58360</v>
      </c>
      <c r="V43" s="452">
        <f t="shared" si="14"/>
        <v>134</v>
      </c>
      <c r="W43" s="452">
        <f t="shared" si="15"/>
        <v>6.539200000000001</v>
      </c>
      <c r="X43" s="452">
        <f t="shared" si="16"/>
        <v>0.115242144</v>
      </c>
      <c r="Y43" s="452">
        <f t="shared" si="17"/>
        <v>141</v>
      </c>
      <c r="Z43" s="262">
        <f t="shared" si="18"/>
        <v>7820240</v>
      </c>
      <c r="AA43" s="262">
        <f t="shared" si="19"/>
        <v>8228760</v>
      </c>
      <c r="AB43" s="431">
        <f t="shared" si="20"/>
        <v>8</v>
      </c>
      <c r="AC43" s="431">
        <f t="array" ref="AC43">MAX((IF(MNU_CODIGO_ALIMENTO_ENTREGA=CONCATENATE($E43,"_","P_"),MNU_GRAMAJE_REQUERIDO_TIPOC,"")))</f>
        <v>100</v>
      </c>
      <c r="AD43" s="259">
        <f t="shared" si="21"/>
        <v>7610</v>
      </c>
      <c r="AE43" s="259">
        <f t="shared" si="22"/>
        <v>60880</v>
      </c>
      <c r="AF43" s="452">
        <f t="shared" si="23"/>
        <v>134</v>
      </c>
      <c r="AG43" s="452">
        <f t="shared" si="24"/>
        <v>6.539200000000001</v>
      </c>
      <c r="AH43" s="452">
        <f t="shared" si="25"/>
        <v>0.115242144</v>
      </c>
      <c r="AI43" s="452">
        <f t="shared" si="26"/>
        <v>141</v>
      </c>
      <c r="AJ43" s="260">
        <f t="shared" si="27"/>
        <v>8157920</v>
      </c>
      <c r="AK43" s="260">
        <f t="shared" si="28"/>
        <v>8584080</v>
      </c>
      <c r="AL43" s="432">
        <f t="shared" si="29"/>
        <v>8</v>
      </c>
      <c r="AM43" s="432">
        <f t="array" ref="AM43">MAX((IF(MNU_CODIGO_ALIMENTO_ENTREGA=CONCATENATE($E43,"_","P_"),MNU_GRAMAJE_REQUERIDO_TIPOM,"")))</f>
        <v>100</v>
      </c>
      <c r="AN43" s="261">
        <f t="shared" si="30"/>
        <v>243</v>
      </c>
      <c r="AO43" s="261">
        <f t="shared" si="31"/>
        <v>1944</v>
      </c>
      <c r="AP43" s="452">
        <f t="shared" si="32"/>
        <v>134</v>
      </c>
      <c r="AQ43" s="452">
        <f t="shared" si="33"/>
        <v>6.539200000000001</v>
      </c>
      <c r="AR43" s="452">
        <f t="shared" si="34"/>
        <v>0.115242144</v>
      </c>
      <c r="AS43" s="452">
        <f t="shared" si="35"/>
        <v>141</v>
      </c>
      <c r="AT43" s="262">
        <f t="shared" si="36"/>
        <v>260496</v>
      </c>
      <c r="AU43" s="262">
        <f t="shared" si="37"/>
        <v>274104</v>
      </c>
      <c r="AV43" s="431">
        <f t="shared" si="38"/>
        <v>8</v>
      </c>
      <c r="AW43" s="431">
        <f t="array" ref="AW43">MAX((IF(MNU_CODIGO_ALIMENTO_ENTREGA=CONCATENATE($E43,"_","P_"),MNU_GRAMAJE_REQUERIDO_TIPOH,"")))</f>
        <v>100</v>
      </c>
      <c r="AX43" s="259">
        <f t="shared" si="39"/>
        <v>220</v>
      </c>
      <c r="AY43" s="259">
        <f t="shared" si="40"/>
        <v>1760</v>
      </c>
      <c r="AZ43" s="452">
        <f t="shared" si="41"/>
        <v>134</v>
      </c>
      <c r="BA43" s="452">
        <f t="shared" si="42"/>
        <v>6.539200000000001</v>
      </c>
      <c r="BB43" s="452">
        <f t="shared" si="43"/>
        <v>0.115242144</v>
      </c>
      <c r="BC43" s="452">
        <f t="shared" si="44"/>
        <v>141</v>
      </c>
      <c r="BD43" s="260">
        <f t="shared" si="45"/>
        <v>235840</v>
      </c>
      <c r="BE43" s="260">
        <f t="shared" si="46"/>
        <v>248160</v>
      </c>
      <c r="BF43" s="397">
        <f t="shared" si="47"/>
        <v>24647156</v>
      </c>
      <c r="BG43" s="397">
        <f t="shared" si="48"/>
        <v>25934694</v>
      </c>
    </row>
    <row r="44" spans="1:59" ht="15.75">
      <c r="A44" s="338">
        <v>3</v>
      </c>
      <c r="B44" s="338" t="str">
        <f t="shared" si="0"/>
        <v>FRUTA_3</v>
      </c>
      <c r="C44" s="338" t="str">
        <f t="shared" si="1"/>
        <v>17_3</v>
      </c>
      <c r="D44" s="338" t="s">
        <v>1</v>
      </c>
      <c r="E44" s="258">
        <v>17</v>
      </c>
      <c r="F44" s="328" t="s">
        <v>53</v>
      </c>
      <c r="G44" s="258" t="s">
        <v>9</v>
      </c>
      <c r="H44" s="431">
        <f t="shared" si="2"/>
        <v>0</v>
      </c>
      <c r="I44" s="431">
        <f t="array" ref="I44">MAX((IF(MNU_CODIGO_ALIMENTO_ENTREGA=CONCATENATE($E44,"_","P_"),MNU_GRAMAJE_REQUERIDO_TIPOA,"")))</f>
        <v>0</v>
      </c>
      <c r="J44" s="259">
        <f t="shared" si="3"/>
        <v>6099</v>
      </c>
      <c r="K44" s="259">
        <f t="shared" si="4"/>
        <v>0</v>
      </c>
      <c r="L44" s="452">
        <f t="shared" si="5"/>
        <v>0</v>
      </c>
      <c r="M44" s="452">
        <f t="shared" si="6"/>
        <v>0</v>
      </c>
      <c r="N44" s="452">
        <f t="shared" si="7"/>
        <v>0</v>
      </c>
      <c r="O44" s="452">
        <f t="shared" si="8"/>
        <v>0</v>
      </c>
      <c r="P44" s="260">
        <f t="shared" si="9"/>
        <v>0</v>
      </c>
      <c r="Q44" s="260">
        <f t="shared" si="10"/>
        <v>0</v>
      </c>
      <c r="R44" s="432">
        <f t="shared" si="11"/>
        <v>21</v>
      </c>
      <c r="S44" s="432">
        <f t="array" ref="S44">MAX((IF(MNU_CODIGO_ALIMENTO_ENTREGA=CONCATENATE($E44,"_","P_"),MNU_GRAMAJE_REQUERIDO_TIPOB,"")))</f>
        <v>100</v>
      </c>
      <c r="T44" s="261">
        <f t="shared" si="12"/>
        <v>7295</v>
      </c>
      <c r="U44" s="261">
        <f t="shared" si="13"/>
        <v>153195</v>
      </c>
      <c r="V44" s="452">
        <f t="shared" si="14"/>
        <v>226</v>
      </c>
      <c r="W44" s="452">
        <f t="shared" si="15"/>
        <v>11.0288</v>
      </c>
      <c r="X44" s="452">
        <f t="shared" si="16"/>
        <v>0.19436361600000002</v>
      </c>
      <c r="Y44" s="452">
        <f t="shared" si="17"/>
        <v>237</v>
      </c>
      <c r="Z44" s="262">
        <f t="shared" si="18"/>
        <v>34622070</v>
      </c>
      <c r="AA44" s="262">
        <f t="shared" si="19"/>
        <v>36307215</v>
      </c>
      <c r="AB44" s="431">
        <f t="shared" si="20"/>
        <v>21</v>
      </c>
      <c r="AC44" s="431">
        <f t="array" ref="AC44">MAX((IF(MNU_CODIGO_ALIMENTO_ENTREGA=CONCATENATE($E44,"_","P_"),MNU_GRAMAJE_REQUERIDO_TIPOC,"")))</f>
        <v>100</v>
      </c>
      <c r="AD44" s="259">
        <f t="shared" si="21"/>
        <v>7610</v>
      </c>
      <c r="AE44" s="259">
        <f t="shared" si="22"/>
        <v>159810</v>
      </c>
      <c r="AF44" s="452">
        <f t="shared" si="23"/>
        <v>226</v>
      </c>
      <c r="AG44" s="452">
        <f t="shared" si="24"/>
        <v>11.0288</v>
      </c>
      <c r="AH44" s="452">
        <f t="shared" si="25"/>
        <v>0.19436361600000002</v>
      </c>
      <c r="AI44" s="452">
        <f t="shared" si="26"/>
        <v>237</v>
      </c>
      <c r="AJ44" s="260">
        <f t="shared" si="27"/>
        <v>36117060</v>
      </c>
      <c r="AK44" s="260">
        <f t="shared" si="28"/>
        <v>37874970</v>
      </c>
      <c r="AL44" s="432">
        <f t="shared" si="29"/>
        <v>21</v>
      </c>
      <c r="AM44" s="432">
        <f t="array" ref="AM44">MAX((IF(MNU_CODIGO_ALIMENTO_ENTREGA=CONCATENATE($E44,"_","P_"),MNU_GRAMAJE_REQUERIDO_TIPOM,"")))</f>
        <v>100</v>
      </c>
      <c r="AN44" s="261">
        <f t="shared" si="30"/>
        <v>243</v>
      </c>
      <c r="AO44" s="261">
        <f t="shared" si="31"/>
        <v>5103</v>
      </c>
      <c r="AP44" s="452">
        <f t="shared" si="32"/>
        <v>226</v>
      </c>
      <c r="AQ44" s="452">
        <f t="shared" si="33"/>
        <v>11.0288</v>
      </c>
      <c r="AR44" s="452">
        <f t="shared" si="34"/>
        <v>0.19436361600000002</v>
      </c>
      <c r="AS44" s="452">
        <f t="shared" si="35"/>
        <v>237</v>
      </c>
      <c r="AT44" s="262">
        <f t="shared" si="36"/>
        <v>1153278</v>
      </c>
      <c r="AU44" s="262">
        <f t="shared" si="37"/>
        <v>1209411</v>
      </c>
      <c r="AV44" s="431">
        <f t="shared" si="38"/>
        <v>21</v>
      </c>
      <c r="AW44" s="431">
        <f t="array" ref="AW44">MAX((IF(MNU_CODIGO_ALIMENTO_ENTREGA=CONCATENATE($E44,"_","P_"),MNU_GRAMAJE_REQUERIDO_TIPOH,"")))</f>
        <v>100</v>
      </c>
      <c r="AX44" s="259">
        <f t="shared" si="39"/>
        <v>220</v>
      </c>
      <c r="AY44" s="259">
        <f t="shared" si="40"/>
        <v>4620</v>
      </c>
      <c r="AZ44" s="452">
        <f t="shared" si="41"/>
        <v>226</v>
      </c>
      <c r="BA44" s="452">
        <f t="shared" si="42"/>
        <v>11.0288</v>
      </c>
      <c r="BB44" s="452">
        <f t="shared" si="43"/>
        <v>0.19436361600000002</v>
      </c>
      <c r="BC44" s="452">
        <f t="shared" si="44"/>
        <v>237</v>
      </c>
      <c r="BD44" s="260">
        <f t="shared" si="45"/>
        <v>1044120</v>
      </c>
      <c r="BE44" s="260">
        <f t="shared" si="46"/>
        <v>1094940</v>
      </c>
      <c r="BF44" s="397">
        <f t="shared" si="47"/>
        <v>72936528</v>
      </c>
      <c r="BG44" s="397">
        <f t="shared" si="48"/>
        <v>76486536</v>
      </c>
    </row>
    <row r="45" spans="1:59" ht="15.75">
      <c r="A45" s="338">
        <v>3</v>
      </c>
      <c r="B45" s="338" t="str">
        <f t="shared" si="0"/>
        <v>FRUTA_3</v>
      </c>
      <c r="C45" s="338" t="str">
        <f t="shared" si="1"/>
        <v>22_3</v>
      </c>
      <c r="D45" s="338" t="s">
        <v>1</v>
      </c>
      <c r="E45" s="258">
        <v>22</v>
      </c>
      <c r="F45" s="328" t="s">
        <v>51</v>
      </c>
      <c r="G45" s="258" t="s">
        <v>9</v>
      </c>
      <c r="H45" s="431">
        <f t="shared" si="2"/>
        <v>0</v>
      </c>
      <c r="I45" s="431">
        <f t="array" ref="I45">MAX((IF(MNU_CODIGO_ALIMENTO_ENTREGA=CONCATENATE($E45,"_","P_"),MNU_GRAMAJE_REQUERIDO_TIPOA,"")))</f>
        <v>0</v>
      </c>
      <c r="J45" s="259">
        <f t="shared" si="3"/>
        <v>6099</v>
      </c>
      <c r="K45" s="259">
        <f t="shared" si="4"/>
        <v>0</v>
      </c>
      <c r="L45" s="452">
        <f t="shared" si="5"/>
        <v>0</v>
      </c>
      <c r="M45" s="452">
        <f t="shared" si="6"/>
        <v>0</v>
      </c>
      <c r="N45" s="452">
        <f t="shared" si="7"/>
        <v>0</v>
      </c>
      <c r="O45" s="452">
        <f t="shared" si="8"/>
        <v>0</v>
      </c>
      <c r="P45" s="260">
        <f t="shared" si="9"/>
        <v>0</v>
      </c>
      <c r="Q45" s="260">
        <f t="shared" si="10"/>
        <v>0</v>
      </c>
      <c r="R45" s="432">
        <f t="shared" si="11"/>
        <v>20</v>
      </c>
      <c r="S45" s="432">
        <f t="array" ref="S45">MAX((IF(MNU_CODIGO_ALIMENTO_ENTREGA=CONCATENATE($E45,"_","P_"),MNU_GRAMAJE_REQUERIDO_TIPOB,"")))</f>
        <v>100</v>
      </c>
      <c r="T45" s="261">
        <f t="shared" si="12"/>
        <v>7295</v>
      </c>
      <c r="U45" s="261">
        <f t="shared" si="13"/>
        <v>145900</v>
      </c>
      <c r="V45" s="452">
        <f t="shared" si="14"/>
        <v>525</v>
      </c>
      <c r="W45" s="452">
        <f t="shared" si="15"/>
        <v>25.62</v>
      </c>
      <c r="X45" s="452">
        <f t="shared" si="16"/>
        <v>0.45150840000000003</v>
      </c>
      <c r="Y45" s="452">
        <f t="shared" si="17"/>
        <v>551</v>
      </c>
      <c r="Z45" s="262">
        <f t="shared" si="18"/>
        <v>76597500</v>
      </c>
      <c r="AA45" s="262">
        <f t="shared" si="19"/>
        <v>80390900</v>
      </c>
      <c r="AB45" s="431">
        <f t="shared" si="20"/>
        <v>20</v>
      </c>
      <c r="AC45" s="431">
        <f t="array" ref="AC45">MAX((IF(MNU_CODIGO_ALIMENTO_ENTREGA=CONCATENATE($E45,"_","P_"),MNU_GRAMAJE_REQUERIDO_TIPOC,"")))</f>
        <v>100</v>
      </c>
      <c r="AD45" s="259">
        <f t="shared" si="21"/>
        <v>7610</v>
      </c>
      <c r="AE45" s="259">
        <f t="shared" si="22"/>
        <v>152200</v>
      </c>
      <c r="AF45" s="452">
        <f t="shared" si="23"/>
        <v>525</v>
      </c>
      <c r="AG45" s="452">
        <f t="shared" si="24"/>
        <v>25.62</v>
      </c>
      <c r="AH45" s="452">
        <f t="shared" si="25"/>
        <v>0.45150840000000003</v>
      </c>
      <c r="AI45" s="452">
        <f t="shared" si="26"/>
        <v>551</v>
      </c>
      <c r="AJ45" s="260">
        <f t="shared" si="27"/>
        <v>79905000</v>
      </c>
      <c r="AK45" s="260">
        <f t="shared" si="28"/>
        <v>83862200</v>
      </c>
      <c r="AL45" s="432">
        <f t="shared" si="29"/>
        <v>20</v>
      </c>
      <c r="AM45" s="432">
        <f t="array" ref="AM45">MAX((IF(MNU_CODIGO_ALIMENTO_ENTREGA=CONCATENATE($E45,"_","P_"),MNU_GRAMAJE_REQUERIDO_TIPOM,"")))</f>
        <v>100</v>
      </c>
      <c r="AN45" s="261">
        <f t="shared" si="30"/>
        <v>243</v>
      </c>
      <c r="AO45" s="261">
        <f t="shared" si="31"/>
        <v>4860</v>
      </c>
      <c r="AP45" s="452">
        <f t="shared" si="32"/>
        <v>525</v>
      </c>
      <c r="AQ45" s="452">
        <f t="shared" si="33"/>
        <v>25.62</v>
      </c>
      <c r="AR45" s="452">
        <f t="shared" si="34"/>
        <v>0.45150840000000003</v>
      </c>
      <c r="AS45" s="452">
        <f t="shared" si="35"/>
        <v>551</v>
      </c>
      <c r="AT45" s="262">
        <f t="shared" si="36"/>
        <v>2551500</v>
      </c>
      <c r="AU45" s="262">
        <f t="shared" si="37"/>
        <v>2677860</v>
      </c>
      <c r="AV45" s="431">
        <f t="shared" si="38"/>
        <v>20</v>
      </c>
      <c r="AW45" s="431">
        <f t="array" ref="AW45">MAX((IF(MNU_CODIGO_ALIMENTO_ENTREGA=CONCATENATE($E45,"_","P_"),MNU_GRAMAJE_REQUERIDO_TIPOH,"")))</f>
        <v>100</v>
      </c>
      <c r="AX45" s="259">
        <f t="shared" si="39"/>
        <v>220</v>
      </c>
      <c r="AY45" s="259">
        <f t="shared" si="40"/>
        <v>4400</v>
      </c>
      <c r="AZ45" s="452">
        <f t="shared" si="41"/>
        <v>525</v>
      </c>
      <c r="BA45" s="452">
        <f t="shared" si="42"/>
        <v>25.62</v>
      </c>
      <c r="BB45" s="452">
        <f t="shared" si="43"/>
        <v>0.45150840000000003</v>
      </c>
      <c r="BC45" s="452">
        <f t="shared" si="44"/>
        <v>551</v>
      </c>
      <c r="BD45" s="260">
        <f t="shared" si="45"/>
        <v>2310000</v>
      </c>
      <c r="BE45" s="260">
        <f t="shared" si="46"/>
        <v>2424400</v>
      </c>
      <c r="BF45" s="397">
        <f t="shared" si="47"/>
        <v>161364000</v>
      </c>
      <c r="BG45" s="397">
        <f t="shared" si="48"/>
        <v>169355360</v>
      </c>
    </row>
    <row r="46" spans="1:59" ht="15.75">
      <c r="A46" s="338">
        <v>3</v>
      </c>
      <c r="B46" s="338" t="str">
        <f t="shared" si="0"/>
        <v>FRUTA_3</v>
      </c>
      <c r="C46" s="338" t="str">
        <f t="shared" si="1"/>
        <v>33_3</v>
      </c>
      <c r="D46" s="338" t="s">
        <v>1</v>
      </c>
      <c r="E46" s="258">
        <v>33</v>
      </c>
      <c r="F46" s="328" t="s">
        <v>59</v>
      </c>
      <c r="G46" s="258" t="s">
        <v>48</v>
      </c>
      <c r="H46" s="431">
        <f t="shared" si="2"/>
        <v>27</v>
      </c>
      <c r="I46" s="431">
        <v>1</v>
      </c>
      <c r="J46" s="259">
        <f t="shared" si="3"/>
        <v>6099</v>
      </c>
      <c r="K46" s="259">
        <f t="shared" si="4"/>
        <v>164673</v>
      </c>
      <c r="L46" s="452">
        <f t="shared" si="5"/>
        <v>270</v>
      </c>
      <c r="M46" s="452">
        <f t="shared" si="6"/>
        <v>13.176000000000002</v>
      </c>
      <c r="N46" s="452">
        <f t="shared" si="7"/>
        <v>0.23220432000000002</v>
      </c>
      <c r="O46" s="452">
        <f t="shared" si="8"/>
        <v>283</v>
      </c>
      <c r="P46" s="260">
        <f t="shared" si="9"/>
        <v>44461710</v>
      </c>
      <c r="Q46" s="260">
        <f t="shared" si="10"/>
        <v>46602459</v>
      </c>
      <c r="R46" s="432">
        <f t="shared" si="11"/>
        <v>18</v>
      </c>
      <c r="S46" s="432">
        <v>1</v>
      </c>
      <c r="T46" s="261">
        <f t="shared" si="12"/>
        <v>7295</v>
      </c>
      <c r="U46" s="261">
        <f t="shared" si="13"/>
        <v>131310</v>
      </c>
      <c r="V46" s="452">
        <f t="shared" si="14"/>
        <v>270</v>
      </c>
      <c r="W46" s="452">
        <f t="shared" si="15"/>
        <v>13.176000000000002</v>
      </c>
      <c r="X46" s="452">
        <f t="shared" si="16"/>
        <v>0.23220432000000002</v>
      </c>
      <c r="Y46" s="452">
        <f t="shared" si="17"/>
        <v>283</v>
      </c>
      <c r="Z46" s="262">
        <f t="shared" si="18"/>
        <v>35453700</v>
      </c>
      <c r="AA46" s="262">
        <f t="shared" si="19"/>
        <v>37160730</v>
      </c>
      <c r="AB46" s="431">
        <f t="shared" si="20"/>
        <v>18</v>
      </c>
      <c r="AC46" s="431">
        <v>1</v>
      </c>
      <c r="AD46" s="259">
        <f t="shared" si="21"/>
        <v>7610</v>
      </c>
      <c r="AE46" s="259">
        <f t="shared" si="22"/>
        <v>136980</v>
      </c>
      <c r="AF46" s="452">
        <f t="shared" si="23"/>
        <v>270</v>
      </c>
      <c r="AG46" s="452">
        <f t="shared" si="24"/>
        <v>13.176000000000002</v>
      </c>
      <c r="AH46" s="452">
        <f t="shared" si="25"/>
        <v>0.23220432000000002</v>
      </c>
      <c r="AI46" s="452">
        <f t="shared" si="26"/>
        <v>283</v>
      </c>
      <c r="AJ46" s="260">
        <f t="shared" si="27"/>
        <v>36984600</v>
      </c>
      <c r="AK46" s="260">
        <f t="shared" si="28"/>
        <v>38765340</v>
      </c>
      <c r="AL46" s="432">
        <f t="shared" si="29"/>
        <v>18</v>
      </c>
      <c r="AM46" s="432">
        <v>1</v>
      </c>
      <c r="AN46" s="261">
        <f t="shared" si="30"/>
        <v>243</v>
      </c>
      <c r="AO46" s="261">
        <f t="shared" si="31"/>
        <v>4374</v>
      </c>
      <c r="AP46" s="452">
        <f t="shared" si="32"/>
        <v>270</v>
      </c>
      <c r="AQ46" s="452">
        <f t="shared" si="33"/>
        <v>13.176000000000002</v>
      </c>
      <c r="AR46" s="452">
        <f t="shared" si="34"/>
        <v>0.23220432000000002</v>
      </c>
      <c r="AS46" s="452">
        <f t="shared" si="35"/>
        <v>283</v>
      </c>
      <c r="AT46" s="262">
        <f t="shared" si="36"/>
        <v>1180980</v>
      </c>
      <c r="AU46" s="262">
        <f t="shared" si="37"/>
        <v>1237842</v>
      </c>
      <c r="AV46" s="431">
        <f t="shared" si="38"/>
        <v>18</v>
      </c>
      <c r="AW46" s="431">
        <v>1</v>
      </c>
      <c r="AX46" s="259">
        <f t="shared" si="39"/>
        <v>220</v>
      </c>
      <c r="AY46" s="259">
        <f t="shared" si="40"/>
        <v>3960</v>
      </c>
      <c r="AZ46" s="452">
        <f t="shared" si="41"/>
        <v>270</v>
      </c>
      <c r="BA46" s="452">
        <f t="shared" si="42"/>
        <v>13.176000000000002</v>
      </c>
      <c r="BB46" s="452">
        <f t="shared" si="43"/>
        <v>0.23220432000000002</v>
      </c>
      <c r="BC46" s="452">
        <f t="shared" si="44"/>
        <v>283</v>
      </c>
      <c r="BD46" s="260">
        <f t="shared" si="45"/>
        <v>1069200</v>
      </c>
      <c r="BE46" s="260">
        <f t="shared" si="46"/>
        <v>1120680</v>
      </c>
      <c r="BF46" s="397">
        <f t="shared" si="47"/>
        <v>119150190</v>
      </c>
      <c r="BG46" s="397">
        <f t="shared" si="48"/>
        <v>124887051</v>
      </c>
    </row>
    <row r="47" spans="1:59" ht="15.75">
      <c r="A47" s="338">
        <v>3</v>
      </c>
      <c r="B47" s="338" t="str">
        <f t="shared" si="0"/>
        <v>FRUTA_3</v>
      </c>
      <c r="C47" s="338" t="str">
        <f t="shared" si="1"/>
        <v>36_3</v>
      </c>
      <c r="D47" s="338" t="s">
        <v>1</v>
      </c>
      <c r="E47" s="258">
        <v>36</v>
      </c>
      <c r="F47" s="328" t="s">
        <v>1340</v>
      </c>
      <c r="G47" s="258" t="s">
        <v>9</v>
      </c>
      <c r="H47" s="431">
        <f t="shared" si="2"/>
        <v>7</v>
      </c>
      <c r="I47" s="431">
        <f t="array" ref="I47">MAX((IF(MNU_CODIGO_ALIMENTO_ENTREGA=CONCATENATE($E47,"_","P_"),MNU_GRAMAJE_REQUERIDO_TIPOA,"")))</f>
        <v>20</v>
      </c>
      <c r="J47" s="259">
        <f t="shared" si="3"/>
        <v>6099</v>
      </c>
      <c r="K47" s="259">
        <f t="shared" si="4"/>
        <v>42693</v>
      </c>
      <c r="L47" s="452">
        <f t="shared" si="5"/>
        <v>126</v>
      </c>
      <c r="M47" s="452">
        <f t="shared" si="6"/>
        <v>6.1488000000000005</v>
      </c>
      <c r="N47" s="452">
        <f t="shared" si="7"/>
        <v>0.10836201599999999</v>
      </c>
      <c r="O47" s="452">
        <f t="shared" si="8"/>
        <v>132</v>
      </c>
      <c r="P47" s="260">
        <f t="shared" si="9"/>
        <v>5379318</v>
      </c>
      <c r="Q47" s="260">
        <f t="shared" si="10"/>
        <v>5635476</v>
      </c>
      <c r="R47" s="432">
        <f t="shared" si="11"/>
        <v>7</v>
      </c>
      <c r="S47" s="432">
        <f t="array" ref="S47">MAX((IF(MNU_CODIGO_ALIMENTO_ENTREGA=CONCATENATE($E47,"_","P_"),MNU_GRAMAJE_REQUERIDO_TIPOB,"")))</f>
        <v>40</v>
      </c>
      <c r="T47" s="261">
        <f t="shared" si="12"/>
        <v>7295</v>
      </c>
      <c r="U47" s="261">
        <f t="shared" si="13"/>
        <v>51065</v>
      </c>
      <c r="V47" s="452">
        <f t="shared" si="14"/>
        <v>252</v>
      </c>
      <c r="W47" s="452">
        <f t="shared" si="15"/>
        <v>12.297600000000001</v>
      </c>
      <c r="X47" s="452">
        <f t="shared" si="16"/>
        <v>0.21672403199999998</v>
      </c>
      <c r="Y47" s="452">
        <f t="shared" si="17"/>
        <v>265</v>
      </c>
      <c r="Z47" s="262">
        <f t="shared" si="18"/>
        <v>12868380</v>
      </c>
      <c r="AA47" s="262">
        <f t="shared" si="19"/>
        <v>13532225</v>
      </c>
      <c r="AB47" s="431">
        <f t="shared" si="20"/>
        <v>7</v>
      </c>
      <c r="AC47" s="431">
        <f t="array" ref="AC47">MAX((IF(MNU_CODIGO_ALIMENTO_ENTREGA=CONCATENATE($E47,"_","P_"),MNU_GRAMAJE_REQUERIDO_TIPOC,"")))</f>
        <v>40</v>
      </c>
      <c r="AD47" s="259">
        <f t="shared" si="21"/>
        <v>7610</v>
      </c>
      <c r="AE47" s="259">
        <f t="shared" si="22"/>
        <v>53270</v>
      </c>
      <c r="AF47" s="452">
        <f t="shared" si="23"/>
        <v>252</v>
      </c>
      <c r="AG47" s="452">
        <f t="shared" si="24"/>
        <v>12.297600000000001</v>
      </c>
      <c r="AH47" s="452">
        <f t="shared" si="25"/>
        <v>0.21672403199999998</v>
      </c>
      <c r="AI47" s="452">
        <f t="shared" si="26"/>
        <v>265</v>
      </c>
      <c r="AJ47" s="260">
        <f t="shared" si="27"/>
        <v>13424040</v>
      </c>
      <c r="AK47" s="260">
        <f t="shared" si="28"/>
        <v>14116550</v>
      </c>
      <c r="AL47" s="432">
        <f t="shared" si="29"/>
        <v>7</v>
      </c>
      <c r="AM47" s="432">
        <f t="array" ref="AM47">MAX((IF(MNU_CODIGO_ALIMENTO_ENTREGA=CONCATENATE($E47,"_","P_"),MNU_GRAMAJE_REQUERIDO_TIPOM,"")))</f>
        <v>40</v>
      </c>
      <c r="AN47" s="261">
        <f t="shared" si="30"/>
        <v>243</v>
      </c>
      <c r="AO47" s="261">
        <f t="shared" si="31"/>
        <v>1701</v>
      </c>
      <c r="AP47" s="452">
        <f t="shared" si="32"/>
        <v>252</v>
      </c>
      <c r="AQ47" s="452">
        <f t="shared" si="33"/>
        <v>12.297600000000001</v>
      </c>
      <c r="AR47" s="452">
        <f t="shared" si="34"/>
        <v>0.21672403199999998</v>
      </c>
      <c r="AS47" s="452">
        <f t="shared" si="35"/>
        <v>265</v>
      </c>
      <c r="AT47" s="262">
        <f t="shared" si="36"/>
        <v>428652</v>
      </c>
      <c r="AU47" s="262">
        <f t="shared" si="37"/>
        <v>450765</v>
      </c>
      <c r="AV47" s="431">
        <f t="shared" si="38"/>
        <v>7</v>
      </c>
      <c r="AW47" s="431">
        <f t="array" ref="AW47">MAX((IF(MNU_CODIGO_ALIMENTO_ENTREGA=CONCATENATE($E47,"_","P_"),MNU_GRAMAJE_REQUERIDO_TIPOH,"")))</f>
        <v>40</v>
      </c>
      <c r="AX47" s="259">
        <f t="shared" si="39"/>
        <v>220</v>
      </c>
      <c r="AY47" s="259">
        <f t="shared" si="40"/>
        <v>1540</v>
      </c>
      <c r="AZ47" s="452">
        <f t="shared" si="41"/>
        <v>252</v>
      </c>
      <c r="BA47" s="452">
        <f t="shared" si="42"/>
        <v>12.297600000000001</v>
      </c>
      <c r="BB47" s="452">
        <f t="shared" si="43"/>
        <v>0.21672403199999998</v>
      </c>
      <c r="BC47" s="452">
        <f t="shared" si="44"/>
        <v>265</v>
      </c>
      <c r="BD47" s="260">
        <f t="shared" si="45"/>
        <v>388080</v>
      </c>
      <c r="BE47" s="260">
        <f t="shared" si="46"/>
        <v>408100</v>
      </c>
      <c r="BF47" s="397">
        <f t="shared" si="47"/>
        <v>32488470</v>
      </c>
      <c r="BG47" s="397">
        <f t="shared" si="48"/>
        <v>34143116</v>
      </c>
    </row>
    <row r="48" spans="1:59" ht="15.75">
      <c r="A48" s="338">
        <v>3</v>
      </c>
      <c r="B48" s="338" t="str">
        <f t="shared" si="0"/>
        <v>FRUTA_3</v>
      </c>
      <c r="C48" s="338" t="str">
        <f t="shared" si="1"/>
        <v>42_3</v>
      </c>
      <c r="D48" s="338" t="s">
        <v>1</v>
      </c>
      <c r="E48" s="258">
        <v>42</v>
      </c>
      <c r="F48" s="328" t="s">
        <v>61</v>
      </c>
      <c r="G48" s="258" t="s">
        <v>9</v>
      </c>
      <c r="H48" s="431">
        <f t="shared" si="2"/>
        <v>23</v>
      </c>
      <c r="I48" s="431">
        <f t="array" ref="I48">MAX((IF(MNU_CODIGO_ALIMENTO_ENTREGA=CONCATENATE($E48,"_","P_"),MNU_GRAMAJE_REQUERIDO_TIPOA,"")))</f>
        <v>100</v>
      </c>
      <c r="J48" s="259">
        <f t="shared" si="3"/>
        <v>6099</v>
      </c>
      <c r="K48" s="259">
        <f t="shared" si="4"/>
        <v>140277</v>
      </c>
      <c r="L48" s="452">
        <f t="shared" si="5"/>
        <v>194</v>
      </c>
      <c r="M48" s="452">
        <f t="shared" si="6"/>
        <v>9.4672000000000001</v>
      </c>
      <c r="N48" s="452">
        <f t="shared" si="7"/>
        <v>0.16684310399999999</v>
      </c>
      <c r="O48" s="452">
        <f t="shared" si="8"/>
        <v>204</v>
      </c>
      <c r="P48" s="260">
        <f t="shared" si="9"/>
        <v>27213738</v>
      </c>
      <c r="Q48" s="260">
        <f t="shared" si="10"/>
        <v>28616508</v>
      </c>
      <c r="R48" s="432">
        <f t="shared" si="11"/>
        <v>19</v>
      </c>
      <c r="S48" s="432">
        <f t="array" ref="S48">MAX((IF(MNU_CODIGO_ALIMENTO_ENTREGA=CONCATENATE($E48,"_","P_"),MNU_GRAMAJE_REQUERIDO_TIPOB,"")))</f>
        <v>100</v>
      </c>
      <c r="T48" s="261">
        <f t="shared" si="12"/>
        <v>7295</v>
      </c>
      <c r="U48" s="261">
        <f t="shared" si="13"/>
        <v>138605</v>
      </c>
      <c r="V48" s="452">
        <f t="shared" si="14"/>
        <v>194</v>
      </c>
      <c r="W48" s="452">
        <f t="shared" si="15"/>
        <v>9.4672000000000001</v>
      </c>
      <c r="X48" s="452">
        <f t="shared" si="16"/>
        <v>0.16684310399999999</v>
      </c>
      <c r="Y48" s="452">
        <f t="shared" si="17"/>
        <v>204</v>
      </c>
      <c r="Z48" s="262">
        <f t="shared" si="18"/>
        <v>26889370</v>
      </c>
      <c r="AA48" s="262">
        <f t="shared" si="19"/>
        <v>28275420</v>
      </c>
      <c r="AB48" s="431">
        <f t="shared" si="20"/>
        <v>19</v>
      </c>
      <c r="AC48" s="431">
        <f t="array" ref="AC48">MAX((IF(MNU_CODIGO_ALIMENTO_ENTREGA=CONCATENATE($E48,"_","P_"),MNU_GRAMAJE_REQUERIDO_TIPOC,"")))</f>
        <v>100</v>
      </c>
      <c r="AD48" s="259">
        <f t="shared" si="21"/>
        <v>7610</v>
      </c>
      <c r="AE48" s="259">
        <f t="shared" si="22"/>
        <v>144590</v>
      </c>
      <c r="AF48" s="452">
        <f t="shared" si="23"/>
        <v>194</v>
      </c>
      <c r="AG48" s="452">
        <f t="shared" si="24"/>
        <v>9.4672000000000001</v>
      </c>
      <c r="AH48" s="452">
        <f t="shared" si="25"/>
        <v>0.16684310399999999</v>
      </c>
      <c r="AI48" s="452">
        <f t="shared" si="26"/>
        <v>204</v>
      </c>
      <c r="AJ48" s="260">
        <f t="shared" si="27"/>
        <v>28050460</v>
      </c>
      <c r="AK48" s="260">
        <f t="shared" si="28"/>
        <v>29496360</v>
      </c>
      <c r="AL48" s="432">
        <f t="shared" si="29"/>
        <v>19</v>
      </c>
      <c r="AM48" s="432">
        <f t="array" ref="AM48">MAX((IF(MNU_CODIGO_ALIMENTO_ENTREGA=CONCATENATE($E48,"_","P_"),MNU_GRAMAJE_REQUERIDO_TIPOM,"")))</f>
        <v>100</v>
      </c>
      <c r="AN48" s="261">
        <f t="shared" si="30"/>
        <v>243</v>
      </c>
      <c r="AO48" s="261">
        <f t="shared" si="31"/>
        <v>4617</v>
      </c>
      <c r="AP48" s="452">
        <f t="shared" si="32"/>
        <v>194</v>
      </c>
      <c r="AQ48" s="452">
        <f t="shared" si="33"/>
        <v>9.4672000000000001</v>
      </c>
      <c r="AR48" s="452">
        <f t="shared" si="34"/>
        <v>0.16684310399999999</v>
      </c>
      <c r="AS48" s="452">
        <f t="shared" si="35"/>
        <v>204</v>
      </c>
      <c r="AT48" s="262">
        <f t="shared" si="36"/>
        <v>895698</v>
      </c>
      <c r="AU48" s="262">
        <f t="shared" si="37"/>
        <v>941868</v>
      </c>
      <c r="AV48" s="431">
        <f t="shared" si="38"/>
        <v>19</v>
      </c>
      <c r="AW48" s="431">
        <f t="array" ref="AW48">MAX((IF(MNU_CODIGO_ALIMENTO_ENTREGA=CONCATENATE($E48,"_","P_"),MNU_GRAMAJE_REQUERIDO_TIPOH,"")))</f>
        <v>100</v>
      </c>
      <c r="AX48" s="259">
        <f t="shared" si="39"/>
        <v>220</v>
      </c>
      <c r="AY48" s="259">
        <f t="shared" si="40"/>
        <v>4180</v>
      </c>
      <c r="AZ48" s="452">
        <f t="shared" si="41"/>
        <v>194</v>
      </c>
      <c r="BA48" s="452">
        <f t="shared" si="42"/>
        <v>9.4672000000000001</v>
      </c>
      <c r="BB48" s="452">
        <f t="shared" si="43"/>
        <v>0.16684310399999999</v>
      </c>
      <c r="BC48" s="452">
        <f t="shared" si="44"/>
        <v>204</v>
      </c>
      <c r="BD48" s="260">
        <f t="shared" si="45"/>
        <v>810920</v>
      </c>
      <c r="BE48" s="260">
        <f t="shared" si="46"/>
        <v>852720</v>
      </c>
      <c r="BF48" s="397">
        <f t="shared" si="47"/>
        <v>83860186</v>
      </c>
      <c r="BG48" s="397">
        <f t="shared" si="48"/>
        <v>88182876</v>
      </c>
    </row>
    <row r="49" spans="1:59" ht="15.75">
      <c r="A49" s="338">
        <v>3</v>
      </c>
      <c r="B49" s="338" t="str">
        <f t="shared" si="0"/>
        <v>FRUTA_3</v>
      </c>
      <c r="C49" s="338" t="str">
        <f t="shared" si="1"/>
        <v>43_3</v>
      </c>
      <c r="D49" s="338" t="s">
        <v>1</v>
      </c>
      <c r="E49" s="258">
        <v>43</v>
      </c>
      <c r="F49" s="328" t="s">
        <v>62</v>
      </c>
      <c r="G49" s="258" t="s">
        <v>9</v>
      </c>
      <c r="H49" s="431">
        <f t="shared" si="2"/>
        <v>24</v>
      </c>
      <c r="I49" s="431">
        <f t="array" ref="I49">MAX((IF(MNU_CODIGO_ALIMENTO_ENTREGA=CONCATENATE($E49,"_","P_"),MNU_GRAMAJE_REQUERIDO_TIPOA,"")))</f>
        <v>100</v>
      </c>
      <c r="J49" s="259">
        <f t="shared" si="3"/>
        <v>6099</v>
      </c>
      <c r="K49" s="259">
        <f t="shared" si="4"/>
        <v>146376</v>
      </c>
      <c r="L49" s="452">
        <f t="shared" si="5"/>
        <v>170</v>
      </c>
      <c r="M49" s="452">
        <f t="shared" si="6"/>
        <v>8.2959999999999994</v>
      </c>
      <c r="N49" s="452">
        <f t="shared" si="7"/>
        <v>0.14620272000000001</v>
      </c>
      <c r="O49" s="452">
        <f t="shared" si="8"/>
        <v>178</v>
      </c>
      <c r="P49" s="260">
        <f t="shared" si="9"/>
        <v>24883920</v>
      </c>
      <c r="Q49" s="260">
        <f t="shared" si="10"/>
        <v>26054928</v>
      </c>
      <c r="R49" s="432">
        <f t="shared" si="11"/>
        <v>17</v>
      </c>
      <c r="S49" s="432">
        <f t="array" ref="S49">MAX((IF(MNU_CODIGO_ALIMENTO_ENTREGA=CONCATENATE($E49,"_","P_"),MNU_GRAMAJE_REQUERIDO_TIPOB,"")))</f>
        <v>100</v>
      </c>
      <c r="T49" s="261">
        <f t="shared" si="12"/>
        <v>7295</v>
      </c>
      <c r="U49" s="261">
        <f t="shared" si="13"/>
        <v>124015</v>
      </c>
      <c r="V49" s="452">
        <f t="shared" si="14"/>
        <v>170</v>
      </c>
      <c r="W49" s="452">
        <f t="shared" si="15"/>
        <v>8.2959999999999994</v>
      </c>
      <c r="X49" s="452">
        <f t="shared" si="16"/>
        <v>0.14620272000000001</v>
      </c>
      <c r="Y49" s="452">
        <f t="shared" si="17"/>
        <v>178</v>
      </c>
      <c r="Z49" s="262">
        <f t="shared" si="18"/>
        <v>21082550</v>
      </c>
      <c r="AA49" s="262">
        <f t="shared" si="19"/>
        <v>22074670</v>
      </c>
      <c r="AB49" s="431">
        <f t="shared" si="20"/>
        <v>17</v>
      </c>
      <c r="AC49" s="431">
        <f t="array" ref="AC49">MAX((IF(MNU_CODIGO_ALIMENTO_ENTREGA=CONCATENATE($E49,"_","P_"),MNU_GRAMAJE_REQUERIDO_TIPOC,"")))</f>
        <v>100</v>
      </c>
      <c r="AD49" s="259">
        <f t="shared" si="21"/>
        <v>7610</v>
      </c>
      <c r="AE49" s="259">
        <f t="shared" si="22"/>
        <v>129370</v>
      </c>
      <c r="AF49" s="452">
        <f t="shared" si="23"/>
        <v>170</v>
      </c>
      <c r="AG49" s="452">
        <f t="shared" si="24"/>
        <v>8.2959999999999994</v>
      </c>
      <c r="AH49" s="452">
        <f t="shared" si="25"/>
        <v>0.14620272000000001</v>
      </c>
      <c r="AI49" s="452">
        <f t="shared" si="26"/>
        <v>178</v>
      </c>
      <c r="AJ49" s="260">
        <f t="shared" si="27"/>
        <v>21992900</v>
      </c>
      <c r="AK49" s="260">
        <f t="shared" si="28"/>
        <v>23027860</v>
      </c>
      <c r="AL49" s="432">
        <f t="shared" si="29"/>
        <v>17</v>
      </c>
      <c r="AM49" s="432">
        <f t="array" ref="AM49">MAX((IF(MNU_CODIGO_ALIMENTO_ENTREGA=CONCATENATE($E49,"_","P_"),MNU_GRAMAJE_REQUERIDO_TIPOM,"")))</f>
        <v>100</v>
      </c>
      <c r="AN49" s="261">
        <f t="shared" si="30"/>
        <v>243</v>
      </c>
      <c r="AO49" s="261">
        <f t="shared" si="31"/>
        <v>4131</v>
      </c>
      <c r="AP49" s="452">
        <f t="shared" si="32"/>
        <v>170</v>
      </c>
      <c r="AQ49" s="452">
        <f t="shared" si="33"/>
        <v>8.2959999999999994</v>
      </c>
      <c r="AR49" s="452">
        <f t="shared" si="34"/>
        <v>0.14620272000000001</v>
      </c>
      <c r="AS49" s="452">
        <f t="shared" si="35"/>
        <v>178</v>
      </c>
      <c r="AT49" s="262">
        <f t="shared" si="36"/>
        <v>702270</v>
      </c>
      <c r="AU49" s="262">
        <f t="shared" si="37"/>
        <v>735318</v>
      </c>
      <c r="AV49" s="431">
        <f t="shared" si="38"/>
        <v>17</v>
      </c>
      <c r="AW49" s="431">
        <f t="array" ref="AW49">MAX((IF(MNU_CODIGO_ALIMENTO_ENTREGA=CONCATENATE($E49,"_","P_"),MNU_GRAMAJE_REQUERIDO_TIPOH,"")))</f>
        <v>100</v>
      </c>
      <c r="AX49" s="259">
        <f t="shared" si="39"/>
        <v>220</v>
      </c>
      <c r="AY49" s="259">
        <f t="shared" si="40"/>
        <v>3740</v>
      </c>
      <c r="AZ49" s="452">
        <f t="shared" si="41"/>
        <v>170</v>
      </c>
      <c r="BA49" s="452">
        <f t="shared" si="42"/>
        <v>8.2959999999999994</v>
      </c>
      <c r="BB49" s="452">
        <f t="shared" si="43"/>
        <v>0.14620272000000001</v>
      </c>
      <c r="BC49" s="452">
        <f t="shared" si="44"/>
        <v>178</v>
      </c>
      <c r="BD49" s="260">
        <f t="shared" si="45"/>
        <v>635800</v>
      </c>
      <c r="BE49" s="260">
        <f t="shared" si="46"/>
        <v>665720</v>
      </c>
      <c r="BF49" s="397">
        <f t="shared" si="47"/>
        <v>69297440</v>
      </c>
      <c r="BG49" s="397">
        <f t="shared" si="48"/>
        <v>72558496</v>
      </c>
    </row>
    <row r="50" spans="1:59" ht="15.75">
      <c r="A50" s="338">
        <v>3</v>
      </c>
      <c r="B50" s="338" t="str">
        <f t="shared" si="0"/>
        <v>FRUTA_3</v>
      </c>
      <c r="C50" s="338" t="str">
        <f t="shared" si="1"/>
        <v>46_3</v>
      </c>
      <c r="D50" s="338" t="s">
        <v>1</v>
      </c>
      <c r="E50" s="258">
        <v>46</v>
      </c>
      <c r="F50" s="328" t="s">
        <v>64</v>
      </c>
      <c r="G50" s="258" t="s">
        <v>9</v>
      </c>
      <c r="H50" s="431">
        <f t="shared" si="2"/>
        <v>30</v>
      </c>
      <c r="I50" s="431">
        <f t="array" ref="I50">MAX((IF(MNU_CODIGO_ALIMENTO_ENTREGA=CONCATENATE($E50,"_","P_"),MNU_GRAMAJE_REQUERIDO_TIPOA,"")))</f>
        <v>100</v>
      </c>
      <c r="J50" s="259">
        <f t="shared" si="3"/>
        <v>6099</v>
      </c>
      <c r="K50" s="259">
        <f t="shared" si="4"/>
        <v>182970</v>
      </c>
      <c r="L50" s="452">
        <f t="shared" si="5"/>
        <v>398</v>
      </c>
      <c r="M50" s="452">
        <f t="shared" si="6"/>
        <v>19.4224</v>
      </c>
      <c r="N50" s="452">
        <f t="shared" si="7"/>
        <v>0.34228636800000001</v>
      </c>
      <c r="O50" s="452">
        <f t="shared" si="8"/>
        <v>418</v>
      </c>
      <c r="P50" s="260">
        <f t="shared" si="9"/>
        <v>72822060</v>
      </c>
      <c r="Q50" s="260">
        <f t="shared" si="10"/>
        <v>76481460</v>
      </c>
      <c r="R50" s="432">
        <f t="shared" si="11"/>
        <v>21</v>
      </c>
      <c r="S50" s="432">
        <f t="array" ref="S50">MAX((IF(MNU_CODIGO_ALIMENTO_ENTREGA=CONCATENATE($E50,"_","P_"),MNU_GRAMAJE_REQUERIDO_TIPOB,"")))</f>
        <v>100</v>
      </c>
      <c r="T50" s="261">
        <f t="shared" si="12"/>
        <v>7295</v>
      </c>
      <c r="U50" s="261">
        <f t="shared" si="13"/>
        <v>153195</v>
      </c>
      <c r="V50" s="452">
        <f t="shared" si="14"/>
        <v>398</v>
      </c>
      <c r="W50" s="452">
        <f t="shared" si="15"/>
        <v>19.4224</v>
      </c>
      <c r="X50" s="452">
        <f t="shared" si="16"/>
        <v>0.34228636800000001</v>
      </c>
      <c r="Y50" s="452">
        <f t="shared" si="17"/>
        <v>418</v>
      </c>
      <c r="Z50" s="262">
        <f t="shared" si="18"/>
        <v>60971610</v>
      </c>
      <c r="AA50" s="262">
        <f t="shared" si="19"/>
        <v>64035510</v>
      </c>
      <c r="AB50" s="431">
        <f t="shared" si="20"/>
        <v>21</v>
      </c>
      <c r="AC50" s="431">
        <f t="array" ref="AC50">MAX((IF(MNU_CODIGO_ALIMENTO_ENTREGA=CONCATENATE($E50,"_","P_"),MNU_GRAMAJE_REQUERIDO_TIPOC,"")))</f>
        <v>100</v>
      </c>
      <c r="AD50" s="259">
        <f t="shared" si="21"/>
        <v>7610</v>
      </c>
      <c r="AE50" s="259">
        <f t="shared" si="22"/>
        <v>159810</v>
      </c>
      <c r="AF50" s="452">
        <f t="shared" si="23"/>
        <v>398</v>
      </c>
      <c r="AG50" s="452">
        <f t="shared" si="24"/>
        <v>19.4224</v>
      </c>
      <c r="AH50" s="452">
        <f t="shared" si="25"/>
        <v>0.34228636800000001</v>
      </c>
      <c r="AI50" s="452">
        <f t="shared" si="26"/>
        <v>418</v>
      </c>
      <c r="AJ50" s="260">
        <f t="shared" si="27"/>
        <v>63604380</v>
      </c>
      <c r="AK50" s="260">
        <f t="shared" si="28"/>
        <v>66800580</v>
      </c>
      <c r="AL50" s="432">
        <f t="shared" si="29"/>
        <v>21</v>
      </c>
      <c r="AM50" s="432">
        <f t="array" ref="AM50">MAX((IF(MNU_CODIGO_ALIMENTO_ENTREGA=CONCATENATE($E50,"_","P_"),MNU_GRAMAJE_REQUERIDO_TIPOM,"")))</f>
        <v>100</v>
      </c>
      <c r="AN50" s="261">
        <f t="shared" si="30"/>
        <v>243</v>
      </c>
      <c r="AO50" s="261">
        <f t="shared" si="31"/>
        <v>5103</v>
      </c>
      <c r="AP50" s="452">
        <f t="shared" si="32"/>
        <v>398</v>
      </c>
      <c r="AQ50" s="452">
        <f t="shared" si="33"/>
        <v>19.4224</v>
      </c>
      <c r="AR50" s="452">
        <f t="shared" si="34"/>
        <v>0.34228636800000001</v>
      </c>
      <c r="AS50" s="452">
        <f t="shared" si="35"/>
        <v>418</v>
      </c>
      <c r="AT50" s="262">
        <f t="shared" si="36"/>
        <v>2030994</v>
      </c>
      <c r="AU50" s="262">
        <f t="shared" si="37"/>
        <v>2133054</v>
      </c>
      <c r="AV50" s="431">
        <f t="shared" si="38"/>
        <v>21</v>
      </c>
      <c r="AW50" s="431">
        <f t="array" ref="AW50">MAX((IF(MNU_CODIGO_ALIMENTO_ENTREGA=CONCATENATE($E50,"_","P_"),MNU_GRAMAJE_REQUERIDO_TIPOH,"")))</f>
        <v>100</v>
      </c>
      <c r="AX50" s="259">
        <f t="shared" si="39"/>
        <v>220</v>
      </c>
      <c r="AY50" s="259">
        <f t="shared" si="40"/>
        <v>4620</v>
      </c>
      <c r="AZ50" s="452">
        <f t="shared" si="41"/>
        <v>398</v>
      </c>
      <c r="BA50" s="452">
        <f t="shared" si="42"/>
        <v>19.4224</v>
      </c>
      <c r="BB50" s="452">
        <f t="shared" si="43"/>
        <v>0.34228636800000001</v>
      </c>
      <c r="BC50" s="452">
        <f t="shared" si="44"/>
        <v>418</v>
      </c>
      <c r="BD50" s="260">
        <f t="shared" si="45"/>
        <v>1838760</v>
      </c>
      <c r="BE50" s="260">
        <f t="shared" si="46"/>
        <v>1931160</v>
      </c>
      <c r="BF50" s="397">
        <f t="shared" si="47"/>
        <v>201267804</v>
      </c>
      <c r="BG50" s="397">
        <f t="shared" si="48"/>
        <v>211381764</v>
      </c>
    </row>
    <row r="51" spans="1:59" ht="15.75">
      <c r="A51" s="338">
        <v>3</v>
      </c>
      <c r="B51" s="338" t="str">
        <f t="shared" si="0"/>
        <v>FRUTA_3</v>
      </c>
      <c r="C51" s="338" t="str">
        <f t="shared" si="1"/>
        <v>58_3</v>
      </c>
      <c r="D51" s="338" t="s">
        <v>1</v>
      </c>
      <c r="E51" s="258">
        <v>58</v>
      </c>
      <c r="F51" s="328" t="s">
        <v>67</v>
      </c>
      <c r="G51" s="258" t="s">
        <v>9</v>
      </c>
      <c r="H51" s="431">
        <f t="shared" si="2"/>
        <v>24</v>
      </c>
      <c r="I51" s="431">
        <f t="array" ref="I51">MAX((IF(MNU_CODIGO_ALIMENTO_ENTREGA=CONCATENATE($E51,"_","P_"),MNU_GRAMAJE_REQUERIDO_TIPOA,"")))</f>
        <v>100</v>
      </c>
      <c r="J51" s="259">
        <f t="shared" si="3"/>
        <v>6099</v>
      </c>
      <c r="K51" s="259">
        <f t="shared" si="4"/>
        <v>146376</v>
      </c>
      <c r="L51" s="452">
        <f t="shared" si="5"/>
        <v>154</v>
      </c>
      <c r="M51" s="452">
        <f t="shared" si="6"/>
        <v>7.515200000000001</v>
      </c>
      <c r="N51" s="452">
        <f t="shared" si="7"/>
        <v>0.13244246400000001</v>
      </c>
      <c r="O51" s="452">
        <f t="shared" si="8"/>
        <v>162</v>
      </c>
      <c r="P51" s="260">
        <f t="shared" si="9"/>
        <v>22541904</v>
      </c>
      <c r="Q51" s="260">
        <f t="shared" si="10"/>
        <v>23712912</v>
      </c>
      <c r="R51" s="432">
        <f t="shared" si="11"/>
        <v>23</v>
      </c>
      <c r="S51" s="432">
        <f t="array" ref="S51">MAX((IF(MNU_CODIGO_ALIMENTO_ENTREGA=CONCATENATE($E51,"_","P_"),MNU_GRAMAJE_REQUERIDO_TIPOB,"")))</f>
        <v>100</v>
      </c>
      <c r="T51" s="261">
        <f t="shared" si="12"/>
        <v>7295</v>
      </c>
      <c r="U51" s="261">
        <f t="shared" si="13"/>
        <v>167785</v>
      </c>
      <c r="V51" s="452">
        <f t="shared" si="14"/>
        <v>154</v>
      </c>
      <c r="W51" s="452">
        <f t="shared" si="15"/>
        <v>7.515200000000001</v>
      </c>
      <c r="X51" s="452">
        <f t="shared" si="16"/>
        <v>0.13244246400000001</v>
      </c>
      <c r="Y51" s="452">
        <f t="shared" si="17"/>
        <v>162</v>
      </c>
      <c r="Z51" s="262">
        <f t="shared" si="18"/>
        <v>25838890</v>
      </c>
      <c r="AA51" s="262">
        <f t="shared" si="19"/>
        <v>27181170</v>
      </c>
      <c r="AB51" s="431">
        <f t="shared" si="20"/>
        <v>23</v>
      </c>
      <c r="AC51" s="431">
        <f t="array" ref="AC51">MAX((IF(MNU_CODIGO_ALIMENTO_ENTREGA=CONCATENATE($E51,"_","P_"),MNU_GRAMAJE_REQUERIDO_TIPOC,"")))</f>
        <v>100</v>
      </c>
      <c r="AD51" s="259">
        <f t="shared" si="21"/>
        <v>7610</v>
      </c>
      <c r="AE51" s="259">
        <f t="shared" si="22"/>
        <v>175030</v>
      </c>
      <c r="AF51" s="452">
        <f t="shared" si="23"/>
        <v>154</v>
      </c>
      <c r="AG51" s="452">
        <f t="shared" si="24"/>
        <v>7.515200000000001</v>
      </c>
      <c r="AH51" s="452">
        <f t="shared" si="25"/>
        <v>0.13244246400000001</v>
      </c>
      <c r="AI51" s="452">
        <f t="shared" si="26"/>
        <v>162</v>
      </c>
      <c r="AJ51" s="260">
        <f t="shared" si="27"/>
        <v>26954620</v>
      </c>
      <c r="AK51" s="260">
        <f t="shared" si="28"/>
        <v>28354860</v>
      </c>
      <c r="AL51" s="432">
        <f t="shared" si="29"/>
        <v>23</v>
      </c>
      <c r="AM51" s="432">
        <f t="array" ref="AM51">MAX((IF(MNU_CODIGO_ALIMENTO_ENTREGA=CONCATENATE($E51,"_","P_"),MNU_GRAMAJE_REQUERIDO_TIPOM,"")))</f>
        <v>100</v>
      </c>
      <c r="AN51" s="261">
        <f t="shared" si="30"/>
        <v>243</v>
      </c>
      <c r="AO51" s="261">
        <f t="shared" si="31"/>
        <v>5589</v>
      </c>
      <c r="AP51" s="452">
        <f t="shared" si="32"/>
        <v>154</v>
      </c>
      <c r="AQ51" s="452">
        <f t="shared" si="33"/>
        <v>7.515200000000001</v>
      </c>
      <c r="AR51" s="452">
        <f t="shared" si="34"/>
        <v>0.13244246400000001</v>
      </c>
      <c r="AS51" s="452">
        <f t="shared" si="35"/>
        <v>162</v>
      </c>
      <c r="AT51" s="262">
        <f t="shared" si="36"/>
        <v>860706</v>
      </c>
      <c r="AU51" s="262">
        <f t="shared" si="37"/>
        <v>905418</v>
      </c>
      <c r="AV51" s="431">
        <f t="shared" si="38"/>
        <v>23</v>
      </c>
      <c r="AW51" s="431">
        <f t="array" ref="AW51">MAX((IF(MNU_CODIGO_ALIMENTO_ENTREGA=CONCATENATE($E51,"_","P_"),MNU_GRAMAJE_REQUERIDO_TIPOH,"")))</f>
        <v>100</v>
      </c>
      <c r="AX51" s="259">
        <f t="shared" si="39"/>
        <v>220</v>
      </c>
      <c r="AY51" s="259">
        <f t="shared" si="40"/>
        <v>5060</v>
      </c>
      <c r="AZ51" s="452">
        <f t="shared" si="41"/>
        <v>154</v>
      </c>
      <c r="BA51" s="452">
        <f t="shared" si="42"/>
        <v>7.515200000000001</v>
      </c>
      <c r="BB51" s="452">
        <f t="shared" si="43"/>
        <v>0.13244246400000001</v>
      </c>
      <c r="BC51" s="452">
        <f t="shared" si="44"/>
        <v>162</v>
      </c>
      <c r="BD51" s="260">
        <f t="shared" si="45"/>
        <v>779240</v>
      </c>
      <c r="BE51" s="260">
        <f t="shared" si="46"/>
        <v>819720</v>
      </c>
      <c r="BF51" s="397">
        <f t="shared" si="47"/>
        <v>76975360</v>
      </c>
      <c r="BG51" s="397">
        <f t="shared" si="48"/>
        <v>80974080</v>
      </c>
    </row>
    <row r="52" spans="1:59" ht="15.75">
      <c r="A52" s="338">
        <v>3</v>
      </c>
      <c r="B52" s="338" t="str">
        <f t="shared" si="0"/>
        <v>FRUTA_3</v>
      </c>
      <c r="C52" s="338" t="str">
        <f t="shared" si="1"/>
        <v>59_3</v>
      </c>
      <c r="D52" s="338" t="s">
        <v>1</v>
      </c>
      <c r="E52" s="258">
        <v>59</v>
      </c>
      <c r="F52" s="328" t="s">
        <v>99</v>
      </c>
      <c r="G52" s="258" t="s">
        <v>9</v>
      </c>
      <c r="H52" s="431">
        <f t="shared" si="2"/>
        <v>0</v>
      </c>
      <c r="I52" s="431">
        <f t="array" ref="I52">MAX((IF(MNU_CODIGO_ALIMENTO_ENTREGA=CONCATENATE($E52,"_","P_"),MNU_GRAMAJE_REQUERIDO_TIPOA,"")))</f>
        <v>0</v>
      </c>
      <c r="J52" s="259">
        <f t="shared" si="3"/>
        <v>6099</v>
      </c>
      <c r="K52" s="259">
        <f t="shared" si="4"/>
        <v>0</v>
      </c>
      <c r="L52" s="452">
        <f t="shared" si="5"/>
        <v>0</v>
      </c>
      <c r="M52" s="452">
        <f t="shared" si="6"/>
        <v>0</v>
      </c>
      <c r="N52" s="452">
        <f t="shared" si="7"/>
        <v>0</v>
      </c>
      <c r="O52" s="452">
        <f t="shared" si="8"/>
        <v>0</v>
      </c>
      <c r="P52" s="260">
        <f t="shared" si="9"/>
        <v>0</v>
      </c>
      <c r="Q52" s="260">
        <f t="shared" si="10"/>
        <v>0</v>
      </c>
      <c r="R52" s="432">
        <f t="shared" si="11"/>
        <v>8</v>
      </c>
      <c r="S52" s="432">
        <f t="array" ref="S52">MAX((IF(MNU_CODIGO_ALIMENTO_ENTREGA=CONCATENATE($E52,"_","P_"),MNU_GRAMAJE_REQUERIDO_TIPOB,"")))</f>
        <v>100</v>
      </c>
      <c r="T52" s="261">
        <f t="shared" si="12"/>
        <v>7295</v>
      </c>
      <c r="U52" s="261">
        <f t="shared" si="13"/>
        <v>58360</v>
      </c>
      <c r="V52" s="452">
        <f t="shared" si="14"/>
        <v>286</v>
      </c>
      <c r="W52" s="452">
        <f t="shared" si="15"/>
        <v>13.956800000000001</v>
      </c>
      <c r="X52" s="452">
        <f t="shared" si="16"/>
        <v>0.24596457599999999</v>
      </c>
      <c r="Y52" s="452">
        <f t="shared" si="17"/>
        <v>300</v>
      </c>
      <c r="Z52" s="262">
        <f t="shared" si="18"/>
        <v>16690960</v>
      </c>
      <c r="AA52" s="262">
        <f t="shared" si="19"/>
        <v>17508000</v>
      </c>
      <c r="AB52" s="431">
        <f t="shared" si="20"/>
        <v>8</v>
      </c>
      <c r="AC52" s="431">
        <f t="array" ref="AC52">MAX((IF(MNU_CODIGO_ALIMENTO_ENTREGA=CONCATENATE($E52,"_","P_"),MNU_GRAMAJE_REQUERIDO_TIPOC,"")))</f>
        <v>100</v>
      </c>
      <c r="AD52" s="259">
        <f t="shared" si="21"/>
        <v>7610</v>
      </c>
      <c r="AE52" s="259">
        <f t="shared" si="22"/>
        <v>60880</v>
      </c>
      <c r="AF52" s="452">
        <f t="shared" si="23"/>
        <v>286</v>
      </c>
      <c r="AG52" s="452">
        <f t="shared" si="24"/>
        <v>13.956800000000001</v>
      </c>
      <c r="AH52" s="452">
        <f t="shared" si="25"/>
        <v>0.24596457599999999</v>
      </c>
      <c r="AI52" s="452">
        <f t="shared" si="26"/>
        <v>300</v>
      </c>
      <c r="AJ52" s="260">
        <f t="shared" si="27"/>
        <v>17411680</v>
      </c>
      <c r="AK52" s="260">
        <f t="shared" si="28"/>
        <v>18264000</v>
      </c>
      <c r="AL52" s="432">
        <f t="shared" si="29"/>
        <v>8</v>
      </c>
      <c r="AM52" s="432">
        <f t="array" ref="AM52">MAX((IF(MNU_CODIGO_ALIMENTO_ENTREGA=CONCATENATE($E52,"_","P_"),MNU_GRAMAJE_REQUERIDO_TIPOM,"")))</f>
        <v>100</v>
      </c>
      <c r="AN52" s="261">
        <f t="shared" si="30"/>
        <v>243</v>
      </c>
      <c r="AO52" s="261">
        <f t="shared" si="31"/>
        <v>1944</v>
      </c>
      <c r="AP52" s="452">
        <f t="shared" si="32"/>
        <v>286</v>
      </c>
      <c r="AQ52" s="452">
        <f t="shared" si="33"/>
        <v>13.956800000000001</v>
      </c>
      <c r="AR52" s="452">
        <f t="shared" si="34"/>
        <v>0.24596457599999999</v>
      </c>
      <c r="AS52" s="452">
        <f t="shared" si="35"/>
        <v>300</v>
      </c>
      <c r="AT52" s="262">
        <f t="shared" si="36"/>
        <v>555984</v>
      </c>
      <c r="AU52" s="262">
        <f t="shared" si="37"/>
        <v>583200</v>
      </c>
      <c r="AV52" s="431">
        <f t="shared" si="38"/>
        <v>8</v>
      </c>
      <c r="AW52" s="431">
        <f t="array" ref="AW52">MAX((IF(MNU_CODIGO_ALIMENTO_ENTREGA=CONCATENATE($E52,"_","P_"),MNU_GRAMAJE_REQUERIDO_TIPOH,"")))</f>
        <v>100</v>
      </c>
      <c r="AX52" s="259">
        <f t="shared" si="39"/>
        <v>220</v>
      </c>
      <c r="AY52" s="259">
        <f t="shared" si="40"/>
        <v>1760</v>
      </c>
      <c r="AZ52" s="452">
        <f t="shared" si="41"/>
        <v>286</v>
      </c>
      <c r="BA52" s="452">
        <f t="shared" si="42"/>
        <v>13.956800000000001</v>
      </c>
      <c r="BB52" s="452">
        <f t="shared" si="43"/>
        <v>0.24596457599999999</v>
      </c>
      <c r="BC52" s="452">
        <f t="shared" si="44"/>
        <v>300</v>
      </c>
      <c r="BD52" s="260">
        <f t="shared" si="45"/>
        <v>503360</v>
      </c>
      <c r="BE52" s="260">
        <f t="shared" si="46"/>
        <v>528000</v>
      </c>
      <c r="BF52" s="397">
        <f t="shared" si="47"/>
        <v>35161984</v>
      </c>
      <c r="BG52" s="397">
        <f t="shared" si="48"/>
        <v>36883200</v>
      </c>
    </row>
    <row r="53" spans="1:59" ht="15.75">
      <c r="A53" s="338">
        <v>3</v>
      </c>
      <c r="B53" s="338" t="str">
        <f t="shared" si="0"/>
        <v>FRUTA_3</v>
      </c>
      <c r="C53" s="338" t="str">
        <f t="shared" si="1"/>
        <v>69_3</v>
      </c>
      <c r="D53" s="338" t="s">
        <v>1</v>
      </c>
      <c r="E53" s="258">
        <v>69</v>
      </c>
      <c r="F53" s="328" t="s">
        <v>70</v>
      </c>
      <c r="G53" s="258" t="s">
        <v>9</v>
      </c>
      <c r="H53" s="431">
        <f t="shared" si="2"/>
        <v>30</v>
      </c>
      <c r="I53" s="431">
        <f t="array" ref="I53">MAX((IF(MNU_CODIGO_ALIMENTO_ENTREGA=CONCATENATE($E53,"_","P_"),MNU_GRAMAJE_REQUERIDO_TIPOA,"")))</f>
        <v>100</v>
      </c>
      <c r="J53" s="259">
        <f t="shared" si="3"/>
        <v>6099</v>
      </c>
      <c r="K53" s="259">
        <f t="shared" si="4"/>
        <v>182970</v>
      </c>
      <c r="L53" s="452">
        <f t="shared" si="5"/>
        <v>305</v>
      </c>
      <c r="M53" s="452">
        <f t="shared" si="6"/>
        <v>14.884</v>
      </c>
      <c r="N53" s="452">
        <f t="shared" si="7"/>
        <v>0.26230488000000002</v>
      </c>
      <c r="O53" s="452">
        <f t="shared" si="8"/>
        <v>320</v>
      </c>
      <c r="P53" s="260">
        <f t="shared" si="9"/>
        <v>55805850</v>
      </c>
      <c r="Q53" s="260">
        <f t="shared" si="10"/>
        <v>58550400</v>
      </c>
      <c r="R53" s="432">
        <f t="shared" si="11"/>
        <v>16</v>
      </c>
      <c r="S53" s="432">
        <f t="array" ref="S53">MAX((IF(MNU_CODIGO_ALIMENTO_ENTREGA=CONCATENATE($E53,"_","P_"),MNU_GRAMAJE_REQUERIDO_TIPOB,"")))</f>
        <v>100</v>
      </c>
      <c r="T53" s="261">
        <f t="shared" si="12"/>
        <v>7295</v>
      </c>
      <c r="U53" s="261">
        <f t="shared" si="13"/>
        <v>116720</v>
      </c>
      <c r="V53" s="452">
        <f t="shared" si="14"/>
        <v>305</v>
      </c>
      <c r="W53" s="452">
        <f t="shared" si="15"/>
        <v>14.884</v>
      </c>
      <c r="X53" s="452">
        <f t="shared" si="16"/>
        <v>0.26230488000000002</v>
      </c>
      <c r="Y53" s="452">
        <f t="shared" si="17"/>
        <v>320</v>
      </c>
      <c r="Z53" s="262">
        <f t="shared" si="18"/>
        <v>35599600</v>
      </c>
      <c r="AA53" s="262">
        <f t="shared" si="19"/>
        <v>37350400</v>
      </c>
      <c r="AB53" s="431">
        <f t="shared" si="20"/>
        <v>16</v>
      </c>
      <c r="AC53" s="431">
        <f t="array" ref="AC53">MAX((IF(MNU_CODIGO_ALIMENTO_ENTREGA=CONCATENATE($E53,"_","P_"),MNU_GRAMAJE_REQUERIDO_TIPOC,"")))</f>
        <v>100</v>
      </c>
      <c r="AD53" s="259">
        <f t="shared" si="21"/>
        <v>7610</v>
      </c>
      <c r="AE53" s="259">
        <f t="shared" si="22"/>
        <v>121760</v>
      </c>
      <c r="AF53" s="452">
        <f t="shared" si="23"/>
        <v>305</v>
      </c>
      <c r="AG53" s="452">
        <f t="shared" si="24"/>
        <v>14.884</v>
      </c>
      <c r="AH53" s="452">
        <f t="shared" si="25"/>
        <v>0.26230488000000002</v>
      </c>
      <c r="AI53" s="452">
        <f t="shared" si="26"/>
        <v>320</v>
      </c>
      <c r="AJ53" s="260">
        <f t="shared" si="27"/>
        <v>37136800</v>
      </c>
      <c r="AK53" s="260">
        <f t="shared" si="28"/>
        <v>38963200</v>
      </c>
      <c r="AL53" s="432">
        <f t="shared" si="29"/>
        <v>16</v>
      </c>
      <c r="AM53" s="432">
        <f t="array" ref="AM53">MAX((IF(MNU_CODIGO_ALIMENTO_ENTREGA=CONCATENATE($E53,"_","P_"),MNU_GRAMAJE_REQUERIDO_TIPOM,"")))</f>
        <v>100</v>
      </c>
      <c r="AN53" s="261">
        <f t="shared" si="30"/>
        <v>243</v>
      </c>
      <c r="AO53" s="261">
        <f t="shared" si="31"/>
        <v>3888</v>
      </c>
      <c r="AP53" s="452">
        <f t="shared" si="32"/>
        <v>305</v>
      </c>
      <c r="AQ53" s="452">
        <f t="shared" si="33"/>
        <v>14.884</v>
      </c>
      <c r="AR53" s="452">
        <f t="shared" si="34"/>
        <v>0.26230488000000002</v>
      </c>
      <c r="AS53" s="452">
        <f t="shared" si="35"/>
        <v>320</v>
      </c>
      <c r="AT53" s="262">
        <f t="shared" si="36"/>
        <v>1185840</v>
      </c>
      <c r="AU53" s="262">
        <f t="shared" si="37"/>
        <v>1244160</v>
      </c>
      <c r="AV53" s="431">
        <f t="shared" si="38"/>
        <v>16</v>
      </c>
      <c r="AW53" s="431">
        <f t="array" ref="AW53">MAX((IF(MNU_CODIGO_ALIMENTO_ENTREGA=CONCATENATE($E53,"_","P_"),MNU_GRAMAJE_REQUERIDO_TIPOH,"")))</f>
        <v>100</v>
      </c>
      <c r="AX53" s="259">
        <f t="shared" si="39"/>
        <v>220</v>
      </c>
      <c r="AY53" s="259">
        <f t="shared" si="40"/>
        <v>3520</v>
      </c>
      <c r="AZ53" s="452">
        <f t="shared" si="41"/>
        <v>305</v>
      </c>
      <c r="BA53" s="452">
        <f t="shared" si="42"/>
        <v>14.884</v>
      </c>
      <c r="BB53" s="452">
        <f t="shared" si="43"/>
        <v>0.26230488000000002</v>
      </c>
      <c r="BC53" s="452">
        <f t="shared" si="44"/>
        <v>320</v>
      </c>
      <c r="BD53" s="260">
        <f t="shared" si="45"/>
        <v>1073600</v>
      </c>
      <c r="BE53" s="260">
        <f t="shared" si="46"/>
        <v>1126400</v>
      </c>
      <c r="BF53" s="397">
        <f t="shared" si="47"/>
        <v>130801690</v>
      </c>
      <c r="BG53" s="397">
        <f t="shared" si="48"/>
        <v>137234560</v>
      </c>
    </row>
    <row r="54" spans="1:59" ht="15.75">
      <c r="A54" s="338">
        <v>3</v>
      </c>
      <c r="B54" s="338" t="str">
        <f t="shared" si="0"/>
        <v>FRUTA_3</v>
      </c>
      <c r="C54" s="338" t="str">
        <f t="shared" si="1"/>
        <v>70_3</v>
      </c>
      <c r="D54" s="338" t="s">
        <v>1</v>
      </c>
      <c r="E54" s="258">
        <v>70</v>
      </c>
      <c r="F54" s="328" t="s">
        <v>71</v>
      </c>
      <c r="G54" s="258" t="s">
        <v>9</v>
      </c>
      <c r="H54" s="431">
        <f t="shared" si="2"/>
        <v>0</v>
      </c>
      <c r="I54" s="431">
        <f t="array" ref="I54">MAX((IF(MNU_CODIGO_ALIMENTO_ENTREGA=CONCATENATE($E54,"_","P_"),MNU_GRAMAJE_REQUERIDO_TIPOA,"")))</f>
        <v>0</v>
      </c>
      <c r="J54" s="259">
        <f t="shared" si="3"/>
        <v>6099</v>
      </c>
      <c r="K54" s="259">
        <f t="shared" si="4"/>
        <v>0</v>
      </c>
      <c r="L54" s="452">
        <f t="shared" si="5"/>
        <v>0</v>
      </c>
      <c r="M54" s="452">
        <f t="shared" si="6"/>
        <v>0</v>
      </c>
      <c r="N54" s="452">
        <f t="shared" si="7"/>
        <v>0</v>
      </c>
      <c r="O54" s="452">
        <f t="shared" si="8"/>
        <v>0</v>
      </c>
      <c r="P54" s="260">
        <f t="shared" si="9"/>
        <v>0</v>
      </c>
      <c r="Q54" s="260">
        <f t="shared" si="10"/>
        <v>0</v>
      </c>
      <c r="R54" s="432">
        <f t="shared" si="11"/>
        <v>10</v>
      </c>
      <c r="S54" s="432">
        <f t="array" ref="S54">MAX((IF(MNU_CODIGO_ALIMENTO_ENTREGA=CONCATENATE($E54,"_","P_"),MNU_GRAMAJE_REQUERIDO_TIPOB,"")))</f>
        <v>100</v>
      </c>
      <c r="T54" s="261">
        <f t="shared" si="12"/>
        <v>7295</v>
      </c>
      <c r="U54" s="261">
        <f t="shared" si="13"/>
        <v>72950</v>
      </c>
      <c r="V54" s="452">
        <f t="shared" si="14"/>
        <v>434</v>
      </c>
      <c r="W54" s="452">
        <f t="shared" si="15"/>
        <v>21.179200000000002</v>
      </c>
      <c r="X54" s="452">
        <f t="shared" si="16"/>
        <v>0.37324694399999997</v>
      </c>
      <c r="Y54" s="452">
        <f t="shared" si="17"/>
        <v>456</v>
      </c>
      <c r="Z54" s="262">
        <f t="shared" si="18"/>
        <v>31660300</v>
      </c>
      <c r="AA54" s="262">
        <f t="shared" si="19"/>
        <v>33265200</v>
      </c>
      <c r="AB54" s="431">
        <f t="shared" si="20"/>
        <v>10</v>
      </c>
      <c r="AC54" s="431">
        <f t="array" ref="AC54">MAX((IF(MNU_CODIGO_ALIMENTO_ENTREGA=CONCATENATE($E54,"_","P_"),MNU_GRAMAJE_REQUERIDO_TIPOC,"")))</f>
        <v>100</v>
      </c>
      <c r="AD54" s="259">
        <f t="shared" si="21"/>
        <v>7610</v>
      </c>
      <c r="AE54" s="259">
        <f t="shared" si="22"/>
        <v>76100</v>
      </c>
      <c r="AF54" s="452">
        <f t="shared" si="23"/>
        <v>434</v>
      </c>
      <c r="AG54" s="452">
        <f t="shared" si="24"/>
        <v>21.179200000000002</v>
      </c>
      <c r="AH54" s="452">
        <f t="shared" si="25"/>
        <v>0.37324694399999997</v>
      </c>
      <c r="AI54" s="452">
        <f t="shared" si="26"/>
        <v>456</v>
      </c>
      <c r="AJ54" s="260">
        <f t="shared" si="27"/>
        <v>33027400</v>
      </c>
      <c r="AK54" s="260">
        <f t="shared" si="28"/>
        <v>34701600</v>
      </c>
      <c r="AL54" s="432">
        <f t="shared" si="29"/>
        <v>10</v>
      </c>
      <c r="AM54" s="432">
        <f t="array" ref="AM54">MAX((IF(MNU_CODIGO_ALIMENTO_ENTREGA=CONCATENATE($E54,"_","P_"),MNU_GRAMAJE_REQUERIDO_TIPOM,"")))</f>
        <v>100</v>
      </c>
      <c r="AN54" s="261">
        <f t="shared" si="30"/>
        <v>243</v>
      </c>
      <c r="AO54" s="261">
        <f t="shared" si="31"/>
        <v>2430</v>
      </c>
      <c r="AP54" s="452">
        <f t="shared" si="32"/>
        <v>434</v>
      </c>
      <c r="AQ54" s="452">
        <f t="shared" si="33"/>
        <v>21.179200000000002</v>
      </c>
      <c r="AR54" s="452">
        <f t="shared" si="34"/>
        <v>0.37324694399999997</v>
      </c>
      <c r="AS54" s="452">
        <f t="shared" si="35"/>
        <v>456</v>
      </c>
      <c r="AT54" s="262">
        <f t="shared" si="36"/>
        <v>1054620</v>
      </c>
      <c r="AU54" s="262">
        <f t="shared" si="37"/>
        <v>1108080</v>
      </c>
      <c r="AV54" s="431">
        <f t="shared" si="38"/>
        <v>10</v>
      </c>
      <c r="AW54" s="431">
        <f t="array" ref="AW54">MAX((IF(MNU_CODIGO_ALIMENTO_ENTREGA=CONCATENATE($E54,"_","P_"),MNU_GRAMAJE_REQUERIDO_TIPOH,"")))</f>
        <v>100</v>
      </c>
      <c r="AX54" s="259">
        <f t="shared" si="39"/>
        <v>220</v>
      </c>
      <c r="AY54" s="259">
        <f t="shared" si="40"/>
        <v>2200</v>
      </c>
      <c r="AZ54" s="452">
        <f t="shared" si="41"/>
        <v>434</v>
      </c>
      <c r="BA54" s="452">
        <f t="shared" si="42"/>
        <v>21.179200000000002</v>
      </c>
      <c r="BB54" s="452">
        <f t="shared" si="43"/>
        <v>0.37324694399999997</v>
      </c>
      <c r="BC54" s="452">
        <f t="shared" si="44"/>
        <v>456</v>
      </c>
      <c r="BD54" s="260">
        <f t="shared" si="45"/>
        <v>954800</v>
      </c>
      <c r="BE54" s="260">
        <f t="shared" si="46"/>
        <v>1003200</v>
      </c>
      <c r="BF54" s="397">
        <f t="shared" si="47"/>
        <v>66697120</v>
      </c>
      <c r="BG54" s="397">
        <f t="shared" si="48"/>
        <v>70078080</v>
      </c>
    </row>
    <row r="55" spans="1:59" ht="15.75">
      <c r="A55" s="338">
        <v>4</v>
      </c>
      <c r="B55" s="338" t="str">
        <f t="shared" si="0"/>
        <v>FRUTA_4</v>
      </c>
      <c r="C55" s="338" t="str">
        <f t="shared" si="1"/>
        <v>7_4</v>
      </c>
      <c r="D55" s="338" t="s">
        <v>1</v>
      </c>
      <c r="E55" s="258">
        <v>7</v>
      </c>
      <c r="F55" s="328" t="s">
        <v>57</v>
      </c>
      <c r="G55" s="258" t="s">
        <v>9</v>
      </c>
      <c r="H55" s="431">
        <f t="shared" si="2"/>
        <v>22</v>
      </c>
      <c r="I55" s="431">
        <f t="array" ref="I55">MAX((IF(MNU_CODIGO_ALIMENTO_ENTREGA=CONCATENATE($E55,"_","P_"),MNU_GRAMAJE_REQUERIDO_TIPOA,"")))</f>
        <v>100</v>
      </c>
      <c r="J55" s="259">
        <f t="shared" si="3"/>
        <v>6341</v>
      </c>
      <c r="K55" s="259">
        <f t="shared" si="4"/>
        <v>139502</v>
      </c>
      <c r="L55" s="452">
        <f t="shared" si="5"/>
        <v>107</v>
      </c>
      <c r="M55" s="452">
        <f t="shared" si="6"/>
        <v>5.2216000000000005</v>
      </c>
      <c r="N55" s="452">
        <f t="shared" si="7"/>
        <v>9.2021712000000006E-2</v>
      </c>
      <c r="O55" s="452">
        <f t="shared" si="8"/>
        <v>112</v>
      </c>
      <c r="P55" s="260">
        <f t="shared" si="9"/>
        <v>14926714</v>
      </c>
      <c r="Q55" s="260">
        <f t="shared" si="10"/>
        <v>15624224</v>
      </c>
      <c r="R55" s="432">
        <f t="shared" si="11"/>
        <v>9</v>
      </c>
      <c r="S55" s="432">
        <f t="array" ref="S55">MAX((IF(MNU_CODIGO_ALIMENTO_ENTREGA=CONCATENATE($E55,"_","P_"),MNU_GRAMAJE_REQUERIDO_TIPOB,"")))</f>
        <v>100</v>
      </c>
      <c r="T55" s="261">
        <f t="shared" si="12"/>
        <v>8315</v>
      </c>
      <c r="U55" s="261">
        <f t="shared" si="13"/>
        <v>74835</v>
      </c>
      <c r="V55" s="452">
        <f t="shared" si="14"/>
        <v>107</v>
      </c>
      <c r="W55" s="452">
        <f t="shared" si="15"/>
        <v>5.2216000000000005</v>
      </c>
      <c r="X55" s="452">
        <f t="shared" si="16"/>
        <v>9.2021712000000006E-2</v>
      </c>
      <c r="Y55" s="452">
        <f t="shared" si="17"/>
        <v>112</v>
      </c>
      <c r="Z55" s="262">
        <f t="shared" si="18"/>
        <v>8007345</v>
      </c>
      <c r="AA55" s="262">
        <f t="shared" si="19"/>
        <v>8381520</v>
      </c>
      <c r="AB55" s="431">
        <f t="shared" si="20"/>
        <v>9</v>
      </c>
      <c r="AC55" s="431">
        <f t="array" ref="AC55">MAX((IF(MNU_CODIGO_ALIMENTO_ENTREGA=CONCATENATE($E55,"_","P_"),MNU_GRAMAJE_REQUERIDO_TIPOC,"")))</f>
        <v>100</v>
      </c>
      <c r="AD55" s="259">
        <f t="shared" si="21"/>
        <v>9092</v>
      </c>
      <c r="AE55" s="259">
        <f t="shared" si="22"/>
        <v>81828</v>
      </c>
      <c r="AF55" s="452">
        <f t="shared" si="23"/>
        <v>107</v>
      </c>
      <c r="AG55" s="452">
        <f t="shared" si="24"/>
        <v>5.2216000000000005</v>
      </c>
      <c r="AH55" s="452">
        <f t="shared" si="25"/>
        <v>9.2021712000000006E-2</v>
      </c>
      <c r="AI55" s="452">
        <f t="shared" si="26"/>
        <v>112</v>
      </c>
      <c r="AJ55" s="260">
        <f t="shared" si="27"/>
        <v>8755596</v>
      </c>
      <c r="AK55" s="260">
        <f t="shared" si="28"/>
        <v>9164736</v>
      </c>
      <c r="AL55" s="432">
        <f t="shared" si="29"/>
        <v>9</v>
      </c>
      <c r="AM55" s="432">
        <f t="array" ref="AM55">MAX((IF(MNU_CODIGO_ALIMENTO_ENTREGA=CONCATENATE($E55,"_","P_"),MNU_GRAMAJE_REQUERIDO_TIPOM,"")))</f>
        <v>100</v>
      </c>
      <c r="AN55" s="261">
        <f t="shared" si="30"/>
        <v>144</v>
      </c>
      <c r="AO55" s="261">
        <f t="shared" si="31"/>
        <v>1296</v>
      </c>
      <c r="AP55" s="452">
        <f t="shared" si="32"/>
        <v>107</v>
      </c>
      <c r="AQ55" s="452">
        <f t="shared" si="33"/>
        <v>5.2216000000000005</v>
      </c>
      <c r="AR55" s="452">
        <f t="shared" si="34"/>
        <v>9.2021712000000006E-2</v>
      </c>
      <c r="AS55" s="452">
        <f t="shared" si="35"/>
        <v>112</v>
      </c>
      <c r="AT55" s="262">
        <f t="shared" si="36"/>
        <v>138672</v>
      </c>
      <c r="AU55" s="262">
        <f t="shared" si="37"/>
        <v>145152</v>
      </c>
      <c r="AV55" s="431">
        <f t="shared" si="38"/>
        <v>9</v>
      </c>
      <c r="AW55" s="431">
        <f t="array" ref="AW55">MAX((IF(MNU_CODIGO_ALIMENTO_ENTREGA=CONCATENATE($E55,"_","P_"),MNU_GRAMAJE_REQUERIDO_TIPOH,"")))</f>
        <v>100</v>
      </c>
      <c r="AX55" s="259">
        <f t="shared" si="39"/>
        <v>144</v>
      </c>
      <c r="AY55" s="259">
        <f t="shared" si="40"/>
        <v>1296</v>
      </c>
      <c r="AZ55" s="452">
        <f t="shared" si="41"/>
        <v>107</v>
      </c>
      <c r="BA55" s="452">
        <f t="shared" si="42"/>
        <v>5.2216000000000005</v>
      </c>
      <c r="BB55" s="452">
        <f t="shared" si="43"/>
        <v>9.2021712000000006E-2</v>
      </c>
      <c r="BC55" s="452">
        <f t="shared" si="44"/>
        <v>112</v>
      </c>
      <c r="BD55" s="260">
        <f t="shared" si="45"/>
        <v>138672</v>
      </c>
      <c r="BE55" s="260">
        <f t="shared" si="46"/>
        <v>145152</v>
      </c>
      <c r="BF55" s="397">
        <f t="shared" si="47"/>
        <v>31966999</v>
      </c>
      <c r="BG55" s="397">
        <f t="shared" si="48"/>
        <v>33460784</v>
      </c>
    </row>
    <row r="56" spans="1:59" ht="15.75">
      <c r="A56" s="338">
        <v>4</v>
      </c>
      <c r="B56" s="338" t="str">
        <f t="shared" si="0"/>
        <v>FRUTA_4</v>
      </c>
      <c r="C56" s="338" t="str">
        <f t="shared" si="1"/>
        <v>8_4</v>
      </c>
      <c r="D56" s="338" t="s">
        <v>1</v>
      </c>
      <c r="E56" s="258">
        <v>8</v>
      </c>
      <c r="F56" s="328" t="s">
        <v>55</v>
      </c>
      <c r="G56" s="258" t="s">
        <v>9</v>
      </c>
      <c r="H56" s="431">
        <f t="shared" si="2"/>
        <v>10</v>
      </c>
      <c r="I56" s="431">
        <f t="array" ref="I56">MAX((IF(MNU_CODIGO_ALIMENTO_ENTREGA=CONCATENATE($E56,"_","P_"),MNU_GRAMAJE_REQUERIDO_TIPOA,"")))</f>
        <v>100</v>
      </c>
      <c r="J56" s="259">
        <f t="shared" si="3"/>
        <v>6341</v>
      </c>
      <c r="K56" s="259">
        <f t="shared" si="4"/>
        <v>63410</v>
      </c>
      <c r="L56" s="452">
        <f t="shared" si="5"/>
        <v>134</v>
      </c>
      <c r="M56" s="452">
        <f t="shared" si="6"/>
        <v>6.539200000000001</v>
      </c>
      <c r="N56" s="452">
        <f t="shared" si="7"/>
        <v>0.115242144</v>
      </c>
      <c r="O56" s="452">
        <f t="shared" si="8"/>
        <v>141</v>
      </c>
      <c r="P56" s="260">
        <f t="shared" si="9"/>
        <v>8496940</v>
      </c>
      <c r="Q56" s="260">
        <f t="shared" si="10"/>
        <v>8940810</v>
      </c>
      <c r="R56" s="432">
        <f t="shared" si="11"/>
        <v>8</v>
      </c>
      <c r="S56" s="432">
        <f t="array" ref="S56">MAX((IF(MNU_CODIGO_ALIMENTO_ENTREGA=CONCATENATE($E56,"_","P_"),MNU_GRAMAJE_REQUERIDO_TIPOB,"")))</f>
        <v>100</v>
      </c>
      <c r="T56" s="261">
        <f t="shared" si="12"/>
        <v>8315</v>
      </c>
      <c r="U56" s="261">
        <f t="shared" si="13"/>
        <v>66520</v>
      </c>
      <c r="V56" s="452">
        <f t="shared" si="14"/>
        <v>134</v>
      </c>
      <c r="W56" s="452">
        <f t="shared" si="15"/>
        <v>6.539200000000001</v>
      </c>
      <c r="X56" s="452">
        <f t="shared" si="16"/>
        <v>0.115242144</v>
      </c>
      <c r="Y56" s="452">
        <f t="shared" si="17"/>
        <v>141</v>
      </c>
      <c r="Z56" s="262">
        <f t="shared" si="18"/>
        <v>8913680</v>
      </c>
      <c r="AA56" s="262">
        <f t="shared" si="19"/>
        <v>9379320</v>
      </c>
      <c r="AB56" s="431">
        <f t="shared" si="20"/>
        <v>8</v>
      </c>
      <c r="AC56" s="431">
        <f t="array" ref="AC56">MAX((IF(MNU_CODIGO_ALIMENTO_ENTREGA=CONCATENATE($E56,"_","P_"),MNU_GRAMAJE_REQUERIDO_TIPOC,"")))</f>
        <v>100</v>
      </c>
      <c r="AD56" s="259">
        <f t="shared" si="21"/>
        <v>9092</v>
      </c>
      <c r="AE56" s="259">
        <f t="shared" si="22"/>
        <v>72736</v>
      </c>
      <c r="AF56" s="452">
        <f t="shared" si="23"/>
        <v>134</v>
      </c>
      <c r="AG56" s="452">
        <f t="shared" si="24"/>
        <v>6.539200000000001</v>
      </c>
      <c r="AH56" s="452">
        <f t="shared" si="25"/>
        <v>0.115242144</v>
      </c>
      <c r="AI56" s="452">
        <f t="shared" si="26"/>
        <v>141</v>
      </c>
      <c r="AJ56" s="260">
        <f t="shared" si="27"/>
        <v>9746624</v>
      </c>
      <c r="AK56" s="260">
        <f t="shared" si="28"/>
        <v>10255776</v>
      </c>
      <c r="AL56" s="432">
        <f t="shared" si="29"/>
        <v>8</v>
      </c>
      <c r="AM56" s="432">
        <f t="array" ref="AM56">MAX((IF(MNU_CODIGO_ALIMENTO_ENTREGA=CONCATENATE($E56,"_","P_"),MNU_GRAMAJE_REQUERIDO_TIPOM,"")))</f>
        <v>100</v>
      </c>
      <c r="AN56" s="261">
        <f t="shared" si="30"/>
        <v>144</v>
      </c>
      <c r="AO56" s="261">
        <f t="shared" si="31"/>
        <v>1152</v>
      </c>
      <c r="AP56" s="452">
        <f t="shared" si="32"/>
        <v>134</v>
      </c>
      <c r="AQ56" s="452">
        <f t="shared" si="33"/>
        <v>6.539200000000001</v>
      </c>
      <c r="AR56" s="452">
        <f t="shared" si="34"/>
        <v>0.115242144</v>
      </c>
      <c r="AS56" s="452">
        <f t="shared" si="35"/>
        <v>141</v>
      </c>
      <c r="AT56" s="262">
        <f t="shared" si="36"/>
        <v>154368</v>
      </c>
      <c r="AU56" s="262">
        <f t="shared" si="37"/>
        <v>162432</v>
      </c>
      <c r="AV56" s="431">
        <f t="shared" si="38"/>
        <v>8</v>
      </c>
      <c r="AW56" s="431">
        <f t="array" ref="AW56">MAX((IF(MNU_CODIGO_ALIMENTO_ENTREGA=CONCATENATE($E56,"_","P_"),MNU_GRAMAJE_REQUERIDO_TIPOH,"")))</f>
        <v>100</v>
      </c>
      <c r="AX56" s="259">
        <f t="shared" si="39"/>
        <v>144</v>
      </c>
      <c r="AY56" s="259">
        <f t="shared" si="40"/>
        <v>1152</v>
      </c>
      <c r="AZ56" s="452">
        <f t="shared" si="41"/>
        <v>134</v>
      </c>
      <c r="BA56" s="452">
        <f t="shared" si="42"/>
        <v>6.539200000000001</v>
      </c>
      <c r="BB56" s="452">
        <f t="shared" si="43"/>
        <v>0.115242144</v>
      </c>
      <c r="BC56" s="452">
        <f t="shared" si="44"/>
        <v>141</v>
      </c>
      <c r="BD56" s="260">
        <f t="shared" si="45"/>
        <v>154368</v>
      </c>
      <c r="BE56" s="260">
        <f t="shared" si="46"/>
        <v>162432</v>
      </c>
      <c r="BF56" s="397">
        <f t="shared" si="47"/>
        <v>27465980</v>
      </c>
      <c r="BG56" s="397">
        <f t="shared" si="48"/>
        <v>28900770</v>
      </c>
    </row>
    <row r="57" spans="1:59" ht="15.75">
      <c r="A57" s="338">
        <v>4</v>
      </c>
      <c r="B57" s="338" t="str">
        <f t="shared" si="0"/>
        <v>FRUTA_4</v>
      </c>
      <c r="C57" s="338" t="str">
        <f t="shared" si="1"/>
        <v>17_4</v>
      </c>
      <c r="D57" s="338" t="s">
        <v>1</v>
      </c>
      <c r="E57" s="258">
        <v>17</v>
      </c>
      <c r="F57" s="328" t="s">
        <v>53</v>
      </c>
      <c r="G57" s="258" t="s">
        <v>9</v>
      </c>
      <c r="H57" s="431">
        <f t="shared" si="2"/>
        <v>0</v>
      </c>
      <c r="I57" s="431">
        <f t="array" ref="I57">MAX((IF(MNU_CODIGO_ALIMENTO_ENTREGA=CONCATENATE($E57,"_","P_"),MNU_GRAMAJE_REQUERIDO_TIPOA,"")))</f>
        <v>0</v>
      </c>
      <c r="J57" s="259">
        <f t="shared" si="3"/>
        <v>6341</v>
      </c>
      <c r="K57" s="259">
        <f t="shared" si="4"/>
        <v>0</v>
      </c>
      <c r="L57" s="452">
        <f t="shared" si="5"/>
        <v>0</v>
      </c>
      <c r="M57" s="452">
        <f t="shared" si="6"/>
        <v>0</v>
      </c>
      <c r="N57" s="452">
        <f t="shared" si="7"/>
        <v>0</v>
      </c>
      <c r="O57" s="452">
        <f t="shared" si="8"/>
        <v>0</v>
      </c>
      <c r="P57" s="260">
        <f t="shared" si="9"/>
        <v>0</v>
      </c>
      <c r="Q57" s="260">
        <f t="shared" si="10"/>
        <v>0</v>
      </c>
      <c r="R57" s="432">
        <f t="shared" si="11"/>
        <v>21</v>
      </c>
      <c r="S57" s="432">
        <f t="array" ref="S57">MAX((IF(MNU_CODIGO_ALIMENTO_ENTREGA=CONCATENATE($E57,"_","P_"),MNU_GRAMAJE_REQUERIDO_TIPOB,"")))</f>
        <v>100</v>
      </c>
      <c r="T57" s="261">
        <f t="shared" si="12"/>
        <v>8315</v>
      </c>
      <c r="U57" s="261">
        <f t="shared" si="13"/>
        <v>174615</v>
      </c>
      <c r="V57" s="452">
        <f t="shared" si="14"/>
        <v>226</v>
      </c>
      <c r="W57" s="452">
        <f t="shared" si="15"/>
        <v>11.0288</v>
      </c>
      <c r="X57" s="452">
        <f t="shared" si="16"/>
        <v>0.19436361600000002</v>
      </c>
      <c r="Y57" s="452">
        <f t="shared" si="17"/>
        <v>237</v>
      </c>
      <c r="Z57" s="262">
        <f t="shared" si="18"/>
        <v>39462990</v>
      </c>
      <c r="AA57" s="262">
        <f t="shared" si="19"/>
        <v>41383755</v>
      </c>
      <c r="AB57" s="431">
        <f t="shared" si="20"/>
        <v>21</v>
      </c>
      <c r="AC57" s="431">
        <f t="array" ref="AC57">MAX((IF(MNU_CODIGO_ALIMENTO_ENTREGA=CONCATENATE($E57,"_","P_"),MNU_GRAMAJE_REQUERIDO_TIPOC,"")))</f>
        <v>100</v>
      </c>
      <c r="AD57" s="259">
        <f t="shared" si="21"/>
        <v>9092</v>
      </c>
      <c r="AE57" s="259">
        <f t="shared" si="22"/>
        <v>190932</v>
      </c>
      <c r="AF57" s="452">
        <f t="shared" si="23"/>
        <v>226</v>
      </c>
      <c r="AG57" s="452">
        <f t="shared" si="24"/>
        <v>11.0288</v>
      </c>
      <c r="AH57" s="452">
        <f t="shared" si="25"/>
        <v>0.19436361600000002</v>
      </c>
      <c r="AI57" s="452">
        <f t="shared" si="26"/>
        <v>237</v>
      </c>
      <c r="AJ57" s="260">
        <f t="shared" si="27"/>
        <v>43150632</v>
      </c>
      <c r="AK57" s="260">
        <f t="shared" si="28"/>
        <v>45250884</v>
      </c>
      <c r="AL57" s="432">
        <f t="shared" si="29"/>
        <v>21</v>
      </c>
      <c r="AM57" s="432">
        <f t="array" ref="AM57">MAX((IF(MNU_CODIGO_ALIMENTO_ENTREGA=CONCATENATE($E57,"_","P_"),MNU_GRAMAJE_REQUERIDO_TIPOM,"")))</f>
        <v>100</v>
      </c>
      <c r="AN57" s="261">
        <f t="shared" si="30"/>
        <v>144</v>
      </c>
      <c r="AO57" s="261">
        <f t="shared" si="31"/>
        <v>3024</v>
      </c>
      <c r="AP57" s="452">
        <f t="shared" si="32"/>
        <v>226</v>
      </c>
      <c r="AQ57" s="452">
        <f t="shared" si="33"/>
        <v>11.0288</v>
      </c>
      <c r="AR57" s="452">
        <f t="shared" si="34"/>
        <v>0.19436361600000002</v>
      </c>
      <c r="AS57" s="452">
        <f t="shared" si="35"/>
        <v>237</v>
      </c>
      <c r="AT57" s="262">
        <f t="shared" si="36"/>
        <v>683424</v>
      </c>
      <c r="AU57" s="262">
        <f t="shared" si="37"/>
        <v>716688</v>
      </c>
      <c r="AV57" s="431">
        <f t="shared" si="38"/>
        <v>21</v>
      </c>
      <c r="AW57" s="431">
        <f t="array" ref="AW57">MAX((IF(MNU_CODIGO_ALIMENTO_ENTREGA=CONCATENATE($E57,"_","P_"),MNU_GRAMAJE_REQUERIDO_TIPOH,"")))</f>
        <v>100</v>
      </c>
      <c r="AX57" s="259">
        <f t="shared" si="39"/>
        <v>144</v>
      </c>
      <c r="AY57" s="259">
        <f t="shared" si="40"/>
        <v>3024</v>
      </c>
      <c r="AZ57" s="452">
        <f t="shared" si="41"/>
        <v>226</v>
      </c>
      <c r="BA57" s="452">
        <f t="shared" si="42"/>
        <v>11.0288</v>
      </c>
      <c r="BB57" s="452">
        <f t="shared" si="43"/>
        <v>0.19436361600000002</v>
      </c>
      <c r="BC57" s="452">
        <f t="shared" si="44"/>
        <v>237</v>
      </c>
      <c r="BD57" s="260">
        <f t="shared" si="45"/>
        <v>683424</v>
      </c>
      <c r="BE57" s="260">
        <f t="shared" si="46"/>
        <v>716688</v>
      </c>
      <c r="BF57" s="397">
        <f t="shared" si="47"/>
        <v>83980470</v>
      </c>
      <c r="BG57" s="397">
        <f t="shared" si="48"/>
        <v>88068015</v>
      </c>
    </row>
    <row r="58" spans="1:59" ht="15.75">
      <c r="A58" s="338">
        <v>4</v>
      </c>
      <c r="B58" s="338" t="str">
        <f t="shared" si="0"/>
        <v>FRUTA_4</v>
      </c>
      <c r="C58" s="338" t="str">
        <f t="shared" si="1"/>
        <v>22_4</v>
      </c>
      <c r="D58" s="338" t="s">
        <v>1</v>
      </c>
      <c r="E58" s="258">
        <v>22</v>
      </c>
      <c r="F58" s="328" t="s">
        <v>51</v>
      </c>
      <c r="G58" s="258" t="s">
        <v>9</v>
      </c>
      <c r="H58" s="431">
        <f t="shared" si="2"/>
        <v>0</v>
      </c>
      <c r="I58" s="431">
        <f t="array" ref="I58">MAX((IF(MNU_CODIGO_ALIMENTO_ENTREGA=CONCATENATE($E58,"_","P_"),MNU_GRAMAJE_REQUERIDO_TIPOA,"")))</f>
        <v>0</v>
      </c>
      <c r="J58" s="259">
        <f t="shared" si="3"/>
        <v>6341</v>
      </c>
      <c r="K58" s="259">
        <f t="shared" si="4"/>
        <v>0</v>
      </c>
      <c r="L58" s="452">
        <f t="shared" si="5"/>
        <v>0</v>
      </c>
      <c r="M58" s="452">
        <f t="shared" si="6"/>
        <v>0</v>
      </c>
      <c r="N58" s="452">
        <f t="shared" si="7"/>
        <v>0</v>
      </c>
      <c r="O58" s="452">
        <f t="shared" si="8"/>
        <v>0</v>
      </c>
      <c r="P58" s="260">
        <f t="shared" si="9"/>
        <v>0</v>
      </c>
      <c r="Q58" s="260">
        <f t="shared" si="10"/>
        <v>0</v>
      </c>
      <c r="R58" s="432">
        <f t="shared" si="11"/>
        <v>20</v>
      </c>
      <c r="S58" s="432">
        <f t="array" ref="S58">MAX((IF(MNU_CODIGO_ALIMENTO_ENTREGA=CONCATENATE($E58,"_","P_"),MNU_GRAMAJE_REQUERIDO_TIPOB,"")))</f>
        <v>100</v>
      </c>
      <c r="T58" s="261">
        <f t="shared" si="12"/>
        <v>8315</v>
      </c>
      <c r="U58" s="261">
        <f t="shared" si="13"/>
        <v>166300</v>
      </c>
      <c r="V58" s="452">
        <f t="shared" si="14"/>
        <v>525</v>
      </c>
      <c r="W58" s="452">
        <f t="shared" si="15"/>
        <v>25.62</v>
      </c>
      <c r="X58" s="452">
        <f t="shared" si="16"/>
        <v>0.45150840000000003</v>
      </c>
      <c r="Y58" s="452">
        <f t="shared" si="17"/>
        <v>551</v>
      </c>
      <c r="Z58" s="262">
        <f t="shared" si="18"/>
        <v>87307500</v>
      </c>
      <c r="AA58" s="262">
        <f t="shared" si="19"/>
        <v>91631300</v>
      </c>
      <c r="AB58" s="431">
        <f t="shared" si="20"/>
        <v>20</v>
      </c>
      <c r="AC58" s="431">
        <f t="array" ref="AC58">MAX((IF(MNU_CODIGO_ALIMENTO_ENTREGA=CONCATENATE($E58,"_","P_"),MNU_GRAMAJE_REQUERIDO_TIPOC,"")))</f>
        <v>100</v>
      </c>
      <c r="AD58" s="259">
        <f t="shared" si="21"/>
        <v>9092</v>
      </c>
      <c r="AE58" s="259">
        <f t="shared" si="22"/>
        <v>181840</v>
      </c>
      <c r="AF58" s="452">
        <f t="shared" si="23"/>
        <v>525</v>
      </c>
      <c r="AG58" s="452">
        <f t="shared" si="24"/>
        <v>25.62</v>
      </c>
      <c r="AH58" s="452">
        <f t="shared" si="25"/>
        <v>0.45150840000000003</v>
      </c>
      <c r="AI58" s="452">
        <f t="shared" si="26"/>
        <v>551</v>
      </c>
      <c r="AJ58" s="260">
        <f t="shared" si="27"/>
        <v>95466000</v>
      </c>
      <c r="AK58" s="260">
        <f t="shared" si="28"/>
        <v>100193840</v>
      </c>
      <c r="AL58" s="432">
        <f t="shared" si="29"/>
        <v>20</v>
      </c>
      <c r="AM58" s="432">
        <f t="array" ref="AM58">MAX((IF(MNU_CODIGO_ALIMENTO_ENTREGA=CONCATENATE($E58,"_","P_"),MNU_GRAMAJE_REQUERIDO_TIPOM,"")))</f>
        <v>100</v>
      </c>
      <c r="AN58" s="261">
        <f t="shared" si="30"/>
        <v>144</v>
      </c>
      <c r="AO58" s="261">
        <f t="shared" si="31"/>
        <v>2880</v>
      </c>
      <c r="AP58" s="452">
        <f t="shared" si="32"/>
        <v>525</v>
      </c>
      <c r="AQ58" s="452">
        <f t="shared" si="33"/>
        <v>25.62</v>
      </c>
      <c r="AR58" s="452">
        <f t="shared" si="34"/>
        <v>0.45150840000000003</v>
      </c>
      <c r="AS58" s="452">
        <f t="shared" si="35"/>
        <v>551</v>
      </c>
      <c r="AT58" s="262">
        <f t="shared" si="36"/>
        <v>1512000</v>
      </c>
      <c r="AU58" s="262">
        <f t="shared" si="37"/>
        <v>1586880</v>
      </c>
      <c r="AV58" s="431">
        <f t="shared" si="38"/>
        <v>20</v>
      </c>
      <c r="AW58" s="431">
        <f t="array" ref="AW58">MAX((IF(MNU_CODIGO_ALIMENTO_ENTREGA=CONCATENATE($E58,"_","P_"),MNU_GRAMAJE_REQUERIDO_TIPOH,"")))</f>
        <v>100</v>
      </c>
      <c r="AX58" s="259">
        <f t="shared" si="39"/>
        <v>144</v>
      </c>
      <c r="AY58" s="259">
        <f t="shared" si="40"/>
        <v>2880</v>
      </c>
      <c r="AZ58" s="452">
        <f t="shared" si="41"/>
        <v>525</v>
      </c>
      <c r="BA58" s="452">
        <f t="shared" si="42"/>
        <v>25.62</v>
      </c>
      <c r="BB58" s="452">
        <f t="shared" si="43"/>
        <v>0.45150840000000003</v>
      </c>
      <c r="BC58" s="452">
        <f t="shared" si="44"/>
        <v>551</v>
      </c>
      <c r="BD58" s="260">
        <f t="shared" si="45"/>
        <v>1512000</v>
      </c>
      <c r="BE58" s="260">
        <f t="shared" si="46"/>
        <v>1586880</v>
      </c>
      <c r="BF58" s="397">
        <f t="shared" si="47"/>
        <v>185797500</v>
      </c>
      <c r="BG58" s="397">
        <f t="shared" si="48"/>
        <v>194998900</v>
      </c>
    </row>
    <row r="59" spans="1:59" ht="15.75">
      <c r="A59" s="338">
        <v>4</v>
      </c>
      <c r="B59" s="338" t="str">
        <f t="shared" si="0"/>
        <v>FRUTA_4</v>
      </c>
      <c r="C59" s="338" t="str">
        <f t="shared" si="1"/>
        <v>33_4</v>
      </c>
      <c r="D59" s="338" t="s">
        <v>1</v>
      </c>
      <c r="E59" s="258">
        <v>33</v>
      </c>
      <c r="F59" s="328" t="s">
        <v>59</v>
      </c>
      <c r="G59" s="258" t="s">
        <v>48</v>
      </c>
      <c r="H59" s="431">
        <f t="shared" si="2"/>
        <v>27</v>
      </c>
      <c r="I59" s="431">
        <v>1</v>
      </c>
      <c r="J59" s="259">
        <f t="shared" si="3"/>
        <v>6341</v>
      </c>
      <c r="K59" s="259">
        <f t="shared" si="4"/>
        <v>171207</v>
      </c>
      <c r="L59" s="452">
        <f t="shared" si="5"/>
        <v>270</v>
      </c>
      <c r="M59" s="452">
        <f t="shared" si="6"/>
        <v>13.176000000000002</v>
      </c>
      <c r="N59" s="452">
        <f t="shared" si="7"/>
        <v>0.23220432000000002</v>
      </c>
      <c r="O59" s="452">
        <f t="shared" si="8"/>
        <v>283</v>
      </c>
      <c r="P59" s="260">
        <f t="shared" si="9"/>
        <v>46225890</v>
      </c>
      <c r="Q59" s="260">
        <f t="shared" si="10"/>
        <v>48451581</v>
      </c>
      <c r="R59" s="432">
        <f t="shared" si="11"/>
        <v>18</v>
      </c>
      <c r="S59" s="432">
        <v>1</v>
      </c>
      <c r="T59" s="261">
        <f t="shared" si="12"/>
        <v>8315</v>
      </c>
      <c r="U59" s="261">
        <f t="shared" si="13"/>
        <v>149670</v>
      </c>
      <c r="V59" s="452">
        <f t="shared" si="14"/>
        <v>270</v>
      </c>
      <c r="W59" s="452">
        <f t="shared" si="15"/>
        <v>13.176000000000002</v>
      </c>
      <c r="X59" s="452">
        <f t="shared" si="16"/>
        <v>0.23220432000000002</v>
      </c>
      <c r="Y59" s="452">
        <f t="shared" si="17"/>
        <v>283</v>
      </c>
      <c r="Z59" s="262">
        <f t="shared" si="18"/>
        <v>40410900</v>
      </c>
      <c r="AA59" s="262">
        <f t="shared" si="19"/>
        <v>42356610</v>
      </c>
      <c r="AB59" s="431">
        <f t="shared" si="20"/>
        <v>18</v>
      </c>
      <c r="AC59" s="431">
        <v>1</v>
      </c>
      <c r="AD59" s="259">
        <f t="shared" si="21"/>
        <v>9092</v>
      </c>
      <c r="AE59" s="259">
        <f t="shared" si="22"/>
        <v>163656</v>
      </c>
      <c r="AF59" s="452">
        <f t="shared" si="23"/>
        <v>270</v>
      </c>
      <c r="AG59" s="452">
        <f t="shared" si="24"/>
        <v>13.176000000000002</v>
      </c>
      <c r="AH59" s="452">
        <f t="shared" si="25"/>
        <v>0.23220432000000002</v>
      </c>
      <c r="AI59" s="452">
        <f t="shared" si="26"/>
        <v>283</v>
      </c>
      <c r="AJ59" s="260">
        <f t="shared" si="27"/>
        <v>44187120</v>
      </c>
      <c r="AK59" s="260">
        <f t="shared" si="28"/>
        <v>46314648</v>
      </c>
      <c r="AL59" s="432">
        <f t="shared" si="29"/>
        <v>18</v>
      </c>
      <c r="AM59" s="432">
        <v>1</v>
      </c>
      <c r="AN59" s="261">
        <f t="shared" si="30"/>
        <v>144</v>
      </c>
      <c r="AO59" s="261">
        <f t="shared" si="31"/>
        <v>2592</v>
      </c>
      <c r="AP59" s="452">
        <f t="shared" si="32"/>
        <v>270</v>
      </c>
      <c r="AQ59" s="452">
        <f t="shared" si="33"/>
        <v>13.176000000000002</v>
      </c>
      <c r="AR59" s="452">
        <f t="shared" si="34"/>
        <v>0.23220432000000002</v>
      </c>
      <c r="AS59" s="452">
        <f t="shared" si="35"/>
        <v>283</v>
      </c>
      <c r="AT59" s="262">
        <f t="shared" si="36"/>
        <v>699840</v>
      </c>
      <c r="AU59" s="262">
        <f t="shared" si="37"/>
        <v>733536</v>
      </c>
      <c r="AV59" s="431">
        <f t="shared" si="38"/>
        <v>18</v>
      </c>
      <c r="AW59" s="431">
        <v>1</v>
      </c>
      <c r="AX59" s="259">
        <f t="shared" si="39"/>
        <v>144</v>
      </c>
      <c r="AY59" s="259">
        <f t="shared" si="40"/>
        <v>2592</v>
      </c>
      <c r="AZ59" s="452">
        <f t="shared" si="41"/>
        <v>270</v>
      </c>
      <c r="BA59" s="452">
        <f t="shared" si="42"/>
        <v>13.176000000000002</v>
      </c>
      <c r="BB59" s="452">
        <f t="shared" si="43"/>
        <v>0.23220432000000002</v>
      </c>
      <c r="BC59" s="452">
        <f t="shared" si="44"/>
        <v>283</v>
      </c>
      <c r="BD59" s="260">
        <f t="shared" si="45"/>
        <v>699840</v>
      </c>
      <c r="BE59" s="260">
        <f t="shared" si="46"/>
        <v>733536</v>
      </c>
      <c r="BF59" s="397">
        <f t="shared" si="47"/>
        <v>132223590</v>
      </c>
      <c r="BG59" s="397">
        <f t="shared" si="48"/>
        <v>138589911</v>
      </c>
    </row>
    <row r="60" spans="1:59" ht="15.75">
      <c r="A60" s="338">
        <v>4</v>
      </c>
      <c r="B60" s="338" t="str">
        <f t="shared" ref="B60:B123" si="49">CONCATENATE(D60,"_",A60)</f>
        <v>FRUTA_4</v>
      </c>
      <c r="C60" s="338" t="str">
        <f t="shared" ref="C60:C123" si="50">CONCATENATE(E60,"_",A60)</f>
        <v>36_4</v>
      </c>
      <c r="D60" s="338" t="s">
        <v>1</v>
      </c>
      <c r="E60" s="258">
        <v>36</v>
      </c>
      <c r="F60" s="328" t="s">
        <v>1340</v>
      </c>
      <c r="G60" s="258" t="s">
        <v>9</v>
      </c>
      <c r="H60" s="431">
        <f t="shared" ref="H60:H123" si="51">SUMIF(MNU_CODIGO_ALIMENTO_ENTREGA,CONCATENATE($E60,"_","P_"),MNU_FRECUENCIAS_LAV_TIPOA)</f>
        <v>7</v>
      </c>
      <c r="I60" s="431">
        <f t="array" ref="I60">MAX((IF(MNU_CODIGO_ALIMENTO_ENTREGA=CONCATENATE($E60,"_","P_"),MNU_GRAMAJE_REQUERIDO_TIPOA,"")))</f>
        <v>20</v>
      </c>
      <c r="J60" s="259">
        <f t="shared" ref="J60:J123" si="52">SUMIF(VOL_GRUPO,CONCATENATE($A60,"1052-1NO"),VOL_TIPOA)</f>
        <v>6341</v>
      </c>
      <c r="K60" s="259">
        <f t="shared" ref="K60:K123" si="53">H60*J60</f>
        <v>44387</v>
      </c>
      <c r="L60" s="452">
        <f t="shared" ref="L60:L123" si="54">IF(ISERROR(AVERAGEIFS(MNU_COSTO_UNITARIO_TIPOA_SELECCIONADO,MNU_CODIGO_ALIMENTO_ENTREGA,CONCATENATE($E60,"_","P_"))),0,AVERAGEIFS(MNU_COSTO_UNITARIO_TIPOA_SELECCIONADO,MNU_CODIGO_ALIMENTO_ENTREGA,CONCATENATE($E60,"_","P_")))</f>
        <v>126</v>
      </c>
      <c r="M60" s="452">
        <f t="shared" ref="M60:M123" si="55">(L60*0.01)+(L60*0.005)+(L60*0.02)+(L60*(13.8/1000))</f>
        <v>6.1488000000000005</v>
      </c>
      <c r="N60" s="452">
        <f t="shared" ref="N60:N123" si="56">((L60+M60)*0.00071)+((L60+M60)*0.00011)</f>
        <v>0.10836201599999999</v>
      </c>
      <c r="O60" s="452">
        <f t="shared" ref="O60:O123" si="57">ROUND(L60+M60+N60,0)</f>
        <v>132</v>
      </c>
      <c r="P60" s="260">
        <f t="shared" ref="P60:P123" si="58">H60*J60*L60</f>
        <v>5592762</v>
      </c>
      <c r="Q60" s="260">
        <f t="shared" ref="Q60:Q123" si="59">H60*J60*O60</f>
        <v>5859084</v>
      </c>
      <c r="R60" s="432">
        <f t="shared" ref="R60:R123" si="60">SUMIF(MNU_CODIGO_ALIMENTO_ENTREGA,CONCATENATE($E60,"_","P_"),MNU_FRECUENCIAS_LAV_TIPOB)</f>
        <v>7</v>
      </c>
      <c r="S60" s="432">
        <f t="array" ref="S60">MAX((IF(MNU_CODIGO_ALIMENTO_ENTREGA=CONCATENATE($E60,"_","P_"),MNU_GRAMAJE_REQUERIDO_TIPOB,"")))</f>
        <v>40</v>
      </c>
      <c r="T60" s="261">
        <f t="shared" ref="T60:T123" si="61">SUMIF(VOL_GRUPO,CONCATENATE($A60,"1052-1NO"),VOL_TIPOB)</f>
        <v>8315</v>
      </c>
      <c r="U60" s="261">
        <f t="shared" ref="U60:U123" si="62">R60*T60</f>
        <v>58205</v>
      </c>
      <c r="V60" s="452">
        <f t="shared" ref="V60:V123" si="63">IF(ISERROR(AVERAGEIFS(MNU_COSTO_UNITARIO_TIPOB_SELECCIONADO,MNU_CODIGO_ALIMENTO_ENTREGA,CONCATENATE($E60,"_","P_"))),0,AVERAGEIFS(MNU_COSTO_UNITARIO_TIPOB_SELECCIONADO,MNU_CODIGO_ALIMENTO_ENTREGA,CONCATENATE($E60,"_","P_")))</f>
        <v>252</v>
      </c>
      <c r="W60" s="452">
        <f t="shared" ref="W60:W123" si="64">(V60*0.01)+(V60*0.005)+(V60*0.02)+(V60*(13.8/1000))</f>
        <v>12.297600000000001</v>
      </c>
      <c r="X60" s="452">
        <f t="shared" ref="X60:X123" si="65">((V60+W60)*0.00071)+((V60+W60)*0.00011)</f>
        <v>0.21672403199999998</v>
      </c>
      <c r="Y60" s="452">
        <f t="shared" ref="Y60:Y123" si="66">ROUND(V60+W60+X60,0)</f>
        <v>265</v>
      </c>
      <c r="Z60" s="262">
        <f t="shared" ref="Z60:Z123" si="67">R60*T60*V60</f>
        <v>14667660</v>
      </c>
      <c r="AA60" s="262">
        <f t="shared" ref="AA60:AA123" si="68">R60*T60*Y60</f>
        <v>15424325</v>
      </c>
      <c r="AB60" s="431">
        <f t="shared" ref="AB60:AB123" si="69">SUMIF(MNU_CODIGO_ALIMENTO_ENTREGA,CONCATENATE($E60,"_","P_"),MNU_FRECUENCIAS_LAV_TIPOC)</f>
        <v>7</v>
      </c>
      <c r="AC60" s="431">
        <f t="array" ref="AC60">MAX((IF(MNU_CODIGO_ALIMENTO_ENTREGA=CONCATENATE($E60,"_","P_"),MNU_GRAMAJE_REQUERIDO_TIPOC,"")))</f>
        <v>40</v>
      </c>
      <c r="AD60" s="259">
        <f t="shared" ref="AD60:AD123" si="70">SUMIF(VOL_GRUPO,CONCATENATE($A60,"1052-1NO"),VOL_TIPOC)</f>
        <v>9092</v>
      </c>
      <c r="AE60" s="259">
        <f t="shared" ref="AE60:AE123" si="71">AB60*AD60</f>
        <v>63644</v>
      </c>
      <c r="AF60" s="452">
        <f t="shared" ref="AF60:AF123" si="72">IF(ISERROR(AVERAGEIFS(MNU_COSTO_UNITARIO_TIPOC_SELECCIONADO,MNU_CODIGO_ALIMENTO_ENTREGA,CONCATENATE($E60,"_","P_"))),0,AVERAGEIFS(MNU_COSTO_UNITARIO_TIPOC_SELECCIONADO,MNU_CODIGO_ALIMENTO_ENTREGA,CONCATENATE($E60,"_","P_")))</f>
        <v>252</v>
      </c>
      <c r="AG60" s="452">
        <f t="shared" ref="AG60:AG123" si="73">(AF60*0.01)+(AF60*0.005)+(AF60*0.02)+(AF60*(13.8/1000))</f>
        <v>12.297600000000001</v>
      </c>
      <c r="AH60" s="452">
        <f t="shared" ref="AH60:AH123" si="74">((AF60+AG60)*0.00071)+((AF60+AG60)*0.00011)</f>
        <v>0.21672403199999998</v>
      </c>
      <c r="AI60" s="452">
        <f t="shared" ref="AI60:AI123" si="75">ROUND(AF60+AG60+AH60,0)</f>
        <v>265</v>
      </c>
      <c r="AJ60" s="260">
        <f t="shared" ref="AJ60:AJ123" si="76">AB60*AD60*AF60</f>
        <v>16038288</v>
      </c>
      <c r="AK60" s="260">
        <f t="shared" ref="AK60:AK123" si="77">AB60*AD60*AI60</f>
        <v>16865660</v>
      </c>
      <c r="AL60" s="432">
        <f t="shared" ref="AL60:AL123" si="78">SUMIF(MNU_CODIGO_ALIMENTO_ENTREGA,CONCATENATE($E60,"_","P_"),MNU_FRECUENCIAS_LAV_TIPOM)</f>
        <v>7</v>
      </c>
      <c r="AM60" s="432">
        <f t="array" ref="AM60">MAX((IF(MNU_CODIGO_ALIMENTO_ENTREGA=CONCATENATE($E60,"_","P_"),MNU_GRAMAJE_REQUERIDO_TIPOM,"")))</f>
        <v>40</v>
      </c>
      <c r="AN60" s="261">
        <f t="shared" ref="AN60:AN123" si="79">SUMIF(VOL_GRUPO,CONCATENATE($A60,"1052-1NO"),VOL_TIPOM)</f>
        <v>144</v>
      </c>
      <c r="AO60" s="261">
        <f t="shared" ref="AO60:AO123" si="80">AL60*AN60</f>
        <v>1008</v>
      </c>
      <c r="AP60" s="452">
        <f t="shared" ref="AP60:AP123" si="81">IF(ISERROR(AVERAGEIFS(MNU_COSTO_UNITARIO_TIPOM_SELECCIONADO,MNU_CODIGO_ALIMENTO_ENTREGA,CONCATENATE($E60,"_","P_"))),0,AVERAGEIFS(MNU_COSTO_UNITARIO_TIPOM_SELECCIONADO,MNU_CODIGO_ALIMENTO_ENTREGA,CONCATENATE($E60,"_","P_")))</f>
        <v>252</v>
      </c>
      <c r="AQ60" s="452">
        <f t="shared" ref="AQ60:AQ123" si="82">(AP60*0.01)+(AP60*0.005)+(AP60*0.02)+(AP60*(13.8/1000))</f>
        <v>12.297600000000001</v>
      </c>
      <c r="AR60" s="452">
        <f t="shared" ref="AR60:AR123" si="83">((AP60+AQ60)*0.00071)+((AP60+AQ60)*0.00011)</f>
        <v>0.21672403199999998</v>
      </c>
      <c r="AS60" s="452">
        <f t="shared" ref="AS60:AS123" si="84">ROUND(AP60+AQ60+AR60,0)</f>
        <v>265</v>
      </c>
      <c r="AT60" s="262">
        <f t="shared" ref="AT60:AT123" si="85">AL60*AN60*AP60</f>
        <v>254016</v>
      </c>
      <c r="AU60" s="262">
        <f t="shared" ref="AU60:AU123" si="86">AL60*AN60*AS60</f>
        <v>267120</v>
      </c>
      <c r="AV60" s="431">
        <f t="shared" ref="AV60:AV123" si="87">SUMIF(MNU_CODIGO_ALIMENTO_ENTREGA,CONCATENATE($E60,"_","P_"),MNU_FRECUENCIAS_LAV_TIPOH)</f>
        <v>7</v>
      </c>
      <c r="AW60" s="431">
        <f t="array" ref="AW60">MAX((IF(MNU_CODIGO_ALIMENTO_ENTREGA=CONCATENATE($E60,"_","P_"),MNU_GRAMAJE_REQUERIDO_TIPOH,"")))</f>
        <v>40</v>
      </c>
      <c r="AX60" s="259">
        <f t="shared" ref="AX60:AX123" si="88">SUMIF(VOL_GRUPO,CONCATENATE($A60,"1052-1NO"),VOL_TIPOH)</f>
        <v>144</v>
      </c>
      <c r="AY60" s="259">
        <f t="shared" ref="AY60:AY123" si="89">AV60*AX60</f>
        <v>1008</v>
      </c>
      <c r="AZ60" s="452">
        <f t="shared" ref="AZ60:AZ123" si="90">IF(ISERROR(AVERAGEIFS(MNU_COSTO_UNITARIO_TIPOH_SELECCIONADO,MNU_CODIGO_ALIMENTO_ENTREGA,CONCATENATE($E60,"_","P_"))),0,AVERAGEIFS(MNU_COSTO_UNITARIO_TIPOH_SELECCIONADO,MNU_CODIGO_ALIMENTO_ENTREGA,CONCATENATE($E60,"_","P_")))</f>
        <v>252</v>
      </c>
      <c r="BA60" s="452">
        <f t="shared" ref="BA60:BA123" si="91">(AZ60*0.01)+(AZ60*0.005)+(AZ60*0.02)+(AZ60*(13.8/1000))</f>
        <v>12.297600000000001</v>
      </c>
      <c r="BB60" s="452">
        <f t="shared" ref="BB60:BB123" si="92">((AZ60+BA60)*0.00071)+((AZ60+BA60)*0.00011)</f>
        <v>0.21672403199999998</v>
      </c>
      <c r="BC60" s="452">
        <f t="shared" ref="BC60:BC123" si="93">ROUND(AZ60+BA60+BB60,0)</f>
        <v>265</v>
      </c>
      <c r="BD60" s="260">
        <f t="shared" ref="BD60:BD123" si="94">AV60*AX60*AZ60</f>
        <v>254016</v>
      </c>
      <c r="BE60" s="260">
        <f t="shared" ref="BE60:BE123" si="95">AV60*AX60*BC60</f>
        <v>267120</v>
      </c>
      <c r="BF60" s="397">
        <f t="shared" ref="BF60:BF123" si="96">BD60+AT60+AJ60+Z60+P60</f>
        <v>36806742</v>
      </c>
      <c r="BG60" s="397">
        <f t="shared" ref="BG60:BG123" si="97">BE60+AU60+AK60+AA60+Q60</f>
        <v>38683309</v>
      </c>
    </row>
    <row r="61" spans="1:59" ht="15.75">
      <c r="A61" s="338">
        <v>4</v>
      </c>
      <c r="B61" s="338" t="str">
        <f t="shared" si="49"/>
        <v>FRUTA_4</v>
      </c>
      <c r="C61" s="338" t="str">
        <f t="shared" si="50"/>
        <v>42_4</v>
      </c>
      <c r="D61" s="338" t="s">
        <v>1</v>
      </c>
      <c r="E61" s="258">
        <v>42</v>
      </c>
      <c r="F61" s="328" t="s">
        <v>61</v>
      </c>
      <c r="G61" s="258" t="s">
        <v>9</v>
      </c>
      <c r="H61" s="431">
        <f t="shared" si="51"/>
        <v>23</v>
      </c>
      <c r="I61" s="431">
        <f t="array" ref="I61">MAX((IF(MNU_CODIGO_ALIMENTO_ENTREGA=CONCATENATE($E61,"_","P_"),MNU_GRAMAJE_REQUERIDO_TIPOA,"")))</f>
        <v>100</v>
      </c>
      <c r="J61" s="259">
        <f t="shared" si="52"/>
        <v>6341</v>
      </c>
      <c r="K61" s="259">
        <f t="shared" si="53"/>
        <v>145843</v>
      </c>
      <c r="L61" s="452">
        <f t="shared" si="54"/>
        <v>194</v>
      </c>
      <c r="M61" s="452">
        <f t="shared" si="55"/>
        <v>9.4672000000000001</v>
      </c>
      <c r="N61" s="452">
        <f t="shared" si="56"/>
        <v>0.16684310399999999</v>
      </c>
      <c r="O61" s="452">
        <f t="shared" si="57"/>
        <v>204</v>
      </c>
      <c r="P61" s="260">
        <f t="shared" si="58"/>
        <v>28293542</v>
      </c>
      <c r="Q61" s="260">
        <f t="shared" si="59"/>
        <v>29751972</v>
      </c>
      <c r="R61" s="432">
        <f t="shared" si="60"/>
        <v>19</v>
      </c>
      <c r="S61" s="432">
        <f t="array" ref="S61">MAX((IF(MNU_CODIGO_ALIMENTO_ENTREGA=CONCATENATE($E61,"_","P_"),MNU_GRAMAJE_REQUERIDO_TIPOB,"")))</f>
        <v>100</v>
      </c>
      <c r="T61" s="261">
        <f t="shared" si="61"/>
        <v>8315</v>
      </c>
      <c r="U61" s="261">
        <f t="shared" si="62"/>
        <v>157985</v>
      </c>
      <c r="V61" s="452">
        <f t="shared" si="63"/>
        <v>194</v>
      </c>
      <c r="W61" s="452">
        <f t="shared" si="64"/>
        <v>9.4672000000000001</v>
      </c>
      <c r="X61" s="452">
        <f t="shared" si="65"/>
        <v>0.16684310399999999</v>
      </c>
      <c r="Y61" s="452">
        <f t="shared" si="66"/>
        <v>204</v>
      </c>
      <c r="Z61" s="262">
        <f t="shared" si="67"/>
        <v>30649090</v>
      </c>
      <c r="AA61" s="262">
        <f t="shared" si="68"/>
        <v>32228940</v>
      </c>
      <c r="AB61" s="431">
        <f t="shared" si="69"/>
        <v>19</v>
      </c>
      <c r="AC61" s="431">
        <f t="array" ref="AC61">MAX((IF(MNU_CODIGO_ALIMENTO_ENTREGA=CONCATENATE($E61,"_","P_"),MNU_GRAMAJE_REQUERIDO_TIPOC,"")))</f>
        <v>100</v>
      </c>
      <c r="AD61" s="259">
        <f t="shared" si="70"/>
        <v>9092</v>
      </c>
      <c r="AE61" s="259">
        <f t="shared" si="71"/>
        <v>172748</v>
      </c>
      <c r="AF61" s="452">
        <f t="shared" si="72"/>
        <v>194</v>
      </c>
      <c r="AG61" s="452">
        <f t="shared" si="73"/>
        <v>9.4672000000000001</v>
      </c>
      <c r="AH61" s="452">
        <f t="shared" si="74"/>
        <v>0.16684310399999999</v>
      </c>
      <c r="AI61" s="452">
        <f t="shared" si="75"/>
        <v>204</v>
      </c>
      <c r="AJ61" s="260">
        <f t="shared" si="76"/>
        <v>33513112</v>
      </c>
      <c r="AK61" s="260">
        <f t="shared" si="77"/>
        <v>35240592</v>
      </c>
      <c r="AL61" s="432">
        <f t="shared" si="78"/>
        <v>19</v>
      </c>
      <c r="AM61" s="432">
        <f t="array" ref="AM61">MAX((IF(MNU_CODIGO_ALIMENTO_ENTREGA=CONCATENATE($E61,"_","P_"),MNU_GRAMAJE_REQUERIDO_TIPOM,"")))</f>
        <v>100</v>
      </c>
      <c r="AN61" s="261">
        <f t="shared" si="79"/>
        <v>144</v>
      </c>
      <c r="AO61" s="261">
        <f t="shared" si="80"/>
        <v>2736</v>
      </c>
      <c r="AP61" s="452">
        <f t="shared" si="81"/>
        <v>194</v>
      </c>
      <c r="AQ61" s="452">
        <f t="shared" si="82"/>
        <v>9.4672000000000001</v>
      </c>
      <c r="AR61" s="452">
        <f t="shared" si="83"/>
        <v>0.16684310399999999</v>
      </c>
      <c r="AS61" s="452">
        <f t="shared" si="84"/>
        <v>204</v>
      </c>
      <c r="AT61" s="262">
        <f t="shared" si="85"/>
        <v>530784</v>
      </c>
      <c r="AU61" s="262">
        <f t="shared" si="86"/>
        <v>558144</v>
      </c>
      <c r="AV61" s="431">
        <f t="shared" si="87"/>
        <v>19</v>
      </c>
      <c r="AW61" s="431">
        <f t="array" ref="AW61">MAX((IF(MNU_CODIGO_ALIMENTO_ENTREGA=CONCATENATE($E61,"_","P_"),MNU_GRAMAJE_REQUERIDO_TIPOH,"")))</f>
        <v>100</v>
      </c>
      <c r="AX61" s="259">
        <f t="shared" si="88"/>
        <v>144</v>
      </c>
      <c r="AY61" s="259">
        <f t="shared" si="89"/>
        <v>2736</v>
      </c>
      <c r="AZ61" s="452">
        <f t="shared" si="90"/>
        <v>194</v>
      </c>
      <c r="BA61" s="452">
        <f t="shared" si="91"/>
        <v>9.4672000000000001</v>
      </c>
      <c r="BB61" s="452">
        <f t="shared" si="92"/>
        <v>0.16684310399999999</v>
      </c>
      <c r="BC61" s="452">
        <f t="shared" si="93"/>
        <v>204</v>
      </c>
      <c r="BD61" s="260">
        <f t="shared" si="94"/>
        <v>530784</v>
      </c>
      <c r="BE61" s="260">
        <f t="shared" si="95"/>
        <v>558144</v>
      </c>
      <c r="BF61" s="397">
        <f t="shared" si="96"/>
        <v>93517312</v>
      </c>
      <c r="BG61" s="397">
        <f t="shared" si="97"/>
        <v>98337792</v>
      </c>
    </row>
    <row r="62" spans="1:59" ht="15.75">
      <c r="A62" s="338">
        <v>4</v>
      </c>
      <c r="B62" s="338" t="str">
        <f t="shared" si="49"/>
        <v>FRUTA_4</v>
      </c>
      <c r="C62" s="338" t="str">
        <f t="shared" si="50"/>
        <v>43_4</v>
      </c>
      <c r="D62" s="338" t="s">
        <v>1</v>
      </c>
      <c r="E62" s="258">
        <v>43</v>
      </c>
      <c r="F62" s="328" t="s">
        <v>62</v>
      </c>
      <c r="G62" s="258" t="s">
        <v>9</v>
      </c>
      <c r="H62" s="431">
        <f t="shared" si="51"/>
        <v>24</v>
      </c>
      <c r="I62" s="431">
        <f t="array" ref="I62">MAX((IF(MNU_CODIGO_ALIMENTO_ENTREGA=CONCATENATE($E62,"_","P_"),MNU_GRAMAJE_REQUERIDO_TIPOA,"")))</f>
        <v>100</v>
      </c>
      <c r="J62" s="259">
        <f t="shared" si="52"/>
        <v>6341</v>
      </c>
      <c r="K62" s="259">
        <f t="shared" si="53"/>
        <v>152184</v>
      </c>
      <c r="L62" s="452">
        <f t="shared" si="54"/>
        <v>170</v>
      </c>
      <c r="M62" s="452">
        <f t="shared" si="55"/>
        <v>8.2959999999999994</v>
      </c>
      <c r="N62" s="452">
        <f t="shared" si="56"/>
        <v>0.14620272000000001</v>
      </c>
      <c r="O62" s="452">
        <f t="shared" si="57"/>
        <v>178</v>
      </c>
      <c r="P62" s="260">
        <f t="shared" si="58"/>
        <v>25871280</v>
      </c>
      <c r="Q62" s="260">
        <f t="shared" si="59"/>
        <v>27088752</v>
      </c>
      <c r="R62" s="432">
        <f t="shared" si="60"/>
        <v>17</v>
      </c>
      <c r="S62" s="432">
        <f t="array" ref="S62">MAX((IF(MNU_CODIGO_ALIMENTO_ENTREGA=CONCATENATE($E62,"_","P_"),MNU_GRAMAJE_REQUERIDO_TIPOB,"")))</f>
        <v>100</v>
      </c>
      <c r="T62" s="261">
        <f t="shared" si="61"/>
        <v>8315</v>
      </c>
      <c r="U62" s="261">
        <f t="shared" si="62"/>
        <v>141355</v>
      </c>
      <c r="V62" s="452">
        <f t="shared" si="63"/>
        <v>170</v>
      </c>
      <c r="W62" s="452">
        <f t="shared" si="64"/>
        <v>8.2959999999999994</v>
      </c>
      <c r="X62" s="452">
        <f t="shared" si="65"/>
        <v>0.14620272000000001</v>
      </c>
      <c r="Y62" s="452">
        <f t="shared" si="66"/>
        <v>178</v>
      </c>
      <c r="Z62" s="262">
        <f t="shared" si="67"/>
        <v>24030350</v>
      </c>
      <c r="AA62" s="262">
        <f t="shared" si="68"/>
        <v>25161190</v>
      </c>
      <c r="AB62" s="431">
        <f t="shared" si="69"/>
        <v>17</v>
      </c>
      <c r="AC62" s="431">
        <f t="array" ref="AC62">MAX((IF(MNU_CODIGO_ALIMENTO_ENTREGA=CONCATENATE($E62,"_","P_"),MNU_GRAMAJE_REQUERIDO_TIPOC,"")))</f>
        <v>100</v>
      </c>
      <c r="AD62" s="259">
        <f t="shared" si="70"/>
        <v>9092</v>
      </c>
      <c r="AE62" s="259">
        <f t="shared" si="71"/>
        <v>154564</v>
      </c>
      <c r="AF62" s="452">
        <f t="shared" si="72"/>
        <v>170</v>
      </c>
      <c r="AG62" s="452">
        <f t="shared" si="73"/>
        <v>8.2959999999999994</v>
      </c>
      <c r="AH62" s="452">
        <f t="shared" si="74"/>
        <v>0.14620272000000001</v>
      </c>
      <c r="AI62" s="452">
        <f t="shared" si="75"/>
        <v>178</v>
      </c>
      <c r="AJ62" s="260">
        <f t="shared" si="76"/>
        <v>26275880</v>
      </c>
      <c r="AK62" s="260">
        <f t="shared" si="77"/>
        <v>27512392</v>
      </c>
      <c r="AL62" s="432">
        <f t="shared" si="78"/>
        <v>17</v>
      </c>
      <c r="AM62" s="432">
        <f t="array" ref="AM62">MAX((IF(MNU_CODIGO_ALIMENTO_ENTREGA=CONCATENATE($E62,"_","P_"),MNU_GRAMAJE_REQUERIDO_TIPOM,"")))</f>
        <v>100</v>
      </c>
      <c r="AN62" s="261">
        <f t="shared" si="79"/>
        <v>144</v>
      </c>
      <c r="AO62" s="261">
        <f t="shared" si="80"/>
        <v>2448</v>
      </c>
      <c r="AP62" s="452">
        <f t="shared" si="81"/>
        <v>170</v>
      </c>
      <c r="AQ62" s="452">
        <f t="shared" si="82"/>
        <v>8.2959999999999994</v>
      </c>
      <c r="AR62" s="452">
        <f t="shared" si="83"/>
        <v>0.14620272000000001</v>
      </c>
      <c r="AS62" s="452">
        <f t="shared" si="84"/>
        <v>178</v>
      </c>
      <c r="AT62" s="262">
        <f t="shared" si="85"/>
        <v>416160</v>
      </c>
      <c r="AU62" s="262">
        <f t="shared" si="86"/>
        <v>435744</v>
      </c>
      <c r="AV62" s="431">
        <f t="shared" si="87"/>
        <v>17</v>
      </c>
      <c r="AW62" s="431">
        <f t="array" ref="AW62">MAX((IF(MNU_CODIGO_ALIMENTO_ENTREGA=CONCATENATE($E62,"_","P_"),MNU_GRAMAJE_REQUERIDO_TIPOH,"")))</f>
        <v>100</v>
      </c>
      <c r="AX62" s="259">
        <f t="shared" si="88"/>
        <v>144</v>
      </c>
      <c r="AY62" s="259">
        <f t="shared" si="89"/>
        <v>2448</v>
      </c>
      <c r="AZ62" s="452">
        <f t="shared" si="90"/>
        <v>170</v>
      </c>
      <c r="BA62" s="452">
        <f t="shared" si="91"/>
        <v>8.2959999999999994</v>
      </c>
      <c r="BB62" s="452">
        <f t="shared" si="92"/>
        <v>0.14620272000000001</v>
      </c>
      <c r="BC62" s="452">
        <f t="shared" si="93"/>
        <v>178</v>
      </c>
      <c r="BD62" s="260">
        <f t="shared" si="94"/>
        <v>416160</v>
      </c>
      <c r="BE62" s="260">
        <f t="shared" si="95"/>
        <v>435744</v>
      </c>
      <c r="BF62" s="397">
        <f t="shared" si="96"/>
        <v>77009830</v>
      </c>
      <c r="BG62" s="397">
        <f t="shared" si="97"/>
        <v>80633822</v>
      </c>
    </row>
    <row r="63" spans="1:59" ht="15.75">
      <c r="A63" s="338">
        <v>4</v>
      </c>
      <c r="B63" s="338" t="str">
        <f t="shared" si="49"/>
        <v>FRUTA_4</v>
      </c>
      <c r="C63" s="338" t="str">
        <f t="shared" si="50"/>
        <v>46_4</v>
      </c>
      <c r="D63" s="338" t="s">
        <v>1</v>
      </c>
      <c r="E63" s="258">
        <v>46</v>
      </c>
      <c r="F63" s="328" t="s">
        <v>64</v>
      </c>
      <c r="G63" s="258" t="s">
        <v>9</v>
      </c>
      <c r="H63" s="431">
        <f t="shared" si="51"/>
        <v>30</v>
      </c>
      <c r="I63" s="431">
        <f t="array" ref="I63">MAX((IF(MNU_CODIGO_ALIMENTO_ENTREGA=CONCATENATE($E63,"_","P_"),MNU_GRAMAJE_REQUERIDO_TIPOA,"")))</f>
        <v>100</v>
      </c>
      <c r="J63" s="259">
        <f t="shared" si="52"/>
        <v>6341</v>
      </c>
      <c r="K63" s="259">
        <f t="shared" si="53"/>
        <v>190230</v>
      </c>
      <c r="L63" s="452">
        <f t="shared" si="54"/>
        <v>398</v>
      </c>
      <c r="M63" s="452">
        <f t="shared" si="55"/>
        <v>19.4224</v>
      </c>
      <c r="N63" s="452">
        <f t="shared" si="56"/>
        <v>0.34228636800000001</v>
      </c>
      <c r="O63" s="452">
        <f t="shared" si="57"/>
        <v>418</v>
      </c>
      <c r="P63" s="260">
        <f t="shared" si="58"/>
        <v>75711540</v>
      </c>
      <c r="Q63" s="260">
        <f t="shared" si="59"/>
        <v>79516140</v>
      </c>
      <c r="R63" s="432">
        <f t="shared" si="60"/>
        <v>21</v>
      </c>
      <c r="S63" s="432">
        <f t="array" ref="S63">MAX((IF(MNU_CODIGO_ALIMENTO_ENTREGA=CONCATENATE($E63,"_","P_"),MNU_GRAMAJE_REQUERIDO_TIPOB,"")))</f>
        <v>100</v>
      </c>
      <c r="T63" s="261">
        <f t="shared" si="61"/>
        <v>8315</v>
      </c>
      <c r="U63" s="261">
        <f t="shared" si="62"/>
        <v>174615</v>
      </c>
      <c r="V63" s="452">
        <f t="shared" si="63"/>
        <v>398</v>
      </c>
      <c r="W63" s="452">
        <f t="shared" si="64"/>
        <v>19.4224</v>
      </c>
      <c r="X63" s="452">
        <f t="shared" si="65"/>
        <v>0.34228636800000001</v>
      </c>
      <c r="Y63" s="452">
        <f t="shared" si="66"/>
        <v>418</v>
      </c>
      <c r="Z63" s="262">
        <f t="shared" si="67"/>
        <v>69496770</v>
      </c>
      <c r="AA63" s="262">
        <f t="shared" si="68"/>
        <v>72989070</v>
      </c>
      <c r="AB63" s="431">
        <f t="shared" si="69"/>
        <v>21</v>
      </c>
      <c r="AC63" s="431">
        <f t="array" ref="AC63">MAX((IF(MNU_CODIGO_ALIMENTO_ENTREGA=CONCATENATE($E63,"_","P_"),MNU_GRAMAJE_REQUERIDO_TIPOC,"")))</f>
        <v>100</v>
      </c>
      <c r="AD63" s="259">
        <f t="shared" si="70"/>
        <v>9092</v>
      </c>
      <c r="AE63" s="259">
        <f t="shared" si="71"/>
        <v>190932</v>
      </c>
      <c r="AF63" s="452">
        <f t="shared" si="72"/>
        <v>398</v>
      </c>
      <c r="AG63" s="452">
        <f t="shared" si="73"/>
        <v>19.4224</v>
      </c>
      <c r="AH63" s="452">
        <f t="shared" si="74"/>
        <v>0.34228636800000001</v>
      </c>
      <c r="AI63" s="452">
        <f t="shared" si="75"/>
        <v>418</v>
      </c>
      <c r="AJ63" s="260">
        <f t="shared" si="76"/>
        <v>75990936</v>
      </c>
      <c r="AK63" s="260">
        <f t="shared" si="77"/>
        <v>79809576</v>
      </c>
      <c r="AL63" s="432">
        <f t="shared" si="78"/>
        <v>21</v>
      </c>
      <c r="AM63" s="432">
        <f t="array" ref="AM63">MAX((IF(MNU_CODIGO_ALIMENTO_ENTREGA=CONCATENATE($E63,"_","P_"),MNU_GRAMAJE_REQUERIDO_TIPOM,"")))</f>
        <v>100</v>
      </c>
      <c r="AN63" s="261">
        <f t="shared" si="79"/>
        <v>144</v>
      </c>
      <c r="AO63" s="261">
        <f t="shared" si="80"/>
        <v>3024</v>
      </c>
      <c r="AP63" s="452">
        <f t="shared" si="81"/>
        <v>398</v>
      </c>
      <c r="AQ63" s="452">
        <f t="shared" si="82"/>
        <v>19.4224</v>
      </c>
      <c r="AR63" s="452">
        <f t="shared" si="83"/>
        <v>0.34228636800000001</v>
      </c>
      <c r="AS63" s="452">
        <f t="shared" si="84"/>
        <v>418</v>
      </c>
      <c r="AT63" s="262">
        <f t="shared" si="85"/>
        <v>1203552</v>
      </c>
      <c r="AU63" s="262">
        <f t="shared" si="86"/>
        <v>1264032</v>
      </c>
      <c r="AV63" s="431">
        <f t="shared" si="87"/>
        <v>21</v>
      </c>
      <c r="AW63" s="431">
        <f t="array" ref="AW63">MAX((IF(MNU_CODIGO_ALIMENTO_ENTREGA=CONCATENATE($E63,"_","P_"),MNU_GRAMAJE_REQUERIDO_TIPOH,"")))</f>
        <v>100</v>
      </c>
      <c r="AX63" s="259">
        <f t="shared" si="88"/>
        <v>144</v>
      </c>
      <c r="AY63" s="259">
        <f t="shared" si="89"/>
        <v>3024</v>
      </c>
      <c r="AZ63" s="452">
        <f t="shared" si="90"/>
        <v>398</v>
      </c>
      <c r="BA63" s="452">
        <f t="shared" si="91"/>
        <v>19.4224</v>
      </c>
      <c r="BB63" s="452">
        <f t="shared" si="92"/>
        <v>0.34228636800000001</v>
      </c>
      <c r="BC63" s="452">
        <f t="shared" si="93"/>
        <v>418</v>
      </c>
      <c r="BD63" s="260">
        <f t="shared" si="94"/>
        <v>1203552</v>
      </c>
      <c r="BE63" s="260">
        <f t="shared" si="95"/>
        <v>1264032</v>
      </c>
      <c r="BF63" s="397">
        <f t="shared" si="96"/>
        <v>223606350</v>
      </c>
      <c r="BG63" s="397">
        <f t="shared" si="97"/>
        <v>234842850</v>
      </c>
    </row>
    <row r="64" spans="1:59" ht="15.75">
      <c r="A64" s="338">
        <v>4</v>
      </c>
      <c r="B64" s="338" t="str">
        <f t="shared" si="49"/>
        <v>FRUTA_4</v>
      </c>
      <c r="C64" s="338" t="str">
        <f t="shared" si="50"/>
        <v>58_4</v>
      </c>
      <c r="D64" s="338" t="s">
        <v>1</v>
      </c>
      <c r="E64" s="258">
        <v>58</v>
      </c>
      <c r="F64" s="328" t="s">
        <v>67</v>
      </c>
      <c r="G64" s="258" t="s">
        <v>9</v>
      </c>
      <c r="H64" s="431">
        <f t="shared" si="51"/>
        <v>24</v>
      </c>
      <c r="I64" s="431">
        <f t="array" ref="I64">MAX((IF(MNU_CODIGO_ALIMENTO_ENTREGA=CONCATENATE($E64,"_","P_"),MNU_GRAMAJE_REQUERIDO_TIPOA,"")))</f>
        <v>100</v>
      </c>
      <c r="J64" s="259">
        <f t="shared" si="52"/>
        <v>6341</v>
      </c>
      <c r="K64" s="259">
        <f t="shared" si="53"/>
        <v>152184</v>
      </c>
      <c r="L64" s="452">
        <f t="shared" si="54"/>
        <v>154</v>
      </c>
      <c r="M64" s="452">
        <f t="shared" si="55"/>
        <v>7.515200000000001</v>
      </c>
      <c r="N64" s="452">
        <f t="shared" si="56"/>
        <v>0.13244246400000001</v>
      </c>
      <c r="O64" s="452">
        <f t="shared" si="57"/>
        <v>162</v>
      </c>
      <c r="P64" s="260">
        <f t="shared" si="58"/>
        <v>23436336</v>
      </c>
      <c r="Q64" s="260">
        <f t="shared" si="59"/>
        <v>24653808</v>
      </c>
      <c r="R64" s="432">
        <f t="shared" si="60"/>
        <v>23</v>
      </c>
      <c r="S64" s="432">
        <f t="array" ref="S64">MAX((IF(MNU_CODIGO_ALIMENTO_ENTREGA=CONCATENATE($E64,"_","P_"),MNU_GRAMAJE_REQUERIDO_TIPOB,"")))</f>
        <v>100</v>
      </c>
      <c r="T64" s="261">
        <f t="shared" si="61"/>
        <v>8315</v>
      </c>
      <c r="U64" s="261">
        <f t="shared" si="62"/>
        <v>191245</v>
      </c>
      <c r="V64" s="452">
        <f t="shared" si="63"/>
        <v>154</v>
      </c>
      <c r="W64" s="452">
        <f t="shared" si="64"/>
        <v>7.515200000000001</v>
      </c>
      <c r="X64" s="452">
        <f t="shared" si="65"/>
        <v>0.13244246400000001</v>
      </c>
      <c r="Y64" s="452">
        <f t="shared" si="66"/>
        <v>162</v>
      </c>
      <c r="Z64" s="262">
        <f t="shared" si="67"/>
        <v>29451730</v>
      </c>
      <c r="AA64" s="262">
        <f t="shared" si="68"/>
        <v>30981690</v>
      </c>
      <c r="AB64" s="431">
        <f t="shared" si="69"/>
        <v>23</v>
      </c>
      <c r="AC64" s="431">
        <f t="array" ref="AC64">MAX((IF(MNU_CODIGO_ALIMENTO_ENTREGA=CONCATENATE($E64,"_","P_"),MNU_GRAMAJE_REQUERIDO_TIPOC,"")))</f>
        <v>100</v>
      </c>
      <c r="AD64" s="259">
        <f t="shared" si="70"/>
        <v>9092</v>
      </c>
      <c r="AE64" s="259">
        <f t="shared" si="71"/>
        <v>209116</v>
      </c>
      <c r="AF64" s="452">
        <f t="shared" si="72"/>
        <v>154</v>
      </c>
      <c r="AG64" s="452">
        <f t="shared" si="73"/>
        <v>7.515200000000001</v>
      </c>
      <c r="AH64" s="452">
        <f t="shared" si="74"/>
        <v>0.13244246400000001</v>
      </c>
      <c r="AI64" s="452">
        <f t="shared" si="75"/>
        <v>162</v>
      </c>
      <c r="AJ64" s="260">
        <f t="shared" si="76"/>
        <v>32203864</v>
      </c>
      <c r="AK64" s="260">
        <f t="shared" si="77"/>
        <v>33876792</v>
      </c>
      <c r="AL64" s="432">
        <f t="shared" si="78"/>
        <v>23</v>
      </c>
      <c r="AM64" s="432">
        <f t="array" ref="AM64">MAX((IF(MNU_CODIGO_ALIMENTO_ENTREGA=CONCATENATE($E64,"_","P_"),MNU_GRAMAJE_REQUERIDO_TIPOM,"")))</f>
        <v>100</v>
      </c>
      <c r="AN64" s="261">
        <f t="shared" si="79"/>
        <v>144</v>
      </c>
      <c r="AO64" s="261">
        <f t="shared" si="80"/>
        <v>3312</v>
      </c>
      <c r="AP64" s="452">
        <f t="shared" si="81"/>
        <v>154</v>
      </c>
      <c r="AQ64" s="452">
        <f t="shared" si="82"/>
        <v>7.515200000000001</v>
      </c>
      <c r="AR64" s="452">
        <f t="shared" si="83"/>
        <v>0.13244246400000001</v>
      </c>
      <c r="AS64" s="452">
        <f t="shared" si="84"/>
        <v>162</v>
      </c>
      <c r="AT64" s="262">
        <f t="shared" si="85"/>
        <v>510048</v>
      </c>
      <c r="AU64" s="262">
        <f t="shared" si="86"/>
        <v>536544</v>
      </c>
      <c r="AV64" s="431">
        <f t="shared" si="87"/>
        <v>23</v>
      </c>
      <c r="AW64" s="431">
        <f t="array" ref="AW64">MAX((IF(MNU_CODIGO_ALIMENTO_ENTREGA=CONCATENATE($E64,"_","P_"),MNU_GRAMAJE_REQUERIDO_TIPOH,"")))</f>
        <v>100</v>
      </c>
      <c r="AX64" s="259">
        <f t="shared" si="88"/>
        <v>144</v>
      </c>
      <c r="AY64" s="259">
        <f t="shared" si="89"/>
        <v>3312</v>
      </c>
      <c r="AZ64" s="452">
        <f t="shared" si="90"/>
        <v>154</v>
      </c>
      <c r="BA64" s="452">
        <f t="shared" si="91"/>
        <v>7.515200000000001</v>
      </c>
      <c r="BB64" s="452">
        <f t="shared" si="92"/>
        <v>0.13244246400000001</v>
      </c>
      <c r="BC64" s="452">
        <f t="shared" si="93"/>
        <v>162</v>
      </c>
      <c r="BD64" s="260">
        <f t="shared" si="94"/>
        <v>510048</v>
      </c>
      <c r="BE64" s="260">
        <f t="shared" si="95"/>
        <v>536544</v>
      </c>
      <c r="BF64" s="397">
        <f t="shared" si="96"/>
        <v>86112026</v>
      </c>
      <c r="BG64" s="397">
        <f t="shared" si="97"/>
        <v>90585378</v>
      </c>
    </row>
    <row r="65" spans="1:59" ht="15.75">
      <c r="A65" s="338">
        <v>4</v>
      </c>
      <c r="B65" s="338" t="str">
        <f t="shared" si="49"/>
        <v>FRUTA_4</v>
      </c>
      <c r="C65" s="338" t="str">
        <f t="shared" si="50"/>
        <v>59_4</v>
      </c>
      <c r="D65" s="338" t="s">
        <v>1</v>
      </c>
      <c r="E65" s="258">
        <v>59</v>
      </c>
      <c r="F65" s="328" t="s">
        <v>99</v>
      </c>
      <c r="G65" s="258" t="s">
        <v>9</v>
      </c>
      <c r="H65" s="431">
        <f t="shared" si="51"/>
        <v>0</v>
      </c>
      <c r="I65" s="431">
        <f t="array" ref="I65">MAX((IF(MNU_CODIGO_ALIMENTO_ENTREGA=CONCATENATE($E65,"_","P_"),MNU_GRAMAJE_REQUERIDO_TIPOA,"")))</f>
        <v>0</v>
      </c>
      <c r="J65" s="259">
        <f t="shared" si="52"/>
        <v>6341</v>
      </c>
      <c r="K65" s="259">
        <f t="shared" si="53"/>
        <v>0</v>
      </c>
      <c r="L65" s="452">
        <f t="shared" si="54"/>
        <v>0</v>
      </c>
      <c r="M65" s="452">
        <f t="shared" si="55"/>
        <v>0</v>
      </c>
      <c r="N65" s="452">
        <f t="shared" si="56"/>
        <v>0</v>
      </c>
      <c r="O65" s="452">
        <f t="shared" si="57"/>
        <v>0</v>
      </c>
      <c r="P65" s="260">
        <f t="shared" si="58"/>
        <v>0</v>
      </c>
      <c r="Q65" s="260">
        <f t="shared" si="59"/>
        <v>0</v>
      </c>
      <c r="R65" s="432">
        <f t="shared" si="60"/>
        <v>8</v>
      </c>
      <c r="S65" s="432">
        <f t="array" ref="S65">MAX((IF(MNU_CODIGO_ALIMENTO_ENTREGA=CONCATENATE($E65,"_","P_"),MNU_GRAMAJE_REQUERIDO_TIPOB,"")))</f>
        <v>100</v>
      </c>
      <c r="T65" s="261">
        <f t="shared" si="61"/>
        <v>8315</v>
      </c>
      <c r="U65" s="261">
        <f t="shared" si="62"/>
        <v>66520</v>
      </c>
      <c r="V65" s="452">
        <f t="shared" si="63"/>
        <v>286</v>
      </c>
      <c r="W65" s="452">
        <f t="shared" si="64"/>
        <v>13.956800000000001</v>
      </c>
      <c r="X65" s="452">
        <f t="shared" si="65"/>
        <v>0.24596457599999999</v>
      </c>
      <c r="Y65" s="452">
        <f t="shared" si="66"/>
        <v>300</v>
      </c>
      <c r="Z65" s="262">
        <f t="shared" si="67"/>
        <v>19024720</v>
      </c>
      <c r="AA65" s="262">
        <f t="shared" si="68"/>
        <v>19956000</v>
      </c>
      <c r="AB65" s="431">
        <f t="shared" si="69"/>
        <v>8</v>
      </c>
      <c r="AC65" s="431">
        <f t="array" ref="AC65">MAX((IF(MNU_CODIGO_ALIMENTO_ENTREGA=CONCATENATE($E65,"_","P_"),MNU_GRAMAJE_REQUERIDO_TIPOC,"")))</f>
        <v>100</v>
      </c>
      <c r="AD65" s="259">
        <f t="shared" si="70"/>
        <v>9092</v>
      </c>
      <c r="AE65" s="259">
        <f t="shared" si="71"/>
        <v>72736</v>
      </c>
      <c r="AF65" s="452">
        <f t="shared" si="72"/>
        <v>286</v>
      </c>
      <c r="AG65" s="452">
        <f t="shared" si="73"/>
        <v>13.956800000000001</v>
      </c>
      <c r="AH65" s="452">
        <f t="shared" si="74"/>
        <v>0.24596457599999999</v>
      </c>
      <c r="AI65" s="452">
        <f t="shared" si="75"/>
        <v>300</v>
      </c>
      <c r="AJ65" s="260">
        <f t="shared" si="76"/>
        <v>20802496</v>
      </c>
      <c r="AK65" s="260">
        <f t="shared" si="77"/>
        <v>21820800</v>
      </c>
      <c r="AL65" s="432">
        <f t="shared" si="78"/>
        <v>8</v>
      </c>
      <c r="AM65" s="432">
        <f t="array" ref="AM65">MAX((IF(MNU_CODIGO_ALIMENTO_ENTREGA=CONCATENATE($E65,"_","P_"),MNU_GRAMAJE_REQUERIDO_TIPOM,"")))</f>
        <v>100</v>
      </c>
      <c r="AN65" s="261">
        <f t="shared" si="79"/>
        <v>144</v>
      </c>
      <c r="AO65" s="261">
        <f t="shared" si="80"/>
        <v>1152</v>
      </c>
      <c r="AP65" s="452">
        <f t="shared" si="81"/>
        <v>286</v>
      </c>
      <c r="AQ65" s="452">
        <f t="shared" si="82"/>
        <v>13.956800000000001</v>
      </c>
      <c r="AR65" s="452">
        <f t="shared" si="83"/>
        <v>0.24596457599999999</v>
      </c>
      <c r="AS65" s="452">
        <f t="shared" si="84"/>
        <v>300</v>
      </c>
      <c r="AT65" s="262">
        <f t="shared" si="85"/>
        <v>329472</v>
      </c>
      <c r="AU65" s="262">
        <f t="shared" si="86"/>
        <v>345600</v>
      </c>
      <c r="AV65" s="431">
        <f t="shared" si="87"/>
        <v>8</v>
      </c>
      <c r="AW65" s="431">
        <f t="array" ref="AW65">MAX((IF(MNU_CODIGO_ALIMENTO_ENTREGA=CONCATENATE($E65,"_","P_"),MNU_GRAMAJE_REQUERIDO_TIPOH,"")))</f>
        <v>100</v>
      </c>
      <c r="AX65" s="259">
        <f t="shared" si="88"/>
        <v>144</v>
      </c>
      <c r="AY65" s="259">
        <f t="shared" si="89"/>
        <v>1152</v>
      </c>
      <c r="AZ65" s="452">
        <f t="shared" si="90"/>
        <v>286</v>
      </c>
      <c r="BA65" s="452">
        <f t="shared" si="91"/>
        <v>13.956800000000001</v>
      </c>
      <c r="BB65" s="452">
        <f t="shared" si="92"/>
        <v>0.24596457599999999</v>
      </c>
      <c r="BC65" s="452">
        <f t="shared" si="93"/>
        <v>300</v>
      </c>
      <c r="BD65" s="260">
        <f t="shared" si="94"/>
        <v>329472</v>
      </c>
      <c r="BE65" s="260">
        <f t="shared" si="95"/>
        <v>345600</v>
      </c>
      <c r="BF65" s="397">
        <f t="shared" si="96"/>
        <v>40486160</v>
      </c>
      <c r="BG65" s="397">
        <f t="shared" si="97"/>
        <v>42468000</v>
      </c>
    </row>
    <row r="66" spans="1:59" ht="15.75">
      <c r="A66" s="338">
        <v>4</v>
      </c>
      <c r="B66" s="338" t="str">
        <f t="shared" si="49"/>
        <v>FRUTA_4</v>
      </c>
      <c r="C66" s="338" t="str">
        <f t="shared" si="50"/>
        <v>69_4</v>
      </c>
      <c r="D66" s="338" t="s">
        <v>1</v>
      </c>
      <c r="E66" s="258">
        <v>69</v>
      </c>
      <c r="F66" s="328" t="s">
        <v>70</v>
      </c>
      <c r="G66" s="258" t="s">
        <v>9</v>
      </c>
      <c r="H66" s="431">
        <f t="shared" si="51"/>
        <v>30</v>
      </c>
      <c r="I66" s="431">
        <f t="array" ref="I66">MAX((IF(MNU_CODIGO_ALIMENTO_ENTREGA=CONCATENATE($E66,"_","P_"),MNU_GRAMAJE_REQUERIDO_TIPOA,"")))</f>
        <v>100</v>
      </c>
      <c r="J66" s="259">
        <f t="shared" si="52"/>
        <v>6341</v>
      </c>
      <c r="K66" s="259">
        <f t="shared" si="53"/>
        <v>190230</v>
      </c>
      <c r="L66" s="452">
        <f t="shared" si="54"/>
        <v>305</v>
      </c>
      <c r="M66" s="452">
        <f t="shared" si="55"/>
        <v>14.884</v>
      </c>
      <c r="N66" s="452">
        <f t="shared" si="56"/>
        <v>0.26230488000000002</v>
      </c>
      <c r="O66" s="452">
        <f t="shared" si="57"/>
        <v>320</v>
      </c>
      <c r="P66" s="260">
        <f t="shared" si="58"/>
        <v>58020150</v>
      </c>
      <c r="Q66" s="260">
        <f t="shared" si="59"/>
        <v>60873600</v>
      </c>
      <c r="R66" s="432">
        <f t="shared" si="60"/>
        <v>16</v>
      </c>
      <c r="S66" s="432">
        <f t="array" ref="S66">MAX((IF(MNU_CODIGO_ALIMENTO_ENTREGA=CONCATENATE($E66,"_","P_"),MNU_GRAMAJE_REQUERIDO_TIPOB,"")))</f>
        <v>100</v>
      </c>
      <c r="T66" s="261">
        <f t="shared" si="61"/>
        <v>8315</v>
      </c>
      <c r="U66" s="261">
        <f t="shared" si="62"/>
        <v>133040</v>
      </c>
      <c r="V66" s="452">
        <f t="shared" si="63"/>
        <v>305</v>
      </c>
      <c r="W66" s="452">
        <f t="shared" si="64"/>
        <v>14.884</v>
      </c>
      <c r="X66" s="452">
        <f t="shared" si="65"/>
        <v>0.26230488000000002</v>
      </c>
      <c r="Y66" s="452">
        <f t="shared" si="66"/>
        <v>320</v>
      </c>
      <c r="Z66" s="262">
        <f t="shared" si="67"/>
        <v>40577200</v>
      </c>
      <c r="AA66" s="262">
        <f t="shared" si="68"/>
        <v>42572800</v>
      </c>
      <c r="AB66" s="431">
        <f t="shared" si="69"/>
        <v>16</v>
      </c>
      <c r="AC66" s="431">
        <f t="array" ref="AC66">MAX((IF(MNU_CODIGO_ALIMENTO_ENTREGA=CONCATENATE($E66,"_","P_"),MNU_GRAMAJE_REQUERIDO_TIPOC,"")))</f>
        <v>100</v>
      </c>
      <c r="AD66" s="259">
        <f t="shared" si="70"/>
        <v>9092</v>
      </c>
      <c r="AE66" s="259">
        <f t="shared" si="71"/>
        <v>145472</v>
      </c>
      <c r="AF66" s="452">
        <f t="shared" si="72"/>
        <v>305</v>
      </c>
      <c r="AG66" s="452">
        <f t="shared" si="73"/>
        <v>14.884</v>
      </c>
      <c r="AH66" s="452">
        <f t="shared" si="74"/>
        <v>0.26230488000000002</v>
      </c>
      <c r="AI66" s="452">
        <f t="shared" si="75"/>
        <v>320</v>
      </c>
      <c r="AJ66" s="260">
        <f t="shared" si="76"/>
        <v>44368960</v>
      </c>
      <c r="AK66" s="260">
        <f t="shared" si="77"/>
        <v>46551040</v>
      </c>
      <c r="AL66" s="432">
        <f t="shared" si="78"/>
        <v>16</v>
      </c>
      <c r="AM66" s="432">
        <f t="array" ref="AM66">MAX((IF(MNU_CODIGO_ALIMENTO_ENTREGA=CONCATENATE($E66,"_","P_"),MNU_GRAMAJE_REQUERIDO_TIPOM,"")))</f>
        <v>100</v>
      </c>
      <c r="AN66" s="261">
        <f t="shared" si="79"/>
        <v>144</v>
      </c>
      <c r="AO66" s="261">
        <f t="shared" si="80"/>
        <v>2304</v>
      </c>
      <c r="AP66" s="452">
        <f t="shared" si="81"/>
        <v>305</v>
      </c>
      <c r="AQ66" s="452">
        <f t="shared" si="82"/>
        <v>14.884</v>
      </c>
      <c r="AR66" s="452">
        <f t="shared" si="83"/>
        <v>0.26230488000000002</v>
      </c>
      <c r="AS66" s="452">
        <f t="shared" si="84"/>
        <v>320</v>
      </c>
      <c r="AT66" s="262">
        <f t="shared" si="85"/>
        <v>702720</v>
      </c>
      <c r="AU66" s="262">
        <f t="shared" si="86"/>
        <v>737280</v>
      </c>
      <c r="AV66" s="431">
        <f t="shared" si="87"/>
        <v>16</v>
      </c>
      <c r="AW66" s="431">
        <f t="array" ref="AW66">MAX((IF(MNU_CODIGO_ALIMENTO_ENTREGA=CONCATENATE($E66,"_","P_"),MNU_GRAMAJE_REQUERIDO_TIPOH,"")))</f>
        <v>100</v>
      </c>
      <c r="AX66" s="259">
        <f t="shared" si="88"/>
        <v>144</v>
      </c>
      <c r="AY66" s="259">
        <f t="shared" si="89"/>
        <v>2304</v>
      </c>
      <c r="AZ66" s="452">
        <f t="shared" si="90"/>
        <v>305</v>
      </c>
      <c r="BA66" s="452">
        <f t="shared" si="91"/>
        <v>14.884</v>
      </c>
      <c r="BB66" s="452">
        <f t="shared" si="92"/>
        <v>0.26230488000000002</v>
      </c>
      <c r="BC66" s="452">
        <f t="shared" si="93"/>
        <v>320</v>
      </c>
      <c r="BD66" s="260">
        <f t="shared" si="94"/>
        <v>702720</v>
      </c>
      <c r="BE66" s="260">
        <f t="shared" si="95"/>
        <v>737280</v>
      </c>
      <c r="BF66" s="397">
        <f t="shared" si="96"/>
        <v>144371750</v>
      </c>
      <c r="BG66" s="397">
        <f t="shared" si="97"/>
        <v>151472000</v>
      </c>
    </row>
    <row r="67" spans="1:59" ht="15.75">
      <c r="A67" s="338">
        <v>4</v>
      </c>
      <c r="B67" s="338" t="str">
        <f t="shared" si="49"/>
        <v>FRUTA_4</v>
      </c>
      <c r="C67" s="338" t="str">
        <f t="shared" si="50"/>
        <v>70_4</v>
      </c>
      <c r="D67" s="338" t="s">
        <v>1</v>
      </c>
      <c r="E67" s="258">
        <v>70</v>
      </c>
      <c r="F67" s="328" t="s">
        <v>71</v>
      </c>
      <c r="G67" s="258" t="s">
        <v>9</v>
      </c>
      <c r="H67" s="431">
        <f t="shared" si="51"/>
        <v>0</v>
      </c>
      <c r="I67" s="431">
        <f t="array" ref="I67">MAX((IF(MNU_CODIGO_ALIMENTO_ENTREGA=CONCATENATE($E67,"_","P_"),MNU_GRAMAJE_REQUERIDO_TIPOA,"")))</f>
        <v>0</v>
      </c>
      <c r="J67" s="259">
        <f t="shared" si="52"/>
        <v>6341</v>
      </c>
      <c r="K67" s="259">
        <f t="shared" si="53"/>
        <v>0</v>
      </c>
      <c r="L67" s="452">
        <f t="shared" si="54"/>
        <v>0</v>
      </c>
      <c r="M67" s="452">
        <f t="shared" si="55"/>
        <v>0</v>
      </c>
      <c r="N67" s="452">
        <f t="shared" si="56"/>
        <v>0</v>
      </c>
      <c r="O67" s="452">
        <f t="shared" si="57"/>
        <v>0</v>
      </c>
      <c r="P67" s="260">
        <f t="shared" si="58"/>
        <v>0</v>
      </c>
      <c r="Q67" s="260">
        <f t="shared" si="59"/>
        <v>0</v>
      </c>
      <c r="R67" s="432">
        <f t="shared" si="60"/>
        <v>10</v>
      </c>
      <c r="S67" s="432">
        <f t="array" ref="S67">MAX((IF(MNU_CODIGO_ALIMENTO_ENTREGA=CONCATENATE($E67,"_","P_"),MNU_GRAMAJE_REQUERIDO_TIPOB,"")))</f>
        <v>100</v>
      </c>
      <c r="T67" s="261">
        <f t="shared" si="61"/>
        <v>8315</v>
      </c>
      <c r="U67" s="261">
        <f t="shared" si="62"/>
        <v>83150</v>
      </c>
      <c r="V67" s="452">
        <f t="shared" si="63"/>
        <v>434</v>
      </c>
      <c r="W67" s="452">
        <f t="shared" si="64"/>
        <v>21.179200000000002</v>
      </c>
      <c r="X67" s="452">
        <f t="shared" si="65"/>
        <v>0.37324694399999997</v>
      </c>
      <c r="Y67" s="452">
        <f t="shared" si="66"/>
        <v>456</v>
      </c>
      <c r="Z67" s="262">
        <f t="shared" si="67"/>
        <v>36087100</v>
      </c>
      <c r="AA67" s="262">
        <f t="shared" si="68"/>
        <v>37916400</v>
      </c>
      <c r="AB67" s="431">
        <f t="shared" si="69"/>
        <v>10</v>
      </c>
      <c r="AC67" s="431">
        <f t="array" ref="AC67">MAX((IF(MNU_CODIGO_ALIMENTO_ENTREGA=CONCATENATE($E67,"_","P_"),MNU_GRAMAJE_REQUERIDO_TIPOC,"")))</f>
        <v>100</v>
      </c>
      <c r="AD67" s="259">
        <f t="shared" si="70"/>
        <v>9092</v>
      </c>
      <c r="AE67" s="259">
        <f t="shared" si="71"/>
        <v>90920</v>
      </c>
      <c r="AF67" s="452">
        <f t="shared" si="72"/>
        <v>434</v>
      </c>
      <c r="AG67" s="452">
        <f t="shared" si="73"/>
        <v>21.179200000000002</v>
      </c>
      <c r="AH67" s="452">
        <f t="shared" si="74"/>
        <v>0.37324694399999997</v>
      </c>
      <c r="AI67" s="452">
        <f t="shared" si="75"/>
        <v>456</v>
      </c>
      <c r="AJ67" s="260">
        <f t="shared" si="76"/>
        <v>39459280</v>
      </c>
      <c r="AK67" s="260">
        <f t="shared" si="77"/>
        <v>41459520</v>
      </c>
      <c r="AL67" s="432">
        <f t="shared" si="78"/>
        <v>10</v>
      </c>
      <c r="AM67" s="432">
        <f t="array" ref="AM67">MAX((IF(MNU_CODIGO_ALIMENTO_ENTREGA=CONCATENATE($E67,"_","P_"),MNU_GRAMAJE_REQUERIDO_TIPOM,"")))</f>
        <v>100</v>
      </c>
      <c r="AN67" s="261">
        <f t="shared" si="79"/>
        <v>144</v>
      </c>
      <c r="AO67" s="261">
        <f t="shared" si="80"/>
        <v>1440</v>
      </c>
      <c r="AP67" s="452">
        <f t="shared" si="81"/>
        <v>434</v>
      </c>
      <c r="AQ67" s="452">
        <f t="shared" si="82"/>
        <v>21.179200000000002</v>
      </c>
      <c r="AR67" s="452">
        <f t="shared" si="83"/>
        <v>0.37324694399999997</v>
      </c>
      <c r="AS67" s="452">
        <f t="shared" si="84"/>
        <v>456</v>
      </c>
      <c r="AT67" s="262">
        <f t="shared" si="85"/>
        <v>624960</v>
      </c>
      <c r="AU67" s="262">
        <f t="shared" si="86"/>
        <v>656640</v>
      </c>
      <c r="AV67" s="431">
        <f t="shared" si="87"/>
        <v>10</v>
      </c>
      <c r="AW67" s="431">
        <f t="array" ref="AW67">MAX((IF(MNU_CODIGO_ALIMENTO_ENTREGA=CONCATENATE($E67,"_","P_"),MNU_GRAMAJE_REQUERIDO_TIPOH,"")))</f>
        <v>100</v>
      </c>
      <c r="AX67" s="259">
        <f t="shared" si="88"/>
        <v>144</v>
      </c>
      <c r="AY67" s="259">
        <f t="shared" si="89"/>
        <v>1440</v>
      </c>
      <c r="AZ67" s="452">
        <f t="shared" si="90"/>
        <v>434</v>
      </c>
      <c r="BA67" s="452">
        <f t="shared" si="91"/>
        <v>21.179200000000002</v>
      </c>
      <c r="BB67" s="452">
        <f t="shared" si="92"/>
        <v>0.37324694399999997</v>
      </c>
      <c r="BC67" s="452">
        <f t="shared" si="93"/>
        <v>456</v>
      </c>
      <c r="BD67" s="260">
        <f t="shared" si="94"/>
        <v>624960</v>
      </c>
      <c r="BE67" s="260">
        <f t="shared" si="95"/>
        <v>656640</v>
      </c>
      <c r="BF67" s="397">
        <f t="shared" si="96"/>
        <v>76796300</v>
      </c>
      <c r="BG67" s="397">
        <f t="shared" si="97"/>
        <v>80689200</v>
      </c>
    </row>
    <row r="68" spans="1:59" ht="15.75">
      <c r="A68" s="338">
        <v>5</v>
      </c>
      <c r="B68" s="338" t="str">
        <f t="shared" si="49"/>
        <v>FRUTA_5</v>
      </c>
      <c r="C68" s="338" t="str">
        <f t="shared" si="50"/>
        <v>7_5</v>
      </c>
      <c r="D68" s="338" t="s">
        <v>1</v>
      </c>
      <c r="E68" s="258">
        <v>7</v>
      </c>
      <c r="F68" s="328" t="s">
        <v>57</v>
      </c>
      <c r="G68" s="258" t="s">
        <v>9</v>
      </c>
      <c r="H68" s="431">
        <f t="shared" si="51"/>
        <v>22</v>
      </c>
      <c r="I68" s="431">
        <f t="array" ref="I68">MAX((IF(MNU_CODIGO_ALIMENTO_ENTREGA=CONCATENATE($E68,"_","P_"),MNU_GRAMAJE_REQUERIDO_TIPOA,"")))</f>
        <v>100</v>
      </c>
      <c r="J68" s="259">
        <f t="shared" si="52"/>
        <v>5184</v>
      </c>
      <c r="K68" s="259">
        <f t="shared" si="53"/>
        <v>114048</v>
      </c>
      <c r="L68" s="452">
        <f t="shared" si="54"/>
        <v>107</v>
      </c>
      <c r="M68" s="452">
        <f t="shared" si="55"/>
        <v>5.2216000000000005</v>
      </c>
      <c r="N68" s="452">
        <f t="shared" si="56"/>
        <v>9.2021712000000006E-2</v>
      </c>
      <c r="O68" s="452">
        <f t="shared" si="57"/>
        <v>112</v>
      </c>
      <c r="P68" s="260">
        <f t="shared" si="58"/>
        <v>12203136</v>
      </c>
      <c r="Q68" s="260">
        <f t="shared" si="59"/>
        <v>12773376</v>
      </c>
      <c r="R68" s="432">
        <f t="shared" si="60"/>
        <v>9</v>
      </c>
      <c r="S68" s="432">
        <f t="array" ref="S68">MAX((IF(MNU_CODIGO_ALIMENTO_ENTREGA=CONCATENATE($E68,"_","P_"),MNU_GRAMAJE_REQUERIDO_TIPOB,"")))</f>
        <v>100</v>
      </c>
      <c r="T68" s="261">
        <f t="shared" si="61"/>
        <v>6830</v>
      </c>
      <c r="U68" s="261">
        <f t="shared" si="62"/>
        <v>61470</v>
      </c>
      <c r="V68" s="452">
        <f t="shared" si="63"/>
        <v>107</v>
      </c>
      <c r="W68" s="452">
        <f t="shared" si="64"/>
        <v>5.2216000000000005</v>
      </c>
      <c r="X68" s="452">
        <f t="shared" si="65"/>
        <v>9.2021712000000006E-2</v>
      </c>
      <c r="Y68" s="452">
        <f t="shared" si="66"/>
        <v>112</v>
      </c>
      <c r="Z68" s="262">
        <f t="shared" si="67"/>
        <v>6577290</v>
      </c>
      <c r="AA68" s="262">
        <f t="shared" si="68"/>
        <v>6884640</v>
      </c>
      <c r="AB68" s="431">
        <f t="shared" si="69"/>
        <v>9</v>
      </c>
      <c r="AC68" s="431">
        <f t="array" ref="AC68">MAX((IF(MNU_CODIGO_ALIMENTO_ENTREGA=CONCATENATE($E68,"_","P_"),MNU_GRAMAJE_REQUERIDO_TIPOC,"")))</f>
        <v>100</v>
      </c>
      <c r="AD68" s="259">
        <f t="shared" si="70"/>
        <v>7991</v>
      </c>
      <c r="AE68" s="259">
        <f t="shared" si="71"/>
        <v>71919</v>
      </c>
      <c r="AF68" s="452">
        <f t="shared" si="72"/>
        <v>107</v>
      </c>
      <c r="AG68" s="452">
        <f t="shared" si="73"/>
        <v>5.2216000000000005</v>
      </c>
      <c r="AH68" s="452">
        <f t="shared" si="74"/>
        <v>9.2021712000000006E-2</v>
      </c>
      <c r="AI68" s="452">
        <f t="shared" si="75"/>
        <v>112</v>
      </c>
      <c r="AJ68" s="260">
        <f t="shared" si="76"/>
        <v>7695333</v>
      </c>
      <c r="AK68" s="260">
        <f t="shared" si="77"/>
        <v>8054928</v>
      </c>
      <c r="AL68" s="432">
        <f t="shared" si="78"/>
        <v>9</v>
      </c>
      <c r="AM68" s="432">
        <f t="array" ref="AM68">MAX((IF(MNU_CODIGO_ALIMENTO_ENTREGA=CONCATENATE($E68,"_","P_"),MNU_GRAMAJE_REQUERIDO_TIPOM,"")))</f>
        <v>100</v>
      </c>
      <c r="AN68" s="261">
        <f t="shared" si="79"/>
        <v>177</v>
      </c>
      <c r="AO68" s="261">
        <f t="shared" si="80"/>
        <v>1593</v>
      </c>
      <c r="AP68" s="452">
        <f t="shared" si="81"/>
        <v>107</v>
      </c>
      <c r="AQ68" s="452">
        <f t="shared" si="82"/>
        <v>5.2216000000000005</v>
      </c>
      <c r="AR68" s="452">
        <f t="shared" si="83"/>
        <v>9.2021712000000006E-2</v>
      </c>
      <c r="AS68" s="452">
        <f t="shared" si="84"/>
        <v>112</v>
      </c>
      <c r="AT68" s="262">
        <f t="shared" si="85"/>
        <v>170451</v>
      </c>
      <c r="AU68" s="262">
        <f t="shared" si="86"/>
        <v>178416</v>
      </c>
      <c r="AV68" s="431">
        <f t="shared" si="87"/>
        <v>9</v>
      </c>
      <c r="AW68" s="431">
        <f t="array" ref="AW68">MAX((IF(MNU_CODIGO_ALIMENTO_ENTREGA=CONCATENATE($E68,"_","P_"),MNU_GRAMAJE_REQUERIDO_TIPOH,"")))</f>
        <v>100</v>
      </c>
      <c r="AX68" s="259">
        <f t="shared" si="88"/>
        <v>152</v>
      </c>
      <c r="AY68" s="259">
        <f t="shared" si="89"/>
        <v>1368</v>
      </c>
      <c r="AZ68" s="452">
        <f t="shared" si="90"/>
        <v>107</v>
      </c>
      <c r="BA68" s="452">
        <f t="shared" si="91"/>
        <v>5.2216000000000005</v>
      </c>
      <c r="BB68" s="452">
        <f t="shared" si="92"/>
        <v>9.2021712000000006E-2</v>
      </c>
      <c r="BC68" s="452">
        <f t="shared" si="93"/>
        <v>112</v>
      </c>
      <c r="BD68" s="260">
        <f t="shared" si="94"/>
        <v>146376</v>
      </c>
      <c r="BE68" s="260">
        <f t="shared" si="95"/>
        <v>153216</v>
      </c>
      <c r="BF68" s="397">
        <f t="shared" si="96"/>
        <v>26792586</v>
      </c>
      <c r="BG68" s="397">
        <f t="shared" si="97"/>
        <v>28044576</v>
      </c>
    </row>
    <row r="69" spans="1:59" ht="15.75">
      <c r="A69" s="338">
        <v>5</v>
      </c>
      <c r="B69" s="338" t="str">
        <f t="shared" si="49"/>
        <v>FRUTA_5</v>
      </c>
      <c r="C69" s="338" t="str">
        <f t="shared" si="50"/>
        <v>8_5</v>
      </c>
      <c r="D69" s="338" t="s">
        <v>1</v>
      </c>
      <c r="E69" s="258">
        <v>8</v>
      </c>
      <c r="F69" s="328" t="s">
        <v>55</v>
      </c>
      <c r="G69" s="258" t="s">
        <v>9</v>
      </c>
      <c r="H69" s="431">
        <f t="shared" si="51"/>
        <v>10</v>
      </c>
      <c r="I69" s="431">
        <f t="array" ref="I69">MAX((IF(MNU_CODIGO_ALIMENTO_ENTREGA=CONCATENATE($E69,"_","P_"),MNU_GRAMAJE_REQUERIDO_TIPOA,"")))</f>
        <v>100</v>
      </c>
      <c r="J69" s="259">
        <f t="shared" si="52"/>
        <v>5184</v>
      </c>
      <c r="K69" s="259">
        <f t="shared" si="53"/>
        <v>51840</v>
      </c>
      <c r="L69" s="452">
        <f t="shared" si="54"/>
        <v>134</v>
      </c>
      <c r="M69" s="452">
        <f t="shared" si="55"/>
        <v>6.539200000000001</v>
      </c>
      <c r="N69" s="452">
        <f t="shared" si="56"/>
        <v>0.115242144</v>
      </c>
      <c r="O69" s="452">
        <f t="shared" si="57"/>
        <v>141</v>
      </c>
      <c r="P69" s="260">
        <f t="shared" si="58"/>
        <v>6946560</v>
      </c>
      <c r="Q69" s="260">
        <f t="shared" si="59"/>
        <v>7309440</v>
      </c>
      <c r="R69" s="432">
        <f t="shared" si="60"/>
        <v>8</v>
      </c>
      <c r="S69" s="432">
        <f t="array" ref="S69">MAX((IF(MNU_CODIGO_ALIMENTO_ENTREGA=CONCATENATE($E69,"_","P_"),MNU_GRAMAJE_REQUERIDO_TIPOB,"")))</f>
        <v>100</v>
      </c>
      <c r="T69" s="261">
        <f t="shared" si="61"/>
        <v>6830</v>
      </c>
      <c r="U69" s="261">
        <f t="shared" si="62"/>
        <v>54640</v>
      </c>
      <c r="V69" s="452">
        <f t="shared" si="63"/>
        <v>134</v>
      </c>
      <c r="W69" s="452">
        <f t="shared" si="64"/>
        <v>6.539200000000001</v>
      </c>
      <c r="X69" s="452">
        <f t="shared" si="65"/>
        <v>0.115242144</v>
      </c>
      <c r="Y69" s="452">
        <f t="shared" si="66"/>
        <v>141</v>
      </c>
      <c r="Z69" s="262">
        <f t="shared" si="67"/>
        <v>7321760</v>
      </c>
      <c r="AA69" s="262">
        <f t="shared" si="68"/>
        <v>7704240</v>
      </c>
      <c r="AB69" s="431">
        <f t="shared" si="69"/>
        <v>8</v>
      </c>
      <c r="AC69" s="431">
        <f t="array" ref="AC69">MAX((IF(MNU_CODIGO_ALIMENTO_ENTREGA=CONCATENATE($E69,"_","P_"),MNU_GRAMAJE_REQUERIDO_TIPOC,"")))</f>
        <v>100</v>
      </c>
      <c r="AD69" s="259">
        <f t="shared" si="70"/>
        <v>7991</v>
      </c>
      <c r="AE69" s="259">
        <f t="shared" si="71"/>
        <v>63928</v>
      </c>
      <c r="AF69" s="452">
        <f t="shared" si="72"/>
        <v>134</v>
      </c>
      <c r="AG69" s="452">
        <f t="shared" si="73"/>
        <v>6.539200000000001</v>
      </c>
      <c r="AH69" s="452">
        <f t="shared" si="74"/>
        <v>0.115242144</v>
      </c>
      <c r="AI69" s="452">
        <f t="shared" si="75"/>
        <v>141</v>
      </c>
      <c r="AJ69" s="260">
        <f t="shared" si="76"/>
        <v>8566352</v>
      </c>
      <c r="AK69" s="260">
        <f t="shared" si="77"/>
        <v>9013848</v>
      </c>
      <c r="AL69" s="432">
        <f t="shared" si="78"/>
        <v>8</v>
      </c>
      <c r="AM69" s="432">
        <f t="array" ref="AM69">MAX((IF(MNU_CODIGO_ALIMENTO_ENTREGA=CONCATENATE($E69,"_","P_"),MNU_GRAMAJE_REQUERIDO_TIPOM,"")))</f>
        <v>100</v>
      </c>
      <c r="AN69" s="261">
        <f t="shared" si="79"/>
        <v>177</v>
      </c>
      <c r="AO69" s="261">
        <f t="shared" si="80"/>
        <v>1416</v>
      </c>
      <c r="AP69" s="452">
        <f t="shared" si="81"/>
        <v>134</v>
      </c>
      <c r="AQ69" s="452">
        <f t="shared" si="82"/>
        <v>6.539200000000001</v>
      </c>
      <c r="AR69" s="452">
        <f t="shared" si="83"/>
        <v>0.115242144</v>
      </c>
      <c r="AS69" s="452">
        <f t="shared" si="84"/>
        <v>141</v>
      </c>
      <c r="AT69" s="262">
        <f t="shared" si="85"/>
        <v>189744</v>
      </c>
      <c r="AU69" s="262">
        <f t="shared" si="86"/>
        <v>199656</v>
      </c>
      <c r="AV69" s="431">
        <f t="shared" si="87"/>
        <v>8</v>
      </c>
      <c r="AW69" s="431">
        <f t="array" ref="AW69">MAX((IF(MNU_CODIGO_ALIMENTO_ENTREGA=CONCATENATE($E69,"_","P_"),MNU_GRAMAJE_REQUERIDO_TIPOH,"")))</f>
        <v>100</v>
      </c>
      <c r="AX69" s="259">
        <f t="shared" si="88"/>
        <v>152</v>
      </c>
      <c r="AY69" s="259">
        <f t="shared" si="89"/>
        <v>1216</v>
      </c>
      <c r="AZ69" s="452">
        <f t="shared" si="90"/>
        <v>134</v>
      </c>
      <c r="BA69" s="452">
        <f t="shared" si="91"/>
        <v>6.539200000000001</v>
      </c>
      <c r="BB69" s="452">
        <f t="shared" si="92"/>
        <v>0.115242144</v>
      </c>
      <c r="BC69" s="452">
        <f t="shared" si="93"/>
        <v>141</v>
      </c>
      <c r="BD69" s="260">
        <f t="shared" si="94"/>
        <v>162944</v>
      </c>
      <c r="BE69" s="260">
        <f t="shared" si="95"/>
        <v>171456</v>
      </c>
      <c r="BF69" s="397">
        <f t="shared" si="96"/>
        <v>23187360</v>
      </c>
      <c r="BG69" s="397">
        <f t="shared" si="97"/>
        <v>24398640</v>
      </c>
    </row>
    <row r="70" spans="1:59" ht="15.75">
      <c r="A70" s="338">
        <v>5</v>
      </c>
      <c r="B70" s="338" t="str">
        <f t="shared" si="49"/>
        <v>FRUTA_5</v>
      </c>
      <c r="C70" s="338" t="str">
        <f t="shared" si="50"/>
        <v>17_5</v>
      </c>
      <c r="D70" s="338" t="s">
        <v>1</v>
      </c>
      <c r="E70" s="258">
        <v>17</v>
      </c>
      <c r="F70" s="328" t="s">
        <v>53</v>
      </c>
      <c r="G70" s="258" t="s">
        <v>9</v>
      </c>
      <c r="H70" s="431">
        <f t="shared" si="51"/>
        <v>0</v>
      </c>
      <c r="I70" s="431">
        <f t="array" ref="I70">MAX((IF(MNU_CODIGO_ALIMENTO_ENTREGA=CONCATENATE($E70,"_","P_"),MNU_GRAMAJE_REQUERIDO_TIPOA,"")))</f>
        <v>0</v>
      </c>
      <c r="J70" s="259">
        <f t="shared" si="52"/>
        <v>5184</v>
      </c>
      <c r="K70" s="259">
        <f t="shared" si="53"/>
        <v>0</v>
      </c>
      <c r="L70" s="452">
        <f t="shared" si="54"/>
        <v>0</v>
      </c>
      <c r="M70" s="452">
        <f t="shared" si="55"/>
        <v>0</v>
      </c>
      <c r="N70" s="452">
        <f t="shared" si="56"/>
        <v>0</v>
      </c>
      <c r="O70" s="452">
        <f t="shared" si="57"/>
        <v>0</v>
      </c>
      <c r="P70" s="260">
        <f t="shared" si="58"/>
        <v>0</v>
      </c>
      <c r="Q70" s="260">
        <f t="shared" si="59"/>
        <v>0</v>
      </c>
      <c r="R70" s="432">
        <f t="shared" si="60"/>
        <v>21</v>
      </c>
      <c r="S70" s="432">
        <f t="array" ref="S70">MAX((IF(MNU_CODIGO_ALIMENTO_ENTREGA=CONCATENATE($E70,"_","P_"),MNU_GRAMAJE_REQUERIDO_TIPOB,"")))</f>
        <v>100</v>
      </c>
      <c r="T70" s="261">
        <f t="shared" si="61"/>
        <v>6830</v>
      </c>
      <c r="U70" s="261">
        <f t="shared" si="62"/>
        <v>143430</v>
      </c>
      <c r="V70" s="452">
        <f t="shared" si="63"/>
        <v>226</v>
      </c>
      <c r="W70" s="452">
        <f t="shared" si="64"/>
        <v>11.0288</v>
      </c>
      <c r="X70" s="452">
        <f t="shared" si="65"/>
        <v>0.19436361600000002</v>
      </c>
      <c r="Y70" s="452">
        <f t="shared" si="66"/>
        <v>237</v>
      </c>
      <c r="Z70" s="262">
        <f t="shared" si="67"/>
        <v>32415180</v>
      </c>
      <c r="AA70" s="262">
        <f t="shared" si="68"/>
        <v>33992910</v>
      </c>
      <c r="AB70" s="431">
        <f t="shared" si="69"/>
        <v>21</v>
      </c>
      <c r="AC70" s="431">
        <f t="array" ref="AC70">MAX((IF(MNU_CODIGO_ALIMENTO_ENTREGA=CONCATENATE($E70,"_","P_"),MNU_GRAMAJE_REQUERIDO_TIPOC,"")))</f>
        <v>100</v>
      </c>
      <c r="AD70" s="259">
        <f t="shared" si="70"/>
        <v>7991</v>
      </c>
      <c r="AE70" s="259">
        <f t="shared" si="71"/>
        <v>167811</v>
      </c>
      <c r="AF70" s="452">
        <f t="shared" si="72"/>
        <v>226</v>
      </c>
      <c r="AG70" s="452">
        <f t="shared" si="73"/>
        <v>11.0288</v>
      </c>
      <c r="AH70" s="452">
        <f t="shared" si="74"/>
        <v>0.19436361600000002</v>
      </c>
      <c r="AI70" s="452">
        <f t="shared" si="75"/>
        <v>237</v>
      </c>
      <c r="AJ70" s="260">
        <f t="shared" si="76"/>
        <v>37925286</v>
      </c>
      <c r="AK70" s="260">
        <f t="shared" si="77"/>
        <v>39771207</v>
      </c>
      <c r="AL70" s="432">
        <f t="shared" si="78"/>
        <v>21</v>
      </c>
      <c r="AM70" s="432">
        <f t="array" ref="AM70">MAX((IF(MNU_CODIGO_ALIMENTO_ENTREGA=CONCATENATE($E70,"_","P_"),MNU_GRAMAJE_REQUERIDO_TIPOM,"")))</f>
        <v>100</v>
      </c>
      <c r="AN70" s="261">
        <f t="shared" si="79"/>
        <v>177</v>
      </c>
      <c r="AO70" s="261">
        <f t="shared" si="80"/>
        <v>3717</v>
      </c>
      <c r="AP70" s="452">
        <f t="shared" si="81"/>
        <v>226</v>
      </c>
      <c r="AQ70" s="452">
        <f t="shared" si="82"/>
        <v>11.0288</v>
      </c>
      <c r="AR70" s="452">
        <f t="shared" si="83"/>
        <v>0.19436361600000002</v>
      </c>
      <c r="AS70" s="452">
        <f t="shared" si="84"/>
        <v>237</v>
      </c>
      <c r="AT70" s="262">
        <f t="shared" si="85"/>
        <v>840042</v>
      </c>
      <c r="AU70" s="262">
        <f t="shared" si="86"/>
        <v>880929</v>
      </c>
      <c r="AV70" s="431">
        <f t="shared" si="87"/>
        <v>21</v>
      </c>
      <c r="AW70" s="431">
        <f t="array" ref="AW70">MAX((IF(MNU_CODIGO_ALIMENTO_ENTREGA=CONCATENATE($E70,"_","P_"),MNU_GRAMAJE_REQUERIDO_TIPOH,"")))</f>
        <v>100</v>
      </c>
      <c r="AX70" s="259">
        <f t="shared" si="88"/>
        <v>152</v>
      </c>
      <c r="AY70" s="259">
        <f t="shared" si="89"/>
        <v>3192</v>
      </c>
      <c r="AZ70" s="452">
        <f t="shared" si="90"/>
        <v>226</v>
      </c>
      <c r="BA70" s="452">
        <f t="shared" si="91"/>
        <v>11.0288</v>
      </c>
      <c r="BB70" s="452">
        <f t="shared" si="92"/>
        <v>0.19436361600000002</v>
      </c>
      <c r="BC70" s="452">
        <f t="shared" si="93"/>
        <v>237</v>
      </c>
      <c r="BD70" s="260">
        <f t="shared" si="94"/>
        <v>721392</v>
      </c>
      <c r="BE70" s="260">
        <f t="shared" si="95"/>
        <v>756504</v>
      </c>
      <c r="BF70" s="397">
        <f t="shared" si="96"/>
        <v>71901900</v>
      </c>
      <c r="BG70" s="397">
        <f t="shared" si="97"/>
        <v>75401550</v>
      </c>
    </row>
    <row r="71" spans="1:59" ht="15.75">
      <c r="A71" s="338">
        <v>5</v>
      </c>
      <c r="B71" s="338" t="str">
        <f t="shared" si="49"/>
        <v>FRUTA_5</v>
      </c>
      <c r="C71" s="338" t="str">
        <f t="shared" si="50"/>
        <v>22_5</v>
      </c>
      <c r="D71" s="338" t="s">
        <v>1</v>
      </c>
      <c r="E71" s="258">
        <v>22</v>
      </c>
      <c r="F71" s="328" t="s">
        <v>51</v>
      </c>
      <c r="G71" s="258" t="s">
        <v>9</v>
      </c>
      <c r="H71" s="431">
        <f t="shared" si="51"/>
        <v>0</v>
      </c>
      <c r="I71" s="431">
        <f t="array" ref="I71">MAX((IF(MNU_CODIGO_ALIMENTO_ENTREGA=CONCATENATE($E71,"_","P_"),MNU_GRAMAJE_REQUERIDO_TIPOA,"")))</f>
        <v>0</v>
      </c>
      <c r="J71" s="259">
        <f t="shared" si="52"/>
        <v>5184</v>
      </c>
      <c r="K71" s="259">
        <f t="shared" si="53"/>
        <v>0</v>
      </c>
      <c r="L71" s="452">
        <f t="shared" si="54"/>
        <v>0</v>
      </c>
      <c r="M71" s="452">
        <f t="shared" si="55"/>
        <v>0</v>
      </c>
      <c r="N71" s="452">
        <f t="shared" si="56"/>
        <v>0</v>
      </c>
      <c r="O71" s="452">
        <f t="shared" si="57"/>
        <v>0</v>
      </c>
      <c r="P71" s="260">
        <f t="shared" si="58"/>
        <v>0</v>
      </c>
      <c r="Q71" s="260">
        <f t="shared" si="59"/>
        <v>0</v>
      </c>
      <c r="R71" s="432">
        <f t="shared" si="60"/>
        <v>20</v>
      </c>
      <c r="S71" s="432">
        <f t="array" ref="S71">MAX((IF(MNU_CODIGO_ALIMENTO_ENTREGA=CONCATENATE($E71,"_","P_"),MNU_GRAMAJE_REQUERIDO_TIPOB,"")))</f>
        <v>100</v>
      </c>
      <c r="T71" s="261">
        <f t="shared" si="61"/>
        <v>6830</v>
      </c>
      <c r="U71" s="261">
        <f t="shared" si="62"/>
        <v>136600</v>
      </c>
      <c r="V71" s="452">
        <f t="shared" si="63"/>
        <v>525</v>
      </c>
      <c r="W71" s="452">
        <f t="shared" si="64"/>
        <v>25.62</v>
      </c>
      <c r="X71" s="452">
        <f t="shared" si="65"/>
        <v>0.45150840000000003</v>
      </c>
      <c r="Y71" s="452">
        <f t="shared" si="66"/>
        <v>551</v>
      </c>
      <c r="Z71" s="262">
        <f t="shared" si="67"/>
        <v>71715000</v>
      </c>
      <c r="AA71" s="262">
        <f t="shared" si="68"/>
        <v>75266600</v>
      </c>
      <c r="AB71" s="431">
        <f t="shared" si="69"/>
        <v>20</v>
      </c>
      <c r="AC71" s="431">
        <f t="array" ref="AC71">MAX((IF(MNU_CODIGO_ALIMENTO_ENTREGA=CONCATENATE($E71,"_","P_"),MNU_GRAMAJE_REQUERIDO_TIPOC,"")))</f>
        <v>100</v>
      </c>
      <c r="AD71" s="259">
        <f t="shared" si="70"/>
        <v>7991</v>
      </c>
      <c r="AE71" s="259">
        <f t="shared" si="71"/>
        <v>159820</v>
      </c>
      <c r="AF71" s="452">
        <f t="shared" si="72"/>
        <v>525</v>
      </c>
      <c r="AG71" s="452">
        <f t="shared" si="73"/>
        <v>25.62</v>
      </c>
      <c r="AH71" s="452">
        <f t="shared" si="74"/>
        <v>0.45150840000000003</v>
      </c>
      <c r="AI71" s="452">
        <f t="shared" si="75"/>
        <v>551</v>
      </c>
      <c r="AJ71" s="260">
        <f t="shared" si="76"/>
        <v>83905500</v>
      </c>
      <c r="AK71" s="260">
        <f t="shared" si="77"/>
        <v>88060820</v>
      </c>
      <c r="AL71" s="432">
        <f t="shared" si="78"/>
        <v>20</v>
      </c>
      <c r="AM71" s="432">
        <f t="array" ref="AM71">MAX((IF(MNU_CODIGO_ALIMENTO_ENTREGA=CONCATENATE($E71,"_","P_"),MNU_GRAMAJE_REQUERIDO_TIPOM,"")))</f>
        <v>100</v>
      </c>
      <c r="AN71" s="261">
        <f t="shared" si="79"/>
        <v>177</v>
      </c>
      <c r="AO71" s="261">
        <f t="shared" si="80"/>
        <v>3540</v>
      </c>
      <c r="AP71" s="452">
        <f t="shared" si="81"/>
        <v>525</v>
      </c>
      <c r="AQ71" s="452">
        <f t="shared" si="82"/>
        <v>25.62</v>
      </c>
      <c r="AR71" s="452">
        <f t="shared" si="83"/>
        <v>0.45150840000000003</v>
      </c>
      <c r="AS71" s="452">
        <f t="shared" si="84"/>
        <v>551</v>
      </c>
      <c r="AT71" s="262">
        <f t="shared" si="85"/>
        <v>1858500</v>
      </c>
      <c r="AU71" s="262">
        <f t="shared" si="86"/>
        <v>1950540</v>
      </c>
      <c r="AV71" s="431">
        <f t="shared" si="87"/>
        <v>20</v>
      </c>
      <c r="AW71" s="431">
        <f t="array" ref="AW71">MAX((IF(MNU_CODIGO_ALIMENTO_ENTREGA=CONCATENATE($E71,"_","P_"),MNU_GRAMAJE_REQUERIDO_TIPOH,"")))</f>
        <v>100</v>
      </c>
      <c r="AX71" s="259">
        <f t="shared" si="88"/>
        <v>152</v>
      </c>
      <c r="AY71" s="259">
        <f t="shared" si="89"/>
        <v>3040</v>
      </c>
      <c r="AZ71" s="452">
        <f t="shared" si="90"/>
        <v>525</v>
      </c>
      <c r="BA71" s="452">
        <f t="shared" si="91"/>
        <v>25.62</v>
      </c>
      <c r="BB71" s="452">
        <f t="shared" si="92"/>
        <v>0.45150840000000003</v>
      </c>
      <c r="BC71" s="452">
        <f t="shared" si="93"/>
        <v>551</v>
      </c>
      <c r="BD71" s="260">
        <f t="shared" si="94"/>
        <v>1596000</v>
      </c>
      <c r="BE71" s="260">
        <f t="shared" si="95"/>
        <v>1675040</v>
      </c>
      <c r="BF71" s="397">
        <f t="shared" si="96"/>
        <v>159075000</v>
      </c>
      <c r="BG71" s="397">
        <f t="shared" si="97"/>
        <v>166953000</v>
      </c>
    </row>
    <row r="72" spans="1:59" ht="15.75">
      <c r="A72" s="338">
        <v>5</v>
      </c>
      <c r="B72" s="338" t="str">
        <f t="shared" si="49"/>
        <v>FRUTA_5</v>
      </c>
      <c r="C72" s="338" t="str">
        <f t="shared" si="50"/>
        <v>33_5</v>
      </c>
      <c r="D72" s="338" t="s">
        <v>1</v>
      </c>
      <c r="E72" s="258">
        <v>33</v>
      </c>
      <c r="F72" s="328" t="s">
        <v>59</v>
      </c>
      <c r="G72" s="258" t="s">
        <v>48</v>
      </c>
      <c r="H72" s="431">
        <f t="shared" si="51"/>
        <v>27</v>
      </c>
      <c r="I72" s="431">
        <v>1</v>
      </c>
      <c r="J72" s="259">
        <f t="shared" si="52"/>
        <v>5184</v>
      </c>
      <c r="K72" s="259">
        <f t="shared" si="53"/>
        <v>139968</v>
      </c>
      <c r="L72" s="452">
        <f t="shared" si="54"/>
        <v>270</v>
      </c>
      <c r="M72" s="452">
        <f t="shared" si="55"/>
        <v>13.176000000000002</v>
      </c>
      <c r="N72" s="452">
        <f t="shared" si="56"/>
        <v>0.23220432000000002</v>
      </c>
      <c r="O72" s="452">
        <f t="shared" si="57"/>
        <v>283</v>
      </c>
      <c r="P72" s="260">
        <f t="shared" si="58"/>
        <v>37791360</v>
      </c>
      <c r="Q72" s="260">
        <f t="shared" si="59"/>
        <v>39610944</v>
      </c>
      <c r="R72" s="432">
        <f t="shared" si="60"/>
        <v>18</v>
      </c>
      <c r="S72" s="432">
        <v>1</v>
      </c>
      <c r="T72" s="261">
        <f t="shared" si="61"/>
        <v>6830</v>
      </c>
      <c r="U72" s="261">
        <f t="shared" si="62"/>
        <v>122940</v>
      </c>
      <c r="V72" s="452">
        <f t="shared" si="63"/>
        <v>270</v>
      </c>
      <c r="W72" s="452">
        <f t="shared" si="64"/>
        <v>13.176000000000002</v>
      </c>
      <c r="X72" s="452">
        <f t="shared" si="65"/>
        <v>0.23220432000000002</v>
      </c>
      <c r="Y72" s="452">
        <f t="shared" si="66"/>
        <v>283</v>
      </c>
      <c r="Z72" s="262">
        <f t="shared" si="67"/>
        <v>33193800</v>
      </c>
      <c r="AA72" s="262">
        <f t="shared" si="68"/>
        <v>34792020</v>
      </c>
      <c r="AB72" s="431">
        <f t="shared" si="69"/>
        <v>18</v>
      </c>
      <c r="AC72" s="431">
        <v>1</v>
      </c>
      <c r="AD72" s="259">
        <f t="shared" si="70"/>
        <v>7991</v>
      </c>
      <c r="AE72" s="259">
        <f t="shared" si="71"/>
        <v>143838</v>
      </c>
      <c r="AF72" s="452">
        <f t="shared" si="72"/>
        <v>270</v>
      </c>
      <c r="AG72" s="452">
        <f t="shared" si="73"/>
        <v>13.176000000000002</v>
      </c>
      <c r="AH72" s="452">
        <f t="shared" si="74"/>
        <v>0.23220432000000002</v>
      </c>
      <c r="AI72" s="452">
        <f t="shared" si="75"/>
        <v>283</v>
      </c>
      <c r="AJ72" s="260">
        <f t="shared" si="76"/>
        <v>38836260</v>
      </c>
      <c r="AK72" s="260">
        <f t="shared" si="77"/>
        <v>40706154</v>
      </c>
      <c r="AL72" s="432">
        <f t="shared" si="78"/>
        <v>18</v>
      </c>
      <c r="AM72" s="432">
        <v>1</v>
      </c>
      <c r="AN72" s="261">
        <f t="shared" si="79"/>
        <v>177</v>
      </c>
      <c r="AO72" s="261">
        <f t="shared" si="80"/>
        <v>3186</v>
      </c>
      <c r="AP72" s="452">
        <f t="shared" si="81"/>
        <v>270</v>
      </c>
      <c r="AQ72" s="452">
        <f t="shared" si="82"/>
        <v>13.176000000000002</v>
      </c>
      <c r="AR72" s="452">
        <f t="shared" si="83"/>
        <v>0.23220432000000002</v>
      </c>
      <c r="AS72" s="452">
        <f t="shared" si="84"/>
        <v>283</v>
      </c>
      <c r="AT72" s="262">
        <f t="shared" si="85"/>
        <v>860220</v>
      </c>
      <c r="AU72" s="262">
        <f t="shared" si="86"/>
        <v>901638</v>
      </c>
      <c r="AV72" s="431">
        <f t="shared" si="87"/>
        <v>18</v>
      </c>
      <c r="AW72" s="431">
        <v>1</v>
      </c>
      <c r="AX72" s="259">
        <f t="shared" si="88"/>
        <v>152</v>
      </c>
      <c r="AY72" s="259">
        <f t="shared" si="89"/>
        <v>2736</v>
      </c>
      <c r="AZ72" s="452">
        <f t="shared" si="90"/>
        <v>270</v>
      </c>
      <c r="BA72" s="452">
        <f t="shared" si="91"/>
        <v>13.176000000000002</v>
      </c>
      <c r="BB72" s="452">
        <f t="shared" si="92"/>
        <v>0.23220432000000002</v>
      </c>
      <c r="BC72" s="452">
        <f t="shared" si="93"/>
        <v>283</v>
      </c>
      <c r="BD72" s="260">
        <f t="shared" si="94"/>
        <v>738720</v>
      </c>
      <c r="BE72" s="260">
        <f t="shared" si="95"/>
        <v>774288</v>
      </c>
      <c r="BF72" s="397">
        <f t="shared" si="96"/>
        <v>111420360</v>
      </c>
      <c r="BG72" s="397">
        <f t="shared" si="97"/>
        <v>116785044</v>
      </c>
    </row>
    <row r="73" spans="1:59" ht="15.75">
      <c r="A73" s="338">
        <v>5</v>
      </c>
      <c r="B73" s="338" t="str">
        <f t="shared" si="49"/>
        <v>FRUTA_5</v>
      </c>
      <c r="C73" s="338" t="str">
        <f t="shared" si="50"/>
        <v>36_5</v>
      </c>
      <c r="D73" s="338" t="s">
        <v>1</v>
      </c>
      <c r="E73" s="258">
        <v>36</v>
      </c>
      <c r="F73" s="328" t="s">
        <v>1340</v>
      </c>
      <c r="G73" s="258" t="s">
        <v>9</v>
      </c>
      <c r="H73" s="431">
        <f t="shared" si="51"/>
        <v>7</v>
      </c>
      <c r="I73" s="431">
        <f t="array" ref="I73">MAX((IF(MNU_CODIGO_ALIMENTO_ENTREGA=CONCATENATE($E73,"_","P_"),MNU_GRAMAJE_REQUERIDO_TIPOA,"")))</f>
        <v>20</v>
      </c>
      <c r="J73" s="259">
        <f t="shared" si="52"/>
        <v>5184</v>
      </c>
      <c r="K73" s="259">
        <f t="shared" si="53"/>
        <v>36288</v>
      </c>
      <c r="L73" s="452">
        <f t="shared" si="54"/>
        <v>126</v>
      </c>
      <c r="M73" s="452">
        <f t="shared" si="55"/>
        <v>6.1488000000000005</v>
      </c>
      <c r="N73" s="452">
        <f t="shared" si="56"/>
        <v>0.10836201599999999</v>
      </c>
      <c r="O73" s="452">
        <f t="shared" si="57"/>
        <v>132</v>
      </c>
      <c r="P73" s="260">
        <f t="shared" si="58"/>
        <v>4572288</v>
      </c>
      <c r="Q73" s="260">
        <f t="shared" si="59"/>
        <v>4790016</v>
      </c>
      <c r="R73" s="432">
        <f t="shared" si="60"/>
        <v>7</v>
      </c>
      <c r="S73" s="432">
        <f t="array" ref="S73">MAX((IF(MNU_CODIGO_ALIMENTO_ENTREGA=CONCATENATE($E73,"_","P_"),MNU_GRAMAJE_REQUERIDO_TIPOB,"")))</f>
        <v>40</v>
      </c>
      <c r="T73" s="261">
        <f t="shared" si="61"/>
        <v>6830</v>
      </c>
      <c r="U73" s="261">
        <f t="shared" si="62"/>
        <v>47810</v>
      </c>
      <c r="V73" s="452">
        <f t="shared" si="63"/>
        <v>252</v>
      </c>
      <c r="W73" s="452">
        <f t="shared" si="64"/>
        <v>12.297600000000001</v>
      </c>
      <c r="X73" s="452">
        <f t="shared" si="65"/>
        <v>0.21672403199999998</v>
      </c>
      <c r="Y73" s="452">
        <f t="shared" si="66"/>
        <v>265</v>
      </c>
      <c r="Z73" s="262">
        <f t="shared" si="67"/>
        <v>12048120</v>
      </c>
      <c r="AA73" s="262">
        <f t="shared" si="68"/>
        <v>12669650</v>
      </c>
      <c r="AB73" s="431">
        <f t="shared" si="69"/>
        <v>7</v>
      </c>
      <c r="AC73" s="431">
        <f t="array" ref="AC73">MAX((IF(MNU_CODIGO_ALIMENTO_ENTREGA=CONCATENATE($E73,"_","P_"),MNU_GRAMAJE_REQUERIDO_TIPOC,"")))</f>
        <v>40</v>
      </c>
      <c r="AD73" s="259">
        <f t="shared" si="70"/>
        <v>7991</v>
      </c>
      <c r="AE73" s="259">
        <f t="shared" si="71"/>
        <v>55937</v>
      </c>
      <c r="AF73" s="452">
        <f t="shared" si="72"/>
        <v>252</v>
      </c>
      <c r="AG73" s="452">
        <f t="shared" si="73"/>
        <v>12.297600000000001</v>
      </c>
      <c r="AH73" s="452">
        <f t="shared" si="74"/>
        <v>0.21672403199999998</v>
      </c>
      <c r="AI73" s="452">
        <f t="shared" si="75"/>
        <v>265</v>
      </c>
      <c r="AJ73" s="260">
        <f t="shared" si="76"/>
        <v>14096124</v>
      </c>
      <c r="AK73" s="260">
        <f t="shared" si="77"/>
        <v>14823305</v>
      </c>
      <c r="AL73" s="432">
        <f t="shared" si="78"/>
        <v>7</v>
      </c>
      <c r="AM73" s="432">
        <f t="array" ref="AM73">MAX((IF(MNU_CODIGO_ALIMENTO_ENTREGA=CONCATENATE($E73,"_","P_"),MNU_GRAMAJE_REQUERIDO_TIPOM,"")))</f>
        <v>40</v>
      </c>
      <c r="AN73" s="261">
        <f t="shared" si="79"/>
        <v>177</v>
      </c>
      <c r="AO73" s="261">
        <f t="shared" si="80"/>
        <v>1239</v>
      </c>
      <c r="AP73" s="452">
        <f t="shared" si="81"/>
        <v>252</v>
      </c>
      <c r="AQ73" s="452">
        <f t="shared" si="82"/>
        <v>12.297600000000001</v>
      </c>
      <c r="AR73" s="452">
        <f t="shared" si="83"/>
        <v>0.21672403199999998</v>
      </c>
      <c r="AS73" s="452">
        <f t="shared" si="84"/>
        <v>265</v>
      </c>
      <c r="AT73" s="262">
        <f t="shared" si="85"/>
        <v>312228</v>
      </c>
      <c r="AU73" s="262">
        <f t="shared" si="86"/>
        <v>328335</v>
      </c>
      <c r="AV73" s="431">
        <f t="shared" si="87"/>
        <v>7</v>
      </c>
      <c r="AW73" s="431">
        <f t="array" ref="AW73">MAX((IF(MNU_CODIGO_ALIMENTO_ENTREGA=CONCATENATE($E73,"_","P_"),MNU_GRAMAJE_REQUERIDO_TIPOH,"")))</f>
        <v>40</v>
      </c>
      <c r="AX73" s="259">
        <f t="shared" si="88"/>
        <v>152</v>
      </c>
      <c r="AY73" s="259">
        <f t="shared" si="89"/>
        <v>1064</v>
      </c>
      <c r="AZ73" s="452">
        <f t="shared" si="90"/>
        <v>252</v>
      </c>
      <c r="BA73" s="452">
        <f t="shared" si="91"/>
        <v>12.297600000000001</v>
      </c>
      <c r="BB73" s="452">
        <f t="shared" si="92"/>
        <v>0.21672403199999998</v>
      </c>
      <c r="BC73" s="452">
        <f t="shared" si="93"/>
        <v>265</v>
      </c>
      <c r="BD73" s="260">
        <f t="shared" si="94"/>
        <v>268128</v>
      </c>
      <c r="BE73" s="260">
        <f t="shared" si="95"/>
        <v>281960</v>
      </c>
      <c r="BF73" s="397">
        <f t="shared" si="96"/>
        <v>31296888</v>
      </c>
      <c r="BG73" s="397">
        <f t="shared" si="97"/>
        <v>32893266</v>
      </c>
    </row>
    <row r="74" spans="1:59" ht="15.75">
      <c r="A74" s="338">
        <v>5</v>
      </c>
      <c r="B74" s="338" t="str">
        <f t="shared" si="49"/>
        <v>FRUTA_5</v>
      </c>
      <c r="C74" s="338" t="str">
        <f t="shared" si="50"/>
        <v>42_5</v>
      </c>
      <c r="D74" s="338" t="s">
        <v>1</v>
      </c>
      <c r="E74" s="258">
        <v>42</v>
      </c>
      <c r="F74" s="328" t="s">
        <v>61</v>
      </c>
      <c r="G74" s="258" t="s">
        <v>9</v>
      </c>
      <c r="H74" s="431">
        <f t="shared" si="51"/>
        <v>23</v>
      </c>
      <c r="I74" s="431">
        <f t="array" ref="I74">MAX((IF(MNU_CODIGO_ALIMENTO_ENTREGA=CONCATENATE($E74,"_","P_"),MNU_GRAMAJE_REQUERIDO_TIPOA,"")))</f>
        <v>100</v>
      </c>
      <c r="J74" s="259">
        <f t="shared" si="52"/>
        <v>5184</v>
      </c>
      <c r="K74" s="259">
        <f t="shared" si="53"/>
        <v>119232</v>
      </c>
      <c r="L74" s="452">
        <f t="shared" si="54"/>
        <v>194</v>
      </c>
      <c r="M74" s="452">
        <f t="shared" si="55"/>
        <v>9.4672000000000001</v>
      </c>
      <c r="N74" s="452">
        <f t="shared" si="56"/>
        <v>0.16684310399999999</v>
      </c>
      <c r="O74" s="452">
        <f t="shared" si="57"/>
        <v>204</v>
      </c>
      <c r="P74" s="260">
        <f t="shared" si="58"/>
        <v>23131008</v>
      </c>
      <c r="Q74" s="260">
        <f t="shared" si="59"/>
        <v>24323328</v>
      </c>
      <c r="R74" s="432">
        <f t="shared" si="60"/>
        <v>19</v>
      </c>
      <c r="S74" s="432">
        <f t="array" ref="S74">MAX((IF(MNU_CODIGO_ALIMENTO_ENTREGA=CONCATENATE($E74,"_","P_"),MNU_GRAMAJE_REQUERIDO_TIPOB,"")))</f>
        <v>100</v>
      </c>
      <c r="T74" s="261">
        <f t="shared" si="61"/>
        <v>6830</v>
      </c>
      <c r="U74" s="261">
        <f t="shared" si="62"/>
        <v>129770</v>
      </c>
      <c r="V74" s="452">
        <f t="shared" si="63"/>
        <v>194</v>
      </c>
      <c r="W74" s="452">
        <f t="shared" si="64"/>
        <v>9.4672000000000001</v>
      </c>
      <c r="X74" s="452">
        <f t="shared" si="65"/>
        <v>0.16684310399999999</v>
      </c>
      <c r="Y74" s="452">
        <f t="shared" si="66"/>
        <v>204</v>
      </c>
      <c r="Z74" s="262">
        <f t="shared" si="67"/>
        <v>25175380</v>
      </c>
      <c r="AA74" s="262">
        <f t="shared" si="68"/>
        <v>26473080</v>
      </c>
      <c r="AB74" s="431">
        <f t="shared" si="69"/>
        <v>19</v>
      </c>
      <c r="AC74" s="431">
        <f t="array" ref="AC74">MAX((IF(MNU_CODIGO_ALIMENTO_ENTREGA=CONCATENATE($E74,"_","P_"),MNU_GRAMAJE_REQUERIDO_TIPOC,"")))</f>
        <v>100</v>
      </c>
      <c r="AD74" s="259">
        <f t="shared" si="70"/>
        <v>7991</v>
      </c>
      <c r="AE74" s="259">
        <f t="shared" si="71"/>
        <v>151829</v>
      </c>
      <c r="AF74" s="452">
        <f t="shared" si="72"/>
        <v>194</v>
      </c>
      <c r="AG74" s="452">
        <f t="shared" si="73"/>
        <v>9.4672000000000001</v>
      </c>
      <c r="AH74" s="452">
        <f t="shared" si="74"/>
        <v>0.16684310399999999</v>
      </c>
      <c r="AI74" s="452">
        <f t="shared" si="75"/>
        <v>204</v>
      </c>
      <c r="AJ74" s="260">
        <f t="shared" si="76"/>
        <v>29454826</v>
      </c>
      <c r="AK74" s="260">
        <f t="shared" si="77"/>
        <v>30973116</v>
      </c>
      <c r="AL74" s="432">
        <f t="shared" si="78"/>
        <v>19</v>
      </c>
      <c r="AM74" s="432">
        <f t="array" ref="AM74">MAX((IF(MNU_CODIGO_ALIMENTO_ENTREGA=CONCATENATE($E74,"_","P_"),MNU_GRAMAJE_REQUERIDO_TIPOM,"")))</f>
        <v>100</v>
      </c>
      <c r="AN74" s="261">
        <f t="shared" si="79"/>
        <v>177</v>
      </c>
      <c r="AO74" s="261">
        <f t="shared" si="80"/>
        <v>3363</v>
      </c>
      <c r="AP74" s="452">
        <f t="shared" si="81"/>
        <v>194</v>
      </c>
      <c r="AQ74" s="452">
        <f t="shared" si="82"/>
        <v>9.4672000000000001</v>
      </c>
      <c r="AR74" s="452">
        <f t="shared" si="83"/>
        <v>0.16684310399999999</v>
      </c>
      <c r="AS74" s="452">
        <f t="shared" si="84"/>
        <v>204</v>
      </c>
      <c r="AT74" s="262">
        <f t="shared" si="85"/>
        <v>652422</v>
      </c>
      <c r="AU74" s="262">
        <f t="shared" si="86"/>
        <v>686052</v>
      </c>
      <c r="AV74" s="431">
        <f t="shared" si="87"/>
        <v>19</v>
      </c>
      <c r="AW74" s="431">
        <f t="array" ref="AW74">MAX((IF(MNU_CODIGO_ALIMENTO_ENTREGA=CONCATENATE($E74,"_","P_"),MNU_GRAMAJE_REQUERIDO_TIPOH,"")))</f>
        <v>100</v>
      </c>
      <c r="AX74" s="259">
        <f t="shared" si="88"/>
        <v>152</v>
      </c>
      <c r="AY74" s="259">
        <f t="shared" si="89"/>
        <v>2888</v>
      </c>
      <c r="AZ74" s="452">
        <f t="shared" si="90"/>
        <v>194</v>
      </c>
      <c r="BA74" s="452">
        <f t="shared" si="91"/>
        <v>9.4672000000000001</v>
      </c>
      <c r="BB74" s="452">
        <f t="shared" si="92"/>
        <v>0.16684310399999999</v>
      </c>
      <c r="BC74" s="452">
        <f t="shared" si="93"/>
        <v>204</v>
      </c>
      <c r="BD74" s="260">
        <f t="shared" si="94"/>
        <v>560272</v>
      </c>
      <c r="BE74" s="260">
        <f t="shared" si="95"/>
        <v>589152</v>
      </c>
      <c r="BF74" s="397">
        <f t="shared" si="96"/>
        <v>78973908</v>
      </c>
      <c r="BG74" s="397">
        <f t="shared" si="97"/>
        <v>83044728</v>
      </c>
    </row>
    <row r="75" spans="1:59" ht="15.75">
      <c r="A75" s="338">
        <v>5</v>
      </c>
      <c r="B75" s="338" t="str">
        <f t="shared" si="49"/>
        <v>FRUTA_5</v>
      </c>
      <c r="C75" s="338" t="str">
        <f t="shared" si="50"/>
        <v>43_5</v>
      </c>
      <c r="D75" s="338" t="s">
        <v>1</v>
      </c>
      <c r="E75" s="258">
        <v>43</v>
      </c>
      <c r="F75" s="328" t="s">
        <v>62</v>
      </c>
      <c r="G75" s="258" t="s">
        <v>9</v>
      </c>
      <c r="H75" s="431">
        <f t="shared" si="51"/>
        <v>24</v>
      </c>
      <c r="I75" s="431">
        <f t="array" ref="I75">MAX((IF(MNU_CODIGO_ALIMENTO_ENTREGA=CONCATENATE($E75,"_","P_"),MNU_GRAMAJE_REQUERIDO_TIPOA,"")))</f>
        <v>100</v>
      </c>
      <c r="J75" s="259">
        <f t="shared" si="52"/>
        <v>5184</v>
      </c>
      <c r="K75" s="259">
        <f t="shared" si="53"/>
        <v>124416</v>
      </c>
      <c r="L75" s="452">
        <f t="shared" si="54"/>
        <v>170</v>
      </c>
      <c r="M75" s="452">
        <f t="shared" si="55"/>
        <v>8.2959999999999994</v>
      </c>
      <c r="N75" s="452">
        <f t="shared" si="56"/>
        <v>0.14620272000000001</v>
      </c>
      <c r="O75" s="452">
        <f t="shared" si="57"/>
        <v>178</v>
      </c>
      <c r="P75" s="260">
        <f t="shared" si="58"/>
        <v>21150720</v>
      </c>
      <c r="Q75" s="260">
        <f t="shared" si="59"/>
        <v>22146048</v>
      </c>
      <c r="R75" s="432">
        <f t="shared" si="60"/>
        <v>17</v>
      </c>
      <c r="S75" s="432">
        <f t="array" ref="S75">MAX((IF(MNU_CODIGO_ALIMENTO_ENTREGA=CONCATENATE($E75,"_","P_"),MNU_GRAMAJE_REQUERIDO_TIPOB,"")))</f>
        <v>100</v>
      </c>
      <c r="T75" s="261">
        <f t="shared" si="61"/>
        <v>6830</v>
      </c>
      <c r="U75" s="261">
        <f t="shared" si="62"/>
        <v>116110</v>
      </c>
      <c r="V75" s="452">
        <f t="shared" si="63"/>
        <v>170</v>
      </c>
      <c r="W75" s="452">
        <f t="shared" si="64"/>
        <v>8.2959999999999994</v>
      </c>
      <c r="X75" s="452">
        <f t="shared" si="65"/>
        <v>0.14620272000000001</v>
      </c>
      <c r="Y75" s="452">
        <f t="shared" si="66"/>
        <v>178</v>
      </c>
      <c r="Z75" s="262">
        <f t="shared" si="67"/>
        <v>19738700</v>
      </c>
      <c r="AA75" s="262">
        <f t="shared" si="68"/>
        <v>20667580</v>
      </c>
      <c r="AB75" s="431">
        <f t="shared" si="69"/>
        <v>17</v>
      </c>
      <c r="AC75" s="431">
        <f t="array" ref="AC75">MAX((IF(MNU_CODIGO_ALIMENTO_ENTREGA=CONCATENATE($E75,"_","P_"),MNU_GRAMAJE_REQUERIDO_TIPOC,"")))</f>
        <v>100</v>
      </c>
      <c r="AD75" s="259">
        <f t="shared" si="70"/>
        <v>7991</v>
      </c>
      <c r="AE75" s="259">
        <f t="shared" si="71"/>
        <v>135847</v>
      </c>
      <c r="AF75" s="452">
        <f t="shared" si="72"/>
        <v>170</v>
      </c>
      <c r="AG75" s="452">
        <f t="shared" si="73"/>
        <v>8.2959999999999994</v>
      </c>
      <c r="AH75" s="452">
        <f t="shared" si="74"/>
        <v>0.14620272000000001</v>
      </c>
      <c r="AI75" s="452">
        <f t="shared" si="75"/>
        <v>178</v>
      </c>
      <c r="AJ75" s="260">
        <f t="shared" si="76"/>
        <v>23093990</v>
      </c>
      <c r="AK75" s="260">
        <f t="shared" si="77"/>
        <v>24180766</v>
      </c>
      <c r="AL75" s="432">
        <f t="shared" si="78"/>
        <v>17</v>
      </c>
      <c r="AM75" s="432">
        <f t="array" ref="AM75">MAX((IF(MNU_CODIGO_ALIMENTO_ENTREGA=CONCATENATE($E75,"_","P_"),MNU_GRAMAJE_REQUERIDO_TIPOM,"")))</f>
        <v>100</v>
      </c>
      <c r="AN75" s="261">
        <f t="shared" si="79"/>
        <v>177</v>
      </c>
      <c r="AO75" s="261">
        <f t="shared" si="80"/>
        <v>3009</v>
      </c>
      <c r="AP75" s="452">
        <f t="shared" si="81"/>
        <v>170</v>
      </c>
      <c r="AQ75" s="452">
        <f t="shared" si="82"/>
        <v>8.2959999999999994</v>
      </c>
      <c r="AR75" s="452">
        <f t="shared" si="83"/>
        <v>0.14620272000000001</v>
      </c>
      <c r="AS75" s="452">
        <f t="shared" si="84"/>
        <v>178</v>
      </c>
      <c r="AT75" s="262">
        <f t="shared" si="85"/>
        <v>511530</v>
      </c>
      <c r="AU75" s="262">
        <f t="shared" si="86"/>
        <v>535602</v>
      </c>
      <c r="AV75" s="431">
        <f t="shared" si="87"/>
        <v>17</v>
      </c>
      <c r="AW75" s="431">
        <f t="array" ref="AW75">MAX((IF(MNU_CODIGO_ALIMENTO_ENTREGA=CONCATENATE($E75,"_","P_"),MNU_GRAMAJE_REQUERIDO_TIPOH,"")))</f>
        <v>100</v>
      </c>
      <c r="AX75" s="259">
        <f t="shared" si="88"/>
        <v>152</v>
      </c>
      <c r="AY75" s="259">
        <f t="shared" si="89"/>
        <v>2584</v>
      </c>
      <c r="AZ75" s="452">
        <f t="shared" si="90"/>
        <v>170</v>
      </c>
      <c r="BA75" s="452">
        <f t="shared" si="91"/>
        <v>8.2959999999999994</v>
      </c>
      <c r="BB75" s="452">
        <f t="shared" si="92"/>
        <v>0.14620272000000001</v>
      </c>
      <c r="BC75" s="452">
        <f t="shared" si="93"/>
        <v>178</v>
      </c>
      <c r="BD75" s="260">
        <f t="shared" si="94"/>
        <v>439280</v>
      </c>
      <c r="BE75" s="260">
        <f t="shared" si="95"/>
        <v>459952</v>
      </c>
      <c r="BF75" s="397">
        <f t="shared" si="96"/>
        <v>64934220</v>
      </c>
      <c r="BG75" s="397">
        <f t="shared" si="97"/>
        <v>67989948</v>
      </c>
    </row>
    <row r="76" spans="1:59" ht="15.75">
      <c r="A76" s="338">
        <v>5</v>
      </c>
      <c r="B76" s="338" t="str">
        <f t="shared" si="49"/>
        <v>FRUTA_5</v>
      </c>
      <c r="C76" s="338" t="str">
        <f t="shared" si="50"/>
        <v>46_5</v>
      </c>
      <c r="D76" s="338" t="s">
        <v>1</v>
      </c>
      <c r="E76" s="258">
        <v>46</v>
      </c>
      <c r="F76" s="328" t="s">
        <v>64</v>
      </c>
      <c r="G76" s="258" t="s">
        <v>9</v>
      </c>
      <c r="H76" s="431">
        <f t="shared" si="51"/>
        <v>30</v>
      </c>
      <c r="I76" s="431">
        <f t="array" ref="I76">MAX((IF(MNU_CODIGO_ALIMENTO_ENTREGA=CONCATENATE($E76,"_","P_"),MNU_GRAMAJE_REQUERIDO_TIPOA,"")))</f>
        <v>100</v>
      </c>
      <c r="J76" s="259">
        <f t="shared" si="52"/>
        <v>5184</v>
      </c>
      <c r="K76" s="259">
        <f t="shared" si="53"/>
        <v>155520</v>
      </c>
      <c r="L76" s="452">
        <f t="shared" si="54"/>
        <v>398</v>
      </c>
      <c r="M76" s="452">
        <f t="shared" si="55"/>
        <v>19.4224</v>
      </c>
      <c r="N76" s="452">
        <f t="shared" si="56"/>
        <v>0.34228636800000001</v>
      </c>
      <c r="O76" s="452">
        <f t="shared" si="57"/>
        <v>418</v>
      </c>
      <c r="P76" s="260">
        <f t="shared" si="58"/>
        <v>61896960</v>
      </c>
      <c r="Q76" s="260">
        <f t="shared" si="59"/>
        <v>65007360</v>
      </c>
      <c r="R76" s="432">
        <f t="shared" si="60"/>
        <v>21</v>
      </c>
      <c r="S76" s="432">
        <f t="array" ref="S76">MAX((IF(MNU_CODIGO_ALIMENTO_ENTREGA=CONCATENATE($E76,"_","P_"),MNU_GRAMAJE_REQUERIDO_TIPOB,"")))</f>
        <v>100</v>
      </c>
      <c r="T76" s="261">
        <f t="shared" si="61"/>
        <v>6830</v>
      </c>
      <c r="U76" s="261">
        <f t="shared" si="62"/>
        <v>143430</v>
      </c>
      <c r="V76" s="452">
        <f t="shared" si="63"/>
        <v>398</v>
      </c>
      <c r="W76" s="452">
        <f t="shared" si="64"/>
        <v>19.4224</v>
      </c>
      <c r="X76" s="452">
        <f t="shared" si="65"/>
        <v>0.34228636800000001</v>
      </c>
      <c r="Y76" s="452">
        <f t="shared" si="66"/>
        <v>418</v>
      </c>
      <c r="Z76" s="262">
        <f t="shared" si="67"/>
        <v>57085140</v>
      </c>
      <c r="AA76" s="262">
        <f t="shared" si="68"/>
        <v>59953740</v>
      </c>
      <c r="AB76" s="431">
        <f t="shared" si="69"/>
        <v>21</v>
      </c>
      <c r="AC76" s="431">
        <f t="array" ref="AC76">MAX((IF(MNU_CODIGO_ALIMENTO_ENTREGA=CONCATENATE($E76,"_","P_"),MNU_GRAMAJE_REQUERIDO_TIPOC,"")))</f>
        <v>100</v>
      </c>
      <c r="AD76" s="259">
        <f t="shared" si="70"/>
        <v>7991</v>
      </c>
      <c r="AE76" s="259">
        <f t="shared" si="71"/>
        <v>167811</v>
      </c>
      <c r="AF76" s="452">
        <f t="shared" si="72"/>
        <v>398</v>
      </c>
      <c r="AG76" s="452">
        <f t="shared" si="73"/>
        <v>19.4224</v>
      </c>
      <c r="AH76" s="452">
        <f t="shared" si="74"/>
        <v>0.34228636800000001</v>
      </c>
      <c r="AI76" s="452">
        <f t="shared" si="75"/>
        <v>418</v>
      </c>
      <c r="AJ76" s="260">
        <f t="shared" si="76"/>
        <v>66788778</v>
      </c>
      <c r="AK76" s="260">
        <f t="shared" si="77"/>
        <v>70144998</v>
      </c>
      <c r="AL76" s="432">
        <f t="shared" si="78"/>
        <v>21</v>
      </c>
      <c r="AM76" s="432">
        <f t="array" ref="AM76">MAX((IF(MNU_CODIGO_ALIMENTO_ENTREGA=CONCATENATE($E76,"_","P_"),MNU_GRAMAJE_REQUERIDO_TIPOM,"")))</f>
        <v>100</v>
      </c>
      <c r="AN76" s="261">
        <f t="shared" si="79"/>
        <v>177</v>
      </c>
      <c r="AO76" s="261">
        <f t="shared" si="80"/>
        <v>3717</v>
      </c>
      <c r="AP76" s="452">
        <f t="shared" si="81"/>
        <v>398</v>
      </c>
      <c r="AQ76" s="452">
        <f t="shared" si="82"/>
        <v>19.4224</v>
      </c>
      <c r="AR76" s="452">
        <f t="shared" si="83"/>
        <v>0.34228636800000001</v>
      </c>
      <c r="AS76" s="452">
        <f t="shared" si="84"/>
        <v>418</v>
      </c>
      <c r="AT76" s="262">
        <f t="shared" si="85"/>
        <v>1479366</v>
      </c>
      <c r="AU76" s="262">
        <f t="shared" si="86"/>
        <v>1553706</v>
      </c>
      <c r="AV76" s="431">
        <f t="shared" si="87"/>
        <v>21</v>
      </c>
      <c r="AW76" s="431">
        <f t="array" ref="AW76">MAX((IF(MNU_CODIGO_ALIMENTO_ENTREGA=CONCATENATE($E76,"_","P_"),MNU_GRAMAJE_REQUERIDO_TIPOH,"")))</f>
        <v>100</v>
      </c>
      <c r="AX76" s="259">
        <f t="shared" si="88"/>
        <v>152</v>
      </c>
      <c r="AY76" s="259">
        <f t="shared" si="89"/>
        <v>3192</v>
      </c>
      <c r="AZ76" s="452">
        <f t="shared" si="90"/>
        <v>398</v>
      </c>
      <c r="BA76" s="452">
        <f t="shared" si="91"/>
        <v>19.4224</v>
      </c>
      <c r="BB76" s="452">
        <f t="shared" si="92"/>
        <v>0.34228636800000001</v>
      </c>
      <c r="BC76" s="452">
        <f t="shared" si="93"/>
        <v>418</v>
      </c>
      <c r="BD76" s="260">
        <f t="shared" si="94"/>
        <v>1270416</v>
      </c>
      <c r="BE76" s="260">
        <f t="shared" si="95"/>
        <v>1334256</v>
      </c>
      <c r="BF76" s="397">
        <f t="shared" si="96"/>
        <v>188520660</v>
      </c>
      <c r="BG76" s="397">
        <f t="shared" si="97"/>
        <v>197994060</v>
      </c>
    </row>
    <row r="77" spans="1:59" ht="15.75">
      <c r="A77" s="338">
        <v>5</v>
      </c>
      <c r="B77" s="338" t="str">
        <f t="shared" si="49"/>
        <v>FRUTA_5</v>
      </c>
      <c r="C77" s="338" t="str">
        <f t="shared" si="50"/>
        <v>58_5</v>
      </c>
      <c r="D77" s="338" t="s">
        <v>1</v>
      </c>
      <c r="E77" s="258">
        <v>58</v>
      </c>
      <c r="F77" s="328" t="s">
        <v>67</v>
      </c>
      <c r="G77" s="258" t="s">
        <v>9</v>
      </c>
      <c r="H77" s="431">
        <f t="shared" si="51"/>
        <v>24</v>
      </c>
      <c r="I77" s="431">
        <f t="array" ref="I77">MAX((IF(MNU_CODIGO_ALIMENTO_ENTREGA=CONCATENATE($E77,"_","P_"),MNU_GRAMAJE_REQUERIDO_TIPOA,"")))</f>
        <v>100</v>
      </c>
      <c r="J77" s="259">
        <f t="shared" si="52"/>
        <v>5184</v>
      </c>
      <c r="K77" s="259">
        <f t="shared" si="53"/>
        <v>124416</v>
      </c>
      <c r="L77" s="452">
        <f t="shared" si="54"/>
        <v>154</v>
      </c>
      <c r="M77" s="452">
        <f t="shared" si="55"/>
        <v>7.515200000000001</v>
      </c>
      <c r="N77" s="452">
        <f t="shared" si="56"/>
        <v>0.13244246400000001</v>
      </c>
      <c r="O77" s="452">
        <f t="shared" si="57"/>
        <v>162</v>
      </c>
      <c r="P77" s="260">
        <f t="shared" si="58"/>
        <v>19160064</v>
      </c>
      <c r="Q77" s="260">
        <f t="shared" si="59"/>
        <v>20155392</v>
      </c>
      <c r="R77" s="432">
        <f t="shared" si="60"/>
        <v>23</v>
      </c>
      <c r="S77" s="432">
        <f t="array" ref="S77">MAX((IF(MNU_CODIGO_ALIMENTO_ENTREGA=CONCATENATE($E77,"_","P_"),MNU_GRAMAJE_REQUERIDO_TIPOB,"")))</f>
        <v>100</v>
      </c>
      <c r="T77" s="261">
        <f t="shared" si="61"/>
        <v>6830</v>
      </c>
      <c r="U77" s="261">
        <f t="shared" si="62"/>
        <v>157090</v>
      </c>
      <c r="V77" s="452">
        <f t="shared" si="63"/>
        <v>154</v>
      </c>
      <c r="W77" s="452">
        <f t="shared" si="64"/>
        <v>7.515200000000001</v>
      </c>
      <c r="X77" s="452">
        <f t="shared" si="65"/>
        <v>0.13244246400000001</v>
      </c>
      <c r="Y77" s="452">
        <f t="shared" si="66"/>
        <v>162</v>
      </c>
      <c r="Z77" s="262">
        <f t="shared" si="67"/>
        <v>24191860</v>
      </c>
      <c r="AA77" s="262">
        <f t="shared" si="68"/>
        <v>25448580</v>
      </c>
      <c r="AB77" s="431">
        <f t="shared" si="69"/>
        <v>23</v>
      </c>
      <c r="AC77" s="431">
        <f t="array" ref="AC77">MAX((IF(MNU_CODIGO_ALIMENTO_ENTREGA=CONCATENATE($E77,"_","P_"),MNU_GRAMAJE_REQUERIDO_TIPOC,"")))</f>
        <v>100</v>
      </c>
      <c r="AD77" s="259">
        <f t="shared" si="70"/>
        <v>7991</v>
      </c>
      <c r="AE77" s="259">
        <f t="shared" si="71"/>
        <v>183793</v>
      </c>
      <c r="AF77" s="452">
        <f t="shared" si="72"/>
        <v>154</v>
      </c>
      <c r="AG77" s="452">
        <f t="shared" si="73"/>
        <v>7.515200000000001</v>
      </c>
      <c r="AH77" s="452">
        <f t="shared" si="74"/>
        <v>0.13244246400000001</v>
      </c>
      <c r="AI77" s="452">
        <f t="shared" si="75"/>
        <v>162</v>
      </c>
      <c r="AJ77" s="260">
        <f t="shared" si="76"/>
        <v>28304122</v>
      </c>
      <c r="AK77" s="260">
        <f t="shared" si="77"/>
        <v>29774466</v>
      </c>
      <c r="AL77" s="432">
        <f t="shared" si="78"/>
        <v>23</v>
      </c>
      <c r="AM77" s="432">
        <f t="array" ref="AM77">MAX((IF(MNU_CODIGO_ALIMENTO_ENTREGA=CONCATENATE($E77,"_","P_"),MNU_GRAMAJE_REQUERIDO_TIPOM,"")))</f>
        <v>100</v>
      </c>
      <c r="AN77" s="261">
        <f t="shared" si="79"/>
        <v>177</v>
      </c>
      <c r="AO77" s="261">
        <f t="shared" si="80"/>
        <v>4071</v>
      </c>
      <c r="AP77" s="452">
        <f t="shared" si="81"/>
        <v>154</v>
      </c>
      <c r="AQ77" s="452">
        <f t="shared" si="82"/>
        <v>7.515200000000001</v>
      </c>
      <c r="AR77" s="452">
        <f t="shared" si="83"/>
        <v>0.13244246400000001</v>
      </c>
      <c r="AS77" s="452">
        <f t="shared" si="84"/>
        <v>162</v>
      </c>
      <c r="AT77" s="262">
        <f t="shared" si="85"/>
        <v>626934</v>
      </c>
      <c r="AU77" s="262">
        <f t="shared" si="86"/>
        <v>659502</v>
      </c>
      <c r="AV77" s="431">
        <f t="shared" si="87"/>
        <v>23</v>
      </c>
      <c r="AW77" s="431">
        <f t="array" ref="AW77">MAX((IF(MNU_CODIGO_ALIMENTO_ENTREGA=CONCATENATE($E77,"_","P_"),MNU_GRAMAJE_REQUERIDO_TIPOH,"")))</f>
        <v>100</v>
      </c>
      <c r="AX77" s="259">
        <f t="shared" si="88"/>
        <v>152</v>
      </c>
      <c r="AY77" s="259">
        <f t="shared" si="89"/>
        <v>3496</v>
      </c>
      <c r="AZ77" s="452">
        <f t="shared" si="90"/>
        <v>154</v>
      </c>
      <c r="BA77" s="452">
        <f t="shared" si="91"/>
        <v>7.515200000000001</v>
      </c>
      <c r="BB77" s="452">
        <f t="shared" si="92"/>
        <v>0.13244246400000001</v>
      </c>
      <c r="BC77" s="452">
        <f t="shared" si="93"/>
        <v>162</v>
      </c>
      <c r="BD77" s="260">
        <f t="shared" si="94"/>
        <v>538384</v>
      </c>
      <c r="BE77" s="260">
        <f t="shared" si="95"/>
        <v>566352</v>
      </c>
      <c r="BF77" s="397">
        <f t="shared" si="96"/>
        <v>72821364</v>
      </c>
      <c r="BG77" s="397">
        <f t="shared" si="97"/>
        <v>76604292</v>
      </c>
    </row>
    <row r="78" spans="1:59" ht="15.75">
      <c r="A78" s="338">
        <v>5</v>
      </c>
      <c r="B78" s="338" t="str">
        <f t="shared" si="49"/>
        <v>FRUTA_5</v>
      </c>
      <c r="C78" s="338" t="str">
        <f t="shared" si="50"/>
        <v>59_5</v>
      </c>
      <c r="D78" s="338" t="s">
        <v>1</v>
      </c>
      <c r="E78" s="258">
        <v>59</v>
      </c>
      <c r="F78" s="328" t="s">
        <v>99</v>
      </c>
      <c r="G78" s="258" t="s">
        <v>9</v>
      </c>
      <c r="H78" s="431">
        <f t="shared" si="51"/>
        <v>0</v>
      </c>
      <c r="I78" s="431">
        <f t="array" ref="I78">MAX((IF(MNU_CODIGO_ALIMENTO_ENTREGA=CONCATENATE($E78,"_","P_"),MNU_GRAMAJE_REQUERIDO_TIPOA,"")))</f>
        <v>0</v>
      </c>
      <c r="J78" s="259">
        <f t="shared" si="52"/>
        <v>5184</v>
      </c>
      <c r="K78" s="259">
        <f t="shared" si="53"/>
        <v>0</v>
      </c>
      <c r="L78" s="452">
        <f t="shared" si="54"/>
        <v>0</v>
      </c>
      <c r="M78" s="452">
        <f t="shared" si="55"/>
        <v>0</v>
      </c>
      <c r="N78" s="452">
        <f t="shared" si="56"/>
        <v>0</v>
      </c>
      <c r="O78" s="452">
        <f t="shared" si="57"/>
        <v>0</v>
      </c>
      <c r="P78" s="260">
        <f t="shared" si="58"/>
        <v>0</v>
      </c>
      <c r="Q78" s="260">
        <f t="shared" si="59"/>
        <v>0</v>
      </c>
      <c r="R78" s="432">
        <f t="shared" si="60"/>
        <v>8</v>
      </c>
      <c r="S78" s="432">
        <f t="array" ref="S78">MAX((IF(MNU_CODIGO_ALIMENTO_ENTREGA=CONCATENATE($E78,"_","P_"),MNU_GRAMAJE_REQUERIDO_TIPOB,"")))</f>
        <v>100</v>
      </c>
      <c r="T78" s="261">
        <f t="shared" si="61"/>
        <v>6830</v>
      </c>
      <c r="U78" s="261">
        <f t="shared" si="62"/>
        <v>54640</v>
      </c>
      <c r="V78" s="452">
        <f t="shared" si="63"/>
        <v>286</v>
      </c>
      <c r="W78" s="452">
        <f t="shared" si="64"/>
        <v>13.956800000000001</v>
      </c>
      <c r="X78" s="452">
        <f t="shared" si="65"/>
        <v>0.24596457599999999</v>
      </c>
      <c r="Y78" s="452">
        <f t="shared" si="66"/>
        <v>300</v>
      </c>
      <c r="Z78" s="262">
        <f t="shared" si="67"/>
        <v>15627040</v>
      </c>
      <c r="AA78" s="262">
        <f t="shared" si="68"/>
        <v>16392000</v>
      </c>
      <c r="AB78" s="431">
        <f t="shared" si="69"/>
        <v>8</v>
      </c>
      <c r="AC78" s="431">
        <f t="array" ref="AC78">MAX((IF(MNU_CODIGO_ALIMENTO_ENTREGA=CONCATENATE($E78,"_","P_"),MNU_GRAMAJE_REQUERIDO_TIPOC,"")))</f>
        <v>100</v>
      </c>
      <c r="AD78" s="259">
        <f t="shared" si="70"/>
        <v>7991</v>
      </c>
      <c r="AE78" s="259">
        <f t="shared" si="71"/>
        <v>63928</v>
      </c>
      <c r="AF78" s="452">
        <f t="shared" si="72"/>
        <v>286</v>
      </c>
      <c r="AG78" s="452">
        <f t="shared" si="73"/>
        <v>13.956800000000001</v>
      </c>
      <c r="AH78" s="452">
        <f t="shared" si="74"/>
        <v>0.24596457599999999</v>
      </c>
      <c r="AI78" s="452">
        <f t="shared" si="75"/>
        <v>300</v>
      </c>
      <c r="AJ78" s="260">
        <f t="shared" si="76"/>
        <v>18283408</v>
      </c>
      <c r="AK78" s="260">
        <f t="shared" si="77"/>
        <v>19178400</v>
      </c>
      <c r="AL78" s="432">
        <f t="shared" si="78"/>
        <v>8</v>
      </c>
      <c r="AM78" s="432">
        <f t="array" ref="AM78">MAX((IF(MNU_CODIGO_ALIMENTO_ENTREGA=CONCATENATE($E78,"_","P_"),MNU_GRAMAJE_REQUERIDO_TIPOM,"")))</f>
        <v>100</v>
      </c>
      <c r="AN78" s="261">
        <f t="shared" si="79"/>
        <v>177</v>
      </c>
      <c r="AO78" s="261">
        <f t="shared" si="80"/>
        <v>1416</v>
      </c>
      <c r="AP78" s="452">
        <f t="shared" si="81"/>
        <v>286</v>
      </c>
      <c r="AQ78" s="452">
        <f t="shared" si="82"/>
        <v>13.956800000000001</v>
      </c>
      <c r="AR78" s="452">
        <f t="shared" si="83"/>
        <v>0.24596457599999999</v>
      </c>
      <c r="AS78" s="452">
        <f t="shared" si="84"/>
        <v>300</v>
      </c>
      <c r="AT78" s="262">
        <f t="shared" si="85"/>
        <v>404976</v>
      </c>
      <c r="AU78" s="262">
        <f t="shared" si="86"/>
        <v>424800</v>
      </c>
      <c r="AV78" s="431">
        <f t="shared" si="87"/>
        <v>8</v>
      </c>
      <c r="AW78" s="431">
        <f t="array" ref="AW78">MAX((IF(MNU_CODIGO_ALIMENTO_ENTREGA=CONCATENATE($E78,"_","P_"),MNU_GRAMAJE_REQUERIDO_TIPOH,"")))</f>
        <v>100</v>
      </c>
      <c r="AX78" s="259">
        <f t="shared" si="88"/>
        <v>152</v>
      </c>
      <c r="AY78" s="259">
        <f t="shared" si="89"/>
        <v>1216</v>
      </c>
      <c r="AZ78" s="452">
        <f t="shared" si="90"/>
        <v>286</v>
      </c>
      <c r="BA78" s="452">
        <f t="shared" si="91"/>
        <v>13.956800000000001</v>
      </c>
      <c r="BB78" s="452">
        <f t="shared" si="92"/>
        <v>0.24596457599999999</v>
      </c>
      <c r="BC78" s="452">
        <f t="shared" si="93"/>
        <v>300</v>
      </c>
      <c r="BD78" s="260">
        <f t="shared" si="94"/>
        <v>347776</v>
      </c>
      <c r="BE78" s="260">
        <f t="shared" si="95"/>
        <v>364800</v>
      </c>
      <c r="BF78" s="397">
        <f t="shared" si="96"/>
        <v>34663200</v>
      </c>
      <c r="BG78" s="397">
        <f t="shared" si="97"/>
        <v>36360000</v>
      </c>
    </row>
    <row r="79" spans="1:59" ht="15.75">
      <c r="A79" s="338">
        <v>5</v>
      </c>
      <c r="B79" s="338" t="str">
        <f t="shared" si="49"/>
        <v>FRUTA_5</v>
      </c>
      <c r="C79" s="338" t="str">
        <f t="shared" si="50"/>
        <v>69_5</v>
      </c>
      <c r="D79" s="338" t="s">
        <v>1</v>
      </c>
      <c r="E79" s="258">
        <v>69</v>
      </c>
      <c r="F79" s="328" t="s">
        <v>70</v>
      </c>
      <c r="G79" s="258" t="s">
        <v>9</v>
      </c>
      <c r="H79" s="431">
        <f t="shared" si="51"/>
        <v>30</v>
      </c>
      <c r="I79" s="431">
        <f t="array" ref="I79">MAX((IF(MNU_CODIGO_ALIMENTO_ENTREGA=CONCATENATE($E79,"_","P_"),MNU_GRAMAJE_REQUERIDO_TIPOA,"")))</f>
        <v>100</v>
      </c>
      <c r="J79" s="259">
        <f t="shared" si="52"/>
        <v>5184</v>
      </c>
      <c r="K79" s="259">
        <f t="shared" si="53"/>
        <v>155520</v>
      </c>
      <c r="L79" s="452">
        <f t="shared" si="54"/>
        <v>305</v>
      </c>
      <c r="M79" s="452">
        <f t="shared" si="55"/>
        <v>14.884</v>
      </c>
      <c r="N79" s="452">
        <f t="shared" si="56"/>
        <v>0.26230488000000002</v>
      </c>
      <c r="O79" s="452">
        <f t="shared" si="57"/>
        <v>320</v>
      </c>
      <c r="P79" s="260">
        <f t="shared" si="58"/>
        <v>47433600</v>
      </c>
      <c r="Q79" s="260">
        <f t="shared" si="59"/>
        <v>49766400</v>
      </c>
      <c r="R79" s="432">
        <f t="shared" si="60"/>
        <v>16</v>
      </c>
      <c r="S79" s="432">
        <f t="array" ref="S79">MAX((IF(MNU_CODIGO_ALIMENTO_ENTREGA=CONCATENATE($E79,"_","P_"),MNU_GRAMAJE_REQUERIDO_TIPOB,"")))</f>
        <v>100</v>
      </c>
      <c r="T79" s="261">
        <f t="shared" si="61"/>
        <v>6830</v>
      </c>
      <c r="U79" s="261">
        <f t="shared" si="62"/>
        <v>109280</v>
      </c>
      <c r="V79" s="452">
        <f t="shared" si="63"/>
        <v>305</v>
      </c>
      <c r="W79" s="452">
        <f t="shared" si="64"/>
        <v>14.884</v>
      </c>
      <c r="X79" s="452">
        <f t="shared" si="65"/>
        <v>0.26230488000000002</v>
      </c>
      <c r="Y79" s="452">
        <f t="shared" si="66"/>
        <v>320</v>
      </c>
      <c r="Z79" s="262">
        <f t="shared" si="67"/>
        <v>33330400</v>
      </c>
      <c r="AA79" s="262">
        <f t="shared" si="68"/>
        <v>34969600</v>
      </c>
      <c r="AB79" s="431">
        <f t="shared" si="69"/>
        <v>16</v>
      </c>
      <c r="AC79" s="431">
        <f t="array" ref="AC79">MAX((IF(MNU_CODIGO_ALIMENTO_ENTREGA=CONCATENATE($E79,"_","P_"),MNU_GRAMAJE_REQUERIDO_TIPOC,"")))</f>
        <v>100</v>
      </c>
      <c r="AD79" s="259">
        <f t="shared" si="70"/>
        <v>7991</v>
      </c>
      <c r="AE79" s="259">
        <f t="shared" si="71"/>
        <v>127856</v>
      </c>
      <c r="AF79" s="452">
        <f t="shared" si="72"/>
        <v>305</v>
      </c>
      <c r="AG79" s="452">
        <f t="shared" si="73"/>
        <v>14.884</v>
      </c>
      <c r="AH79" s="452">
        <f t="shared" si="74"/>
        <v>0.26230488000000002</v>
      </c>
      <c r="AI79" s="452">
        <f t="shared" si="75"/>
        <v>320</v>
      </c>
      <c r="AJ79" s="260">
        <f t="shared" si="76"/>
        <v>38996080</v>
      </c>
      <c r="AK79" s="260">
        <f t="shared" si="77"/>
        <v>40913920</v>
      </c>
      <c r="AL79" s="432">
        <f t="shared" si="78"/>
        <v>16</v>
      </c>
      <c r="AM79" s="432">
        <f t="array" ref="AM79">MAX((IF(MNU_CODIGO_ALIMENTO_ENTREGA=CONCATENATE($E79,"_","P_"),MNU_GRAMAJE_REQUERIDO_TIPOM,"")))</f>
        <v>100</v>
      </c>
      <c r="AN79" s="261">
        <f t="shared" si="79"/>
        <v>177</v>
      </c>
      <c r="AO79" s="261">
        <f t="shared" si="80"/>
        <v>2832</v>
      </c>
      <c r="AP79" s="452">
        <f t="shared" si="81"/>
        <v>305</v>
      </c>
      <c r="AQ79" s="452">
        <f t="shared" si="82"/>
        <v>14.884</v>
      </c>
      <c r="AR79" s="452">
        <f t="shared" si="83"/>
        <v>0.26230488000000002</v>
      </c>
      <c r="AS79" s="452">
        <f t="shared" si="84"/>
        <v>320</v>
      </c>
      <c r="AT79" s="262">
        <f t="shared" si="85"/>
        <v>863760</v>
      </c>
      <c r="AU79" s="262">
        <f t="shared" si="86"/>
        <v>906240</v>
      </c>
      <c r="AV79" s="431">
        <f t="shared" si="87"/>
        <v>16</v>
      </c>
      <c r="AW79" s="431">
        <f t="array" ref="AW79">MAX((IF(MNU_CODIGO_ALIMENTO_ENTREGA=CONCATENATE($E79,"_","P_"),MNU_GRAMAJE_REQUERIDO_TIPOH,"")))</f>
        <v>100</v>
      </c>
      <c r="AX79" s="259">
        <f t="shared" si="88"/>
        <v>152</v>
      </c>
      <c r="AY79" s="259">
        <f t="shared" si="89"/>
        <v>2432</v>
      </c>
      <c r="AZ79" s="452">
        <f t="shared" si="90"/>
        <v>305</v>
      </c>
      <c r="BA79" s="452">
        <f t="shared" si="91"/>
        <v>14.884</v>
      </c>
      <c r="BB79" s="452">
        <f t="shared" si="92"/>
        <v>0.26230488000000002</v>
      </c>
      <c r="BC79" s="452">
        <f t="shared" si="93"/>
        <v>320</v>
      </c>
      <c r="BD79" s="260">
        <f t="shared" si="94"/>
        <v>741760</v>
      </c>
      <c r="BE79" s="260">
        <f t="shared" si="95"/>
        <v>778240</v>
      </c>
      <c r="BF79" s="397">
        <f t="shared" si="96"/>
        <v>121365600</v>
      </c>
      <c r="BG79" s="397">
        <f t="shared" si="97"/>
        <v>127334400</v>
      </c>
    </row>
    <row r="80" spans="1:59" ht="15.75">
      <c r="A80" s="338">
        <v>5</v>
      </c>
      <c r="B80" s="338" t="str">
        <f t="shared" si="49"/>
        <v>FRUTA_5</v>
      </c>
      <c r="C80" s="338" t="str">
        <f t="shared" si="50"/>
        <v>70_5</v>
      </c>
      <c r="D80" s="338" t="s">
        <v>1</v>
      </c>
      <c r="E80" s="258">
        <v>70</v>
      </c>
      <c r="F80" s="328" t="s">
        <v>71</v>
      </c>
      <c r="G80" s="258" t="s">
        <v>9</v>
      </c>
      <c r="H80" s="431">
        <f t="shared" si="51"/>
        <v>0</v>
      </c>
      <c r="I80" s="431">
        <f t="array" ref="I80">MAX((IF(MNU_CODIGO_ALIMENTO_ENTREGA=CONCATENATE($E80,"_","P_"),MNU_GRAMAJE_REQUERIDO_TIPOA,"")))</f>
        <v>0</v>
      </c>
      <c r="J80" s="259">
        <f t="shared" si="52"/>
        <v>5184</v>
      </c>
      <c r="K80" s="259">
        <f t="shared" si="53"/>
        <v>0</v>
      </c>
      <c r="L80" s="452">
        <f t="shared" si="54"/>
        <v>0</v>
      </c>
      <c r="M80" s="452">
        <f t="shared" si="55"/>
        <v>0</v>
      </c>
      <c r="N80" s="452">
        <f t="shared" si="56"/>
        <v>0</v>
      </c>
      <c r="O80" s="452">
        <f t="shared" si="57"/>
        <v>0</v>
      </c>
      <c r="P80" s="260">
        <f t="shared" si="58"/>
        <v>0</v>
      </c>
      <c r="Q80" s="260">
        <f t="shared" si="59"/>
        <v>0</v>
      </c>
      <c r="R80" s="432">
        <f t="shared" si="60"/>
        <v>10</v>
      </c>
      <c r="S80" s="432">
        <f t="array" ref="S80">MAX((IF(MNU_CODIGO_ALIMENTO_ENTREGA=CONCATENATE($E80,"_","P_"),MNU_GRAMAJE_REQUERIDO_TIPOB,"")))</f>
        <v>100</v>
      </c>
      <c r="T80" s="261">
        <f t="shared" si="61"/>
        <v>6830</v>
      </c>
      <c r="U80" s="261">
        <f t="shared" si="62"/>
        <v>68300</v>
      </c>
      <c r="V80" s="452">
        <f t="shared" si="63"/>
        <v>434</v>
      </c>
      <c r="W80" s="452">
        <f t="shared" si="64"/>
        <v>21.179200000000002</v>
      </c>
      <c r="X80" s="452">
        <f t="shared" si="65"/>
        <v>0.37324694399999997</v>
      </c>
      <c r="Y80" s="452">
        <f t="shared" si="66"/>
        <v>456</v>
      </c>
      <c r="Z80" s="262">
        <f t="shared" si="67"/>
        <v>29642200</v>
      </c>
      <c r="AA80" s="262">
        <f t="shared" si="68"/>
        <v>31144800</v>
      </c>
      <c r="AB80" s="431">
        <f t="shared" si="69"/>
        <v>10</v>
      </c>
      <c r="AC80" s="431">
        <f t="array" ref="AC80">MAX((IF(MNU_CODIGO_ALIMENTO_ENTREGA=CONCATENATE($E80,"_","P_"),MNU_GRAMAJE_REQUERIDO_TIPOC,"")))</f>
        <v>100</v>
      </c>
      <c r="AD80" s="259">
        <f t="shared" si="70"/>
        <v>7991</v>
      </c>
      <c r="AE80" s="259">
        <f t="shared" si="71"/>
        <v>79910</v>
      </c>
      <c r="AF80" s="452">
        <f t="shared" si="72"/>
        <v>434</v>
      </c>
      <c r="AG80" s="452">
        <f t="shared" si="73"/>
        <v>21.179200000000002</v>
      </c>
      <c r="AH80" s="452">
        <f t="shared" si="74"/>
        <v>0.37324694399999997</v>
      </c>
      <c r="AI80" s="452">
        <f t="shared" si="75"/>
        <v>456</v>
      </c>
      <c r="AJ80" s="260">
        <f t="shared" si="76"/>
        <v>34680940</v>
      </c>
      <c r="AK80" s="260">
        <f t="shared" si="77"/>
        <v>36438960</v>
      </c>
      <c r="AL80" s="432">
        <f t="shared" si="78"/>
        <v>10</v>
      </c>
      <c r="AM80" s="432">
        <f t="array" ref="AM80">MAX((IF(MNU_CODIGO_ALIMENTO_ENTREGA=CONCATENATE($E80,"_","P_"),MNU_GRAMAJE_REQUERIDO_TIPOM,"")))</f>
        <v>100</v>
      </c>
      <c r="AN80" s="261">
        <f t="shared" si="79"/>
        <v>177</v>
      </c>
      <c r="AO80" s="261">
        <f t="shared" si="80"/>
        <v>1770</v>
      </c>
      <c r="AP80" s="452">
        <f t="shared" si="81"/>
        <v>434</v>
      </c>
      <c r="AQ80" s="452">
        <f t="shared" si="82"/>
        <v>21.179200000000002</v>
      </c>
      <c r="AR80" s="452">
        <f t="shared" si="83"/>
        <v>0.37324694399999997</v>
      </c>
      <c r="AS80" s="452">
        <f t="shared" si="84"/>
        <v>456</v>
      </c>
      <c r="AT80" s="262">
        <f t="shared" si="85"/>
        <v>768180</v>
      </c>
      <c r="AU80" s="262">
        <f t="shared" si="86"/>
        <v>807120</v>
      </c>
      <c r="AV80" s="431">
        <f t="shared" si="87"/>
        <v>10</v>
      </c>
      <c r="AW80" s="431">
        <f t="array" ref="AW80">MAX((IF(MNU_CODIGO_ALIMENTO_ENTREGA=CONCATENATE($E80,"_","P_"),MNU_GRAMAJE_REQUERIDO_TIPOH,"")))</f>
        <v>100</v>
      </c>
      <c r="AX80" s="259">
        <f t="shared" si="88"/>
        <v>152</v>
      </c>
      <c r="AY80" s="259">
        <f t="shared" si="89"/>
        <v>1520</v>
      </c>
      <c r="AZ80" s="452">
        <f t="shared" si="90"/>
        <v>434</v>
      </c>
      <c r="BA80" s="452">
        <f t="shared" si="91"/>
        <v>21.179200000000002</v>
      </c>
      <c r="BB80" s="452">
        <f t="shared" si="92"/>
        <v>0.37324694399999997</v>
      </c>
      <c r="BC80" s="452">
        <f t="shared" si="93"/>
        <v>456</v>
      </c>
      <c r="BD80" s="260">
        <f t="shared" si="94"/>
        <v>659680</v>
      </c>
      <c r="BE80" s="260">
        <f t="shared" si="95"/>
        <v>693120</v>
      </c>
      <c r="BF80" s="397">
        <f t="shared" si="96"/>
        <v>65751000</v>
      </c>
      <c r="BG80" s="397">
        <f t="shared" si="97"/>
        <v>69084000</v>
      </c>
    </row>
    <row r="81" spans="1:59" ht="15.75">
      <c r="A81" s="338">
        <v>6</v>
      </c>
      <c r="B81" s="338" t="str">
        <f t="shared" si="49"/>
        <v>FRUTA_6</v>
      </c>
      <c r="C81" s="338" t="str">
        <f t="shared" si="50"/>
        <v>7_6</v>
      </c>
      <c r="D81" s="338" t="s">
        <v>1</v>
      </c>
      <c r="E81" s="258">
        <v>7</v>
      </c>
      <c r="F81" s="328" t="s">
        <v>57</v>
      </c>
      <c r="G81" s="258" t="s">
        <v>9</v>
      </c>
      <c r="H81" s="431">
        <f t="shared" si="51"/>
        <v>22</v>
      </c>
      <c r="I81" s="431">
        <f t="array" ref="I81">MAX((IF(MNU_CODIGO_ALIMENTO_ENTREGA=CONCATENATE($E81,"_","P_"),MNU_GRAMAJE_REQUERIDO_TIPOA,"")))</f>
        <v>100</v>
      </c>
      <c r="J81" s="259">
        <f t="shared" si="52"/>
        <v>2625</v>
      </c>
      <c r="K81" s="259">
        <f t="shared" si="53"/>
        <v>57750</v>
      </c>
      <c r="L81" s="452">
        <f t="shared" si="54"/>
        <v>107</v>
      </c>
      <c r="M81" s="452">
        <f t="shared" si="55"/>
        <v>5.2216000000000005</v>
      </c>
      <c r="N81" s="452">
        <f t="shared" si="56"/>
        <v>9.2021712000000006E-2</v>
      </c>
      <c r="O81" s="452">
        <f t="shared" si="57"/>
        <v>112</v>
      </c>
      <c r="P81" s="260">
        <f t="shared" si="58"/>
        <v>6179250</v>
      </c>
      <c r="Q81" s="260">
        <f t="shared" si="59"/>
        <v>6468000</v>
      </c>
      <c r="R81" s="432">
        <f t="shared" si="60"/>
        <v>9</v>
      </c>
      <c r="S81" s="432">
        <f t="array" ref="S81">MAX((IF(MNU_CODIGO_ALIMENTO_ENTREGA=CONCATENATE($E81,"_","P_"),MNU_GRAMAJE_REQUERIDO_TIPOB,"")))</f>
        <v>100</v>
      </c>
      <c r="T81" s="261">
        <f t="shared" si="61"/>
        <v>4826</v>
      </c>
      <c r="U81" s="261">
        <f t="shared" si="62"/>
        <v>43434</v>
      </c>
      <c r="V81" s="452">
        <f t="shared" si="63"/>
        <v>107</v>
      </c>
      <c r="W81" s="452">
        <f t="shared" si="64"/>
        <v>5.2216000000000005</v>
      </c>
      <c r="X81" s="452">
        <f t="shared" si="65"/>
        <v>9.2021712000000006E-2</v>
      </c>
      <c r="Y81" s="452">
        <f t="shared" si="66"/>
        <v>112</v>
      </c>
      <c r="Z81" s="262">
        <f t="shared" si="67"/>
        <v>4647438</v>
      </c>
      <c r="AA81" s="262">
        <f t="shared" si="68"/>
        <v>4864608</v>
      </c>
      <c r="AB81" s="431">
        <f t="shared" si="69"/>
        <v>9</v>
      </c>
      <c r="AC81" s="431">
        <f t="array" ref="AC81">MAX((IF(MNU_CODIGO_ALIMENTO_ENTREGA=CONCATENATE($E81,"_","P_"),MNU_GRAMAJE_REQUERIDO_TIPOC,"")))</f>
        <v>100</v>
      </c>
      <c r="AD81" s="259">
        <f t="shared" si="70"/>
        <v>6896</v>
      </c>
      <c r="AE81" s="259">
        <f t="shared" si="71"/>
        <v>62064</v>
      </c>
      <c r="AF81" s="452">
        <f t="shared" si="72"/>
        <v>107</v>
      </c>
      <c r="AG81" s="452">
        <f t="shared" si="73"/>
        <v>5.2216000000000005</v>
      </c>
      <c r="AH81" s="452">
        <f t="shared" si="74"/>
        <v>9.2021712000000006E-2</v>
      </c>
      <c r="AI81" s="452">
        <f t="shared" si="75"/>
        <v>112</v>
      </c>
      <c r="AJ81" s="260">
        <f t="shared" si="76"/>
        <v>6640848</v>
      </c>
      <c r="AK81" s="260">
        <f t="shared" si="77"/>
        <v>6951168</v>
      </c>
      <c r="AL81" s="432">
        <f t="shared" si="78"/>
        <v>9</v>
      </c>
      <c r="AM81" s="432">
        <f t="array" ref="AM81">MAX((IF(MNU_CODIGO_ALIMENTO_ENTREGA=CONCATENATE($E81,"_","P_"),MNU_GRAMAJE_REQUERIDO_TIPOM,"")))</f>
        <v>100</v>
      </c>
      <c r="AN81" s="261">
        <f t="shared" si="79"/>
        <v>0</v>
      </c>
      <c r="AO81" s="261">
        <f t="shared" si="80"/>
        <v>0</v>
      </c>
      <c r="AP81" s="452">
        <f t="shared" si="81"/>
        <v>107</v>
      </c>
      <c r="AQ81" s="452">
        <f t="shared" si="82"/>
        <v>5.2216000000000005</v>
      </c>
      <c r="AR81" s="452">
        <f t="shared" si="83"/>
        <v>9.2021712000000006E-2</v>
      </c>
      <c r="AS81" s="452">
        <f t="shared" si="84"/>
        <v>112</v>
      </c>
      <c r="AT81" s="262">
        <f t="shared" si="85"/>
        <v>0</v>
      </c>
      <c r="AU81" s="262">
        <f t="shared" si="86"/>
        <v>0</v>
      </c>
      <c r="AV81" s="431">
        <f t="shared" si="87"/>
        <v>9</v>
      </c>
      <c r="AW81" s="431">
        <f t="array" ref="AW81">MAX((IF(MNU_CODIGO_ALIMENTO_ENTREGA=CONCATENATE($E81,"_","P_"),MNU_GRAMAJE_REQUERIDO_TIPOH,"")))</f>
        <v>100</v>
      </c>
      <c r="AX81" s="259">
        <f t="shared" si="88"/>
        <v>0</v>
      </c>
      <c r="AY81" s="259">
        <f t="shared" si="89"/>
        <v>0</v>
      </c>
      <c r="AZ81" s="452">
        <f t="shared" si="90"/>
        <v>107</v>
      </c>
      <c r="BA81" s="452">
        <f t="shared" si="91"/>
        <v>5.2216000000000005</v>
      </c>
      <c r="BB81" s="452">
        <f t="shared" si="92"/>
        <v>9.2021712000000006E-2</v>
      </c>
      <c r="BC81" s="452">
        <f t="shared" si="93"/>
        <v>112</v>
      </c>
      <c r="BD81" s="260">
        <f t="shared" si="94"/>
        <v>0</v>
      </c>
      <c r="BE81" s="260">
        <f t="shared" si="95"/>
        <v>0</v>
      </c>
      <c r="BF81" s="397">
        <f t="shared" si="96"/>
        <v>17467536</v>
      </c>
      <c r="BG81" s="397">
        <f t="shared" si="97"/>
        <v>18283776</v>
      </c>
    </row>
    <row r="82" spans="1:59" ht="15.75">
      <c r="A82" s="338">
        <v>6</v>
      </c>
      <c r="B82" s="338" t="str">
        <f t="shared" si="49"/>
        <v>FRUTA_6</v>
      </c>
      <c r="C82" s="338" t="str">
        <f t="shared" si="50"/>
        <v>8_6</v>
      </c>
      <c r="D82" s="338" t="s">
        <v>1</v>
      </c>
      <c r="E82" s="258">
        <v>8</v>
      </c>
      <c r="F82" s="328" t="s">
        <v>55</v>
      </c>
      <c r="G82" s="258" t="s">
        <v>9</v>
      </c>
      <c r="H82" s="431">
        <f t="shared" si="51"/>
        <v>10</v>
      </c>
      <c r="I82" s="431">
        <f t="array" ref="I82">MAX((IF(MNU_CODIGO_ALIMENTO_ENTREGA=CONCATENATE($E82,"_","P_"),MNU_GRAMAJE_REQUERIDO_TIPOA,"")))</f>
        <v>100</v>
      </c>
      <c r="J82" s="259">
        <f t="shared" si="52"/>
        <v>2625</v>
      </c>
      <c r="K82" s="259">
        <f t="shared" si="53"/>
        <v>26250</v>
      </c>
      <c r="L82" s="452">
        <f t="shared" si="54"/>
        <v>134</v>
      </c>
      <c r="M82" s="452">
        <f t="shared" si="55"/>
        <v>6.539200000000001</v>
      </c>
      <c r="N82" s="452">
        <f t="shared" si="56"/>
        <v>0.115242144</v>
      </c>
      <c r="O82" s="452">
        <f t="shared" si="57"/>
        <v>141</v>
      </c>
      <c r="P82" s="260">
        <f t="shared" si="58"/>
        <v>3517500</v>
      </c>
      <c r="Q82" s="260">
        <f t="shared" si="59"/>
        <v>3701250</v>
      </c>
      <c r="R82" s="432">
        <f t="shared" si="60"/>
        <v>8</v>
      </c>
      <c r="S82" s="432">
        <f t="array" ref="S82">MAX((IF(MNU_CODIGO_ALIMENTO_ENTREGA=CONCATENATE($E82,"_","P_"),MNU_GRAMAJE_REQUERIDO_TIPOB,"")))</f>
        <v>100</v>
      </c>
      <c r="T82" s="261">
        <f t="shared" si="61"/>
        <v>4826</v>
      </c>
      <c r="U82" s="261">
        <f t="shared" si="62"/>
        <v>38608</v>
      </c>
      <c r="V82" s="452">
        <f t="shared" si="63"/>
        <v>134</v>
      </c>
      <c r="W82" s="452">
        <f t="shared" si="64"/>
        <v>6.539200000000001</v>
      </c>
      <c r="X82" s="452">
        <f t="shared" si="65"/>
        <v>0.115242144</v>
      </c>
      <c r="Y82" s="452">
        <f t="shared" si="66"/>
        <v>141</v>
      </c>
      <c r="Z82" s="262">
        <f t="shared" si="67"/>
        <v>5173472</v>
      </c>
      <c r="AA82" s="262">
        <f t="shared" si="68"/>
        <v>5443728</v>
      </c>
      <c r="AB82" s="431">
        <f t="shared" si="69"/>
        <v>8</v>
      </c>
      <c r="AC82" s="431">
        <f t="array" ref="AC82">MAX((IF(MNU_CODIGO_ALIMENTO_ENTREGA=CONCATENATE($E82,"_","P_"),MNU_GRAMAJE_REQUERIDO_TIPOC,"")))</f>
        <v>100</v>
      </c>
      <c r="AD82" s="259">
        <f t="shared" si="70"/>
        <v>6896</v>
      </c>
      <c r="AE82" s="259">
        <f t="shared" si="71"/>
        <v>55168</v>
      </c>
      <c r="AF82" s="452">
        <f t="shared" si="72"/>
        <v>134</v>
      </c>
      <c r="AG82" s="452">
        <f t="shared" si="73"/>
        <v>6.539200000000001</v>
      </c>
      <c r="AH82" s="452">
        <f t="shared" si="74"/>
        <v>0.115242144</v>
      </c>
      <c r="AI82" s="452">
        <f t="shared" si="75"/>
        <v>141</v>
      </c>
      <c r="AJ82" s="260">
        <f t="shared" si="76"/>
        <v>7392512</v>
      </c>
      <c r="AK82" s="260">
        <f t="shared" si="77"/>
        <v>7778688</v>
      </c>
      <c r="AL82" s="432">
        <f t="shared" si="78"/>
        <v>8</v>
      </c>
      <c r="AM82" s="432">
        <f t="array" ref="AM82">MAX((IF(MNU_CODIGO_ALIMENTO_ENTREGA=CONCATENATE($E82,"_","P_"),MNU_GRAMAJE_REQUERIDO_TIPOM,"")))</f>
        <v>100</v>
      </c>
      <c r="AN82" s="261">
        <f t="shared" si="79"/>
        <v>0</v>
      </c>
      <c r="AO82" s="261">
        <f t="shared" si="80"/>
        <v>0</v>
      </c>
      <c r="AP82" s="452">
        <f t="shared" si="81"/>
        <v>134</v>
      </c>
      <c r="AQ82" s="452">
        <f t="shared" si="82"/>
        <v>6.539200000000001</v>
      </c>
      <c r="AR82" s="452">
        <f t="shared" si="83"/>
        <v>0.115242144</v>
      </c>
      <c r="AS82" s="452">
        <f t="shared" si="84"/>
        <v>141</v>
      </c>
      <c r="AT82" s="262">
        <f t="shared" si="85"/>
        <v>0</v>
      </c>
      <c r="AU82" s="262">
        <f t="shared" si="86"/>
        <v>0</v>
      </c>
      <c r="AV82" s="431">
        <f t="shared" si="87"/>
        <v>8</v>
      </c>
      <c r="AW82" s="431">
        <f t="array" ref="AW82">MAX((IF(MNU_CODIGO_ALIMENTO_ENTREGA=CONCATENATE($E82,"_","P_"),MNU_GRAMAJE_REQUERIDO_TIPOH,"")))</f>
        <v>100</v>
      </c>
      <c r="AX82" s="259">
        <f t="shared" si="88"/>
        <v>0</v>
      </c>
      <c r="AY82" s="259">
        <f t="shared" si="89"/>
        <v>0</v>
      </c>
      <c r="AZ82" s="452">
        <f t="shared" si="90"/>
        <v>134</v>
      </c>
      <c r="BA82" s="452">
        <f t="shared" si="91"/>
        <v>6.539200000000001</v>
      </c>
      <c r="BB82" s="452">
        <f t="shared" si="92"/>
        <v>0.115242144</v>
      </c>
      <c r="BC82" s="452">
        <f t="shared" si="93"/>
        <v>141</v>
      </c>
      <c r="BD82" s="260">
        <f t="shared" si="94"/>
        <v>0</v>
      </c>
      <c r="BE82" s="260">
        <f t="shared" si="95"/>
        <v>0</v>
      </c>
      <c r="BF82" s="397">
        <f t="shared" si="96"/>
        <v>16083484</v>
      </c>
      <c r="BG82" s="397">
        <f t="shared" si="97"/>
        <v>16923666</v>
      </c>
    </row>
    <row r="83" spans="1:59" ht="15.75">
      <c r="A83" s="338">
        <v>6</v>
      </c>
      <c r="B83" s="338" t="str">
        <f t="shared" si="49"/>
        <v>FRUTA_6</v>
      </c>
      <c r="C83" s="338" t="str">
        <f t="shared" si="50"/>
        <v>17_6</v>
      </c>
      <c r="D83" s="338" t="s">
        <v>1</v>
      </c>
      <c r="E83" s="258">
        <v>17</v>
      </c>
      <c r="F83" s="328" t="s">
        <v>53</v>
      </c>
      <c r="G83" s="258" t="s">
        <v>9</v>
      </c>
      <c r="H83" s="431">
        <f t="shared" si="51"/>
        <v>0</v>
      </c>
      <c r="I83" s="431">
        <f t="array" ref="I83">MAX((IF(MNU_CODIGO_ALIMENTO_ENTREGA=CONCATENATE($E83,"_","P_"),MNU_GRAMAJE_REQUERIDO_TIPOA,"")))</f>
        <v>0</v>
      </c>
      <c r="J83" s="259">
        <f t="shared" si="52"/>
        <v>2625</v>
      </c>
      <c r="K83" s="259">
        <f t="shared" si="53"/>
        <v>0</v>
      </c>
      <c r="L83" s="452">
        <f t="shared" si="54"/>
        <v>0</v>
      </c>
      <c r="M83" s="452">
        <f t="shared" si="55"/>
        <v>0</v>
      </c>
      <c r="N83" s="452">
        <f t="shared" si="56"/>
        <v>0</v>
      </c>
      <c r="O83" s="452">
        <f t="shared" si="57"/>
        <v>0</v>
      </c>
      <c r="P83" s="260">
        <f t="shared" si="58"/>
        <v>0</v>
      </c>
      <c r="Q83" s="260">
        <f t="shared" si="59"/>
        <v>0</v>
      </c>
      <c r="R83" s="432">
        <f t="shared" si="60"/>
        <v>21</v>
      </c>
      <c r="S83" s="432">
        <f t="array" ref="S83">MAX((IF(MNU_CODIGO_ALIMENTO_ENTREGA=CONCATENATE($E83,"_","P_"),MNU_GRAMAJE_REQUERIDO_TIPOB,"")))</f>
        <v>100</v>
      </c>
      <c r="T83" s="261">
        <f t="shared" si="61"/>
        <v>4826</v>
      </c>
      <c r="U83" s="261">
        <f t="shared" si="62"/>
        <v>101346</v>
      </c>
      <c r="V83" s="452">
        <f t="shared" si="63"/>
        <v>226</v>
      </c>
      <c r="W83" s="452">
        <f t="shared" si="64"/>
        <v>11.0288</v>
      </c>
      <c r="X83" s="452">
        <f t="shared" si="65"/>
        <v>0.19436361600000002</v>
      </c>
      <c r="Y83" s="452">
        <f t="shared" si="66"/>
        <v>237</v>
      </c>
      <c r="Z83" s="262">
        <f t="shared" si="67"/>
        <v>22904196</v>
      </c>
      <c r="AA83" s="262">
        <f t="shared" si="68"/>
        <v>24019002</v>
      </c>
      <c r="AB83" s="431">
        <f t="shared" si="69"/>
        <v>21</v>
      </c>
      <c r="AC83" s="431">
        <f t="array" ref="AC83">MAX((IF(MNU_CODIGO_ALIMENTO_ENTREGA=CONCATENATE($E83,"_","P_"),MNU_GRAMAJE_REQUERIDO_TIPOC,"")))</f>
        <v>100</v>
      </c>
      <c r="AD83" s="259">
        <f t="shared" si="70"/>
        <v>6896</v>
      </c>
      <c r="AE83" s="259">
        <f t="shared" si="71"/>
        <v>144816</v>
      </c>
      <c r="AF83" s="452">
        <f t="shared" si="72"/>
        <v>226</v>
      </c>
      <c r="AG83" s="452">
        <f t="shared" si="73"/>
        <v>11.0288</v>
      </c>
      <c r="AH83" s="452">
        <f t="shared" si="74"/>
        <v>0.19436361600000002</v>
      </c>
      <c r="AI83" s="452">
        <f t="shared" si="75"/>
        <v>237</v>
      </c>
      <c r="AJ83" s="260">
        <f t="shared" si="76"/>
        <v>32728416</v>
      </c>
      <c r="AK83" s="260">
        <f t="shared" si="77"/>
        <v>34321392</v>
      </c>
      <c r="AL83" s="432">
        <f t="shared" si="78"/>
        <v>21</v>
      </c>
      <c r="AM83" s="432">
        <f t="array" ref="AM83">MAX((IF(MNU_CODIGO_ALIMENTO_ENTREGA=CONCATENATE($E83,"_","P_"),MNU_GRAMAJE_REQUERIDO_TIPOM,"")))</f>
        <v>100</v>
      </c>
      <c r="AN83" s="261">
        <f t="shared" si="79"/>
        <v>0</v>
      </c>
      <c r="AO83" s="261">
        <f t="shared" si="80"/>
        <v>0</v>
      </c>
      <c r="AP83" s="452">
        <f t="shared" si="81"/>
        <v>226</v>
      </c>
      <c r="AQ83" s="452">
        <f t="shared" si="82"/>
        <v>11.0288</v>
      </c>
      <c r="AR83" s="452">
        <f t="shared" si="83"/>
        <v>0.19436361600000002</v>
      </c>
      <c r="AS83" s="452">
        <f t="shared" si="84"/>
        <v>237</v>
      </c>
      <c r="AT83" s="262">
        <f t="shared" si="85"/>
        <v>0</v>
      </c>
      <c r="AU83" s="262">
        <f t="shared" si="86"/>
        <v>0</v>
      </c>
      <c r="AV83" s="431">
        <f t="shared" si="87"/>
        <v>21</v>
      </c>
      <c r="AW83" s="431">
        <f t="array" ref="AW83">MAX((IF(MNU_CODIGO_ALIMENTO_ENTREGA=CONCATENATE($E83,"_","P_"),MNU_GRAMAJE_REQUERIDO_TIPOH,"")))</f>
        <v>100</v>
      </c>
      <c r="AX83" s="259">
        <f t="shared" si="88"/>
        <v>0</v>
      </c>
      <c r="AY83" s="259">
        <f t="shared" si="89"/>
        <v>0</v>
      </c>
      <c r="AZ83" s="452">
        <f t="shared" si="90"/>
        <v>226</v>
      </c>
      <c r="BA83" s="452">
        <f t="shared" si="91"/>
        <v>11.0288</v>
      </c>
      <c r="BB83" s="452">
        <f t="shared" si="92"/>
        <v>0.19436361600000002</v>
      </c>
      <c r="BC83" s="452">
        <f t="shared" si="93"/>
        <v>237</v>
      </c>
      <c r="BD83" s="260">
        <f t="shared" si="94"/>
        <v>0</v>
      </c>
      <c r="BE83" s="260">
        <f t="shared" si="95"/>
        <v>0</v>
      </c>
      <c r="BF83" s="397">
        <f t="shared" si="96"/>
        <v>55632612</v>
      </c>
      <c r="BG83" s="397">
        <f t="shared" si="97"/>
        <v>58340394</v>
      </c>
    </row>
    <row r="84" spans="1:59" ht="15.75">
      <c r="A84" s="338">
        <v>6</v>
      </c>
      <c r="B84" s="338" t="str">
        <f t="shared" si="49"/>
        <v>FRUTA_6</v>
      </c>
      <c r="C84" s="338" t="str">
        <f t="shared" si="50"/>
        <v>22_6</v>
      </c>
      <c r="D84" s="338" t="s">
        <v>1</v>
      </c>
      <c r="E84" s="258">
        <v>22</v>
      </c>
      <c r="F84" s="328" t="s">
        <v>51</v>
      </c>
      <c r="G84" s="258" t="s">
        <v>9</v>
      </c>
      <c r="H84" s="431">
        <f t="shared" si="51"/>
        <v>0</v>
      </c>
      <c r="I84" s="431">
        <f t="array" ref="I84">MAX((IF(MNU_CODIGO_ALIMENTO_ENTREGA=CONCATENATE($E84,"_","P_"),MNU_GRAMAJE_REQUERIDO_TIPOA,"")))</f>
        <v>0</v>
      </c>
      <c r="J84" s="259">
        <f t="shared" si="52"/>
        <v>2625</v>
      </c>
      <c r="K84" s="259">
        <f t="shared" si="53"/>
        <v>0</v>
      </c>
      <c r="L84" s="452">
        <f t="shared" si="54"/>
        <v>0</v>
      </c>
      <c r="M84" s="452">
        <f t="shared" si="55"/>
        <v>0</v>
      </c>
      <c r="N84" s="452">
        <f t="shared" si="56"/>
        <v>0</v>
      </c>
      <c r="O84" s="452">
        <f t="shared" si="57"/>
        <v>0</v>
      </c>
      <c r="P84" s="260">
        <f t="shared" si="58"/>
        <v>0</v>
      </c>
      <c r="Q84" s="260">
        <f t="shared" si="59"/>
        <v>0</v>
      </c>
      <c r="R84" s="432">
        <f t="shared" si="60"/>
        <v>20</v>
      </c>
      <c r="S84" s="432">
        <f t="array" ref="S84">MAX((IF(MNU_CODIGO_ALIMENTO_ENTREGA=CONCATENATE($E84,"_","P_"),MNU_GRAMAJE_REQUERIDO_TIPOB,"")))</f>
        <v>100</v>
      </c>
      <c r="T84" s="261">
        <f t="shared" si="61"/>
        <v>4826</v>
      </c>
      <c r="U84" s="261">
        <f t="shared" si="62"/>
        <v>96520</v>
      </c>
      <c r="V84" s="452">
        <f t="shared" si="63"/>
        <v>525</v>
      </c>
      <c r="W84" s="452">
        <f t="shared" si="64"/>
        <v>25.62</v>
      </c>
      <c r="X84" s="452">
        <f t="shared" si="65"/>
        <v>0.45150840000000003</v>
      </c>
      <c r="Y84" s="452">
        <f t="shared" si="66"/>
        <v>551</v>
      </c>
      <c r="Z84" s="262">
        <f t="shared" si="67"/>
        <v>50673000</v>
      </c>
      <c r="AA84" s="262">
        <f t="shared" si="68"/>
        <v>53182520</v>
      </c>
      <c r="AB84" s="431">
        <f t="shared" si="69"/>
        <v>20</v>
      </c>
      <c r="AC84" s="431">
        <f t="array" ref="AC84">MAX((IF(MNU_CODIGO_ALIMENTO_ENTREGA=CONCATENATE($E84,"_","P_"),MNU_GRAMAJE_REQUERIDO_TIPOC,"")))</f>
        <v>100</v>
      </c>
      <c r="AD84" s="259">
        <f t="shared" si="70"/>
        <v>6896</v>
      </c>
      <c r="AE84" s="259">
        <f t="shared" si="71"/>
        <v>137920</v>
      </c>
      <c r="AF84" s="452">
        <f t="shared" si="72"/>
        <v>525</v>
      </c>
      <c r="AG84" s="452">
        <f t="shared" si="73"/>
        <v>25.62</v>
      </c>
      <c r="AH84" s="452">
        <f t="shared" si="74"/>
        <v>0.45150840000000003</v>
      </c>
      <c r="AI84" s="452">
        <f t="shared" si="75"/>
        <v>551</v>
      </c>
      <c r="AJ84" s="260">
        <f t="shared" si="76"/>
        <v>72408000</v>
      </c>
      <c r="AK84" s="260">
        <f t="shared" si="77"/>
        <v>75993920</v>
      </c>
      <c r="AL84" s="432">
        <f t="shared" si="78"/>
        <v>20</v>
      </c>
      <c r="AM84" s="432">
        <f t="array" ref="AM84">MAX((IF(MNU_CODIGO_ALIMENTO_ENTREGA=CONCATENATE($E84,"_","P_"),MNU_GRAMAJE_REQUERIDO_TIPOM,"")))</f>
        <v>100</v>
      </c>
      <c r="AN84" s="261">
        <f t="shared" si="79"/>
        <v>0</v>
      </c>
      <c r="AO84" s="261">
        <f t="shared" si="80"/>
        <v>0</v>
      </c>
      <c r="AP84" s="452">
        <f t="shared" si="81"/>
        <v>525</v>
      </c>
      <c r="AQ84" s="452">
        <f t="shared" si="82"/>
        <v>25.62</v>
      </c>
      <c r="AR84" s="452">
        <f t="shared" si="83"/>
        <v>0.45150840000000003</v>
      </c>
      <c r="AS84" s="452">
        <f t="shared" si="84"/>
        <v>551</v>
      </c>
      <c r="AT84" s="262">
        <f t="shared" si="85"/>
        <v>0</v>
      </c>
      <c r="AU84" s="262">
        <f t="shared" si="86"/>
        <v>0</v>
      </c>
      <c r="AV84" s="431">
        <f t="shared" si="87"/>
        <v>20</v>
      </c>
      <c r="AW84" s="431">
        <f t="array" ref="AW84">MAX((IF(MNU_CODIGO_ALIMENTO_ENTREGA=CONCATENATE($E84,"_","P_"),MNU_GRAMAJE_REQUERIDO_TIPOH,"")))</f>
        <v>100</v>
      </c>
      <c r="AX84" s="259">
        <f t="shared" si="88"/>
        <v>0</v>
      </c>
      <c r="AY84" s="259">
        <f t="shared" si="89"/>
        <v>0</v>
      </c>
      <c r="AZ84" s="452">
        <f t="shared" si="90"/>
        <v>525</v>
      </c>
      <c r="BA84" s="452">
        <f t="shared" si="91"/>
        <v>25.62</v>
      </c>
      <c r="BB84" s="452">
        <f t="shared" si="92"/>
        <v>0.45150840000000003</v>
      </c>
      <c r="BC84" s="452">
        <f t="shared" si="93"/>
        <v>551</v>
      </c>
      <c r="BD84" s="260">
        <f t="shared" si="94"/>
        <v>0</v>
      </c>
      <c r="BE84" s="260">
        <f t="shared" si="95"/>
        <v>0</v>
      </c>
      <c r="BF84" s="397">
        <f t="shared" si="96"/>
        <v>123081000</v>
      </c>
      <c r="BG84" s="397">
        <f t="shared" si="97"/>
        <v>129176440</v>
      </c>
    </row>
    <row r="85" spans="1:59" ht="15.75">
      <c r="A85" s="338">
        <v>6</v>
      </c>
      <c r="B85" s="338" t="str">
        <f t="shared" si="49"/>
        <v>FRUTA_6</v>
      </c>
      <c r="C85" s="338" t="str">
        <f t="shared" si="50"/>
        <v>33_6</v>
      </c>
      <c r="D85" s="338" t="s">
        <v>1</v>
      </c>
      <c r="E85" s="258">
        <v>33</v>
      </c>
      <c r="F85" s="328" t="s">
        <v>59</v>
      </c>
      <c r="G85" s="258" t="s">
        <v>48</v>
      </c>
      <c r="H85" s="431">
        <f t="shared" si="51"/>
        <v>27</v>
      </c>
      <c r="I85" s="431">
        <v>1</v>
      </c>
      <c r="J85" s="259">
        <f t="shared" si="52"/>
        <v>2625</v>
      </c>
      <c r="K85" s="259">
        <f t="shared" si="53"/>
        <v>70875</v>
      </c>
      <c r="L85" s="452">
        <f t="shared" si="54"/>
        <v>270</v>
      </c>
      <c r="M85" s="452">
        <f t="shared" si="55"/>
        <v>13.176000000000002</v>
      </c>
      <c r="N85" s="452">
        <f t="shared" si="56"/>
        <v>0.23220432000000002</v>
      </c>
      <c r="O85" s="452">
        <f t="shared" si="57"/>
        <v>283</v>
      </c>
      <c r="P85" s="260">
        <f t="shared" si="58"/>
        <v>19136250</v>
      </c>
      <c r="Q85" s="260">
        <f t="shared" si="59"/>
        <v>20057625</v>
      </c>
      <c r="R85" s="432">
        <f t="shared" si="60"/>
        <v>18</v>
      </c>
      <c r="S85" s="432">
        <v>1</v>
      </c>
      <c r="T85" s="261">
        <f t="shared" si="61"/>
        <v>4826</v>
      </c>
      <c r="U85" s="261">
        <f t="shared" si="62"/>
        <v>86868</v>
      </c>
      <c r="V85" s="452">
        <f t="shared" si="63"/>
        <v>270</v>
      </c>
      <c r="W85" s="452">
        <f t="shared" si="64"/>
        <v>13.176000000000002</v>
      </c>
      <c r="X85" s="452">
        <f t="shared" si="65"/>
        <v>0.23220432000000002</v>
      </c>
      <c r="Y85" s="452">
        <f t="shared" si="66"/>
        <v>283</v>
      </c>
      <c r="Z85" s="262">
        <f t="shared" si="67"/>
        <v>23454360</v>
      </c>
      <c r="AA85" s="262">
        <f t="shared" si="68"/>
        <v>24583644</v>
      </c>
      <c r="AB85" s="431">
        <f t="shared" si="69"/>
        <v>18</v>
      </c>
      <c r="AC85" s="431">
        <v>1</v>
      </c>
      <c r="AD85" s="259">
        <f t="shared" si="70"/>
        <v>6896</v>
      </c>
      <c r="AE85" s="259">
        <f t="shared" si="71"/>
        <v>124128</v>
      </c>
      <c r="AF85" s="452">
        <f t="shared" si="72"/>
        <v>270</v>
      </c>
      <c r="AG85" s="452">
        <f t="shared" si="73"/>
        <v>13.176000000000002</v>
      </c>
      <c r="AH85" s="452">
        <f t="shared" si="74"/>
        <v>0.23220432000000002</v>
      </c>
      <c r="AI85" s="452">
        <f t="shared" si="75"/>
        <v>283</v>
      </c>
      <c r="AJ85" s="260">
        <f t="shared" si="76"/>
        <v>33514560</v>
      </c>
      <c r="AK85" s="260">
        <f t="shared" si="77"/>
        <v>35128224</v>
      </c>
      <c r="AL85" s="432">
        <f t="shared" si="78"/>
        <v>18</v>
      </c>
      <c r="AM85" s="432">
        <v>1</v>
      </c>
      <c r="AN85" s="261">
        <f t="shared" si="79"/>
        <v>0</v>
      </c>
      <c r="AO85" s="261">
        <f t="shared" si="80"/>
        <v>0</v>
      </c>
      <c r="AP85" s="452">
        <f t="shared" si="81"/>
        <v>270</v>
      </c>
      <c r="AQ85" s="452">
        <f t="shared" si="82"/>
        <v>13.176000000000002</v>
      </c>
      <c r="AR85" s="452">
        <f t="shared" si="83"/>
        <v>0.23220432000000002</v>
      </c>
      <c r="AS85" s="452">
        <f t="shared" si="84"/>
        <v>283</v>
      </c>
      <c r="AT85" s="262">
        <f t="shared" si="85"/>
        <v>0</v>
      </c>
      <c r="AU85" s="262">
        <f t="shared" si="86"/>
        <v>0</v>
      </c>
      <c r="AV85" s="431">
        <f t="shared" si="87"/>
        <v>18</v>
      </c>
      <c r="AW85" s="431">
        <v>1</v>
      </c>
      <c r="AX85" s="259">
        <f t="shared" si="88"/>
        <v>0</v>
      </c>
      <c r="AY85" s="259">
        <f t="shared" si="89"/>
        <v>0</v>
      </c>
      <c r="AZ85" s="452">
        <f t="shared" si="90"/>
        <v>270</v>
      </c>
      <c r="BA85" s="452">
        <f t="shared" si="91"/>
        <v>13.176000000000002</v>
      </c>
      <c r="BB85" s="452">
        <f t="shared" si="92"/>
        <v>0.23220432000000002</v>
      </c>
      <c r="BC85" s="452">
        <f t="shared" si="93"/>
        <v>283</v>
      </c>
      <c r="BD85" s="260">
        <f t="shared" si="94"/>
        <v>0</v>
      </c>
      <c r="BE85" s="260">
        <f t="shared" si="95"/>
        <v>0</v>
      </c>
      <c r="BF85" s="397">
        <f t="shared" si="96"/>
        <v>76105170</v>
      </c>
      <c r="BG85" s="397">
        <f t="shared" si="97"/>
        <v>79769493</v>
      </c>
    </row>
    <row r="86" spans="1:59" ht="15.75">
      <c r="A86" s="338">
        <v>6</v>
      </c>
      <c r="B86" s="338" t="str">
        <f t="shared" si="49"/>
        <v>FRUTA_6</v>
      </c>
      <c r="C86" s="338" t="str">
        <f t="shared" si="50"/>
        <v>36_6</v>
      </c>
      <c r="D86" s="338" t="s">
        <v>1</v>
      </c>
      <c r="E86" s="258">
        <v>36</v>
      </c>
      <c r="F86" s="328" t="s">
        <v>1340</v>
      </c>
      <c r="G86" s="258" t="s">
        <v>9</v>
      </c>
      <c r="H86" s="431">
        <f t="shared" si="51"/>
        <v>7</v>
      </c>
      <c r="I86" s="431">
        <f t="array" ref="I86">MAX((IF(MNU_CODIGO_ALIMENTO_ENTREGA=CONCATENATE($E86,"_","P_"),MNU_GRAMAJE_REQUERIDO_TIPOA,"")))</f>
        <v>20</v>
      </c>
      <c r="J86" s="259">
        <f t="shared" si="52"/>
        <v>2625</v>
      </c>
      <c r="K86" s="259">
        <f t="shared" si="53"/>
        <v>18375</v>
      </c>
      <c r="L86" s="452">
        <f t="shared" si="54"/>
        <v>126</v>
      </c>
      <c r="M86" s="452">
        <f t="shared" si="55"/>
        <v>6.1488000000000005</v>
      </c>
      <c r="N86" s="452">
        <f t="shared" si="56"/>
        <v>0.10836201599999999</v>
      </c>
      <c r="O86" s="452">
        <f t="shared" si="57"/>
        <v>132</v>
      </c>
      <c r="P86" s="260">
        <f t="shared" si="58"/>
        <v>2315250</v>
      </c>
      <c r="Q86" s="260">
        <f t="shared" si="59"/>
        <v>2425500</v>
      </c>
      <c r="R86" s="432">
        <f t="shared" si="60"/>
        <v>7</v>
      </c>
      <c r="S86" s="432">
        <f t="array" ref="S86">MAX((IF(MNU_CODIGO_ALIMENTO_ENTREGA=CONCATENATE($E86,"_","P_"),MNU_GRAMAJE_REQUERIDO_TIPOB,"")))</f>
        <v>40</v>
      </c>
      <c r="T86" s="261">
        <f t="shared" si="61"/>
        <v>4826</v>
      </c>
      <c r="U86" s="261">
        <f t="shared" si="62"/>
        <v>33782</v>
      </c>
      <c r="V86" s="452">
        <f t="shared" si="63"/>
        <v>252</v>
      </c>
      <c r="W86" s="452">
        <f t="shared" si="64"/>
        <v>12.297600000000001</v>
      </c>
      <c r="X86" s="452">
        <f t="shared" si="65"/>
        <v>0.21672403199999998</v>
      </c>
      <c r="Y86" s="452">
        <f t="shared" si="66"/>
        <v>265</v>
      </c>
      <c r="Z86" s="262">
        <f t="shared" si="67"/>
        <v>8513064</v>
      </c>
      <c r="AA86" s="262">
        <f t="shared" si="68"/>
        <v>8952230</v>
      </c>
      <c r="AB86" s="431">
        <f t="shared" si="69"/>
        <v>7</v>
      </c>
      <c r="AC86" s="431">
        <f t="array" ref="AC86">MAX((IF(MNU_CODIGO_ALIMENTO_ENTREGA=CONCATENATE($E86,"_","P_"),MNU_GRAMAJE_REQUERIDO_TIPOC,"")))</f>
        <v>40</v>
      </c>
      <c r="AD86" s="259">
        <f t="shared" si="70"/>
        <v>6896</v>
      </c>
      <c r="AE86" s="259">
        <f t="shared" si="71"/>
        <v>48272</v>
      </c>
      <c r="AF86" s="452">
        <f t="shared" si="72"/>
        <v>252</v>
      </c>
      <c r="AG86" s="452">
        <f t="shared" si="73"/>
        <v>12.297600000000001</v>
      </c>
      <c r="AH86" s="452">
        <f t="shared" si="74"/>
        <v>0.21672403199999998</v>
      </c>
      <c r="AI86" s="452">
        <f t="shared" si="75"/>
        <v>265</v>
      </c>
      <c r="AJ86" s="260">
        <f t="shared" si="76"/>
        <v>12164544</v>
      </c>
      <c r="AK86" s="260">
        <f t="shared" si="77"/>
        <v>12792080</v>
      </c>
      <c r="AL86" s="432">
        <f t="shared" si="78"/>
        <v>7</v>
      </c>
      <c r="AM86" s="432">
        <f t="array" ref="AM86">MAX((IF(MNU_CODIGO_ALIMENTO_ENTREGA=CONCATENATE($E86,"_","P_"),MNU_GRAMAJE_REQUERIDO_TIPOM,"")))</f>
        <v>40</v>
      </c>
      <c r="AN86" s="261">
        <f t="shared" si="79"/>
        <v>0</v>
      </c>
      <c r="AO86" s="261">
        <f t="shared" si="80"/>
        <v>0</v>
      </c>
      <c r="AP86" s="452">
        <f t="shared" si="81"/>
        <v>252</v>
      </c>
      <c r="AQ86" s="452">
        <f t="shared" si="82"/>
        <v>12.297600000000001</v>
      </c>
      <c r="AR86" s="452">
        <f t="shared" si="83"/>
        <v>0.21672403199999998</v>
      </c>
      <c r="AS86" s="452">
        <f t="shared" si="84"/>
        <v>265</v>
      </c>
      <c r="AT86" s="262">
        <f t="shared" si="85"/>
        <v>0</v>
      </c>
      <c r="AU86" s="262">
        <f t="shared" si="86"/>
        <v>0</v>
      </c>
      <c r="AV86" s="431">
        <f t="shared" si="87"/>
        <v>7</v>
      </c>
      <c r="AW86" s="431">
        <f t="array" ref="AW86">MAX((IF(MNU_CODIGO_ALIMENTO_ENTREGA=CONCATENATE($E86,"_","P_"),MNU_GRAMAJE_REQUERIDO_TIPOH,"")))</f>
        <v>40</v>
      </c>
      <c r="AX86" s="259">
        <f t="shared" si="88"/>
        <v>0</v>
      </c>
      <c r="AY86" s="259">
        <f t="shared" si="89"/>
        <v>0</v>
      </c>
      <c r="AZ86" s="452">
        <f t="shared" si="90"/>
        <v>252</v>
      </c>
      <c r="BA86" s="452">
        <f t="shared" si="91"/>
        <v>12.297600000000001</v>
      </c>
      <c r="BB86" s="452">
        <f t="shared" si="92"/>
        <v>0.21672403199999998</v>
      </c>
      <c r="BC86" s="452">
        <f t="shared" si="93"/>
        <v>265</v>
      </c>
      <c r="BD86" s="260">
        <f t="shared" si="94"/>
        <v>0</v>
      </c>
      <c r="BE86" s="260">
        <f t="shared" si="95"/>
        <v>0</v>
      </c>
      <c r="BF86" s="397">
        <f t="shared" si="96"/>
        <v>22992858</v>
      </c>
      <c r="BG86" s="397">
        <f t="shared" si="97"/>
        <v>24169810</v>
      </c>
    </row>
    <row r="87" spans="1:59" ht="15.75">
      <c r="A87" s="338">
        <v>6</v>
      </c>
      <c r="B87" s="338" t="str">
        <f t="shared" si="49"/>
        <v>FRUTA_6</v>
      </c>
      <c r="C87" s="338" t="str">
        <f t="shared" si="50"/>
        <v>42_6</v>
      </c>
      <c r="D87" s="338" t="s">
        <v>1</v>
      </c>
      <c r="E87" s="258">
        <v>42</v>
      </c>
      <c r="F87" s="328" t="s">
        <v>61</v>
      </c>
      <c r="G87" s="258" t="s">
        <v>9</v>
      </c>
      <c r="H87" s="431">
        <f t="shared" si="51"/>
        <v>23</v>
      </c>
      <c r="I87" s="431">
        <f t="array" ref="I87">MAX((IF(MNU_CODIGO_ALIMENTO_ENTREGA=CONCATENATE($E87,"_","P_"),MNU_GRAMAJE_REQUERIDO_TIPOA,"")))</f>
        <v>100</v>
      </c>
      <c r="J87" s="259">
        <f t="shared" si="52"/>
        <v>2625</v>
      </c>
      <c r="K87" s="259">
        <f t="shared" si="53"/>
        <v>60375</v>
      </c>
      <c r="L87" s="452">
        <f t="shared" si="54"/>
        <v>194</v>
      </c>
      <c r="M87" s="452">
        <f t="shared" si="55"/>
        <v>9.4672000000000001</v>
      </c>
      <c r="N87" s="452">
        <f t="shared" si="56"/>
        <v>0.16684310399999999</v>
      </c>
      <c r="O87" s="452">
        <f t="shared" si="57"/>
        <v>204</v>
      </c>
      <c r="P87" s="260">
        <f t="shared" si="58"/>
        <v>11712750</v>
      </c>
      <c r="Q87" s="260">
        <f t="shared" si="59"/>
        <v>12316500</v>
      </c>
      <c r="R87" s="432">
        <f t="shared" si="60"/>
        <v>19</v>
      </c>
      <c r="S87" s="432">
        <f t="array" ref="S87">MAX((IF(MNU_CODIGO_ALIMENTO_ENTREGA=CONCATENATE($E87,"_","P_"),MNU_GRAMAJE_REQUERIDO_TIPOB,"")))</f>
        <v>100</v>
      </c>
      <c r="T87" s="261">
        <f t="shared" si="61"/>
        <v>4826</v>
      </c>
      <c r="U87" s="261">
        <f t="shared" si="62"/>
        <v>91694</v>
      </c>
      <c r="V87" s="452">
        <f t="shared" si="63"/>
        <v>194</v>
      </c>
      <c r="W87" s="452">
        <f t="shared" si="64"/>
        <v>9.4672000000000001</v>
      </c>
      <c r="X87" s="452">
        <f t="shared" si="65"/>
        <v>0.16684310399999999</v>
      </c>
      <c r="Y87" s="452">
        <f t="shared" si="66"/>
        <v>204</v>
      </c>
      <c r="Z87" s="262">
        <f t="shared" si="67"/>
        <v>17788636</v>
      </c>
      <c r="AA87" s="262">
        <f t="shared" si="68"/>
        <v>18705576</v>
      </c>
      <c r="AB87" s="431">
        <f t="shared" si="69"/>
        <v>19</v>
      </c>
      <c r="AC87" s="431">
        <f t="array" ref="AC87">MAX((IF(MNU_CODIGO_ALIMENTO_ENTREGA=CONCATENATE($E87,"_","P_"),MNU_GRAMAJE_REQUERIDO_TIPOC,"")))</f>
        <v>100</v>
      </c>
      <c r="AD87" s="259">
        <f t="shared" si="70"/>
        <v>6896</v>
      </c>
      <c r="AE87" s="259">
        <f t="shared" si="71"/>
        <v>131024</v>
      </c>
      <c r="AF87" s="452">
        <f t="shared" si="72"/>
        <v>194</v>
      </c>
      <c r="AG87" s="452">
        <f t="shared" si="73"/>
        <v>9.4672000000000001</v>
      </c>
      <c r="AH87" s="452">
        <f t="shared" si="74"/>
        <v>0.16684310399999999</v>
      </c>
      <c r="AI87" s="452">
        <f t="shared" si="75"/>
        <v>204</v>
      </c>
      <c r="AJ87" s="260">
        <f t="shared" si="76"/>
        <v>25418656</v>
      </c>
      <c r="AK87" s="260">
        <f t="shared" si="77"/>
        <v>26728896</v>
      </c>
      <c r="AL87" s="432">
        <f t="shared" si="78"/>
        <v>19</v>
      </c>
      <c r="AM87" s="432">
        <f t="array" ref="AM87">MAX((IF(MNU_CODIGO_ALIMENTO_ENTREGA=CONCATENATE($E87,"_","P_"),MNU_GRAMAJE_REQUERIDO_TIPOM,"")))</f>
        <v>100</v>
      </c>
      <c r="AN87" s="261">
        <f t="shared" si="79"/>
        <v>0</v>
      </c>
      <c r="AO87" s="261">
        <f t="shared" si="80"/>
        <v>0</v>
      </c>
      <c r="AP87" s="452">
        <f t="shared" si="81"/>
        <v>194</v>
      </c>
      <c r="AQ87" s="452">
        <f t="shared" si="82"/>
        <v>9.4672000000000001</v>
      </c>
      <c r="AR87" s="452">
        <f t="shared" si="83"/>
        <v>0.16684310399999999</v>
      </c>
      <c r="AS87" s="452">
        <f t="shared" si="84"/>
        <v>204</v>
      </c>
      <c r="AT87" s="262">
        <f t="shared" si="85"/>
        <v>0</v>
      </c>
      <c r="AU87" s="262">
        <f t="shared" si="86"/>
        <v>0</v>
      </c>
      <c r="AV87" s="431">
        <f t="shared" si="87"/>
        <v>19</v>
      </c>
      <c r="AW87" s="431">
        <f t="array" ref="AW87">MAX((IF(MNU_CODIGO_ALIMENTO_ENTREGA=CONCATENATE($E87,"_","P_"),MNU_GRAMAJE_REQUERIDO_TIPOH,"")))</f>
        <v>100</v>
      </c>
      <c r="AX87" s="259">
        <f t="shared" si="88"/>
        <v>0</v>
      </c>
      <c r="AY87" s="259">
        <f t="shared" si="89"/>
        <v>0</v>
      </c>
      <c r="AZ87" s="452">
        <f t="shared" si="90"/>
        <v>194</v>
      </c>
      <c r="BA87" s="452">
        <f t="shared" si="91"/>
        <v>9.4672000000000001</v>
      </c>
      <c r="BB87" s="452">
        <f t="shared" si="92"/>
        <v>0.16684310399999999</v>
      </c>
      <c r="BC87" s="452">
        <f t="shared" si="93"/>
        <v>204</v>
      </c>
      <c r="BD87" s="260">
        <f t="shared" si="94"/>
        <v>0</v>
      </c>
      <c r="BE87" s="260">
        <f t="shared" si="95"/>
        <v>0</v>
      </c>
      <c r="BF87" s="397">
        <f t="shared" si="96"/>
        <v>54920042</v>
      </c>
      <c r="BG87" s="397">
        <f t="shared" si="97"/>
        <v>57750972</v>
      </c>
    </row>
    <row r="88" spans="1:59" ht="15.75">
      <c r="A88" s="338">
        <v>6</v>
      </c>
      <c r="B88" s="338" t="str">
        <f t="shared" si="49"/>
        <v>FRUTA_6</v>
      </c>
      <c r="C88" s="338" t="str">
        <f t="shared" si="50"/>
        <v>43_6</v>
      </c>
      <c r="D88" s="338" t="s">
        <v>1</v>
      </c>
      <c r="E88" s="258">
        <v>43</v>
      </c>
      <c r="F88" s="328" t="s">
        <v>62</v>
      </c>
      <c r="G88" s="258" t="s">
        <v>9</v>
      </c>
      <c r="H88" s="431">
        <f t="shared" si="51"/>
        <v>24</v>
      </c>
      <c r="I88" s="431">
        <f t="array" ref="I88">MAX((IF(MNU_CODIGO_ALIMENTO_ENTREGA=CONCATENATE($E88,"_","P_"),MNU_GRAMAJE_REQUERIDO_TIPOA,"")))</f>
        <v>100</v>
      </c>
      <c r="J88" s="259">
        <f t="shared" si="52"/>
        <v>2625</v>
      </c>
      <c r="K88" s="259">
        <f t="shared" si="53"/>
        <v>63000</v>
      </c>
      <c r="L88" s="452">
        <f t="shared" si="54"/>
        <v>170</v>
      </c>
      <c r="M88" s="452">
        <f t="shared" si="55"/>
        <v>8.2959999999999994</v>
      </c>
      <c r="N88" s="452">
        <f t="shared" si="56"/>
        <v>0.14620272000000001</v>
      </c>
      <c r="O88" s="452">
        <f t="shared" si="57"/>
        <v>178</v>
      </c>
      <c r="P88" s="260">
        <f t="shared" si="58"/>
        <v>10710000</v>
      </c>
      <c r="Q88" s="260">
        <f t="shared" si="59"/>
        <v>11214000</v>
      </c>
      <c r="R88" s="432">
        <f t="shared" si="60"/>
        <v>17</v>
      </c>
      <c r="S88" s="432">
        <f t="array" ref="S88">MAX((IF(MNU_CODIGO_ALIMENTO_ENTREGA=CONCATENATE($E88,"_","P_"),MNU_GRAMAJE_REQUERIDO_TIPOB,"")))</f>
        <v>100</v>
      </c>
      <c r="T88" s="261">
        <f t="shared" si="61"/>
        <v>4826</v>
      </c>
      <c r="U88" s="261">
        <f t="shared" si="62"/>
        <v>82042</v>
      </c>
      <c r="V88" s="452">
        <f t="shared" si="63"/>
        <v>170</v>
      </c>
      <c r="W88" s="452">
        <f t="shared" si="64"/>
        <v>8.2959999999999994</v>
      </c>
      <c r="X88" s="452">
        <f t="shared" si="65"/>
        <v>0.14620272000000001</v>
      </c>
      <c r="Y88" s="452">
        <f t="shared" si="66"/>
        <v>178</v>
      </c>
      <c r="Z88" s="262">
        <f t="shared" si="67"/>
        <v>13947140</v>
      </c>
      <c r="AA88" s="262">
        <f t="shared" si="68"/>
        <v>14603476</v>
      </c>
      <c r="AB88" s="431">
        <f t="shared" si="69"/>
        <v>17</v>
      </c>
      <c r="AC88" s="431">
        <f t="array" ref="AC88">MAX((IF(MNU_CODIGO_ALIMENTO_ENTREGA=CONCATENATE($E88,"_","P_"),MNU_GRAMAJE_REQUERIDO_TIPOC,"")))</f>
        <v>100</v>
      </c>
      <c r="AD88" s="259">
        <f t="shared" si="70"/>
        <v>6896</v>
      </c>
      <c r="AE88" s="259">
        <f t="shared" si="71"/>
        <v>117232</v>
      </c>
      <c r="AF88" s="452">
        <f t="shared" si="72"/>
        <v>170</v>
      </c>
      <c r="AG88" s="452">
        <f t="shared" si="73"/>
        <v>8.2959999999999994</v>
      </c>
      <c r="AH88" s="452">
        <f t="shared" si="74"/>
        <v>0.14620272000000001</v>
      </c>
      <c r="AI88" s="452">
        <f t="shared" si="75"/>
        <v>178</v>
      </c>
      <c r="AJ88" s="260">
        <f t="shared" si="76"/>
        <v>19929440</v>
      </c>
      <c r="AK88" s="260">
        <f t="shared" si="77"/>
        <v>20867296</v>
      </c>
      <c r="AL88" s="432">
        <f t="shared" si="78"/>
        <v>17</v>
      </c>
      <c r="AM88" s="432">
        <f t="array" ref="AM88">MAX((IF(MNU_CODIGO_ALIMENTO_ENTREGA=CONCATENATE($E88,"_","P_"),MNU_GRAMAJE_REQUERIDO_TIPOM,"")))</f>
        <v>100</v>
      </c>
      <c r="AN88" s="261">
        <f t="shared" si="79"/>
        <v>0</v>
      </c>
      <c r="AO88" s="261">
        <f t="shared" si="80"/>
        <v>0</v>
      </c>
      <c r="AP88" s="452">
        <f t="shared" si="81"/>
        <v>170</v>
      </c>
      <c r="AQ88" s="452">
        <f t="shared" si="82"/>
        <v>8.2959999999999994</v>
      </c>
      <c r="AR88" s="452">
        <f t="shared" si="83"/>
        <v>0.14620272000000001</v>
      </c>
      <c r="AS88" s="452">
        <f t="shared" si="84"/>
        <v>178</v>
      </c>
      <c r="AT88" s="262">
        <f t="shared" si="85"/>
        <v>0</v>
      </c>
      <c r="AU88" s="262">
        <f t="shared" si="86"/>
        <v>0</v>
      </c>
      <c r="AV88" s="431">
        <f t="shared" si="87"/>
        <v>17</v>
      </c>
      <c r="AW88" s="431">
        <f t="array" ref="AW88">MAX((IF(MNU_CODIGO_ALIMENTO_ENTREGA=CONCATENATE($E88,"_","P_"),MNU_GRAMAJE_REQUERIDO_TIPOH,"")))</f>
        <v>100</v>
      </c>
      <c r="AX88" s="259">
        <f t="shared" si="88"/>
        <v>0</v>
      </c>
      <c r="AY88" s="259">
        <f t="shared" si="89"/>
        <v>0</v>
      </c>
      <c r="AZ88" s="452">
        <f t="shared" si="90"/>
        <v>170</v>
      </c>
      <c r="BA88" s="452">
        <f t="shared" si="91"/>
        <v>8.2959999999999994</v>
      </c>
      <c r="BB88" s="452">
        <f t="shared" si="92"/>
        <v>0.14620272000000001</v>
      </c>
      <c r="BC88" s="452">
        <f t="shared" si="93"/>
        <v>178</v>
      </c>
      <c r="BD88" s="260">
        <f t="shared" si="94"/>
        <v>0</v>
      </c>
      <c r="BE88" s="260">
        <f t="shared" si="95"/>
        <v>0</v>
      </c>
      <c r="BF88" s="397">
        <f t="shared" si="96"/>
        <v>44586580</v>
      </c>
      <c r="BG88" s="397">
        <f t="shared" si="97"/>
        <v>46684772</v>
      </c>
    </row>
    <row r="89" spans="1:59" ht="15.75">
      <c r="A89" s="338">
        <v>6</v>
      </c>
      <c r="B89" s="338" t="str">
        <f t="shared" si="49"/>
        <v>FRUTA_6</v>
      </c>
      <c r="C89" s="338" t="str">
        <f t="shared" si="50"/>
        <v>46_6</v>
      </c>
      <c r="D89" s="338" t="s">
        <v>1</v>
      </c>
      <c r="E89" s="258">
        <v>46</v>
      </c>
      <c r="F89" s="328" t="s">
        <v>64</v>
      </c>
      <c r="G89" s="258" t="s">
        <v>9</v>
      </c>
      <c r="H89" s="431">
        <f t="shared" si="51"/>
        <v>30</v>
      </c>
      <c r="I89" s="431">
        <f t="array" ref="I89">MAX((IF(MNU_CODIGO_ALIMENTO_ENTREGA=CONCATENATE($E89,"_","P_"),MNU_GRAMAJE_REQUERIDO_TIPOA,"")))</f>
        <v>100</v>
      </c>
      <c r="J89" s="259">
        <f t="shared" si="52"/>
        <v>2625</v>
      </c>
      <c r="K89" s="259">
        <f t="shared" si="53"/>
        <v>78750</v>
      </c>
      <c r="L89" s="452">
        <f t="shared" si="54"/>
        <v>398</v>
      </c>
      <c r="M89" s="452">
        <f t="shared" si="55"/>
        <v>19.4224</v>
      </c>
      <c r="N89" s="452">
        <f t="shared" si="56"/>
        <v>0.34228636800000001</v>
      </c>
      <c r="O89" s="452">
        <f t="shared" si="57"/>
        <v>418</v>
      </c>
      <c r="P89" s="260">
        <f t="shared" si="58"/>
        <v>31342500</v>
      </c>
      <c r="Q89" s="260">
        <f t="shared" si="59"/>
        <v>32917500</v>
      </c>
      <c r="R89" s="432">
        <f t="shared" si="60"/>
        <v>21</v>
      </c>
      <c r="S89" s="432">
        <f t="array" ref="S89">MAX((IF(MNU_CODIGO_ALIMENTO_ENTREGA=CONCATENATE($E89,"_","P_"),MNU_GRAMAJE_REQUERIDO_TIPOB,"")))</f>
        <v>100</v>
      </c>
      <c r="T89" s="261">
        <f t="shared" si="61"/>
        <v>4826</v>
      </c>
      <c r="U89" s="261">
        <f t="shared" si="62"/>
        <v>101346</v>
      </c>
      <c r="V89" s="452">
        <f t="shared" si="63"/>
        <v>398</v>
      </c>
      <c r="W89" s="452">
        <f t="shared" si="64"/>
        <v>19.4224</v>
      </c>
      <c r="X89" s="452">
        <f t="shared" si="65"/>
        <v>0.34228636800000001</v>
      </c>
      <c r="Y89" s="452">
        <f t="shared" si="66"/>
        <v>418</v>
      </c>
      <c r="Z89" s="262">
        <f t="shared" si="67"/>
        <v>40335708</v>
      </c>
      <c r="AA89" s="262">
        <f t="shared" si="68"/>
        <v>42362628</v>
      </c>
      <c r="AB89" s="431">
        <f t="shared" si="69"/>
        <v>21</v>
      </c>
      <c r="AC89" s="431">
        <f t="array" ref="AC89">MAX((IF(MNU_CODIGO_ALIMENTO_ENTREGA=CONCATENATE($E89,"_","P_"),MNU_GRAMAJE_REQUERIDO_TIPOC,"")))</f>
        <v>100</v>
      </c>
      <c r="AD89" s="259">
        <f t="shared" si="70"/>
        <v>6896</v>
      </c>
      <c r="AE89" s="259">
        <f t="shared" si="71"/>
        <v>144816</v>
      </c>
      <c r="AF89" s="452">
        <f t="shared" si="72"/>
        <v>398</v>
      </c>
      <c r="AG89" s="452">
        <f t="shared" si="73"/>
        <v>19.4224</v>
      </c>
      <c r="AH89" s="452">
        <f t="shared" si="74"/>
        <v>0.34228636800000001</v>
      </c>
      <c r="AI89" s="452">
        <f t="shared" si="75"/>
        <v>418</v>
      </c>
      <c r="AJ89" s="260">
        <f t="shared" si="76"/>
        <v>57636768</v>
      </c>
      <c r="AK89" s="260">
        <f t="shared" si="77"/>
        <v>60533088</v>
      </c>
      <c r="AL89" s="432">
        <f t="shared" si="78"/>
        <v>21</v>
      </c>
      <c r="AM89" s="432">
        <f t="array" ref="AM89">MAX((IF(MNU_CODIGO_ALIMENTO_ENTREGA=CONCATENATE($E89,"_","P_"),MNU_GRAMAJE_REQUERIDO_TIPOM,"")))</f>
        <v>100</v>
      </c>
      <c r="AN89" s="261">
        <f t="shared" si="79"/>
        <v>0</v>
      </c>
      <c r="AO89" s="261">
        <f t="shared" si="80"/>
        <v>0</v>
      </c>
      <c r="AP89" s="452">
        <f t="shared" si="81"/>
        <v>398</v>
      </c>
      <c r="AQ89" s="452">
        <f t="shared" si="82"/>
        <v>19.4224</v>
      </c>
      <c r="AR89" s="452">
        <f t="shared" si="83"/>
        <v>0.34228636800000001</v>
      </c>
      <c r="AS89" s="452">
        <f t="shared" si="84"/>
        <v>418</v>
      </c>
      <c r="AT89" s="262">
        <f t="shared" si="85"/>
        <v>0</v>
      </c>
      <c r="AU89" s="262">
        <f t="shared" si="86"/>
        <v>0</v>
      </c>
      <c r="AV89" s="431">
        <f t="shared" si="87"/>
        <v>21</v>
      </c>
      <c r="AW89" s="431">
        <f t="array" ref="AW89">MAX((IF(MNU_CODIGO_ALIMENTO_ENTREGA=CONCATENATE($E89,"_","P_"),MNU_GRAMAJE_REQUERIDO_TIPOH,"")))</f>
        <v>100</v>
      </c>
      <c r="AX89" s="259">
        <f t="shared" si="88"/>
        <v>0</v>
      </c>
      <c r="AY89" s="259">
        <f t="shared" si="89"/>
        <v>0</v>
      </c>
      <c r="AZ89" s="452">
        <f t="shared" si="90"/>
        <v>398</v>
      </c>
      <c r="BA89" s="452">
        <f t="shared" si="91"/>
        <v>19.4224</v>
      </c>
      <c r="BB89" s="452">
        <f t="shared" si="92"/>
        <v>0.34228636800000001</v>
      </c>
      <c r="BC89" s="452">
        <f t="shared" si="93"/>
        <v>418</v>
      </c>
      <c r="BD89" s="260">
        <f t="shared" si="94"/>
        <v>0</v>
      </c>
      <c r="BE89" s="260">
        <f t="shared" si="95"/>
        <v>0</v>
      </c>
      <c r="BF89" s="397">
        <f t="shared" si="96"/>
        <v>129314976</v>
      </c>
      <c r="BG89" s="397">
        <f t="shared" si="97"/>
        <v>135813216</v>
      </c>
    </row>
    <row r="90" spans="1:59" ht="15.75">
      <c r="A90" s="338">
        <v>6</v>
      </c>
      <c r="B90" s="338" t="str">
        <f t="shared" si="49"/>
        <v>FRUTA_6</v>
      </c>
      <c r="C90" s="338" t="str">
        <f t="shared" si="50"/>
        <v>58_6</v>
      </c>
      <c r="D90" s="338" t="s">
        <v>1</v>
      </c>
      <c r="E90" s="258">
        <v>58</v>
      </c>
      <c r="F90" s="328" t="s">
        <v>67</v>
      </c>
      <c r="G90" s="258" t="s">
        <v>9</v>
      </c>
      <c r="H90" s="431">
        <f t="shared" si="51"/>
        <v>24</v>
      </c>
      <c r="I90" s="431">
        <f t="array" ref="I90">MAX((IF(MNU_CODIGO_ALIMENTO_ENTREGA=CONCATENATE($E90,"_","P_"),MNU_GRAMAJE_REQUERIDO_TIPOA,"")))</f>
        <v>100</v>
      </c>
      <c r="J90" s="259">
        <f t="shared" si="52"/>
        <v>2625</v>
      </c>
      <c r="K90" s="259">
        <f t="shared" si="53"/>
        <v>63000</v>
      </c>
      <c r="L90" s="452">
        <f t="shared" si="54"/>
        <v>154</v>
      </c>
      <c r="M90" s="452">
        <f t="shared" si="55"/>
        <v>7.515200000000001</v>
      </c>
      <c r="N90" s="452">
        <f t="shared" si="56"/>
        <v>0.13244246400000001</v>
      </c>
      <c r="O90" s="452">
        <f t="shared" si="57"/>
        <v>162</v>
      </c>
      <c r="P90" s="260">
        <f t="shared" si="58"/>
        <v>9702000</v>
      </c>
      <c r="Q90" s="260">
        <f t="shared" si="59"/>
        <v>10206000</v>
      </c>
      <c r="R90" s="432">
        <f t="shared" si="60"/>
        <v>23</v>
      </c>
      <c r="S90" s="432">
        <f t="array" ref="S90">MAX((IF(MNU_CODIGO_ALIMENTO_ENTREGA=CONCATENATE($E90,"_","P_"),MNU_GRAMAJE_REQUERIDO_TIPOB,"")))</f>
        <v>100</v>
      </c>
      <c r="T90" s="261">
        <f t="shared" si="61"/>
        <v>4826</v>
      </c>
      <c r="U90" s="261">
        <f t="shared" si="62"/>
        <v>110998</v>
      </c>
      <c r="V90" s="452">
        <f t="shared" si="63"/>
        <v>154</v>
      </c>
      <c r="W90" s="452">
        <f t="shared" si="64"/>
        <v>7.515200000000001</v>
      </c>
      <c r="X90" s="452">
        <f t="shared" si="65"/>
        <v>0.13244246400000001</v>
      </c>
      <c r="Y90" s="452">
        <f t="shared" si="66"/>
        <v>162</v>
      </c>
      <c r="Z90" s="262">
        <f t="shared" si="67"/>
        <v>17093692</v>
      </c>
      <c r="AA90" s="262">
        <f t="shared" si="68"/>
        <v>17981676</v>
      </c>
      <c r="AB90" s="431">
        <f t="shared" si="69"/>
        <v>23</v>
      </c>
      <c r="AC90" s="431">
        <f t="array" ref="AC90">MAX((IF(MNU_CODIGO_ALIMENTO_ENTREGA=CONCATENATE($E90,"_","P_"),MNU_GRAMAJE_REQUERIDO_TIPOC,"")))</f>
        <v>100</v>
      </c>
      <c r="AD90" s="259">
        <f t="shared" si="70"/>
        <v>6896</v>
      </c>
      <c r="AE90" s="259">
        <f t="shared" si="71"/>
        <v>158608</v>
      </c>
      <c r="AF90" s="452">
        <f t="shared" si="72"/>
        <v>154</v>
      </c>
      <c r="AG90" s="452">
        <f t="shared" si="73"/>
        <v>7.515200000000001</v>
      </c>
      <c r="AH90" s="452">
        <f t="shared" si="74"/>
        <v>0.13244246400000001</v>
      </c>
      <c r="AI90" s="452">
        <f t="shared" si="75"/>
        <v>162</v>
      </c>
      <c r="AJ90" s="260">
        <f t="shared" si="76"/>
        <v>24425632</v>
      </c>
      <c r="AK90" s="260">
        <f t="shared" si="77"/>
        <v>25694496</v>
      </c>
      <c r="AL90" s="432">
        <f t="shared" si="78"/>
        <v>23</v>
      </c>
      <c r="AM90" s="432">
        <f t="array" ref="AM90">MAX((IF(MNU_CODIGO_ALIMENTO_ENTREGA=CONCATENATE($E90,"_","P_"),MNU_GRAMAJE_REQUERIDO_TIPOM,"")))</f>
        <v>100</v>
      </c>
      <c r="AN90" s="261">
        <f t="shared" si="79"/>
        <v>0</v>
      </c>
      <c r="AO90" s="261">
        <f t="shared" si="80"/>
        <v>0</v>
      </c>
      <c r="AP90" s="452">
        <f t="shared" si="81"/>
        <v>154</v>
      </c>
      <c r="AQ90" s="452">
        <f t="shared" si="82"/>
        <v>7.515200000000001</v>
      </c>
      <c r="AR90" s="452">
        <f t="shared" si="83"/>
        <v>0.13244246400000001</v>
      </c>
      <c r="AS90" s="452">
        <f t="shared" si="84"/>
        <v>162</v>
      </c>
      <c r="AT90" s="262">
        <f t="shared" si="85"/>
        <v>0</v>
      </c>
      <c r="AU90" s="262">
        <f t="shared" si="86"/>
        <v>0</v>
      </c>
      <c r="AV90" s="431">
        <f t="shared" si="87"/>
        <v>23</v>
      </c>
      <c r="AW90" s="431">
        <f t="array" ref="AW90">MAX((IF(MNU_CODIGO_ALIMENTO_ENTREGA=CONCATENATE($E90,"_","P_"),MNU_GRAMAJE_REQUERIDO_TIPOH,"")))</f>
        <v>100</v>
      </c>
      <c r="AX90" s="259">
        <f t="shared" si="88"/>
        <v>0</v>
      </c>
      <c r="AY90" s="259">
        <f t="shared" si="89"/>
        <v>0</v>
      </c>
      <c r="AZ90" s="452">
        <f t="shared" si="90"/>
        <v>154</v>
      </c>
      <c r="BA90" s="452">
        <f t="shared" si="91"/>
        <v>7.515200000000001</v>
      </c>
      <c r="BB90" s="452">
        <f t="shared" si="92"/>
        <v>0.13244246400000001</v>
      </c>
      <c r="BC90" s="452">
        <f t="shared" si="93"/>
        <v>162</v>
      </c>
      <c r="BD90" s="260">
        <f t="shared" si="94"/>
        <v>0</v>
      </c>
      <c r="BE90" s="260">
        <f t="shared" si="95"/>
        <v>0</v>
      </c>
      <c r="BF90" s="397">
        <f t="shared" si="96"/>
        <v>51221324</v>
      </c>
      <c r="BG90" s="397">
        <f t="shared" si="97"/>
        <v>53882172</v>
      </c>
    </row>
    <row r="91" spans="1:59" ht="15.75">
      <c r="A91" s="338">
        <v>6</v>
      </c>
      <c r="B91" s="338" t="str">
        <f t="shared" si="49"/>
        <v>FRUTA_6</v>
      </c>
      <c r="C91" s="338" t="str">
        <f t="shared" si="50"/>
        <v>59_6</v>
      </c>
      <c r="D91" s="338" t="s">
        <v>1</v>
      </c>
      <c r="E91" s="258">
        <v>59</v>
      </c>
      <c r="F91" s="328" t="s">
        <v>99</v>
      </c>
      <c r="G91" s="258" t="s">
        <v>9</v>
      </c>
      <c r="H91" s="431">
        <f t="shared" si="51"/>
        <v>0</v>
      </c>
      <c r="I91" s="431">
        <f t="array" ref="I91">MAX((IF(MNU_CODIGO_ALIMENTO_ENTREGA=CONCATENATE($E91,"_","P_"),MNU_GRAMAJE_REQUERIDO_TIPOA,"")))</f>
        <v>0</v>
      </c>
      <c r="J91" s="259">
        <f t="shared" si="52"/>
        <v>2625</v>
      </c>
      <c r="K91" s="259">
        <f t="shared" si="53"/>
        <v>0</v>
      </c>
      <c r="L91" s="452">
        <f t="shared" si="54"/>
        <v>0</v>
      </c>
      <c r="M91" s="452">
        <f t="shared" si="55"/>
        <v>0</v>
      </c>
      <c r="N91" s="452">
        <f t="shared" si="56"/>
        <v>0</v>
      </c>
      <c r="O91" s="452">
        <f t="shared" si="57"/>
        <v>0</v>
      </c>
      <c r="P91" s="260">
        <f t="shared" si="58"/>
        <v>0</v>
      </c>
      <c r="Q91" s="260">
        <f t="shared" si="59"/>
        <v>0</v>
      </c>
      <c r="R91" s="432">
        <f t="shared" si="60"/>
        <v>8</v>
      </c>
      <c r="S91" s="432">
        <f t="array" ref="S91">MAX((IF(MNU_CODIGO_ALIMENTO_ENTREGA=CONCATENATE($E91,"_","P_"),MNU_GRAMAJE_REQUERIDO_TIPOB,"")))</f>
        <v>100</v>
      </c>
      <c r="T91" s="261">
        <f t="shared" si="61"/>
        <v>4826</v>
      </c>
      <c r="U91" s="261">
        <f t="shared" si="62"/>
        <v>38608</v>
      </c>
      <c r="V91" s="452">
        <f t="shared" si="63"/>
        <v>286</v>
      </c>
      <c r="W91" s="452">
        <f t="shared" si="64"/>
        <v>13.956800000000001</v>
      </c>
      <c r="X91" s="452">
        <f t="shared" si="65"/>
        <v>0.24596457599999999</v>
      </c>
      <c r="Y91" s="452">
        <f t="shared" si="66"/>
        <v>300</v>
      </c>
      <c r="Z91" s="262">
        <f t="shared" si="67"/>
        <v>11041888</v>
      </c>
      <c r="AA91" s="262">
        <f t="shared" si="68"/>
        <v>11582400</v>
      </c>
      <c r="AB91" s="431">
        <f t="shared" si="69"/>
        <v>8</v>
      </c>
      <c r="AC91" s="431">
        <f t="array" ref="AC91">MAX((IF(MNU_CODIGO_ALIMENTO_ENTREGA=CONCATENATE($E91,"_","P_"),MNU_GRAMAJE_REQUERIDO_TIPOC,"")))</f>
        <v>100</v>
      </c>
      <c r="AD91" s="259">
        <f t="shared" si="70"/>
        <v>6896</v>
      </c>
      <c r="AE91" s="259">
        <f t="shared" si="71"/>
        <v>55168</v>
      </c>
      <c r="AF91" s="452">
        <f t="shared" si="72"/>
        <v>286</v>
      </c>
      <c r="AG91" s="452">
        <f t="shared" si="73"/>
        <v>13.956800000000001</v>
      </c>
      <c r="AH91" s="452">
        <f t="shared" si="74"/>
        <v>0.24596457599999999</v>
      </c>
      <c r="AI91" s="452">
        <f t="shared" si="75"/>
        <v>300</v>
      </c>
      <c r="AJ91" s="260">
        <f t="shared" si="76"/>
        <v>15778048</v>
      </c>
      <c r="AK91" s="260">
        <f t="shared" si="77"/>
        <v>16550400</v>
      </c>
      <c r="AL91" s="432">
        <f t="shared" si="78"/>
        <v>8</v>
      </c>
      <c r="AM91" s="432">
        <f t="array" ref="AM91">MAX((IF(MNU_CODIGO_ALIMENTO_ENTREGA=CONCATENATE($E91,"_","P_"),MNU_GRAMAJE_REQUERIDO_TIPOM,"")))</f>
        <v>100</v>
      </c>
      <c r="AN91" s="261">
        <f t="shared" si="79"/>
        <v>0</v>
      </c>
      <c r="AO91" s="261">
        <f t="shared" si="80"/>
        <v>0</v>
      </c>
      <c r="AP91" s="452">
        <f t="shared" si="81"/>
        <v>286</v>
      </c>
      <c r="AQ91" s="452">
        <f t="shared" si="82"/>
        <v>13.956800000000001</v>
      </c>
      <c r="AR91" s="452">
        <f t="shared" si="83"/>
        <v>0.24596457599999999</v>
      </c>
      <c r="AS91" s="452">
        <f t="shared" si="84"/>
        <v>300</v>
      </c>
      <c r="AT91" s="262">
        <f t="shared" si="85"/>
        <v>0</v>
      </c>
      <c r="AU91" s="262">
        <f t="shared" si="86"/>
        <v>0</v>
      </c>
      <c r="AV91" s="431">
        <f t="shared" si="87"/>
        <v>8</v>
      </c>
      <c r="AW91" s="431">
        <f t="array" ref="AW91">MAX((IF(MNU_CODIGO_ALIMENTO_ENTREGA=CONCATENATE($E91,"_","P_"),MNU_GRAMAJE_REQUERIDO_TIPOH,"")))</f>
        <v>100</v>
      </c>
      <c r="AX91" s="259">
        <f t="shared" si="88"/>
        <v>0</v>
      </c>
      <c r="AY91" s="259">
        <f t="shared" si="89"/>
        <v>0</v>
      </c>
      <c r="AZ91" s="452">
        <f t="shared" si="90"/>
        <v>286</v>
      </c>
      <c r="BA91" s="452">
        <f t="shared" si="91"/>
        <v>13.956800000000001</v>
      </c>
      <c r="BB91" s="452">
        <f t="shared" si="92"/>
        <v>0.24596457599999999</v>
      </c>
      <c r="BC91" s="452">
        <f t="shared" si="93"/>
        <v>300</v>
      </c>
      <c r="BD91" s="260">
        <f t="shared" si="94"/>
        <v>0</v>
      </c>
      <c r="BE91" s="260">
        <f t="shared" si="95"/>
        <v>0</v>
      </c>
      <c r="BF91" s="397">
        <f t="shared" si="96"/>
        <v>26819936</v>
      </c>
      <c r="BG91" s="397">
        <f t="shared" si="97"/>
        <v>28132800</v>
      </c>
    </row>
    <row r="92" spans="1:59" ht="15.75">
      <c r="A92" s="338">
        <v>6</v>
      </c>
      <c r="B92" s="338" t="str">
        <f t="shared" si="49"/>
        <v>FRUTA_6</v>
      </c>
      <c r="C92" s="338" t="str">
        <f t="shared" si="50"/>
        <v>69_6</v>
      </c>
      <c r="D92" s="338" t="s">
        <v>1</v>
      </c>
      <c r="E92" s="258">
        <v>69</v>
      </c>
      <c r="F92" s="328" t="s">
        <v>70</v>
      </c>
      <c r="G92" s="258" t="s">
        <v>9</v>
      </c>
      <c r="H92" s="431">
        <f t="shared" si="51"/>
        <v>30</v>
      </c>
      <c r="I92" s="431">
        <f t="array" ref="I92">MAX((IF(MNU_CODIGO_ALIMENTO_ENTREGA=CONCATENATE($E92,"_","P_"),MNU_GRAMAJE_REQUERIDO_TIPOA,"")))</f>
        <v>100</v>
      </c>
      <c r="J92" s="259">
        <f t="shared" si="52"/>
        <v>2625</v>
      </c>
      <c r="K92" s="259">
        <f t="shared" si="53"/>
        <v>78750</v>
      </c>
      <c r="L92" s="452">
        <f t="shared" si="54"/>
        <v>305</v>
      </c>
      <c r="M92" s="452">
        <f t="shared" si="55"/>
        <v>14.884</v>
      </c>
      <c r="N92" s="452">
        <f t="shared" si="56"/>
        <v>0.26230488000000002</v>
      </c>
      <c r="O92" s="452">
        <f t="shared" si="57"/>
        <v>320</v>
      </c>
      <c r="P92" s="260">
        <f t="shared" si="58"/>
        <v>24018750</v>
      </c>
      <c r="Q92" s="260">
        <f t="shared" si="59"/>
        <v>25200000</v>
      </c>
      <c r="R92" s="432">
        <f t="shared" si="60"/>
        <v>16</v>
      </c>
      <c r="S92" s="432">
        <f t="array" ref="S92">MAX((IF(MNU_CODIGO_ALIMENTO_ENTREGA=CONCATENATE($E92,"_","P_"),MNU_GRAMAJE_REQUERIDO_TIPOB,"")))</f>
        <v>100</v>
      </c>
      <c r="T92" s="261">
        <f t="shared" si="61"/>
        <v>4826</v>
      </c>
      <c r="U92" s="261">
        <f t="shared" si="62"/>
        <v>77216</v>
      </c>
      <c r="V92" s="452">
        <f t="shared" si="63"/>
        <v>305</v>
      </c>
      <c r="W92" s="452">
        <f t="shared" si="64"/>
        <v>14.884</v>
      </c>
      <c r="X92" s="452">
        <f t="shared" si="65"/>
        <v>0.26230488000000002</v>
      </c>
      <c r="Y92" s="452">
        <f t="shared" si="66"/>
        <v>320</v>
      </c>
      <c r="Z92" s="262">
        <f t="shared" si="67"/>
        <v>23550880</v>
      </c>
      <c r="AA92" s="262">
        <f t="shared" si="68"/>
        <v>24709120</v>
      </c>
      <c r="AB92" s="431">
        <f t="shared" si="69"/>
        <v>16</v>
      </c>
      <c r="AC92" s="431">
        <f t="array" ref="AC92">MAX((IF(MNU_CODIGO_ALIMENTO_ENTREGA=CONCATENATE($E92,"_","P_"),MNU_GRAMAJE_REQUERIDO_TIPOC,"")))</f>
        <v>100</v>
      </c>
      <c r="AD92" s="259">
        <f t="shared" si="70"/>
        <v>6896</v>
      </c>
      <c r="AE92" s="259">
        <f t="shared" si="71"/>
        <v>110336</v>
      </c>
      <c r="AF92" s="452">
        <f t="shared" si="72"/>
        <v>305</v>
      </c>
      <c r="AG92" s="452">
        <f t="shared" si="73"/>
        <v>14.884</v>
      </c>
      <c r="AH92" s="452">
        <f t="shared" si="74"/>
        <v>0.26230488000000002</v>
      </c>
      <c r="AI92" s="452">
        <f t="shared" si="75"/>
        <v>320</v>
      </c>
      <c r="AJ92" s="260">
        <f t="shared" si="76"/>
        <v>33652480</v>
      </c>
      <c r="AK92" s="260">
        <f t="shared" si="77"/>
        <v>35307520</v>
      </c>
      <c r="AL92" s="432">
        <f t="shared" si="78"/>
        <v>16</v>
      </c>
      <c r="AM92" s="432">
        <f t="array" ref="AM92">MAX((IF(MNU_CODIGO_ALIMENTO_ENTREGA=CONCATENATE($E92,"_","P_"),MNU_GRAMAJE_REQUERIDO_TIPOM,"")))</f>
        <v>100</v>
      </c>
      <c r="AN92" s="261">
        <f t="shared" si="79"/>
        <v>0</v>
      </c>
      <c r="AO92" s="261">
        <f t="shared" si="80"/>
        <v>0</v>
      </c>
      <c r="AP92" s="452">
        <f t="shared" si="81"/>
        <v>305</v>
      </c>
      <c r="AQ92" s="452">
        <f t="shared" si="82"/>
        <v>14.884</v>
      </c>
      <c r="AR92" s="452">
        <f t="shared" si="83"/>
        <v>0.26230488000000002</v>
      </c>
      <c r="AS92" s="452">
        <f t="shared" si="84"/>
        <v>320</v>
      </c>
      <c r="AT92" s="262">
        <f t="shared" si="85"/>
        <v>0</v>
      </c>
      <c r="AU92" s="262">
        <f t="shared" si="86"/>
        <v>0</v>
      </c>
      <c r="AV92" s="431">
        <f t="shared" si="87"/>
        <v>16</v>
      </c>
      <c r="AW92" s="431">
        <f t="array" ref="AW92">MAX((IF(MNU_CODIGO_ALIMENTO_ENTREGA=CONCATENATE($E92,"_","P_"),MNU_GRAMAJE_REQUERIDO_TIPOH,"")))</f>
        <v>100</v>
      </c>
      <c r="AX92" s="259">
        <f t="shared" si="88"/>
        <v>0</v>
      </c>
      <c r="AY92" s="259">
        <f t="shared" si="89"/>
        <v>0</v>
      </c>
      <c r="AZ92" s="452">
        <f t="shared" si="90"/>
        <v>305</v>
      </c>
      <c r="BA92" s="452">
        <f t="shared" si="91"/>
        <v>14.884</v>
      </c>
      <c r="BB92" s="452">
        <f t="shared" si="92"/>
        <v>0.26230488000000002</v>
      </c>
      <c r="BC92" s="452">
        <f t="shared" si="93"/>
        <v>320</v>
      </c>
      <c r="BD92" s="260">
        <f t="shared" si="94"/>
        <v>0</v>
      </c>
      <c r="BE92" s="260">
        <f t="shared" si="95"/>
        <v>0</v>
      </c>
      <c r="BF92" s="397">
        <f t="shared" si="96"/>
        <v>81222110</v>
      </c>
      <c r="BG92" s="397">
        <f t="shared" si="97"/>
        <v>85216640</v>
      </c>
    </row>
    <row r="93" spans="1:59" ht="15.75">
      <c r="A93" s="338">
        <v>6</v>
      </c>
      <c r="B93" s="338" t="str">
        <f t="shared" si="49"/>
        <v>FRUTA_6</v>
      </c>
      <c r="C93" s="338" t="str">
        <f t="shared" si="50"/>
        <v>70_6</v>
      </c>
      <c r="D93" s="338" t="s">
        <v>1</v>
      </c>
      <c r="E93" s="258">
        <v>70</v>
      </c>
      <c r="F93" s="328" t="s">
        <v>71</v>
      </c>
      <c r="G93" s="258" t="s">
        <v>9</v>
      </c>
      <c r="H93" s="431">
        <f t="shared" si="51"/>
        <v>0</v>
      </c>
      <c r="I93" s="431">
        <f t="array" ref="I93">MAX((IF(MNU_CODIGO_ALIMENTO_ENTREGA=CONCATENATE($E93,"_","P_"),MNU_GRAMAJE_REQUERIDO_TIPOA,"")))</f>
        <v>0</v>
      </c>
      <c r="J93" s="259">
        <f t="shared" si="52"/>
        <v>2625</v>
      </c>
      <c r="K93" s="259">
        <f t="shared" si="53"/>
        <v>0</v>
      </c>
      <c r="L93" s="452">
        <f t="shared" si="54"/>
        <v>0</v>
      </c>
      <c r="M93" s="452">
        <f t="shared" si="55"/>
        <v>0</v>
      </c>
      <c r="N93" s="452">
        <f t="shared" si="56"/>
        <v>0</v>
      </c>
      <c r="O93" s="452">
        <f t="shared" si="57"/>
        <v>0</v>
      </c>
      <c r="P93" s="260">
        <f t="shared" si="58"/>
        <v>0</v>
      </c>
      <c r="Q93" s="260">
        <f t="shared" si="59"/>
        <v>0</v>
      </c>
      <c r="R93" s="432">
        <f t="shared" si="60"/>
        <v>10</v>
      </c>
      <c r="S93" s="432">
        <f t="array" ref="S93">MAX((IF(MNU_CODIGO_ALIMENTO_ENTREGA=CONCATENATE($E93,"_","P_"),MNU_GRAMAJE_REQUERIDO_TIPOB,"")))</f>
        <v>100</v>
      </c>
      <c r="T93" s="261">
        <f t="shared" si="61"/>
        <v>4826</v>
      </c>
      <c r="U93" s="261">
        <f t="shared" si="62"/>
        <v>48260</v>
      </c>
      <c r="V93" s="452">
        <f t="shared" si="63"/>
        <v>434</v>
      </c>
      <c r="W93" s="452">
        <f t="shared" si="64"/>
        <v>21.179200000000002</v>
      </c>
      <c r="X93" s="452">
        <f t="shared" si="65"/>
        <v>0.37324694399999997</v>
      </c>
      <c r="Y93" s="452">
        <f t="shared" si="66"/>
        <v>456</v>
      </c>
      <c r="Z93" s="262">
        <f t="shared" si="67"/>
        <v>20944840</v>
      </c>
      <c r="AA93" s="262">
        <f t="shared" si="68"/>
        <v>22006560</v>
      </c>
      <c r="AB93" s="431">
        <f t="shared" si="69"/>
        <v>10</v>
      </c>
      <c r="AC93" s="431">
        <f t="array" ref="AC93">MAX((IF(MNU_CODIGO_ALIMENTO_ENTREGA=CONCATENATE($E93,"_","P_"),MNU_GRAMAJE_REQUERIDO_TIPOC,"")))</f>
        <v>100</v>
      </c>
      <c r="AD93" s="259">
        <f t="shared" si="70"/>
        <v>6896</v>
      </c>
      <c r="AE93" s="259">
        <f t="shared" si="71"/>
        <v>68960</v>
      </c>
      <c r="AF93" s="452">
        <f t="shared" si="72"/>
        <v>434</v>
      </c>
      <c r="AG93" s="452">
        <f t="shared" si="73"/>
        <v>21.179200000000002</v>
      </c>
      <c r="AH93" s="452">
        <f t="shared" si="74"/>
        <v>0.37324694399999997</v>
      </c>
      <c r="AI93" s="452">
        <f t="shared" si="75"/>
        <v>456</v>
      </c>
      <c r="AJ93" s="260">
        <f t="shared" si="76"/>
        <v>29928640</v>
      </c>
      <c r="AK93" s="260">
        <f t="shared" si="77"/>
        <v>31445760</v>
      </c>
      <c r="AL93" s="432">
        <f t="shared" si="78"/>
        <v>10</v>
      </c>
      <c r="AM93" s="432">
        <f t="array" ref="AM93">MAX((IF(MNU_CODIGO_ALIMENTO_ENTREGA=CONCATENATE($E93,"_","P_"),MNU_GRAMAJE_REQUERIDO_TIPOM,"")))</f>
        <v>100</v>
      </c>
      <c r="AN93" s="261">
        <f t="shared" si="79"/>
        <v>0</v>
      </c>
      <c r="AO93" s="261">
        <f t="shared" si="80"/>
        <v>0</v>
      </c>
      <c r="AP93" s="452">
        <f t="shared" si="81"/>
        <v>434</v>
      </c>
      <c r="AQ93" s="452">
        <f t="shared" si="82"/>
        <v>21.179200000000002</v>
      </c>
      <c r="AR93" s="452">
        <f t="shared" si="83"/>
        <v>0.37324694399999997</v>
      </c>
      <c r="AS93" s="452">
        <f t="shared" si="84"/>
        <v>456</v>
      </c>
      <c r="AT93" s="262">
        <f t="shared" si="85"/>
        <v>0</v>
      </c>
      <c r="AU93" s="262">
        <f t="shared" si="86"/>
        <v>0</v>
      </c>
      <c r="AV93" s="431">
        <f t="shared" si="87"/>
        <v>10</v>
      </c>
      <c r="AW93" s="431">
        <f t="array" ref="AW93">MAX((IF(MNU_CODIGO_ALIMENTO_ENTREGA=CONCATENATE($E93,"_","P_"),MNU_GRAMAJE_REQUERIDO_TIPOH,"")))</f>
        <v>100</v>
      </c>
      <c r="AX93" s="259">
        <f t="shared" si="88"/>
        <v>0</v>
      </c>
      <c r="AY93" s="259">
        <f t="shared" si="89"/>
        <v>0</v>
      </c>
      <c r="AZ93" s="452">
        <f t="shared" si="90"/>
        <v>434</v>
      </c>
      <c r="BA93" s="452">
        <f t="shared" si="91"/>
        <v>21.179200000000002</v>
      </c>
      <c r="BB93" s="452">
        <f t="shared" si="92"/>
        <v>0.37324694399999997</v>
      </c>
      <c r="BC93" s="452">
        <f t="shared" si="93"/>
        <v>456</v>
      </c>
      <c r="BD93" s="260">
        <f t="shared" si="94"/>
        <v>0</v>
      </c>
      <c r="BE93" s="260">
        <f t="shared" si="95"/>
        <v>0</v>
      </c>
      <c r="BF93" s="397">
        <f t="shared" si="96"/>
        <v>50873480</v>
      </c>
      <c r="BG93" s="397">
        <f t="shared" si="97"/>
        <v>53452320</v>
      </c>
    </row>
    <row r="94" spans="1:59" ht="15.75">
      <c r="A94" s="338">
        <v>7</v>
      </c>
      <c r="B94" s="338" t="str">
        <f t="shared" si="49"/>
        <v>FRUTA_7</v>
      </c>
      <c r="C94" s="338" t="str">
        <f t="shared" si="50"/>
        <v>7_7</v>
      </c>
      <c r="D94" s="338" t="s">
        <v>1</v>
      </c>
      <c r="E94" s="258">
        <v>7</v>
      </c>
      <c r="F94" s="328" t="s">
        <v>57</v>
      </c>
      <c r="G94" s="258" t="s">
        <v>9</v>
      </c>
      <c r="H94" s="431">
        <f t="shared" si="51"/>
        <v>22</v>
      </c>
      <c r="I94" s="431">
        <f t="array" ref="I94">MAX((IF(MNU_CODIGO_ALIMENTO_ENTREGA=CONCATENATE($E94,"_","P_"),MNU_GRAMAJE_REQUERIDO_TIPOA,"")))</f>
        <v>100</v>
      </c>
      <c r="J94" s="259">
        <f t="shared" si="52"/>
        <v>5424</v>
      </c>
      <c r="K94" s="259">
        <f t="shared" si="53"/>
        <v>119328</v>
      </c>
      <c r="L94" s="452">
        <f t="shared" si="54"/>
        <v>107</v>
      </c>
      <c r="M94" s="452">
        <f t="shared" si="55"/>
        <v>5.2216000000000005</v>
      </c>
      <c r="N94" s="452">
        <f t="shared" si="56"/>
        <v>9.2021712000000006E-2</v>
      </c>
      <c r="O94" s="452">
        <f t="shared" si="57"/>
        <v>112</v>
      </c>
      <c r="P94" s="260">
        <f t="shared" si="58"/>
        <v>12768096</v>
      </c>
      <c r="Q94" s="260">
        <f t="shared" si="59"/>
        <v>13364736</v>
      </c>
      <c r="R94" s="432">
        <f t="shared" si="60"/>
        <v>9</v>
      </c>
      <c r="S94" s="432">
        <f t="array" ref="S94">MAX((IF(MNU_CODIGO_ALIMENTO_ENTREGA=CONCATENATE($E94,"_","P_"),MNU_GRAMAJE_REQUERIDO_TIPOB,"")))</f>
        <v>100</v>
      </c>
      <c r="T94" s="261">
        <f t="shared" si="61"/>
        <v>8018</v>
      </c>
      <c r="U94" s="261">
        <f t="shared" si="62"/>
        <v>72162</v>
      </c>
      <c r="V94" s="452">
        <f t="shared" si="63"/>
        <v>107</v>
      </c>
      <c r="W94" s="452">
        <f t="shared" si="64"/>
        <v>5.2216000000000005</v>
      </c>
      <c r="X94" s="452">
        <f t="shared" si="65"/>
        <v>9.2021712000000006E-2</v>
      </c>
      <c r="Y94" s="452">
        <f t="shared" si="66"/>
        <v>112</v>
      </c>
      <c r="Z94" s="262">
        <f t="shared" si="67"/>
        <v>7721334</v>
      </c>
      <c r="AA94" s="262">
        <f t="shared" si="68"/>
        <v>8082144</v>
      </c>
      <c r="AB94" s="431">
        <f t="shared" si="69"/>
        <v>9</v>
      </c>
      <c r="AC94" s="431">
        <f t="array" ref="AC94">MAX((IF(MNU_CODIGO_ALIMENTO_ENTREGA=CONCATENATE($E94,"_","P_"),MNU_GRAMAJE_REQUERIDO_TIPOC,"")))</f>
        <v>100</v>
      </c>
      <c r="AD94" s="259">
        <f t="shared" si="70"/>
        <v>9814</v>
      </c>
      <c r="AE94" s="259">
        <f t="shared" si="71"/>
        <v>88326</v>
      </c>
      <c r="AF94" s="452">
        <f t="shared" si="72"/>
        <v>107</v>
      </c>
      <c r="AG94" s="452">
        <f t="shared" si="73"/>
        <v>5.2216000000000005</v>
      </c>
      <c r="AH94" s="452">
        <f t="shared" si="74"/>
        <v>9.2021712000000006E-2</v>
      </c>
      <c r="AI94" s="452">
        <f t="shared" si="75"/>
        <v>112</v>
      </c>
      <c r="AJ94" s="260">
        <f t="shared" si="76"/>
        <v>9450882</v>
      </c>
      <c r="AK94" s="260">
        <f t="shared" si="77"/>
        <v>9892512</v>
      </c>
      <c r="AL94" s="432">
        <f t="shared" si="78"/>
        <v>9</v>
      </c>
      <c r="AM94" s="432">
        <f t="array" ref="AM94">MAX((IF(MNU_CODIGO_ALIMENTO_ENTREGA=CONCATENATE($E94,"_","P_"),MNU_GRAMAJE_REQUERIDO_TIPOM,"")))</f>
        <v>100</v>
      </c>
      <c r="AN94" s="261">
        <f t="shared" si="79"/>
        <v>164</v>
      </c>
      <c r="AO94" s="261">
        <f t="shared" si="80"/>
        <v>1476</v>
      </c>
      <c r="AP94" s="452">
        <f t="shared" si="81"/>
        <v>107</v>
      </c>
      <c r="AQ94" s="452">
        <f t="shared" si="82"/>
        <v>5.2216000000000005</v>
      </c>
      <c r="AR94" s="452">
        <f t="shared" si="83"/>
        <v>9.2021712000000006E-2</v>
      </c>
      <c r="AS94" s="452">
        <f t="shared" si="84"/>
        <v>112</v>
      </c>
      <c r="AT94" s="262">
        <f t="shared" si="85"/>
        <v>157932</v>
      </c>
      <c r="AU94" s="262">
        <f t="shared" si="86"/>
        <v>165312</v>
      </c>
      <c r="AV94" s="431">
        <f t="shared" si="87"/>
        <v>9</v>
      </c>
      <c r="AW94" s="431">
        <f t="array" ref="AW94">MAX((IF(MNU_CODIGO_ALIMENTO_ENTREGA=CONCATENATE($E94,"_","P_"),MNU_GRAMAJE_REQUERIDO_TIPOH,"")))</f>
        <v>100</v>
      </c>
      <c r="AX94" s="259">
        <f t="shared" si="88"/>
        <v>160</v>
      </c>
      <c r="AY94" s="259">
        <f t="shared" si="89"/>
        <v>1440</v>
      </c>
      <c r="AZ94" s="452">
        <f t="shared" si="90"/>
        <v>107</v>
      </c>
      <c r="BA94" s="452">
        <f t="shared" si="91"/>
        <v>5.2216000000000005</v>
      </c>
      <c r="BB94" s="452">
        <f t="shared" si="92"/>
        <v>9.2021712000000006E-2</v>
      </c>
      <c r="BC94" s="452">
        <f t="shared" si="93"/>
        <v>112</v>
      </c>
      <c r="BD94" s="260">
        <f t="shared" si="94"/>
        <v>154080</v>
      </c>
      <c r="BE94" s="260">
        <f t="shared" si="95"/>
        <v>161280</v>
      </c>
      <c r="BF94" s="397">
        <f t="shared" si="96"/>
        <v>30252324</v>
      </c>
      <c r="BG94" s="397">
        <f t="shared" si="97"/>
        <v>31665984</v>
      </c>
    </row>
    <row r="95" spans="1:59" ht="15.75">
      <c r="A95" s="338">
        <v>7</v>
      </c>
      <c r="B95" s="338" t="str">
        <f t="shared" si="49"/>
        <v>FRUTA_7</v>
      </c>
      <c r="C95" s="338" t="str">
        <f t="shared" si="50"/>
        <v>8_7</v>
      </c>
      <c r="D95" s="338" t="s">
        <v>1</v>
      </c>
      <c r="E95" s="258">
        <v>8</v>
      </c>
      <c r="F95" s="328" t="s">
        <v>55</v>
      </c>
      <c r="G95" s="258" t="s">
        <v>9</v>
      </c>
      <c r="H95" s="431">
        <f t="shared" si="51"/>
        <v>10</v>
      </c>
      <c r="I95" s="431">
        <f t="array" ref="I95">MAX((IF(MNU_CODIGO_ALIMENTO_ENTREGA=CONCATENATE($E95,"_","P_"),MNU_GRAMAJE_REQUERIDO_TIPOA,"")))</f>
        <v>100</v>
      </c>
      <c r="J95" s="259">
        <f t="shared" si="52"/>
        <v>5424</v>
      </c>
      <c r="K95" s="259">
        <f t="shared" si="53"/>
        <v>54240</v>
      </c>
      <c r="L95" s="452">
        <f t="shared" si="54"/>
        <v>134</v>
      </c>
      <c r="M95" s="452">
        <f t="shared" si="55"/>
        <v>6.539200000000001</v>
      </c>
      <c r="N95" s="452">
        <f t="shared" si="56"/>
        <v>0.115242144</v>
      </c>
      <c r="O95" s="452">
        <f t="shared" si="57"/>
        <v>141</v>
      </c>
      <c r="P95" s="260">
        <f t="shared" si="58"/>
        <v>7268160</v>
      </c>
      <c r="Q95" s="260">
        <f t="shared" si="59"/>
        <v>7647840</v>
      </c>
      <c r="R95" s="432">
        <f t="shared" si="60"/>
        <v>8</v>
      </c>
      <c r="S95" s="432">
        <f t="array" ref="S95">MAX((IF(MNU_CODIGO_ALIMENTO_ENTREGA=CONCATENATE($E95,"_","P_"),MNU_GRAMAJE_REQUERIDO_TIPOB,"")))</f>
        <v>100</v>
      </c>
      <c r="T95" s="261">
        <f t="shared" si="61"/>
        <v>8018</v>
      </c>
      <c r="U95" s="261">
        <f t="shared" si="62"/>
        <v>64144</v>
      </c>
      <c r="V95" s="452">
        <f t="shared" si="63"/>
        <v>134</v>
      </c>
      <c r="W95" s="452">
        <f t="shared" si="64"/>
        <v>6.539200000000001</v>
      </c>
      <c r="X95" s="452">
        <f t="shared" si="65"/>
        <v>0.115242144</v>
      </c>
      <c r="Y95" s="452">
        <f t="shared" si="66"/>
        <v>141</v>
      </c>
      <c r="Z95" s="262">
        <f t="shared" si="67"/>
        <v>8595296</v>
      </c>
      <c r="AA95" s="262">
        <f t="shared" si="68"/>
        <v>9044304</v>
      </c>
      <c r="AB95" s="431">
        <f t="shared" si="69"/>
        <v>8</v>
      </c>
      <c r="AC95" s="431">
        <f t="array" ref="AC95">MAX((IF(MNU_CODIGO_ALIMENTO_ENTREGA=CONCATENATE($E95,"_","P_"),MNU_GRAMAJE_REQUERIDO_TIPOC,"")))</f>
        <v>100</v>
      </c>
      <c r="AD95" s="259">
        <f t="shared" si="70"/>
        <v>9814</v>
      </c>
      <c r="AE95" s="259">
        <f t="shared" si="71"/>
        <v>78512</v>
      </c>
      <c r="AF95" s="452">
        <f t="shared" si="72"/>
        <v>134</v>
      </c>
      <c r="AG95" s="452">
        <f t="shared" si="73"/>
        <v>6.539200000000001</v>
      </c>
      <c r="AH95" s="452">
        <f t="shared" si="74"/>
        <v>0.115242144</v>
      </c>
      <c r="AI95" s="452">
        <f t="shared" si="75"/>
        <v>141</v>
      </c>
      <c r="AJ95" s="260">
        <f t="shared" si="76"/>
        <v>10520608</v>
      </c>
      <c r="AK95" s="260">
        <f t="shared" si="77"/>
        <v>11070192</v>
      </c>
      <c r="AL95" s="432">
        <f t="shared" si="78"/>
        <v>8</v>
      </c>
      <c r="AM95" s="432">
        <f t="array" ref="AM95">MAX((IF(MNU_CODIGO_ALIMENTO_ENTREGA=CONCATENATE($E95,"_","P_"),MNU_GRAMAJE_REQUERIDO_TIPOM,"")))</f>
        <v>100</v>
      </c>
      <c r="AN95" s="261">
        <f t="shared" si="79"/>
        <v>164</v>
      </c>
      <c r="AO95" s="261">
        <f t="shared" si="80"/>
        <v>1312</v>
      </c>
      <c r="AP95" s="452">
        <f t="shared" si="81"/>
        <v>134</v>
      </c>
      <c r="AQ95" s="452">
        <f t="shared" si="82"/>
        <v>6.539200000000001</v>
      </c>
      <c r="AR95" s="452">
        <f t="shared" si="83"/>
        <v>0.115242144</v>
      </c>
      <c r="AS95" s="452">
        <f t="shared" si="84"/>
        <v>141</v>
      </c>
      <c r="AT95" s="262">
        <f t="shared" si="85"/>
        <v>175808</v>
      </c>
      <c r="AU95" s="262">
        <f t="shared" si="86"/>
        <v>184992</v>
      </c>
      <c r="AV95" s="431">
        <f t="shared" si="87"/>
        <v>8</v>
      </c>
      <c r="AW95" s="431">
        <f t="array" ref="AW95">MAX((IF(MNU_CODIGO_ALIMENTO_ENTREGA=CONCATENATE($E95,"_","P_"),MNU_GRAMAJE_REQUERIDO_TIPOH,"")))</f>
        <v>100</v>
      </c>
      <c r="AX95" s="259">
        <f t="shared" si="88"/>
        <v>160</v>
      </c>
      <c r="AY95" s="259">
        <f t="shared" si="89"/>
        <v>1280</v>
      </c>
      <c r="AZ95" s="452">
        <f t="shared" si="90"/>
        <v>134</v>
      </c>
      <c r="BA95" s="452">
        <f t="shared" si="91"/>
        <v>6.539200000000001</v>
      </c>
      <c r="BB95" s="452">
        <f t="shared" si="92"/>
        <v>0.115242144</v>
      </c>
      <c r="BC95" s="452">
        <f t="shared" si="93"/>
        <v>141</v>
      </c>
      <c r="BD95" s="260">
        <f t="shared" si="94"/>
        <v>171520</v>
      </c>
      <c r="BE95" s="260">
        <f t="shared" si="95"/>
        <v>180480</v>
      </c>
      <c r="BF95" s="397">
        <f t="shared" si="96"/>
        <v>26731392</v>
      </c>
      <c r="BG95" s="397">
        <f t="shared" si="97"/>
        <v>28127808</v>
      </c>
    </row>
    <row r="96" spans="1:59" ht="15.75">
      <c r="A96" s="338">
        <v>7</v>
      </c>
      <c r="B96" s="338" t="str">
        <f t="shared" si="49"/>
        <v>FRUTA_7</v>
      </c>
      <c r="C96" s="338" t="str">
        <f t="shared" si="50"/>
        <v>17_7</v>
      </c>
      <c r="D96" s="338" t="s">
        <v>1</v>
      </c>
      <c r="E96" s="258">
        <v>17</v>
      </c>
      <c r="F96" s="328" t="s">
        <v>53</v>
      </c>
      <c r="G96" s="258" t="s">
        <v>9</v>
      </c>
      <c r="H96" s="431">
        <f t="shared" si="51"/>
        <v>0</v>
      </c>
      <c r="I96" s="431">
        <f t="array" ref="I96">MAX((IF(MNU_CODIGO_ALIMENTO_ENTREGA=CONCATENATE($E96,"_","P_"),MNU_GRAMAJE_REQUERIDO_TIPOA,"")))</f>
        <v>0</v>
      </c>
      <c r="J96" s="259">
        <f t="shared" si="52"/>
        <v>5424</v>
      </c>
      <c r="K96" s="259">
        <f t="shared" si="53"/>
        <v>0</v>
      </c>
      <c r="L96" s="452">
        <f t="shared" si="54"/>
        <v>0</v>
      </c>
      <c r="M96" s="452">
        <f t="shared" si="55"/>
        <v>0</v>
      </c>
      <c r="N96" s="452">
        <f t="shared" si="56"/>
        <v>0</v>
      </c>
      <c r="O96" s="452">
        <f t="shared" si="57"/>
        <v>0</v>
      </c>
      <c r="P96" s="260">
        <f t="shared" si="58"/>
        <v>0</v>
      </c>
      <c r="Q96" s="260">
        <f t="shared" si="59"/>
        <v>0</v>
      </c>
      <c r="R96" s="432">
        <f t="shared" si="60"/>
        <v>21</v>
      </c>
      <c r="S96" s="432">
        <f t="array" ref="S96">MAX((IF(MNU_CODIGO_ALIMENTO_ENTREGA=CONCATENATE($E96,"_","P_"),MNU_GRAMAJE_REQUERIDO_TIPOB,"")))</f>
        <v>100</v>
      </c>
      <c r="T96" s="261">
        <f t="shared" si="61"/>
        <v>8018</v>
      </c>
      <c r="U96" s="261">
        <f t="shared" si="62"/>
        <v>168378</v>
      </c>
      <c r="V96" s="452">
        <f t="shared" si="63"/>
        <v>226</v>
      </c>
      <c r="W96" s="452">
        <f t="shared" si="64"/>
        <v>11.0288</v>
      </c>
      <c r="X96" s="452">
        <f t="shared" si="65"/>
        <v>0.19436361600000002</v>
      </c>
      <c r="Y96" s="452">
        <f t="shared" si="66"/>
        <v>237</v>
      </c>
      <c r="Z96" s="262">
        <f t="shared" si="67"/>
        <v>38053428</v>
      </c>
      <c r="AA96" s="262">
        <f t="shared" si="68"/>
        <v>39905586</v>
      </c>
      <c r="AB96" s="431">
        <f t="shared" si="69"/>
        <v>21</v>
      </c>
      <c r="AC96" s="431">
        <f t="array" ref="AC96">MAX((IF(MNU_CODIGO_ALIMENTO_ENTREGA=CONCATENATE($E96,"_","P_"),MNU_GRAMAJE_REQUERIDO_TIPOC,"")))</f>
        <v>100</v>
      </c>
      <c r="AD96" s="259">
        <f t="shared" si="70"/>
        <v>9814</v>
      </c>
      <c r="AE96" s="259">
        <f t="shared" si="71"/>
        <v>206094</v>
      </c>
      <c r="AF96" s="452">
        <f t="shared" si="72"/>
        <v>226</v>
      </c>
      <c r="AG96" s="452">
        <f t="shared" si="73"/>
        <v>11.0288</v>
      </c>
      <c r="AH96" s="452">
        <f t="shared" si="74"/>
        <v>0.19436361600000002</v>
      </c>
      <c r="AI96" s="452">
        <f t="shared" si="75"/>
        <v>237</v>
      </c>
      <c r="AJ96" s="260">
        <f t="shared" si="76"/>
        <v>46577244</v>
      </c>
      <c r="AK96" s="260">
        <f t="shared" si="77"/>
        <v>48844278</v>
      </c>
      <c r="AL96" s="432">
        <f t="shared" si="78"/>
        <v>21</v>
      </c>
      <c r="AM96" s="432">
        <f t="array" ref="AM96">MAX((IF(MNU_CODIGO_ALIMENTO_ENTREGA=CONCATENATE($E96,"_","P_"),MNU_GRAMAJE_REQUERIDO_TIPOM,"")))</f>
        <v>100</v>
      </c>
      <c r="AN96" s="261">
        <f t="shared" si="79"/>
        <v>164</v>
      </c>
      <c r="AO96" s="261">
        <f t="shared" si="80"/>
        <v>3444</v>
      </c>
      <c r="AP96" s="452">
        <f t="shared" si="81"/>
        <v>226</v>
      </c>
      <c r="AQ96" s="452">
        <f t="shared" si="82"/>
        <v>11.0288</v>
      </c>
      <c r="AR96" s="452">
        <f t="shared" si="83"/>
        <v>0.19436361600000002</v>
      </c>
      <c r="AS96" s="452">
        <f t="shared" si="84"/>
        <v>237</v>
      </c>
      <c r="AT96" s="262">
        <f t="shared" si="85"/>
        <v>778344</v>
      </c>
      <c r="AU96" s="262">
        <f t="shared" si="86"/>
        <v>816228</v>
      </c>
      <c r="AV96" s="431">
        <f t="shared" si="87"/>
        <v>21</v>
      </c>
      <c r="AW96" s="431">
        <f t="array" ref="AW96">MAX((IF(MNU_CODIGO_ALIMENTO_ENTREGA=CONCATENATE($E96,"_","P_"),MNU_GRAMAJE_REQUERIDO_TIPOH,"")))</f>
        <v>100</v>
      </c>
      <c r="AX96" s="259">
        <f t="shared" si="88"/>
        <v>160</v>
      </c>
      <c r="AY96" s="259">
        <f t="shared" si="89"/>
        <v>3360</v>
      </c>
      <c r="AZ96" s="452">
        <f t="shared" si="90"/>
        <v>226</v>
      </c>
      <c r="BA96" s="452">
        <f t="shared" si="91"/>
        <v>11.0288</v>
      </c>
      <c r="BB96" s="452">
        <f t="shared" si="92"/>
        <v>0.19436361600000002</v>
      </c>
      <c r="BC96" s="452">
        <f t="shared" si="93"/>
        <v>237</v>
      </c>
      <c r="BD96" s="260">
        <f t="shared" si="94"/>
        <v>759360</v>
      </c>
      <c r="BE96" s="260">
        <f t="shared" si="95"/>
        <v>796320</v>
      </c>
      <c r="BF96" s="397">
        <f t="shared" si="96"/>
        <v>86168376</v>
      </c>
      <c r="BG96" s="397">
        <f t="shared" si="97"/>
        <v>90362412</v>
      </c>
    </row>
    <row r="97" spans="1:59" ht="15.75">
      <c r="A97" s="338">
        <v>7</v>
      </c>
      <c r="B97" s="338" t="str">
        <f t="shared" si="49"/>
        <v>FRUTA_7</v>
      </c>
      <c r="C97" s="338" t="str">
        <f t="shared" si="50"/>
        <v>22_7</v>
      </c>
      <c r="D97" s="338" t="s">
        <v>1</v>
      </c>
      <c r="E97" s="258">
        <v>22</v>
      </c>
      <c r="F97" s="328" t="s">
        <v>51</v>
      </c>
      <c r="G97" s="258" t="s">
        <v>9</v>
      </c>
      <c r="H97" s="431">
        <f t="shared" si="51"/>
        <v>0</v>
      </c>
      <c r="I97" s="431">
        <f t="array" ref="I97">MAX((IF(MNU_CODIGO_ALIMENTO_ENTREGA=CONCATENATE($E97,"_","P_"),MNU_GRAMAJE_REQUERIDO_TIPOA,"")))</f>
        <v>0</v>
      </c>
      <c r="J97" s="259">
        <f t="shared" si="52"/>
        <v>5424</v>
      </c>
      <c r="K97" s="259">
        <f t="shared" si="53"/>
        <v>0</v>
      </c>
      <c r="L97" s="452">
        <f t="shared" si="54"/>
        <v>0</v>
      </c>
      <c r="M97" s="452">
        <f t="shared" si="55"/>
        <v>0</v>
      </c>
      <c r="N97" s="452">
        <f t="shared" si="56"/>
        <v>0</v>
      </c>
      <c r="O97" s="452">
        <f t="shared" si="57"/>
        <v>0</v>
      </c>
      <c r="P97" s="260">
        <f t="shared" si="58"/>
        <v>0</v>
      </c>
      <c r="Q97" s="260">
        <f t="shared" si="59"/>
        <v>0</v>
      </c>
      <c r="R97" s="432">
        <f t="shared" si="60"/>
        <v>20</v>
      </c>
      <c r="S97" s="432">
        <f t="array" ref="S97">MAX((IF(MNU_CODIGO_ALIMENTO_ENTREGA=CONCATENATE($E97,"_","P_"),MNU_GRAMAJE_REQUERIDO_TIPOB,"")))</f>
        <v>100</v>
      </c>
      <c r="T97" s="261">
        <f t="shared" si="61"/>
        <v>8018</v>
      </c>
      <c r="U97" s="261">
        <f t="shared" si="62"/>
        <v>160360</v>
      </c>
      <c r="V97" s="452">
        <f t="shared" si="63"/>
        <v>525</v>
      </c>
      <c r="W97" s="452">
        <f t="shared" si="64"/>
        <v>25.62</v>
      </c>
      <c r="X97" s="452">
        <f t="shared" si="65"/>
        <v>0.45150840000000003</v>
      </c>
      <c r="Y97" s="452">
        <f t="shared" si="66"/>
        <v>551</v>
      </c>
      <c r="Z97" s="262">
        <f t="shared" si="67"/>
        <v>84189000</v>
      </c>
      <c r="AA97" s="262">
        <f t="shared" si="68"/>
        <v>88358360</v>
      </c>
      <c r="AB97" s="431">
        <f t="shared" si="69"/>
        <v>20</v>
      </c>
      <c r="AC97" s="431">
        <f t="array" ref="AC97">MAX((IF(MNU_CODIGO_ALIMENTO_ENTREGA=CONCATENATE($E97,"_","P_"),MNU_GRAMAJE_REQUERIDO_TIPOC,"")))</f>
        <v>100</v>
      </c>
      <c r="AD97" s="259">
        <f t="shared" si="70"/>
        <v>9814</v>
      </c>
      <c r="AE97" s="259">
        <f t="shared" si="71"/>
        <v>196280</v>
      </c>
      <c r="AF97" s="452">
        <f t="shared" si="72"/>
        <v>525</v>
      </c>
      <c r="AG97" s="452">
        <f t="shared" si="73"/>
        <v>25.62</v>
      </c>
      <c r="AH97" s="452">
        <f t="shared" si="74"/>
        <v>0.45150840000000003</v>
      </c>
      <c r="AI97" s="452">
        <f t="shared" si="75"/>
        <v>551</v>
      </c>
      <c r="AJ97" s="260">
        <f t="shared" si="76"/>
        <v>103047000</v>
      </c>
      <c r="AK97" s="260">
        <f t="shared" si="77"/>
        <v>108150280</v>
      </c>
      <c r="AL97" s="432">
        <f t="shared" si="78"/>
        <v>20</v>
      </c>
      <c r="AM97" s="432">
        <f t="array" ref="AM97">MAX((IF(MNU_CODIGO_ALIMENTO_ENTREGA=CONCATENATE($E97,"_","P_"),MNU_GRAMAJE_REQUERIDO_TIPOM,"")))</f>
        <v>100</v>
      </c>
      <c r="AN97" s="261">
        <f t="shared" si="79"/>
        <v>164</v>
      </c>
      <c r="AO97" s="261">
        <f t="shared" si="80"/>
        <v>3280</v>
      </c>
      <c r="AP97" s="452">
        <f t="shared" si="81"/>
        <v>525</v>
      </c>
      <c r="AQ97" s="452">
        <f t="shared" si="82"/>
        <v>25.62</v>
      </c>
      <c r="AR97" s="452">
        <f t="shared" si="83"/>
        <v>0.45150840000000003</v>
      </c>
      <c r="AS97" s="452">
        <f t="shared" si="84"/>
        <v>551</v>
      </c>
      <c r="AT97" s="262">
        <f t="shared" si="85"/>
        <v>1722000</v>
      </c>
      <c r="AU97" s="262">
        <f t="shared" si="86"/>
        <v>1807280</v>
      </c>
      <c r="AV97" s="431">
        <f t="shared" si="87"/>
        <v>20</v>
      </c>
      <c r="AW97" s="431">
        <f t="array" ref="AW97">MAX((IF(MNU_CODIGO_ALIMENTO_ENTREGA=CONCATENATE($E97,"_","P_"),MNU_GRAMAJE_REQUERIDO_TIPOH,"")))</f>
        <v>100</v>
      </c>
      <c r="AX97" s="259">
        <f t="shared" si="88"/>
        <v>160</v>
      </c>
      <c r="AY97" s="259">
        <f t="shared" si="89"/>
        <v>3200</v>
      </c>
      <c r="AZ97" s="452">
        <f t="shared" si="90"/>
        <v>525</v>
      </c>
      <c r="BA97" s="452">
        <f t="shared" si="91"/>
        <v>25.62</v>
      </c>
      <c r="BB97" s="452">
        <f t="shared" si="92"/>
        <v>0.45150840000000003</v>
      </c>
      <c r="BC97" s="452">
        <f t="shared" si="93"/>
        <v>551</v>
      </c>
      <c r="BD97" s="260">
        <f t="shared" si="94"/>
        <v>1680000</v>
      </c>
      <c r="BE97" s="260">
        <f t="shared" si="95"/>
        <v>1763200</v>
      </c>
      <c r="BF97" s="397">
        <f t="shared" si="96"/>
        <v>190638000</v>
      </c>
      <c r="BG97" s="397">
        <f t="shared" si="97"/>
        <v>200079120</v>
      </c>
    </row>
    <row r="98" spans="1:59" ht="15.75">
      <c r="A98" s="338">
        <v>7</v>
      </c>
      <c r="B98" s="338" t="str">
        <f t="shared" si="49"/>
        <v>FRUTA_7</v>
      </c>
      <c r="C98" s="338" t="str">
        <f t="shared" si="50"/>
        <v>33_7</v>
      </c>
      <c r="D98" s="338" t="s">
        <v>1</v>
      </c>
      <c r="E98" s="258">
        <v>33</v>
      </c>
      <c r="F98" s="328" t="s">
        <v>59</v>
      </c>
      <c r="G98" s="258" t="s">
        <v>48</v>
      </c>
      <c r="H98" s="431">
        <f t="shared" si="51"/>
        <v>27</v>
      </c>
      <c r="I98" s="431">
        <v>1</v>
      </c>
      <c r="J98" s="259">
        <f t="shared" si="52"/>
        <v>5424</v>
      </c>
      <c r="K98" s="259">
        <f t="shared" si="53"/>
        <v>146448</v>
      </c>
      <c r="L98" s="452">
        <f t="shared" si="54"/>
        <v>270</v>
      </c>
      <c r="M98" s="452">
        <f t="shared" si="55"/>
        <v>13.176000000000002</v>
      </c>
      <c r="N98" s="452">
        <f t="shared" si="56"/>
        <v>0.23220432000000002</v>
      </c>
      <c r="O98" s="452">
        <f t="shared" si="57"/>
        <v>283</v>
      </c>
      <c r="P98" s="260">
        <f t="shared" si="58"/>
        <v>39540960</v>
      </c>
      <c r="Q98" s="260">
        <f t="shared" si="59"/>
        <v>41444784</v>
      </c>
      <c r="R98" s="432">
        <f t="shared" si="60"/>
        <v>18</v>
      </c>
      <c r="S98" s="432">
        <v>1</v>
      </c>
      <c r="T98" s="261">
        <f t="shared" si="61"/>
        <v>8018</v>
      </c>
      <c r="U98" s="261">
        <f t="shared" si="62"/>
        <v>144324</v>
      </c>
      <c r="V98" s="452">
        <f t="shared" si="63"/>
        <v>270</v>
      </c>
      <c r="W98" s="452">
        <f t="shared" si="64"/>
        <v>13.176000000000002</v>
      </c>
      <c r="X98" s="452">
        <f t="shared" si="65"/>
        <v>0.23220432000000002</v>
      </c>
      <c r="Y98" s="452">
        <f t="shared" si="66"/>
        <v>283</v>
      </c>
      <c r="Z98" s="262">
        <f t="shared" si="67"/>
        <v>38967480</v>
      </c>
      <c r="AA98" s="262">
        <f t="shared" si="68"/>
        <v>40843692</v>
      </c>
      <c r="AB98" s="431">
        <f t="shared" si="69"/>
        <v>18</v>
      </c>
      <c r="AC98" s="431">
        <v>1</v>
      </c>
      <c r="AD98" s="259">
        <f t="shared" si="70"/>
        <v>9814</v>
      </c>
      <c r="AE98" s="259">
        <f t="shared" si="71"/>
        <v>176652</v>
      </c>
      <c r="AF98" s="452">
        <f t="shared" si="72"/>
        <v>270</v>
      </c>
      <c r="AG98" s="452">
        <f t="shared" si="73"/>
        <v>13.176000000000002</v>
      </c>
      <c r="AH98" s="452">
        <f t="shared" si="74"/>
        <v>0.23220432000000002</v>
      </c>
      <c r="AI98" s="452">
        <f t="shared" si="75"/>
        <v>283</v>
      </c>
      <c r="AJ98" s="260">
        <f t="shared" si="76"/>
        <v>47696040</v>
      </c>
      <c r="AK98" s="260">
        <f t="shared" si="77"/>
        <v>49992516</v>
      </c>
      <c r="AL98" s="432">
        <f t="shared" si="78"/>
        <v>18</v>
      </c>
      <c r="AM98" s="432">
        <v>1</v>
      </c>
      <c r="AN98" s="261">
        <f t="shared" si="79"/>
        <v>164</v>
      </c>
      <c r="AO98" s="261">
        <f t="shared" si="80"/>
        <v>2952</v>
      </c>
      <c r="AP98" s="452">
        <f t="shared" si="81"/>
        <v>270</v>
      </c>
      <c r="AQ98" s="452">
        <f t="shared" si="82"/>
        <v>13.176000000000002</v>
      </c>
      <c r="AR98" s="452">
        <f t="shared" si="83"/>
        <v>0.23220432000000002</v>
      </c>
      <c r="AS98" s="452">
        <f t="shared" si="84"/>
        <v>283</v>
      </c>
      <c r="AT98" s="262">
        <f t="shared" si="85"/>
        <v>797040</v>
      </c>
      <c r="AU98" s="262">
        <f t="shared" si="86"/>
        <v>835416</v>
      </c>
      <c r="AV98" s="431">
        <f t="shared" si="87"/>
        <v>18</v>
      </c>
      <c r="AW98" s="431">
        <v>1</v>
      </c>
      <c r="AX98" s="259">
        <f t="shared" si="88"/>
        <v>160</v>
      </c>
      <c r="AY98" s="259">
        <f t="shared" si="89"/>
        <v>2880</v>
      </c>
      <c r="AZ98" s="452">
        <f t="shared" si="90"/>
        <v>270</v>
      </c>
      <c r="BA98" s="452">
        <f t="shared" si="91"/>
        <v>13.176000000000002</v>
      </c>
      <c r="BB98" s="452">
        <f t="shared" si="92"/>
        <v>0.23220432000000002</v>
      </c>
      <c r="BC98" s="452">
        <f t="shared" si="93"/>
        <v>283</v>
      </c>
      <c r="BD98" s="260">
        <f t="shared" si="94"/>
        <v>777600</v>
      </c>
      <c r="BE98" s="260">
        <f t="shared" si="95"/>
        <v>815040</v>
      </c>
      <c r="BF98" s="397">
        <f t="shared" si="96"/>
        <v>127779120</v>
      </c>
      <c r="BG98" s="397">
        <f t="shared" si="97"/>
        <v>133931448</v>
      </c>
    </row>
    <row r="99" spans="1:59" ht="15.75">
      <c r="A99" s="338">
        <v>7</v>
      </c>
      <c r="B99" s="338" t="str">
        <f t="shared" si="49"/>
        <v>FRUTA_7</v>
      </c>
      <c r="C99" s="338" t="str">
        <f t="shared" si="50"/>
        <v>36_7</v>
      </c>
      <c r="D99" s="338" t="s">
        <v>1</v>
      </c>
      <c r="E99" s="258">
        <v>36</v>
      </c>
      <c r="F99" s="328" t="s">
        <v>1340</v>
      </c>
      <c r="G99" s="258" t="s">
        <v>9</v>
      </c>
      <c r="H99" s="431">
        <f t="shared" si="51"/>
        <v>7</v>
      </c>
      <c r="I99" s="431">
        <f t="array" ref="I99">MAX((IF(MNU_CODIGO_ALIMENTO_ENTREGA=CONCATENATE($E99,"_","P_"),MNU_GRAMAJE_REQUERIDO_TIPOA,"")))</f>
        <v>20</v>
      </c>
      <c r="J99" s="259">
        <f t="shared" si="52"/>
        <v>5424</v>
      </c>
      <c r="K99" s="259">
        <f t="shared" si="53"/>
        <v>37968</v>
      </c>
      <c r="L99" s="452">
        <f t="shared" si="54"/>
        <v>126</v>
      </c>
      <c r="M99" s="452">
        <f t="shared" si="55"/>
        <v>6.1488000000000005</v>
      </c>
      <c r="N99" s="452">
        <f t="shared" si="56"/>
        <v>0.10836201599999999</v>
      </c>
      <c r="O99" s="452">
        <f t="shared" si="57"/>
        <v>132</v>
      </c>
      <c r="P99" s="260">
        <f t="shared" si="58"/>
        <v>4783968</v>
      </c>
      <c r="Q99" s="260">
        <f t="shared" si="59"/>
        <v>5011776</v>
      </c>
      <c r="R99" s="432">
        <f t="shared" si="60"/>
        <v>7</v>
      </c>
      <c r="S99" s="432">
        <f t="array" ref="S99">MAX((IF(MNU_CODIGO_ALIMENTO_ENTREGA=CONCATENATE($E99,"_","P_"),MNU_GRAMAJE_REQUERIDO_TIPOB,"")))</f>
        <v>40</v>
      </c>
      <c r="T99" s="261">
        <f t="shared" si="61"/>
        <v>8018</v>
      </c>
      <c r="U99" s="261">
        <f t="shared" si="62"/>
        <v>56126</v>
      </c>
      <c r="V99" s="452">
        <f t="shared" si="63"/>
        <v>252</v>
      </c>
      <c r="W99" s="452">
        <f t="shared" si="64"/>
        <v>12.297600000000001</v>
      </c>
      <c r="X99" s="452">
        <f t="shared" si="65"/>
        <v>0.21672403199999998</v>
      </c>
      <c r="Y99" s="452">
        <f t="shared" si="66"/>
        <v>265</v>
      </c>
      <c r="Z99" s="262">
        <f t="shared" si="67"/>
        <v>14143752</v>
      </c>
      <c r="AA99" s="262">
        <f t="shared" si="68"/>
        <v>14873390</v>
      </c>
      <c r="AB99" s="431">
        <f t="shared" si="69"/>
        <v>7</v>
      </c>
      <c r="AC99" s="431">
        <f t="array" ref="AC99">MAX((IF(MNU_CODIGO_ALIMENTO_ENTREGA=CONCATENATE($E99,"_","P_"),MNU_GRAMAJE_REQUERIDO_TIPOC,"")))</f>
        <v>40</v>
      </c>
      <c r="AD99" s="259">
        <f t="shared" si="70"/>
        <v>9814</v>
      </c>
      <c r="AE99" s="259">
        <f t="shared" si="71"/>
        <v>68698</v>
      </c>
      <c r="AF99" s="452">
        <f t="shared" si="72"/>
        <v>252</v>
      </c>
      <c r="AG99" s="452">
        <f t="shared" si="73"/>
        <v>12.297600000000001</v>
      </c>
      <c r="AH99" s="452">
        <f t="shared" si="74"/>
        <v>0.21672403199999998</v>
      </c>
      <c r="AI99" s="452">
        <f t="shared" si="75"/>
        <v>265</v>
      </c>
      <c r="AJ99" s="260">
        <f t="shared" si="76"/>
        <v>17311896</v>
      </c>
      <c r="AK99" s="260">
        <f t="shared" si="77"/>
        <v>18204970</v>
      </c>
      <c r="AL99" s="432">
        <f t="shared" si="78"/>
        <v>7</v>
      </c>
      <c r="AM99" s="432">
        <f t="array" ref="AM99">MAX((IF(MNU_CODIGO_ALIMENTO_ENTREGA=CONCATENATE($E99,"_","P_"),MNU_GRAMAJE_REQUERIDO_TIPOM,"")))</f>
        <v>40</v>
      </c>
      <c r="AN99" s="261">
        <f t="shared" si="79"/>
        <v>164</v>
      </c>
      <c r="AO99" s="261">
        <f t="shared" si="80"/>
        <v>1148</v>
      </c>
      <c r="AP99" s="452">
        <f t="shared" si="81"/>
        <v>252</v>
      </c>
      <c r="AQ99" s="452">
        <f t="shared" si="82"/>
        <v>12.297600000000001</v>
      </c>
      <c r="AR99" s="452">
        <f t="shared" si="83"/>
        <v>0.21672403199999998</v>
      </c>
      <c r="AS99" s="452">
        <f t="shared" si="84"/>
        <v>265</v>
      </c>
      <c r="AT99" s="262">
        <f t="shared" si="85"/>
        <v>289296</v>
      </c>
      <c r="AU99" s="262">
        <f t="shared" si="86"/>
        <v>304220</v>
      </c>
      <c r="AV99" s="431">
        <f t="shared" si="87"/>
        <v>7</v>
      </c>
      <c r="AW99" s="431">
        <f t="array" ref="AW99">MAX((IF(MNU_CODIGO_ALIMENTO_ENTREGA=CONCATENATE($E99,"_","P_"),MNU_GRAMAJE_REQUERIDO_TIPOH,"")))</f>
        <v>40</v>
      </c>
      <c r="AX99" s="259">
        <f t="shared" si="88"/>
        <v>160</v>
      </c>
      <c r="AY99" s="259">
        <f t="shared" si="89"/>
        <v>1120</v>
      </c>
      <c r="AZ99" s="452">
        <f t="shared" si="90"/>
        <v>252</v>
      </c>
      <c r="BA99" s="452">
        <f t="shared" si="91"/>
        <v>12.297600000000001</v>
      </c>
      <c r="BB99" s="452">
        <f t="shared" si="92"/>
        <v>0.21672403199999998</v>
      </c>
      <c r="BC99" s="452">
        <f t="shared" si="93"/>
        <v>265</v>
      </c>
      <c r="BD99" s="260">
        <f t="shared" si="94"/>
        <v>282240</v>
      </c>
      <c r="BE99" s="260">
        <f t="shared" si="95"/>
        <v>296800</v>
      </c>
      <c r="BF99" s="397">
        <f t="shared" si="96"/>
        <v>36811152</v>
      </c>
      <c r="BG99" s="397">
        <f t="shared" si="97"/>
        <v>38691156</v>
      </c>
    </row>
    <row r="100" spans="1:59" ht="15.75">
      <c r="A100" s="338">
        <v>7</v>
      </c>
      <c r="B100" s="338" t="str">
        <f t="shared" si="49"/>
        <v>FRUTA_7</v>
      </c>
      <c r="C100" s="338" t="str">
        <f t="shared" si="50"/>
        <v>42_7</v>
      </c>
      <c r="D100" s="338" t="s">
        <v>1</v>
      </c>
      <c r="E100" s="258">
        <v>42</v>
      </c>
      <c r="F100" s="328" t="s">
        <v>61</v>
      </c>
      <c r="G100" s="258" t="s">
        <v>9</v>
      </c>
      <c r="H100" s="431">
        <f t="shared" si="51"/>
        <v>23</v>
      </c>
      <c r="I100" s="431">
        <f t="array" ref="I100">MAX((IF(MNU_CODIGO_ALIMENTO_ENTREGA=CONCATENATE($E100,"_","P_"),MNU_GRAMAJE_REQUERIDO_TIPOA,"")))</f>
        <v>100</v>
      </c>
      <c r="J100" s="259">
        <f t="shared" si="52"/>
        <v>5424</v>
      </c>
      <c r="K100" s="259">
        <f t="shared" si="53"/>
        <v>124752</v>
      </c>
      <c r="L100" s="452">
        <f t="shared" si="54"/>
        <v>194</v>
      </c>
      <c r="M100" s="452">
        <f t="shared" si="55"/>
        <v>9.4672000000000001</v>
      </c>
      <c r="N100" s="452">
        <f t="shared" si="56"/>
        <v>0.16684310399999999</v>
      </c>
      <c r="O100" s="452">
        <f t="shared" si="57"/>
        <v>204</v>
      </c>
      <c r="P100" s="260">
        <f t="shared" si="58"/>
        <v>24201888</v>
      </c>
      <c r="Q100" s="260">
        <f t="shared" si="59"/>
        <v>25449408</v>
      </c>
      <c r="R100" s="432">
        <f t="shared" si="60"/>
        <v>19</v>
      </c>
      <c r="S100" s="432">
        <f t="array" ref="S100">MAX((IF(MNU_CODIGO_ALIMENTO_ENTREGA=CONCATENATE($E100,"_","P_"),MNU_GRAMAJE_REQUERIDO_TIPOB,"")))</f>
        <v>100</v>
      </c>
      <c r="T100" s="261">
        <f t="shared" si="61"/>
        <v>8018</v>
      </c>
      <c r="U100" s="261">
        <f t="shared" si="62"/>
        <v>152342</v>
      </c>
      <c r="V100" s="452">
        <f t="shared" si="63"/>
        <v>194</v>
      </c>
      <c r="W100" s="452">
        <f t="shared" si="64"/>
        <v>9.4672000000000001</v>
      </c>
      <c r="X100" s="452">
        <f t="shared" si="65"/>
        <v>0.16684310399999999</v>
      </c>
      <c r="Y100" s="452">
        <f t="shared" si="66"/>
        <v>204</v>
      </c>
      <c r="Z100" s="262">
        <f t="shared" si="67"/>
        <v>29554348</v>
      </c>
      <c r="AA100" s="262">
        <f t="shared" si="68"/>
        <v>31077768</v>
      </c>
      <c r="AB100" s="431">
        <f t="shared" si="69"/>
        <v>19</v>
      </c>
      <c r="AC100" s="431">
        <f t="array" ref="AC100">MAX((IF(MNU_CODIGO_ALIMENTO_ENTREGA=CONCATENATE($E100,"_","P_"),MNU_GRAMAJE_REQUERIDO_TIPOC,"")))</f>
        <v>100</v>
      </c>
      <c r="AD100" s="259">
        <f t="shared" si="70"/>
        <v>9814</v>
      </c>
      <c r="AE100" s="259">
        <f t="shared" si="71"/>
        <v>186466</v>
      </c>
      <c r="AF100" s="452">
        <f t="shared" si="72"/>
        <v>194</v>
      </c>
      <c r="AG100" s="452">
        <f t="shared" si="73"/>
        <v>9.4672000000000001</v>
      </c>
      <c r="AH100" s="452">
        <f t="shared" si="74"/>
        <v>0.16684310399999999</v>
      </c>
      <c r="AI100" s="452">
        <f t="shared" si="75"/>
        <v>204</v>
      </c>
      <c r="AJ100" s="260">
        <f t="shared" si="76"/>
        <v>36174404</v>
      </c>
      <c r="AK100" s="260">
        <f t="shared" si="77"/>
        <v>38039064</v>
      </c>
      <c r="AL100" s="432">
        <f t="shared" si="78"/>
        <v>19</v>
      </c>
      <c r="AM100" s="432">
        <f t="array" ref="AM100">MAX((IF(MNU_CODIGO_ALIMENTO_ENTREGA=CONCATENATE($E100,"_","P_"),MNU_GRAMAJE_REQUERIDO_TIPOM,"")))</f>
        <v>100</v>
      </c>
      <c r="AN100" s="261">
        <f t="shared" si="79"/>
        <v>164</v>
      </c>
      <c r="AO100" s="261">
        <f t="shared" si="80"/>
        <v>3116</v>
      </c>
      <c r="AP100" s="452">
        <f t="shared" si="81"/>
        <v>194</v>
      </c>
      <c r="AQ100" s="452">
        <f t="shared" si="82"/>
        <v>9.4672000000000001</v>
      </c>
      <c r="AR100" s="452">
        <f t="shared" si="83"/>
        <v>0.16684310399999999</v>
      </c>
      <c r="AS100" s="452">
        <f t="shared" si="84"/>
        <v>204</v>
      </c>
      <c r="AT100" s="262">
        <f t="shared" si="85"/>
        <v>604504</v>
      </c>
      <c r="AU100" s="262">
        <f t="shared" si="86"/>
        <v>635664</v>
      </c>
      <c r="AV100" s="431">
        <f t="shared" si="87"/>
        <v>19</v>
      </c>
      <c r="AW100" s="431">
        <f t="array" ref="AW100">MAX((IF(MNU_CODIGO_ALIMENTO_ENTREGA=CONCATENATE($E100,"_","P_"),MNU_GRAMAJE_REQUERIDO_TIPOH,"")))</f>
        <v>100</v>
      </c>
      <c r="AX100" s="259">
        <f t="shared" si="88"/>
        <v>160</v>
      </c>
      <c r="AY100" s="259">
        <f t="shared" si="89"/>
        <v>3040</v>
      </c>
      <c r="AZ100" s="452">
        <f t="shared" si="90"/>
        <v>194</v>
      </c>
      <c r="BA100" s="452">
        <f t="shared" si="91"/>
        <v>9.4672000000000001</v>
      </c>
      <c r="BB100" s="452">
        <f t="shared" si="92"/>
        <v>0.16684310399999999</v>
      </c>
      <c r="BC100" s="452">
        <f t="shared" si="93"/>
        <v>204</v>
      </c>
      <c r="BD100" s="260">
        <f t="shared" si="94"/>
        <v>589760</v>
      </c>
      <c r="BE100" s="260">
        <f t="shared" si="95"/>
        <v>620160</v>
      </c>
      <c r="BF100" s="397">
        <f t="shared" si="96"/>
        <v>91124904</v>
      </c>
      <c r="BG100" s="397">
        <f t="shared" si="97"/>
        <v>95822064</v>
      </c>
    </row>
    <row r="101" spans="1:59" ht="15.75">
      <c r="A101" s="338">
        <v>7</v>
      </c>
      <c r="B101" s="338" t="str">
        <f t="shared" si="49"/>
        <v>FRUTA_7</v>
      </c>
      <c r="C101" s="338" t="str">
        <f t="shared" si="50"/>
        <v>43_7</v>
      </c>
      <c r="D101" s="338" t="s">
        <v>1</v>
      </c>
      <c r="E101" s="258">
        <v>43</v>
      </c>
      <c r="F101" s="465" t="s">
        <v>62</v>
      </c>
      <c r="G101" s="258" t="s">
        <v>9</v>
      </c>
      <c r="H101" s="431">
        <f t="shared" si="51"/>
        <v>24</v>
      </c>
      <c r="I101" s="431">
        <f t="array" ref="I101">MAX((IF(MNU_CODIGO_ALIMENTO_ENTREGA=CONCATENATE($E101,"_","P_"),MNU_GRAMAJE_REQUERIDO_TIPOA,"")))</f>
        <v>100</v>
      </c>
      <c r="J101" s="259">
        <f t="shared" si="52"/>
        <v>5424</v>
      </c>
      <c r="K101" s="259">
        <f t="shared" si="53"/>
        <v>130176</v>
      </c>
      <c r="L101" s="452">
        <f t="shared" si="54"/>
        <v>170</v>
      </c>
      <c r="M101" s="452">
        <f t="shared" si="55"/>
        <v>8.2959999999999994</v>
      </c>
      <c r="N101" s="452">
        <f t="shared" si="56"/>
        <v>0.14620272000000001</v>
      </c>
      <c r="O101" s="452">
        <f t="shared" si="57"/>
        <v>178</v>
      </c>
      <c r="P101" s="260">
        <f t="shared" si="58"/>
        <v>22129920</v>
      </c>
      <c r="Q101" s="260">
        <f t="shared" si="59"/>
        <v>23171328</v>
      </c>
      <c r="R101" s="432">
        <f t="shared" si="60"/>
        <v>17</v>
      </c>
      <c r="S101" s="432">
        <f t="array" ref="S101">MAX((IF(MNU_CODIGO_ALIMENTO_ENTREGA=CONCATENATE($E101,"_","P_"),MNU_GRAMAJE_REQUERIDO_TIPOB,"")))</f>
        <v>100</v>
      </c>
      <c r="T101" s="261">
        <f t="shared" si="61"/>
        <v>8018</v>
      </c>
      <c r="U101" s="261">
        <f t="shared" si="62"/>
        <v>136306</v>
      </c>
      <c r="V101" s="452">
        <f t="shared" si="63"/>
        <v>170</v>
      </c>
      <c r="W101" s="452">
        <f t="shared" si="64"/>
        <v>8.2959999999999994</v>
      </c>
      <c r="X101" s="452">
        <f t="shared" si="65"/>
        <v>0.14620272000000001</v>
      </c>
      <c r="Y101" s="452">
        <f t="shared" si="66"/>
        <v>178</v>
      </c>
      <c r="Z101" s="262">
        <f t="shared" si="67"/>
        <v>23172020</v>
      </c>
      <c r="AA101" s="262">
        <f t="shared" si="68"/>
        <v>24262468</v>
      </c>
      <c r="AB101" s="431">
        <f t="shared" si="69"/>
        <v>17</v>
      </c>
      <c r="AC101" s="431">
        <f t="array" ref="AC101">MAX((IF(MNU_CODIGO_ALIMENTO_ENTREGA=CONCATENATE($E101,"_","P_"),MNU_GRAMAJE_REQUERIDO_TIPOC,"")))</f>
        <v>100</v>
      </c>
      <c r="AD101" s="259">
        <f t="shared" si="70"/>
        <v>9814</v>
      </c>
      <c r="AE101" s="259">
        <f t="shared" si="71"/>
        <v>166838</v>
      </c>
      <c r="AF101" s="452">
        <f t="shared" si="72"/>
        <v>170</v>
      </c>
      <c r="AG101" s="452">
        <f t="shared" si="73"/>
        <v>8.2959999999999994</v>
      </c>
      <c r="AH101" s="452">
        <f t="shared" si="74"/>
        <v>0.14620272000000001</v>
      </c>
      <c r="AI101" s="452">
        <f t="shared" si="75"/>
        <v>178</v>
      </c>
      <c r="AJ101" s="260">
        <f t="shared" si="76"/>
        <v>28362460</v>
      </c>
      <c r="AK101" s="260">
        <f t="shared" si="77"/>
        <v>29697164</v>
      </c>
      <c r="AL101" s="432">
        <f t="shared" si="78"/>
        <v>17</v>
      </c>
      <c r="AM101" s="432">
        <f t="array" ref="AM101">MAX((IF(MNU_CODIGO_ALIMENTO_ENTREGA=CONCATENATE($E101,"_","P_"),MNU_GRAMAJE_REQUERIDO_TIPOM,"")))</f>
        <v>100</v>
      </c>
      <c r="AN101" s="261">
        <f t="shared" si="79"/>
        <v>164</v>
      </c>
      <c r="AO101" s="261">
        <f t="shared" si="80"/>
        <v>2788</v>
      </c>
      <c r="AP101" s="452">
        <f t="shared" si="81"/>
        <v>170</v>
      </c>
      <c r="AQ101" s="452">
        <f t="shared" si="82"/>
        <v>8.2959999999999994</v>
      </c>
      <c r="AR101" s="452">
        <f t="shared" si="83"/>
        <v>0.14620272000000001</v>
      </c>
      <c r="AS101" s="452">
        <f t="shared" si="84"/>
        <v>178</v>
      </c>
      <c r="AT101" s="262">
        <f t="shared" si="85"/>
        <v>473960</v>
      </c>
      <c r="AU101" s="262">
        <f t="shared" si="86"/>
        <v>496264</v>
      </c>
      <c r="AV101" s="431">
        <f t="shared" si="87"/>
        <v>17</v>
      </c>
      <c r="AW101" s="431">
        <f t="array" ref="AW101">MAX((IF(MNU_CODIGO_ALIMENTO_ENTREGA=CONCATENATE($E101,"_","P_"),MNU_GRAMAJE_REQUERIDO_TIPOH,"")))</f>
        <v>100</v>
      </c>
      <c r="AX101" s="259">
        <f t="shared" si="88"/>
        <v>160</v>
      </c>
      <c r="AY101" s="259">
        <f t="shared" si="89"/>
        <v>2720</v>
      </c>
      <c r="AZ101" s="452">
        <f t="shared" si="90"/>
        <v>170</v>
      </c>
      <c r="BA101" s="452">
        <f t="shared" si="91"/>
        <v>8.2959999999999994</v>
      </c>
      <c r="BB101" s="452">
        <f t="shared" si="92"/>
        <v>0.14620272000000001</v>
      </c>
      <c r="BC101" s="452">
        <f t="shared" si="93"/>
        <v>178</v>
      </c>
      <c r="BD101" s="260">
        <f t="shared" si="94"/>
        <v>462400</v>
      </c>
      <c r="BE101" s="260">
        <f t="shared" si="95"/>
        <v>484160</v>
      </c>
      <c r="BF101" s="397">
        <f t="shared" si="96"/>
        <v>74600760</v>
      </c>
      <c r="BG101" s="397">
        <f t="shared" si="97"/>
        <v>78111384</v>
      </c>
    </row>
    <row r="102" spans="1:59" ht="15.75">
      <c r="A102" s="338">
        <v>7</v>
      </c>
      <c r="B102" s="338" t="str">
        <f t="shared" si="49"/>
        <v>FRUTA_7</v>
      </c>
      <c r="C102" s="338" t="str">
        <f t="shared" si="50"/>
        <v>46_7</v>
      </c>
      <c r="D102" s="338" t="s">
        <v>1</v>
      </c>
      <c r="E102" s="258">
        <v>46</v>
      </c>
      <c r="F102" s="328" t="s">
        <v>64</v>
      </c>
      <c r="G102" s="258" t="s">
        <v>9</v>
      </c>
      <c r="H102" s="431">
        <f t="shared" si="51"/>
        <v>30</v>
      </c>
      <c r="I102" s="431">
        <f t="array" ref="I102">MAX((IF(MNU_CODIGO_ALIMENTO_ENTREGA=CONCATENATE($E102,"_","P_"),MNU_GRAMAJE_REQUERIDO_TIPOA,"")))</f>
        <v>100</v>
      </c>
      <c r="J102" s="259">
        <f t="shared" si="52"/>
        <v>5424</v>
      </c>
      <c r="K102" s="259">
        <f t="shared" si="53"/>
        <v>162720</v>
      </c>
      <c r="L102" s="452">
        <f t="shared" si="54"/>
        <v>398</v>
      </c>
      <c r="M102" s="452">
        <f t="shared" si="55"/>
        <v>19.4224</v>
      </c>
      <c r="N102" s="452">
        <f t="shared" si="56"/>
        <v>0.34228636800000001</v>
      </c>
      <c r="O102" s="452">
        <f t="shared" si="57"/>
        <v>418</v>
      </c>
      <c r="P102" s="260">
        <f t="shared" si="58"/>
        <v>64762560</v>
      </c>
      <c r="Q102" s="260">
        <f t="shared" si="59"/>
        <v>68016960</v>
      </c>
      <c r="R102" s="432">
        <f t="shared" si="60"/>
        <v>21</v>
      </c>
      <c r="S102" s="432">
        <f t="array" ref="S102">MAX((IF(MNU_CODIGO_ALIMENTO_ENTREGA=CONCATENATE($E102,"_","P_"),MNU_GRAMAJE_REQUERIDO_TIPOB,"")))</f>
        <v>100</v>
      </c>
      <c r="T102" s="261">
        <f t="shared" si="61"/>
        <v>8018</v>
      </c>
      <c r="U102" s="261">
        <f t="shared" si="62"/>
        <v>168378</v>
      </c>
      <c r="V102" s="452">
        <f t="shared" si="63"/>
        <v>398</v>
      </c>
      <c r="W102" s="452">
        <f t="shared" si="64"/>
        <v>19.4224</v>
      </c>
      <c r="X102" s="452">
        <f t="shared" si="65"/>
        <v>0.34228636800000001</v>
      </c>
      <c r="Y102" s="452">
        <f t="shared" si="66"/>
        <v>418</v>
      </c>
      <c r="Z102" s="262">
        <f t="shared" si="67"/>
        <v>67014444</v>
      </c>
      <c r="AA102" s="262">
        <f t="shared" si="68"/>
        <v>70382004</v>
      </c>
      <c r="AB102" s="431">
        <f t="shared" si="69"/>
        <v>21</v>
      </c>
      <c r="AC102" s="431">
        <f t="array" ref="AC102">MAX((IF(MNU_CODIGO_ALIMENTO_ENTREGA=CONCATENATE($E102,"_","P_"),MNU_GRAMAJE_REQUERIDO_TIPOC,"")))</f>
        <v>100</v>
      </c>
      <c r="AD102" s="259">
        <f t="shared" si="70"/>
        <v>9814</v>
      </c>
      <c r="AE102" s="259">
        <f t="shared" si="71"/>
        <v>206094</v>
      </c>
      <c r="AF102" s="452">
        <f t="shared" si="72"/>
        <v>398</v>
      </c>
      <c r="AG102" s="452">
        <f t="shared" si="73"/>
        <v>19.4224</v>
      </c>
      <c r="AH102" s="452">
        <f t="shared" si="74"/>
        <v>0.34228636800000001</v>
      </c>
      <c r="AI102" s="452">
        <f t="shared" si="75"/>
        <v>418</v>
      </c>
      <c r="AJ102" s="260">
        <f t="shared" si="76"/>
        <v>82025412</v>
      </c>
      <c r="AK102" s="260">
        <f t="shared" si="77"/>
        <v>86147292</v>
      </c>
      <c r="AL102" s="432">
        <f t="shared" si="78"/>
        <v>21</v>
      </c>
      <c r="AM102" s="432">
        <f t="array" ref="AM102">MAX((IF(MNU_CODIGO_ALIMENTO_ENTREGA=CONCATENATE($E102,"_","P_"),MNU_GRAMAJE_REQUERIDO_TIPOM,"")))</f>
        <v>100</v>
      </c>
      <c r="AN102" s="261">
        <f t="shared" si="79"/>
        <v>164</v>
      </c>
      <c r="AO102" s="261">
        <f t="shared" si="80"/>
        <v>3444</v>
      </c>
      <c r="AP102" s="452">
        <f t="shared" si="81"/>
        <v>398</v>
      </c>
      <c r="AQ102" s="452">
        <f t="shared" si="82"/>
        <v>19.4224</v>
      </c>
      <c r="AR102" s="452">
        <f t="shared" si="83"/>
        <v>0.34228636800000001</v>
      </c>
      <c r="AS102" s="452">
        <f t="shared" si="84"/>
        <v>418</v>
      </c>
      <c r="AT102" s="262">
        <f t="shared" si="85"/>
        <v>1370712</v>
      </c>
      <c r="AU102" s="262">
        <f t="shared" si="86"/>
        <v>1439592</v>
      </c>
      <c r="AV102" s="431">
        <f t="shared" si="87"/>
        <v>21</v>
      </c>
      <c r="AW102" s="431">
        <f t="array" ref="AW102">MAX((IF(MNU_CODIGO_ALIMENTO_ENTREGA=CONCATENATE($E102,"_","P_"),MNU_GRAMAJE_REQUERIDO_TIPOH,"")))</f>
        <v>100</v>
      </c>
      <c r="AX102" s="259">
        <f t="shared" si="88"/>
        <v>160</v>
      </c>
      <c r="AY102" s="259">
        <f t="shared" si="89"/>
        <v>3360</v>
      </c>
      <c r="AZ102" s="452">
        <f t="shared" si="90"/>
        <v>398</v>
      </c>
      <c r="BA102" s="452">
        <f t="shared" si="91"/>
        <v>19.4224</v>
      </c>
      <c r="BB102" s="452">
        <f t="shared" si="92"/>
        <v>0.34228636800000001</v>
      </c>
      <c r="BC102" s="452">
        <f t="shared" si="93"/>
        <v>418</v>
      </c>
      <c r="BD102" s="260">
        <f t="shared" si="94"/>
        <v>1337280</v>
      </c>
      <c r="BE102" s="260">
        <f t="shared" si="95"/>
        <v>1404480</v>
      </c>
      <c r="BF102" s="397">
        <f t="shared" si="96"/>
        <v>216510408</v>
      </c>
      <c r="BG102" s="397">
        <f t="shared" si="97"/>
        <v>227390328</v>
      </c>
    </row>
    <row r="103" spans="1:59" ht="15.75">
      <c r="A103" s="338">
        <v>7</v>
      </c>
      <c r="B103" s="338" t="str">
        <f t="shared" si="49"/>
        <v>FRUTA_7</v>
      </c>
      <c r="C103" s="338" t="str">
        <f t="shared" si="50"/>
        <v>58_7</v>
      </c>
      <c r="D103" s="338" t="s">
        <v>1</v>
      </c>
      <c r="E103" s="258">
        <v>58</v>
      </c>
      <c r="F103" s="328" t="s">
        <v>67</v>
      </c>
      <c r="G103" s="258" t="s">
        <v>9</v>
      </c>
      <c r="H103" s="431">
        <f t="shared" si="51"/>
        <v>24</v>
      </c>
      <c r="I103" s="431">
        <f t="array" ref="I103">MAX((IF(MNU_CODIGO_ALIMENTO_ENTREGA=CONCATENATE($E103,"_","P_"),MNU_GRAMAJE_REQUERIDO_TIPOA,"")))</f>
        <v>100</v>
      </c>
      <c r="J103" s="259">
        <f t="shared" si="52"/>
        <v>5424</v>
      </c>
      <c r="K103" s="259">
        <f t="shared" si="53"/>
        <v>130176</v>
      </c>
      <c r="L103" s="452">
        <f t="shared" si="54"/>
        <v>154</v>
      </c>
      <c r="M103" s="452">
        <f t="shared" si="55"/>
        <v>7.515200000000001</v>
      </c>
      <c r="N103" s="452">
        <f t="shared" si="56"/>
        <v>0.13244246400000001</v>
      </c>
      <c r="O103" s="452">
        <f t="shared" si="57"/>
        <v>162</v>
      </c>
      <c r="P103" s="260">
        <f t="shared" si="58"/>
        <v>20047104</v>
      </c>
      <c r="Q103" s="260">
        <f t="shared" si="59"/>
        <v>21088512</v>
      </c>
      <c r="R103" s="432">
        <f t="shared" si="60"/>
        <v>23</v>
      </c>
      <c r="S103" s="432">
        <f t="array" ref="S103">MAX((IF(MNU_CODIGO_ALIMENTO_ENTREGA=CONCATENATE($E103,"_","P_"),MNU_GRAMAJE_REQUERIDO_TIPOB,"")))</f>
        <v>100</v>
      </c>
      <c r="T103" s="261">
        <f t="shared" si="61"/>
        <v>8018</v>
      </c>
      <c r="U103" s="261">
        <f t="shared" si="62"/>
        <v>184414</v>
      </c>
      <c r="V103" s="452">
        <f t="shared" si="63"/>
        <v>154</v>
      </c>
      <c r="W103" s="452">
        <f t="shared" si="64"/>
        <v>7.515200000000001</v>
      </c>
      <c r="X103" s="452">
        <f t="shared" si="65"/>
        <v>0.13244246400000001</v>
      </c>
      <c r="Y103" s="452">
        <f t="shared" si="66"/>
        <v>162</v>
      </c>
      <c r="Z103" s="262">
        <f t="shared" si="67"/>
        <v>28399756</v>
      </c>
      <c r="AA103" s="262">
        <f t="shared" si="68"/>
        <v>29875068</v>
      </c>
      <c r="AB103" s="431">
        <f t="shared" si="69"/>
        <v>23</v>
      </c>
      <c r="AC103" s="431">
        <f t="array" ref="AC103">MAX((IF(MNU_CODIGO_ALIMENTO_ENTREGA=CONCATENATE($E103,"_","P_"),MNU_GRAMAJE_REQUERIDO_TIPOC,"")))</f>
        <v>100</v>
      </c>
      <c r="AD103" s="259">
        <f t="shared" si="70"/>
        <v>9814</v>
      </c>
      <c r="AE103" s="259">
        <f t="shared" si="71"/>
        <v>225722</v>
      </c>
      <c r="AF103" s="452">
        <f t="shared" si="72"/>
        <v>154</v>
      </c>
      <c r="AG103" s="452">
        <f t="shared" si="73"/>
        <v>7.515200000000001</v>
      </c>
      <c r="AH103" s="452">
        <f t="shared" si="74"/>
        <v>0.13244246400000001</v>
      </c>
      <c r="AI103" s="452">
        <f t="shared" si="75"/>
        <v>162</v>
      </c>
      <c r="AJ103" s="260">
        <f t="shared" si="76"/>
        <v>34761188</v>
      </c>
      <c r="AK103" s="260">
        <f t="shared" si="77"/>
        <v>36566964</v>
      </c>
      <c r="AL103" s="432">
        <f t="shared" si="78"/>
        <v>23</v>
      </c>
      <c r="AM103" s="432">
        <f t="array" ref="AM103">MAX((IF(MNU_CODIGO_ALIMENTO_ENTREGA=CONCATENATE($E103,"_","P_"),MNU_GRAMAJE_REQUERIDO_TIPOM,"")))</f>
        <v>100</v>
      </c>
      <c r="AN103" s="261">
        <f t="shared" si="79"/>
        <v>164</v>
      </c>
      <c r="AO103" s="261">
        <f t="shared" si="80"/>
        <v>3772</v>
      </c>
      <c r="AP103" s="452">
        <f t="shared" si="81"/>
        <v>154</v>
      </c>
      <c r="AQ103" s="452">
        <f t="shared" si="82"/>
        <v>7.515200000000001</v>
      </c>
      <c r="AR103" s="452">
        <f t="shared" si="83"/>
        <v>0.13244246400000001</v>
      </c>
      <c r="AS103" s="452">
        <f t="shared" si="84"/>
        <v>162</v>
      </c>
      <c r="AT103" s="262">
        <f t="shared" si="85"/>
        <v>580888</v>
      </c>
      <c r="AU103" s="262">
        <f t="shared" si="86"/>
        <v>611064</v>
      </c>
      <c r="AV103" s="431">
        <f t="shared" si="87"/>
        <v>23</v>
      </c>
      <c r="AW103" s="431">
        <f t="array" ref="AW103">MAX((IF(MNU_CODIGO_ALIMENTO_ENTREGA=CONCATENATE($E103,"_","P_"),MNU_GRAMAJE_REQUERIDO_TIPOH,"")))</f>
        <v>100</v>
      </c>
      <c r="AX103" s="259">
        <f t="shared" si="88"/>
        <v>160</v>
      </c>
      <c r="AY103" s="259">
        <f t="shared" si="89"/>
        <v>3680</v>
      </c>
      <c r="AZ103" s="452">
        <f t="shared" si="90"/>
        <v>154</v>
      </c>
      <c r="BA103" s="452">
        <f t="shared" si="91"/>
        <v>7.515200000000001</v>
      </c>
      <c r="BB103" s="452">
        <f t="shared" si="92"/>
        <v>0.13244246400000001</v>
      </c>
      <c r="BC103" s="452">
        <f t="shared" si="93"/>
        <v>162</v>
      </c>
      <c r="BD103" s="260">
        <f t="shared" si="94"/>
        <v>566720</v>
      </c>
      <c r="BE103" s="260">
        <f t="shared" si="95"/>
        <v>596160</v>
      </c>
      <c r="BF103" s="397">
        <f t="shared" si="96"/>
        <v>84355656</v>
      </c>
      <c r="BG103" s="397">
        <f t="shared" si="97"/>
        <v>88737768</v>
      </c>
    </row>
    <row r="104" spans="1:59" ht="15.75">
      <c r="A104" s="338">
        <v>7</v>
      </c>
      <c r="B104" s="338" t="str">
        <f t="shared" si="49"/>
        <v>FRUTA_7</v>
      </c>
      <c r="C104" s="338" t="str">
        <f t="shared" si="50"/>
        <v>59_7</v>
      </c>
      <c r="D104" s="338" t="s">
        <v>1</v>
      </c>
      <c r="E104" s="258">
        <v>59</v>
      </c>
      <c r="F104" s="328" t="s">
        <v>99</v>
      </c>
      <c r="G104" s="258" t="s">
        <v>9</v>
      </c>
      <c r="H104" s="431">
        <f t="shared" si="51"/>
        <v>0</v>
      </c>
      <c r="I104" s="431">
        <f t="array" ref="I104">MAX((IF(MNU_CODIGO_ALIMENTO_ENTREGA=CONCATENATE($E104,"_","P_"),MNU_GRAMAJE_REQUERIDO_TIPOA,"")))</f>
        <v>0</v>
      </c>
      <c r="J104" s="259">
        <f t="shared" si="52"/>
        <v>5424</v>
      </c>
      <c r="K104" s="259">
        <f t="shared" si="53"/>
        <v>0</v>
      </c>
      <c r="L104" s="452">
        <f t="shared" si="54"/>
        <v>0</v>
      </c>
      <c r="M104" s="452">
        <f t="shared" si="55"/>
        <v>0</v>
      </c>
      <c r="N104" s="452">
        <f t="shared" si="56"/>
        <v>0</v>
      </c>
      <c r="O104" s="452">
        <f t="shared" si="57"/>
        <v>0</v>
      </c>
      <c r="P104" s="260">
        <f t="shared" si="58"/>
        <v>0</v>
      </c>
      <c r="Q104" s="260">
        <f t="shared" si="59"/>
        <v>0</v>
      </c>
      <c r="R104" s="432">
        <f t="shared" si="60"/>
        <v>8</v>
      </c>
      <c r="S104" s="432">
        <f t="array" ref="S104">MAX((IF(MNU_CODIGO_ALIMENTO_ENTREGA=CONCATENATE($E104,"_","P_"),MNU_GRAMAJE_REQUERIDO_TIPOB,"")))</f>
        <v>100</v>
      </c>
      <c r="T104" s="261">
        <f t="shared" si="61"/>
        <v>8018</v>
      </c>
      <c r="U104" s="261">
        <f t="shared" si="62"/>
        <v>64144</v>
      </c>
      <c r="V104" s="452">
        <f t="shared" si="63"/>
        <v>286</v>
      </c>
      <c r="W104" s="452">
        <f t="shared" si="64"/>
        <v>13.956800000000001</v>
      </c>
      <c r="X104" s="452">
        <f t="shared" si="65"/>
        <v>0.24596457599999999</v>
      </c>
      <c r="Y104" s="452">
        <f t="shared" si="66"/>
        <v>300</v>
      </c>
      <c r="Z104" s="262">
        <f t="shared" si="67"/>
        <v>18345184</v>
      </c>
      <c r="AA104" s="262">
        <f t="shared" si="68"/>
        <v>19243200</v>
      </c>
      <c r="AB104" s="431">
        <f t="shared" si="69"/>
        <v>8</v>
      </c>
      <c r="AC104" s="431">
        <f t="array" ref="AC104">MAX((IF(MNU_CODIGO_ALIMENTO_ENTREGA=CONCATENATE($E104,"_","P_"),MNU_GRAMAJE_REQUERIDO_TIPOC,"")))</f>
        <v>100</v>
      </c>
      <c r="AD104" s="259">
        <f t="shared" si="70"/>
        <v>9814</v>
      </c>
      <c r="AE104" s="259">
        <f t="shared" si="71"/>
        <v>78512</v>
      </c>
      <c r="AF104" s="452">
        <f t="shared" si="72"/>
        <v>286</v>
      </c>
      <c r="AG104" s="452">
        <f t="shared" si="73"/>
        <v>13.956800000000001</v>
      </c>
      <c r="AH104" s="452">
        <f t="shared" si="74"/>
        <v>0.24596457599999999</v>
      </c>
      <c r="AI104" s="452">
        <f t="shared" si="75"/>
        <v>300</v>
      </c>
      <c r="AJ104" s="260">
        <f t="shared" si="76"/>
        <v>22454432</v>
      </c>
      <c r="AK104" s="260">
        <f t="shared" si="77"/>
        <v>23553600</v>
      </c>
      <c r="AL104" s="432">
        <f t="shared" si="78"/>
        <v>8</v>
      </c>
      <c r="AM104" s="432">
        <f t="array" ref="AM104">MAX((IF(MNU_CODIGO_ALIMENTO_ENTREGA=CONCATENATE($E104,"_","P_"),MNU_GRAMAJE_REQUERIDO_TIPOM,"")))</f>
        <v>100</v>
      </c>
      <c r="AN104" s="261">
        <f t="shared" si="79"/>
        <v>164</v>
      </c>
      <c r="AO104" s="261">
        <f t="shared" si="80"/>
        <v>1312</v>
      </c>
      <c r="AP104" s="452">
        <f t="shared" si="81"/>
        <v>286</v>
      </c>
      <c r="AQ104" s="452">
        <f t="shared" si="82"/>
        <v>13.956800000000001</v>
      </c>
      <c r="AR104" s="452">
        <f t="shared" si="83"/>
        <v>0.24596457599999999</v>
      </c>
      <c r="AS104" s="452">
        <f t="shared" si="84"/>
        <v>300</v>
      </c>
      <c r="AT104" s="262">
        <f t="shared" si="85"/>
        <v>375232</v>
      </c>
      <c r="AU104" s="262">
        <f t="shared" si="86"/>
        <v>393600</v>
      </c>
      <c r="AV104" s="431">
        <f t="shared" si="87"/>
        <v>8</v>
      </c>
      <c r="AW104" s="431">
        <f t="array" ref="AW104">MAX((IF(MNU_CODIGO_ALIMENTO_ENTREGA=CONCATENATE($E104,"_","P_"),MNU_GRAMAJE_REQUERIDO_TIPOH,"")))</f>
        <v>100</v>
      </c>
      <c r="AX104" s="259">
        <f t="shared" si="88"/>
        <v>160</v>
      </c>
      <c r="AY104" s="259">
        <f t="shared" si="89"/>
        <v>1280</v>
      </c>
      <c r="AZ104" s="452">
        <f t="shared" si="90"/>
        <v>286</v>
      </c>
      <c r="BA104" s="452">
        <f t="shared" si="91"/>
        <v>13.956800000000001</v>
      </c>
      <c r="BB104" s="452">
        <f t="shared" si="92"/>
        <v>0.24596457599999999</v>
      </c>
      <c r="BC104" s="452">
        <f t="shared" si="93"/>
        <v>300</v>
      </c>
      <c r="BD104" s="260">
        <f t="shared" si="94"/>
        <v>366080</v>
      </c>
      <c r="BE104" s="260">
        <f t="shared" si="95"/>
        <v>384000</v>
      </c>
      <c r="BF104" s="397">
        <f t="shared" si="96"/>
        <v>41540928</v>
      </c>
      <c r="BG104" s="397">
        <f t="shared" si="97"/>
        <v>43574400</v>
      </c>
    </row>
    <row r="105" spans="1:59" ht="15.75">
      <c r="A105" s="338">
        <v>7</v>
      </c>
      <c r="B105" s="338" t="str">
        <f t="shared" si="49"/>
        <v>FRUTA_7</v>
      </c>
      <c r="C105" s="338" t="str">
        <f t="shared" si="50"/>
        <v>69_7</v>
      </c>
      <c r="D105" s="338" t="s">
        <v>1</v>
      </c>
      <c r="E105" s="258">
        <v>69</v>
      </c>
      <c r="F105" s="328" t="s">
        <v>70</v>
      </c>
      <c r="G105" s="258" t="s">
        <v>9</v>
      </c>
      <c r="H105" s="431">
        <f t="shared" si="51"/>
        <v>30</v>
      </c>
      <c r="I105" s="431">
        <f t="array" ref="I105">MAX((IF(MNU_CODIGO_ALIMENTO_ENTREGA=CONCATENATE($E105,"_","P_"),MNU_GRAMAJE_REQUERIDO_TIPOA,"")))</f>
        <v>100</v>
      </c>
      <c r="J105" s="259">
        <f t="shared" si="52"/>
        <v>5424</v>
      </c>
      <c r="K105" s="259">
        <f t="shared" si="53"/>
        <v>162720</v>
      </c>
      <c r="L105" s="452">
        <f t="shared" si="54"/>
        <v>305</v>
      </c>
      <c r="M105" s="452">
        <f t="shared" si="55"/>
        <v>14.884</v>
      </c>
      <c r="N105" s="452">
        <f t="shared" si="56"/>
        <v>0.26230488000000002</v>
      </c>
      <c r="O105" s="452">
        <f t="shared" si="57"/>
        <v>320</v>
      </c>
      <c r="P105" s="260">
        <f t="shared" si="58"/>
        <v>49629600</v>
      </c>
      <c r="Q105" s="260">
        <f t="shared" si="59"/>
        <v>52070400</v>
      </c>
      <c r="R105" s="432">
        <f t="shared" si="60"/>
        <v>16</v>
      </c>
      <c r="S105" s="432">
        <f t="array" ref="S105">MAX((IF(MNU_CODIGO_ALIMENTO_ENTREGA=CONCATENATE($E105,"_","P_"),MNU_GRAMAJE_REQUERIDO_TIPOB,"")))</f>
        <v>100</v>
      </c>
      <c r="T105" s="261">
        <f t="shared" si="61"/>
        <v>8018</v>
      </c>
      <c r="U105" s="261">
        <f t="shared" si="62"/>
        <v>128288</v>
      </c>
      <c r="V105" s="452">
        <f t="shared" si="63"/>
        <v>305</v>
      </c>
      <c r="W105" s="452">
        <f t="shared" si="64"/>
        <v>14.884</v>
      </c>
      <c r="X105" s="452">
        <f t="shared" si="65"/>
        <v>0.26230488000000002</v>
      </c>
      <c r="Y105" s="452">
        <f t="shared" si="66"/>
        <v>320</v>
      </c>
      <c r="Z105" s="262">
        <f t="shared" si="67"/>
        <v>39127840</v>
      </c>
      <c r="AA105" s="262">
        <f t="shared" si="68"/>
        <v>41052160</v>
      </c>
      <c r="AB105" s="431">
        <f t="shared" si="69"/>
        <v>16</v>
      </c>
      <c r="AC105" s="431">
        <f t="array" ref="AC105">MAX((IF(MNU_CODIGO_ALIMENTO_ENTREGA=CONCATENATE($E105,"_","P_"),MNU_GRAMAJE_REQUERIDO_TIPOC,"")))</f>
        <v>100</v>
      </c>
      <c r="AD105" s="259">
        <f t="shared" si="70"/>
        <v>9814</v>
      </c>
      <c r="AE105" s="259">
        <f t="shared" si="71"/>
        <v>157024</v>
      </c>
      <c r="AF105" s="452">
        <f t="shared" si="72"/>
        <v>305</v>
      </c>
      <c r="AG105" s="452">
        <f t="shared" si="73"/>
        <v>14.884</v>
      </c>
      <c r="AH105" s="452">
        <f t="shared" si="74"/>
        <v>0.26230488000000002</v>
      </c>
      <c r="AI105" s="452">
        <f t="shared" si="75"/>
        <v>320</v>
      </c>
      <c r="AJ105" s="260">
        <f t="shared" si="76"/>
        <v>47892320</v>
      </c>
      <c r="AK105" s="260">
        <f t="shared" si="77"/>
        <v>50247680</v>
      </c>
      <c r="AL105" s="432">
        <f t="shared" si="78"/>
        <v>16</v>
      </c>
      <c r="AM105" s="432">
        <f t="array" ref="AM105">MAX((IF(MNU_CODIGO_ALIMENTO_ENTREGA=CONCATENATE($E105,"_","P_"),MNU_GRAMAJE_REQUERIDO_TIPOM,"")))</f>
        <v>100</v>
      </c>
      <c r="AN105" s="261">
        <f t="shared" si="79"/>
        <v>164</v>
      </c>
      <c r="AO105" s="261">
        <f t="shared" si="80"/>
        <v>2624</v>
      </c>
      <c r="AP105" s="452">
        <f t="shared" si="81"/>
        <v>305</v>
      </c>
      <c r="AQ105" s="452">
        <f t="shared" si="82"/>
        <v>14.884</v>
      </c>
      <c r="AR105" s="452">
        <f t="shared" si="83"/>
        <v>0.26230488000000002</v>
      </c>
      <c r="AS105" s="452">
        <f t="shared" si="84"/>
        <v>320</v>
      </c>
      <c r="AT105" s="262">
        <f t="shared" si="85"/>
        <v>800320</v>
      </c>
      <c r="AU105" s="262">
        <f t="shared" si="86"/>
        <v>839680</v>
      </c>
      <c r="AV105" s="431">
        <f t="shared" si="87"/>
        <v>16</v>
      </c>
      <c r="AW105" s="431">
        <f t="array" ref="AW105">MAX((IF(MNU_CODIGO_ALIMENTO_ENTREGA=CONCATENATE($E105,"_","P_"),MNU_GRAMAJE_REQUERIDO_TIPOH,"")))</f>
        <v>100</v>
      </c>
      <c r="AX105" s="259">
        <f t="shared" si="88"/>
        <v>160</v>
      </c>
      <c r="AY105" s="259">
        <f t="shared" si="89"/>
        <v>2560</v>
      </c>
      <c r="AZ105" s="452">
        <f t="shared" si="90"/>
        <v>305</v>
      </c>
      <c r="BA105" s="452">
        <f t="shared" si="91"/>
        <v>14.884</v>
      </c>
      <c r="BB105" s="452">
        <f t="shared" si="92"/>
        <v>0.26230488000000002</v>
      </c>
      <c r="BC105" s="452">
        <f t="shared" si="93"/>
        <v>320</v>
      </c>
      <c r="BD105" s="260">
        <f t="shared" si="94"/>
        <v>780800</v>
      </c>
      <c r="BE105" s="260">
        <f t="shared" si="95"/>
        <v>819200</v>
      </c>
      <c r="BF105" s="397">
        <f t="shared" si="96"/>
        <v>138230880</v>
      </c>
      <c r="BG105" s="397">
        <f t="shared" si="97"/>
        <v>145029120</v>
      </c>
    </row>
    <row r="106" spans="1:59" ht="15.75">
      <c r="A106" s="338">
        <v>7</v>
      </c>
      <c r="B106" s="338" t="str">
        <f t="shared" si="49"/>
        <v>FRUTA_7</v>
      </c>
      <c r="C106" s="338" t="str">
        <f t="shared" si="50"/>
        <v>70_7</v>
      </c>
      <c r="D106" s="338" t="s">
        <v>1</v>
      </c>
      <c r="E106" s="258">
        <v>70</v>
      </c>
      <c r="F106" s="328" t="s">
        <v>71</v>
      </c>
      <c r="G106" s="258" t="s">
        <v>9</v>
      </c>
      <c r="H106" s="431">
        <f t="shared" si="51"/>
        <v>0</v>
      </c>
      <c r="I106" s="431">
        <f t="array" ref="I106">MAX((IF(MNU_CODIGO_ALIMENTO_ENTREGA=CONCATENATE($E106,"_","P_"),MNU_GRAMAJE_REQUERIDO_TIPOA,"")))</f>
        <v>0</v>
      </c>
      <c r="J106" s="259">
        <f t="shared" si="52"/>
        <v>5424</v>
      </c>
      <c r="K106" s="259">
        <f t="shared" si="53"/>
        <v>0</v>
      </c>
      <c r="L106" s="452">
        <f t="shared" si="54"/>
        <v>0</v>
      </c>
      <c r="M106" s="452">
        <f t="shared" si="55"/>
        <v>0</v>
      </c>
      <c r="N106" s="452">
        <f t="shared" si="56"/>
        <v>0</v>
      </c>
      <c r="O106" s="452">
        <f t="shared" si="57"/>
        <v>0</v>
      </c>
      <c r="P106" s="260">
        <f t="shared" si="58"/>
        <v>0</v>
      </c>
      <c r="Q106" s="260">
        <f t="shared" si="59"/>
        <v>0</v>
      </c>
      <c r="R106" s="432">
        <f t="shared" si="60"/>
        <v>10</v>
      </c>
      <c r="S106" s="432">
        <f t="array" ref="S106">MAX((IF(MNU_CODIGO_ALIMENTO_ENTREGA=CONCATENATE($E106,"_","P_"),MNU_GRAMAJE_REQUERIDO_TIPOB,"")))</f>
        <v>100</v>
      </c>
      <c r="T106" s="261">
        <f t="shared" si="61"/>
        <v>8018</v>
      </c>
      <c r="U106" s="261">
        <f t="shared" si="62"/>
        <v>80180</v>
      </c>
      <c r="V106" s="452">
        <f t="shared" si="63"/>
        <v>434</v>
      </c>
      <c r="W106" s="452">
        <f t="shared" si="64"/>
        <v>21.179200000000002</v>
      </c>
      <c r="X106" s="452">
        <f t="shared" si="65"/>
        <v>0.37324694399999997</v>
      </c>
      <c r="Y106" s="452">
        <f t="shared" si="66"/>
        <v>456</v>
      </c>
      <c r="Z106" s="262">
        <f t="shared" si="67"/>
        <v>34798120</v>
      </c>
      <c r="AA106" s="262">
        <f t="shared" si="68"/>
        <v>36562080</v>
      </c>
      <c r="AB106" s="431">
        <f t="shared" si="69"/>
        <v>10</v>
      </c>
      <c r="AC106" s="431">
        <f t="array" ref="AC106">MAX((IF(MNU_CODIGO_ALIMENTO_ENTREGA=CONCATENATE($E106,"_","P_"),MNU_GRAMAJE_REQUERIDO_TIPOC,"")))</f>
        <v>100</v>
      </c>
      <c r="AD106" s="259">
        <f t="shared" si="70"/>
        <v>9814</v>
      </c>
      <c r="AE106" s="259">
        <f t="shared" si="71"/>
        <v>98140</v>
      </c>
      <c r="AF106" s="452">
        <f t="shared" si="72"/>
        <v>434</v>
      </c>
      <c r="AG106" s="452">
        <f t="shared" si="73"/>
        <v>21.179200000000002</v>
      </c>
      <c r="AH106" s="452">
        <f t="shared" si="74"/>
        <v>0.37324694399999997</v>
      </c>
      <c r="AI106" s="452">
        <f t="shared" si="75"/>
        <v>456</v>
      </c>
      <c r="AJ106" s="260">
        <f t="shared" si="76"/>
        <v>42592760</v>
      </c>
      <c r="AK106" s="260">
        <f t="shared" si="77"/>
        <v>44751840</v>
      </c>
      <c r="AL106" s="432">
        <f t="shared" si="78"/>
        <v>10</v>
      </c>
      <c r="AM106" s="432">
        <f t="array" ref="AM106">MAX((IF(MNU_CODIGO_ALIMENTO_ENTREGA=CONCATENATE($E106,"_","P_"),MNU_GRAMAJE_REQUERIDO_TIPOM,"")))</f>
        <v>100</v>
      </c>
      <c r="AN106" s="261">
        <f t="shared" si="79"/>
        <v>164</v>
      </c>
      <c r="AO106" s="261">
        <f t="shared" si="80"/>
        <v>1640</v>
      </c>
      <c r="AP106" s="452">
        <f t="shared" si="81"/>
        <v>434</v>
      </c>
      <c r="AQ106" s="452">
        <f t="shared" si="82"/>
        <v>21.179200000000002</v>
      </c>
      <c r="AR106" s="452">
        <f t="shared" si="83"/>
        <v>0.37324694399999997</v>
      </c>
      <c r="AS106" s="452">
        <f t="shared" si="84"/>
        <v>456</v>
      </c>
      <c r="AT106" s="262">
        <f t="shared" si="85"/>
        <v>711760</v>
      </c>
      <c r="AU106" s="262">
        <f t="shared" si="86"/>
        <v>747840</v>
      </c>
      <c r="AV106" s="431">
        <f t="shared" si="87"/>
        <v>10</v>
      </c>
      <c r="AW106" s="431">
        <f t="array" ref="AW106">MAX((IF(MNU_CODIGO_ALIMENTO_ENTREGA=CONCATENATE($E106,"_","P_"),MNU_GRAMAJE_REQUERIDO_TIPOH,"")))</f>
        <v>100</v>
      </c>
      <c r="AX106" s="259">
        <f t="shared" si="88"/>
        <v>160</v>
      </c>
      <c r="AY106" s="259">
        <f t="shared" si="89"/>
        <v>1600</v>
      </c>
      <c r="AZ106" s="452">
        <f t="shared" si="90"/>
        <v>434</v>
      </c>
      <c r="BA106" s="452">
        <f t="shared" si="91"/>
        <v>21.179200000000002</v>
      </c>
      <c r="BB106" s="452">
        <f t="shared" si="92"/>
        <v>0.37324694399999997</v>
      </c>
      <c r="BC106" s="452">
        <f t="shared" si="93"/>
        <v>456</v>
      </c>
      <c r="BD106" s="260">
        <f t="shared" si="94"/>
        <v>694400</v>
      </c>
      <c r="BE106" s="260">
        <f t="shared" si="95"/>
        <v>729600</v>
      </c>
      <c r="BF106" s="397">
        <f t="shared" si="96"/>
        <v>78797040</v>
      </c>
      <c r="BG106" s="397">
        <f t="shared" si="97"/>
        <v>82791360</v>
      </c>
    </row>
    <row r="107" spans="1:59" ht="15.75">
      <c r="A107" s="338">
        <v>8</v>
      </c>
      <c r="B107" s="338" t="str">
        <f t="shared" si="49"/>
        <v>FRUTA_8</v>
      </c>
      <c r="C107" s="338" t="str">
        <f t="shared" si="50"/>
        <v>7_8</v>
      </c>
      <c r="D107" s="338" t="s">
        <v>1</v>
      </c>
      <c r="E107" s="258">
        <v>7</v>
      </c>
      <c r="F107" s="328" t="s">
        <v>57</v>
      </c>
      <c r="G107" s="258" t="s">
        <v>9</v>
      </c>
      <c r="H107" s="431">
        <f t="shared" si="51"/>
        <v>22</v>
      </c>
      <c r="I107" s="431">
        <f t="array" ref="I107">MAX((IF(MNU_CODIGO_ALIMENTO_ENTREGA=CONCATENATE($E107,"_","P_"),MNU_GRAMAJE_REQUERIDO_TIPOA,"")))</f>
        <v>100</v>
      </c>
      <c r="J107" s="259">
        <f t="shared" si="52"/>
        <v>3905</v>
      </c>
      <c r="K107" s="259">
        <f t="shared" si="53"/>
        <v>85910</v>
      </c>
      <c r="L107" s="452">
        <f t="shared" si="54"/>
        <v>107</v>
      </c>
      <c r="M107" s="452">
        <f t="shared" si="55"/>
        <v>5.2216000000000005</v>
      </c>
      <c r="N107" s="452">
        <f t="shared" si="56"/>
        <v>9.2021712000000006E-2</v>
      </c>
      <c r="O107" s="452">
        <f t="shared" si="57"/>
        <v>112</v>
      </c>
      <c r="P107" s="260">
        <f t="shared" si="58"/>
        <v>9192370</v>
      </c>
      <c r="Q107" s="260">
        <f t="shared" si="59"/>
        <v>9621920</v>
      </c>
      <c r="R107" s="432">
        <f t="shared" si="60"/>
        <v>9</v>
      </c>
      <c r="S107" s="432">
        <f t="array" ref="S107">MAX((IF(MNU_CODIGO_ALIMENTO_ENTREGA=CONCATENATE($E107,"_","P_"),MNU_GRAMAJE_REQUERIDO_TIPOB,"")))</f>
        <v>100</v>
      </c>
      <c r="T107" s="261">
        <f t="shared" si="61"/>
        <v>5347</v>
      </c>
      <c r="U107" s="261">
        <f t="shared" si="62"/>
        <v>48123</v>
      </c>
      <c r="V107" s="452">
        <f t="shared" si="63"/>
        <v>107</v>
      </c>
      <c r="W107" s="452">
        <f t="shared" si="64"/>
        <v>5.2216000000000005</v>
      </c>
      <c r="X107" s="452">
        <f t="shared" si="65"/>
        <v>9.2021712000000006E-2</v>
      </c>
      <c r="Y107" s="452">
        <f t="shared" si="66"/>
        <v>112</v>
      </c>
      <c r="Z107" s="262">
        <f t="shared" si="67"/>
        <v>5149161</v>
      </c>
      <c r="AA107" s="262">
        <f t="shared" si="68"/>
        <v>5389776</v>
      </c>
      <c r="AB107" s="431">
        <f t="shared" si="69"/>
        <v>9</v>
      </c>
      <c r="AC107" s="431">
        <f t="array" ref="AC107">MAX((IF(MNU_CODIGO_ALIMENTO_ENTREGA=CONCATENATE($E107,"_","P_"),MNU_GRAMAJE_REQUERIDO_TIPOC,"")))</f>
        <v>100</v>
      </c>
      <c r="AD107" s="259">
        <f t="shared" si="70"/>
        <v>5513</v>
      </c>
      <c r="AE107" s="259">
        <f t="shared" si="71"/>
        <v>49617</v>
      </c>
      <c r="AF107" s="452">
        <f t="shared" si="72"/>
        <v>107</v>
      </c>
      <c r="AG107" s="452">
        <f t="shared" si="73"/>
        <v>5.2216000000000005</v>
      </c>
      <c r="AH107" s="452">
        <f t="shared" si="74"/>
        <v>9.2021712000000006E-2</v>
      </c>
      <c r="AI107" s="452">
        <f t="shared" si="75"/>
        <v>112</v>
      </c>
      <c r="AJ107" s="260">
        <f t="shared" si="76"/>
        <v>5309019</v>
      </c>
      <c r="AK107" s="260">
        <f t="shared" si="77"/>
        <v>5557104</v>
      </c>
      <c r="AL107" s="432">
        <f t="shared" si="78"/>
        <v>9</v>
      </c>
      <c r="AM107" s="432">
        <f t="array" ref="AM107">MAX((IF(MNU_CODIGO_ALIMENTO_ENTREGA=CONCATENATE($E107,"_","P_"),MNU_GRAMAJE_REQUERIDO_TIPOM,"")))</f>
        <v>100</v>
      </c>
      <c r="AN107" s="261">
        <f t="shared" si="79"/>
        <v>235</v>
      </c>
      <c r="AO107" s="261">
        <f t="shared" si="80"/>
        <v>2115</v>
      </c>
      <c r="AP107" s="452">
        <f t="shared" si="81"/>
        <v>107</v>
      </c>
      <c r="AQ107" s="452">
        <f t="shared" si="82"/>
        <v>5.2216000000000005</v>
      </c>
      <c r="AR107" s="452">
        <f t="shared" si="83"/>
        <v>9.2021712000000006E-2</v>
      </c>
      <c r="AS107" s="452">
        <f t="shared" si="84"/>
        <v>112</v>
      </c>
      <c r="AT107" s="262">
        <f t="shared" si="85"/>
        <v>226305</v>
      </c>
      <c r="AU107" s="262">
        <f t="shared" si="86"/>
        <v>236880</v>
      </c>
      <c r="AV107" s="431">
        <f t="shared" si="87"/>
        <v>9</v>
      </c>
      <c r="AW107" s="431">
        <f t="array" ref="AW107">MAX((IF(MNU_CODIGO_ALIMENTO_ENTREGA=CONCATENATE($E107,"_","P_"),MNU_GRAMAJE_REQUERIDO_TIPOH,"")))</f>
        <v>100</v>
      </c>
      <c r="AX107" s="259">
        <f t="shared" si="88"/>
        <v>243</v>
      </c>
      <c r="AY107" s="259">
        <f t="shared" si="89"/>
        <v>2187</v>
      </c>
      <c r="AZ107" s="452">
        <f t="shared" si="90"/>
        <v>107</v>
      </c>
      <c r="BA107" s="452">
        <f t="shared" si="91"/>
        <v>5.2216000000000005</v>
      </c>
      <c r="BB107" s="452">
        <f t="shared" si="92"/>
        <v>9.2021712000000006E-2</v>
      </c>
      <c r="BC107" s="452">
        <f t="shared" si="93"/>
        <v>112</v>
      </c>
      <c r="BD107" s="260">
        <f t="shared" si="94"/>
        <v>234009</v>
      </c>
      <c r="BE107" s="260">
        <f t="shared" si="95"/>
        <v>244944</v>
      </c>
      <c r="BF107" s="397">
        <f t="shared" si="96"/>
        <v>20110864</v>
      </c>
      <c r="BG107" s="397">
        <f t="shared" si="97"/>
        <v>21050624</v>
      </c>
    </row>
    <row r="108" spans="1:59" ht="15.75">
      <c r="A108" s="338">
        <v>8</v>
      </c>
      <c r="B108" s="338" t="str">
        <f t="shared" si="49"/>
        <v>FRUTA_8</v>
      </c>
      <c r="C108" s="338" t="str">
        <f t="shared" si="50"/>
        <v>8_8</v>
      </c>
      <c r="D108" s="338" t="s">
        <v>1</v>
      </c>
      <c r="E108" s="258">
        <v>8</v>
      </c>
      <c r="F108" s="328" t="s">
        <v>55</v>
      </c>
      <c r="G108" s="258" t="s">
        <v>9</v>
      </c>
      <c r="H108" s="431">
        <f t="shared" si="51"/>
        <v>10</v>
      </c>
      <c r="I108" s="431">
        <f t="array" ref="I108">MAX((IF(MNU_CODIGO_ALIMENTO_ENTREGA=CONCATENATE($E108,"_","P_"),MNU_GRAMAJE_REQUERIDO_TIPOA,"")))</f>
        <v>100</v>
      </c>
      <c r="J108" s="259">
        <f t="shared" si="52"/>
        <v>3905</v>
      </c>
      <c r="K108" s="259">
        <f t="shared" si="53"/>
        <v>39050</v>
      </c>
      <c r="L108" s="452">
        <f t="shared" si="54"/>
        <v>134</v>
      </c>
      <c r="M108" s="452">
        <f t="shared" si="55"/>
        <v>6.539200000000001</v>
      </c>
      <c r="N108" s="452">
        <f t="shared" si="56"/>
        <v>0.115242144</v>
      </c>
      <c r="O108" s="452">
        <f t="shared" si="57"/>
        <v>141</v>
      </c>
      <c r="P108" s="260">
        <f t="shared" si="58"/>
        <v>5232700</v>
      </c>
      <c r="Q108" s="260">
        <f t="shared" si="59"/>
        <v>5506050</v>
      </c>
      <c r="R108" s="432">
        <f t="shared" si="60"/>
        <v>8</v>
      </c>
      <c r="S108" s="432">
        <f t="array" ref="S108">MAX((IF(MNU_CODIGO_ALIMENTO_ENTREGA=CONCATENATE($E108,"_","P_"),MNU_GRAMAJE_REQUERIDO_TIPOB,"")))</f>
        <v>100</v>
      </c>
      <c r="T108" s="261">
        <f t="shared" si="61"/>
        <v>5347</v>
      </c>
      <c r="U108" s="261">
        <f t="shared" si="62"/>
        <v>42776</v>
      </c>
      <c r="V108" s="452">
        <f t="shared" si="63"/>
        <v>134</v>
      </c>
      <c r="W108" s="452">
        <f t="shared" si="64"/>
        <v>6.539200000000001</v>
      </c>
      <c r="X108" s="452">
        <f t="shared" si="65"/>
        <v>0.115242144</v>
      </c>
      <c r="Y108" s="452">
        <f t="shared" si="66"/>
        <v>141</v>
      </c>
      <c r="Z108" s="262">
        <f t="shared" si="67"/>
        <v>5731984</v>
      </c>
      <c r="AA108" s="262">
        <f t="shared" si="68"/>
        <v>6031416</v>
      </c>
      <c r="AB108" s="431">
        <f t="shared" si="69"/>
        <v>8</v>
      </c>
      <c r="AC108" s="431">
        <f t="array" ref="AC108">MAX((IF(MNU_CODIGO_ALIMENTO_ENTREGA=CONCATENATE($E108,"_","P_"),MNU_GRAMAJE_REQUERIDO_TIPOC,"")))</f>
        <v>100</v>
      </c>
      <c r="AD108" s="259">
        <f t="shared" si="70"/>
        <v>5513</v>
      </c>
      <c r="AE108" s="259">
        <f t="shared" si="71"/>
        <v>44104</v>
      </c>
      <c r="AF108" s="452">
        <f t="shared" si="72"/>
        <v>134</v>
      </c>
      <c r="AG108" s="452">
        <f t="shared" si="73"/>
        <v>6.539200000000001</v>
      </c>
      <c r="AH108" s="452">
        <f t="shared" si="74"/>
        <v>0.115242144</v>
      </c>
      <c r="AI108" s="452">
        <f t="shared" si="75"/>
        <v>141</v>
      </c>
      <c r="AJ108" s="260">
        <f t="shared" si="76"/>
        <v>5909936</v>
      </c>
      <c r="AK108" s="260">
        <f t="shared" si="77"/>
        <v>6218664</v>
      </c>
      <c r="AL108" s="432">
        <f t="shared" si="78"/>
        <v>8</v>
      </c>
      <c r="AM108" s="432">
        <f t="array" ref="AM108">MAX((IF(MNU_CODIGO_ALIMENTO_ENTREGA=CONCATENATE($E108,"_","P_"),MNU_GRAMAJE_REQUERIDO_TIPOM,"")))</f>
        <v>100</v>
      </c>
      <c r="AN108" s="261">
        <f t="shared" si="79"/>
        <v>235</v>
      </c>
      <c r="AO108" s="261">
        <f t="shared" si="80"/>
        <v>1880</v>
      </c>
      <c r="AP108" s="452">
        <f t="shared" si="81"/>
        <v>134</v>
      </c>
      <c r="AQ108" s="452">
        <f t="shared" si="82"/>
        <v>6.539200000000001</v>
      </c>
      <c r="AR108" s="452">
        <f t="shared" si="83"/>
        <v>0.115242144</v>
      </c>
      <c r="AS108" s="452">
        <f t="shared" si="84"/>
        <v>141</v>
      </c>
      <c r="AT108" s="262">
        <f t="shared" si="85"/>
        <v>251920</v>
      </c>
      <c r="AU108" s="262">
        <f t="shared" si="86"/>
        <v>265080</v>
      </c>
      <c r="AV108" s="431">
        <f t="shared" si="87"/>
        <v>8</v>
      </c>
      <c r="AW108" s="431">
        <f t="array" ref="AW108">MAX((IF(MNU_CODIGO_ALIMENTO_ENTREGA=CONCATENATE($E108,"_","P_"),MNU_GRAMAJE_REQUERIDO_TIPOH,"")))</f>
        <v>100</v>
      </c>
      <c r="AX108" s="259">
        <f t="shared" si="88"/>
        <v>243</v>
      </c>
      <c r="AY108" s="259">
        <f t="shared" si="89"/>
        <v>1944</v>
      </c>
      <c r="AZ108" s="452">
        <f t="shared" si="90"/>
        <v>134</v>
      </c>
      <c r="BA108" s="452">
        <f t="shared" si="91"/>
        <v>6.539200000000001</v>
      </c>
      <c r="BB108" s="452">
        <f t="shared" si="92"/>
        <v>0.115242144</v>
      </c>
      <c r="BC108" s="452">
        <f t="shared" si="93"/>
        <v>141</v>
      </c>
      <c r="BD108" s="260">
        <f t="shared" si="94"/>
        <v>260496</v>
      </c>
      <c r="BE108" s="260">
        <f t="shared" si="95"/>
        <v>274104</v>
      </c>
      <c r="BF108" s="397">
        <f t="shared" si="96"/>
        <v>17387036</v>
      </c>
      <c r="BG108" s="397">
        <f t="shared" si="97"/>
        <v>18295314</v>
      </c>
    </row>
    <row r="109" spans="1:59" ht="15.75">
      <c r="A109" s="338">
        <v>8</v>
      </c>
      <c r="B109" s="338" t="str">
        <f t="shared" si="49"/>
        <v>FRUTA_8</v>
      </c>
      <c r="C109" s="338" t="str">
        <f t="shared" si="50"/>
        <v>17_8</v>
      </c>
      <c r="D109" s="338" t="s">
        <v>1</v>
      </c>
      <c r="E109" s="258">
        <v>17</v>
      </c>
      <c r="F109" s="328" t="s">
        <v>53</v>
      </c>
      <c r="G109" s="258" t="s">
        <v>9</v>
      </c>
      <c r="H109" s="431">
        <f t="shared" si="51"/>
        <v>0</v>
      </c>
      <c r="I109" s="431">
        <f t="array" ref="I109">MAX((IF(MNU_CODIGO_ALIMENTO_ENTREGA=CONCATENATE($E109,"_","P_"),MNU_GRAMAJE_REQUERIDO_TIPOA,"")))</f>
        <v>0</v>
      </c>
      <c r="J109" s="259">
        <f t="shared" si="52"/>
        <v>3905</v>
      </c>
      <c r="K109" s="259">
        <f t="shared" si="53"/>
        <v>0</v>
      </c>
      <c r="L109" s="452">
        <f t="shared" si="54"/>
        <v>0</v>
      </c>
      <c r="M109" s="452">
        <f t="shared" si="55"/>
        <v>0</v>
      </c>
      <c r="N109" s="452">
        <f t="shared" si="56"/>
        <v>0</v>
      </c>
      <c r="O109" s="452">
        <f t="shared" si="57"/>
        <v>0</v>
      </c>
      <c r="P109" s="260">
        <f t="shared" si="58"/>
        <v>0</v>
      </c>
      <c r="Q109" s="260">
        <f t="shared" si="59"/>
        <v>0</v>
      </c>
      <c r="R109" s="432">
        <f t="shared" si="60"/>
        <v>21</v>
      </c>
      <c r="S109" s="432">
        <f t="array" ref="S109">MAX((IF(MNU_CODIGO_ALIMENTO_ENTREGA=CONCATENATE($E109,"_","P_"),MNU_GRAMAJE_REQUERIDO_TIPOB,"")))</f>
        <v>100</v>
      </c>
      <c r="T109" s="261">
        <f t="shared" si="61"/>
        <v>5347</v>
      </c>
      <c r="U109" s="261">
        <f t="shared" si="62"/>
        <v>112287</v>
      </c>
      <c r="V109" s="452">
        <f t="shared" si="63"/>
        <v>226</v>
      </c>
      <c r="W109" s="452">
        <f t="shared" si="64"/>
        <v>11.0288</v>
      </c>
      <c r="X109" s="452">
        <f t="shared" si="65"/>
        <v>0.19436361600000002</v>
      </c>
      <c r="Y109" s="452">
        <f t="shared" si="66"/>
        <v>237</v>
      </c>
      <c r="Z109" s="262">
        <f t="shared" si="67"/>
        <v>25376862</v>
      </c>
      <c r="AA109" s="262">
        <f t="shared" si="68"/>
        <v>26612019</v>
      </c>
      <c r="AB109" s="431">
        <f t="shared" si="69"/>
        <v>21</v>
      </c>
      <c r="AC109" s="431">
        <f t="array" ref="AC109">MAX((IF(MNU_CODIGO_ALIMENTO_ENTREGA=CONCATENATE($E109,"_","P_"),MNU_GRAMAJE_REQUERIDO_TIPOC,"")))</f>
        <v>100</v>
      </c>
      <c r="AD109" s="259">
        <f t="shared" si="70"/>
        <v>5513</v>
      </c>
      <c r="AE109" s="259">
        <f t="shared" si="71"/>
        <v>115773</v>
      </c>
      <c r="AF109" s="452">
        <f t="shared" si="72"/>
        <v>226</v>
      </c>
      <c r="AG109" s="452">
        <f t="shared" si="73"/>
        <v>11.0288</v>
      </c>
      <c r="AH109" s="452">
        <f t="shared" si="74"/>
        <v>0.19436361600000002</v>
      </c>
      <c r="AI109" s="452">
        <f t="shared" si="75"/>
        <v>237</v>
      </c>
      <c r="AJ109" s="260">
        <f t="shared" si="76"/>
        <v>26164698</v>
      </c>
      <c r="AK109" s="260">
        <f t="shared" si="77"/>
        <v>27438201</v>
      </c>
      <c r="AL109" s="432">
        <f t="shared" si="78"/>
        <v>21</v>
      </c>
      <c r="AM109" s="432">
        <f t="array" ref="AM109">MAX((IF(MNU_CODIGO_ALIMENTO_ENTREGA=CONCATENATE($E109,"_","P_"),MNU_GRAMAJE_REQUERIDO_TIPOM,"")))</f>
        <v>100</v>
      </c>
      <c r="AN109" s="261">
        <f t="shared" si="79"/>
        <v>235</v>
      </c>
      <c r="AO109" s="261">
        <f t="shared" si="80"/>
        <v>4935</v>
      </c>
      <c r="AP109" s="452">
        <f t="shared" si="81"/>
        <v>226</v>
      </c>
      <c r="AQ109" s="452">
        <f t="shared" si="82"/>
        <v>11.0288</v>
      </c>
      <c r="AR109" s="452">
        <f t="shared" si="83"/>
        <v>0.19436361600000002</v>
      </c>
      <c r="AS109" s="452">
        <f t="shared" si="84"/>
        <v>237</v>
      </c>
      <c r="AT109" s="262">
        <f t="shared" si="85"/>
        <v>1115310</v>
      </c>
      <c r="AU109" s="262">
        <f t="shared" si="86"/>
        <v>1169595</v>
      </c>
      <c r="AV109" s="431">
        <f t="shared" si="87"/>
        <v>21</v>
      </c>
      <c r="AW109" s="431">
        <f t="array" ref="AW109">MAX((IF(MNU_CODIGO_ALIMENTO_ENTREGA=CONCATENATE($E109,"_","P_"),MNU_GRAMAJE_REQUERIDO_TIPOH,"")))</f>
        <v>100</v>
      </c>
      <c r="AX109" s="259">
        <f t="shared" si="88"/>
        <v>243</v>
      </c>
      <c r="AY109" s="259">
        <f t="shared" si="89"/>
        <v>5103</v>
      </c>
      <c r="AZ109" s="452">
        <f t="shared" si="90"/>
        <v>226</v>
      </c>
      <c r="BA109" s="452">
        <f t="shared" si="91"/>
        <v>11.0288</v>
      </c>
      <c r="BB109" s="452">
        <f t="shared" si="92"/>
        <v>0.19436361600000002</v>
      </c>
      <c r="BC109" s="452">
        <f t="shared" si="93"/>
        <v>237</v>
      </c>
      <c r="BD109" s="260">
        <f t="shared" si="94"/>
        <v>1153278</v>
      </c>
      <c r="BE109" s="260">
        <f t="shared" si="95"/>
        <v>1209411</v>
      </c>
      <c r="BF109" s="397">
        <f t="shared" si="96"/>
        <v>53810148</v>
      </c>
      <c r="BG109" s="397">
        <f t="shared" si="97"/>
        <v>56429226</v>
      </c>
    </row>
    <row r="110" spans="1:59" ht="15.75">
      <c r="A110" s="338">
        <v>8</v>
      </c>
      <c r="B110" s="338" t="str">
        <f t="shared" si="49"/>
        <v>FRUTA_8</v>
      </c>
      <c r="C110" s="338" t="str">
        <f t="shared" si="50"/>
        <v>22_8</v>
      </c>
      <c r="D110" s="338" t="s">
        <v>1</v>
      </c>
      <c r="E110" s="258">
        <v>22</v>
      </c>
      <c r="F110" s="328" t="s">
        <v>51</v>
      </c>
      <c r="G110" s="258" t="s">
        <v>9</v>
      </c>
      <c r="H110" s="431">
        <f t="shared" si="51"/>
        <v>0</v>
      </c>
      <c r="I110" s="431">
        <f t="array" ref="I110">MAX((IF(MNU_CODIGO_ALIMENTO_ENTREGA=CONCATENATE($E110,"_","P_"),MNU_GRAMAJE_REQUERIDO_TIPOA,"")))</f>
        <v>0</v>
      </c>
      <c r="J110" s="259">
        <f t="shared" si="52"/>
        <v>3905</v>
      </c>
      <c r="K110" s="259">
        <f t="shared" si="53"/>
        <v>0</v>
      </c>
      <c r="L110" s="452">
        <f t="shared" si="54"/>
        <v>0</v>
      </c>
      <c r="M110" s="452">
        <f t="shared" si="55"/>
        <v>0</v>
      </c>
      <c r="N110" s="452">
        <f t="shared" si="56"/>
        <v>0</v>
      </c>
      <c r="O110" s="452">
        <f t="shared" si="57"/>
        <v>0</v>
      </c>
      <c r="P110" s="260">
        <f t="shared" si="58"/>
        <v>0</v>
      </c>
      <c r="Q110" s="260">
        <f t="shared" si="59"/>
        <v>0</v>
      </c>
      <c r="R110" s="432">
        <f t="shared" si="60"/>
        <v>20</v>
      </c>
      <c r="S110" s="432">
        <f t="array" ref="S110">MAX((IF(MNU_CODIGO_ALIMENTO_ENTREGA=CONCATENATE($E110,"_","P_"),MNU_GRAMAJE_REQUERIDO_TIPOB,"")))</f>
        <v>100</v>
      </c>
      <c r="T110" s="261">
        <f t="shared" si="61"/>
        <v>5347</v>
      </c>
      <c r="U110" s="261">
        <f t="shared" si="62"/>
        <v>106940</v>
      </c>
      <c r="V110" s="452">
        <f t="shared" si="63"/>
        <v>525</v>
      </c>
      <c r="W110" s="452">
        <f t="shared" si="64"/>
        <v>25.62</v>
      </c>
      <c r="X110" s="452">
        <f t="shared" si="65"/>
        <v>0.45150840000000003</v>
      </c>
      <c r="Y110" s="452">
        <f t="shared" si="66"/>
        <v>551</v>
      </c>
      <c r="Z110" s="262">
        <f t="shared" si="67"/>
        <v>56143500</v>
      </c>
      <c r="AA110" s="262">
        <f t="shared" si="68"/>
        <v>58923940</v>
      </c>
      <c r="AB110" s="431">
        <f t="shared" si="69"/>
        <v>20</v>
      </c>
      <c r="AC110" s="431">
        <f t="array" ref="AC110">MAX((IF(MNU_CODIGO_ALIMENTO_ENTREGA=CONCATENATE($E110,"_","P_"),MNU_GRAMAJE_REQUERIDO_TIPOC,"")))</f>
        <v>100</v>
      </c>
      <c r="AD110" s="259">
        <f t="shared" si="70"/>
        <v>5513</v>
      </c>
      <c r="AE110" s="259">
        <f t="shared" si="71"/>
        <v>110260</v>
      </c>
      <c r="AF110" s="452">
        <f t="shared" si="72"/>
        <v>525</v>
      </c>
      <c r="AG110" s="452">
        <f t="shared" si="73"/>
        <v>25.62</v>
      </c>
      <c r="AH110" s="452">
        <f t="shared" si="74"/>
        <v>0.45150840000000003</v>
      </c>
      <c r="AI110" s="452">
        <f t="shared" si="75"/>
        <v>551</v>
      </c>
      <c r="AJ110" s="260">
        <f t="shared" si="76"/>
        <v>57886500</v>
      </c>
      <c r="AK110" s="260">
        <f t="shared" si="77"/>
        <v>60753260</v>
      </c>
      <c r="AL110" s="432">
        <f t="shared" si="78"/>
        <v>20</v>
      </c>
      <c r="AM110" s="432">
        <f t="array" ref="AM110">MAX((IF(MNU_CODIGO_ALIMENTO_ENTREGA=CONCATENATE($E110,"_","P_"),MNU_GRAMAJE_REQUERIDO_TIPOM,"")))</f>
        <v>100</v>
      </c>
      <c r="AN110" s="261">
        <f t="shared" si="79"/>
        <v>235</v>
      </c>
      <c r="AO110" s="261">
        <f t="shared" si="80"/>
        <v>4700</v>
      </c>
      <c r="AP110" s="452">
        <f t="shared" si="81"/>
        <v>525</v>
      </c>
      <c r="AQ110" s="452">
        <f t="shared" si="82"/>
        <v>25.62</v>
      </c>
      <c r="AR110" s="452">
        <f t="shared" si="83"/>
        <v>0.45150840000000003</v>
      </c>
      <c r="AS110" s="452">
        <f t="shared" si="84"/>
        <v>551</v>
      </c>
      <c r="AT110" s="262">
        <f t="shared" si="85"/>
        <v>2467500</v>
      </c>
      <c r="AU110" s="262">
        <f t="shared" si="86"/>
        <v>2589700</v>
      </c>
      <c r="AV110" s="431">
        <f t="shared" si="87"/>
        <v>20</v>
      </c>
      <c r="AW110" s="431">
        <f t="array" ref="AW110">MAX((IF(MNU_CODIGO_ALIMENTO_ENTREGA=CONCATENATE($E110,"_","P_"),MNU_GRAMAJE_REQUERIDO_TIPOH,"")))</f>
        <v>100</v>
      </c>
      <c r="AX110" s="259">
        <f t="shared" si="88"/>
        <v>243</v>
      </c>
      <c r="AY110" s="259">
        <f t="shared" si="89"/>
        <v>4860</v>
      </c>
      <c r="AZ110" s="452">
        <f t="shared" si="90"/>
        <v>525</v>
      </c>
      <c r="BA110" s="452">
        <f t="shared" si="91"/>
        <v>25.62</v>
      </c>
      <c r="BB110" s="452">
        <f t="shared" si="92"/>
        <v>0.45150840000000003</v>
      </c>
      <c r="BC110" s="452">
        <f t="shared" si="93"/>
        <v>551</v>
      </c>
      <c r="BD110" s="260">
        <f t="shared" si="94"/>
        <v>2551500</v>
      </c>
      <c r="BE110" s="260">
        <f t="shared" si="95"/>
        <v>2677860</v>
      </c>
      <c r="BF110" s="397">
        <f t="shared" si="96"/>
        <v>119049000</v>
      </c>
      <c r="BG110" s="397">
        <f t="shared" si="97"/>
        <v>124944760</v>
      </c>
    </row>
    <row r="111" spans="1:59" ht="15.75">
      <c r="A111" s="338">
        <v>8</v>
      </c>
      <c r="B111" s="338" t="str">
        <f t="shared" si="49"/>
        <v>FRUTA_8</v>
      </c>
      <c r="C111" s="338" t="str">
        <f t="shared" si="50"/>
        <v>33_8</v>
      </c>
      <c r="D111" s="338" t="s">
        <v>1</v>
      </c>
      <c r="E111" s="258">
        <v>33</v>
      </c>
      <c r="F111" s="328" t="s">
        <v>59</v>
      </c>
      <c r="G111" s="258" t="s">
        <v>48</v>
      </c>
      <c r="H111" s="431">
        <f t="shared" si="51"/>
        <v>27</v>
      </c>
      <c r="I111" s="431">
        <v>1</v>
      </c>
      <c r="J111" s="259">
        <f t="shared" si="52"/>
        <v>3905</v>
      </c>
      <c r="K111" s="259">
        <f t="shared" si="53"/>
        <v>105435</v>
      </c>
      <c r="L111" s="452">
        <f t="shared" si="54"/>
        <v>270</v>
      </c>
      <c r="M111" s="452">
        <f t="shared" si="55"/>
        <v>13.176000000000002</v>
      </c>
      <c r="N111" s="452">
        <f t="shared" si="56"/>
        <v>0.23220432000000002</v>
      </c>
      <c r="O111" s="452">
        <f t="shared" si="57"/>
        <v>283</v>
      </c>
      <c r="P111" s="260">
        <f t="shared" si="58"/>
        <v>28467450</v>
      </c>
      <c r="Q111" s="260">
        <f t="shared" si="59"/>
        <v>29838105</v>
      </c>
      <c r="R111" s="432">
        <f t="shared" si="60"/>
        <v>18</v>
      </c>
      <c r="S111" s="432">
        <v>1</v>
      </c>
      <c r="T111" s="261">
        <f t="shared" si="61"/>
        <v>5347</v>
      </c>
      <c r="U111" s="261">
        <f t="shared" si="62"/>
        <v>96246</v>
      </c>
      <c r="V111" s="452">
        <f t="shared" si="63"/>
        <v>270</v>
      </c>
      <c r="W111" s="452">
        <f t="shared" si="64"/>
        <v>13.176000000000002</v>
      </c>
      <c r="X111" s="452">
        <f t="shared" si="65"/>
        <v>0.23220432000000002</v>
      </c>
      <c r="Y111" s="452">
        <f t="shared" si="66"/>
        <v>283</v>
      </c>
      <c r="Z111" s="262">
        <f t="shared" si="67"/>
        <v>25986420</v>
      </c>
      <c r="AA111" s="262">
        <f t="shared" si="68"/>
        <v>27237618</v>
      </c>
      <c r="AB111" s="431">
        <f t="shared" si="69"/>
        <v>18</v>
      </c>
      <c r="AC111" s="431">
        <v>1</v>
      </c>
      <c r="AD111" s="259">
        <f t="shared" si="70"/>
        <v>5513</v>
      </c>
      <c r="AE111" s="259">
        <f t="shared" si="71"/>
        <v>99234</v>
      </c>
      <c r="AF111" s="452">
        <f t="shared" si="72"/>
        <v>270</v>
      </c>
      <c r="AG111" s="452">
        <f t="shared" si="73"/>
        <v>13.176000000000002</v>
      </c>
      <c r="AH111" s="452">
        <f t="shared" si="74"/>
        <v>0.23220432000000002</v>
      </c>
      <c r="AI111" s="452">
        <f t="shared" si="75"/>
        <v>283</v>
      </c>
      <c r="AJ111" s="260">
        <f t="shared" si="76"/>
        <v>26793180</v>
      </c>
      <c r="AK111" s="260">
        <f t="shared" si="77"/>
        <v>28083222</v>
      </c>
      <c r="AL111" s="432">
        <f t="shared" si="78"/>
        <v>18</v>
      </c>
      <c r="AM111" s="432">
        <v>1</v>
      </c>
      <c r="AN111" s="261">
        <f t="shared" si="79"/>
        <v>235</v>
      </c>
      <c r="AO111" s="261">
        <f t="shared" si="80"/>
        <v>4230</v>
      </c>
      <c r="AP111" s="452">
        <f t="shared" si="81"/>
        <v>270</v>
      </c>
      <c r="AQ111" s="452">
        <f t="shared" si="82"/>
        <v>13.176000000000002</v>
      </c>
      <c r="AR111" s="452">
        <f t="shared" si="83"/>
        <v>0.23220432000000002</v>
      </c>
      <c r="AS111" s="452">
        <f t="shared" si="84"/>
        <v>283</v>
      </c>
      <c r="AT111" s="262">
        <f t="shared" si="85"/>
        <v>1142100</v>
      </c>
      <c r="AU111" s="262">
        <f t="shared" si="86"/>
        <v>1197090</v>
      </c>
      <c r="AV111" s="431">
        <f t="shared" si="87"/>
        <v>18</v>
      </c>
      <c r="AW111" s="431">
        <v>1</v>
      </c>
      <c r="AX111" s="259">
        <f t="shared" si="88"/>
        <v>243</v>
      </c>
      <c r="AY111" s="259">
        <f t="shared" si="89"/>
        <v>4374</v>
      </c>
      <c r="AZ111" s="452">
        <f t="shared" si="90"/>
        <v>270</v>
      </c>
      <c r="BA111" s="452">
        <f t="shared" si="91"/>
        <v>13.176000000000002</v>
      </c>
      <c r="BB111" s="452">
        <f t="shared" si="92"/>
        <v>0.23220432000000002</v>
      </c>
      <c r="BC111" s="452">
        <f t="shared" si="93"/>
        <v>283</v>
      </c>
      <c r="BD111" s="260">
        <f t="shared" si="94"/>
        <v>1180980</v>
      </c>
      <c r="BE111" s="260">
        <f t="shared" si="95"/>
        <v>1237842</v>
      </c>
      <c r="BF111" s="397">
        <f t="shared" si="96"/>
        <v>83570130</v>
      </c>
      <c r="BG111" s="397">
        <f t="shared" si="97"/>
        <v>87593877</v>
      </c>
    </row>
    <row r="112" spans="1:59" ht="15.75">
      <c r="A112" s="338">
        <v>8</v>
      </c>
      <c r="B112" s="338" t="str">
        <f t="shared" si="49"/>
        <v>FRUTA_8</v>
      </c>
      <c r="C112" s="338" t="str">
        <f t="shared" si="50"/>
        <v>36_8</v>
      </c>
      <c r="D112" s="338" t="s">
        <v>1</v>
      </c>
      <c r="E112" s="258">
        <v>36</v>
      </c>
      <c r="F112" s="328" t="s">
        <v>1340</v>
      </c>
      <c r="G112" s="258" t="s">
        <v>9</v>
      </c>
      <c r="H112" s="431">
        <f t="shared" si="51"/>
        <v>7</v>
      </c>
      <c r="I112" s="431">
        <f t="array" ref="I112">MAX((IF(MNU_CODIGO_ALIMENTO_ENTREGA=CONCATENATE($E112,"_","P_"),MNU_GRAMAJE_REQUERIDO_TIPOA,"")))</f>
        <v>20</v>
      </c>
      <c r="J112" s="259">
        <f t="shared" si="52"/>
        <v>3905</v>
      </c>
      <c r="K112" s="259">
        <f t="shared" si="53"/>
        <v>27335</v>
      </c>
      <c r="L112" s="452">
        <f t="shared" si="54"/>
        <v>126</v>
      </c>
      <c r="M112" s="452">
        <f t="shared" si="55"/>
        <v>6.1488000000000005</v>
      </c>
      <c r="N112" s="452">
        <f t="shared" si="56"/>
        <v>0.10836201599999999</v>
      </c>
      <c r="O112" s="452">
        <f t="shared" si="57"/>
        <v>132</v>
      </c>
      <c r="P112" s="260">
        <f t="shared" si="58"/>
        <v>3444210</v>
      </c>
      <c r="Q112" s="260">
        <f t="shared" si="59"/>
        <v>3608220</v>
      </c>
      <c r="R112" s="432">
        <f t="shared" si="60"/>
        <v>7</v>
      </c>
      <c r="S112" s="432">
        <f t="array" ref="S112">MAX((IF(MNU_CODIGO_ALIMENTO_ENTREGA=CONCATENATE($E112,"_","P_"),MNU_GRAMAJE_REQUERIDO_TIPOB,"")))</f>
        <v>40</v>
      </c>
      <c r="T112" s="261">
        <f t="shared" si="61"/>
        <v>5347</v>
      </c>
      <c r="U112" s="261">
        <f t="shared" si="62"/>
        <v>37429</v>
      </c>
      <c r="V112" s="452">
        <f t="shared" si="63"/>
        <v>252</v>
      </c>
      <c r="W112" s="452">
        <f t="shared" si="64"/>
        <v>12.297600000000001</v>
      </c>
      <c r="X112" s="452">
        <f t="shared" si="65"/>
        <v>0.21672403199999998</v>
      </c>
      <c r="Y112" s="452">
        <f t="shared" si="66"/>
        <v>265</v>
      </c>
      <c r="Z112" s="262">
        <f t="shared" si="67"/>
        <v>9432108</v>
      </c>
      <c r="AA112" s="262">
        <f t="shared" si="68"/>
        <v>9918685</v>
      </c>
      <c r="AB112" s="431">
        <f t="shared" si="69"/>
        <v>7</v>
      </c>
      <c r="AC112" s="431">
        <f t="array" ref="AC112">MAX((IF(MNU_CODIGO_ALIMENTO_ENTREGA=CONCATENATE($E112,"_","P_"),MNU_GRAMAJE_REQUERIDO_TIPOC,"")))</f>
        <v>40</v>
      </c>
      <c r="AD112" s="259">
        <f t="shared" si="70"/>
        <v>5513</v>
      </c>
      <c r="AE112" s="259">
        <f t="shared" si="71"/>
        <v>38591</v>
      </c>
      <c r="AF112" s="452">
        <f t="shared" si="72"/>
        <v>252</v>
      </c>
      <c r="AG112" s="452">
        <f t="shared" si="73"/>
        <v>12.297600000000001</v>
      </c>
      <c r="AH112" s="452">
        <f t="shared" si="74"/>
        <v>0.21672403199999998</v>
      </c>
      <c r="AI112" s="452">
        <f t="shared" si="75"/>
        <v>265</v>
      </c>
      <c r="AJ112" s="260">
        <f t="shared" si="76"/>
        <v>9724932</v>
      </c>
      <c r="AK112" s="260">
        <f t="shared" si="77"/>
        <v>10226615</v>
      </c>
      <c r="AL112" s="432">
        <f t="shared" si="78"/>
        <v>7</v>
      </c>
      <c r="AM112" s="432">
        <f t="array" ref="AM112">MAX((IF(MNU_CODIGO_ALIMENTO_ENTREGA=CONCATENATE($E112,"_","P_"),MNU_GRAMAJE_REQUERIDO_TIPOM,"")))</f>
        <v>40</v>
      </c>
      <c r="AN112" s="261">
        <f t="shared" si="79"/>
        <v>235</v>
      </c>
      <c r="AO112" s="261">
        <f t="shared" si="80"/>
        <v>1645</v>
      </c>
      <c r="AP112" s="452">
        <f t="shared" si="81"/>
        <v>252</v>
      </c>
      <c r="AQ112" s="452">
        <f t="shared" si="82"/>
        <v>12.297600000000001</v>
      </c>
      <c r="AR112" s="452">
        <f t="shared" si="83"/>
        <v>0.21672403199999998</v>
      </c>
      <c r="AS112" s="452">
        <f t="shared" si="84"/>
        <v>265</v>
      </c>
      <c r="AT112" s="262">
        <f t="shared" si="85"/>
        <v>414540</v>
      </c>
      <c r="AU112" s="262">
        <f t="shared" si="86"/>
        <v>435925</v>
      </c>
      <c r="AV112" s="431">
        <f t="shared" si="87"/>
        <v>7</v>
      </c>
      <c r="AW112" s="431">
        <f t="array" ref="AW112">MAX((IF(MNU_CODIGO_ALIMENTO_ENTREGA=CONCATENATE($E112,"_","P_"),MNU_GRAMAJE_REQUERIDO_TIPOH,"")))</f>
        <v>40</v>
      </c>
      <c r="AX112" s="259">
        <f t="shared" si="88"/>
        <v>243</v>
      </c>
      <c r="AY112" s="259">
        <f t="shared" si="89"/>
        <v>1701</v>
      </c>
      <c r="AZ112" s="452">
        <f t="shared" si="90"/>
        <v>252</v>
      </c>
      <c r="BA112" s="452">
        <f t="shared" si="91"/>
        <v>12.297600000000001</v>
      </c>
      <c r="BB112" s="452">
        <f t="shared" si="92"/>
        <v>0.21672403199999998</v>
      </c>
      <c r="BC112" s="452">
        <f t="shared" si="93"/>
        <v>265</v>
      </c>
      <c r="BD112" s="260">
        <f t="shared" si="94"/>
        <v>428652</v>
      </c>
      <c r="BE112" s="260">
        <f t="shared" si="95"/>
        <v>450765</v>
      </c>
      <c r="BF112" s="397">
        <f t="shared" si="96"/>
        <v>23444442</v>
      </c>
      <c r="BG112" s="397">
        <f t="shared" si="97"/>
        <v>24640210</v>
      </c>
    </row>
    <row r="113" spans="1:59" ht="15.75">
      <c r="A113" s="338">
        <v>8</v>
      </c>
      <c r="B113" s="338" t="str">
        <f t="shared" si="49"/>
        <v>FRUTA_8</v>
      </c>
      <c r="C113" s="338" t="str">
        <f t="shared" si="50"/>
        <v>42_8</v>
      </c>
      <c r="D113" s="338" t="s">
        <v>1</v>
      </c>
      <c r="E113" s="258">
        <v>42</v>
      </c>
      <c r="F113" s="328" t="s">
        <v>61</v>
      </c>
      <c r="G113" s="258" t="s">
        <v>9</v>
      </c>
      <c r="H113" s="431">
        <f t="shared" si="51"/>
        <v>23</v>
      </c>
      <c r="I113" s="431">
        <f t="array" ref="I113">MAX((IF(MNU_CODIGO_ALIMENTO_ENTREGA=CONCATENATE($E113,"_","P_"),MNU_GRAMAJE_REQUERIDO_TIPOA,"")))</f>
        <v>100</v>
      </c>
      <c r="J113" s="259">
        <f t="shared" si="52"/>
        <v>3905</v>
      </c>
      <c r="K113" s="259">
        <f t="shared" si="53"/>
        <v>89815</v>
      </c>
      <c r="L113" s="452">
        <f t="shared" si="54"/>
        <v>194</v>
      </c>
      <c r="M113" s="452">
        <f t="shared" si="55"/>
        <v>9.4672000000000001</v>
      </c>
      <c r="N113" s="452">
        <f t="shared" si="56"/>
        <v>0.16684310399999999</v>
      </c>
      <c r="O113" s="452">
        <f t="shared" si="57"/>
        <v>204</v>
      </c>
      <c r="P113" s="260">
        <f t="shared" si="58"/>
        <v>17424110</v>
      </c>
      <c r="Q113" s="260">
        <f t="shared" si="59"/>
        <v>18322260</v>
      </c>
      <c r="R113" s="432">
        <f t="shared" si="60"/>
        <v>19</v>
      </c>
      <c r="S113" s="432">
        <f t="array" ref="S113">MAX((IF(MNU_CODIGO_ALIMENTO_ENTREGA=CONCATENATE($E113,"_","P_"),MNU_GRAMAJE_REQUERIDO_TIPOB,"")))</f>
        <v>100</v>
      </c>
      <c r="T113" s="261">
        <f t="shared" si="61"/>
        <v>5347</v>
      </c>
      <c r="U113" s="261">
        <f t="shared" si="62"/>
        <v>101593</v>
      </c>
      <c r="V113" s="452">
        <f t="shared" si="63"/>
        <v>194</v>
      </c>
      <c r="W113" s="452">
        <f t="shared" si="64"/>
        <v>9.4672000000000001</v>
      </c>
      <c r="X113" s="452">
        <f t="shared" si="65"/>
        <v>0.16684310399999999</v>
      </c>
      <c r="Y113" s="452">
        <f t="shared" si="66"/>
        <v>204</v>
      </c>
      <c r="Z113" s="262">
        <f t="shared" si="67"/>
        <v>19709042</v>
      </c>
      <c r="AA113" s="262">
        <f t="shared" si="68"/>
        <v>20724972</v>
      </c>
      <c r="AB113" s="431">
        <f t="shared" si="69"/>
        <v>19</v>
      </c>
      <c r="AC113" s="431">
        <f t="array" ref="AC113">MAX((IF(MNU_CODIGO_ALIMENTO_ENTREGA=CONCATENATE($E113,"_","P_"),MNU_GRAMAJE_REQUERIDO_TIPOC,"")))</f>
        <v>100</v>
      </c>
      <c r="AD113" s="259">
        <f t="shared" si="70"/>
        <v>5513</v>
      </c>
      <c r="AE113" s="259">
        <f t="shared" si="71"/>
        <v>104747</v>
      </c>
      <c r="AF113" s="452">
        <f t="shared" si="72"/>
        <v>194</v>
      </c>
      <c r="AG113" s="452">
        <f t="shared" si="73"/>
        <v>9.4672000000000001</v>
      </c>
      <c r="AH113" s="452">
        <f t="shared" si="74"/>
        <v>0.16684310399999999</v>
      </c>
      <c r="AI113" s="452">
        <f t="shared" si="75"/>
        <v>204</v>
      </c>
      <c r="AJ113" s="260">
        <f t="shared" si="76"/>
        <v>20320918</v>
      </c>
      <c r="AK113" s="260">
        <f t="shared" si="77"/>
        <v>21368388</v>
      </c>
      <c r="AL113" s="432">
        <f t="shared" si="78"/>
        <v>19</v>
      </c>
      <c r="AM113" s="432">
        <f t="array" ref="AM113">MAX((IF(MNU_CODIGO_ALIMENTO_ENTREGA=CONCATENATE($E113,"_","P_"),MNU_GRAMAJE_REQUERIDO_TIPOM,"")))</f>
        <v>100</v>
      </c>
      <c r="AN113" s="261">
        <f t="shared" si="79"/>
        <v>235</v>
      </c>
      <c r="AO113" s="261">
        <f t="shared" si="80"/>
        <v>4465</v>
      </c>
      <c r="AP113" s="452">
        <f t="shared" si="81"/>
        <v>194</v>
      </c>
      <c r="AQ113" s="452">
        <f t="shared" si="82"/>
        <v>9.4672000000000001</v>
      </c>
      <c r="AR113" s="452">
        <f t="shared" si="83"/>
        <v>0.16684310399999999</v>
      </c>
      <c r="AS113" s="452">
        <f t="shared" si="84"/>
        <v>204</v>
      </c>
      <c r="AT113" s="262">
        <f t="shared" si="85"/>
        <v>866210</v>
      </c>
      <c r="AU113" s="262">
        <f t="shared" si="86"/>
        <v>910860</v>
      </c>
      <c r="AV113" s="431">
        <f t="shared" si="87"/>
        <v>19</v>
      </c>
      <c r="AW113" s="431">
        <f t="array" ref="AW113">MAX((IF(MNU_CODIGO_ALIMENTO_ENTREGA=CONCATENATE($E113,"_","P_"),MNU_GRAMAJE_REQUERIDO_TIPOH,"")))</f>
        <v>100</v>
      </c>
      <c r="AX113" s="259">
        <f t="shared" si="88"/>
        <v>243</v>
      </c>
      <c r="AY113" s="259">
        <f t="shared" si="89"/>
        <v>4617</v>
      </c>
      <c r="AZ113" s="452">
        <f t="shared" si="90"/>
        <v>194</v>
      </c>
      <c r="BA113" s="452">
        <f t="shared" si="91"/>
        <v>9.4672000000000001</v>
      </c>
      <c r="BB113" s="452">
        <f t="shared" si="92"/>
        <v>0.16684310399999999</v>
      </c>
      <c r="BC113" s="452">
        <f t="shared" si="93"/>
        <v>204</v>
      </c>
      <c r="BD113" s="260">
        <f t="shared" si="94"/>
        <v>895698</v>
      </c>
      <c r="BE113" s="260">
        <f t="shared" si="95"/>
        <v>941868</v>
      </c>
      <c r="BF113" s="397">
        <f t="shared" si="96"/>
        <v>59215978</v>
      </c>
      <c r="BG113" s="397">
        <f t="shared" si="97"/>
        <v>62268348</v>
      </c>
    </row>
    <row r="114" spans="1:59" ht="15.75">
      <c r="A114" s="338">
        <v>8</v>
      </c>
      <c r="B114" s="338" t="str">
        <f t="shared" si="49"/>
        <v>FRUTA_8</v>
      </c>
      <c r="C114" s="338" t="str">
        <f t="shared" si="50"/>
        <v>43_8</v>
      </c>
      <c r="D114" s="338" t="s">
        <v>1</v>
      </c>
      <c r="E114" s="258">
        <v>43</v>
      </c>
      <c r="F114" s="328" t="s">
        <v>62</v>
      </c>
      <c r="G114" s="258" t="s">
        <v>9</v>
      </c>
      <c r="H114" s="431">
        <f t="shared" si="51"/>
        <v>24</v>
      </c>
      <c r="I114" s="431">
        <f t="array" ref="I114">MAX((IF(MNU_CODIGO_ALIMENTO_ENTREGA=CONCATENATE($E114,"_","P_"),MNU_GRAMAJE_REQUERIDO_TIPOA,"")))</f>
        <v>100</v>
      </c>
      <c r="J114" s="259">
        <f t="shared" si="52"/>
        <v>3905</v>
      </c>
      <c r="K114" s="259">
        <f t="shared" si="53"/>
        <v>93720</v>
      </c>
      <c r="L114" s="452">
        <f t="shared" si="54"/>
        <v>170</v>
      </c>
      <c r="M114" s="452">
        <f t="shared" si="55"/>
        <v>8.2959999999999994</v>
      </c>
      <c r="N114" s="452">
        <f t="shared" si="56"/>
        <v>0.14620272000000001</v>
      </c>
      <c r="O114" s="452">
        <f t="shared" si="57"/>
        <v>178</v>
      </c>
      <c r="P114" s="260">
        <f t="shared" si="58"/>
        <v>15932400</v>
      </c>
      <c r="Q114" s="260">
        <f t="shared" si="59"/>
        <v>16682160</v>
      </c>
      <c r="R114" s="432">
        <f t="shared" si="60"/>
        <v>17</v>
      </c>
      <c r="S114" s="432">
        <f t="array" ref="S114">MAX((IF(MNU_CODIGO_ALIMENTO_ENTREGA=CONCATENATE($E114,"_","P_"),MNU_GRAMAJE_REQUERIDO_TIPOB,"")))</f>
        <v>100</v>
      </c>
      <c r="T114" s="261">
        <f t="shared" si="61"/>
        <v>5347</v>
      </c>
      <c r="U114" s="261">
        <f t="shared" si="62"/>
        <v>90899</v>
      </c>
      <c r="V114" s="452">
        <f t="shared" si="63"/>
        <v>170</v>
      </c>
      <c r="W114" s="452">
        <f t="shared" si="64"/>
        <v>8.2959999999999994</v>
      </c>
      <c r="X114" s="452">
        <f t="shared" si="65"/>
        <v>0.14620272000000001</v>
      </c>
      <c r="Y114" s="452">
        <f t="shared" si="66"/>
        <v>178</v>
      </c>
      <c r="Z114" s="262">
        <f t="shared" si="67"/>
        <v>15452830</v>
      </c>
      <c r="AA114" s="262">
        <f t="shared" si="68"/>
        <v>16180022</v>
      </c>
      <c r="AB114" s="431">
        <f t="shared" si="69"/>
        <v>17</v>
      </c>
      <c r="AC114" s="431">
        <f t="array" ref="AC114">MAX((IF(MNU_CODIGO_ALIMENTO_ENTREGA=CONCATENATE($E114,"_","P_"),MNU_GRAMAJE_REQUERIDO_TIPOC,"")))</f>
        <v>100</v>
      </c>
      <c r="AD114" s="259">
        <f t="shared" si="70"/>
        <v>5513</v>
      </c>
      <c r="AE114" s="259">
        <f t="shared" si="71"/>
        <v>93721</v>
      </c>
      <c r="AF114" s="452">
        <f t="shared" si="72"/>
        <v>170</v>
      </c>
      <c r="AG114" s="452">
        <f t="shared" si="73"/>
        <v>8.2959999999999994</v>
      </c>
      <c r="AH114" s="452">
        <f t="shared" si="74"/>
        <v>0.14620272000000001</v>
      </c>
      <c r="AI114" s="452">
        <f t="shared" si="75"/>
        <v>178</v>
      </c>
      <c r="AJ114" s="260">
        <f t="shared" si="76"/>
        <v>15932570</v>
      </c>
      <c r="AK114" s="260">
        <f t="shared" si="77"/>
        <v>16682338</v>
      </c>
      <c r="AL114" s="432">
        <f t="shared" si="78"/>
        <v>17</v>
      </c>
      <c r="AM114" s="432">
        <f t="array" ref="AM114">MAX((IF(MNU_CODIGO_ALIMENTO_ENTREGA=CONCATENATE($E114,"_","P_"),MNU_GRAMAJE_REQUERIDO_TIPOM,"")))</f>
        <v>100</v>
      </c>
      <c r="AN114" s="261">
        <f t="shared" si="79"/>
        <v>235</v>
      </c>
      <c r="AO114" s="261">
        <f t="shared" si="80"/>
        <v>3995</v>
      </c>
      <c r="AP114" s="452">
        <f t="shared" si="81"/>
        <v>170</v>
      </c>
      <c r="AQ114" s="452">
        <f t="shared" si="82"/>
        <v>8.2959999999999994</v>
      </c>
      <c r="AR114" s="452">
        <f t="shared" si="83"/>
        <v>0.14620272000000001</v>
      </c>
      <c r="AS114" s="452">
        <f t="shared" si="84"/>
        <v>178</v>
      </c>
      <c r="AT114" s="262">
        <f t="shared" si="85"/>
        <v>679150</v>
      </c>
      <c r="AU114" s="262">
        <f t="shared" si="86"/>
        <v>711110</v>
      </c>
      <c r="AV114" s="431">
        <f t="shared" si="87"/>
        <v>17</v>
      </c>
      <c r="AW114" s="431">
        <f t="array" ref="AW114">MAX((IF(MNU_CODIGO_ALIMENTO_ENTREGA=CONCATENATE($E114,"_","P_"),MNU_GRAMAJE_REQUERIDO_TIPOH,"")))</f>
        <v>100</v>
      </c>
      <c r="AX114" s="259">
        <f t="shared" si="88"/>
        <v>243</v>
      </c>
      <c r="AY114" s="259">
        <f t="shared" si="89"/>
        <v>4131</v>
      </c>
      <c r="AZ114" s="452">
        <f t="shared" si="90"/>
        <v>170</v>
      </c>
      <c r="BA114" s="452">
        <f t="shared" si="91"/>
        <v>8.2959999999999994</v>
      </c>
      <c r="BB114" s="452">
        <f t="shared" si="92"/>
        <v>0.14620272000000001</v>
      </c>
      <c r="BC114" s="452">
        <f t="shared" si="93"/>
        <v>178</v>
      </c>
      <c r="BD114" s="260">
        <f t="shared" si="94"/>
        <v>702270</v>
      </c>
      <c r="BE114" s="260">
        <f t="shared" si="95"/>
        <v>735318</v>
      </c>
      <c r="BF114" s="397">
        <f t="shared" si="96"/>
        <v>48699220</v>
      </c>
      <c r="BG114" s="397">
        <f t="shared" si="97"/>
        <v>50990948</v>
      </c>
    </row>
    <row r="115" spans="1:59" ht="15.75">
      <c r="A115" s="338">
        <v>8</v>
      </c>
      <c r="B115" s="338" t="str">
        <f t="shared" si="49"/>
        <v>FRUTA_8</v>
      </c>
      <c r="C115" s="338" t="str">
        <f t="shared" si="50"/>
        <v>46_8</v>
      </c>
      <c r="D115" s="338" t="s">
        <v>1</v>
      </c>
      <c r="E115" s="258">
        <v>46</v>
      </c>
      <c r="F115" s="328" t="s">
        <v>64</v>
      </c>
      <c r="G115" s="258" t="s">
        <v>9</v>
      </c>
      <c r="H115" s="431">
        <f t="shared" si="51"/>
        <v>30</v>
      </c>
      <c r="I115" s="431">
        <f t="array" ref="I115">MAX((IF(MNU_CODIGO_ALIMENTO_ENTREGA=CONCATENATE($E115,"_","P_"),MNU_GRAMAJE_REQUERIDO_TIPOA,"")))</f>
        <v>100</v>
      </c>
      <c r="J115" s="259">
        <f t="shared" si="52"/>
        <v>3905</v>
      </c>
      <c r="K115" s="259">
        <f t="shared" si="53"/>
        <v>117150</v>
      </c>
      <c r="L115" s="452">
        <f t="shared" si="54"/>
        <v>398</v>
      </c>
      <c r="M115" s="452">
        <f t="shared" si="55"/>
        <v>19.4224</v>
      </c>
      <c r="N115" s="452">
        <f t="shared" si="56"/>
        <v>0.34228636800000001</v>
      </c>
      <c r="O115" s="452">
        <f t="shared" si="57"/>
        <v>418</v>
      </c>
      <c r="P115" s="260">
        <f t="shared" si="58"/>
        <v>46625700</v>
      </c>
      <c r="Q115" s="260">
        <f t="shared" si="59"/>
        <v>48968700</v>
      </c>
      <c r="R115" s="432">
        <f t="shared" si="60"/>
        <v>21</v>
      </c>
      <c r="S115" s="432">
        <f t="array" ref="S115">MAX((IF(MNU_CODIGO_ALIMENTO_ENTREGA=CONCATENATE($E115,"_","P_"),MNU_GRAMAJE_REQUERIDO_TIPOB,"")))</f>
        <v>100</v>
      </c>
      <c r="T115" s="261">
        <f t="shared" si="61"/>
        <v>5347</v>
      </c>
      <c r="U115" s="261">
        <f t="shared" si="62"/>
        <v>112287</v>
      </c>
      <c r="V115" s="452">
        <f t="shared" si="63"/>
        <v>398</v>
      </c>
      <c r="W115" s="452">
        <f t="shared" si="64"/>
        <v>19.4224</v>
      </c>
      <c r="X115" s="452">
        <f t="shared" si="65"/>
        <v>0.34228636800000001</v>
      </c>
      <c r="Y115" s="452">
        <f t="shared" si="66"/>
        <v>418</v>
      </c>
      <c r="Z115" s="262">
        <f t="shared" si="67"/>
        <v>44690226</v>
      </c>
      <c r="AA115" s="262">
        <f t="shared" si="68"/>
        <v>46935966</v>
      </c>
      <c r="AB115" s="431">
        <f t="shared" si="69"/>
        <v>21</v>
      </c>
      <c r="AC115" s="431">
        <f t="array" ref="AC115">MAX((IF(MNU_CODIGO_ALIMENTO_ENTREGA=CONCATENATE($E115,"_","P_"),MNU_GRAMAJE_REQUERIDO_TIPOC,"")))</f>
        <v>100</v>
      </c>
      <c r="AD115" s="259">
        <f t="shared" si="70"/>
        <v>5513</v>
      </c>
      <c r="AE115" s="259">
        <f t="shared" si="71"/>
        <v>115773</v>
      </c>
      <c r="AF115" s="452">
        <f t="shared" si="72"/>
        <v>398</v>
      </c>
      <c r="AG115" s="452">
        <f t="shared" si="73"/>
        <v>19.4224</v>
      </c>
      <c r="AH115" s="452">
        <f t="shared" si="74"/>
        <v>0.34228636800000001</v>
      </c>
      <c r="AI115" s="452">
        <f t="shared" si="75"/>
        <v>418</v>
      </c>
      <c r="AJ115" s="260">
        <f t="shared" si="76"/>
        <v>46077654</v>
      </c>
      <c r="AK115" s="260">
        <f t="shared" si="77"/>
        <v>48393114</v>
      </c>
      <c r="AL115" s="432">
        <f t="shared" si="78"/>
        <v>21</v>
      </c>
      <c r="AM115" s="432">
        <f t="array" ref="AM115">MAX((IF(MNU_CODIGO_ALIMENTO_ENTREGA=CONCATENATE($E115,"_","P_"),MNU_GRAMAJE_REQUERIDO_TIPOM,"")))</f>
        <v>100</v>
      </c>
      <c r="AN115" s="261">
        <f t="shared" si="79"/>
        <v>235</v>
      </c>
      <c r="AO115" s="261">
        <f t="shared" si="80"/>
        <v>4935</v>
      </c>
      <c r="AP115" s="452">
        <f t="shared" si="81"/>
        <v>398</v>
      </c>
      <c r="AQ115" s="452">
        <f t="shared" si="82"/>
        <v>19.4224</v>
      </c>
      <c r="AR115" s="452">
        <f t="shared" si="83"/>
        <v>0.34228636800000001</v>
      </c>
      <c r="AS115" s="452">
        <f t="shared" si="84"/>
        <v>418</v>
      </c>
      <c r="AT115" s="262">
        <f t="shared" si="85"/>
        <v>1964130</v>
      </c>
      <c r="AU115" s="262">
        <f t="shared" si="86"/>
        <v>2062830</v>
      </c>
      <c r="AV115" s="431">
        <f t="shared" si="87"/>
        <v>21</v>
      </c>
      <c r="AW115" s="431">
        <f t="array" ref="AW115">MAX((IF(MNU_CODIGO_ALIMENTO_ENTREGA=CONCATENATE($E115,"_","P_"),MNU_GRAMAJE_REQUERIDO_TIPOH,"")))</f>
        <v>100</v>
      </c>
      <c r="AX115" s="259">
        <f t="shared" si="88"/>
        <v>243</v>
      </c>
      <c r="AY115" s="259">
        <f t="shared" si="89"/>
        <v>5103</v>
      </c>
      <c r="AZ115" s="452">
        <f t="shared" si="90"/>
        <v>398</v>
      </c>
      <c r="BA115" s="452">
        <f t="shared" si="91"/>
        <v>19.4224</v>
      </c>
      <c r="BB115" s="452">
        <f t="shared" si="92"/>
        <v>0.34228636800000001</v>
      </c>
      <c r="BC115" s="452">
        <f t="shared" si="93"/>
        <v>418</v>
      </c>
      <c r="BD115" s="260">
        <f t="shared" si="94"/>
        <v>2030994</v>
      </c>
      <c r="BE115" s="260">
        <f t="shared" si="95"/>
        <v>2133054</v>
      </c>
      <c r="BF115" s="397">
        <f t="shared" si="96"/>
        <v>141388704</v>
      </c>
      <c r="BG115" s="397">
        <f t="shared" si="97"/>
        <v>148493664</v>
      </c>
    </row>
    <row r="116" spans="1:59" ht="15.75">
      <c r="A116" s="338">
        <v>8</v>
      </c>
      <c r="B116" s="338" t="str">
        <f t="shared" si="49"/>
        <v>FRUTA_8</v>
      </c>
      <c r="C116" s="338" t="str">
        <f t="shared" si="50"/>
        <v>58_8</v>
      </c>
      <c r="D116" s="338" t="s">
        <v>1</v>
      </c>
      <c r="E116" s="258">
        <v>58</v>
      </c>
      <c r="F116" s="328" t="s">
        <v>67</v>
      </c>
      <c r="G116" s="258" t="s">
        <v>9</v>
      </c>
      <c r="H116" s="431">
        <f t="shared" si="51"/>
        <v>24</v>
      </c>
      <c r="I116" s="431">
        <f t="array" ref="I116">MAX((IF(MNU_CODIGO_ALIMENTO_ENTREGA=CONCATENATE($E116,"_","P_"),MNU_GRAMAJE_REQUERIDO_TIPOA,"")))</f>
        <v>100</v>
      </c>
      <c r="J116" s="259">
        <f t="shared" si="52"/>
        <v>3905</v>
      </c>
      <c r="K116" s="259">
        <f t="shared" si="53"/>
        <v>93720</v>
      </c>
      <c r="L116" s="452">
        <f t="shared" si="54"/>
        <v>154</v>
      </c>
      <c r="M116" s="452">
        <f t="shared" si="55"/>
        <v>7.515200000000001</v>
      </c>
      <c r="N116" s="452">
        <f t="shared" si="56"/>
        <v>0.13244246400000001</v>
      </c>
      <c r="O116" s="452">
        <f t="shared" si="57"/>
        <v>162</v>
      </c>
      <c r="P116" s="260">
        <f t="shared" si="58"/>
        <v>14432880</v>
      </c>
      <c r="Q116" s="260">
        <f t="shared" si="59"/>
        <v>15182640</v>
      </c>
      <c r="R116" s="432">
        <f t="shared" si="60"/>
        <v>23</v>
      </c>
      <c r="S116" s="432">
        <f t="array" ref="S116">MAX((IF(MNU_CODIGO_ALIMENTO_ENTREGA=CONCATENATE($E116,"_","P_"),MNU_GRAMAJE_REQUERIDO_TIPOB,"")))</f>
        <v>100</v>
      </c>
      <c r="T116" s="261">
        <f t="shared" si="61"/>
        <v>5347</v>
      </c>
      <c r="U116" s="261">
        <f t="shared" si="62"/>
        <v>122981</v>
      </c>
      <c r="V116" s="452">
        <f t="shared" si="63"/>
        <v>154</v>
      </c>
      <c r="W116" s="452">
        <f t="shared" si="64"/>
        <v>7.515200000000001</v>
      </c>
      <c r="X116" s="452">
        <f t="shared" si="65"/>
        <v>0.13244246400000001</v>
      </c>
      <c r="Y116" s="452">
        <f t="shared" si="66"/>
        <v>162</v>
      </c>
      <c r="Z116" s="262">
        <f t="shared" si="67"/>
        <v>18939074</v>
      </c>
      <c r="AA116" s="262">
        <f t="shared" si="68"/>
        <v>19922922</v>
      </c>
      <c r="AB116" s="431">
        <f t="shared" si="69"/>
        <v>23</v>
      </c>
      <c r="AC116" s="431">
        <f t="array" ref="AC116">MAX((IF(MNU_CODIGO_ALIMENTO_ENTREGA=CONCATENATE($E116,"_","P_"),MNU_GRAMAJE_REQUERIDO_TIPOC,"")))</f>
        <v>100</v>
      </c>
      <c r="AD116" s="259">
        <f t="shared" si="70"/>
        <v>5513</v>
      </c>
      <c r="AE116" s="259">
        <f t="shared" si="71"/>
        <v>126799</v>
      </c>
      <c r="AF116" s="452">
        <f t="shared" si="72"/>
        <v>154</v>
      </c>
      <c r="AG116" s="452">
        <f t="shared" si="73"/>
        <v>7.515200000000001</v>
      </c>
      <c r="AH116" s="452">
        <f t="shared" si="74"/>
        <v>0.13244246400000001</v>
      </c>
      <c r="AI116" s="452">
        <f t="shared" si="75"/>
        <v>162</v>
      </c>
      <c r="AJ116" s="260">
        <f t="shared" si="76"/>
        <v>19527046</v>
      </c>
      <c r="AK116" s="260">
        <f t="shared" si="77"/>
        <v>20541438</v>
      </c>
      <c r="AL116" s="432">
        <f t="shared" si="78"/>
        <v>23</v>
      </c>
      <c r="AM116" s="432">
        <f t="array" ref="AM116">MAX((IF(MNU_CODIGO_ALIMENTO_ENTREGA=CONCATENATE($E116,"_","P_"),MNU_GRAMAJE_REQUERIDO_TIPOM,"")))</f>
        <v>100</v>
      </c>
      <c r="AN116" s="261">
        <f t="shared" si="79"/>
        <v>235</v>
      </c>
      <c r="AO116" s="261">
        <f t="shared" si="80"/>
        <v>5405</v>
      </c>
      <c r="AP116" s="452">
        <f t="shared" si="81"/>
        <v>154</v>
      </c>
      <c r="AQ116" s="452">
        <f t="shared" si="82"/>
        <v>7.515200000000001</v>
      </c>
      <c r="AR116" s="452">
        <f t="shared" si="83"/>
        <v>0.13244246400000001</v>
      </c>
      <c r="AS116" s="452">
        <f t="shared" si="84"/>
        <v>162</v>
      </c>
      <c r="AT116" s="262">
        <f t="shared" si="85"/>
        <v>832370</v>
      </c>
      <c r="AU116" s="262">
        <f t="shared" si="86"/>
        <v>875610</v>
      </c>
      <c r="AV116" s="431">
        <f t="shared" si="87"/>
        <v>23</v>
      </c>
      <c r="AW116" s="431">
        <f t="array" ref="AW116">MAX((IF(MNU_CODIGO_ALIMENTO_ENTREGA=CONCATENATE($E116,"_","P_"),MNU_GRAMAJE_REQUERIDO_TIPOH,"")))</f>
        <v>100</v>
      </c>
      <c r="AX116" s="259">
        <f t="shared" si="88"/>
        <v>243</v>
      </c>
      <c r="AY116" s="259">
        <f t="shared" si="89"/>
        <v>5589</v>
      </c>
      <c r="AZ116" s="452">
        <f t="shared" si="90"/>
        <v>154</v>
      </c>
      <c r="BA116" s="452">
        <f t="shared" si="91"/>
        <v>7.515200000000001</v>
      </c>
      <c r="BB116" s="452">
        <f t="shared" si="92"/>
        <v>0.13244246400000001</v>
      </c>
      <c r="BC116" s="452">
        <f t="shared" si="93"/>
        <v>162</v>
      </c>
      <c r="BD116" s="260">
        <f t="shared" si="94"/>
        <v>860706</v>
      </c>
      <c r="BE116" s="260">
        <f t="shared" si="95"/>
        <v>905418</v>
      </c>
      <c r="BF116" s="397">
        <f t="shared" si="96"/>
        <v>54592076</v>
      </c>
      <c r="BG116" s="397">
        <f t="shared" si="97"/>
        <v>57428028</v>
      </c>
    </row>
    <row r="117" spans="1:59" ht="15.75">
      <c r="A117" s="338">
        <v>8</v>
      </c>
      <c r="B117" s="338" t="str">
        <f t="shared" si="49"/>
        <v>FRUTA_8</v>
      </c>
      <c r="C117" s="338" t="str">
        <f t="shared" si="50"/>
        <v>59_8</v>
      </c>
      <c r="D117" s="338" t="s">
        <v>1</v>
      </c>
      <c r="E117" s="258">
        <v>59</v>
      </c>
      <c r="F117" s="328" t="s">
        <v>99</v>
      </c>
      <c r="G117" s="258" t="s">
        <v>9</v>
      </c>
      <c r="H117" s="431">
        <f t="shared" si="51"/>
        <v>0</v>
      </c>
      <c r="I117" s="431">
        <f t="array" ref="I117">MAX((IF(MNU_CODIGO_ALIMENTO_ENTREGA=CONCATENATE($E117,"_","P_"),MNU_GRAMAJE_REQUERIDO_TIPOA,"")))</f>
        <v>0</v>
      </c>
      <c r="J117" s="259">
        <f t="shared" si="52"/>
        <v>3905</v>
      </c>
      <c r="K117" s="259">
        <f t="shared" si="53"/>
        <v>0</v>
      </c>
      <c r="L117" s="452">
        <f t="shared" si="54"/>
        <v>0</v>
      </c>
      <c r="M117" s="452">
        <f t="shared" si="55"/>
        <v>0</v>
      </c>
      <c r="N117" s="452">
        <f t="shared" si="56"/>
        <v>0</v>
      </c>
      <c r="O117" s="452">
        <f t="shared" si="57"/>
        <v>0</v>
      </c>
      <c r="P117" s="260">
        <f t="shared" si="58"/>
        <v>0</v>
      </c>
      <c r="Q117" s="260">
        <f t="shared" si="59"/>
        <v>0</v>
      </c>
      <c r="R117" s="432">
        <f t="shared" si="60"/>
        <v>8</v>
      </c>
      <c r="S117" s="432">
        <f t="array" ref="S117">MAX((IF(MNU_CODIGO_ALIMENTO_ENTREGA=CONCATENATE($E117,"_","P_"),MNU_GRAMAJE_REQUERIDO_TIPOB,"")))</f>
        <v>100</v>
      </c>
      <c r="T117" s="261">
        <f t="shared" si="61"/>
        <v>5347</v>
      </c>
      <c r="U117" s="261">
        <f t="shared" si="62"/>
        <v>42776</v>
      </c>
      <c r="V117" s="452">
        <f t="shared" si="63"/>
        <v>286</v>
      </c>
      <c r="W117" s="452">
        <f t="shared" si="64"/>
        <v>13.956800000000001</v>
      </c>
      <c r="X117" s="452">
        <f t="shared" si="65"/>
        <v>0.24596457599999999</v>
      </c>
      <c r="Y117" s="452">
        <f t="shared" si="66"/>
        <v>300</v>
      </c>
      <c r="Z117" s="262">
        <f t="shared" si="67"/>
        <v>12233936</v>
      </c>
      <c r="AA117" s="262">
        <f t="shared" si="68"/>
        <v>12832800</v>
      </c>
      <c r="AB117" s="431">
        <f t="shared" si="69"/>
        <v>8</v>
      </c>
      <c r="AC117" s="431">
        <f t="array" ref="AC117">MAX((IF(MNU_CODIGO_ALIMENTO_ENTREGA=CONCATENATE($E117,"_","P_"),MNU_GRAMAJE_REQUERIDO_TIPOC,"")))</f>
        <v>100</v>
      </c>
      <c r="AD117" s="259">
        <f t="shared" si="70"/>
        <v>5513</v>
      </c>
      <c r="AE117" s="259">
        <f t="shared" si="71"/>
        <v>44104</v>
      </c>
      <c r="AF117" s="452">
        <f t="shared" si="72"/>
        <v>286</v>
      </c>
      <c r="AG117" s="452">
        <f t="shared" si="73"/>
        <v>13.956800000000001</v>
      </c>
      <c r="AH117" s="452">
        <f t="shared" si="74"/>
        <v>0.24596457599999999</v>
      </c>
      <c r="AI117" s="452">
        <f t="shared" si="75"/>
        <v>300</v>
      </c>
      <c r="AJ117" s="260">
        <f t="shared" si="76"/>
        <v>12613744</v>
      </c>
      <c r="AK117" s="260">
        <f t="shared" si="77"/>
        <v>13231200</v>
      </c>
      <c r="AL117" s="432">
        <f t="shared" si="78"/>
        <v>8</v>
      </c>
      <c r="AM117" s="432">
        <f t="array" ref="AM117">MAX((IF(MNU_CODIGO_ALIMENTO_ENTREGA=CONCATENATE($E117,"_","P_"),MNU_GRAMAJE_REQUERIDO_TIPOM,"")))</f>
        <v>100</v>
      </c>
      <c r="AN117" s="261">
        <f t="shared" si="79"/>
        <v>235</v>
      </c>
      <c r="AO117" s="261">
        <f t="shared" si="80"/>
        <v>1880</v>
      </c>
      <c r="AP117" s="452">
        <f t="shared" si="81"/>
        <v>286</v>
      </c>
      <c r="AQ117" s="452">
        <f t="shared" si="82"/>
        <v>13.956800000000001</v>
      </c>
      <c r="AR117" s="452">
        <f t="shared" si="83"/>
        <v>0.24596457599999999</v>
      </c>
      <c r="AS117" s="452">
        <f t="shared" si="84"/>
        <v>300</v>
      </c>
      <c r="AT117" s="262">
        <f t="shared" si="85"/>
        <v>537680</v>
      </c>
      <c r="AU117" s="262">
        <f t="shared" si="86"/>
        <v>564000</v>
      </c>
      <c r="AV117" s="431">
        <f t="shared" si="87"/>
        <v>8</v>
      </c>
      <c r="AW117" s="431">
        <f t="array" ref="AW117">MAX((IF(MNU_CODIGO_ALIMENTO_ENTREGA=CONCATENATE($E117,"_","P_"),MNU_GRAMAJE_REQUERIDO_TIPOH,"")))</f>
        <v>100</v>
      </c>
      <c r="AX117" s="259">
        <f t="shared" si="88"/>
        <v>243</v>
      </c>
      <c r="AY117" s="259">
        <f t="shared" si="89"/>
        <v>1944</v>
      </c>
      <c r="AZ117" s="452">
        <f t="shared" si="90"/>
        <v>286</v>
      </c>
      <c r="BA117" s="452">
        <f t="shared" si="91"/>
        <v>13.956800000000001</v>
      </c>
      <c r="BB117" s="452">
        <f t="shared" si="92"/>
        <v>0.24596457599999999</v>
      </c>
      <c r="BC117" s="452">
        <f t="shared" si="93"/>
        <v>300</v>
      </c>
      <c r="BD117" s="260">
        <f t="shared" si="94"/>
        <v>555984</v>
      </c>
      <c r="BE117" s="260">
        <f t="shared" si="95"/>
        <v>583200</v>
      </c>
      <c r="BF117" s="397">
        <f t="shared" si="96"/>
        <v>25941344</v>
      </c>
      <c r="BG117" s="397">
        <f t="shared" si="97"/>
        <v>27211200</v>
      </c>
    </row>
    <row r="118" spans="1:59" ht="15.75">
      <c r="A118" s="338">
        <v>8</v>
      </c>
      <c r="B118" s="338" t="str">
        <f t="shared" si="49"/>
        <v>FRUTA_8</v>
      </c>
      <c r="C118" s="338" t="str">
        <f t="shared" si="50"/>
        <v>69_8</v>
      </c>
      <c r="D118" s="338" t="s">
        <v>1</v>
      </c>
      <c r="E118" s="258">
        <v>69</v>
      </c>
      <c r="F118" s="328" t="s">
        <v>70</v>
      </c>
      <c r="G118" s="258" t="s">
        <v>9</v>
      </c>
      <c r="H118" s="431">
        <f t="shared" si="51"/>
        <v>30</v>
      </c>
      <c r="I118" s="431">
        <f t="array" ref="I118">MAX((IF(MNU_CODIGO_ALIMENTO_ENTREGA=CONCATENATE($E118,"_","P_"),MNU_GRAMAJE_REQUERIDO_TIPOA,"")))</f>
        <v>100</v>
      </c>
      <c r="J118" s="259">
        <f t="shared" si="52"/>
        <v>3905</v>
      </c>
      <c r="K118" s="259">
        <f t="shared" si="53"/>
        <v>117150</v>
      </c>
      <c r="L118" s="452">
        <f t="shared" si="54"/>
        <v>305</v>
      </c>
      <c r="M118" s="452">
        <f t="shared" si="55"/>
        <v>14.884</v>
      </c>
      <c r="N118" s="452">
        <f t="shared" si="56"/>
        <v>0.26230488000000002</v>
      </c>
      <c r="O118" s="452">
        <f t="shared" si="57"/>
        <v>320</v>
      </c>
      <c r="P118" s="260">
        <f t="shared" si="58"/>
        <v>35730750</v>
      </c>
      <c r="Q118" s="260">
        <f t="shared" si="59"/>
        <v>37488000</v>
      </c>
      <c r="R118" s="432">
        <f t="shared" si="60"/>
        <v>16</v>
      </c>
      <c r="S118" s="432">
        <f t="array" ref="S118">MAX((IF(MNU_CODIGO_ALIMENTO_ENTREGA=CONCATENATE($E118,"_","P_"),MNU_GRAMAJE_REQUERIDO_TIPOB,"")))</f>
        <v>100</v>
      </c>
      <c r="T118" s="261">
        <f t="shared" si="61"/>
        <v>5347</v>
      </c>
      <c r="U118" s="261">
        <f t="shared" si="62"/>
        <v>85552</v>
      </c>
      <c r="V118" s="452">
        <f t="shared" si="63"/>
        <v>305</v>
      </c>
      <c r="W118" s="452">
        <f t="shared" si="64"/>
        <v>14.884</v>
      </c>
      <c r="X118" s="452">
        <f t="shared" si="65"/>
        <v>0.26230488000000002</v>
      </c>
      <c r="Y118" s="452">
        <f t="shared" si="66"/>
        <v>320</v>
      </c>
      <c r="Z118" s="262">
        <f t="shared" si="67"/>
        <v>26093360</v>
      </c>
      <c r="AA118" s="262">
        <f t="shared" si="68"/>
        <v>27376640</v>
      </c>
      <c r="AB118" s="431">
        <f t="shared" si="69"/>
        <v>16</v>
      </c>
      <c r="AC118" s="431">
        <f t="array" ref="AC118">MAX((IF(MNU_CODIGO_ALIMENTO_ENTREGA=CONCATENATE($E118,"_","P_"),MNU_GRAMAJE_REQUERIDO_TIPOC,"")))</f>
        <v>100</v>
      </c>
      <c r="AD118" s="259">
        <f t="shared" si="70"/>
        <v>5513</v>
      </c>
      <c r="AE118" s="259">
        <f t="shared" si="71"/>
        <v>88208</v>
      </c>
      <c r="AF118" s="452">
        <f t="shared" si="72"/>
        <v>305</v>
      </c>
      <c r="AG118" s="452">
        <f t="shared" si="73"/>
        <v>14.884</v>
      </c>
      <c r="AH118" s="452">
        <f t="shared" si="74"/>
        <v>0.26230488000000002</v>
      </c>
      <c r="AI118" s="452">
        <f t="shared" si="75"/>
        <v>320</v>
      </c>
      <c r="AJ118" s="260">
        <f t="shared" si="76"/>
        <v>26903440</v>
      </c>
      <c r="AK118" s="260">
        <f t="shared" si="77"/>
        <v>28226560</v>
      </c>
      <c r="AL118" s="432">
        <f t="shared" si="78"/>
        <v>16</v>
      </c>
      <c r="AM118" s="432">
        <f t="array" ref="AM118">MAX((IF(MNU_CODIGO_ALIMENTO_ENTREGA=CONCATENATE($E118,"_","P_"),MNU_GRAMAJE_REQUERIDO_TIPOM,"")))</f>
        <v>100</v>
      </c>
      <c r="AN118" s="261">
        <f t="shared" si="79"/>
        <v>235</v>
      </c>
      <c r="AO118" s="261">
        <f t="shared" si="80"/>
        <v>3760</v>
      </c>
      <c r="AP118" s="452">
        <f t="shared" si="81"/>
        <v>305</v>
      </c>
      <c r="AQ118" s="452">
        <f t="shared" si="82"/>
        <v>14.884</v>
      </c>
      <c r="AR118" s="452">
        <f t="shared" si="83"/>
        <v>0.26230488000000002</v>
      </c>
      <c r="AS118" s="452">
        <f t="shared" si="84"/>
        <v>320</v>
      </c>
      <c r="AT118" s="262">
        <f t="shared" si="85"/>
        <v>1146800</v>
      </c>
      <c r="AU118" s="262">
        <f t="shared" si="86"/>
        <v>1203200</v>
      </c>
      <c r="AV118" s="431">
        <f t="shared" si="87"/>
        <v>16</v>
      </c>
      <c r="AW118" s="431">
        <f t="array" ref="AW118">MAX((IF(MNU_CODIGO_ALIMENTO_ENTREGA=CONCATENATE($E118,"_","P_"),MNU_GRAMAJE_REQUERIDO_TIPOH,"")))</f>
        <v>100</v>
      </c>
      <c r="AX118" s="259">
        <f t="shared" si="88"/>
        <v>243</v>
      </c>
      <c r="AY118" s="259">
        <f t="shared" si="89"/>
        <v>3888</v>
      </c>
      <c r="AZ118" s="452">
        <f t="shared" si="90"/>
        <v>305</v>
      </c>
      <c r="BA118" s="452">
        <f t="shared" si="91"/>
        <v>14.884</v>
      </c>
      <c r="BB118" s="452">
        <f t="shared" si="92"/>
        <v>0.26230488000000002</v>
      </c>
      <c r="BC118" s="452">
        <f t="shared" si="93"/>
        <v>320</v>
      </c>
      <c r="BD118" s="260">
        <f t="shared" si="94"/>
        <v>1185840</v>
      </c>
      <c r="BE118" s="260">
        <f t="shared" si="95"/>
        <v>1244160</v>
      </c>
      <c r="BF118" s="397">
        <f t="shared" si="96"/>
        <v>91060190</v>
      </c>
      <c r="BG118" s="397">
        <f t="shared" si="97"/>
        <v>95538560</v>
      </c>
    </row>
    <row r="119" spans="1:59" ht="15.75">
      <c r="A119" s="338">
        <v>8</v>
      </c>
      <c r="B119" s="338" t="str">
        <f t="shared" si="49"/>
        <v>FRUTA_8</v>
      </c>
      <c r="C119" s="338" t="str">
        <f t="shared" si="50"/>
        <v>70_8</v>
      </c>
      <c r="D119" s="338" t="s">
        <v>1</v>
      </c>
      <c r="E119" s="258">
        <v>70</v>
      </c>
      <c r="F119" s="328" t="s">
        <v>71</v>
      </c>
      <c r="G119" s="258" t="s">
        <v>9</v>
      </c>
      <c r="H119" s="431">
        <f t="shared" si="51"/>
        <v>0</v>
      </c>
      <c r="I119" s="431">
        <f t="array" ref="I119">MAX((IF(MNU_CODIGO_ALIMENTO_ENTREGA=CONCATENATE($E119,"_","P_"),MNU_GRAMAJE_REQUERIDO_TIPOA,"")))</f>
        <v>0</v>
      </c>
      <c r="J119" s="259">
        <f t="shared" si="52"/>
        <v>3905</v>
      </c>
      <c r="K119" s="259">
        <f t="shared" si="53"/>
        <v>0</v>
      </c>
      <c r="L119" s="452">
        <f t="shared" si="54"/>
        <v>0</v>
      </c>
      <c r="M119" s="452">
        <f t="shared" si="55"/>
        <v>0</v>
      </c>
      <c r="N119" s="452">
        <f t="shared" si="56"/>
        <v>0</v>
      </c>
      <c r="O119" s="452">
        <f t="shared" si="57"/>
        <v>0</v>
      </c>
      <c r="P119" s="260">
        <f t="shared" si="58"/>
        <v>0</v>
      </c>
      <c r="Q119" s="260">
        <f t="shared" si="59"/>
        <v>0</v>
      </c>
      <c r="R119" s="432">
        <f t="shared" si="60"/>
        <v>10</v>
      </c>
      <c r="S119" s="432">
        <f t="array" ref="S119">MAX((IF(MNU_CODIGO_ALIMENTO_ENTREGA=CONCATENATE($E119,"_","P_"),MNU_GRAMAJE_REQUERIDO_TIPOB,"")))</f>
        <v>100</v>
      </c>
      <c r="T119" s="261">
        <f t="shared" si="61"/>
        <v>5347</v>
      </c>
      <c r="U119" s="261">
        <f t="shared" si="62"/>
        <v>53470</v>
      </c>
      <c r="V119" s="452">
        <f t="shared" si="63"/>
        <v>434</v>
      </c>
      <c r="W119" s="452">
        <f t="shared" si="64"/>
        <v>21.179200000000002</v>
      </c>
      <c r="X119" s="452">
        <f t="shared" si="65"/>
        <v>0.37324694399999997</v>
      </c>
      <c r="Y119" s="452">
        <f t="shared" si="66"/>
        <v>456</v>
      </c>
      <c r="Z119" s="262">
        <f t="shared" si="67"/>
        <v>23205980</v>
      </c>
      <c r="AA119" s="262">
        <f t="shared" si="68"/>
        <v>24382320</v>
      </c>
      <c r="AB119" s="431">
        <f t="shared" si="69"/>
        <v>10</v>
      </c>
      <c r="AC119" s="431">
        <f t="array" ref="AC119">MAX((IF(MNU_CODIGO_ALIMENTO_ENTREGA=CONCATENATE($E119,"_","P_"),MNU_GRAMAJE_REQUERIDO_TIPOC,"")))</f>
        <v>100</v>
      </c>
      <c r="AD119" s="259">
        <f t="shared" si="70"/>
        <v>5513</v>
      </c>
      <c r="AE119" s="259">
        <f t="shared" si="71"/>
        <v>55130</v>
      </c>
      <c r="AF119" s="452">
        <f t="shared" si="72"/>
        <v>434</v>
      </c>
      <c r="AG119" s="452">
        <f t="shared" si="73"/>
        <v>21.179200000000002</v>
      </c>
      <c r="AH119" s="452">
        <f t="shared" si="74"/>
        <v>0.37324694399999997</v>
      </c>
      <c r="AI119" s="452">
        <f t="shared" si="75"/>
        <v>456</v>
      </c>
      <c r="AJ119" s="260">
        <f t="shared" si="76"/>
        <v>23926420</v>
      </c>
      <c r="AK119" s="260">
        <f t="shared" si="77"/>
        <v>25139280</v>
      </c>
      <c r="AL119" s="432">
        <f t="shared" si="78"/>
        <v>10</v>
      </c>
      <c r="AM119" s="432">
        <f t="array" ref="AM119">MAX((IF(MNU_CODIGO_ALIMENTO_ENTREGA=CONCATENATE($E119,"_","P_"),MNU_GRAMAJE_REQUERIDO_TIPOM,"")))</f>
        <v>100</v>
      </c>
      <c r="AN119" s="261">
        <f t="shared" si="79"/>
        <v>235</v>
      </c>
      <c r="AO119" s="261">
        <f t="shared" si="80"/>
        <v>2350</v>
      </c>
      <c r="AP119" s="452">
        <f t="shared" si="81"/>
        <v>434</v>
      </c>
      <c r="AQ119" s="452">
        <f t="shared" si="82"/>
        <v>21.179200000000002</v>
      </c>
      <c r="AR119" s="452">
        <f t="shared" si="83"/>
        <v>0.37324694399999997</v>
      </c>
      <c r="AS119" s="452">
        <f t="shared" si="84"/>
        <v>456</v>
      </c>
      <c r="AT119" s="262">
        <f t="shared" si="85"/>
        <v>1019900</v>
      </c>
      <c r="AU119" s="262">
        <f t="shared" si="86"/>
        <v>1071600</v>
      </c>
      <c r="AV119" s="431">
        <f t="shared" si="87"/>
        <v>10</v>
      </c>
      <c r="AW119" s="431">
        <f t="array" ref="AW119">MAX((IF(MNU_CODIGO_ALIMENTO_ENTREGA=CONCATENATE($E119,"_","P_"),MNU_GRAMAJE_REQUERIDO_TIPOH,"")))</f>
        <v>100</v>
      </c>
      <c r="AX119" s="259">
        <f t="shared" si="88"/>
        <v>243</v>
      </c>
      <c r="AY119" s="259">
        <f t="shared" si="89"/>
        <v>2430</v>
      </c>
      <c r="AZ119" s="452">
        <f t="shared" si="90"/>
        <v>434</v>
      </c>
      <c r="BA119" s="452">
        <f t="shared" si="91"/>
        <v>21.179200000000002</v>
      </c>
      <c r="BB119" s="452">
        <f t="shared" si="92"/>
        <v>0.37324694399999997</v>
      </c>
      <c r="BC119" s="452">
        <f t="shared" si="93"/>
        <v>456</v>
      </c>
      <c r="BD119" s="260">
        <f t="shared" si="94"/>
        <v>1054620</v>
      </c>
      <c r="BE119" s="260">
        <f t="shared" si="95"/>
        <v>1108080</v>
      </c>
      <c r="BF119" s="397">
        <f t="shared" si="96"/>
        <v>49206920</v>
      </c>
      <c r="BG119" s="397">
        <f t="shared" si="97"/>
        <v>51701280</v>
      </c>
    </row>
    <row r="120" spans="1:59" ht="15.75">
      <c r="A120" s="338">
        <v>9</v>
      </c>
      <c r="B120" s="338" t="str">
        <f t="shared" si="49"/>
        <v>FRUTA_9</v>
      </c>
      <c r="C120" s="338" t="str">
        <f t="shared" si="50"/>
        <v>7_9</v>
      </c>
      <c r="D120" s="338" t="s">
        <v>1</v>
      </c>
      <c r="E120" s="258">
        <v>7</v>
      </c>
      <c r="F120" s="328" t="s">
        <v>57</v>
      </c>
      <c r="G120" s="258" t="s">
        <v>9</v>
      </c>
      <c r="H120" s="431">
        <f t="shared" si="51"/>
        <v>22</v>
      </c>
      <c r="I120" s="431">
        <f t="array" ref="I120">MAX((IF(MNU_CODIGO_ALIMENTO_ENTREGA=CONCATENATE($E120,"_","P_"),MNU_GRAMAJE_REQUERIDO_TIPOA,"")))</f>
        <v>100</v>
      </c>
      <c r="J120" s="259">
        <f t="shared" si="52"/>
        <v>5351</v>
      </c>
      <c r="K120" s="259">
        <f t="shared" si="53"/>
        <v>117722</v>
      </c>
      <c r="L120" s="452">
        <f t="shared" si="54"/>
        <v>107</v>
      </c>
      <c r="M120" s="452">
        <f t="shared" si="55"/>
        <v>5.2216000000000005</v>
      </c>
      <c r="N120" s="452">
        <f t="shared" si="56"/>
        <v>9.2021712000000006E-2</v>
      </c>
      <c r="O120" s="452">
        <f t="shared" si="57"/>
        <v>112</v>
      </c>
      <c r="P120" s="260">
        <f t="shared" si="58"/>
        <v>12596254</v>
      </c>
      <c r="Q120" s="260">
        <f t="shared" si="59"/>
        <v>13184864</v>
      </c>
      <c r="R120" s="432">
        <f t="shared" si="60"/>
        <v>9</v>
      </c>
      <c r="S120" s="432">
        <f t="array" ref="S120">MAX((IF(MNU_CODIGO_ALIMENTO_ENTREGA=CONCATENATE($E120,"_","P_"),MNU_GRAMAJE_REQUERIDO_TIPOB,"")))</f>
        <v>100</v>
      </c>
      <c r="T120" s="261">
        <f t="shared" si="61"/>
        <v>7228</v>
      </c>
      <c r="U120" s="261">
        <f t="shared" si="62"/>
        <v>65052</v>
      </c>
      <c r="V120" s="452">
        <f t="shared" si="63"/>
        <v>107</v>
      </c>
      <c r="W120" s="452">
        <f t="shared" si="64"/>
        <v>5.2216000000000005</v>
      </c>
      <c r="X120" s="452">
        <f t="shared" si="65"/>
        <v>9.2021712000000006E-2</v>
      </c>
      <c r="Y120" s="452">
        <f t="shared" si="66"/>
        <v>112</v>
      </c>
      <c r="Z120" s="262">
        <f t="shared" si="67"/>
        <v>6960564</v>
      </c>
      <c r="AA120" s="262">
        <f t="shared" si="68"/>
        <v>7285824</v>
      </c>
      <c r="AB120" s="431">
        <f t="shared" si="69"/>
        <v>9</v>
      </c>
      <c r="AC120" s="431">
        <f t="array" ref="AC120">MAX((IF(MNU_CODIGO_ALIMENTO_ENTREGA=CONCATENATE($E120,"_","P_"),MNU_GRAMAJE_REQUERIDO_TIPOC,"")))</f>
        <v>100</v>
      </c>
      <c r="AD120" s="259">
        <f t="shared" si="70"/>
        <v>7156</v>
      </c>
      <c r="AE120" s="259">
        <f t="shared" si="71"/>
        <v>64404</v>
      </c>
      <c r="AF120" s="452">
        <f t="shared" si="72"/>
        <v>107</v>
      </c>
      <c r="AG120" s="452">
        <f t="shared" si="73"/>
        <v>5.2216000000000005</v>
      </c>
      <c r="AH120" s="452">
        <f t="shared" si="74"/>
        <v>9.2021712000000006E-2</v>
      </c>
      <c r="AI120" s="452">
        <f t="shared" si="75"/>
        <v>112</v>
      </c>
      <c r="AJ120" s="260">
        <f t="shared" si="76"/>
        <v>6891228</v>
      </c>
      <c r="AK120" s="260">
        <f t="shared" si="77"/>
        <v>7213248</v>
      </c>
      <c r="AL120" s="432">
        <f t="shared" si="78"/>
        <v>9</v>
      </c>
      <c r="AM120" s="432">
        <f t="array" ref="AM120">MAX((IF(MNU_CODIGO_ALIMENTO_ENTREGA=CONCATENATE($E120,"_","P_"),MNU_GRAMAJE_REQUERIDO_TIPOM,"")))</f>
        <v>100</v>
      </c>
      <c r="AN120" s="261">
        <f t="shared" si="79"/>
        <v>371</v>
      </c>
      <c r="AO120" s="261">
        <f t="shared" si="80"/>
        <v>3339</v>
      </c>
      <c r="AP120" s="452">
        <f t="shared" si="81"/>
        <v>107</v>
      </c>
      <c r="AQ120" s="452">
        <f t="shared" si="82"/>
        <v>5.2216000000000005</v>
      </c>
      <c r="AR120" s="452">
        <f t="shared" si="83"/>
        <v>9.2021712000000006E-2</v>
      </c>
      <c r="AS120" s="452">
        <f t="shared" si="84"/>
        <v>112</v>
      </c>
      <c r="AT120" s="262">
        <f t="shared" si="85"/>
        <v>357273</v>
      </c>
      <c r="AU120" s="262">
        <f t="shared" si="86"/>
        <v>373968</v>
      </c>
      <c r="AV120" s="431">
        <f t="shared" si="87"/>
        <v>9</v>
      </c>
      <c r="AW120" s="431">
        <f t="array" ref="AW120">MAX((IF(MNU_CODIGO_ALIMENTO_ENTREGA=CONCATENATE($E120,"_","P_"),MNU_GRAMAJE_REQUERIDO_TIPOH,"")))</f>
        <v>100</v>
      </c>
      <c r="AX120" s="259">
        <f t="shared" si="88"/>
        <v>419</v>
      </c>
      <c r="AY120" s="259">
        <f t="shared" si="89"/>
        <v>3771</v>
      </c>
      <c r="AZ120" s="452">
        <f t="shared" si="90"/>
        <v>107</v>
      </c>
      <c r="BA120" s="452">
        <f t="shared" si="91"/>
        <v>5.2216000000000005</v>
      </c>
      <c r="BB120" s="452">
        <f t="shared" si="92"/>
        <v>9.2021712000000006E-2</v>
      </c>
      <c r="BC120" s="452">
        <f t="shared" si="93"/>
        <v>112</v>
      </c>
      <c r="BD120" s="260">
        <f t="shared" si="94"/>
        <v>403497</v>
      </c>
      <c r="BE120" s="260">
        <f t="shared" si="95"/>
        <v>422352</v>
      </c>
      <c r="BF120" s="397">
        <f t="shared" si="96"/>
        <v>27208816</v>
      </c>
      <c r="BG120" s="397">
        <f t="shared" si="97"/>
        <v>28480256</v>
      </c>
    </row>
    <row r="121" spans="1:59" ht="15.75">
      <c r="A121" s="338">
        <v>9</v>
      </c>
      <c r="B121" s="338" t="str">
        <f t="shared" si="49"/>
        <v>FRUTA_9</v>
      </c>
      <c r="C121" s="338" t="str">
        <f t="shared" si="50"/>
        <v>8_9</v>
      </c>
      <c r="D121" s="338" t="s">
        <v>1</v>
      </c>
      <c r="E121" s="258">
        <v>8</v>
      </c>
      <c r="F121" s="328" t="s">
        <v>55</v>
      </c>
      <c r="G121" s="258" t="s">
        <v>9</v>
      </c>
      <c r="H121" s="431">
        <f t="shared" si="51"/>
        <v>10</v>
      </c>
      <c r="I121" s="431">
        <f t="array" ref="I121">MAX((IF(MNU_CODIGO_ALIMENTO_ENTREGA=CONCATENATE($E121,"_","P_"),MNU_GRAMAJE_REQUERIDO_TIPOA,"")))</f>
        <v>100</v>
      </c>
      <c r="J121" s="259">
        <f t="shared" si="52"/>
        <v>5351</v>
      </c>
      <c r="K121" s="259">
        <f t="shared" si="53"/>
        <v>53510</v>
      </c>
      <c r="L121" s="452">
        <f t="shared" si="54"/>
        <v>134</v>
      </c>
      <c r="M121" s="452">
        <f t="shared" si="55"/>
        <v>6.539200000000001</v>
      </c>
      <c r="N121" s="452">
        <f t="shared" si="56"/>
        <v>0.115242144</v>
      </c>
      <c r="O121" s="452">
        <f t="shared" si="57"/>
        <v>141</v>
      </c>
      <c r="P121" s="260">
        <f t="shared" si="58"/>
        <v>7170340</v>
      </c>
      <c r="Q121" s="260">
        <f t="shared" si="59"/>
        <v>7544910</v>
      </c>
      <c r="R121" s="432">
        <f t="shared" si="60"/>
        <v>8</v>
      </c>
      <c r="S121" s="432">
        <f t="array" ref="S121">MAX((IF(MNU_CODIGO_ALIMENTO_ENTREGA=CONCATENATE($E121,"_","P_"),MNU_GRAMAJE_REQUERIDO_TIPOB,"")))</f>
        <v>100</v>
      </c>
      <c r="T121" s="261">
        <f t="shared" si="61"/>
        <v>7228</v>
      </c>
      <c r="U121" s="261">
        <f t="shared" si="62"/>
        <v>57824</v>
      </c>
      <c r="V121" s="452">
        <f t="shared" si="63"/>
        <v>134</v>
      </c>
      <c r="W121" s="452">
        <f t="shared" si="64"/>
        <v>6.539200000000001</v>
      </c>
      <c r="X121" s="452">
        <f t="shared" si="65"/>
        <v>0.115242144</v>
      </c>
      <c r="Y121" s="452">
        <f t="shared" si="66"/>
        <v>141</v>
      </c>
      <c r="Z121" s="262">
        <f t="shared" si="67"/>
        <v>7748416</v>
      </c>
      <c r="AA121" s="262">
        <f t="shared" si="68"/>
        <v>8153184</v>
      </c>
      <c r="AB121" s="431">
        <f t="shared" si="69"/>
        <v>8</v>
      </c>
      <c r="AC121" s="431">
        <f t="array" ref="AC121">MAX((IF(MNU_CODIGO_ALIMENTO_ENTREGA=CONCATENATE($E121,"_","P_"),MNU_GRAMAJE_REQUERIDO_TIPOC,"")))</f>
        <v>100</v>
      </c>
      <c r="AD121" s="259">
        <f t="shared" si="70"/>
        <v>7156</v>
      </c>
      <c r="AE121" s="259">
        <f t="shared" si="71"/>
        <v>57248</v>
      </c>
      <c r="AF121" s="452">
        <f t="shared" si="72"/>
        <v>134</v>
      </c>
      <c r="AG121" s="452">
        <f t="shared" si="73"/>
        <v>6.539200000000001</v>
      </c>
      <c r="AH121" s="452">
        <f t="shared" si="74"/>
        <v>0.115242144</v>
      </c>
      <c r="AI121" s="452">
        <f t="shared" si="75"/>
        <v>141</v>
      </c>
      <c r="AJ121" s="260">
        <f t="shared" si="76"/>
        <v>7671232</v>
      </c>
      <c r="AK121" s="260">
        <f t="shared" si="77"/>
        <v>8071968</v>
      </c>
      <c r="AL121" s="432">
        <f t="shared" si="78"/>
        <v>8</v>
      </c>
      <c r="AM121" s="432">
        <f t="array" ref="AM121">MAX((IF(MNU_CODIGO_ALIMENTO_ENTREGA=CONCATENATE($E121,"_","P_"),MNU_GRAMAJE_REQUERIDO_TIPOM,"")))</f>
        <v>100</v>
      </c>
      <c r="AN121" s="261">
        <f t="shared" si="79"/>
        <v>371</v>
      </c>
      <c r="AO121" s="261">
        <f t="shared" si="80"/>
        <v>2968</v>
      </c>
      <c r="AP121" s="452">
        <f t="shared" si="81"/>
        <v>134</v>
      </c>
      <c r="AQ121" s="452">
        <f t="shared" si="82"/>
        <v>6.539200000000001</v>
      </c>
      <c r="AR121" s="452">
        <f t="shared" si="83"/>
        <v>0.115242144</v>
      </c>
      <c r="AS121" s="452">
        <f t="shared" si="84"/>
        <v>141</v>
      </c>
      <c r="AT121" s="262">
        <f t="shared" si="85"/>
        <v>397712</v>
      </c>
      <c r="AU121" s="262">
        <f t="shared" si="86"/>
        <v>418488</v>
      </c>
      <c r="AV121" s="431">
        <f t="shared" si="87"/>
        <v>8</v>
      </c>
      <c r="AW121" s="431">
        <f t="array" ref="AW121">MAX((IF(MNU_CODIGO_ALIMENTO_ENTREGA=CONCATENATE($E121,"_","P_"),MNU_GRAMAJE_REQUERIDO_TIPOH,"")))</f>
        <v>100</v>
      </c>
      <c r="AX121" s="259">
        <f t="shared" si="88"/>
        <v>419</v>
      </c>
      <c r="AY121" s="259">
        <f t="shared" si="89"/>
        <v>3352</v>
      </c>
      <c r="AZ121" s="452">
        <f t="shared" si="90"/>
        <v>134</v>
      </c>
      <c r="BA121" s="452">
        <f t="shared" si="91"/>
        <v>6.539200000000001</v>
      </c>
      <c r="BB121" s="452">
        <f t="shared" si="92"/>
        <v>0.115242144</v>
      </c>
      <c r="BC121" s="452">
        <f t="shared" si="93"/>
        <v>141</v>
      </c>
      <c r="BD121" s="260">
        <f t="shared" si="94"/>
        <v>449168</v>
      </c>
      <c r="BE121" s="260">
        <f t="shared" si="95"/>
        <v>472632</v>
      </c>
      <c r="BF121" s="397">
        <f t="shared" si="96"/>
        <v>23436868</v>
      </c>
      <c r="BG121" s="397">
        <f t="shared" si="97"/>
        <v>24661182</v>
      </c>
    </row>
    <row r="122" spans="1:59" ht="15.75">
      <c r="A122" s="338">
        <v>9</v>
      </c>
      <c r="B122" s="338" t="str">
        <f t="shared" si="49"/>
        <v>FRUTA_9</v>
      </c>
      <c r="C122" s="338" t="str">
        <f t="shared" si="50"/>
        <v>17_9</v>
      </c>
      <c r="D122" s="338" t="s">
        <v>1</v>
      </c>
      <c r="E122" s="258">
        <v>17</v>
      </c>
      <c r="F122" s="328" t="s">
        <v>53</v>
      </c>
      <c r="G122" s="258" t="s">
        <v>9</v>
      </c>
      <c r="H122" s="431">
        <f t="shared" si="51"/>
        <v>0</v>
      </c>
      <c r="I122" s="431">
        <f t="array" ref="I122">MAX((IF(MNU_CODIGO_ALIMENTO_ENTREGA=CONCATENATE($E122,"_","P_"),MNU_GRAMAJE_REQUERIDO_TIPOA,"")))</f>
        <v>0</v>
      </c>
      <c r="J122" s="259">
        <f t="shared" si="52"/>
        <v>5351</v>
      </c>
      <c r="K122" s="259">
        <f t="shared" si="53"/>
        <v>0</v>
      </c>
      <c r="L122" s="452">
        <f t="shared" si="54"/>
        <v>0</v>
      </c>
      <c r="M122" s="452">
        <f t="shared" si="55"/>
        <v>0</v>
      </c>
      <c r="N122" s="452">
        <f t="shared" si="56"/>
        <v>0</v>
      </c>
      <c r="O122" s="452">
        <f t="shared" si="57"/>
        <v>0</v>
      </c>
      <c r="P122" s="260">
        <f t="shared" si="58"/>
        <v>0</v>
      </c>
      <c r="Q122" s="260">
        <f t="shared" si="59"/>
        <v>0</v>
      </c>
      <c r="R122" s="432">
        <f t="shared" si="60"/>
        <v>21</v>
      </c>
      <c r="S122" s="432">
        <f t="array" ref="S122">MAX((IF(MNU_CODIGO_ALIMENTO_ENTREGA=CONCATENATE($E122,"_","P_"),MNU_GRAMAJE_REQUERIDO_TIPOB,"")))</f>
        <v>100</v>
      </c>
      <c r="T122" s="261">
        <f t="shared" si="61"/>
        <v>7228</v>
      </c>
      <c r="U122" s="261">
        <f t="shared" si="62"/>
        <v>151788</v>
      </c>
      <c r="V122" s="452">
        <f t="shared" si="63"/>
        <v>226</v>
      </c>
      <c r="W122" s="452">
        <f t="shared" si="64"/>
        <v>11.0288</v>
      </c>
      <c r="X122" s="452">
        <f t="shared" si="65"/>
        <v>0.19436361600000002</v>
      </c>
      <c r="Y122" s="452">
        <f t="shared" si="66"/>
        <v>237</v>
      </c>
      <c r="Z122" s="262">
        <f t="shared" si="67"/>
        <v>34304088</v>
      </c>
      <c r="AA122" s="262">
        <f t="shared" si="68"/>
        <v>35973756</v>
      </c>
      <c r="AB122" s="431">
        <f t="shared" si="69"/>
        <v>21</v>
      </c>
      <c r="AC122" s="431">
        <f t="array" ref="AC122">MAX((IF(MNU_CODIGO_ALIMENTO_ENTREGA=CONCATENATE($E122,"_","P_"),MNU_GRAMAJE_REQUERIDO_TIPOC,"")))</f>
        <v>100</v>
      </c>
      <c r="AD122" s="259">
        <f t="shared" si="70"/>
        <v>7156</v>
      </c>
      <c r="AE122" s="259">
        <f t="shared" si="71"/>
        <v>150276</v>
      </c>
      <c r="AF122" s="452">
        <f t="shared" si="72"/>
        <v>226</v>
      </c>
      <c r="AG122" s="452">
        <f t="shared" si="73"/>
        <v>11.0288</v>
      </c>
      <c r="AH122" s="452">
        <f t="shared" si="74"/>
        <v>0.19436361600000002</v>
      </c>
      <c r="AI122" s="452">
        <f t="shared" si="75"/>
        <v>237</v>
      </c>
      <c r="AJ122" s="260">
        <f t="shared" si="76"/>
        <v>33962376</v>
      </c>
      <c r="AK122" s="260">
        <f t="shared" si="77"/>
        <v>35615412</v>
      </c>
      <c r="AL122" s="432">
        <f t="shared" si="78"/>
        <v>21</v>
      </c>
      <c r="AM122" s="432">
        <f t="array" ref="AM122">MAX((IF(MNU_CODIGO_ALIMENTO_ENTREGA=CONCATENATE($E122,"_","P_"),MNU_GRAMAJE_REQUERIDO_TIPOM,"")))</f>
        <v>100</v>
      </c>
      <c r="AN122" s="261">
        <f t="shared" si="79"/>
        <v>371</v>
      </c>
      <c r="AO122" s="261">
        <f t="shared" si="80"/>
        <v>7791</v>
      </c>
      <c r="AP122" s="452">
        <f t="shared" si="81"/>
        <v>226</v>
      </c>
      <c r="AQ122" s="452">
        <f t="shared" si="82"/>
        <v>11.0288</v>
      </c>
      <c r="AR122" s="452">
        <f t="shared" si="83"/>
        <v>0.19436361600000002</v>
      </c>
      <c r="AS122" s="452">
        <f t="shared" si="84"/>
        <v>237</v>
      </c>
      <c r="AT122" s="262">
        <f t="shared" si="85"/>
        <v>1760766</v>
      </c>
      <c r="AU122" s="262">
        <f t="shared" si="86"/>
        <v>1846467</v>
      </c>
      <c r="AV122" s="431">
        <f t="shared" si="87"/>
        <v>21</v>
      </c>
      <c r="AW122" s="431">
        <f t="array" ref="AW122">MAX((IF(MNU_CODIGO_ALIMENTO_ENTREGA=CONCATENATE($E122,"_","P_"),MNU_GRAMAJE_REQUERIDO_TIPOH,"")))</f>
        <v>100</v>
      </c>
      <c r="AX122" s="259">
        <f t="shared" si="88"/>
        <v>419</v>
      </c>
      <c r="AY122" s="259">
        <f t="shared" si="89"/>
        <v>8799</v>
      </c>
      <c r="AZ122" s="452">
        <f t="shared" si="90"/>
        <v>226</v>
      </c>
      <c r="BA122" s="452">
        <f t="shared" si="91"/>
        <v>11.0288</v>
      </c>
      <c r="BB122" s="452">
        <f t="shared" si="92"/>
        <v>0.19436361600000002</v>
      </c>
      <c r="BC122" s="452">
        <f t="shared" si="93"/>
        <v>237</v>
      </c>
      <c r="BD122" s="260">
        <f t="shared" si="94"/>
        <v>1988574</v>
      </c>
      <c r="BE122" s="260">
        <f t="shared" si="95"/>
        <v>2085363</v>
      </c>
      <c r="BF122" s="397">
        <f t="shared" si="96"/>
        <v>72015804</v>
      </c>
      <c r="BG122" s="397">
        <f t="shared" si="97"/>
        <v>75520998</v>
      </c>
    </row>
    <row r="123" spans="1:59" ht="15.75">
      <c r="A123" s="338">
        <v>9</v>
      </c>
      <c r="B123" s="338" t="str">
        <f t="shared" si="49"/>
        <v>FRUTA_9</v>
      </c>
      <c r="C123" s="338" t="str">
        <f t="shared" si="50"/>
        <v>22_9</v>
      </c>
      <c r="D123" s="338" t="s">
        <v>1</v>
      </c>
      <c r="E123" s="258">
        <v>22</v>
      </c>
      <c r="F123" s="328" t="s">
        <v>51</v>
      </c>
      <c r="G123" s="258" t="s">
        <v>9</v>
      </c>
      <c r="H123" s="431">
        <f t="shared" si="51"/>
        <v>0</v>
      </c>
      <c r="I123" s="431">
        <f t="array" ref="I123">MAX((IF(MNU_CODIGO_ALIMENTO_ENTREGA=CONCATENATE($E123,"_","P_"),MNU_GRAMAJE_REQUERIDO_TIPOA,"")))</f>
        <v>0</v>
      </c>
      <c r="J123" s="259">
        <f t="shared" si="52"/>
        <v>5351</v>
      </c>
      <c r="K123" s="259">
        <f t="shared" si="53"/>
        <v>0</v>
      </c>
      <c r="L123" s="452">
        <f t="shared" si="54"/>
        <v>0</v>
      </c>
      <c r="M123" s="452">
        <f t="shared" si="55"/>
        <v>0</v>
      </c>
      <c r="N123" s="452">
        <f t="shared" si="56"/>
        <v>0</v>
      </c>
      <c r="O123" s="452">
        <f t="shared" si="57"/>
        <v>0</v>
      </c>
      <c r="P123" s="260">
        <f t="shared" si="58"/>
        <v>0</v>
      </c>
      <c r="Q123" s="260">
        <f t="shared" si="59"/>
        <v>0</v>
      </c>
      <c r="R123" s="432">
        <f t="shared" si="60"/>
        <v>20</v>
      </c>
      <c r="S123" s="432">
        <f t="array" ref="S123">MAX((IF(MNU_CODIGO_ALIMENTO_ENTREGA=CONCATENATE($E123,"_","P_"),MNU_GRAMAJE_REQUERIDO_TIPOB,"")))</f>
        <v>100</v>
      </c>
      <c r="T123" s="261">
        <f t="shared" si="61"/>
        <v>7228</v>
      </c>
      <c r="U123" s="261">
        <f t="shared" si="62"/>
        <v>144560</v>
      </c>
      <c r="V123" s="452">
        <f t="shared" si="63"/>
        <v>525</v>
      </c>
      <c r="W123" s="452">
        <f t="shared" si="64"/>
        <v>25.62</v>
      </c>
      <c r="X123" s="452">
        <f t="shared" si="65"/>
        <v>0.45150840000000003</v>
      </c>
      <c r="Y123" s="452">
        <f t="shared" si="66"/>
        <v>551</v>
      </c>
      <c r="Z123" s="262">
        <f t="shared" si="67"/>
        <v>75894000</v>
      </c>
      <c r="AA123" s="262">
        <f t="shared" si="68"/>
        <v>79652560</v>
      </c>
      <c r="AB123" s="431">
        <f t="shared" si="69"/>
        <v>20</v>
      </c>
      <c r="AC123" s="431">
        <f t="array" ref="AC123">MAX((IF(MNU_CODIGO_ALIMENTO_ENTREGA=CONCATENATE($E123,"_","P_"),MNU_GRAMAJE_REQUERIDO_TIPOC,"")))</f>
        <v>100</v>
      </c>
      <c r="AD123" s="259">
        <f t="shared" si="70"/>
        <v>7156</v>
      </c>
      <c r="AE123" s="259">
        <f t="shared" si="71"/>
        <v>143120</v>
      </c>
      <c r="AF123" s="452">
        <f t="shared" si="72"/>
        <v>525</v>
      </c>
      <c r="AG123" s="452">
        <f t="shared" si="73"/>
        <v>25.62</v>
      </c>
      <c r="AH123" s="452">
        <f t="shared" si="74"/>
        <v>0.45150840000000003</v>
      </c>
      <c r="AI123" s="452">
        <f t="shared" si="75"/>
        <v>551</v>
      </c>
      <c r="AJ123" s="260">
        <f t="shared" si="76"/>
        <v>75138000</v>
      </c>
      <c r="AK123" s="260">
        <f t="shared" si="77"/>
        <v>78859120</v>
      </c>
      <c r="AL123" s="432">
        <f t="shared" si="78"/>
        <v>20</v>
      </c>
      <c r="AM123" s="432">
        <f t="array" ref="AM123">MAX((IF(MNU_CODIGO_ALIMENTO_ENTREGA=CONCATENATE($E123,"_","P_"),MNU_GRAMAJE_REQUERIDO_TIPOM,"")))</f>
        <v>100</v>
      </c>
      <c r="AN123" s="261">
        <f t="shared" si="79"/>
        <v>371</v>
      </c>
      <c r="AO123" s="261">
        <f t="shared" si="80"/>
        <v>7420</v>
      </c>
      <c r="AP123" s="452">
        <f t="shared" si="81"/>
        <v>525</v>
      </c>
      <c r="AQ123" s="452">
        <f t="shared" si="82"/>
        <v>25.62</v>
      </c>
      <c r="AR123" s="452">
        <f t="shared" si="83"/>
        <v>0.45150840000000003</v>
      </c>
      <c r="AS123" s="452">
        <f t="shared" si="84"/>
        <v>551</v>
      </c>
      <c r="AT123" s="262">
        <f t="shared" si="85"/>
        <v>3895500</v>
      </c>
      <c r="AU123" s="262">
        <f t="shared" si="86"/>
        <v>4088420</v>
      </c>
      <c r="AV123" s="431">
        <f t="shared" si="87"/>
        <v>20</v>
      </c>
      <c r="AW123" s="431">
        <f t="array" ref="AW123">MAX((IF(MNU_CODIGO_ALIMENTO_ENTREGA=CONCATENATE($E123,"_","P_"),MNU_GRAMAJE_REQUERIDO_TIPOH,"")))</f>
        <v>100</v>
      </c>
      <c r="AX123" s="259">
        <f t="shared" si="88"/>
        <v>419</v>
      </c>
      <c r="AY123" s="259">
        <f t="shared" si="89"/>
        <v>8380</v>
      </c>
      <c r="AZ123" s="452">
        <f t="shared" si="90"/>
        <v>525</v>
      </c>
      <c r="BA123" s="452">
        <f t="shared" si="91"/>
        <v>25.62</v>
      </c>
      <c r="BB123" s="452">
        <f t="shared" si="92"/>
        <v>0.45150840000000003</v>
      </c>
      <c r="BC123" s="452">
        <f t="shared" si="93"/>
        <v>551</v>
      </c>
      <c r="BD123" s="260">
        <f t="shared" si="94"/>
        <v>4399500</v>
      </c>
      <c r="BE123" s="260">
        <f t="shared" si="95"/>
        <v>4617380</v>
      </c>
      <c r="BF123" s="397">
        <f t="shared" si="96"/>
        <v>159327000</v>
      </c>
      <c r="BG123" s="397">
        <f t="shared" si="97"/>
        <v>167217480</v>
      </c>
    </row>
    <row r="124" spans="1:59" ht="15.75">
      <c r="A124" s="338">
        <v>9</v>
      </c>
      <c r="B124" s="338" t="str">
        <f t="shared" ref="B124:B187" si="98">CONCATENATE(D124,"_",A124)</f>
        <v>FRUTA_9</v>
      </c>
      <c r="C124" s="338" t="str">
        <f t="shared" ref="C124:C187" si="99">CONCATENATE(E124,"_",A124)</f>
        <v>33_9</v>
      </c>
      <c r="D124" s="338" t="s">
        <v>1</v>
      </c>
      <c r="E124" s="258">
        <v>33</v>
      </c>
      <c r="F124" s="328" t="s">
        <v>59</v>
      </c>
      <c r="G124" s="258" t="s">
        <v>48</v>
      </c>
      <c r="H124" s="431">
        <f t="shared" ref="H124:H187" si="100">SUMIF(MNU_CODIGO_ALIMENTO_ENTREGA,CONCATENATE($E124,"_","P_"),MNU_FRECUENCIAS_LAV_TIPOA)</f>
        <v>27</v>
      </c>
      <c r="I124" s="431">
        <v>1</v>
      </c>
      <c r="J124" s="259">
        <f t="shared" ref="J124:J187" si="101">SUMIF(VOL_GRUPO,CONCATENATE($A124,"1052-1NO"),VOL_TIPOA)</f>
        <v>5351</v>
      </c>
      <c r="K124" s="259">
        <f t="shared" ref="K124:K187" si="102">H124*J124</f>
        <v>144477</v>
      </c>
      <c r="L124" s="452">
        <f t="shared" ref="L124:L187" si="103">IF(ISERROR(AVERAGEIFS(MNU_COSTO_UNITARIO_TIPOA_SELECCIONADO,MNU_CODIGO_ALIMENTO_ENTREGA,CONCATENATE($E124,"_","P_"))),0,AVERAGEIFS(MNU_COSTO_UNITARIO_TIPOA_SELECCIONADO,MNU_CODIGO_ALIMENTO_ENTREGA,CONCATENATE($E124,"_","P_")))</f>
        <v>270</v>
      </c>
      <c r="M124" s="452">
        <f t="shared" ref="M124:M187" si="104">(L124*0.01)+(L124*0.005)+(L124*0.02)+(L124*(13.8/1000))</f>
        <v>13.176000000000002</v>
      </c>
      <c r="N124" s="452">
        <f t="shared" ref="N124:N187" si="105">((L124+M124)*0.00071)+((L124+M124)*0.00011)</f>
        <v>0.23220432000000002</v>
      </c>
      <c r="O124" s="452">
        <f t="shared" ref="O124:O187" si="106">ROUND(L124+M124+N124,0)</f>
        <v>283</v>
      </c>
      <c r="P124" s="260">
        <f t="shared" ref="P124:P187" si="107">H124*J124*L124</f>
        <v>39008790</v>
      </c>
      <c r="Q124" s="260">
        <f t="shared" ref="Q124:Q187" si="108">H124*J124*O124</f>
        <v>40886991</v>
      </c>
      <c r="R124" s="432">
        <f t="shared" ref="R124:R187" si="109">SUMIF(MNU_CODIGO_ALIMENTO_ENTREGA,CONCATENATE($E124,"_","P_"),MNU_FRECUENCIAS_LAV_TIPOB)</f>
        <v>18</v>
      </c>
      <c r="S124" s="432">
        <v>1</v>
      </c>
      <c r="T124" s="261">
        <f t="shared" ref="T124:T187" si="110">SUMIF(VOL_GRUPO,CONCATENATE($A124,"1052-1NO"),VOL_TIPOB)</f>
        <v>7228</v>
      </c>
      <c r="U124" s="261">
        <f t="shared" ref="U124:U187" si="111">R124*T124</f>
        <v>130104</v>
      </c>
      <c r="V124" s="452">
        <f t="shared" ref="V124:V187" si="112">IF(ISERROR(AVERAGEIFS(MNU_COSTO_UNITARIO_TIPOB_SELECCIONADO,MNU_CODIGO_ALIMENTO_ENTREGA,CONCATENATE($E124,"_","P_"))),0,AVERAGEIFS(MNU_COSTO_UNITARIO_TIPOB_SELECCIONADO,MNU_CODIGO_ALIMENTO_ENTREGA,CONCATENATE($E124,"_","P_")))</f>
        <v>270</v>
      </c>
      <c r="W124" s="452">
        <f t="shared" ref="W124:W187" si="113">(V124*0.01)+(V124*0.005)+(V124*0.02)+(V124*(13.8/1000))</f>
        <v>13.176000000000002</v>
      </c>
      <c r="X124" s="452">
        <f t="shared" ref="X124:X187" si="114">((V124+W124)*0.00071)+((V124+W124)*0.00011)</f>
        <v>0.23220432000000002</v>
      </c>
      <c r="Y124" s="452">
        <f t="shared" ref="Y124:Y187" si="115">ROUND(V124+W124+X124,0)</f>
        <v>283</v>
      </c>
      <c r="Z124" s="262">
        <f t="shared" ref="Z124:Z187" si="116">R124*T124*V124</f>
        <v>35128080</v>
      </c>
      <c r="AA124" s="262">
        <f t="shared" ref="AA124:AA187" si="117">R124*T124*Y124</f>
        <v>36819432</v>
      </c>
      <c r="AB124" s="431">
        <f t="shared" ref="AB124:AB187" si="118">SUMIF(MNU_CODIGO_ALIMENTO_ENTREGA,CONCATENATE($E124,"_","P_"),MNU_FRECUENCIAS_LAV_TIPOC)</f>
        <v>18</v>
      </c>
      <c r="AC124" s="431">
        <v>1</v>
      </c>
      <c r="AD124" s="259">
        <f t="shared" ref="AD124:AD187" si="119">SUMIF(VOL_GRUPO,CONCATENATE($A124,"1052-1NO"),VOL_TIPOC)</f>
        <v>7156</v>
      </c>
      <c r="AE124" s="259">
        <f t="shared" ref="AE124:AE187" si="120">AB124*AD124</f>
        <v>128808</v>
      </c>
      <c r="AF124" s="452">
        <f t="shared" ref="AF124:AF187" si="121">IF(ISERROR(AVERAGEIFS(MNU_COSTO_UNITARIO_TIPOC_SELECCIONADO,MNU_CODIGO_ALIMENTO_ENTREGA,CONCATENATE($E124,"_","P_"))),0,AVERAGEIFS(MNU_COSTO_UNITARIO_TIPOC_SELECCIONADO,MNU_CODIGO_ALIMENTO_ENTREGA,CONCATENATE($E124,"_","P_")))</f>
        <v>270</v>
      </c>
      <c r="AG124" s="452">
        <f t="shared" ref="AG124:AG187" si="122">(AF124*0.01)+(AF124*0.005)+(AF124*0.02)+(AF124*(13.8/1000))</f>
        <v>13.176000000000002</v>
      </c>
      <c r="AH124" s="452">
        <f t="shared" ref="AH124:AH187" si="123">((AF124+AG124)*0.00071)+((AF124+AG124)*0.00011)</f>
        <v>0.23220432000000002</v>
      </c>
      <c r="AI124" s="452">
        <f t="shared" ref="AI124:AI187" si="124">ROUND(AF124+AG124+AH124,0)</f>
        <v>283</v>
      </c>
      <c r="AJ124" s="260">
        <f t="shared" ref="AJ124:AJ187" si="125">AB124*AD124*AF124</f>
        <v>34778160</v>
      </c>
      <c r="AK124" s="260">
        <f t="shared" ref="AK124:AK187" si="126">AB124*AD124*AI124</f>
        <v>36452664</v>
      </c>
      <c r="AL124" s="432">
        <f t="shared" ref="AL124:AL187" si="127">SUMIF(MNU_CODIGO_ALIMENTO_ENTREGA,CONCATENATE($E124,"_","P_"),MNU_FRECUENCIAS_LAV_TIPOM)</f>
        <v>18</v>
      </c>
      <c r="AM124" s="432">
        <v>1</v>
      </c>
      <c r="AN124" s="261">
        <f t="shared" ref="AN124:AN187" si="128">SUMIF(VOL_GRUPO,CONCATENATE($A124,"1052-1NO"),VOL_TIPOM)</f>
        <v>371</v>
      </c>
      <c r="AO124" s="261">
        <f t="shared" ref="AO124:AO187" si="129">AL124*AN124</f>
        <v>6678</v>
      </c>
      <c r="AP124" s="452">
        <f t="shared" ref="AP124:AP187" si="130">IF(ISERROR(AVERAGEIFS(MNU_COSTO_UNITARIO_TIPOM_SELECCIONADO,MNU_CODIGO_ALIMENTO_ENTREGA,CONCATENATE($E124,"_","P_"))),0,AVERAGEIFS(MNU_COSTO_UNITARIO_TIPOM_SELECCIONADO,MNU_CODIGO_ALIMENTO_ENTREGA,CONCATENATE($E124,"_","P_")))</f>
        <v>270</v>
      </c>
      <c r="AQ124" s="452">
        <f t="shared" ref="AQ124:AQ187" si="131">(AP124*0.01)+(AP124*0.005)+(AP124*0.02)+(AP124*(13.8/1000))</f>
        <v>13.176000000000002</v>
      </c>
      <c r="AR124" s="452">
        <f t="shared" ref="AR124:AR187" si="132">((AP124+AQ124)*0.00071)+((AP124+AQ124)*0.00011)</f>
        <v>0.23220432000000002</v>
      </c>
      <c r="AS124" s="452">
        <f t="shared" ref="AS124:AS187" si="133">ROUND(AP124+AQ124+AR124,0)</f>
        <v>283</v>
      </c>
      <c r="AT124" s="262">
        <f t="shared" ref="AT124:AT187" si="134">AL124*AN124*AP124</f>
        <v>1803060</v>
      </c>
      <c r="AU124" s="262">
        <f t="shared" ref="AU124:AU187" si="135">AL124*AN124*AS124</f>
        <v>1889874</v>
      </c>
      <c r="AV124" s="431">
        <f t="shared" ref="AV124:AV187" si="136">SUMIF(MNU_CODIGO_ALIMENTO_ENTREGA,CONCATENATE($E124,"_","P_"),MNU_FRECUENCIAS_LAV_TIPOH)</f>
        <v>18</v>
      </c>
      <c r="AW124" s="431">
        <v>1</v>
      </c>
      <c r="AX124" s="259">
        <f t="shared" ref="AX124:AX187" si="137">SUMIF(VOL_GRUPO,CONCATENATE($A124,"1052-1NO"),VOL_TIPOH)</f>
        <v>419</v>
      </c>
      <c r="AY124" s="259">
        <f t="shared" ref="AY124:AY187" si="138">AV124*AX124</f>
        <v>7542</v>
      </c>
      <c r="AZ124" s="452">
        <f t="shared" ref="AZ124:AZ187" si="139">IF(ISERROR(AVERAGEIFS(MNU_COSTO_UNITARIO_TIPOH_SELECCIONADO,MNU_CODIGO_ALIMENTO_ENTREGA,CONCATENATE($E124,"_","P_"))),0,AVERAGEIFS(MNU_COSTO_UNITARIO_TIPOH_SELECCIONADO,MNU_CODIGO_ALIMENTO_ENTREGA,CONCATENATE($E124,"_","P_")))</f>
        <v>270</v>
      </c>
      <c r="BA124" s="452">
        <f t="shared" ref="BA124:BA187" si="140">(AZ124*0.01)+(AZ124*0.005)+(AZ124*0.02)+(AZ124*(13.8/1000))</f>
        <v>13.176000000000002</v>
      </c>
      <c r="BB124" s="452">
        <f t="shared" ref="BB124:BB187" si="141">((AZ124+BA124)*0.00071)+((AZ124+BA124)*0.00011)</f>
        <v>0.23220432000000002</v>
      </c>
      <c r="BC124" s="452">
        <f t="shared" ref="BC124:BC187" si="142">ROUND(AZ124+BA124+BB124,0)</f>
        <v>283</v>
      </c>
      <c r="BD124" s="260">
        <f t="shared" ref="BD124:BD187" si="143">AV124*AX124*AZ124</f>
        <v>2036340</v>
      </c>
      <c r="BE124" s="260">
        <f t="shared" ref="BE124:BE187" si="144">AV124*AX124*BC124</f>
        <v>2134386</v>
      </c>
      <c r="BF124" s="397">
        <f t="shared" ref="BF124:BF187" si="145">BD124+AT124+AJ124+Z124+P124</f>
        <v>112754430</v>
      </c>
      <c r="BG124" s="397">
        <f t="shared" ref="BG124:BG187" si="146">BE124+AU124+AK124+AA124+Q124</f>
        <v>118183347</v>
      </c>
    </row>
    <row r="125" spans="1:59" ht="15.75">
      <c r="A125" s="338">
        <v>9</v>
      </c>
      <c r="B125" s="338" t="str">
        <f t="shared" si="98"/>
        <v>FRUTA_9</v>
      </c>
      <c r="C125" s="338" t="str">
        <f t="shared" si="99"/>
        <v>36_9</v>
      </c>
      <c r="D125" s="338" t="s">
        <v>1</v>
      </c>
      <c r="E125" s="258">
        <v>36</v>
      </c>
      <c r="F125" s="328" t="s">
        <v>1340</v>
      </c>
      <c r="G125" s="258" t="s">
        <v>9</v>
      </c>
      <c r="H125" s="431">
        <f t="shared" si="100"/>
        <v>7</v>
      </c>
      <c r="I125" s="431">
        <f t="array" ref="I125">MAX((IF(MNU_CODIGO_ALIMENTO_ENTREGA=CONCATENATE($E125,"_","P_"),MNU_GRAMAJE_REQUERIDO_TIPOA,"")))</f>
        <v>20</v>
      </c>
      <c r="J125" s="259">
        <f t="shared" si="101"/>
        <v>5351</v>
      </c>
      <c r="K125" s="259">
        <f t="shared" si="102"/>
        <v>37457</v>
      </c>
      <c r="L125" s="452">
        <f t="shared" si="103"/>
        <v>126</v>
      </c>
      <c r="M125" s="452">
        <f t="shared" si="104"/>
        <v>6.1488000000000005</v>
      </c>
      <c r="N125" s="452">
        <f t="shared" si="105"/>
        <v>0.10836201599999999</v>
      </c>
      <c r="O125" s="452">
        <f t="shared" si="106"/>
        <v>132</v>
      </c>
      <c r="P125" s="260">
        <f t="shared" si="107"/>
        <v>4719582</v>
      </c>
      <c r="Q125" s="260">
        <f t="shared" si="108"/>
        <v>4944324</v>
      </c>
      <c r="R125" s="432">
        <f t="shared" si="109"/>
        <v>7</v>
      </c>
      <c r="S125" s="432">
        <f t="array" ref="S125">MAX((IF(MNU_CODIGO_ALIMENTO_ENTREGA=CONCATENATE($E125,"_","P_"),MNU_GRAMAJE_REQUERIDO_TIPOB,"")))</f>
        <v>40</v>
      </c>
      <c r="T125" s="261">
        <f t="shared" si="110"/>
        <v>7228</v>
      </c>
      <c r="U125" s="261">
        <f t="shared" si="111"/>
        <v>50596</v>
      </c>
      <c r="V125" s="452">
        <f t="shared" si="112"/>
        <v>252</v>
      </c>
      <c r="W125" s="452">
        <f t="shared" si="113"/>
        <v>12.297600000000001</v>
      </c>
      <c r="X125" s="452">
        <f t="shared" si="114"/>
        <v>0.21672403199999998</v>
      </c>
      <c r="Y125" s="452">
        <f t="shared" si="115"/>
        <v>265</v>
      </c>
      <c r="Z125" s="262">
        <f t="shared" si="116"/>
        <v>12750192</v>
      </c>
      <c r="AA125" s="262">
        <f t="shared" si="117"/>
        <v>13407940</v>
      </c>
      <c r="AB125" s="431">
        <f t="shared" si="118"/>
        <v>7</v>
      </c>
      <c r="AC125" s="431">
        <f t="array" ref="AC125">MAX((IF(MNU_CODIGO_ALIMENTO_ENTREGA=CONCATENATE($E125,"_","P_"),MNU_GRAMAJE_REQUERIDO_TIPOC,"")))</f>
        <v>40</v>
      </c>
      <c r="AD125" s="259">
        <f t="shared" si="119"/>
        <v>7156</v>
      </c>
      <c r="AE125" s="259">
        <f t="shared" si="120"/>
        <v>50092</v>
      </c>
      <c r="AF125" s="452">
        <f t="shared" si="121"/>
        <v>252</v>
      </c>
      <c r="AG125" s="452">
        <f t="shared" si="122"/>
        <v>12.297600000000001</v>
      </c>
      <c r="AH125" s="452">
        <f t="shared" si="123"/>
        <v>0.21672403199999998</v>
      </c>
      <c r="AI125" s="452">
        <f t="shared" si="124"/>
        <v>265</v>
      </c>
      <c r="AJ125" s="260">
        <f t="shared" si="125"/>
        <v>12623184</v>
      </c>
      <c r="AK125" s="260">
        <f t="shared" si="126"/>
        <v>13274380</v>
      </c>
      <c r="AL125" s="432">
        <f t="shared" si="127"/>
        <v>7</v>
      </c>
      <c r="AM125" s="432">
        <f t="array" ref="AM125">MAX((IF(MNU_CODIGO_ALIMENTO_ENTREGA=CONCATENATE($E125,"_","P_"),MNU_GRAMAJE_REQUERIDO_TIPOM,"")))</f>
        <v>40</v>
      </c>
      <c r="AN125" s="261">
        <f t="shared" si="128"/>
        <v>371</v>
      </c>
      <c r="AO125" s="261">
        <f t="shared" si="129"/>
        <v>2597</v>
      </c>
      <c r="AP125" s="452">
        <f t="shared" si="130"/>
        <v>252</v>
      </c>
      <c r="AQ125" s="452">
        <f t="shared" si="131"/>
        <v>12.297600000000001</v>
      </c>
      <c r="AR125" s="452">
        <f t="shared" si="132"/>
        <v>0.21672403199999998</v>
      </c>
      <c r="AS125" s="452">
        <f t="shared" si="133"/>
        <v>265</v>
      </c>
      <c r="AT125" s="262">
        <f t="shared" si="134"/>
        <v>654444</v>
      </c>
      <c r="AU125" s="262">
        <f t="shared" si="135"/>
        <v>688205</v>
      </c>
      <c r="AV125" s="431">
        <f t="shared" si="136"/>
        <v>7</v>
      </c>
      <c r="AW125" s="431">
        <f t="array" ref="AW125">MAX((IF(MNU_CODIGO_ALIMENTO_ENTREGA=CONCATENATE($E125,"_","P_"),MNU_GRAMAJE_REQUERIDO_TIPOH,"")))</f>
        <v>40</v>
      </c>
      <c r="AX125" s="259">
        <f t="shared" si="137"/>
        <v>419</v>
      </c>
      <c r="AY125" s="259">
        <f t="shared" si="138"/>
        <v>2933</v>
      </c>
      <c r="AZ125" s="452">
        <f t="shared" si="139"/>
        <v>252</v>
      </c>
      <c r="BA125" s="452">
        <f t="shared" si="140"/>
        <v>12.297600000000001</v>
      </c>
      <c r="BB125" s="452">
        <f t="shared" si="141"/>
        <v>0.21672403199999998</v>
      </c>
      <c r="BC125" s="452">
        <f t="shared" si="142"/>
        <v>265</v>
      </c>
      <c r="BD125" s="260">
        <f t="shared" si="143"/>
        <v>739116</v>
      </c>
      <c r="BE125" s="260">
        <f t="shared" si="144"/>
        <v>777245</v>
      </c>
      <c r="BF125" s="397">
        <f t="shared" si="145"/>
        <v>31486518</v>
      </c>
      <c r="BG125" s="397">
        <f t="shared" si="146"/>
        <v>33092094</v>
      </c>
    </row>
    <row r="126" spans="1:59" ht="15.75">
      <c r="A126" s="338">
        <v>9</v>
      </c>
      <c r="B126" s="338" t="str">
        <f t="shared" si="98"/>
        <v>FRUTA_9</v>
      </c>
      <c r="C126" s="338" t="str">
        <f t="shared" si="99"/>
        <v>42_9</v>
      </c>
      <c r="D126" s="338" t="s">
        <v>1</v>
      </c>
      <c r="E126" s="258">
        <v>42</v>
      </c>
      <c r="F126" s="328" t="s">
        <v>61</v>
      </c>
      <c r="G126" s="258" t="s">
        <v>9</v>
      </c>
      <c r="H126" s="431">
        <f t="shared" si="100"/>
        <v>23</v>
      </c>
      <c r="I126" s="431">
        <f t="array" ref="I126">MAX((IF(MNU_CODIGO_ALIMENTO_ENTREGA=CONCATENATE($E126,"_","P_"),MNU_GRAMAJE_REQUERIDO_TIPOA,"")))</f>
        <v>100</v>
      </c>
      <c r="J126" s="259">
        <f t="shared" si="101"/>
        <v>5351</v>
      </c>
      <c r="K126" s="259">
        <f t="shared" si="102"/>
        <v>123073</v>
      </c>
      <c r="L126" s="452">
        <f t="shared" si="103"/>
        <v>194</v>
      </c>
      <c r="M126" s="452">
        <f t="shared" si="104"/>
        <v>9.4672000000000001</v>
      </c>
      <c r="N126" s="452">
        <f t="shared" si="105"/>
        <v>0.16684310399999999</v>
      </c>
      <c r="O126" s="452">
        <f t="shared" si="106"/>
        <v>204</v>
      </c>
      <c r="P126" s="260">
        <f t="shared" si="107"/>
        <v>23876162</v>
      </c>
      <c r="Q126" s="260">
        <f t="shared" si="108"/>
        <v>25106892</v>
      </c>
      <c r="R126" s="432">
        <f t="shared" si="109"/>
        <v>19</v>
      </c>
      <c r="S126" s="432">
        <f t="array" ref="S126">MAX((IF(MNU_CODIGO_ALIMENTO_ENTREGA=CONCATENATE($E126,"_","P_"),MNU_GRAMAJE_REQUERIDO_TIPOB,"")))</f>
        <v>100</v>
      </c>
      <c r="T126" s="261">
        <f t="shared" si="110"/>
        <v>7228</v>
      </c>
      <c r="U126" s="261">
        <f t="shared" si="111"/>
        <v>137332</v>
      </c>
      <c r="V126" s="452">
        <f t="shared" si="112"/>
        <v>194</v>
      </c>
      <c r="W126" s="452">
        <f t="shared" si="113"/>
        <v>9.4672000000000001</v>
      </c>
      <c r="X126" s="452">
        <f t="shared" si="114"/>
        <v>0.16684310399999999</v>
      </c>
      <c r="Y126" s="452">
        <f t="shared" si="115"/>
        <v>204</v>
      </c>
      <c r="Z126" s="262">
        <f t="shared" si="116"/>
        <v>26642408</v>
      </c>
      <c r="AA126" s="262">
        <f t="shared" si="117"/>
        <v>28015728</v>
      </c>
      <c r="AB126" s="431">
        <f t="shared" si="118"/>
        <v>19</v>
      </c>
      <c r="AC126" s="431">
        <f t="array" ref="AC126">MAX((IF(MNU_CODIGO_ALIMENTO_ENTREGA=CONCATENATE($E126,"_","P_"),MNU_GRAMAJE_REQUERIDO_TIPOC,"")))</f>
        <v>100</v>
      </c>
      <c r="AD126" s="259">
        <f t="shared" si="119"/>
        <v>7156</v>
      </c>
      <c r="AE126" s="259">
        <f t="shared" si="120"/>
        <v>135964</v>
      </c>
      <c r="AF126" s="452">
        <f t="shared" si="121"/>
        <v>194</v>
      </c>
      <c r="AG126" s="452">
        <f t="shared" si="122"/>
        <v>9.4672000000000001</v>
      </c>
      <c r="AH126" s="452">
        <f t="shared" si="123"/>
        <v>0.16684310399999999</v>
      </c>
      <c r="AI126" s="452">
        <f t="shared" si="124"/>
        <v>204</v>
      </c>
      <c r="AJ126" s="260">
        <f t="shared" si="125"/>
        <v>26377016</v>
      </c>
      <c r="AK126" s="260">
        <f t="shared" si="126"/>
        <v>27736656</v>
      </c>
      <c r="AL126" s="432">
        <f t="shared" si="127"/>
        <v>19</v>
      </c>
      <c r="AM126" s="432">
        <f t="array" ref="AM126">MAX((IF(MNU_CODIGO_ALIMENTO_ENTREGA=CONCATENATE($E126,"_","P_"),MNU_GRAMAJE_REQUERIDO_TIPOM,"")))</f>
        <v>100</v>
      </c>
      <c r="AN126" s="261">
        <f t="shared" si="128"/>
        <v>371</v>
      </c>
      <c r="AO126" s="261">
        <f t="shared" si="129"/>
        <v>7049</v>
      </c>
      <c r="AP126" s="452">
        <f t="shared" si="130"/>
        <v>194</v>
      </c>
      <c r="AQ126" s="452">
        <f t="shared" si="131"/>
        <v>9.4672000000000001</v>
      </c>
      <c r="AR126" s="452">
        <f t="shared" si="132"/>
        <v>0.16684310399999999</v>
      </c>
      <c r="AS126" s="452">
        <f t="shared" si="133"/>
        <v>204</v>
      </c>
      <c r="AT126" s="262">
        <f t="shared" si="134"/>
        <v>1367506</v>
      </c>
      <c r="AU126" s="262">
        <f t="shared" si="135"/>
        <v>1437996</v>
      </c>
      <c r="AV126" s="431">
        <f t="shared" si="136"/>
        <v>19</v>
      </c>
      <c r="AW126" s="431">
        <f t="array" ref="AW126">MAX((IF(MNU_CODIGO_ALIMENTO_ENTREGA=CONCATENATE($E126,"_","P_"),MNU_GRAMAJE_REQUERIDO_TIPOH,"")))</f>
        <v>100</v>
      </c>
      <c r="AX126" s="259">
        <f t="shared" si="137"/>
        <v>419</v>
      </c>
      <c r="AY126" s="259">
        <f t="shared" si="138"/>
        <v>7961</v>
      </c>
      <c r="AZ126" s="452">
        <f t="shared" si="139"/>
        <v>194</v>
      </c>
      <c r="BA126" s="452">
        <f t="shared" si="140"/>
        <v>9.4672000000000001</v>
      </c>
      <c r="BB126" s="452">
        <f t="shared" si="141"/>
        <v>0.16684310399999999</v>
      </c>
      <c r="BC126" s="452">
        <f t="shared" si="142"/>
        <v>204</v>
      </c>
      <c r="BD126" s="260">
        <f t="shared" si="143"/>
        <v>1544434</v>
      </c>
      <c r="BE126" s="260">
        <f t="shared" si="144"/>
        <v>1624044</v>
      </c>
      <c r="BF126" s="397">
        <f t="shared" si="145"/>
        <v>79807526</v>
      </c>
      <c r="BG126" s="397">
        <f t="shared" si="146"/>
        <v>83921316</v>
      </c>
    </row>
    <row r="127" spans="1:59" ht="15.75">
      <c r="A127" s="338">
        <v>9</v>
      </c>
      <c r="B127" s="338" t="str">
        <f t="shared" si="98"/>
        <v>FRUTA_9</v>
      </c>
      <c r="C127" s="338" t="str">
        <f t="shared" si="99"/>
        <v>43_9</v>
      </c>
      <c r="D127" s="338" t="s">
        <v>1</v>
      </c>
      <c r="E127" s="258">
        <v>43</v>
      </c>
      <c r="F127" s="328" t="s">
        <v>62</v>
      </c>
      <c r="G127" s="258" t="s">
        <v>9</v>
      </c>
      <c r="H127" s="431">
        <f t="shared" si="100"/>
        <v>24</v>
      </c>
      <c r="I127" s="431">
        <f t="array" ref="I127">MAX((IF(MNU_CODIGO_ALIMENTO_ENTREGA=CONCATENATE($E127,"_","P_"),MNU_GRAMAJE_REQUERIDO_TIPOA,"")))</f>
        <v>100</v>
      </c>
      <c r="J127" s="259">
        <f t="shared" si="101"/>
        <v>5351</v>
      </c>
      <c r="K127" s="259">
        <f t="shared" si="102"/>
        <v>128424</v>
      </c>
      <c r="L127" s="452">
        <f t="shared" si="103"/>
        <v>170</v>
      </c>
      <c r="M127" s="452">
        <f t="shared" si="104"/>
        <v>8.2959999999999994</v>
      </c>
      <c r="N127" s="452">
        <f t="shared" si="105"/>
        <v>0.14620272000000001</v>
      </c>
      <c r="O127" s="452">
        <f t="shared" si="106"/>
        <v>178</v>
      </c>
      <c r="P127" s="260">
        <f t="shared" si="107"/>
        <v>21832080</v>
      </c>
      <c r="Q127" s="260">
        <f t="shared" si="108"/>
        <v>22859472</v>
      </c>
      <c r="R127" s="432">
        <f t="shared" si="109"/>
        <v>17</v>
      </c>
      <c r="S127" s="432">
        <f t="array" ref="S127">MAX((IF(MNU_CODIGO_ALIMENTO_ENTREGA=CONCATENATE($E127,"_","P_"),MNU_GRAMAJE_REQUERIDO_TIPOB,"")))</f>
        <v>100</v>
      </c>
      <c r="T127" s="261">
        <f t="shared" si="110"/>
        <v>7228</v>
      </c>
      <c r="U127" s="261">
        <f t="shared" si="111"/>
        <v>122876</v>
      </c>
      <c r="V127" s="452">
        <f t="shared" si="112"/>
        <v>170</v>
      </c>
      <c r="W127" s="452">
        <f t="shared" si="113"/>
        <v>8.2959999999999994</v>
      </c>
      <c r="X127" s="452">
        <f t="shared" si="114"/>
        <v>0.14620272000000001</v>
      </c>
      <c r="Y127" s="452">
        <f t="shared" si="115"/>
        <v>178</v>
      </c>
      <c r="Z127" s="262">
        <f t="shared" si="116"/>
        <v>20888920</v>
      </c>
      <c r="AA127" s="262">
        <f t="shared" si="117"/>
        <v>21871928</v>
      </c>
      <c r="AB127" s="431">
        <f t="shared" si="118"/>
        <v>17</v>
      </c>
      <c r="AC127" s="431">
        <f t="array" ref="AC127">MAX((IF(MNU_CODIGO_ALIMENTO_ENTREGA=CONCATENATE($E127,"_","P_"),MNU_GRAMAJE_REQUERIDO_TIPOC,"")))</f>
        <v>100</v>
      </c>
      <c r="AD127" s="259">
        <f t="shared" si="119"/>
        <v>7156</v>
      </c>
      <c r="AE127" s="259">
        <f t="shared" si="120"/>
        <v>121652</v>
      </c>
      <c r="AF127" s="452">
        <f t="shared" si="121"/>
        <v>170</v>
      </c>
      <c r="AG127" s="452">
        <f t="shared" si="122"/>
        <v>8.2959999999999994</v>
      </c>
      <c r="AH127" s="452">
        <f t="shared" si="123"/>
        <v>0.14620272000000001</v>
      </c>
      <c r="AI127" s="452">
        <f t="shared" si="124"/>
        <v>178</v>
      </c>
      <c r="AJ127" s="260">
        <f t="shared" si="125"/>
        <v>20680840</v>
      </c>
      <c r="AK127" s="260">
        <f t="shared" si="126"/>
        <v>21654056</v>
      </c>
      <c r="AL127" s="432">
        <f t="shared" si="127"/>
        <v>17</v>
      </c>
      <c r="AM127" s="432">
        <f t="array" ref="AM127">MAX((IF(MNU_CODIGO_ALIMENTO_ENTREGA=CONCATENATE($E127,"_","P_"),MNU_GRAMAJE_REQUERIDO_TIPOM,"")))</f>
        <v>100</v>
      </c>
      <c r="AN127" s="261">
        <f t="shared" si="128"/>
        <v>371</v>
      </c>
      <c r="AO127" s="261">
        <f t="shared" si="129"/>
        <v>6307</v>
      </c>
      <c r="AP127" s="452">
        <f t="shared" si="130"/>
        <v>170</v>
      </c>
      <c r="AQ127" s="452">
        <f t="shared" si="131"/>
        <v>8.2959999999999994</v>
      </c>
      <c r="AR127" s="452">
        <f t="shared" si="132"/>
        <v>0.14620272000000001</v>
      </c>
      <c r="AS127" s="452">
        <f t="shared" si="133"/>
        <v>178</v>
      </c>
      <c r="AT127" s="262">
        <f t="shared" si="134"/>
        <v>1072190</v>
      </c>
      <c r="AU127" s="262">
        <f t="shared" si="135"/>
        <v>1122646</v>
      </c>
      <c r="AV127" s="431">
        <f t="shared" si="136"/>
        <v>17</v>
      </c>
      <c r="AW127" s="431">
        <f t="array" ref="AW127">MAX((IF(MNU_CODIGO_ALIMENTO_ENTREGA=CONCATENATE($E127,"_","P_"),MNU_GRAMAJE_REQUERIDO_TIPOH,"")))</f>
        <v>100</v>
      </c>
      <c r="AX127" s="259">
        <f t="shared" si="137"/>
        <v>419</v>
      </c>
      <c r="AY127" s="259">
        <f t="shared" si="138"/>
        <v>7123</v>
      </c>
      <c r="AZ127" s="452">
        <f t="shared" si="139"/>
        <v>170</v>
      </c>
      <c r="BA127" s="452">
        <f t="shared" si="140"/>
        <v>8.2959999999999994</v>
      </c>
      <c r="BB127" s="452">
        <f t="shared" si="141"/>
        <v>0.14620272000000001</v>
      </c>
      <c r="BC127" s="452">
        <f t="shared" si="142"/>
        <v>178</v>
      </c>
      <c r="BD127" s="260">
        <f t="shared" si="143"/>
        <v>1210910</v>
      </c>
      <c r="BE127" s="260">
        <f t="shared" si="144"/>
        <v>1267894</v>
      </c>
      <c r="BF127" s="397">
        <f t="shared" si="145"/>
        <v>65684940</v>
      </c>
      <c r="BG127" s="397">
        <f t="shared" si="146"/>
        <v>68775996</v>
      </c>
    </row>
    <row r="128" spans="1:59" ht="15.75">
      <c r="A128" s="338">
        <v>9</v>
      </c>
      <c r="B128" s="338" t="str">
        <f t="shared" si="98"/>
        <v>FRUTA_9</v>
      </c>
      <c r="C128" s="338" t="str">
        <f t="shared" si="99"/>
        <v>46_9</v>
      </c>
      <c r="D128" s="338" t="s">
        <v>1</v>
      </c>
      <c r="E128" s="258">
        <v>46</v>
      </c>
      <c r="F128" s="328" t="s">
        <v>64</v>
      </c>
      <c r="G128" s="258" t="s">
        <v>9</v>
      </c>
      <c r="H128" s="431">
        <f t="shared" si="100"/>
        <v>30</v>
      </c>
      <c r="I128" s="431">
        <f t="array" ref="I128">MAX((IF(MNU_CODIGO_ALIMENTO_ENTREGA=CONCATENATE($E128,"_","P_"),MNU_GRAMAJE_REQUERIDO_TIPOA,"")))</f>
        <v>100</v>
      </c>
      <c r="J128" s="259">
        <f t="shared" si="101"/>
        <v>5351</v>
      </c>
      <c r="K128" s="259">
        <f t="shared" si="102"/>
        <v>160530</v>
      </c>
      <c r="L128" s="452">
        <f t="shared" si="103"/>
        <v>398</v>
      </c>
      <c r="M128" s="452">
        <f t="shared" si="104"/>
        <v>19.4224</v>
      </c>
      <c r="N128" s="452">
        <f t="shared" si="105"/>
        <v>0.34228636800000001</v>
      </c>
      <c r="O128" s="452">
        <f t="shared" si="106"/>
        <v>418</v>
      </c>
      <c r="P128" s="260">
        <f t="shared" si="107"/>
        <v>63890940</v>
      </c>
      <c r="Q128" s="260">
        <f t="shared" si="108"/>
        <v>67101540</v>
      </c>
      <c r="R128" s="432">
        <f t="shared" si="109"/>
        <v>21</v>
      </c>
      <c r="S128" s="432">
        <f t="array" ref="S128">MAX((IF(MNU_CODIGO_ALIMENTO_ENTREGA=CONCATENATE($E128,"_","P_"),MNU_GRAMAJE_REQUERIDO_TIPOB,"")))</f>
        <v>100</v>
      </c>
      <c r="T128" s="261">
        <f t="shared" si="110"/>
        <v>7228</v>
      </c>
      <c r="U128" s="261">
        <f t="shared" si="111"/>
        <v>151788</v>
      </c>
      <c r="V128" s="452">
        <f t="shared" si="112"/>
        <v>398</v>
      </c>
      <c r="W128" s="452">
        <f t="shared" si="113"/>
        <v>19.4224</v>
      </c>
      <c r="X128" s="452">
        <f t="shared" si="114"/>
        <v>0.34228636800000001</v>
      </c>
      <c r="Y128" s="452">
        <f t="shared" si="115"/>
        <v>418</v>
      </c>
      <c r="Z128" s="262">
        <f t="shared" si="116"/>
        <v>60411624</v>
      </c>
      <c r="AA128" s="262">
        <f t="shared" si="117"/>
        <v>63447384</v>
      </c>
      <c r="AB128" s="431">
        <f t="shared" si="118"/>
        <v>21</v>
      </c>
      <c r="AC128" s="431">
        <f t="array" ref="AC128">MAX((IF(MNU_CODIGO_ALIMENTO_ENTREGA=CONCATENATE($E128,"_","P_"),MNU_GRAMAJE_REQUERIDO_TIPOC,"")))</f>
        <v>100</v>
      </c>
      <c r="AD128" s="259">
        <f t="shared" si="119"/>
        <v>7156</v>
      </c>
      <c r="AE128" s="259">
        <f t="shared" si="120"/>
        <v>150276</v>
      </c>
      <c r="AF128" s="452">
        <f t="shared" si="121"/>
        <v>398</v>
      </c>
      <c r="AG128" s="452">
        <f t="shared" si="122"/>
        <v>19.4224</v>
      </c>
      <c r="AH128" s="452">
        <f t="shared" si="123"/>
        <v>0.34228636800000001</v>
      </c>
      <c r="AI128" s="452">
        <f t="shared" si="124"/>
        <v>418</v>
      </c>
      <c r="AJ128" s="260">
        <f t="shared" si="125"/>
        <v>59809848</v>
      </c>
      <c r="AK128" s="260">
        <f t="shared" si="126"/>
        <v>62815368</v>
      </c>
      <c r="AL128" s="432">
        <f t="shared" si="127"/>
        <v>21</v>
      </c>
      <c r="AM128" s="432">
        <f t="array" ref="AM128">MAX((IF(MNU_CODIGO_ALIMENTO_ENTREGA=CONCATENATE($E128,"_","P_"),MNU_GRAMAJE_REQUERIDO_TIPOM,"")))</f>
        <v>100</v>
      </c>
      <c r="AN128" s="261">
        <f t="shared" si="128"/>
        <v>371</v>
      </c>
      <c r="AO128" s="261">
        <f t="shared" si="129"/>
        <v>7791</v>
      </c>
      <c r="AP128" s="452">
        <f t="shared" si="130"/>
        <v>398</v>
      </c>
      <c r="AQ128" s="452">
        <f t="shared" si="131"/>
        <v>19.4224</v>
      </c>
      <c r="AR128" s="452">
        <f t="shared" si="132"/>
        <v>0.34228636800000001</v>
      </c>
      <c r="AS128" s="452">
        <f t="shared" si="133"/>
        <v>418</v>
      </c>
      <c r="AT128" s="262">
        <f t="shared" si="134"/>
        <v>3100818</v>
      </c>
      <c r="AU128" s="262">
        <f t="shared" si="135"/>
        <v>3256638</v>
      </c>
      <c r="AV128" s="431">
        <f t="shared" si="136"/>
        <v>21</v>
      </c>
      <c r="AW128" s="431">
        <f t="array" ref="AW128">MAX((IF(MNU_CODIGO_ALIMENTO_ENTREGA=CONCATENATE($E128,"_","P_"),MNU_GRAMAJE_REQUERIDO_TIPOH,"")))</f>
        <v>100</v>
      </c>
      <c r="AX128" s="259">
        <f t="shared" si="137"/>
        <v>419</v>
      </c>
      <c r="AY128" s="259">
        <f t="shared" si="138"/>
        <v>8799</v>
      </c>
      <c r="AZ128" s="452">
        <f t="shared" si="139"/>
        <v>398</v>
      </c>
      <c r="BA128" s="452">
        <f t="shared" si="140"/>
        <v>19.4224</v>
      </c>
      <c r="BB128" s="452">
        <f t="shared" si="141"/>
        <v>0.34228636800000001</v>
      </c>
      <c r="BC128" s="452">
        <f t="shared" si="142"/>
        <v>418</v>
      </c>
      <c r="BD128" s="260">
        <f t="shared" si="143"/>
        <v>3502002</v>
      </c>
      <c r="BE128" s="260">
        <f t="shared" si="144"/>
        <v>3677982</v>
      </c>
      <c r="BF128" s="397">
        <f t="shared" si="145"/>
        <v>190715232</v>
      </c>
      <c r="BG128" s="397">
        <f t="shared" si="146"/>
        <v>200298912</v>
      </c>
    </row>
    <row r="129" spans="1:59" ht="15.75">
      <c r="A129" s="338">
        <v>9</v>
      </c>
      <c r="B129" s="338" t="str">
        <f t="shared" si="98"/>
        <v>FRUTA_9</v>
      </c>
      <c r="C129" s="338" t="str">
        <f t="shared" si="99"/>
        <v>58_9</v>
      </c>
      <c r="D129" s="338" t="s">
        <v>1</v>
      </c>
      <c r="E129" s="258">
        <v>58</v>
      </c>
      <c r="F129" s="328" t="s">
        <v>67</v>
      </c>
      <c r="G129" s="258" t="s">
        <v>9</v>
      </c>
      <c r="H129" s="431">
        <f t="shared" si="100"/>
        <v>24</v>
      </c>
      <c r="I129" s="431">
        <f t="array" ref="I129">MAX((IF(MNU_CODIGO_ALIMENTO_ENTREGA=CONCATENATE($E129,"_","P_"),MNU_GRAMAJE_REQUERIDO_TIPOA,"")))</f>
        <v>100</v>
      </c>
      <c r="J129" s="259">
        <f t="shared" si="101"/>
        <v>5351</v>
      </c>
      <c r="K129" s="259">
        <f t="shared" si="102"/>
        <v>128424</v>
      </c>
      <c r="L129" s="452">
        <f t="shared" si="103"/>
        <v>154</v>
      </c>
      <c r="M129" s="452">
        <f t="shared" si="104"/>
        <v>7.515200000000001</v>
      </c>
      <c r="N129" s="452">
        <f t="shared" si="105"/>
        <v>0.13244246400000001</v>
      </c>
      <c r="O129" s="452">
        <f t="shared" si="106"/>
        <v>162</v>
      </c>
      <c r="P129" s="260">
        <f t="shared" si="107"/>
        <v>19777296</v>
      </c>
      <c r="Q129" s="260">
        <f t="shared" si="108"/>
        <v>20804688</v>
      </c>
      <c r="R129" s="432">
        <f t="shared" si="109"/>
        <v>23</v>
      </c>
      <c r="S129" s="432">
        <f t="array" ref="S129">MAX((IF(MNU_CODIGO_ALIMENTO_ENTREGA=CONCATENATE($E129,"_","P_"),MNU_GRAMAJE_REQUERIDO_TIPOB,"")))</f>
        <v>100</v>
      </c>
      <c r="T129" s="261">
        <f t="shared" si="110"/>
        <v>7228</v>
      </c>
      <c r="U129" s="261">
        <f t="shared" si="111"/>
        <v>166244</v>
      </c>
      <c r="V129" s="452">
        <f t="shared" si="112"/>
        <v>154</v>
      </c>
      <c r="W129" s="452">
        <f t="shared" si="113"/>
        <v>7.515200000000001</v>
      </c>
      <c r="X129" s="452">
        <f t="shared" si="114"/>
        <v>0.13244246400000001</v>
      </c>
      <c r="Y129" s="452">
        <f t="shared" si="115"/>
        <v>162</v>
      </c>
      <c r="Z129" s="262">
        <f t="shared" si="116"/>
        <v>25601576</v>
      </c>
      <c r="AA129" s="262">
        <f t="shared" si="117"/>
        <v>26931528</v>
      </c>
      <c r="AB129" s="431">
        <f t="shared" si="118"/>
        <v>23</v>
      </c>
      <c r="AC129" s="431">
        <f t="array" ref="AC129">MAX((IF(MNU_CODIGO_ALIMENTO_ENTREGA=CONCATENATE($E129,"_","P_"),MNU_GRAMAJE_REQUERIDO_TIPOC,"")))</f>
        <v>100</v>
      </c>
      <c r="AD129" s="259">
        <f t="shared" si="119"/>
        <v>7156</v>
      </c>
      <c r="AE129" s="259">
        <f t="shared" si="120"/>
        <v>164588</v>
      </c>
      <c r="AF129" s="452">
        <f t="shared" si="121"/>
        <v>154</v>
      </c>
      <c r="AG129" s="452">
        <f t="shared" si="122"/>
        <v>7.515200000000001</v>
      </c>
      <c r="AH129" s="452">
        <f t="shared" si="123"/>
        <v>0.13244246400000001</v>
      </c>
      <c r="AI129" s="452">
        <f t="shared" si="124"/>
        <v>162</v>
      </c>
      <c r="AJ129" s="260">
        <f t="shared" si="125"/>
        <v>25346552</v>
      </c>
      <c r="AK129" s="260">
        <f t="shared" si="126"/>
        <v>26663256</v>
      </c>
      <c r="AL129" s="432">
        <f t="shared" si="127"/>
        <v>23</v>
      </c>
      <c r="AM129" s="432">
        <f t="array" ref="AM129">MAX((IF(MNU_CODIGO_ALIMENTO_ENTREGA=CONCATENATE($E129,"_","P_"),MNU_GRAMAJE_REQUERIDO_TIPOM,"")))</f>
        <v>100</v>
      </c>
      <c r="AN129" s="261">
        <f t="shared" si="128"/>
        <v>371</v>
      </c>
      <c r="AO129" s="261">
        <f t="shared" si="129"/>
        <v>8533</v>
      </c>
      <c r="AP129" s="452">
        <f t="shared" si="130"/>
        <v>154</v>
      </c>
      <c r="AQ129" s="452">
        <f t="shared" si="131"/>
        <v>7.515200000000001</v>
      </c>
      <c r="AR129" s="452">
        <f t="shared" si="132"/>
        <v>0.13244246400000001</v>
      </c>
      <c r="AS129" s="452">
        <f t="shared" si="133"/>
        <v>162</v>
      </c>
      <c r="AT129" s="262">
        <f t="shared" si="134"/>
        <v>1314082</v>
      </c>
      <c r="AU129" s="262">
        <f t="shared" si="135"/>
        <v>1382346</v>
      </c>
      <c r="AV129" s="431">
        <f t="shared" si="136"/>
        <v>23</v>
      </c>
      <c r="AW129" s="431">
        <f t="array" ref="AW129">MAX((IF(MNU_CODIGO_ALIMENTO_ENTREGA=CONCATENATE($E129,"_","P_"),MNU_GRAMAJE_REQUERIDO_TIPOH,"")))</f>
        <v>100</v>
      </c>
      <c r="AX129" s="259">
        <f t="shared" si="137"/>
        <v>419</v>
      </c>
      <c r="AY129" s="259">
        <f t="shared" si="138"/>
        <v>9637</v>
      </c>
      <c r="AZ129" s="452">
        <f t="shared" si="139"/>
        <v>154</v>
      </c>
      <c r="BA129" s="452">
        <f t="shared" si="140"/>
        <v>7.515200000000001</v>
      </c>
      <c r="BB129" s="452">
        <f t="shared" si="141"/>
        <v>0.13244246400000001</v>
      </c>
      <c r="BC129" s="452">
        <f t="shared" si="142"/>
        <v>162</v>
      </c>
      <c r="BD129" s="260">
        <f t="shared" si="143"/>
        <v>1484098</v>
      </c>
      <c r="BE129" s="260">
        <f t="shared" si="144"/>
        <v>1561194</v>
      </c>
      <c r="BF129" s="397">
        <f t="shared" si="145"/>
        <v>73523604</v>
      </c>
      <c r="BG129" s="397">
        <f t="shared" si="146"/>
        <v>77343012</v>
      </c>
    </row>
    <row r="130" spans="1:59" ht="15.75">
      <c r="A130" s="338">
        <v>9</v>
      </c>
      <c r="B130" s="338" t="str">
        <f t="shared" si="98"/>
        <v>FRUTA_9</v>
      </c>
      <c r="C130" s="338" t="str">
        <f t="shared" si="99"/>
        <v>59_9</v>
      </c>
      <c r="D130" s="338" t="s">
        <v>1</v>
      </c>
      <c r="E130" s="258">
        <v>59</v>
      </c>
      <c r="F130" s="328" t="s">
        <v>99</v>
      </c>
      <c r="G130" s="258" t="s">
        <v>9</v>
      </c>
      <c r="H130" s="431">
        <f t="shared" si="100"/>
        <v>0</v>
      </c>
      <c r="I130" s="431">
        <f t="array" ref="I130">MAX((IF(MNU_CODIGO_ALIMENTO_ENTREGA=CONCATENATE($E130,"_","P_"),MNU_GRAMAJE_REQUERIDO_TIPOA,"")))</f>
        <v>0</v>
      </c>
      <c r="J130" s="259">
        <f t="shared" si="101"/>
        <v>5351</v>
      </c>
      <c r="K130" s="259">
        <f t="shared" si="102"/>
        <v>0</v>
      </c>
      <c r="L130" s="452">
        <f t="shared" si="103"/>
        <v>0</v>
      </c>
      <c r="M130" s="452">
        <f t="shared" si="104"/>
        <v>0</v>
      </c>
      <c r="N130" s="452">
        <f t="shared" si="105"/>
        <v>0</v>
      </c>
      <c r="O130" s="452">
        <f t="shared" si="106"/>
        <v>0</v>
      </c>
      <c r="P130" s="260">
        <f t="shared" si="107"/>
        <v>0</v>
      </c>
      <c r="Q130" s="260">
        <f t="shared" si="108"/>
        <v>0</v>
      </c>
      <c r="R130" s="432">
        <f t="shared" si="109"/>
        <v>8</v>
      </c>
      <c r="S130" s="432">
        <f t="array" ref="S130">MAX((IF(MNU_CODIGO_ALIMENTO_ENTREGA=CONCATENATE($E130,"_","P_"),MNU_GRAMAJE_REQUERIDO_TIPOB,"")))</f>
        <v>100</v>
      </c>
      <c r="T130" s="261">
        <f t="shared" si="110"/>
        <v>7228</v>
      </c>
      <c r="U130" s="261">
        <f t="shared" si="111"/>
        <v>57824</v>
      </c>
      <c r="V130" s="452">
        <f t="shared" si="112"/>
        <v>286</v>
      </c>
      <c r="W130" s="452">
        <f t="shared" si="113"/>
        <v>13.956800000000001</v>
      </c>
      <c r="X130" s="452">
        <f t="shared" si="114"/>
        <v>0.24596457599999999</v>
      </c>
      <c r="Y130" s="452">
        <f t="shared" si="115"/>
        <v>300</v>
      </c>
      <c r="Z130" s="262">
        <f t="shared" si="116"/>
        <v>16537664</v>
      </c>
      <c r="AA130" s="262">
        <f t="shared" si="117"/>
        <v>17347200</v>
      </c>
      <c r="AB130" s="431">
        <f t="shared" si="118"/>
        <v>8</v>
      </c>
      <c r="AC130" s="431">
        <f t="array" ref="AC130">MAX((IF(MNU_CODIGO_ALIMENTO_ENTREGA=CONCATENATE($E130,"_","P_"),MNU_GRAMAJE_REQUERIDO_TIPOC,"")))</f>
        <v>100</v>
      </c>
      <c r="AD130" s="259">
        <f t="shared" si="119"/>
        <v>7156</v>
      </c>
      <c r="AE130" s="259">
        <f t="shared" si="120"/>
        <v>57248</v>
      </c>
      <c r="AF130" s="452">
        <f t="shared" si="121"/>
        <v>286</v>
      </c>
      <c r="AG130" s="452">
        <f t="shared" si="122"/>
        <v>13.956800000000001</v>
      </c>
      <c r="AH130" s="452">
        <f t="shared" si="123"/>
        <v>0.24596457599999999</v>
      </c>
      <c r="AI130" s="452">
        <f t="shared" si="124"/>
        <v>300</v>
      </c>
      <c r="AJ130" s="260">
        <f t="shared" si="125"/>
        <v>16372928</v>
      </c>
      <c r="AK130" s="260">
        <f t="shared" si="126"/>
        <v>17174400</v>
      </c>
      <c r="AL130" s="432">
        <f t="shared" si="127"/>
        <v>8</v>
      </c>
      <c r="AM130" s="432">
        <f t="array" ref="AM130">MAX((IF(MNU_CODIGO_ALIMENTO_ENTREGA=CONCATENATE($E130,"_","P_"),MNU_GRAMAJE_REQUERIDO_TIPOM,"")))</f>
        <v>100</v>
      </c>
      <c r="AN130" s="261">
        <f t="shared" si="128"/>
        <v>371</v>
      </c>
      <c r="AO130" s="261">
        <f t="shared" si="129"/>
        <v>2968</v>
      </c>
      <c r="AP130" s="452">
        <f t="shared" si="130"/>
        <v>286</v>
      </c>
      <c r="AQ130" s="452">
        <f t="shared" si="131"/>
        <v>13.956800000000001</v>
      </c>
      <c r="AR130" s="452">
        <f t="shared" si="132"/>
        <v>0.24596457599999999</v>
      </c>
      <c r="AS130" s="452">
        <f t="shared" si="133"/>
        <v>300</v>
      </c>
      <c r="AT130" s="262">
        <f t="shared" si="134"/>
        <v>848848</v>
      </c>
      <c r="AU130" s="262">
        <f t="shared" si="135"/>
        <v>890400</v>
      </c>
      <c r="AV130" s="431">
        <f t="shared" si="136"/>
        <v>8</v>
      </c>
      <c r="AW130" s="431">
        <f t="array" ref="AW130">MAX((IF(MNU_CODIGO_ALIMENTO_ENTREGA=CONCATENATE($E130,"_","P_"),MNU_GRAMAJE_REQUERIDO_TIPOH,"")))</f>
        <v>100</v>
      </c>
      <c r="AX130" s="259">
        <f t="shared" si="137"/>
        <v>419</v>
      </c>
      <c r="AY130" s="259">
        <f t="shared" si="138"/>
        <v>3352</v>
      </c>
      <c r="AZ130" s="452">
        <f t="shared" si="139"/>
        <v>286</v>
      </c>
      <c r="BA130" s="452">
        <f t="shared" si="140"/>
        <v>13.956800000000001</v>
      </c>
      <c r="BB130" s="452">
        <f t="shared" si="141"/>
        <v>0.24596457599999999</v>
      </c>
      <c r="BC130" s="452">
        <f t="shared" si="142"/>
        <v>300</v>
      </c>
      <c r="BD130" s="260">
        <f t="shared" si="143"/>
        <v>958672</v>
      </c>
      <c r="BE130" s="260">
        <f t="shared" si="144"/>
        <v>1005600</v>
      </c>
      <c r="BF130" s="397">
        <f t="shared" si="145"/>
        <v>34718112</v>
      </c>
      <c r="BG130" s="397">
        <f t="shared" si="146"/>
        <v>36417600</v>
      </c>
    </row>
    <row r="131" spans="1:59" ht="15.75">
      <c r="A131" s="338">
        <v>9</v>
      </c>
      <c r="B131" s="338" t="str">
        <f t="shared" si="98"/>
        <v>FRUTA_9</v>
      </c>
      <c r="C131" s="338" t="str">
        <f t="shared" si="99"/>
        <v>69_9</v>
      </c>
      <c r="D131" s="338" t="s">
        <v>1</v>
      </c>
      <c r="E131" s="258">
        <v>69</v>
      </c>
      <c r="F131" s="328" t="s">
        <v>70</v>
      </c>
      <c r="G131" s="258" t="s">
        <v>9</v>
      </c>
      <c r="H131" s="431">
        <f t="shared" si="100"/>
        <v>30</v>
      </c>
      <c r="I131" s="431">
        <f t="array" ref="I131">MAX((IF(MNU_CODIGO_ALIMENTO_ENTREGA=CONCATENATE($E131,"_","P_"),MNU_GRAMAJE_REQUERIDO_TIPOA,"")))</f>
        <v>100</v>
      </c>
      <c r="J131" s="259">
        <f t="shared" si="101"/>
        <v>5351</v>
      </c>
      <c r="K131" s="259">
        <f t="shared" si="102"/>
        <v>160530</v>
      </c>
      <c r="L131" s="452">
        <f t="shared" si="103"/>
        <v>305</v>
      </c>
      <c r="M131" s="452">
        <f t="shared" si="104"/>
        <v>14.884</v>
      </c>
      <c r="N131" s="452">
        <f t="shared" si="105"/>
        <v>0.26230488000000002</v>
      </c>
      <c r="O131" s="452">
        <f t="shared" si="106"/>
        <v>320</v>
      </c>
      <c r="P131" s="260">
        <f t="shared" si="107"/>
        <v>48961650</v>
      </c>
      <c r="Q131" s="260">
        <f t="shared" si="108"/>
        <v>51369600</v>
      </c>
      <c r="R131" s="432">
        <f t="shared" si="109"/>
        <v>16</v>
      </c>
      <c r="S131" s="432">
        <f t="array" ref="S131">MAX((IF(MNU_CODIGO_ALIMENTO_ENTREGA=CONCATENATE($E131,"_","P_"),MNU_GRAMAJE_REQUERIDO_TIPOB,"")))</f>
        <v>100</v>
      </c>
      <c r="T131" s="261">
        <f t="shared" si="110"/>
        <v>7228</v>
      </c>
      <c r="U131" s="261">
        <f t="shared" si="111"/>
        <v>115648</v>
      </c>
      <c r="V131" s="452">
        <f t="shared" si="112"/>
        <v>305</v>
      </c>
      <c r="W131" s="452">
        <f t="shared" si="113"/>
        <v>14.884</v>
      </c>
      <c r="X131" s="452">
        <f t="shared" si="114"/>
        <v>0.26230488000000002</v>
      </c>
      <c r="Y131" s="452">
        <f t="shared" si="115"/>
        <v>320</v>
      </c>
      <c r="Z131" s="262">
        <f t="shared" si="116"/>
        <v>35272640</v>
      </c>
      <c r="AA131" s="262">
        <f t="shared" si="117"/>
        <v>37007360</v>
      </c>
      <c r="AB131" s="431">
        <f t="shared" si="118"/>
        <v>16</v>
      </c>
      <c r="AC131" s="431">
        <f t="array" ref="AC131">MAX((IF(MNU_CODIGO_ALIMENTO_ENTREGA=CONCATENATE($E131,"_","P_"),MNU_GRAMAJE_REQUERIDO_TIPOC,"")))</f>
        <v>100</v>
      </c>
      <c r="AD131" s="259">
        <f t="shared" si="119"/>
        <v>7156</v>
      </c>
      <c r="AE131" s="259">
        <f t="shared" si="120"/>
        <v>114496</v>
      </c>
      <c r="AF131" s="452">
        <f t="shared" si="121"/>
        <v>305</v>
      </c>
      <c r="AG131" s="452">
        <f t="shared" si="122"/>
        <v>14.884</v>
      </c>
      <c r="AH131" s="452">
        <f t="shared" si="123"/>
        <v>0.26230488000000002</v>
      </c>
      <c r="AI131" s="452">
        <f t="shared" si="124"/>
        <v>320</v>
      </c>
      <c r="AJ131" s="260">
        <f t="shared" si="125"/>
        <v>34921280</v>
      </c>
      <c r="AK131" s="260">
        <f t="shared" si="126"/>
        <v>36638720</v>
      </c>
      <c r="AL131" s="432">
        <f t="shared" si="127"/>
        <v>16</v>
      </c>
      <c r="AM131" s="432">
        <f t="array" ref="AM131">MAX((IF(MNU_CODIGO_ALIMENTO_ENTREGA=CONCATENATE($E131,"_","P_"),MNU_GRAMAJE_REQUERIDO_TIPOM,"")))</f>
        <v>100</v>
      </c>
      <c r="AN131" s="261">
        <f t="shared" si="128"/>
        <v>371</v>
      </c>
      <c r="AO131" s="261">
        <f t="shared" si="129"/>
        <v>5936</v>
      </c>
      <c r="AP131" s="452">
        <f t="shared" si="130"/>
        <v>305</v>
      </c>
      <c r="AQ131" s="452">
        <f t="shared" si="131"/>
        <v>14.884</v>
      </c>
      <c r="AR131" s="452">
        <f t="shared" si="132"/>
        <v>0.26230488000000002</v>
      </c>
      <c r="AS131" s="452">
        <f t="shared" si="133"/>
        <v>320</v>
      </c>
      <c r="AT131" s="262">
        <f t="shared" si="134"/>
        <v>1810480</v>
      </c>
      <c r="AU131" s="262">
        <f t="shared" si="135"/>
        <v>1899520</v>
      </c>
      <c r="AV131" s="431">
        <f t="shared" si="136"/>
        <v>16</v>
      </c>
      <c r="AW131" s="431">
        <f t="array" ref="AW131">MAX((IF(MNU_CODIGO_ALIMENTO_ENTREGA=CONCATENATE($E131,"_","P_"),MNU_GRAMAJE_REQUERIDO_TIPOH,"")))</f>
        <v>100</v>
      </c>
      <c r="AX131" s="259">
        <f t="shared" si="137"/>
        <v>419</v>
      </c>
      <c r="AY131" s="259">
        <f t="shared" si="138"/>
        <v>6704</v>
      </c>
      <c r="AZ131" s="452">
        <f t="shared" si="139"/>
        <v>305</v>
      </c>
      <c r="BA131" s="452">
        <f t="shared" si="140"/>
        <v>14.884</v>
      </c>
      <c r="BB131" s="452">
        <f t="shared" si="141"/>
        <v>0.26230488000000002</v>
      </c>
      <c r="BC131" s="452">
        <f t="shared" si="142"/>
        <v>320</v>
      </c>
      <c r="BD131" s="260">
        <f t="shared" si="143"/>
        <v>2044720</v>
      </c>
      <c r="BE131" s="260">
        <f t="shared" si="144"/>
        <v>2145280</v>
      </c>
      <c r="BF131" s="397">
        <f t="shared" si="145"/>
        <v>123010770</v>
      </c>
      <c r="BG131" s="397">
        <f t="shared" si="146"/>
        <v>129060480</v>
      </c>
    </row>
    <row r="132" spans="1:59" ht="15.75">
      <c r="A132" s="338">
        <v>9</v>
      </c>
      <c r="B132" s="338" t="str">
        <f t="shared" si="98"/>
        <v>FRUTA_9</v>
      </c>
      <c r="C132" s="338" t="str">
        <f t="shared" si="99"/>
        <v>70_9</v>
      </c>
      <c r="D132" s="338" t="s">
        <v>1</v>
      </c>
      <c r="E132" s="258">
        <v>70</v>
      </c>
      <c r="F132" s="328" t="s">
        <v>71</v>
      </c>
      <c r="G132" s="258" t="s">
        <v>9</v>
      </c>
      <c r="H132" s="431">
        <f t="shared" si="100"/>
        <v>0</v>
      </c>
      <c r="I132" s="431">
        <f t="array" ref="I132">MAX((IF(MNU_CODIGO_ALIMENTO_ENTREGA=CONCATENATE($E132,"_","P_"),MNU_GRAMAJE_REQUERIDO_TIPOA,"")))</f>
        <v>0</v>
      </c>
      <c r="J132" s="259">
        <f t="shared" si="101"/>
        <v>5351</v>
      </c>
      <c r="K132" s="259">
        <f t="shared" si="102"/>
        <v>0</v>
      </c>
      <c r="L132" s="452">
        <f t="shared" si="103"/>
        <v>0</v>
      </c>
      <c r="M132" s="452">
        <f t="shared" si="104"/>
        <v>0</v>
      </c>
      <c r="N132" s="452">
        <f t="shared" si="105"/>
        <v>0</v>
      </c>
      <c r="O132" s="452">
        <f t="shared" si="106"/>
        <v>0</v>
      </c>
      <c r="P132" s="260">
        <f t="shared" si="107"/>
        <v>0</v>
      </c>
      <c r="Q132" s="260">
        <f t="shared" si="108"/>
        <v>0</v>
      </c>
      <c r="R132" s="432">
        <f t="shared" si="109"/>
        <v>10</v>
      </c>
      <c r="S132" s="432">
        <f t="array" ref="S132">MAX((IF(MNU_CODIGO_ALIMENTO_ENTREGA=CONCATENATE($E132,"_","P_"),MNU_GRAMAJE_REQUERIDO_TIPOB,"")))</f>
        <v>100</v>
      </c>
      <c r="T132" s="261">
        <f t="shared" si="110"/>
        <v>7228</v>
      </c>
      <c r="U132" s="261">
        <f t="shared" si="111"/>
        <v>72280</v>
      </c>
      <c r="V132" s="452">
        <f t="shared" si="112"/>
        <v>434</v>
      </c>
      <c r="W132" s="452">
        <f t="shared" si="113"/>
        <v>21.179200000000002</v>
      </c>
      <c r="X132" s="452">
        <f t="shared" si="114"/>
        <v>0.37324694399999997</v>
      </c>
      <c r="Y132" s="452">
        <f t="shared" si="115"/>
        <v>456</v>
      </c>
      <c r="Z132" s="262">
        <f t="shared" si="116"/>
        <v>31369520</v>
      </c>
      <c r="AA132" s="262">
        <f t="shared" si="117"/>
        <v>32959680</v>
      </c>
      <c r="AB132" s="431">
        <f t="shared" si="118"/>
        <v>10</v>
      </c>
      <c r="AC132" s="431">
        <f t="array" ref="AC132">MAX((IF(MNU_CODIGO_ALIMENTO_ENTREGA=CONCATENATE($E132,"_","P_"),MNU_GRAMAJE_REQUERIDO_TIPOC,"")))</f>
        <v>100</v>
      </c>
      <c r="AD132" s="259">
        <f t="shared" si="119"/>
        <v>7156</v>
      </c>
      <c r="AE132" s="259">
        <f t="shared" si="120"/>
        <v>71560</v>
      </c>
      <c r="AF132" s="452">
        <f t="shared" si="121"/>
        <v>434</v>
      </c>
      <c r="AG132" s="452">
        <f t="shared" si="122"/>
        <v>21.179200000000002</v>
      </c>
      <c r="AH132" s="452">
        <f t="shared" si="123"/>
        <v>0.37324694399999997</v>
      </c>
      <c r="AI132" s="452">
        <f t="shared" si="124"/>
        <v>456</v>
      </c>
      <c r="AJ132" s="260">
        <f t="shared" si="125"/>
        <v>31057040</v>
      </c>
      <c r="AK132" s="260">
        <f t="shared" si="126"/>
        <v>32631360</v>
      </c>
      <c r="AL132" s="432">
        <f t="shared" si="127"/>
        <v>10</v>
      </c>
      <c r="AM132" s="432">
        <f t="array" ref="AM132">MAX((IF(MNU_CODIGO_ALIMENTO_ENTREGA=CONCATENATE($E132,"_","P_"),MNU_GRAMAJE_REQUERIDO_TIPOM,"")))</f>
        <v>100</v>
      </c>
      <c r="AN132" s="261">
        <f t="shared" si="128"/>
        <v>371</v>
      </c>
      <c r="AO132" s="261">
        <f t="shared" si="129"/>
        <v>3710</v>
      </c>
      <c r="AP132" s="452">
        <f t="shared" si="130"/>
        <v>434</v>
      </c>
      <c r="AQ132" s="452">
        <f t="shared" si="131"/>
        <v>21.179200000000002</v>
      </c>
      <c r="AR132" s="452">
        <f t="shared" si="132"/>
        <v>0.37324694399999997</v>
      </c>
      <c r="AS132" s="452">
        <f t="shared" si="133"/>
        <v>456</v>
      </c>
      <c r="AT132" s="262">
        <f t="shared" si="134"/>
        <v>1610140</v>
      </c>
      <c r="AU132" s="262">
        <f t="shared" si="135"/>
        <v>1691760</v>
      </c>
      <c r="AV132" s="431">
        <f t="shared" si="136"/>
        <v>10</v>
      </c>
      <c r="AW132" s="431">
        <f t="array" ref="AW132">MAX((IF(MNU_CODIGO_ALIMENTO_ENTREGA=CONCATENATE($E132,"_","P_"),MNU_GRAMAJE_REQUERIDO_TIPOH,"")))</f>
        <v>100</v>
      </c>
      <c r="AX132" s="259">
        <f t="shared" si="137"/>
        <v>419</v>
      </c>
      <c r="AY132" s="259">
        <f t="shared" si="138"/>
        <v>4190</v>
      </c>
      <c r="AZ132" s="452">
        <f t="shared" si="139"/>
        <v>434</v>
      </c>
      <c r="BA132" s="452">
        <f t="shared" si="140"/>
        <v>21.179200000000002</v>
      </c>
      <c r="BB132" s="452">
        <f t="shared" si="141"/>
        <v>0.37324694399999997</v>
      </c>
      <c r="BC132" s="452">
        <f t="shared" si="142"/>
        <v>456</v>
      </c>
      <c r="BD132" s="260">
        <f t="shared" si="143"/>
        <v>1818460</v>
      </c>
      <c r="BE132" s="260">
        <f t="shared" si="144"/>
        <v>1910640</v>
      </c>
      <c r="BF132" s="397">
        <f t="shared" si="145"/>
        <v>65855160</v>
      </c>
      <c r="BG132" s="397">
        <f t="shared" si="146"/>
        <v>69193440</v>
      </c>
    </row>
    <row r="133" spans="1:59" ht="15.75">
      <c r="A133" s="338">
        <v>10</v>
      </c>
      <c r="B133" s="338" t="str">
        <f t="shared" si="98"/>
        <v>FRUTA_10</v>
      </c>
      <c r="C133" s="338" t="str">
        <f t="shared" si="99"/>
        <v>7_10</v>
      </c>
      <c r="D133" s="338" t="s">
        <v>1</v>
      </c>
      <c r="E133" s="258">
        <v>7</v>
      </c>
      <c r="F133" s="328" t="s">
        <v>57</v>
      </c>
      <c r="G133" s="258" t="s">
        <v>9</v>
      </c>
      <c r="H133" s="431">
        <f t="shared" si="100"/>
        <v>22</v>
      </c>
      <c r="I133" s="431">
        <f t="array" ref="I133">MAX((IF(MNU_CODIGO_ALIMENTO_ENTREGA=CONCATENATE($E133,"_","P_"),MNU_GRAMAJE_REQUERIDO_TIPOA,"")))</f>
        <v>100</v>
      </c>
      <c r="J133" s="259">
        <f t="shared" si="101"/>
        <v>6208</v>
      </c>
      <c r="K133" s="259">
        <f t="shared" si="102"/>
        <v>136576</v>
      </c>
      <c r="L133" s="452">
        <f t="shared" si="103"/>
        <v>107</v>
      </c>
      <c r="M133" s="452">
        <f t="shared" si="104"/>
        <v>5.2216000000000005</v>
      </c>
      <c r="N133" s="452">
        <f t="shared" si="105"/>
        <v>9.2021712000000006E-2</v>
      </c>
      <c r="O133" s="452">
        <f t="shared" si="106"/>
        <v>112</v>
      </c>
      <c r="P133" s="260">
        <f t="shared" si="107"/>
        <v>14613632</v>
      </c>
      <c r="Q133" s="260">
        <f t="shared" si="108"/>
        <v>15296512</v>
      </c>
      <c r="R133" s="432">
        <f t="shared" si="109"/>
        <v>9</v>
      </c>
      <c r="S133" s="432">
        <f t="array" ref="S133">MAX((IF(MNU_CODIGO_ALIMENTO_ENTREGA=CONCATENATE($E133,"_","P_"),MNU_GRAMAJE_REQUERIDO_TIPOB,"")))</f>
        <v>100</v>
      </c>
      <c r="T133" s="261">
        <f t="shared" si="110"/>
        <v>8157</v>
      </c>
      <c r="U133" s="261">
        <f t="shared" si="111"/>
        <v>73413</v>
      </c>
      <c r="V133" s="452">
        <f t="shared" si="112"/>
        <v>107</v>
      </c>
      <c r="W133" s="452">
        <f t="shared" si="113"/>
        <v>5.2216000000000005</v>
      </c>
      <c r="X133" s="452">
        <f t="shared" si="114"/>
        <v>9.2021712000000006E-2</v>
      </c>
      <c r="Y133" s="452">
        <f t="shared" si="115"/>
        <v>112</v>
      </c>
      <c r="Z133" s="262">
        <f t="shared" si="116"/>
        <v>7855191</v>
      </c>
      <c r="AA133" s="262">
        <f t="shared" si="117"/>
        <v>8222256</v>
      </c>
      <c r="AB133" s="431">
        <f t="shared" si="118"/>
        <v>9</v>
      </c>
      <c r="AC133" s="431">
        <f t="array" ref="AC133">MAX((IF(MNU_CODIGO_ALIMENTO_ENTREGA=CONCATENATE($E133,"_","P_"),MNU_GRAMAJE_REQUERIDO_TIPOC,"")))</f>
        <v>100</v>
      </c>
      <c r="AD133" s="259">
        <f t="shared" si="119"/>
        <v>8769</v>
      </c>
      <c r="AE133" s="259">
        <f t="shared" si="120"/>
        <v>78921</v>
      </c>
      <c r="AF133" s="452">
        <f t="shared" si="121"/>
        <v>107</v>
      </c>
      <c r="AG133" s="452">
        <f t="shared" si="122"/>
        <v>5.2216000000000005</v>
      </c>
      <c r="AH133" s="452">
        <f t="shared" si="123"/>
        <v>9.2021712000000006E-2</v>
      </c>
      <c r="AI133" s="452">
        <f t="shared" si="124"/>
        <v>112</v>
      </c>
      <c r="AJ133" s="260">
        <f t="shared" si="125"/>
        <v>8444547</v>
      </c>
      <c r="AK133" s="260">
        <f t="shared" si="126"/>
        <v>8839152</v>
      </c>
      <c r="AL133" s="432">
        <f t="shared" si="127"/>
        <v>9</v>
      </c>
      <c r="AM133" s="432">
        <f t="array" ref="AM133">MAX((IF(MNU_CODIGO_ALIMENTO_ENTREGA=CONCATENATE($E133,"_","P_"),MNU_GRAMAJE_REQUERIDO_TIPOM,"")))</f>
        <v>100</v>
      </c>
      <c r="AN133" s="261">
        <f t="shared" si="128"/>
        <v>0</v>
      </c>
      <c r="AO133" s="261">
        <f t="shared" si="129"/>
        <v>0</v>
      </c>
      <c r="AP133" s="452">
        <f t="shared" si="130"/>
        <v>107</v>
      </c>
      <c r="AQ133" s="452">
        <f t="shared" si="131"/>
        <v>5.2216000000000005</v>
      </c>
      <c r="AR133" s="452">
        <f t="shared" si="132"/>
        <v>9.2021712000000006E-2</v>
      </c>
      <c r="AS133" s="452">
        <f t="shared" si="133"/>
        <v>112</v>
      </c>
      <c r="AT133" s="262">
        <f t="shared" si="134"/>
        <v>0</v>
      </c>
      <c r="AU133" s="262">
        <f t="shared" si="135"/>
        <v>0</v>
      </c>
      <c r="AV133" s="431">
        <f t="shared" si="136"/>
        <v>9</v>
      </c>
      <c r="AW133" s="431">
        <f t="array" ref="AW133">MAX((IF(MNU_CODIGO_ALIMENTO_ENTREGA=CONCATENATE($E133,"_","P_"),MNU_GRAMAJE_REQUERIDO_TIPOH,"")))</f>
        <v>100</v>
      </c>
      <c r="AX133" s="259">
        <f t="shared" si="137"/>
        <v>0</v>
      </c>
      <c r="AY133" s="259">
        <f t="shared" si="138"/>
        <v>0</v>
      </c>
      <c r="AZ133" s="452">
        <f t="shared" si="139"/>
        <v>107</v>
      </c>
      <c r="BA133" s="452">
        <f t="shared" si="140"/>
        <v>5.2216000000000005</v>
      </c>
      <c r="BB133" s="452">
        <f t="shared" si="141"/>
        <v>9.2021712000000006E-2</v>
      </c>
      <c r="BC133" s="452">
        <f t="shared" si="142"/>
        <v>112</v>
      </c>
      <c r="BD133" s="260">
        <f t="shared" si="143"/>
        <v>0</v>
      </c>
      <c r="BE133" s="260">
        <f t="shared" si="144"/>
        <v>0</v>
      </c>
      <c r="BF133" s="397">
        <f t="shared" si="145"/>
        <v>30913370</v>
      </c>
      <c r="BG133" s="397">
        <f t="shared" si="146"/>
        <v>32357920</v>
      </c>
    </row>
    <row r="134" spans="1:59" ht="15.75">
      <c r="A134" s="338">
        <v>10</v>
      </c>
      <c r="B134" s="338" t="str">
        <f t="shared" si="98"/>
        <v>FRUTA_10</v>
      </c>
      <c r="C134" s="338" t="str">
        <f t="shared" si="99"/>
        <v>8_10</v>
      </c>
      <c r="D134" s="338" t="s">
        <v>1</v>
      </c>
      <c r="E134" s="258">
        <v>8</v>
      </c>
      <c r="F134" s="328" t="s">
        <v>55</v>
      </c>
      <c r="G134" s="258" t="s">
        <v>9</v>
      </c>
      <c r="H134" s="431">
        <f t="shared" si="100"/>
        <v>10</v>
      </c>
      <c r="I134" s="431">
        <f t="array" ref="I134">MAX((IF(MNU_CODIGO_ALIMENTO_ENTREGA=CONCATENATE($E134,"_","P_"),MNU_GRAMAJE_REQUERIDO_TIPOA,"")))</f>
        <v>100</v>
      </c>
      <c r="J134" s="259">
        <f t="shared" si="101"/>
        <v>6208</v>
      </c>
      <c r="K134" s="259">
        <f t="shared" si="102"/>
        <v>62080</v>
      </c>
      <c r="L134" s="452">
        <f t="shared" si="103"/>
        <v>134</v>
      </c>
      <c r="M134" s="452">
        <f t="shared" si="104"/>
        <v>6.539200000000001</v>
      </c>
      <c r="N134" s="452">
        <f t="shared" si="105"/>
        <v>0.115242144</v>
      </c>
      <c r="O134" s="452">
        <f t="shared" si="106"/>
        <v>141</v>
      </c>
      <c r="P134" s="260">
        <f t="shared" si="107"/>
        <v>8318720</v>
      </c>
      <c r="Q134" s="260">
        <f t="shared" si="108"/>
        <v>8753280</v>
      </c>
      <c r="R134" s="432">
        <f t="shared" si="109"/>
        <v>8</v>
      </c>
      <c r="S134" s="432">
        <f t="array" ref="S134">MAX((IF(MNU_CODIGO_ALIMENTO_ENTREGA=CONCATENATE($E134,"_","P_"),MNU_GRAMAJE_REQUERIDO_TIPOB,"")))</f>
        <v>100</v>
      </c>
      <c r="T134" s="261">
        <f t="shared" si="110"/>
        <v>8157</v>
      </c>
      <c r="U134" s="261">
        <f t="shared" si="111"/>
        <v>65256</v>
      </c>
      <c r="V134" s="452">
        <f t="shared" si="112"/>
        <v>134</v>
      </c>
      <c r="W134" s="452">
        <f t="shared" si="113"/>
        <v>6.539200000000001</v>
      </c>
      <c r="X134" s="452">
        <f t="shared" si="114"/>
        <v>0.115242144</v>
      </c>
      <c r="Y134" s="452">
        <f t="shared" si="115"/>
        <v>141</v>
      </c>
      <c r="Z134" s="262">
        <f t="shared" si="116"/>
        <v>8744304</v>
      </c>
      <c r="AA134" s="262">
        <f t="shared" si="117"/>
        <v>9201096</v>
      </c>
      <c r="AB134" s="431">
        <f t="shared" si="118"/>
        <v>8</v>
      </c>
      <c r="AC134" s="431">
        <f t="array" ref="AC134">MAX((IF(MNU_CODIGO_ALIMENTO_ENTREGA=CONCATENATE($E134,"_","P_"),MNU_GRAMAJE_REQUERIDO_TIPOC,"")))</f>
        <v>100</v>
      </c>
      <c r="AD134" s="259">
        <f t="shared" si="119"/>
        <v>8769</v>
      </c>
      <c r="AE134" s="259">
        <f t="shared" si="120"/>
        <v>70152</v>
      </c>
      <c r="AF134" s="452">
        <f t="shared" si="121"/>
        <v>134</v>
      </c>
      <c r="AG134" s="452">
        <f t="shared" si="122"/>
        <v>6.539200000000001</v>
      </c>
      <c r="AH134" s="452">
        <f t="shared" si="123"/>
        <v>0.115242144</v>
      </c>
      <c r="AI134" s="452">
        <f t="shared" si="124"/>
        <v>141</v>
      </c>
      <c r="AJ134" s="260">
        <f t="shared" si="125"/>
        <v>9400368</v>
      </c>
      <c r="AK134" s="260">
        <f t="shared" si="126"/>
        <v>9891432</v>
      </c>
      <c r="AL134" s="432">
        <f t="shared" si="127"/>
        <v>8</v>
      </c>
      <c r="AM134" s="432">
        <f t="array" ref="AM134">MAX((IF(MNU_CODIGO_ALIMENTO_ENTREGA=CONCATENATE($E134,"_","P_"),MNU_GRAMAJE_REQUERIDO_TIPOM,"")))</f>
        <v>100</v>
      </c>
      <c r="AN134" s="261">
        <f t="shared" si="128"/>
        <v>0</v>
      </c>
      <c r="AO134" s="261">
        <f t="shared" si="129"/>
        <v>0</v>
      </c>
      <c r="AP134" s="452">
        <f t="shared" si="130"/>
        <v>134</v>
      </c>
      <c r="AQ134" s="452">
        <f t="shared" si="131"/>
        <v>6.539200000000001</v>
      </c>
      <c r="AR134" s="452">
        <f t="shared" si="132"/>
        <v>0.115242144</v>
      </c>
      <c r="AS134" s="452">
        <f t="shared" si="133"/>
        <v>141</v>
      </c>
      <c r="AT134" s="262">
        <f t="shared" si="134"/>
        <v>0</v>
      </c>
      <c r="AU134" s="262">
        <f t="shared" si="135"/>
        <v>0</v>
      </c>
      <c r="AV134" s="431">
        <f t="shared" si="136"/>
        <v>8</v>
      </c>
      <c r="AW134" s="431">
        <f t="array" ref="AW134">MAX((IF(MNU_CODIGO_ALIMENTO_ENTREGA=CONCATENATE($E134,"_","P_"),MNU_GRAMAJE_REQUERIDO_TIPOH,"")))</f>
        <v>100</v>
      </c>
      <c r="AX134" s="259">
        <f t="shared" si="137"/>
        <v>0</v>
      </c>
      <c r="AY134" s="259">
        <f t="shared" si="138"/>
        <v>0</v>
      </c>
      <c r="AZ134" s="452">
        <f t="shared" si="139"/>
        <v>134</v>
      </c>
      <c r="BA134" s="452">
        <f t="shared" si="140"/>
        <v>6.539200000000001</v>
      </c>
      <c r="BB134" s="452">
        <f t="shared" si="141"/>
        <v>0.115242144</v>
      </c>
      <c r="BC134" s="452">
        <f t="shared" si="142"/>
        <v>141</v>
      </c>
      <c r="BD134" s="260">
        <f t="shared" si="143"/>
        <v>0</v>
      </c>
      <c r="BE134" s="260">
        <f t="shared" si="144"/>
        <v>0</v>
      </c>
      <c r="BF134" s="397">
        <f t="shared" si="145"/>
        <v>26463392</v>
      </c>
      <c r="BG134" s="397">
        <f t="shared" si="146"/>
        <v>27845808</v>
      </c>
    </row>
    <row r="135" spans="1:59" ht="15.75">
      <c r="A135" s="338">
        <v>10</v>
      </c>
      <c r="B135" s="338" t="str">
        <f t="shared" si="98"/>
        <v>FRUTA_10</v>
      </c>
      <c r="C135" s="338" t="str">
        <f t="shared" si="99"/>
        <v>17_10</v>
      </c>
      <c r="D135" s="338" t="s">
        <v>1</v>
      </c>
      <c r="E135" s="258">
        <v>17</v>
      </c>
      <c r="F135" s="328" t="s">
        <v>53</v>
      </c>
      <c r="G135" s="258" t="s">
        <v>9</v>
      </c>
      <c r="H135" s="431">
        <f t="shared" si="100"/>
        <v>0</v>
      </c>
      <c r="I135" s="431">
        <f t="array" ref="I135">MAX((IF(MNU_CODIGO_ALIMENTO_ENTREGA=CONCATENATE($E135,"_","P_"),MNU_GRAMAJE_REQUERIDO_TIPOA,"")))</f>
        <v>0</v>
      </c>
      <c r="J135" s="259">
        <f t="shared" si="101"/>
        <v>6208</v>
      </c>
      <c r="K135" s="259">
        <f t="shared" si="102"/>
        <v>0</v>
      </c>
      <c r="L135" s="452">
        <f t="shared" si="103"/>
        <v>0</v>
      </c>
      <c r="M135" s="452">
        <f t="shared" si="104"/>
        <v>0</v>
      </c>
      <c r="N135" s="452">
        <f t="shared" si="105"/>
        <v>0</v>
      </c>
      <c r="O135" s="452">
        <f t="shared" si="106"/>
        <v>0</v>
      </c>
      <c r="P135" s="260">
        <f t="shared" si="107"/>
        <v>0</v>
      </c>
      <c r="Q135" s="260">
        <f t="shared" si="108"/>
        <v>0</v>
      </c>
      <c r="R135" s="432">
        <f t="shared" si="109"/>
        <v>21</v>
      </c>
      <c r="S135" s="432">
        <f t="array" ref="S135">MAX((IF(MNU_CODIGO_ALIMENTO_ENTREGA=CONCATENATE($E135,"_","P_"),MNU_GRAMAJE_REQUERIDO_TIPOB,"")))</f>
        <v>100</v>
      </c>
      <c r="T135" s="261">
        <f t="shared" si="110"/>
        <v>8157</v>
      </c>
      <c r="U135" s="261">
        <f t="shared" si="111"/>
        <v>171297</v>
      </c>
      <c r="V135" s="452">
        <f t="shared" si="112"/>
        <v>226</v>
      </c>
      <c r="W135" s="452">
        <f t="shared" si="113"/>
        <v>11.0288</v>
      </c>
      <c r="X135" s="452">
        <f t="shared" si="114"/>
        <v>0.19436361600000002</v>
      </c>
      <c r="Y135" s="452">
        <f t="shared" si="115"/>
        <v>237</v>
      </c>
      <c r="Z135" s="262">
        <f t="shared" si="116"/>
        <v>38713122</v>
      </c>
      <c r="AA135" s="262">
        <f t="shared" si="117"/>
        <v>40597389</v>
      </c>
      <c r="AB135" s="431">
        <f t="shared" si="118"/>
        <v>21</v>
      </c>
      <c r="AC135" s="431">
        <f t="array" ref="AC135">MAX((IF(MNU_CODIGO_ALIMENTO_ENTREGA=CONCATENATE($E135,"_","P_"),MNU_GRAMAJE_REQUERIDO_TIPOC,"")))</f>
        <v>100</v>
      </c>
      <c r="AD135" s="259">
        <f t="shared" si="119"/>
        <v>8769</v>
      </c>
      <c r="AE135" s="259">
        <f t="shared" si="120"/>
        <v>184149</v>
      </c>
      <c r="AF135" s="452">
        <f t="shared" si="121"/>
        <v>226</v>
      </c>
      <c r="AG135" s="452">
        <f t="shared" si="122"/>
        <v>11.0288</v>
      </c>
      <c r="AH135" s="452">
        <f t="shared" si="123"/>
        <v>0.19436361600000002</v>
      </c>
      <c r="AI135" s="452">
        <f t="shared" si="124"/>
        <v>237</v>
      </c>
      <c r="AJ135" s="260">
        <f t="shared" si="125"/>
        <v>41617674</v>
      </c>
      <c r="AK135" s="260">
        <f t="shared" si="126"/>
        <v>43643313</v>
      </c>
      <c r="AL135" s="432">
        <f t="shared" si="127"/>
        <v>21</v>
      </c>
      <c r="AM135" s="432">
        <f t="array" ref="AM135">MAX((IF(MNU_CODIGO_ALIMENTO_ENTREGA=CONCATENATE($E135,"_","P_"),MNU_GRAMAJE_REQUERIDO_TIPOM,"")))</f>
        <v>100</v>
      </c>
      <c r="AN135" s="261">
        <f t="shared" si="128"/>
        <v>0</v>
      </c>
      <c r="AO135" s="261">
        <f t="shared" si="129"/>
        <v>0</v>
      </c>
      <c r="AP135" s="452">
        <f t="shared" si="130"/>
        <v>226</v>
      </c>
      <c r="AQ135" s="452">
        <f t="shared" si="131"/>
        <v>11.0288</v>
      </c>
      <c r="AR135" s="452">
        <f t="shared" si="132"/>
        <v>0.19436361600000002</v>
      </c>
      <c r="AS135" s="452">
        <f t="shared" si="133"/>
        <v>237</v>
      </c>
      <c r="AT135" s="262">
        <f t="shared" si="134"/>
        <v>0</v>
      </c>
      <c r="AU135" s="262">
        <f t="shared" si="135"/>
        <v>0</v>
      </c>
      <c r="AV135" s="431">
        <f t="shared" si="136"/>
        <v>21</v>
      </c>
      <c r="AW135" s="431">
        <f t="array" ref="AW135">MAX((IF(MNU_CODIGO_ALIMENTO_ENTREGA=CONCATENATE($E135,"_","P_"),MNU_GRAMAJE_REQUERIDO_TIPOH,"")))</f>
        <v>100</v>
      </c>
      <c r="AX135" s="259">
        <f t="shared" si="137"/>
        <v>0</v>
      </c>
      <c r="AY135" s="259">
        <f t="shared" si="138"/>
        <v>0</v>
      </c>
      <c r="AZ135" s="452">
        <f t="shared" si="139"/>
        <v>226</v>
      </c>
      <c r="BA135" s="452">
        <f t="shared" si="140"/>
        <v>11.0288</v>
      </c>
      <c r="BB135" s="452">
        <f t="shared" si="141"/>
        <v>0.19436361600000002</v>
      </c>
      <c r="BC135" s="452">
        <f t="shared" si="142"/>
        <v>237</v>
      </c>
      <c r="BD135" s="260">
        <f t="shared" si="143"/>
        <v>0</v>
      </c>
      <c r="BE135" s="260">
        <f t="shared" si="144"/>
        <v>0</v>
      </c>
      <c r="BF135" s="397">
        <f t="shared" si="145"/>
        <v>80330796</v>
      </c>
      <c r="BG135" s="397">
        <f t="shared" si="146"/>
        <v>84240702</v>
      </c>
    </row>
    <row r="136" spans="1:59" ht="15.75">
      <c r="A136" s="338">
        <v>10</v>
      </c>
      <c r="B136" s="338" t="str">
        <f t="shared" si="98"/>
        <v>FRUTA_10</v>
      </c>
      <c r="C136" s="338" t="str">
        <f t="shared" si="99"/>
        <v>22_10</v>
      </c>
      <c r="D136" s="338" t="s">
        <v>1</v>
      </c>
      <c r="E136" s="258">
        <v>22</v>
      </c>
      <c r="F136" s="328" t="s">
        <v>51</v>
      </c>
      <c r="G136" s="258" t="s">
        <v>9</v>
      </c>
      <c r="H136" s="431">
        <f t="shared" si="100"/>
        <v>0</v>
      </c>
      <c r="I136" s="431">
        <f t="array" ref="I136">MAX((IF(MNU_CODIGO_ALIMENTO_ENTREGA=CONCATENATE($E136,"_","P_"),MNU_GRAMAJE_REQUERIDO_TIPOA,"")))</f>
        <v>0</v>
      </c>
      <c r="J136" s="259">
        <f t="shared" si="101"/>
        <v>6208</v>
      </c>
      <c r="K136" s="259">
        <f t="shared" si="102"/>
        <v>0</v>
      </c>
      <c r="L136" s="452">
        <f t="shared" si="103"/>
        <v>0</v>
      </c>
      <c r="M136" s="452">
        <f t="shared" si="104"/>
        <v>0</v>
      </c>
      <c r="N136" s="452">
        <f t="shared" si="105"/>
        <v>0</v>
      </c>
      <c r="O136" s="452">
        <f t="shared" si="106"/>
        <v>0</v>
      </c>
      <c r="P136" s="260">
        <f t="shared" si="107"/>
        <v>0</v>
      </c>
      <c r="Q136" s="260">
        <f t="shared" si="108"/>
        <v>0</v>
      </c>
      <c r="R136" s="432">
        <f t="shared" si="109"/>
        <v>20</v>
      </c>
      <c r="S136" s="432">
        <f t="array" ref="S136">MAX((IF(MNU_CODIGO_ALIMENTO_ENTREGA=CONCATENATE($E136,"_","P_"),MNU_GRAMAJE_REQUERIDO_TIPOB,"")))</f>
        <v>100</v>
      </c>
      <c r="T136" s="261">
        <f t="shared" si="110"/>
        <v>8157</v>
      </c>
      <c r="U136" s="261">
        <f t="shared" si="111"/>
        <v>163140</v>
      </c>
      <c r="V136" s="452">
        <f t="shared" si="112"/>
        <v>525</v>
      </c>
      <c r="W136" s="452">
        <f t="shared" si="113"/>
        <v>25.62</v>
      </c>
      <c r="X136" s="452">
        <f t="shared" si="114"/>
        <v>0.45150840000000003</v>
      </c>
      <c r="Y136" s="452">
        <f t="shared" si="115"/>
        <v>551</v>
      </c>
      <c r="Z136" s="262">
        <f t="shared" si="116"/>
        <v>85648500</v>
      </c>
      <c r="AA136" s="262">
        <f t="shared" si="117"/>
        <v>89890140</v>
      </c>
      <c r="AB136" s="431">
        <f t="shared" si="118"/>
        <v>20</v>
      </c>
      <c r="AC136" s="431">
        <f t="array" ref="AC136">MAX((IF(MNU_CODIGO_ALIMENTO_ENTREGA=CONCATENATE($E136,"_","P_"),MNU_GRAMAJE_REQUERIDO_TIPOC,"")))</f>
        <v>100</v>
      </c>
      <c r="AD136" s="259">
        <f t="shared" si="119"/>
        <v>8769</v>
      </c>
      <c r="AE136" s="259">
        <f t="shared" si="120"/>
        <v>175380</v>
      </c>
      <c r="AF136" s="452">
        <f t="shared" si="121"/>
        <v>525</v>
      </c>
      <c r="AG136" s="452">
        <f t="shared" si="122"/>
        <v>25.62</v>
      </c>
      <c r="AH136" s="452">
        <f t="shared" si="123"/>
        <v>0.45150840000000003</v>
      </c>
      <c r="AI136" s="452">
        <f t="shared" si="124"/>
        <v>551</v>
      </c>
      <c r="AJ136" s="260">
        <f t="shared" si="125"/>
        <v>92074500</v>
      </c>
      <c r="AK136" s="260">
        <f t="shared" si="126"/>
        <v>96634380</v>
      </c>
      <c r="AL136" s="432">
        <f t="shared" si="127"/>
        <v>20</v>
      </c>
      <c r="AM136" s="432">
        <f t="array" ref="AM136">MAX((IF(MNU_CODIGO_ALIMENTO_ENTREGA=CONCATENATE($E136,"_","P_"),MNU_GRAMAJE_REQUERIDO_TIPOM,"")))</f>
        <v>100</v>
      </c>
      <c r="AN136" s="261">
        <f t="shared" si="128"/>
        <v>0</v>
      </c>
      <c r="AO136" s="261">
        <f t="shared" si="129"/>
        <v>0</v>
      </c>
      <c r="AP136" s="452">
        <f t="shared" si="130"/>
        <v>525</v>
      </c>
      <c r="AQ136" s="452">
        <f t="shared" si="131"/>
        <v>25.62</v>
      </c>
      <c r="AR136" s="452">
        <f t="shared" si="132"/>
        <v>0.45150840000000003</v>
      </c>
      <c r="AS136" s="452">
        <f t="shared" si="133"/>
        <v>551</v>
      </c>
      <c r="AT136" s="262">
        <f t="shared" si="134"/>
        <v>0</v>
      </c>
      <c r="AU136" s="262">
        <f t="shared" si="135"/>
        <v>0</v>
      </c>
      <c r="AV136" s="431">
        <f t="shared" si="136"/>
        <v>20</v>
      </c>
      <c r="AW136" s="431">
        <f t="array" ref="AW136">MAX((IF(MNU_CODIGO_ALIMENTO_ENTREGA=CONCATENATE($E136,"_","P_"),MNU_GRAMAJE_REQUERIDO_TIPOH,"")))</f>
        <v>100</v>
      </c>
      <c r="AX136" s="259">
        <f t="shared" si="137"/>
        <v>0</v>
      </c>
      <c r="AY136" s="259">
        <f t="shared" si="138"/>
        <v>0</v>
      </c>
      <c r="AZ136" s="452">
        <f t="shared" si="139"/>
        <v>525</v>
      </c>
      <c r="BA136" s="452">
        <f t="shared" si="140"/>
        <v>25.62</v>
      </c>
      <c r="BB136" s="452">
        <f t="shared" si="141"/>
        <v>0.45150840000000003</v>
      </c>
      <c r="BC136" s="452">
        <f t="shared" si="142"/>
        <v>551</v>
      </c>
      <c r="BD136" s="260">
        <f t="shared" si="143"/>
        <v>0</v>
      </c>
      <c r="BE136" s="260">
        <f t="shared" si="144"/>
        <v>0</v>
      </c>
      <c r="BF136" s="397">
        <f t="shared" si="145"/>
        <v>177723000</v>
      </c>
      <c r="BG136" s="397">
        <f t="shared" si="146"/>
        <v>186524520</v>
      </c>
    </row>
    <row r="137" spans="1:59" ht="15.75">
      <c r="A137" s="338">
        <v>10</v>
      </c>
      <c r="B137" s="338" t="str">
        <f t="shared" si="98"/>
        <v>FRUTA_10</v>
      </c>
      <c r="C137" s="338" t="str">
        <f t="shared" si="99"/>
        <v>33_10</v>
      </c>
      <c r="D137" s="338" t="s">
        <v>1</v>
      </c>
      <c r="E137" s="258">
        <v>33</v>
      </c>
      <c r="F137" s="328" t="s">
        <v>59</v>
      </c>
      <c r="G137" s="258" t="s">
        <v>48</v>
      </c>
      <c r="H137" s="431">
        <f t="shared" si="100"/>
        <v>27</v>
      </c>
      <c r="I137" s="431">
        <v>1</v>
      </c>
      <c r="J137" s="259">
        <f t="shared" si="101"/>
        <v>6208</v>
      </c>
      <c r="K137" s="259">
        <f t="shared" si="102"/>
        <v>167616</v>
      </c>
      <c r="L137" s="452">
        <f t="shared" si="103"/>
        <v>270</v>
      </c>
      <c r="M137" s="452">
        <f t="shared" si="104"/>
        <v>13.176000000000002</v>
      </c>
      <c r="N137" s="452">
        <f t="shared" si="105"/>
        <v>0.23220432000000002</v>
      </c>
      <c r="O137" s="452">
        <f t="shared" si="106"/>
        <v>283</v>
      </c>
      <c r="P137" s="260">
        <f t="shared" si="107"/>
        <v>45256320</v>
      </c>
      <c r="Q137" s="260">
        <f t="shared" si="108"/>
        <v>47435328</v>
      </c>
      <c r="R137" s="432">
        <f t="shared" si="109"/>
        <v>18</v>
      </c>
      <c r="S137" s="432">
        <v>1</v>
      </c>
      <c r="T137" s="261">
        <f t="shared" si="110"/>
        <v>8157</v>
      </c>
      <c r="U137" s="261">
        <f t="shared" si="111"/>
        <v>146826</v>
      </c>
      <c r="V137" s="452">
        <f t="shared" si="112"/>
        <v>270</v>
      </c>
      <c r="W137" s="452">
        <f t="shared" si="113"/>
        <v>13.176000000000002</v>
      </c>
      <c r="X137" s="452">
        <f t="shared" si="114"/>
        <v>0.23220432000000002</v>
      </c>
      <c r="Y137" s="452">
        <f t="shared" si="115"/>
        <v>283</v>
      </c>
      <c r="Z137" s="262">
        <f t="shared" si="116"/>
        <v>39643020</v>
      </c>
      <c r="AA137" s="262">
        <f t="shared" si="117"/>
        <v>41551758</v>
      </c>
      <c r="AB137" s="431">
        <f t="shared" si="118"/>
        <v>18</v>
      </c>
      <c r="AC137" s="431">
        <v>1</v>
      </c>
      <c r="AD137" s="259">
        <f t="shared" si="119"/>
        <v>8769</v>
      </c>
      <c r="AE137" s="259">
        <f t="shared" si="120"/>
        <v>157842</v>
      </c>
      <c r="AF137" s="452">
        <f t="shared" si="121"/>
        <v>270</v>
      </c>
      <c r="AG137" s="452">
        <f t="shared" si="122"/>
        <v>13.176000000000002</v>
      </c>
      <c r="AH137" s="452">
        <f t="shared" si="123"/>
        <v>0.23220432000000002</v>
      </c>
      <c r="AI137" s="452">
        <f t="shared" si="124"/>
        <v>283</v>
      </c>
      <c r="AJ137" s="260">
        <f t="shared" si="125"/>
        <v>42617340</v>
      </c>
      <c r="AK137" s="260">
        <f t="shared" si="126"/>
        <v>44669286</v>
      </c>
      <c r="AL137" s="432">
        <f t="shared" si="127"/>
        <v>18</v>
      </c>
      <c r="AM137" s="432">
        <v>1</v>
      </c>
      <c r="AN137" s="261">
        <f t="shared" si="128"/>
        <v>0</v>
      </c>
      <c r="AO137" s="261">
        <f t="shared" si="129"/>
        <v>0</v>
      </c>
      <c r="AP137" s="452">
        <f t="shared" si="130"/>
        <v>270</v>
      </c>
      <c r="AQ137" s="452">
        <f t="shared" si="131"/>
        <v>13.176000000000002</v>
      </c>
      <c r="AR137" s="452">
        <f t="shared" si="132"/>
        <v>0.23220432000000002</v>
      </c>
      <c r="AS137" s="452">
        <f t="shared" si="133"/>
        <v>283</v>
      </c>
      <c r="AT137" s="262">
        <f t="shared" si="134"/>
        <v>0</v>
      </c>
      <c r="AU137" s="262">
        <f t="shared" si="135"/>
        <v>0</v>
      </c>
      <c r="AV137" s="431">
        <f t="shared" si="136"/>
        <v>18</v>
      </c>
      <c r="AW137" s="431">
        <v>1</v>
      </c>
      <c r="AX137" s="259">
        <f t="shared" si="137"/>
        <v>0</v>
      </c>
      <c r="AY137" s="259">
        <f t="shared" si="138"/>
        <v>0</v>
      </c>
      <c r="AZ137" s="452">
        <f t="shared" si="139"/>
        <v>270</v>
      </c>
      <c r="BA137" s="452">
        <f t="shared" si="140"/>
        <v>13.176000000000002</v>
      </c>
      <c r="BB137" s="452">
        <f t="shared" si="141"/>
        <v>0.23220432000000002</v>
      </c>
      <c r="BC137" s="452">
        <f t="shared" si="142"/>
        <v>283</v>
      </c>
      <c r="BD137" s="260">
        <f t="shared" si="143"/>
        <v>0</v>
      </c>
      <c r="BE137" s="260">
        <f t="shared" si="144"/>
        <v>0</v>
      </c>
      <c r="BF137" s="397">
        <f t="shared" si="145"/>
        <v>127516680</v>
      </c>
      <c r="BG137" s="397">
        <f t="shared" si="146"/>
        <v>133656372</v>
      </c>
    </row>
    <row r="138" spans="1:59" ht="15.75">
      <c r="A138" s="338">
        <v>10</v>
      </c>
      <c r="B138" s="338" t="str">
        <f t="shared" si="98"/>
        <v>FRUTA_10</v>
      </c>
      <c r="C138" s="338" t="str">
        <f t="shared" si="99"/>
        <v>36_10</v>
      </c>
      <c r="D138" s="338" t="s">
        <v>1</v>
      </c>
      <c r="E138" s="258">
        <v>36</v>
      </c>
      <c r="F138" s="328" t="s">
        <v>1340</v>
      </c>
      <c r="G138" s="258" t="s">
        <v>9</v>
      </c>
      <c r="H138" s="431">
        <f t="shared" si="100"/>
        <v>7</v>
      </c>
      <c r="I138" s="431">
        <f t="array" ref="I138">MAX((IF(MNU_CODIGO_ALIMENTO_ENTREGA=CONCATENATE($E138,"_","P_"),MNU_GRAMAJE_REQUERIDO_TIPOA,"")))</f>
        <v>20</v>
      </c>
      <c r="J138" s="259">
        <f t="shared" si="101"/>
        <v>6208</v>
      </c>
      <c r="K138" s="259">
        <f t="shared" si="102"/>
        <v>43456</v>
      </c>
      <c r="L138" s="452">
        <f t="shared" si="103"/>
        <v>126</v>
      </c>
      <c r="M138" s="452">
        <f t="shared" si="104"/>
        <v>6.1488000000000005</v>
      </c>
      <c r="N138" s="452">
        <f t="shared" si="105"/>
        <v>0.10836201599999999</v>
      </c>
      <c r="O138" s="452">
        <f t="shared" si="106"/>
        <v>132</v>
      </c>
      <c r="P138" s="260">
        <f t="shared" si="107"/>
        <v>5475456</v>
      </c>
      <c r="Q138" s="260">
        <f t="shared" si="108"/>
        <v>5736192</v>
      </c>
      <c r="R138" s="432">
        <f t="shared" si="109"/>
        <v>7</v>
      </c>
      <c r="S138" s="432">
        <f t="array" ref="S138">MAX((IF(MNU_CODIGO_ALIMENTO_ENTREGA=CONCATENATE($E138,"_","P_"),MNU_GRAMAJE_REQUERIDO_TIPOB,"")))</f>
        <v>40</v>
      </c>
      <c r="T138" s="261">
        <f t="shared" si="110"/>
        <v>8157</v>
      </c>
      <c r="U138" s="261">
        <f t="shared" si="111"/>
        <v>57099</v>
      </c>
      <c r="V138" s="452">
        <f t="shared" si="112"/>
        <v>252</v>
      </c>
      <c r="W138" s="452">
        <f t="shared" si="113"/>
        <v>12.297600000000001</v>
      </c>
      <c r="X138" s="452">
        <f t="shared" si="114"/>
        <v>0.21672403199999998</v>
      </c>
      <c r="Y138" s="452">
        <f t="shared" si="115"/>
        <v>265</v>
      </c>
      <c r="Z138" s="262">
        <f t="shared" si="116"/>
        <v>14388948</v>
      </c>
      <c r="AA138" s="262">
        <f t="shared" si="117"/>
        <v>15131235</v>
      </c>
      <c r="AB138" s="431">
        <f t="shared" si="118"/>
        <v>7</v>
      </c>
      <c r="AC138" s="431">
        <f t="array" ref="AC138">MAX((IF(MNU_CODIGO_ALIMENTO_ENTREGA=CONCATENATE($E138,"_","P_"),MNU_GRAMAJE_REQUERIDO_TIPOC,"")))</f>
        <v>40</v>
      </c>
      <c r="AD138" s="259">
        <f t="shared" si="119"/>
        <v>8769</v>
      </c>
      <c r="AE138" s="259">
        <f t="shared" si="120"/>
        <v>61383</v>
      </c>
      <c r="AF138" s="452">
        <f t="shared" si="121"/>
        <v>252</v>
      </c>
      <c r="AG138" s="452">
        <f t="shared" si="122"/>
        <v>12.297600000000001</v>
      </c>
      <c r="AH138" s="452">
        <f t="shared" si="123"/>
        <v>0.21672403199999998</v>
      </c>
      <c r="AI138" s="452">
        <f t="shared" si="124"/>
        <v>265</v>
      </c>
      <c r="AJ138" s="260">
        <f t="shared" si="125"/>
        <v>15468516</v>
      </c>
      <c r="AK138" s="260">
        <f t="shared" si="126"/>
        <v>16266495</v>
      </c>
      <c r="AL138" s="432">
        <f t="shared" si="127"/>
        <v>7</v>
      </c>
      <c r="AM138" s="432">
        <f t="array" ref="AM138">MAX((IF(MNU_CODIGO_ALIMENTO_ENTREGA=CONCATENATE($E138,"_","P_"),MNU_GRAMAJE_REQUERIDO_TIPOM,"")))</f>
        <v>40</v>
      </c>
      <c r="AN138" s="261">
        <f t="shared" si="128"/>
        <v>0</v>
      </c>
      <c r="AO138" s="261">
        <f t="shared" si="129"/>
        <v>0</v>
      </c>
      <c r="AP138" s="452">
        <f t="shared" si="130"/>
        <v>252</v>
      </c>
      <c r="AQ138" s="452">
        <f t="shared" si="131"/>
        <v>12.297600000000001</v>
      </c>
      <c r="AR138" s="452">
        <f t="shared" si="132"/>
        <v>0.21672403199999998</v>
      </c>
      <c r="AS138" s="452">
        <f t="shared" si="133"/>
        <v>265</v>
      </c>
      <c r="AT138" s="262">
        <f t="shared" si="134"/>
        <v>0</v>
      </c>
      <c r="AU138" s="262">
        <f t="shared" si="135"/>
        <v>0</v>
      </c>
      <c r="AV138" s="431">
        <f t="shared" si="136"/>
        <v>7</v>
      </c>
      <c r="AW138" s="431">
        <f t="array" ref="AW138">MAX((IF(MNU_CODIGO_ALIMENTO_ENTREGA=CONCATENATE($E138,"_","P_"),MNU_GRAMAJE_REQUERIDO_TIPOH,"")))</f>
        <v>40</v>
      </c>
      <c r="AX138" s="259">
        <f t="shared" si="137"/>
        <v>0</v>
      </c>
      <c r="AY138" s="259">
        <f t="shared" si="138"/>
        <v>0</v>
      </c>
      <c r="AZ138" s="452">
        <f t="shared" si="139"/>
        <v>252</v>
      </c>
      <c r="BA138" s="452">
        <f t="shared" si="140"/>
        <v>12.297600000000001</v>
      </c>
      <c r="BB138" s="452">
        <f t="shared" si="141"/>
        <v>0.21672403199999998</v>
      </c>
      <c r="BC138" s="452">
        <f t="shared" si="142"/>
        <v>265</v>
      </c>
      <c r="BD138" s="260">
        <f t="shared" si="143"/>
        <v>0</v>
      </c>
      <c r="BE138" s="260">
        <f t="shared" si="144"/>
        <v>0</v>
      </c>
      <c r="BF138" s="397">
        <f t="shared" si="145"/>
        <v>35332920</v>
      </c>
      <c r="BG138" s="397">
        <f t="shared" si="146"/>
        <v>37133922</v>
      </c>
    </row>
    <row r="139" spans="1:59" ht="15.75">
      <c r="A139" s="338">
        <v>10</v>
      </c>
      <c r="B139" s="338" t="str">
        <f t="shared" si="98"/>
        <v>FRUTA_10</v>
      </c>
      <c r="C139" s="338" t="str">
        <f t="shared" si="99"/>
        <v>42_10</v>
      </c>
      <c r="D139" s="338" t="s">
        <v>1</v>
      </c>
      <c r="E139" s="258">
        <v>42</v>
      </c>
      <c r="F139" s="328" t="s">
        <v>61</v>
      </c>
      <c r="G139" s="258" t="s">
        <v>9</v>
      </c>
      <c r="H139" s="431">
        <f t="shared" si="100"/>
        <v>23</v>
      </c>
      <c r="I139" s="431">
        <f t="array" ref="I139">MAX((IF(MNU_CODIGO_ALIMENTO_ENTREGA=CONCATENATE($E139,"_","P_"),MNU_GRAMAJE_REQUERIDO_TIPOA,"")))</f>
        <v>100</v>
      </c>
      <c r="J139" s="259">
        <f t="shared" si="101"/>
        <v>6208</v>
      </c>
      <c r="K139" s="259">
        <f t="shared" si="102"/>
        <v>142784</v>
      </c>
      <c r="L139" s="452">
        <f t="shared" si="103"/>
        <v>194</v>
      </c>
      <c r="M139" s="452">
        <f t="shared" si="104"/>
        <v>9.4672000000000001</v>
      </c>
      <c r="N139" s="452">
        <f t="shared" si="105"/>
        <v>0.16684310399999999</v>
      </c>
      <c r="O139" s="452">
        <f t="shared" si="106"/>
        <v>204</v>
      </c>
      <c r="P139" s="260">
        <f t="shared" si="107"/>
        <v>27700096</v>
      </c>
      <c r="Q139" s="260">
        <f t="shared" si="108"/>
        <v>29127936</v>
      </c>
      <c r="R139" s="432">
        <f t="shared" si="109"/>
        <v>19</v>
      </c>
      <c r="S139" s="432">
        <f t="array" ref="S139">MAX((IF(MNU_CODIGO_ALIMENTO_ENTREGA=CONCATENATE($E139,"_","P_"),MNU_GRAMAJE_REQUERIDO_TIPOB,"")))</f>
        <v>100</v>
      </c>
      <c r="T139" s="261">
        <f t="shared" si="110"/>
        <v>8157</v>
      </c>
      <c r="U139" s="261">
        <f t="shared" si="111"/>
        <v>154983</v>
      </c>
      <c r="V139" s="452">
        <f t="shared" si="112"/>
        <v>194</v>
      </c>
      <c r="W139" s="452">
        <f t="shared" si="113"/>
        <v>9.4672000000000001</v>
      </c>
      <c r="X139" s="452">
        <f t="shared" si="114"/>
        <v>0.16684310399999999</v>
      </c>
      <c r="Y139" s="452">
        <f t="shared" si="115"/>
        <v>204</v>
      </c>
      <c r="Z139" s="262">
        <f t="shared" si="116"/>
        <v>30066702</v>
      </c>
      <c r="AA139" s="262">
        <f t="shared" si="117"/>
        <v>31616532</v>
      </c>
      <c r="AB139" s="431">
        <f t="shared" si="118"/>
        <v>19</v>
      </c>
      <c r="AC139" s="431">
        <f t="array" ref="AC139">MAX((IF(MNU_CODIGO_ALIMENTO_ENTREGA=CONCATENATE($E139,"_","P_"),MNU_GRAMAJE_REQUERIDO_TIPOC,"")))</f>
        <v>100</v>
      </c>
      <c r="AD139" s="259">
        <f t="shared" si="119"/>
        <v>8769</v>
      </c>
      <c r="AE139" s="259">
        <f t="shared" si="120"/>
        <v>166611</v>
      </c>
      <c r="AF139" s="452">
        <f t="shared" si="121"/>
        <v>194</v>
      </c>
      <c r="AG139" s="452">
        <f t="shared" si="122"/>
        <v>9.4672000000000001</v>
      </c>
      <c r="AH139" s="452">
        <f t="shared" si="123"/>
        <v>0.16684310399999999</v>
      </c>
      <c r="AI139" s="452">
        <f t="shared" si="124"/>
        <v>204</v>
      </c>
      <c r="AJ139" s="260">
        <f t="shared" si="125"/>
        <v>32322534</v>
      </c>
      <c r="AK139" s="260">
        <f t="shared" si="126"/>
        <v>33988644</v>
      </c>
      <c r="AL139" s="432">
        <f t="shared" si="127"/>
        <v>19</v>
      </c>
      <c r="AM139" s="432">
        <f t="array" ref="AM139">MAX((IF(MNU_CODIGO_ALIMENTO_ENTREGA=CONCATENATE($E139,"_","P_"),MNU_GRAMAJE_REQUERIDO_TIPOM,"")))</f>
        <v>100</v>
      </c>
      <c r="AN139" s="261">
        <f t="shared" si="128"/>
        <v>0</v>
      </c>
      <c r="AO139" s="261">
        <f t="shared" si="129"/>
        <v>0</v>
      </c>
      <c r="AP139" s="452">
        <f t="shared" si="130"/>
        <v>194</v>
      </c>
      <c r="AQ139" s="452">
        <f t="shared" si="131"/>
        <v>9.4672000000000001</v>
      </c>
      <c r="AR139" s="452">
        <f t="shared" si="132"/>
        <v>0.16684310399999999</v>
      </c>
      <c r="AS139" s="452">
        <f t="shared" si="133"/>
        <v>204</v>
      </c>
      <c r="AT139" s="262">
        <f t="shared" si="134"/>
        <v>0</v>
      </c>
      <c r="AU139" s="262">
        <f t="shared" si="135"/>
        <v>0</v>
      </c>
      <c r="AV139" s="431">
        <f t="shared" si="136"/>
        <v>19</v>
      </c>
      <c r="AW139" s="431">
        <f t="array" ref="AW139">MAX((IF(MNU_CODIGO_ALIMENTO_ENTREGA=CONCATENATE($E139,"_","P_"),MNU_GRAMAJE_REQUERIDO_TIPOH,"")))</f>
        <v>100</v>
      </c>
      <c r="AX139" s="259">
        <f t="shared" si="137"/>
        <v>0</v>
      </c>
      <c r="AY139" s="259">
        <f t="shared" si="138"/>
        <v>0</v>
      </c>
      <c r="AZ139" s="452">
        <f t="shared" si="139"/>
        <v>194</v>
      </c>
      <c r="BA139" s="452">
        <f t="shared" si="140"/>
        <v>9.4672000000000001</v>
      </c>
      <c r="BB139" s="452">
        <f t="shared" si="141"/>
        <v>0.16684310399999999</v>
      </c>
      <c r="BC139" s="452">
        <f t="shared" si="142"/>
        <v>204</v>
      </c>
      <c r="BD139" s="260">
        <f t="shared" si="143"/>
        <v>0</v>
      </c>
      <c r="BE139" s="260">
        <f t="shared" si="144"/>
        <v>0</v>
      </c>
      <c r="BF139" s="397">
        <f t="shared" si="145"/>
        <v>90089332</v>
      </c>
      <c r="BG139" s="397">
        <f t="shared" si="146"/>
        <v>94733112</v>
      </c>
    </row>
    <row r="140" spans="1:59" ht="15.75">
      <c r="A140" s="338">
        <v>10</v>
      </c>
      <c r="B140" s="338" t="str">
        <f t="shared" si="98"/>
        <v>FRUTA_10</v>
      </c>
      <c r="C140" s="338" t="str">
        <f t="shared" si="99"/>
        <v>43_10</v>
      </c>
      <c r="D140" s="338" t="s">
        <v>1</v>
      </c>
      <c r="E140" s="258">
        <v>43</v>
      </c>
      <c r="F140" s="328" t="s">
        <v>62</v>
      </c>
      <c r="G140" s="258" t="s">
        <v>9</v>
      </c>
      <c r="H140" s="431">
        <f t="shared" si="100"/>
        <v>24</v>
      </c>
      <c r="I140" s="431">
        <f t="array" ref="I140">MAX((IF(MNU_CODIGO_ALIMENTO_ENTREGA=CONCATENATE($E140,"_","P_"),MNU_GRAMAJE_REQUERIDO_TIPOA,"")))</f>
        <v>100</v>
      </c>
      <c r="J140" s="259">
        <f t="shared" si="101"/>
        <v>6208</v>
      </c>
      <c r="K140" s="259">
        <f t="shared" si="102"/>
        <v>148992</v>
      </c>
      <c r="L140" s="452">
        <f t="shared" si="103"/>
        <v>170</v>
      </c>
      <c r="M140" s="452">
        <f t="shared" si="104"/>
        <v>8.2959999999999994</v>
      </c>
      <c r="N140" s="452">
        <f t="shared" si="105"/>
        <v>0.14620272000000001</v>
      </c>
      <c r="O140" s="452">
        <f t="shared" si="106"/>
        <v>178</v>
      </c>
      <c r="P140" s="260">
        <f t="shared" si="107"/>
        <v>25328640</v>
      </c>
      <c r="Q140" s="260">
        <f t="shared" si="108"/>
        <v>26520576</v>
      </c>
      <c r="R140" s="432">
        <f t="shared" si="109"/>
        <v>17</v>
      </c>
      <c r="S140" s="432">
        <f t="array" ref="S140">MAX((IF(MNU_CODIGO_ALIMENTO_ENTREGA=CONCATENATE($E140,"_","P_"),MNU_GRAMAJE_REQUERIDO_TIPOB,"")))</f>
        <v>100</v>
      </c>
      <c r="T140" s="261">
        <f t="shared" si="110"/>
        <v>8157</v>
      </c>
      <c r="U140" s="261">
        <f t="shared" si="111"/>
        <v>138669</v>
      </c>
      <c r="V140" s="452">
        <f t="shared" si="112"/>
        <v>170</v>
      </c>
      <c r="W140" s="452">
        <f t="shared" si="113"/>
        <v>8.2959999999999994</v>
      </c>
      <c r="X140" s="452">
        <f t="shared" si="114"/>
        <v>0.14620272000000001</v>
      </c>
      <c r="Y140" s="452">
        <f t="shared" si="115"/>
        <v>178</v>
      </c>
      <c r="Z140" s="262">
        <f t="shared" si="116"/>
        <v>23573730</v>
      </c>
      <c r="AA140" s="262">
        <f t="shared" si="117"/>
        <v>24683082</v>
      </c>
      <c r="AB140" s="431">
        <f t="shared" si="118"/>
        <v>17</v>
      </c>
      <c r="AC140" s="431">
        <f t="array" ref="AC140">MAX((IF(MNU_CODIGO_ALIMENTO_ENTREGA=CONCATENATE($E140,"_","P_"),MNU_GRAMAJE_REQUERIDO_TIPOC,"")))</f>
        <v>100</v>
      </c>
      <c r="AD140" s="259">
        <f t="shared" si="119"/>
        <v>8769</v>
      </c>
      <c r="AE140" s="259">
        <f t="shared" si="120"/>
        <v>149073</v>
      </c>
      <c r="AF140" s="452">
        <f t="shared" si="121"/>
        <v>170</v>
      </c>
      <c r="AG140" s="452">
        <f t="shared" si="122"/>
        <v>8.2959999999999994</v>
      </c>
      <c r="AH140" s="452">
        <f t="shared" si="123"/>
        <v>0.14620272000000001</v>
      </c>
      <c r="AI140" s="452">
        <f t="shared" si="124"/>
        <v>178</v>
      </c>
      <c r="AJ140" s="260">
        <f t="shared" si="125"/>
        <v>25342410</v>
      </c>
      <c r="AK140" s="260">
        <f t="shared" si="126"/>
        <v>26534994</v>
      </c>
      <c r="AL140" s="432">
        <f t="shared" si="127"/>
        <v>17</v>
      </c>
      <c r="AM140" s="432">
        <f t="array" ref="AM140">MAX((IF(MNU_CODIGO_ALIMENTO_ENTREGA=CONCATENATE($E140,"_","P_"),MNU_GRAMAJE_REQUERIDO_TIPOM,"")))</f>
        <v>100</v>
      </c>
      <c r="AN140" s="261">
        <f t="shared" si="128"/>
        <v>0</v>
      </c>
      <c r="AO140" s="261">
        <f t="shared" si="129"/>
        <v>0</v>
      </c>
      <c r="AP140" s="452">
        <f t="shared" si="130"/>
        <v>170</v>
      </c>
      <c r="AQ140" s="452">
        <f t="shared" si="131"/>
        <v>8.2959999999999994</v>
      </c>
      <c r="AR140" s="452">
        <f t="shared" si="132"/>
        <v>0.14620272000000001</v>
      </c>
      <c r="AS140" s="452">
        <f t="shared" si="133"/>
        <v>178</v>
      </c>
      <c r="AT140" s="262">
        <f t="shared" si="134"/>
        <v>0</v>
      </c>
      <c r="AU140" s="262">
        <f t="shared" si="135"/>
        <v>0</v>
      </c>
      <c r="AV140" s="431">
        <f t="shared" si="136"/>
        <v>17</v>
      </c>
      <c r="AW140" s="431">
        <f t="array" ref="AW140">MAX((IF(MNU_CODIGO_ALIMENTO_ENTREGA=CONCATENATE($E140,"_","P_"),MNU_GRAMAJE_REQUERIDO_TIPOH,"")))</f>
        <v>100</v>
      </c>
      <c r="AX140" s="259">
        <f t="shared" si="137"/>
        <v>0</v>
      </c>
      <c r="AY140" s="259">
        <f t="shared" si="138"/>
        <v>0</v>
      </c>
      <c r="AZ140" s="452">
        <f t="shared" si="139"/>
        <v>170</v>
      </c>
      <c r="BA140" s="452">
        <f t="shared" si="140"/>
        <v>8.2959999999999994</v>
      </c>
      <c r="BB140" s="452">
        <f t="shared" si="141"/>
        <v>0.14620272000000001</v>
      </c>
      <c r="BC140" s="452">
        <f t="shared" si="142"/>
        <v>178</v>
      </c>
      <c r="BD140" s="260">
        <f t="shared" si="143"/>
        <v>0</v>
      </c>
      <c r="BE140" s="260">
        <f t="shared" si="144"/>
        <v>0</v>
      </c>
      <c r="BF140" s="397">
        <f t="shared" si="145"/>
        <v>74244780</v>
      </c>
      <c r="BG140" s="397">
        <f t="shared" si="146"/>
        <v>77738652</v>
      </c>
    </row>
    <row r="141" spans="1:59" ht="15.75">
      <c r="A141" s="338">
        <v>10</v>
      </c>
      <c r="B141" s="338" t="str">
        <f t="shared" si="98"/>
        <v>FRUTA_10</v>
      </c>
      <c r="C141" s="338" t="str">
        <f t="shared" si="99"/>
        <v>46_10</v>
      </c>
      <c r="D141" s="338" t="s">
        <v>1</v>
      </c>
      <c r="E141" s="258">
        <v>46</v>
      </c>
      <c r="F141" s="328" t="s">
        <v>64</v>
      </c>
      <c r="G141" s="258" t="s">
        <v>9</v>
      </c>
      <c r="H141" s="431">
        <f t="shared" si="100"/>
        <v>30</v>
      </c>
      <c r="I141" s="431">
        <f t="array" ref="I141">MAX((IF(MNU_CODIGO_ALIMENTO_ENTREGA=CONCATENATE($E141,"_","P_"),MNU_GRAMAJE_REQUERIDO_TIPOA,"")))</f>
        <v>100</v>
      </c>
      <c r="J141" s="259">
        <f t="shared" si="101"/>
        <v>6208</v>
      </c>
      <c r="K141" s="259">
        <f t="shared" si="102"/>
        <v>186240</v>
      </c>
      <c r="L141" s="452">
        <f t="shared" si="103"/>
        <v>398</v>
      </c>
      <c r="M141" s="452">
        <f t="shared" si="104"/>
        <v>19.4224</v>
      </c>
      <c r="N141" s="452">
        <f t="shared" si="105"/>
        <v>0.34228636800000001</v>
      </c>
      <c r="O141" s="452">
        <f t="shared" si="106"/>
        <v>418</v>
      </c>
      <c r="P141" s="260">
        <f t="shared" si="107"/>
        <v>74123520</v>
      </c>
      <c r="Q141" s="260">
        <f t="shared" si="108"/>
        <v>77848320</v>
      </c>
      <c r="R141" s="432">
        <f t="shared" si="109"/>
        <v>21</v>
      </c>
      <c r="S141" s="432">
        <f t="array" ref="S141">MAX((IF(MNU_CODIGO_ALIMENTO_ENTREGA=CONCATENATE($E141,"_","P_"),MNU_GRAMAJE_REQUERIDO_TIPOB,"")))</f>
        <v>100</v>
      </c>
      <c r="T141" s="261">
        <f t="shared" si="110"/>
        <v>8157</v>
      </c>
      <c r="U141" s="261">
        <f t="shared" si="111"/>
        <v>171297</v>
      </c>
      <c r="V141" s="452">
        <f t="shared" si="112"/>
        <v>398</v>
      </c>
      <c r="W141" s="452">
        <f t="shared" si="113"/>
        <v>19.4224</v>
      </c>
      <c r="X141" s="452">
        <f t="shared" si="114"/>
        <v>0.34228636800000001</v>
      </c>
      <c r="Y141" s="452">
        <f t="shared" si="115"/>
        <v>418</v>
      </c>
      <c r="Z141" s="262">
        <f t="shared" si="116"/>
        <v>68176206</v>
      </c>
      <c r="AA141" s="262">
        <f t="shared" si="117"/>
        <v>71602146</v>
      </c>
      <c r="AB141" s="431">
        <f t="shared" si="118"/>
        <v>21</v>
      </c>
      <c r="AC141" s="431">
        <f t="array" ref="AC141">MAX((IF(MNU_CODIGO_ALIMENTO_ENTREGA=CONCATENATE($E141,"_","P_"),MNU_GRAMAJE_REQUERIDO_TIPOC,"")))</f>
        <v>100</v>
      </c>
      <c r="AD141" s="259">
        <f t="shared" si="119"/>
        <v>8769</v>
      </c>
      <c r="AE141" s="259">
        <f t="shared" si="120"/>
        <v>184149</v>
      </c>
      <c r="AF141" s="452">
        <f t="shared" si="121"/>
        <v>398</v>
      </c>
      <c r="AG141" s="452">
        <f t="shared" si="122"/>
        <v>19.4224</v>
      </c>
      <c r="AH141" s="452">
        <f t="shared" si="123"/>
        <v>0.34228636800000001</v>
      </c>
      <c r="AI141" s="452">
        <f t="shared" si="124"/>
        <v>418</v>
      </c>
      <c r="AJ141" s="260">
        <f t="shared" si="125"/>
        <v>73291302</v>
      </c>
      <c r="AK141" s="260">
        <f t="shared" si="126"/>
        <v>76974282</v>
      </c>
      <c r="AL141" s="432">
        <f t="shared" si="127"/>
        <v>21</v>
      </c>
      <c r="AM141" s="432">
        <f t="array" ref="AM141">MAX((IF(MNU_CODIGO_ALIMENTO_ENTREGA=CONCATENATE($E141,"_","P_"),MNU_GRAMAJE_REQUERIDO_TIPOM,"")))</f>
        <v>100</v>
      </c>
      <c r="AN141" s="261">
        <f t="shared" si="128"/>
        <v>0</v>
      </c>
      <c r="AO141" s="261">
        <f t="shared" si="129"/>
        <v>0</v>
      </c>
      <c r="AP141" s="452">
        <f t="shared" si="130"/>
        <v>398</v>
      </c>
      <c r="AQ141" s="452">
        <f t="shared" si="131"/>
        <v>19.4224</v>
      </c>
      <c r="AR141" s="452">
        <f t="shared" si="132"/>
        <v>0.34228636800000001</v>
      </c>
      <c r="AS141" s="452">
        <f t="shared" si="133"/>
        <v>418</v>
      </c>
      <c r="AT141" s="262">
        <f t="shared" si="134"/>
        <v>0</v>
      </c>
      <c r="AU141" s="262">
        <f t="shared" si="135"/>
        <v>0</v>
      </c>
      <c r="AV141" s="431">
        <f t="shared" si="136"/>
        <v>21</v>
      </c>
      <c r="AW141" s="431">
        <f t="array" ref="AW141">MAX((IF(MNU_CODIGO_ALIMENTO_ENTREGA=CONCATENATE($E141,"_","P_"),MNU_GRAMAJE_REQUERIDO_TIPOH,"")))</f>
        <v>100</v>
      </c>
      <c r="AX141" s="259">
        <f t="shared" si="137"/>
        <v>0</v>
      </c>
      <c r="AY141" s="259">
        <f t="shared" si="138"/>
        <v>0</v>
      </c>
      <c r="AZ141" s="452">
        <f t="shared" si="139"/>
        <v>398</v>
      </c>
      <c r="BA141" s="452">
        <f t="shared" si="140"/>
        <v>19.4224</v>
      </c>
      <c r="BB141" s="452">
        <f t="shared" si="141"/>
        <v>0.34228636800000001</v>
      </c>
      <c r="BC141" s="452">
        <f t="shared" si="142"/>
        <v>418</v>
      </c>
      <c r="BD141" s="260">
        <f t="shared" si="143"/>
        <v>0</v>
      </c>
      <c r="BE141" s="260">
        <f t="shared" si="144"/>
        <v>0</v>
      </c>
      <c r="BF141" s="397">
        <f t="shared" si="145"/>
        <v>215591028</v>
      </c>
      <c r="BG141" s="397">
        <f t="shared" si="146"/>
        <v>226424748</v>
      </c>
    </row>
    <row r="142" spans="1:59" ht="15.75">
      <c r="A142" s="338">
        <v>10</v>
      </c>
      <c r="B142" s="338" t="str">
        <f t="shared" si="98"/>
        <v>FRUTA_10</v>
      </c>
      <c r="C142" s="338" t="str">
        <f t="shared" si="99"/>
        <v>58_10</v>
      </c>
      <c r="D142" s="338" t="s">
        <v>1</v>
      </c>
      <c r="E142" s="258">
        <v>58</v>
      </c>
      <c r="F142" s="328" t="s">
        <v>67</v>
      </c>
      <c r="G142" s="258" t="s">
        <v>9</v>
      </c>
      <c r="H142" s="431">
        <f t="shared" si="100"/>
        <v>24</v>
      </c>
      <c r="I142" s="431">
        <f t="array" ref="I142">MAX((IF(MNU_CODIGO_ALIMENTO_ENTREGA=CONCATENATE($E142,"_","P_"),MNU_GRAMAJE_REQUERIDO_TIPOA,"")))</f>
        <v>100</v>
      </c>
      <c r="J142" s="259">
        <f t="shared" si="101"/>
        <v>6208</v>
      </c>
      <c r="K142" s="259">
        <f t="shared" si="102"/>
        <v>148992</v>
      </c>
      <c r="L142" s="452">
        <f t="shared" si="103"/>
        <v>154</v>
      </c>
      <c r="M142" s="452">
        <f t="shared" si="104"/>
        <v>7.515200000000001</v>
      </c>
      <c r="N142" s="452">
        <f t="shared" si="105"/>
        <v>0.13244246400000001</v>
      </c>
      <c r="O142" s="452">
        <f t="shared" si="106"/>
        <v>162</v>
      </c>
      <c r="P142" s="260">
        <f t="shared" si="107"/>
        <v>22944768</v>
      </c>
      <c r="Q142" s="260">
        <f t="shared" si="108"/>
        <v>24136704</v>
      </c>
      <c r="R142" s="432">
        <f t="shared" si="109"/>
        <v>23</v>
      </c>
      <c r="S142" s="432">
        <f t="array" ref="S142">MAX((IF(MNU_CODIGO_ALIMENTO_ENTREGA=CONCATENATE($E142,"_","P_"),MNU_GRAMAJE_REQUERIDO_TIPOB,"")))</f>
        <v>100</v>
      </c>
      <c r="T142" s="261">
        <f t="shared" si="110"/>
        <v>8157</v>
      </c>
      <c r="U142" s="261">
        <f t="shared" si="111"/>
        <v>187611</v>
      </c>
      <c r="V142" s="452">
        <f t="shared" si="112"/>
        <v>154</v>
      </c>
      <c r="W142" s="452">
        <f t="shared" si="113"/>
        <v>7.515200000000001</v>
      </c>
      <c r="X142" s="452">
        <f t="shared" si="114"/>
        <v>0.13244246400000001</v>
      </c>
      <c r="Y142" s="452">
        <f t="shared" si="115"/>
        <v>162</v>
      </c>
      <c r="Z142" s="262">
        <f t="shared" si="116"/>
        <v>28892094</v>
      </c>
      <c r="AA142" s="262">
        <f t="shared" si="117"/>
        <v>30392982</v>
      </c>
      <c r="AB142" s="431">
        <f t="shared" si="118"/>
        <v>23</v>
      </c>
      <c r="AC142" s="431">
        <f t="array" ref="AC142">MAX((IF(MNU_CODIGO_ALIMENTO_ENTREGA=CONCATENATE($E142,"_","P_"),MNU_GRAMAJE_REQUERIDO_TIPOC,"")))</f>
        <v>100</v>
      </c>
      <c r="AD142" s="259">
        <f t="shared" si="119"/>
        <v>8769</v>
      </c>
      <c r="AE142" s="259">
        <f t="shared" si="120"/>
        <v>201687</v>
      </c>
      <c r="AF142" s="452">
        <f t="shared" si="121"/>
        <v>154</v>
      </c>
      <c r="AG142" s="452">
        <f t="shared" si="122"/>
        <v>7.515200000000001</v>
      </c>
      <c r="AH142" s="452">
        <f t="shared" si="123"/>
        <v>0.13244246400000001</v>
      </c>
      <c r="AI142" s="452">
        <f t="shared" si="124"/>
        <v>162</v>
      </c>
      <c r="AJ142" s="260">
        <f t="shared" si="125"/>
        <v>31059798</v>
      </c>
      <c r="AK142" s="260">
        <f t="shared" si="126"/>
        <v>32673294</v>
      </c>
      <c r="AL142" s="432">
        <f t="shared" si="127"/>
        <v>23</v>
      </c>
      <c r="AM142" s="432">
        <f t="array" ref="AM142">MAX((IF(MNU_CODIGO_ALIMENTO_ENTREGA=CONCATENATE($E142,"_","P_"),MNU_GRAMAJE_REQUERIDO_TIPOM,"")))</f>
        <v>100</v>
      </c>
      <c r="AN142" s="261">
        <f t="shared" si="128"/>
        <v>0</v>
      </c>
      <c r="AO142" s="261">
        <f t="shared" si="129"/>
        <v>0</v>
      </c>
      <c r="AP142" s="452">
        <f t="shared" si="130"/>
        <v>154</v>
      </c>
      <c r="AQ142" s="452">
        <f t="shared" si="131"/>
        <v>7.515200000000001</v>
      </c>
      <c r="AR142" s="452">
        <f t="shared" si="132"/>
        <v>0.13244246400000001</v>
      </c>
      <c r="AS142" s="452">
        <f t="shared" si="133"/>
        <v>162</v>
      </c>
      <c r="AT142" s="262">
        <f t="shared" si="134"/>
        <v>0</v>
      </c>
      <c r="AU142" s="262">
        <f t="shared" si="135"/>
        <v>0</v>
      </c>
      <c r="AV142" s="431">
        <f t="shared" si="136"/>
        <v>23</v>
      </c>
      <c r="AW142" s="431">
        <f t="array" ref="AW142">MAX((IF(MNU_CODIGO_ALIMENTO_ENTREGA=CONCATENATE($E142,"_","P_"),MNU_GRAMAJE_REQUERIDO_TIPOH,"")))</f>
        <v>100</v>
      </c>
      <c r="AX142" s="259">
        <f t="shared" si="137"/>
        <v>0</v>
      </c>
      <c r="AY142" s="259">
        <f t="shared" si="138"/>
        <v>0</v>
      </c>
      <c r="AZ142" s="452">
        <f t="shared" si="139"/>
        <v>154</v>
      </c>
      <c r="BA142" s="452">
        <f t="shared" si="140"/>
        <v>7.515200000000001</v>
      </c>
      <c r="BB142" s="452">
        <f t="shared" si="141"/>
        <v>0.13244246400000001</v>
      </c>
      <c r="BC142" s="452">
        <f t="shared" si="142"/>
        <v>162</v>
      </c>
      <c r="BD142" s="260">
        <f t="shared" si="143"/>
        <v>0</v>
      </c>
      <c r="BE142" s="260">
        <f t="shared" si="144"/>
        <v>0</v>
      </c>
      <c r="BF142" s="397">
        <f t="shared" si="145"/>
        <v>82896660</v>
      </c>
      <c r="BG142" s="397">
        <f t="shared" si="146"/>
        <v>87202980</v>
      </c>
    </row>
    <row r="143" spans="1:59" ht="15.75">
      <c r="A143" s="338">
        <v>10</v>
      </c>
      <c r="B143" s="338" t="str">
        <f t="shared" si="98"/>
        <v>FRUTA_10</v>
      </c>
      <c r="C143" s="338" t="str">
        <f t="shared" si="99"/>
        <v>59_10</v>
      </c>
      <c r="D143" s="338" t="s">
        <v>1</v>
      </c>
      <c r="E143" s="258">
        <v>59</v>
      </c>
      <c r="F143" s="328" t="s">
        <v>99</v>
      </c>
      <c r="G143" s="258" t="s">
        <v>9</v>
      </c>
      <c r="H143" s="431">
        <f t="shared" si="100"/>
        <v>0</v>
      </c>
      <c r="I143" s="431">
        <f t="array" ref="I143">MAX((IF(MNU_CODIGO_ALIMENTO_ENTREGA=CONCATENATE($E143,"_","P_"),MNU_GRAMAJE_REQUERIDO_TIPOA,"")))</f>
        <v>0</v>
      </c>
      <c r="J143" s="259">
        <f t="shared" si="101"/>
        <v>6208</v>
      </c>
      <c r="K143" s="259">
        <f t="shared" si="102"/>
        <v>0</v>
      </c>
      <c r="L143" s="452">
        <f t="shared" si="103"/>
        <v>0</v>
      </c>
      <c r="M143" s="452">
        <f t="shared" si="104"/>
        <v>0</v>
      </c>
      <c r="N143" s="452">
        <f t="shared" si="105"/>
        <v>0</v>
      </c>
      <c r="O143" s="452">
        <f t="shared" si="106"/>
        <v>0</v>
      </c>
      <c r="P143" s="260">
        <f t="shared" si="107"/>
        <v>0</v>
      </c>
      <c r="Q143" s="260">
        <f t="shared" si="108"/>
        <v>0</v>
      </c>
      <c r="R143" s="432">
        <f t="shared" si="109"/>
        <v>8</v>
      </c>
      <c r="S143" s="432">
        <f t="array" ref="S143">MAX((IF(MNU_CODIGO_ALIMENTO_ENTREGA=CONCATENATE($E143,"_","P_"),MNU_GRAMAJE_REQUERIDO_TIPOB,"")))</f>
        <v>100</v>
      </c>
      <c r="T143" s="261">
        <f t="shared" si="110"/>
        <v>8157</v>
      </c>
      <c r="U143" s="261">
        <f t="shared" si="111"/>
        <v>65256</v>
      </c>
      <c r="V143" s="452">
        <f t="shared" si="112"/>
        <v>286</v>
      </c>
      <c r="W143" s="452">
        <f t="shared" si="113"/>
        <v>13.956800000000001</v>
      </c>
      <c r="X143" s="452">
        <f t="shared" si="114"/>
        <v>0.24596457599999999</v>
      </c>
      <c r="Y143" s="452">
        <f t="shared" si="115"/>
        <v>300</v>
      </c>
      <c r="Z143" s="262">
        <f t="shared" si="116"/>
        <v>18663216</v>
      </c>
      <c r="AA143" s="262">
        <f t="shared" si="117"/>
        <v>19576800</v>
      </c>
      <c r="AB143" s="431">
        <f t="shared" si="118"/>
        <v>8</v>
      </c>
      <c r="AC143" s="431">
        <f t="array" ref="AC143">MAX((IF(MNU_CODIGO_ALIMENTO_ENTREGA=CONCATENATE($E143,"_","P_"),MNU_GRAMAJE_REQUERIDO_TIPOC,"")))</f>
        <v>100</v>
      </c>
      <c r="AD143" s="259">
        <f t="shared" si="119"/>
        <v>8769</v>
      </c>
      <c r="AE143" s="259">
        <f t="shared" si="120"/>
        <v>70152</v>
      </c>
      <c r="AF143" s="452">
        <f t="shared" si="121"/>
        <v>286</v>
      </c>
      <c r="AG143" s="452">
        <f t="shared" si="122"/>
        <v>13.956800000000001</v>
      </c>
      <c r="AH143" s="452">
        <f t="shared" si="123"/>
        <v>0.24596457599999999</v>
      </c>
      <c r="AI143" s="452">
        <f t="shared" si="124"/>
        <v>300</v>
      </c>
      <c r="AJ143" s="260">
        <f t="shared" si="125"/>
        <v>20063472</v>
      </c>
      <c r="AK143" s="260">
        <f t="shared" si="126"/>
        <v>21045600</v>
      </c>
      <c r="AL143" s="432">
        <f t="shared" si="127"/>
        <v>8</v>
      </c>
      <c r="AM143" s="432">
        <f t="array" ref="AM143">MAX((IF(MNU_CODIGO_ALIMENTO_ENTREGA=CONCATENATE($E143,"_","P_"),MNU_GRAMAJE_REQUERIDO_TIPOM,"")))</f>
        <v>100</v>
      </c>
      <c r="AN143" s="261">
        <f t="shared" si="128"/>
        <v>0</v>
      </c>
      <c r="AO143" s="261">
        <f t="shared" si="129"/>
        <v>0</v>
      </c>
      <c r="AP143" s="452">
        <f t="shared" si="130"/>
        <v>286</v>
      </c>
      <c r="AQ143" s="452">
        <f t="shared" si="131"/>
        <v>13.956800000000001</v>
      </c>
      <c r="AR143" s="452">
        <f t="shared" si="132"/>
        <v>0.24596457599999999</v>
      </c>
      <c r="AS143" s="452">
        <f t="shared" si="133"/>
        <v>300</v>
      </c>
      <c r="AT143" s="262">
        <f t="shared" si="134"/>
        <v>0</v>
      </c>
      <c r="AU143" s="262">
        <f t="shared" si="135"/>
        <v>0</v>
      </c>
      <c r="AV143" s="431">
        <f t="shared" si="136"/>
        <v>8</v>
      </c>
      <c r="AW143" s="431">
        <f t="array" ref="AW143">MAX((IF(MNU_CODIGO_ALIMENTO_ENTREGA=CONCATENATE($E143,"_","P_"),MNU_GRAMAJE_REQUERIDO_TIPOH,"")))</f>
        <v>100</v>
      </c>
      <c r="AX143" s="259">
        <f t="shared" si="137"/>
        <v>0</v>
      </c>
      <c r="AY143" s="259">
        <f t="shared" si="138"/>
        <v>0</v>
      </c>
      <c r="AZ143" s="452">
        <f t="shared" si="139"/>
        <v>286</v>
      </c>
      <c r="BA143" s="452">
        <f t="shared" si="140"/>
        <v>13.956800000000001</v>
      </c>
      <c r="BB143" s="452">
        <f t="shared" si="141"/>
        <v>0.24596457599999999</v>
      </c>
      <c r="BC143" s="452">
        <f t="shared" si="142"/>
        <v>300</v>
      </c>
      <c r="BD143" s="260">
        <f t="shared" si="143"/>
        <v>0</v>
      </c>
      <c r="BE143" s="260">
        <f t="shared" si="144"/>
        <v>0</v>
      </c>
      <c r="BF143" s="397">
        <f t="shared" si="145"/>
        <v>38726688</v>
      </c>
      <c r="BG143" s="397">
        <f t="shared" si="146"/>
        <v>40622400</v>
      </c>
    </row>
    <row r="144" spans="1:59" ht="15.75">
      <c r="A144" s="338">
        <v>10</v>
      </c>
      <c r="B144" s="338" t="str">
        <f t="shared" si="98"/>
        <v>FRUTA_10</v>
      </c>
      <c r="C144" s="338" t="str">
        <f t="shared" si="99"/>
        <v>69_10</v>
      </c>
      <c r="D144" s="338" t="s">
        <v>1</v>
      </c>
      <c r="E144" s="258">
        <v>69</v>
      </c>
      <c r="F144" s="328" t="s">
        <v>70</v>
      </c>
      <c r="G144" s="258" t="s">
        <v>9</v>
      </c>
      <c r="H144" s="431">
        <f t="shared" si="100"/>
        <v>30</v>
      </c>
      <c r="I144" s="431">
        <f t="array" ref="I144">MAX((IF(MNU_CODIGO_ALIMENTO_ENTREGA=CONCATENATE($E144,"_","P_"),MNU_GRAMAJE_REQUERIDO_TIPOA,"")))</f>
        <v>100</v>
      </c>
      <c r="J144" s="259">
        <f t="shared" si="101"/>
        <v>6208</v>
      </c>
      <c r="K144" s="259">
        <f t="shared" si="102"/>
        <v>186240</v>
      </c>
      <c r="L144" s="452">
        <f t="shared" si="103"/>
        <v>305</v>
      </c>
      <c r="M144" s="452">
        <f t="shared" si="104"/>
        <v>14.884</v>
      </c>
      <c r="N144" s="452">
        <f t="shared" si="105"/>
        <v>0.26230488000000002</v>
      </c>
      <c r="O144" s="452">
        <f t="shared" si="106"/>
        <v>320</v>
      </c>
      <c r="P144" s="260">
        <f t="shared" si="107"/>
        <v>56803200</v>
      </c>
      <c r="Q144" s="260">
        <f t="shared" si="108"/>
        <v>59596800</v>
      </c>
      <c r="R144" s="432">
        <f t="shared" si="109"/>
        <v>16</v>
      </c>
      <c r="S144" s="432">
        <f t="array" ref="S144">MAX((IF(MNU_CODIGO_ALIMENTO_ENTREGA=CONCATENATE($E144,"_","P_"),MNU_GRAMAJE_REQUERIDO_TIPOB,"")))</f>
        <v>100</v>
      </c>
      <c r="T144" s="261">
        <f t="shared" si="110"/>
        <v>8157</v>
      </c>
      <c r="U144" s="261">
        <f t="shared" si="111"/>
        <v>130512</v>
      </c>
      <c r="V144" s="452">
        <f t="shared" si="112"/>
        <v>305</v>
      </c>
      <c r="W144" s="452">
        <f t="shared" si="113"/>
        <v>14.884</v>
      </c>
      <c r="X144" s="452">
        <f t="shared" si="114"/>
        <v>0.26230488000000002</v>
      </c>
      <c r="Y144" s="452">
        <f t="shared" si="115"/>
        <v>320</v>
      </c>
      <c r="Z144" s="262">
        <f t="shared" si="116"/>
        <v>39806160</v>
      </c>
      <c r="AA144" s="262">
        <f t="shared" si="117"/>
        <v>41763840</v>
      </c>
      <c r="AB144" s="431">
        <f t="shared" si="118"/>
        <v>16</v>
      </c>
      <c r="AC144" s="431">
        <f t="array" ref="AC144">MAX((IF(MNU_CODIGO_ALIMENTO_ENTREGA=CONCATENATE($E144,"_","P_"),MNU_GRAMAJE_REQUERIDO_TIPOC,"")))</f>
        <v>100</v>
      </c>
      <c r="AD144" s="259">
        <f t="shared" si="119"/>
        <v>8769</v>
      </c>
      <c r="AE144" s="259">
        <f t="shared" si="120"/>
        <v>140304</v>
      </c>
      <c r="AF144" s="452">
        <f t="shared" si="121"/>
        <v>305</v>
      </c>
      <c r="AG144" s="452">
        <f t="shared" si="122"/>
        <v>14.884</v>
      </c>
      <c r="AH144" s="452">
        <f t="shared" si="123"/>
        <v>0.26230488000000002</v>
      </c>
      <c r="AI144" s="452">
        <f t="shared" si="124"/>
        <v>320</v>
      </c>
      <c r="AJ144" s="260">
        <f t="shared" si="125"/>
        <v>42792720</v>
      </c>
      <c r="AK144" s="260">
        <f t="shared" si="126"/>
        <v>44897280</v>
      </c>
      <c r="AL144" s="432">
        <f t="shared" si="127"/>
        <v>16</v>
      </c>
      <c r="AM144" s="432">
        <f t="array" ref="AM144">MAX((IF(MNU_CODIGO_ALIMENTO_ENTREGA=CONCATENATE($E144,"_","P_"),MNU_GRAMAJE_REQUERIDO_TIPOM,"")))</f>
        <v>100</v>
      </c>
      <c r="AN144" s="261">
        <f t="shared" si="128"/>
        <v>0</v>
      </c>
      <c r="AO144" s="261">
        <f t="shared" si="129"/>
        <v>0</v>
      </c>
      <c r="AP144" s="452">
        <f t="shared" si="130"/>
        <v>305</v>
      </c>
      <c r="AQ144" s="452">
        <f t="shared" si="131"/>
        <v>14.884</v>
      </c>
      <c r="AR144" s="452">
        <f t="shared" si="132"/>
        <v>0.26230488000000002</v>
      </c>
      <c r="AS144" s="452">
        <f t="shared" si="133"/>
        <v>320</v>
      </c>
      <c r="AT144" s="262">
        <f t="shared" si="134"/>
        <v>0</v>
      </c>
      <c r="AU144" s="262">
        <f t="shared" si="135"/>
        <v>0</v>
      </c>
      <c r="AV144" s="431">
        <f t="shared" si="136"/>
        <v>16</v>
      </c>
      <c r="AW144" s="431">
        <f t="array" ref="AW144">MAX((IF(MNU_CODIGO_ALIMENTO_ENTREGA=CONCATENATE($E144,"_","P_"),MNU_GRAMAJE_REQUERIDO_TIPOH,"")))</f>
        <v>100</v>
      </c>
      <c r="AX144" s="259">
        <f t="shared" si="137"/>
        <v>0</v>
      </c>
      <c r="AY144" s="259">
        <f t="shared" si="138"/>
        <v>0</v>
      </c>
      <c r="AZ144" s="452">
        <f t="shared" si="139"/>
        <v>305</v>
      </c>
      <c r="BA144" s="452">
        <f t="shared" si="140"/>
        <v>14.884</v>
      </c>
      <c r="BB144" s="452">
        <f t="shared" si="141"/>
        <v>0.26230488000000002</v>
      </c>
      <c r="BC144" s="452">
        <f t="shared" si="142"/>
        <v>320</v>
      </c>
      <c r="BD144" s="260">
        <f t="shared" si="143"/>
        <v>0</v>
      </c>
      <c r="BE144" s="260">
        <f t="shared" si="144"/>
        <v>0</v>
      </c>
      <c r="BF144" s="397">
        <f t="shared" si="145"/>
        <v>139402080</v>
      </c>
      <c r="BG144" s="397">
        <f t="shared" si="146"/>
        <v>146257920</v>
      </c>
    </row>
    <row r="145" spans="1:59" ht="15.75">
      <c r="A145" s="338">
        <v>10</v>
      </c>
      <c r="B145" s="338" t="str">
        <f t="shared" si="98"/>
        <v>FRUTA_10</v>
      </c>
      <c r="C145" s="338" t="str">
        <f t="shared" si="99"/>
        <v>70_10</v>
      </c>
      <c r="D145" s="338" t="s">
        <v>1</v>
      </c>
      <c r="E145" s="258">
        <v>70</v>
      </c>
      <c r="F145" s="328" t="s">
        <v>71</v>
      </c>
      <c r="G145" s="258" t="s">
        <v>9</v>
      </c>
      <c r="H145" s="431">
        <f t="shared" si="100"/>
        <v>0</v>
      </c>
      <c r="I145" s="431">
        <f t="array" ref="I145">MAX((IF(MNU_CODIGO_ALIMENTO_ENTREGA=CONCATENATE($E145,"_","P_"),MNU_GRAMAJE_REQUERIDO_TIPOA,"")))</f>
        <v>0</v>
      </c>
      <c r="J145" s="259">
        <f t="shared" si="101"/>
        <v>6208</v>
      </c>
      <c r="K145" s="259">
        <f t="shared" si="102"/>
        <v>0</v>
      </c>
      <c r="L145" s="452">
        <f t="shared" si="103"/>
        <v>0</v>
      </c>
      <c r="M145" s="452">
        <f t="shared" si="104"/>
        <v>0</v>
      </c>
      <c r="N145" s="452">
        <f t="shared" si="105"/>
        <v>0</v>
      </c>
      <c r="O145" s="452">
        <f t="shared" si="106"/>
        <v>0</v>
      </c>
      <c r="P145" s="260">
        <f t="shared" si="107"/>
        <v>0</v>
      </c>
      <c r="Q145" s="260">
        <f t="shared" si="108"/>
        <v>0</v>
      </c>
      <c r="R145" s="432">
        <f t="shared" si="109"/>
        <v>10</v>
      </c>
      <c r="S145" s="432">
        <f t="array" ref="S145">MAX((IF(MNU_CODIGO_ALIMENTO_ENTREGA=CONCATENATE($E145,"_","P_"),MNU_GRAMAJE_REQUERIDO_TIPOB,"")))</f>
        <v>100</v>
      </c>
      <c r="T145" s="261">
        <f t="shared" si="110"/>
        <v>8157</v>
      </c>
      <c r="U145" s="261">
        <f t="shared" si="111"/>
        <v>81570</v>
      </c>
      <c r="V145" s="452">
        <f t="shared" si="112"/>
        <v>434</v>
      </c>
      <c r="W145" s="452">
        <f t="shared" si="113"/>
        <v>21.179200000000002</v>
      </c>
      <c r="X145" s="452">
        <f t="shared" si="114"/>
        <v>0.37324694399999997</v>
      </c>
      <c r="Y145" s="452">
        <f t="shared" si="115"/>
        <v>456</v>
      </c>
      <c r="Z145" s="262">
        <f t="shared" si="116"/>
        <v>35401380</v>
      </c>
      <c r="AA145" s="262">
        <f t="shared" si="117"/>
        <v>37195920</v>
      </c>
      <c r="AB145" s="431">
        <f t="shared" si="118"/>
        <v>10</v>
      </c>
      <c r="AC145" s="431">
        <f t="array" ref="AC145">MAX((IF(MNU_CODIGO_ALIMENTO_ENTREGA=CONCATENATE($E145,"_","P_"),MNU_GRAMAJE_REQUERIDO_TIPOC,"")))</f>
        <v>100</v>
      </c>
      <c r="AD145" s="259">
        <f t="shared" si="119"/>
        <v>8769</v>
      </c>
      <c r="AE145" s="259">
        <f t="shared" si="120"/>
        <v>87690</v>
      </c>
      <c r="AF145" s="452">
        <f t="shared" si="121"/>
        <v>434</v>
      </c>
      <c r="AG145" s="452">
        <f t="shared" si="122"/>
        <v>21.179200000000002</v>
      </c>
      <c r="AH145" s="452">
        <f t="shared" si="123"/>
        <v>0.37324694399999997</v>
      </c>
      <c r="AI145" s="452">
        <f t="shared" si="124"/>
        <v>456</v>
      </c>
      <c r="AJ145" s="260">
        <f t="shared" si="125"/>
        <v>38057460</v>
      </c>
      <c r="AK145" s="260">
        <f t="shared" si="126"/>
        <v>39986640</v>
      </c>
      <c r="AL145" s="432">
        <f t="shared" si="127"/>
        <v>10</v>
      </c>
      <c r="AM145" s="432">
        <f t="array" ref="AM145">MAX((IF(MNU_CODIGO_ALIMENTO_ENTREGA=CONCATENATE($E145,"_","P_"),MNU_GRAMAJE_REQUERIDO_TIPOM,"")))</f>
        <v>100</v>
      </c>
      <c r="AN145" s="261">
        <f t="shared" si="128"/>
        <v>0</v>
      </c>
      <c r="AO145" s="261">
        <f t="shared" si="129"/>
        <v>0</v>
      </c>
      <c r="AP145" s="452">
        <f t="shared" si="130"/>
        <v>434</v>
      </c>
      <c r="AQ145" s="452">
        <f t="shared" si="131"/>
        <v>21.179200000000002</v>
      </c>
      <c r="AR145" s="452">
        <f t="shared" si="132"/>
        <v>0.37324694399999997</v>
      </c>
      <c r="AS145" s="452">
        <f t="shared" si="133"/>
        <v>456</v>
      </c>
      <c r="AT145" s="262">
        <f t="shared" si="134"/>
        <v>0</v>
      </c>
      <c r="AU145" s="262">
        <f t="shared" si="135"/>
        <v>0</v>
      </c>
      <c r="AV145" s="431">
        <f t="shared" si="136"/>
        <v>10</v>
      </c>
      <c r="AW145" s="431">
        <f t="array" ref="AW145">MAX((IF(MNU_CODIGO_ALIMENTO_ENTREGA=CONCATENATE($E145,"_","P_"),MNU_GRAMAJE_REQUERIDO_TIPOH,"")))</f>
        <v>100</v>
      </c>
      <c r="AX145" s="259">
        <f t="shared" si="137"/>
        <v>0</v>
      </c>
      <c r="AY145" s="259">
        <f t="shared" si="138"/>
        <v>0</v>
      </c>
      <c r="AZ145" s="452">
        <f t="shared" si="139"/>
        <v>434</v>
      </c>
      <c r="BA145" s="452">
        <f t="shared" si="140"/>
        <v>21.179200000000002</v>
      </c>
      <c r="BB145" s="452">
        <f t="shared" si="141"/>
        <v>0.37324694399999997</v>
      </c>
      <c r="BC145" s="452">
        <f t="shared" si="142"/>
        <v>456</v>
      </c>
      <c r="BD145" s="260">
        <f t="shared" si="143"/>
        <v>0</v>
      </c>
      <c r="BE145" s="260">
        <f t="shared" si="144"/>
        <v>0</v>
      </c>
      <c r="BF145" s="397">
        <f t="shared" si="145"/>
        <v>73458840</v>
      </c>
      <c r="BG145" s="397">
        <f t="shared" si="146"/>
        <v>77182560</v>
      </c>
    </row>
    <row r="146" spans="1:59" ht="15.75">
      <c r="A146" s="338">
        <v>11</v>
      </c>
      <c r="B146" s="338" t="str">
        <f t="shared" si="98"/>
        <v>FRUTA_11</v>
      </c>
      <c r="C146" s="338" t="str">
        <f t="shared" si="99"/>
        <v>7_11</v>
      </c>
      <c r="D146" s="338" t="s">
        <v>1</v>
      </c>
      <c r="E146" s="258">
        <v>7</v>
      </c>
      <c r="F146" s="328" t="s">
        <v>57</v>
      </c>
      <c r="G146" s="258" t="s">
        <v>9</v>
      </c>
      <c r="H146" s="431">
        <f t="shared" si="100"/>
        <v>22</v>
      </c>
      <c r="I146" s="431">
        <f t="array" ref="I146">MAX((IF(MNU_CODIGO_ALIMENTO_ENTREGA=CONCATENATE($E146,"_","P_"),MNU_GRAMAJE_REQUERIDO_TIPOA,"")))</f>
        <v>100</v>
      </c>
      <c r="J146" s="259">
        <f t="shared" si="101"/>
        <v>6321</v>
      </c>
      <c r="K146" s="259">
        <f t="shared" si="102"/>
        <v>139062</v>
      </c>
      <c r="L146" s="452">
        <f t="shared" si="103"/>
        <v>107</v>
      </c>
      <c r="M146" s="452">
        <f t="shared" si="104"/>
        <v>5.2216000000000005</v>
      </c>
      <c r="N146" s="452">
        <f t="shared" si="105"/>
        <v>9.2021712000000006E-2</v>
      </c>
      <c r="O146" s="452">
        <f t="shared" si="106"/>
        <v>112</v>
      </c>
      <c r="P146" s="260">
        <f t="shared" si="107"/>
        <v>14879634</v>
      </c>
      <c r="Q146" s="260">
        <f t="shared" si="108"/>
        <v>15574944</v>
      </c>
      <c r="R146" s="432">
        <f t="shared" si="109"/>
        <v>9</v>
      </c>
      <c r="S146" s="432">
        <f t="array" ref="S146">MAX((IF(MNU_CODIGO_ALIMENTO_ENTREGA=CONCATENATE($E146,"_","P_"),MNU_GRAMAJE_REQUERIDO_TIPOB,"")))</f>
        <v>100</v>
      </c>
      <c r="T146" s="261">
        <f t="shared" si="110"/>
        <v>8861</v>
      </c>
      <c r="U146" s="261">
        <f t="shared" si="111"/>
        <v>79749</v>
      </c>
      <c r="V146" s="452">
        <f t="shared" si="112"/>
        <v>107</v>
      </c>
      <c r="W146" s="452">
        <f t="shared" si="113"/>
        <v>5.2216000000000005</v>
      </c>
      <c r="X146" s="452">
        <f t="shared" si="114"/>
        <v>9.2021712000000006E-2</v>
      </c>
      <c r="Y146" s="452">
        <f t="shared" si="115"/>
        <v>112</v>
      </c>
      <c r="Z146" s="262">
        <f t="shared" si="116"/>
        <v>8533143</v>
      </c>
      <c r="AA146" s="262">
        <f t="shared" si="117"/>
        <v>8931888</v>
      </c>
      <c r="AB146" s="431">
        <f t="shared" si="118"/>
        <v>9</v>
      </c>
      <c r="AC146" s="431">
        <f t="array" ref="AC146">MAX((IF(MNU_CODIGO_ALIMENTO_ENTREGA=CONCATENATE($E146,"_","P_"),MNU_GRAMAJE_REQUERIDO_TIPOC,"")))</f>
        <v>100</v>
      </c>
      <c r="AD146" s="259">
        <f t="shared" si="119"/>
        <v>9307</v>
      </c>
      <c r="AE146" s="259">
        <f t="shared" si="120"/>
        <v>83763</v>
      </c>
      <c r="AF146" s="452">
        <f t="shared" si="121"/>
        <v>107</v>
      </c>
      <c r="AG146" s="452">
        <f t="shared" si="122"/>
        <v>5.2216000000000005</v>
      </c>
      <c r="AH146" s="452">
        <f t="shared" si="123"/>
        <v>9.2021712000000006E-2</v>
      </c>
      <c r="AI146" s="452">
        <f t="shared" si="124"/>
        <v>112</v>
      </c>
      <c r="AJ146" s="260">
        <f t="shared" si="125"/>
        <v>8962641</v>
      </c>
      <c r="AK146" s="260">
        <f t="shared" si="126"/>
        <v>9381456</v>
      </c>
      <c r="AL146" s="432">
        <f t="shared" si="127"/>
        <v>9</v>
      </c>
      <c r="AM146" s="432">
        <f t="array" ref="AM146">MAX((IF(MNU_CODIGO_ALIMENTO_ENTREGA=CONCATENATE($E146,"_","P_"),MNU_GRAMAJE_REQUERIDO_TIPOM,"")))</f>
        <v>100</v>
      </c>
      <c r="AN146" s="261">
        <f t="shared" si="128"/>
        <v>526</v>
      </c>
      <c r="AO146" s="261">
        <f t="shared" si="129"/>
        <v>4734</v>
      </c>
      <c r="AP146" s="452">
        <f t="shared" si="130"/>
        <v>107</v>
      </c>
      <c r="AQ146" s="452">
        <f t="shared" si="131"/>
        <v>5.2216000000000005</v>
      </c>
      <c r="AR146" s="452">
        <f t="shared" si="132"/>
        <v>9.2021712000000006E-2</v>
      </c>
      <c r="AS146" s="452">
        <f t="shared" si="133"/>
        <v>112</v>
      </c>
      <c r="AT146" s="262">
        <f t="shared" si="134"/>
        <v>506538</v>
      </c>
      <c r="AU146" s="262">
        <f t="shared" si="135"/>
        <v>530208</v>
      </c>
      <c r="AV146" s="431">
        <f t="shared" si="136"/>
        <v>9</v>
      </c>
      <c r="AW146" s="431">
        <f t="array" ref="AW146">MAX((IF(MNU_CODIGO_ALIMENTO_ENTREGA=CONCATENATE($E146,"_","P_"),MNU_GRAMAJE_REQUERIDO_TIPOH,"")))</f>
        <v>100</v>
      </c>
      <c r="AX146" s="259">
        <f t="shared" si="137"/>
        <v>566</v>
      </c>
      <c r="AY146" s="259">
        <f t="shared" si="138"/>
        <v>5094</v>
      </c>
      <c r="AZ146" s="452">
        <f t="shared" si="139"/>
        <v>107</v>
      </c>
      <c r="BA146" s="452">
        <f t="shared" si="140"/>
        <v>5.2216000000000005</v>
      </c>
      <c r="BB146" s="452">
        <f t="shared" si="141"/>
        <v>9.2021712000000006E-2</v>
      </c>
      <c r="BC146" s="452">
        <f t="shared" si="142"/>
        <v>112</v>
      </c>
      <c r="BD146" s="260">
        <f t="shared" si="143"/>
        <v>545058</v>
      </c>
      <c r="BE146" s="260">
        <f t="shared" si="144"/>
        <v>570528</v>
      </c>
      <c r="BF146" s="397">
        <f t="shared" si="145"/>
        <v>33427014</v>
      </c>
      <c r="BG146" s="397">
        <f t="shared" si="146"/>
        <v>34989024</v>
      </c>
    </row>
    <row r="147" spans="1:59" ht="15.75">
      <c r="A147" s="338">
        <v>11</v>
      </c>
      <c r="B147" s="338" t="str">
        <f t="shared" si="98"/>
        <v>FRUTA_11</v>
      </c>
      <c r="C147" s="338" t="str">
        <f t="shared" si="99"/>
        <v>8_11</v>
      </c>
      <c r="D147" s="338" t="s">
        <v>1</v>
      </c>
      <c r="E147" s="258">
        <v>8</v>
      </c>
      <c r="F147" s="328" t="s">
        <v>55</v>
      </c>
      <c r="G147" s="258" t="s">
        <v>9</v>
      </c>
      <c r="H147" s="431">
        <f t="shared" si="100"/>
        <v>10</v>
      </c>
      <c r="I147" s="431">
        <f t="array" ref="I147">MAX((IF(MNU_CODIGO_ALIMENTO_ENTREGA=CONCATENATE($E147,"_","P_"),MNU_GRAMAJE_REQUERIDO_TIPOA,"")))</f>
        <v>100</v>
      </c>
      <c r="J147" s="259">
        <f t="shared" si="101"/>
        <v>6321</v>
      </c>
      <c r="K147" s="259">
        <f t="shared" si="102"/>
        <v>63210</v>
      </c>
      <c r="L147" s="452">
        <f t="shared" si="103"/>
        <v>134</v>
      </c>
      <c r="M147" s="452">
        <f t="shared" si="104"/>
        <v>6.539200000000001</v>
      </c>
      <c r="N147" s="452">
        <f t="shared" si="105"/>
        <v>0.115242144</v>
      </c>
      <c r="O147" s="452">
        <f t="shared" si="106"/>
        <v>141</v>
      </c>
      <c r="P147" s="260">
        <f t="shared" si="107"/>
        <v>8470140</v>
      </c>
      <c r="Q147" s="260">
        <f t="shared" si="108"/>
        <v>8912610</v>
      </c>
      <c r="R147" s="432">
        <f t="shared" si="109"/>
        <v>8</v>
      </c>
      <c r="S147" s="432">
        <f t="array" ref="S147">MAX((IF(MNU_CODIGO_ALIMENTO_ENTREGA=CONCATENATE($E147,"_","P_"),MNU_GRAMAJE_REQUERIDO_TIPOB,"")))</f>
        <v>100</v>
      </c>
      <c r="T147" s="261">
        <f t="shared" si="110"/>
        <v>8861</v>
      </c>
      <c r="U147" s="261">
        <f t="shared" si="111"/>
        <v>70888</v>
      </c>
      <c r="V147" s="452">
        <f t="shared" si="112"/>
        <v>134</v>
      </c>
      <c r="W147" s="452">
        <f t="shared" si="113"/>
        <v>6.539200000000001</v>
      </c>
      <c r="X147" s="452">
        <f t="shared" si="114"/>
        <v>0.115242144</v>
      </c>
      <c r="Y147" s="452">
        <f t="shared" si="115"/>
        <v>141</v>
      </c>
      <c r="Z147" s="262">
        <f t="shared" si="116"/>
        <v>9498992</v>
      </c>
      <c r="AA147" s="262">
        <f t="shared" si="117"/>
        <v>9995208</v>
      </c>
      <c r="AB147" s="431">
        <f t="shared" si="118"/>
        <v>8</v>
      </c>
      <c r="AC147" s="431">
        <f t="array" ref="AC147">MAX((IF(MNU_CODIGO_ALIMENTO_ENTREGA=CONCATENATE($E147,"_","P_"),MNU_GRAMAJE_REQUERIDO_TIPOC,"")))</f>
        <v>100</v>
      </c>
      <c r="AD147" s="259">
        <f t="shared" si="119"/>
        <v>9307</v>
      </c>
      <c r="AE147" s="259">
        <f t="shared" si="120"/>
        <v>74456</v>
      </c>
      <c r="AF147" s="452">
        <f t="shared" si="121"/>
        <v>134</v>
      </c>
      <c r="AG147" s="452">
        <f t="shared" si="122"/>
        <v>6.539200000000001</v>
      </c>
      <c r="AH147" s="452">
        <f t="shared" si="123"/>
        <v>0.115242144</v>
      </c>
      <c r="AI147" s="452">
        <f t="shared" si="124"/>
        <v>141</v>
      </c>
      <c r="AJ147" s="260">
        <f t="shared" si="125"/>
        <v>9977104</v>
      </c>
      <c r="AK147" s="260">
        <f t="shared" si="126"/>
        <v>10498296</v>
      </c>
      <c r="AL147" s="432">
        <f t="shared" si="127"/>
        <v>8</v>
      </c>
      <c r="AM147" s="432">
        <f t="array" ref="AM147">MAX((IF(MNU_CODIGO_ALIMENTO_ENTREGA=CONCATENATE($E147,"_","P_"),MNU_GRAMAJE_REQUERIDO_TIPOM,"")))</f>
        <v>100</v>
      </c>
      <c r="AN147" s="261">
        <f t="shared" si="128"/>
        <v>526</v>
      </c>
      <c r="AO147" s="261">
        <f t="shared" si="129"/>
        <v>4208</v>
      </c>
      <c r="AP147" s="452">
        <f t="shared" si="130"/>
        <v>134</v>
      </c>
      <c r="AQ147" s="452">
        <f t="shared" si="131"/>
        <v>6.539200000000001</v>
      </c>
      <c r="AR147" s="452">
        <f t="shared" si="132"/>
        <v>0.115242144</v>
      </c>
      <c r="AS147" s="452">
        <f t="shared" si="133"/>
        <v>141</v>
      </c>
      <c r="AT147" s="262">
        <f t="shared" si="134"/>
        <v>563872</v>
      </c>
      <c r="AU147" s="262">
        <f t="shared" si="135"/>
        <v>593328</v>
      </c>
      <c r="AV147" s="431">
        <f t="shared" si="136"/>
        <v>8</v>
      </c>
      <c r="AW147" s="431">
        <f t="array" ref="AW147">MAX((IF(MNU_CODIGO_ALIMENTO_ENTREGA=CONCATENATE($E147,"_","P_"),MNU_GRAMAJE_REQUERIDO_TIPOH,"")))</f>
        <v>100</v>
      </c>
      <c r="AX147" s="259">
        <f t="shared" si="137"/>
        <v>566</v>
      </c>
      <c r="AY147" s="259">
        <f t="shared" si="138"/>
        <v>4528</v>
      </c>
      <c r="AZ147" s="452">
        <f t="shared" si="139"/>
        <v>134</v>
      </c>
      <c r="BA147" s="452">
        <f t="shared" si="140"/>
        <v>6.539200000000001</v>
      </c>
      <c r="BB147" s="452">
        <f t="shared" si="141"/>
        <v>0.115242144</v>
      </c>
      <c r="BC147" s="452">
        <f t="shared" si="142"/>
        <v>141</v>
      </c>
      <c r="BD147" s="260">
        <f t="shared" si="143"/>
        <v>606752</v>
      </c>
      <c r="BE147" s="260">
        <f t="shared" si="144"/>
        <v>638448</v>
      </c>
      <c r="BF147" s="397">
        <f t="shared" si="145"/>
        <v>29116860</v>
      </c>
      <c r="BG147" s="397">
        <f t="shared" si="146"/>
        <v>30637890</v>
      </c>
    </row>
    <row r="148" spans="1:59" ht="15.75">
      <c r="A148" s="338">
        <v>11</v>
      </c>
      <c r="B148" s="338" t="str">
        <f t="shared" si="98"/>
        <v>FRUTA_11</v>
      </c>
      <c r="C148" s="338" t="str">
        <f t="shared" si="99"/>
        <v>17_11</v>
      </c>
      <c r="D148" s="338" t="s">
        <v>1</v>
      </c>
      <c r="E148" s="258">
        <v>17</v>
      </c>
      <c r="F148" s="328" t="s">
        <v>53</v>
      </c>
      <c r="G148" s="258" t="s">
        <v>9</v>
      </c>
      <c r="H148" s="431">
        <f t="shared" si="100"/>
        <v>0</v>
      </c>
      <c r="I148" s="431">
        <f t="array" ref="I148">MAX((IF(MNU_CODIGO_ALIMENTO_ENTREGA=CONCATENATE($E148,"_","P_"),MNU_GRAMAJE_REQUERIDO_TIPOA,"")))</f>
        <v>0</v>
      </c>
      <c r="J148" s="259">
        <f t="shared" si="101"/>
        <v>6321</v>
      </c>
      <c r="K148" s="259">
        <f t="shared" si="102"/>
        <v>0</v>
      </c>
      <c r="L148" s="452">
        <f t="shared" si="103"/>
        <v>0</v>
      </c>
      <c r="M148" s="452">
        <f t="shared" si="104"/>
        <v>0</v>
      </c>
      <c r="N148" s="452">
        <f t="shared" si="105"/>
        <v>0</v>
      </c>
      <c r="O148" s="452">
        <f t="shared" si="106"/>
        <v>0</v>
      </c>
      <c r="P148" s="260">
        <f t="shared" si="107"/>
        <v>0</v>
      </c>
      <c r="Q148" s="260">
        <f t="shared" si="108"/>
        <v>0</v>
      </c>
      <c r="R148" s="432">
        <f t="shared" si="109"/>
        <v>21</v>
      </c>
      <c r="S148" s="432">
        <f t="array" ref="S148">MAX((IF(MNU_CODIGO_ALIMENTO_ENTREGA=CONCATENATE($E148,"_","P_"),MNU_GRAMAJE_REQUERIDO_TIPOB,"")))</f>
        <v>100</v>
      </c>
      <c r="T148" s="261">
        <f t="shared" si="110"/>
        <v>8861</v>
      </c>
      <c r="U148" s="261">
        <f t="shared" si="111"/>
        <v>186081</v>
      </c>
      <c r="V148" s="452">
        <f t="shared" si="112"/>
        <v>226</v>
      </c>
      <c r="W148" s="452">
        <f t="shared" si="113"/>
        <v>11.0288</v>
      </c>
      <c r="X148" s="452">
        <f t="shared" si="114"/>
        <v>0.19436361600000002</v>
      </c>
      <c r="Y148" s="452">
        <f t="shared" si="115"/>
        <v>237</v>
      </c>
      <c r="Z148" s="262">
        <f t="shared" si="116"/>
        <v>42054306</v>
      </c>
      <c r="AA148" s="262">
        <f t="shared" si="117"/>
        <v>44101197</v>
      </c>
      <c r="AB148" s="431">
        <f t="shared" si="118"/>
        <v>21</v>
      </c>
      <c r="AC148" s="431">
        <f t="array" ref="AC148">MAX((IF(MNU_CODIGO_ALIMENTO_ENTREGA=CONCATENATE($E148,"_","P_"),MNU_GRAMAJE_REQUERIDO_TIPOC,"")))</f>
        <v>100</v>
      </c>
      <c r="AD148" s="259">
        <f t="shared" si="119"/>
        <v>9307</v>
      </c>
      <c r="AE148" s="259">
        <f t="shared" si="120"/>
        <v>195447</v>
      </c>
      <c r="AF148" s="452">
        <f t="shared" si="121"/>
        <v>226</v>
      </c>
      <c r="AG148" s="452">
        <f t="shared" si="122"/>
        <v>11.0288</v>
      </c>
      <c r="AH148" s="452">
        <f t="shared" si="123"/>
        <v>0.19436361600000002</v>
      </c>
      <c r="AI148" s="452">
        <f t="shared" si="124"/>
        <v>237</v>
      </c>
      <c r="AJ148" s="260">
        <f t="shared" si="125"/>
        <v>44171022</v>
      </c>
      <c r="AK148" s="260">
        <f t="shared" si="126"/>
        <v>46320939</v>
      </c>
      <c r="AL148" s="432">
        <f t="shared" si="127"/>
        <v>21</v>
      </c>
      <c r="AM148" s="432">
        <f t="array" ref="AM148">MAX((IF(MNU_CODIGO_ALIMENTO_ENTREGA=CONCATENATE($E148,"_","P_"),MNU_GRAMAJE_REQUERIDO_TIPOM,"")))</f>
        <v>100</v>
      </c>
      <c r="AN148" s="261">
        <f t="shared" si="128"/>
        <v>526</v>
      </c>
      <c r="AO148" s="261">
        <f t="shared" si="129"/>
        <v>11046</v>
      </c>
      <c r="AP148" s="452">
        <f t="shared" si="130"/>
        <v>226</v>
      </c>
      <c r="AQ148" s="452">
        <f t="shared" si="131"/>
        <v>11.0288</v>
      </c>
      <c r="AR148" s="452">
        <f t="shared" si="132"/>
        <v>0.19436361600000002</v>
      </c>
      <c r="AS148" s="452">
        <f t="shared" si="133"/>
        <v>237</v>
      </c>
      <c r="AT148" s="262">
        <f t="shared" si="134"/>
        <v>2496396</v>
      </c>
      <c r="AU148" s="262">
        <f t="shared" si="135"/>
        <v>2617902</v>
      </c>
      <c r="AV148" s="431">
        <f t="shared" si="136"/>
        <v>21</v>
      </c>
      <c r="AW148" s="431">
        <f t="array" ref="AW148">MAX((IF(MNU_CODIGO_ALIMENTO_ENTREGA=CONCATENATE($E148,"_","P_"),MNU_GRAMAJE_REQUERIDO_TIPOH,"")))</f>
        <v>100</v>
      </c>
      <c r="AX148" s="259">
        <f t="shared" si="137"/>
        <v>566</v>
      </c>
      <c r="AY148" s="259">
        <f t="shared" si="138"/>
        <v>11886</v>
      </c>
      <c r="AZ148" s="452">
        <f t="shared" si="139"/>
        <v>226</v>
      </c>
      <c r="BA148" s="452">
        <f t="shared" si="140"/>
        <v>11.0288</v>
      </c>
      <c r="BB148" s="452">
        <f t="shared" si="141"/>
        <v>0.19436361600000002</v>
      </c>
      <c r="BC148" s="452">
        <f t="shared" si="142"/>
        <v>237</v>
      </c>
      <c r="BD148" s="260">
        <f t="shared" si="143"/>
        <v>2686236</v>
      </c>
      <c r="BE148" s="260">
        <f t="shared" si="144"/>
        <v>2816982</v>
      </c>
      <c r="BF148" s="397">
        <f t="shared" si="145"/>
        <v>91407960</v>
      </c>
      <c r="BG148" s="397">
        <f t="shared" si="146"/>
        <v>95857020</v>
      </c>
    </row>
    <row r="149" spans="1:59" ht="15.75">
      <c r="A149" s="338">
        <v>11</v>
      </c>
      <c r="B149" s="338" t="str">
        <f t="shared" si="98"/>
        <v>FRUTA_11</v>
      </c>
      <c r="C149" s="338" t="str">
        <f t="shared" si="99"/>
        <v>22_11</v>
      </c>
      <c r="D149" s="338" t="s">
        <v>1</v>
      </c>
      <c r="E149" s="258">
        <v>22</v>
      </c>
      <c r="F149" s="328" t="s">
        <v>51</v>
      </c>
      <c r="G149" s="258" t="s">
        <v>9</v>
      </c>
      <c r="H149" s="431">
        <f t="shared" si="100"/>
        <v>0</v>
      </c>
      <c r="I149" s="431">
        <f t="array" ref="I149">MAX((IF(MNU_CODIGO_ALIMENTO_ENTREGA=CONCATENATE($E149,"_","P_"),MNU_GRAMAJE_REQUERIDO_TIPOA,"")))</f>
        <v>0</v>
      </c>
      <c r="J149" s="259">
        <f t="shared" si="101"/>
        <v>6321</v>
      </c>
      <c r="K149" s="259">
        <f t="shared" si="102"/>
        <v>0</v>
      </c>
      <c r="L149" s="452">
        <f t="shared" si="103"/>
        <v>0</v>
      </c>
      <c r="M149" s="452">
        <f t="shared" si="104"/>
        <v>0</v>
      </c>
      <c r="N149" s="452">
        <f t="shared" si="105"/>
        <v>0</v>
      </c>
      <c r="O149" s="452">
        <f t="shared" si="106"/>
        <v>0</v>
      </c>
      <c r="P149" s="260">
        <f t="shared" si="107"/>
        <v>0</v>
      </c>
      <c r="Q149" s="260">
        <f t="shared" si="108"/>
        <v>0</v>
      </c>
      <c r="R149" s="432">
        <f t="shared" si="109"/>
        <v>20</v>
      </c>
      <c r="S149" s="432">
        <f t="array" ref="S149">MAX((IF(MNU_CODIGO_ALIMENTO_ENTREGA=CONCATENATE($E149,"_","P_"),MNU_GRAMAJE_REQUERIDO_TIPOB,"")))</f>
        <v>100</v>
      </c>
      <c r="T149" s="261">
        <f t="shared" si="110"/>
        <v>8861</v>
      </c>
      <c r="U149" s="261">
        <f t="shared" si="111"/>
        <v>177220</v>
      </c>
      <c r="V149" s="452">
        <f t="shared" si="112"/>
        <v>525</v>
      </c>
      <c r="W149" s="452">
        <f t="shared" si="113"/>
        <v>25.62</v>
      </c>
      <c r="X149" s="452">
        <f t="shared" si="114"/>
        <v>0.45150840000000003</v>
      </c>
      <c r="Y149" s="452">
        <f t="shared" si="115"/>
        <v>551</v>
      </c>
      <c r="Z149" s="262">
        <f t="shared" si="116"/>
        <v>93040500</v>
      </c>
      <c r="AA149" s="262">
        <f t="shared" si="117"/>
        <v>97648220</v>
      </c>
      <c r="AB149" s="431">
        <f t="shared" si="118"/>
        <v>20</v>
      </c>
      <c r="AC149" s="431">
        <f t="array" ref="AC149">MAX((IF(MNU_CODIGO_ALIMENTO_ENTREGA=CONCATENATE($E149,"_","P_"),MNU_GRAMAJE_REQUERIDO_TIPOC,"")))</f>
        <v>100</v>
      </c>
      <c r="AD149" s="259">
        <f t="shared" si="119"/>
        <v>9307</v>
      </c>
      <c r="AE149" s="259">
        <f t="shared" si="120"/>
        <v>186140</v>
      </c>
      <c r="AF149" s="452">
        <f t="shared" si="121"/>
        <v>525</v>
      </c>
      <c r="AG149" s="452">
        <f t="shared" si="122"/>
        <v>25.62</v>
      </c>
      <c r="AH149" s="452">
        <f t="shared" si="123"/>
        <v>0.45150840000000003</v>
      </c>
      <c r="AI149" s="452">
        <f t="shared" si="124"/>
        <v>551</v>
      </c>
      <c r="AJ149" s="260">
        <f t="shared" si="125"/>
        <v>97723500</v>
      </c>
      <c r="AK149" s="260">
        <f t="shared" si="126"/>
        <v>102563140</v>
      </c>
      <c r="AL149" s="432">
        <f t="shared" si="127"/>
        <v>20</v>
      </c>
      <c r="AM149" s="432">
        <f t="array" ref="AM149">MAX((IF(MNU_CODIGO_ALIMENTO_ENTREGA=CONCATENATE($E149,"_","P_"),MNU_GRAMAJE_REQUERIDO_TIPOM,"")))</f>
        <v>100</v>
      </c>
      <c r="AN149" s="261">
        <f t="shared" si="128"/>
        <v>526</v>
      </c>
      <c r="AO149" s="261">
        <f t="shared" si="129"/>
        <v>10520</v>
      </c>
      <c r="AP149" s="452">
        <f t="shared" si="130"/>
        <v>525</v>
      </c>
      <c r="AQ149" s="452">
        <f t="shared" si="131"/>
        <v>25.62</v>
      </c>
      <c r="AR149" s="452">
        <f t="shared" si="132"/>
        <v>0.45150840000000003</v>
      </c>
      <c r="AS149" s="452">
        <f t="shared" si="133"/>
        <v>551</v>
      </c>
      <c r="AT149" s="262">
        <f t="shared" si="134"/>
        <v>5523000</v>
      </c>
      <c r="AU149" s="262">
        <f t="shared" si="135"/>
        <v>5796520</v>
      </c>
      <c r="AV149" s="431">
        <f t="shared" si="136"/>
        <v>20</v>
      </c>
      <c r="AW149" s="431">
        <f t="array" ref="AW149">MAX((IF(MNU_CODIGO_ALIMENTO_ENTREGA=CONCATENATE($E149,"_","P_"),MNU_GRAMAJE_REQUERIDO_TIPOH,"")))</f>
        <v>100</v>
      </c>
      <c r="AX149" s="259">
        <f t="shared" si="137"/>
        <v>566</v>
      </c>
      <c r="AY149" s="259">
        <f t="shared" si="138"/>
        <v>11320</v>
      </c>
      <c r="AZ149" s="452">
        <f t="shared" si="139"/>
        <v>525</v>
      </c>
      <c r="BA149" s="452">
        <f t="shared" si="140"/>
        <v>25.62</v>
      </c>
      <c r="BB149" s="452">
        <f t="shared" si="141"/>
        <v>0.45150840000000003</v>
      </c>
      <c r="BC149" s="452">
        <f t="shared" si="142"/>
        <v>551</v>
      </c>
      <c r="BD149" s="260">
        <f t="shared" si="143"/>
        <v>5943000</v>
      </c>
      <c r="BE149" s="260">
        <f t="shared" si="144"/>
        <v>6237320</v>
      </c>
      <c r="BF149" s="397">
        <f t="shared" si="145"/>
        <v>202230000</v>
      </c>
      <c r="BG149" s="397">
        <f t="shared" si="146"/>
        <v>212245200</v>
      </c>
    </row>
    <row r="150" spans="1:59" ht="15.75">
      <c r="A150" s="338">
        <v>11</v>
      </c>
      <c r="B150" s="338" t="str">
        <f t="shared" si="98"/>
        <v>FRUTA_11</v>
      </c>
      <c r="C150" s="338" t="str">
        <f t="shared" si="99"/>
        <v>33_11</v>
      </c>
      <c r="D150" s="338" t="s">
        <v>1</v>
      </c>
      <c r="E150" s="258">
        <v>33</v>
      </c>
      <c r="F150" s="328" t="s">
        <v>59</v>
      </c>
      <c r="G150" s="258" t="s">
        <v>48</v>
      </c>
      <c r="H150" s="431">
        <f t="shared" si="100"/>
        <v>27</v>
      </c>
      <c r="I150" s="431">
        <v>1</v>
      </c>
      <c r="J150" s="259">
        <f t="shared" si="101"/>
        <v>6321</v>
      </c>
      <c r="K150" s="259">
        <f t="shared" si="102"/>
        <v>170667</v>
      </c>
      <c r="L150" s="452">
        <f t="shared" si="103"/>
        <v>270</v>
      </c>
      <c r="M150" s="452">
        <f t="shared" si="104"/>
        <v>13.176000000000002</v>
      </c>
      <c r="N150" s="452">
        <f t="shared" si="105"/>
        <v>0.23220432000000002</v>
      </c>
      <c r="O150" s="452">
        <f t="shared" si="106"/>
        <v>283</v>
      </c>
      <c r="P150" s="260">
        <f t="shared" si="107"/>
        <v>46080090</v>
      </c>
      <c r="Q150" s="260">
        <f t="shared" si="108"/>
        <v>48298761</v>
      </c>
      <c r="R150" s="432">
        <f t="shared" si="109"/>
        <v>18</v>
      </c>
      <c r="S150" s="432">
        <v>1</v>
      </c>
      <c r="T150" s="261">
        <f t="shared" si="110"/>
        <v>8861</v>
      </c>
      <c r="U150" s="261">
        <f t="shared" si="111"/>
        <v>159498</v>
      </c>
      <c r="V150" s="452">
        <f t="shared" si="112"/>
        <v>270</v>
      </c>
      <c r="W150" s="452">
        <f t="shared" si="113"/>
        <v>13.176000000000002</v>
      </c>
      <c r="X150" s="452">
        <f t="shared" si="114"/>
        <v>0.23220432000000002</v>
      </c>
      <c r="Y150" s="452">
        <f t="shared" si="115"/>
        <v>283</v>
      </c>
      <c r="Z150" s="262">
        <f t="shared" si="116"/>
        <v>43064460</v>
      </c>
      <c r="AA150" s="262">
        <f t="shared" si="117"/>
        <v>45137934</v>
      </c>
      <c r="AB150" s="431">
        <f t="shared" si="118"/>
        <v>18</v>
      </c>
      <c r="AC150" s="431">
        <v>1</v>
      </c>
      <c r="AD150" s="259">
        <f t="shared" si="119"/>
        <v>9307</v>
      </c>
      <c r="AE150" s="259">
        <f t="shared" si="120"/>
        <v>167526</v>
      </c>
      <c r="AF150" s="452">
        <f t="shared" si="121"/>
        <v>270</v>
      </c>
      <c r="AG150" s="452">
        <f t="shared" si="122"/>
        <v>13.176000000000002</v>
      </c>
      <c r="AH150" s="452">
        <f t="shared" si="123"/>
        <v>0.23220432000000002</v>
      </c>
      <c r="AI150" s="452">
        <f t="shared" si="124"/>
        <v>283</v>
      </c>
      <c r="AJ150" s="260">
        <f t="shared" si="125"/>
        <v>45232020</v>
      </c>
      <c r="AK150" s="260">
        <f t="shared" si="126"/>
        <v>47409858</v>
      </c>
      <c r="AL150" s="432">
        <f t="shared" si="127"/>
        <v>18</v>
      </c>
      <c r="AM150" s="432">
        <v>1</v>
      </c>
      <c r="AN150" s="261">
        <f t="shared" si="128"/>
        <v>526</v>
      </c>
      <c r="AO150" s="261">
        <f t="shared" si="129"/>
        <v>9468</v>
      </c>
      <c r="AP150" s="452">
        <f t="shared" si="130"/>
        <v>270</v>
      </c>
      <c r="AQ150" s="452">
        <f t="shared" si="131"/>
        <v>13.176000000000002</v>
      </c>
      <c r="AR150" s="452">
        <f t="shared" si="132"/>
        <v>0.23220432000000002</v>
      </c>
      <c r="AS150" s="452">
        <f t="shared" si="133"/>
        <v>283</v>
      </c>
      <c r="AT150" s="262">
        <f t="shared" si="134"/>
        <v>2556360</v>
      </c>
      <c r="AU150" s="262">
        <f t="shared" si="135"/>
        <v>2679444</v>
      </c>
      <c r="AV150" s="431">
        <f t="shared" si="136"/>
        <v>18</v>
      </c>
      <c r="AW150" s="431">
        <v>1</v>
      </c>
      <c r="AX150" s="259">
        <f t="shared" si="137"/>
        <v>566</v>
      </c>
      <c r="AY150" s="259">
        <f t="shared" si="138"/>
        <v>10188</v>
      </c>
      <c r="AZ150" s="452">
        <f t="shared" si="139"/>
        <v>270</v>
      </c>
      <c r="BA150" s="452">
        <f t="shared" si="140"/>
        <v>13.176000000000002</v>
      </c>
      <c r="BB150" s="452">
        <f t="shared" si="141"/>
        <v>0.23220432000000002</v>
      </c>
      <c r="BC150" s="452">
        <f t="shared" si="142"/>
        <v>283</v>
      </c>
      <c r="BD150" s="260">
        <f t="shared" si="143"/>
        <v>2750760</v>
      </c>
      <c r="BE150" s="260">
        <f t="shared" si="144"/>
        <v>2883204</v>
      </c>
      <c r="BF150" s="397">
        <f t="shared" si="145"/>
        <v>139683690</v>
      </c>
      <c r="BG150" s="397">
        <f t="shared" si="146"/>
        <v>146409201</v>
      </c>
    </row>
    <row r="151" spans="1:59" ht="15.75">
      <c r="A151" s="338">
        <v>11</v>
      </c>
      <c r="B151" s="338" t="str">
        <f t="shared" si="98"/>
        <v>FRUTA_11</v>
      </c>
      <c r="C151" s="338" t="str">
        <f t="shared" si="99"/>
        <v>36_11</v>
      </c>
      <c r="D151" s="338" t="s">
        <v>1</v>
      </c>
      <c r="E151" s="258">
        <v>36</v>
      </c>
      <c r="F151" s="328" t="s">
        <v>1340</v>
      </c>
      <c r="G151" s="258" t="s">
        <v>9</v>
      </c>
      <c r="H151" s="431">
        <f t="shared" si="100"/>
        <v>7</v>
      </c>
      <c r="I151" s="431">
        <f t="array" ref="I151">MAX((IF(MNU_CODIGO_ALIMENTO_ENTREGA=CONCATENATE($E151,"_","P_"),MNU_GRAMAJE_REQUERIDO_TIPOA,"")))</f>
        <v>20</v>
      </c>
      <c r="J151" s="259">
        <f t="shared" si="101"/>
        <v>6321</v>
      </c>
      <c r="K151" s="259">
        <f t="shared" si="102"/>
        <v>44247</v>
      </c>
      <c r="L151" s="452">
        <f t="shared" si="103"/>
        <v>126</v>
      </c>
      <c r="M151" s="452">
        <f t="shared" si="104"/>
        <v>6.1488000000000005</v>
      </c>
      <c r="N151" s="452">
        <f t="shared" si="105"/>
        <v>0.10836201599999999</v>
      </c>
      <c r="O151" s="452">
        <f t="shared" si="106"/>
        <v>132</v>
      </c>
      <c r="P151" s="260">
        <f t="shared" si="107"/>
        <v>5575122</v>
      </c>
      <c r="Q151" s="260">
        <f t="shared" si="108"/>
        <v>5840604</v>
      </c>
      <c r="R151" s="432">
        <f t="shared" si="109"/>
        <v>7</v>
      </c>
      <c r="S151" s="432">
        <f t="array" ref="S151">MAX((IF(MNU_CODIGO_ALIMENTO_ENTREGA=CONCATENATE($E151,"_","P_"),MNU_GRAMAJE_REQUERIDO_TIPOB,"")))</f>
        <v>40</v>
      </c>
      <c r="T151" s="261">
        <f t="shared" si="110"/>
        <v>8861</v>
      </c>
      <c r="U151" s="261">
        <f t="shared" si="111"/>
        <v>62027</v>
      </c>
      <c r="V151" s="452">
        <f t="shared" si="112"/>
        <v>252</v>
      </c>
      <c r="W151" s="452">
        <f t="shared" si="113"/>
        <v>12.297600000000001</v>
      </c>
      <c r="X151" s="452">
        <f t="shared" si="114"/>
        <v>0.21672403199999998</v>
      </c>
      <c r="Y151" s="452">
        <f t="shared" si="115"/>
        <v>265</v>
      </c>
      <c r="Z151" s="262">
        <f t="shared" si="116"/>
        <v>15630804</v>
      </c>
      <c r="AA151" s="262">
        <f t="shared" si="117"/>
        <v>16437155</v>
      </c>
      <c r="AB151" s="431">
        <f t="shared" si="118"/>
        <v>7</v>
      </c>
      <c r="AC151" s="431">
        <f t="array" ref="AC151">MAX((IF(MNU_CODIGO_ALIMENTO_ENTREGA=CONCATENATE($E151,"_","P_"),MNU_GRAMAJE_REQUERIDO_TIPOC,"")))</f>
        <v>40</v>
      </c>
      <c r="AD151" s="259">
        <f t="shared" si="119"/>
        <v>9307</v>
      </c>
      <c r="AE151" s="259">
        <f t="shared" si="120"/>
        <v>65149</v>
      </c>
      <c r="AF151" s="452">
        <f t="shared" si="121"/>
        <v>252</v>
      </c>
      <c r="AG151" s="452">
        <f t="shared" si="122"/>
        <v>12.297600000000001</v>
      </c>
      <c r="AH151" s="452">
        <f t="shared" si="123"/>
        <v>0.21672403199999998</v>
      </c>
      <c r="AI151" s="452">
        <f t="shared" si="124"/>
        <v>265</v>
      </c>
      <c r="AJ151" s="260">
        <f t="shared" si="125"/>
        <v>16417548</v>
      </c>
      <c r="AK151" s="260">
        <f t="shared" si="126"/>
        <v>17264485</v>
      </c>
      <c r="AL151" s="432">
        <f t="shared" si="127"/>
        <v>7</v>
      </c>
      <c r="AM151" s="432">
        <f t="array" ref="AM151">MAX((IF(MNU_CODIGO_ALIMENTO_ENTREGA=CONCATENATE($E151,"_","P_"),MNU_GRAMAJE_REQUERIDO_TIPOM,"")))</f>
        <v>40</v>
      </c>
      <c r="AN151" s="261">
        <f t="shared" si="128"/>
        <v>526</v>
      </c>
      <c r="AO151" s="261">
        <f t="shared" si="129"/>
        <v>3682</v>
      </c>
      <c r="AP151" s="452">
        <f t="shared" si="130"/>
        <v>252</v>
      </c>
      <c r="AQ151" s="452">
        <f t="shared" si="131"/>
        <v>12.297600000000001</v>
      </c>
      <c r="AR151" s="452">
        <f t="shared" si="132"/>
        <v>0.21672403199999998</v>
      </c>
      <c r="AS151" s="452">
        <f t="shared" si="133"/>
        <v>265</v>
      </c>
      <c r="AT151" s="262">
        <f t="shared" si="134"/>
        <v>927864</v>
      </c>
      <c r="AU151" s="262">
        <f t="shared" si="135"/>
        <v>975730</v>
      </c>
      <c r="AV151" s="431">
        <f t="shared" si="136"/>
        <v>7</v>
      </c>
      <c r="AW151" s="431">
        <f t="array" ref="AW151">MAX((IF(MNU_CODIGO_ALIMENTO_ENTREGA=CONCATENATE($E151,"_","P_"),MNU_GRAMAJE_REQUERIDO_TIPOH,"")))</f>
        <v>40</v>
      </c>
      <c r="AX151" s="259">
        <f t="shared" si="137"/>
        <v>566</v>
      </c>
      <c r="AY151" s="259">
        <f t="shared" si="138"/>
        <v>3962</v>
      </c>
      <c r="AZ151" s="452">
        <f t="shared" si="139"/>
        <v>252</v>
      </c>
      <c r="BA151" s="452">
        <f t="shared" si="140"/>
        <v>12.297600000000001</v>
      </c>
      <c r="BB151" s="452">
        <f t="shared" si="141"/>
        <v>0.21672403199999998</v>
      </c>
      <c r="BC151" s="452">
        <f t="shared" si="142"/>
        <v>265</v>
      </c>
      <c r="BD151" s="260">
        <f t="shared" si="143"/>
        <v>998424</v>
      </c>
      <c r="BE151" s="260">
        <f t="shared" si="144"/>
        <v>1049930</v>
      </c>
      <c r="BF151" s="397">
        <f t="shared" si="145"/>
        <v>39549762</v>
      </c>
      <c r="BG151" s="397">
        <f t="shared" si="146"/>
        <v>41567904</v>
      </c>
    </row>
    <row r="152" spans="1:59" ht="15.75">
      <c r="A152" s="338">
        <v>11</v>
      </c>
      <c r="B152" s="338" t="str">
        <f t="shared" si="98"/>
        <v>FRUTA_11</v>
      </c>
      <c r="C152" s="338" t="str">
        <f t="shared" si="99"/>
        <v>42_11</v>
      </c>
      <c r="D152" s="338" t="s">
        <v>1</v>
      </c>
      <c r="E152" s="258">
        <v>42</v>
      </c>
      <c r="F152" s="328" t="s">
        <v>61</v>
      </c>
      <c r="G152" s="258" t="s">
        <v>9</v>
      </c>
      <c r="H152" s="431">
        <f t="shared" si="100"/>
        <v>23</v>
      </c>
      <c r="I152" s="431">
        <f t="array" ref="I152">MAX((IF(MNU_CODIGO_ALIMENTO_ENTREGA=CONCATENATE($E152,"_","P_"),MNU_GRAMAJE_REQUERIDO_TIPOA,"")))</f>
        <v>100</v>
      </c>
      <c r="J152" s="259">
        <f t="shared" si="101"/>
        <v>6321</v>
      </c>
      <c r="K152" s="259">
        <f t="shared" si="102"/>
        <v>145383</v>
      </c>
      <c r="L152" s="452">
        <f t="shared" si="103"/>
        <v>194</v>
      </c>
      <c r="M152" s="452">
        <f t="shared" si="104"/>
        <v>9.4672000000000001</v>
      </c>
      <c r="N152" s="452">
        <f t="shared" si="105"/>
        <v>0.16684310399999999</v>
      </c>
      <c r="O152" s="452">
        <f t="shared" si="106"/>
        <v>204</v>
      </c>
      <c r="P152" s="260">
        <f t="shared" si="107"/>
        <v>28204302</v>
      </c>
      <c r="Q152" s="260">
        <f t="shared" si="108"/>
        <v>29658132</v>
      </c>
      <c r="R152" s="432">
        <f t="shared" si="109"/>
        <v>19</v>
      </c>
      <c r="S152" s="432">
        <f t="array" ref="S152">MAX((IF(MNU_CODIGO_ALIMENTO_ENTREGA=CONCATENATE($E152,"_","P_"),MNU_GRAMAJE_REQUERIDO_TIPOB,"")))</f>
        <v>100</v>
      </c>
      <c r="T152" s="261">
        <f t="shared" si="110"/>
        <v>8861</v>
      </c>
      <c r="U152" s="261">
        <f t="shared" si="111"/>
        <v>168359</v>
      </c>
      <c r="V152" s="452">
        <f t="shared" si="112"/>
        <v>194</v>
      </c>
      <c r="W152" s="452">
        <f t="shared" si="113"/>
        <v>9.4672000000000001</v>
      </c>
      <c r="X152" s="452">
        <f t="shared" si="114"/>
        <v>0.16684310399999999</v>
      </c>
      <c r="Y152" s="452">
        <f t="shared" si="115"/>
        <v>204</v>
      </c>
      <c r="Z152" s="262">
        <f t="shared" si="116"/>
        <v>32661646</v>
      </c>
      <c r="AA152" s="262">
        <f t="shared" si="117"/>
        <v>34345236</v>
      </c>
      <c r="AB152" s="431">
        <f t="shared" si="118"/>
        <v>19</v>
      </c>
      <c r="AC152" s="431">
        <f t="array" ref="AC152">MAX((IF(MNU_CODIGO_ALIMENTO_ENTREGA=CONCATENATE($E152,"_","P_"),MNU_GRAMAJE_REQUERIDO_TIPOC,"")))</f>
        <v>100</v>
      </c>
      <c r="AD152" s="259">
        <f t="shared" si="119"/>
        <v>9307</v>
      </c>
      <c r="AE152" s="259">
        <f t="shared" si="120"/>
        <v>176833</v>
      </c>
      <c r="AF152" s="452">
        <f t="shared" si="121"/>
        <v>194</v>
      </c>
      <c r="AG152" s="452">
        <f t="shared" si="122"/>
        <v>9.4672000000000001</v>
      </c>
      <c r="AH152" s="452">
        <f t="shared" si="123"/>
        <v>0.16684310399999999</v>
      </c>
      <c r="AI152" s="452">
        <f t="shared" si="124"/>
        <v>204</v>
      </c>
      <c r="AJ152" s="260">
        <f t="shared" si="125"/>
        <v>34305602</v>
      </c>
      <c r="AK152" s="260">
        <f t="shared" si="126"/>
        <v>36073932</v>
      </c>
      <c r="AL152" s="432">
        <f t="shared" si="127"/>
        <v>19</v>
      </c>
      <c r="AM152" s="432">
        <f t="array" ref="AM152">MAX((IF(MNU_CODIGO_ALIMENTO_ENTREGA=CONCATENATE($E152,"_","P_"),MNU_GRAMAJE_REQUERIDO_TIPOM,"")))</f>
        <v>100</v>
      </c>
      <c r="AN152" s="261">
        <f t="shared" si="128"/>
        <v>526</v>
      </c>
      <c r="AO152" s="261">
        <f t="shared" si="129"/>
        <v>9994</v>
      </c>
      <c r="AP152" s="452">
        <f t="shared" si="130"/>
        <v>194</v>
      </c>
      <c r="AQ152" s="452">
        <f t="shared" si="131"/>
        <v>9.4672000000000001</v>
      </c>
      <c r="AR152" s="452">
        <f t="shared" si="132"/>
        <v>0.16684310399999999</v>
      </c>
      <c r="AS152" s="452">
        <f t="shared" si="133"/>
        <v>204</v>
      </c>
      <c r="AT152" s="262">
        <f t="shared" si="134"/>
        <v>1938836</v>
      </c>
      <c r="AU152" s="262">
        <f t="shared" si="135"/>
        <v>2038776</v>
      </c>
      <c r="AV152" s="431">
        <f t="shared" si="136"/>
        <v>19</v>
      </c>
      <c r="AW152" s="431">
        <f t="array" ref="AW152">MAX((IF(MNU_CODIGO_ALIMENTO_ENTREGA=CONCATENATE($E152,"_","P_"),MNU_GRAMAJE_REQUERIDO_TIPOH,"")))</f>
        <v>100</v>
      </c>
      <c r="AX152" s="259">
        <f t="shared" si="137"/>
        <v>566</v>
      </c>
      <c r="AY152" s="259">
        <f t="shared" si="138"/>
        <v>10754</v>
      </c>
      <c r="AZ152" s="452">
        <f t="shared" si="139"/>
        <v>194</v>
      </c>
      <c r="BA152" s="452">
        <f t="shared" si="140"/>
        <v>9.4672000000000001</v>
      </c>
      <c r="BB152" s="452">
        <f t="shared" si="141"/>
        <v>0.16684310399999999</v>
      </c>
      <c r="BC152" s="452">
        <f t="shared" si="142"/>
        <v>204</v>
      </c>
      <c r="BD152" s="260">
        <f t="shared" si="143"/>
        <v>2086276</v>
      </c>
      <c r="BE152" s="260">
        <f t="shared" si="144"/>
        <v>2193816</v>
      </c>
      <c r="BF152" s="397">
        <f t="shared" si="145"/>
        <v>99196662</v>
      </c>
      <c r="BG152" s="397">
        <f t="shared" si="146"/>
        <v>104309892</v>
      </c>
    </row>
    <row r="153" spans="1:59" ht="15.75">
      <c r="A153" s="338">
        <v>11</v>
      </c>
      <c r="B153" s="338" t="str">
        <f t="shared" si="98"/>
        <v>FRUTA_11</v>
      </c>
      <c r="C153" s="338" t="str">
        <f t="shared" si="99"/>
        <v>43_11</v>
      </c>
      <c r="D153" s="338" t="s">
        <v>1</v>
      </c>
      <c r="E153" s="258">
        <v>43</v>
      </c>
      <c r="F153" s="328" t="s">
        <v>62</v>
      </c>
      <c r="G153" s="258" t="s">
        <v>9</v>
      </c>
      <c r="H153" s="431">
        <f t="shared" si="100"/>
        <v>24</v>
      </c>
      <c r="I153" s="431">
        <f t="array" ref="I153">MAX((IF(MNU_CODIGO_ALIMENTO_ENTREGA=CONCATENATE($E153,"_","P_"),MNU_GRAMAJE_REQUERIDO_TIPOA,"")))</f>
        <v>100</v>
      </c>
      <c r="J153" s="259">
        <f t="shared" si="101"/>
        <v>6321</v>
      </c>
      <c r="K153" s="259">
        <f t="shared" si="102"/>
        <v>151704</v>
      </c>
      <c r="L153" s="452">
        <f t="shared" si="103"/>
        <v>170</v>
      </c>
      <c r="M153" s="452">
        <f t="shared" si="104"/>
        <v>8.2959999999999994</v>
      </c>
      <c r="N153" s="452">
        <f t="shared" si="105"/>
        <v>0.14620272000000001</v>
      </c>
      <c r="O153" s="452">
        <f t="shared" si="106"/>
        <v>178</v>
      </c>
      <c r="P153" s="260">
        <f t="shared" si="107"/>
        <v>25789680</v>
      </c>
      <c r="Q153" s="260">
        <f t="shared" si="108"/>
        <v>27003312</v>
      </c>
      <c r="R153" s="432">
        <f t="shared" si="109"/>
        <v>17</v>
      </c>
      <c r="S153" s="432">
        <f t="array" ref="S153">MAX((IF(MNU_CODIGO_ALIMENTO_ENTREGA=CONCATENATE($E153,"_","P_"),MNU_GRAMAJE_REQUERIDO_TIPOB,"")))</f>
        <v>100</v>
      </c>
      <c r="T153" s="261">
        <f t="shared" si="110"/>
        <v>8861</v>
      </c>
      <c r="U153" s="261">
        <f t="shared" si="111"/>
        <v>150637</v>
      </c>
      <c r="V153" s="452">
        <f t="shared" si="112"/>
        <v>170</v>
      </c>
      <c r="W153" s="452">
        <f t="shared" si="113"/>
        <v>8.2959999999999994</v>
      </c>
      <c r="X153" s="452">
        <f t="shared" si="114"/>
        <v>0.14620272000000001</v>
      </c>
      <c r="Y153" s="452">
        <f t="shared" si="115"/>
        <v>178</v>
      </c>
      <c r="Z153" s="262">
        <f t="shared" si="116"/>
        <v>25608290</v>
      </c>
      <c r="AA153" s="262">
        <f t="shared" si="117"/>
        <v>26813386</v>
      </c>
      <c r="AB153" s="431">
        <f t="shared" si="118"/>
        <v>17</v>
      </c>
      <c r="AC153" s="431">
        <f t="array" ref="AC153">MAX((IF(MNU_CODIGO_ALIMENTO_ENTREGA=CONCATENATE($E153,"_","P_"),MNU_GRAMAJE_REQUERIDO_TIPOC,"")))</f>
        <v>100</v>
      </c>
      <c r="AD153" s="259">
        <f t="shared" si="119"/>
        <v>9307</v>
      </c>
      <c r="AE153" s="259">
        <f t="shared" si="120"/>
        <v>158219</v>
      </c>
      <c r="AF153" s="452">
        <f t="shared" si="121"/>
        <v>170</v>
      </c>
      <c r="AG153" s="452">
        <f t="shared" si="122"/>
        <v>8.2959999999999994</v>
      </c>
      <c r="AH153" s="452">
        <f t="shared" si="123"/>
        <v>0.14620272000000001</v>
      </c>
      <c r="AI153" s="452">
        <f t="shared" si="124"/>
        <v>178</v>
      </c>
      <c r="AJ153" s="260">
        <f t="shared" si="125"/>
        <v>26897230</v>
      </c>
      <c r="AK153" s="260">
        <f t="shared" si="126"/>
        <v>28162982</v>
      </c>
      <c r="AL153" s="432">
        <f t="shared" si="127"/>
        <v>17</v>
      </c>
      <c r="AM153" s="432">
        <f t="array" ref="AM153">MAX((IF(MNU_CODIGO_ALIMENTO_ENTREGA=CONCATENATE($E153,"_","P_"),MNU_GRAMAJE_REQUERIDO_TIPOM,"")))</f>
        <v>100</v>
      </c>
      <c r="AN153" s="261">
        <f t="shared" si="128"/>
        <v>526</v>
      </c>
      <c r="AO153" s="261">
        <f t="shared" si="129"/>
        <v>8942</v>
      </c>
      <c r="AP153" s="452">
        <f t="shared" si="130"/>
        <v>170</v>
      </c>
      <c r="AQ153" s="452">
        <f t="shared" si="131"/>
        <v>8.2959999999999994</v>
      </c>
      <c r="AR153" s="452">
        <f t="shared" si="132"/>
        <v>0.14620272000000001</v>
      </c>
      <c r="AS153" s="452">
        <f t="shared" si="133"/>
        <v>178</v>
      </c>
      <c r="AT153" s="262">
        <f t="shared" si="134"/>
        <v>1520140</v>
      </c>
      <c r="AU153" s="262">
        <f t="shared" si="135"/>
        <v>1591676</v>
      </c>
      <c r="AV153" s="431">
        <f t="shared" si="136"/>
        <v>17</v>
      </c>
      <c r="AW153" s="431">
        <f t="array" ref="AW153">MAX((IF(MNU_CODIGO_ALIMENTO_ENTREGA=CONCATENATE($E153,"_","P_"),MNU_GRAMAJE_REQUERIDO_TIPOH,"")))</f>
        <v>100</v>
      </c>
      <c r="AX153" s="259">
        <f t="shared" si="137"/>
        <v>566</v>
      </c>
      <c r="AY153" s="259">
        <f t="shared" si="138"/>
        <v>9622</v>
      </c>
      <c r="AZ153" s="452">
        <f t="shared" si="139"/>
        <v>170</v>
      </c>
      <c r="BA153" s="452">
        <f t="shared" si="140"/>
        <v>8.2959999999999994</v>
      </c>
      <c r="BB153" s="452">
        <f t="shared" si="141"/>
        <v>0.14620272000000001</v>
      </c>
      <c r="BC153" s="452">
        <f t="shared" si="142"/>
        <v>178</v>
      </c>
      <c r="BD153" s="260">
        <f t="shared" si="143"/>
        <v>1635740</v>
      </c>
      <c r="BE153" s="260">
        <f t="shared" si="144"/>
        <v>1712716</v>
      </c>
      <c r="BF153" s="397">
        <f t="shared" si="145"/>
        <v>81451080</v>
      </c>
      <c r="BG153" s="397">
        <f t="shared" si="146"/>
        <v>85284072</v>
      </c>
    </row>
    <row r="154" spans="1:59" ht="15.75">
      <c r="A154" s="338">
        <v>11</v>
      </c>
      <c r="B154" s="338" t="str">
        <f t="shared" si="98"/>
        <v>FRUTA_11</v>
      </c>
      <c r="C154" s="338" t="str">
        <f t="shared" si="99"/>
        <v>46_11</v>
      </c>
      <c r="D154" s="338" t="s">
        <v>1</v>
      </c>
      <c r="E154" s="258">
        <v>46</v>
      </c>
      <c r="F154" s="328" t="s">
        <v>64</v>
      </c>
      <c r="G154" s="258" t="s">
        <v>9</v>
      </c>
      <c r="H154" s="431">
        <f t="shared" si="100"/>
        <v>30</v>
      </c>
      <c r="I154" s="431">
        <f t="array" ref="I154">MAX((IF(MNU_CODIGO_ALIMENTO_ENTREGA=CONCATENATE($E154,"_","P_"),MNU_GRAMAJE_REQUERIDO_TIPOA,"")))</f>
        <v>100</v>
      </c>
      <c r="J154" s="259">
        <f t="shared" si="101"/>
        <v>6321</v>
      </c>
      <c r="K154" s="259">
        <f t="shared" si="102"/>
        <v>189630</v>
      </c>
      <c r="L154" s="452">
        <f t="shared" si="103"/>
        <v>398</v>
      </c>
      <c r="M154" s="452">
        <f t="shared" si="104"/>
        <v>19.4224</v>
      </c>
      <c r="N154" s="452">
        <f t="shared" si="105"/>
        <v>0.34228636800000001</v>
      </c>
      <c r="O154" s="452">
        <f t="shared" si="106"/>
        <v>418</v>
      </c>
      <c r="P154" s="260">
        <f t="shared" si="107"/>
        <v>75472740</v>
      </c>
      <c r="Q154" s="260">
        <f t="shared" si="108"/>
        <v>79265340</v>
      </c>
      <c r="R154" s="432">
        <f t="shared" si="109"/>
        <v>21</v>
      </c>
      <c r="S154" s="432">
        <f t="array" ref="S154">MAX((IF(MNU_CODIGO_ALIMENTO_ENTREGA=CONCATENATE($E154,"_","P_"),MNU_GRAMAJE_REQUERIDO_TIPOB,"")))</f>
        <v>100</v>
      </c>
      <c r="T154" s="261">
        <f t="shared" si="110"/>
        <v>8861</v>
      </c>
      <c r="U154" s="261">
        <f t="shared" si="111"/>
        <v>186081</v>
      </c>
      <c r="V154" s="452">
        <f t="shared" si="112"/>
        <v>398</v>
      </c>
      <c r="W154" s="452">
        <f t="shared" si="113"/>
        <v>19.4224</v>
      </c>
      <c r="X154" s="452">
        <f t="shared" si="114"/>
        <v>0.34228636800000001</v>
      </c>
      <c r="Y154" s="452">
        <f t="shared" si="115"/>
        <v>418</v>
      </c>
      <c r="Z154" s="262">
        <f t="shared" si="116"/>
        <v>74060238</v>
      </c>
      <c r="AA154" s="262">
        <f t="shared" si="117"/>
        <v>77781858</v>
      </c>
      <c r="AB154" s="431">
        <f t="shared" si="118"/>
        <v>21</v>
      </c>
      <c r="AC154" s="431">
        <f t="array" ref="AC154">MAX((IF(MNU_CODIGO_ALIMENTO_ENTREGA=CONCATENATE($E154,"_","P_"),MNU_GRAMAJE_REQUERIDO_TIPOC,"")))</f>
        <v>100</v>
      </c>
      <c r="AD154" s="259">
        <f t="shared" si="119"/>
        <v>9307</v>
      </c>
      <c r="AE154" s="259">
        <f t="shared" si="120"/>
        <v>195447</v>
      </c>
      <c r="AF154" s="452">
        <f t="shared" si="121"/>
        <v>398</v>
      </c>
      <c r="AG154" s="452">
        <f t="shared" si="122"/>
        <v>19.4224</v>
      </c>
      <c r="AH154" s="452">
        <f t="shared" si="123"/>
        <v>0.34228636800000001</v>
      </c>
      <c r="AI154" s="452">
        <f t="shared" si="124"/>
        <v>418</v>
      </c>
      <c r="AJ154" s="260">
        <f t="shared" si="125"/>
        <v>77787906</v>
      </c>
      <c r="AK154" s="260">
        <f t="shared" si="126"/>
        <v>81696846</v>
      </c>
      <c r="AL154" s="432">
        <f t="shared" si="127"/>
        <v>21</v>
      </c>
      <c r="AM154" s="432">
        <f t="array" ref="AM154">MAX((IF(MNU_CODIGO_ALIMENTO_ENTREGA=CONCATENATE($E154,"_","P_"),MNU_GRAMAJE_REQUERIDO_TIPOM,"")))</f>
        <v>100</v>
      </c>
      <c r="AN154" s="261">
        <f t="shared" si="128"/>
        <v>526</v>
      </c>
      <c r="AO154" s="261">
        <f t="shared" si="129"/>
        <v>11046</v>
      </c>
      <c r="AP154" s="452">
        <f t="shared" si="130"/>
        <v>398</v>
      </c>
      <c r="AQ154" s="452">
        <f t="shared" si="131"/>
        <v>19.4224</v>
      </c>
      <c r="AR154" s="452">
        <f t="shared" si="132"/>
        <v>0.34228636800000001</v>
      </c>
      <c r="AS154" s="452">
        <f t="shared" si="133"/>
        <v>418</v>
      </c>
      <c r="AT154" s="262">
        <f t="shared" si="134"/>
        <v>4396308</v>
      </c>
      <c r="AU154" s="262">
        <f t="shared" si="135"/>
        <v>4617228</v>
      </c>
      <c r="AV154" s="431">
        <f t="shared" si="136"/>
        <v>21</v>
      </c>
      <c r="AW154" s="431">
        <f t="array" ref="AW154">MAX((IF(MNU_CODIGO_ALIMENTO_ENTREGA=CONCATENATE($E154,"_","P_"),MNU_GRAMAJE_REQUERIDO_TIPOH,"")))</f>
        <v>100</v>
      </c>
      <c r="AX154" s="259">
        <f t="shared" si="137"/>
        <v>566</v>
      </c>
      <c r="AY154" s="259">
        <f t="shared" si="138"/>
        <v>11886</v>
      </c>
      <c r="AZ154" s="452">
        <f t="shared" si="139"/>
        <v>398</v>
      </c>
      <c r="BA154" s="452">
        <f t="shared" si="140"/>
        <v>19.4224</v>
      </c>
      <c r="BB154" s="452">
        <f t="shared" si="141"/>
        <v>0.34228636800000001</v>
      </c>
      <c r="BC154" s="452">
        <f t="shared" si="142"/>
        <v>418</v>
      </c>
      <c r="BD154" s="260">
        <f t="shared" si="143"/>
        <v>4730628</v>
      </c>
      <c r="BE154" s="260">
        <f t="shared" si="144"/>
        <v>4968348</v>
      </c>
      <c r="BF154" s="397">
        <f t="shared" si="145"/>
        <v>236447820</v>
      </c>
      <c r="BG154" s="397">
        <f t="shared" si="146"/>
        <v>248329620</v>
      </c>
    </row>
    <row r="155" spans="1:59" ht="15.75">
      <c r="A155" s="338">
        <v>11</v>
      </c>
      <c r="B155" s="338" t="str">
        <f t="shared" si="98"/>
        <v>FRUTA_11</v>
      </c>
      <c r="C155" s="338" t="str">
        <f t="shared" si="99"/>
        <v>58_11</v>
      </c>
      <c r="D155" s="338" t="s">
        <v>1</v>
      </c>
      <c r="E155" s="258">
        <v>58</v>
      </c>
      <c r="F155" s="328" t="s">
        <v>67</v>
      </c>
      <c r="G155" s="258" t="s">
        <v>9</v>
      </c>
      <c r="H155" s="431">
        <f t="shared" si="100"/>
        <v>24</v>
      </c>
      <c r="I155" s="431">
        <f t="array" ref="I155">MAX((IF(MNU_CODIGO_ALIMENTO_ENTREGA=CONCATENATE($E155,"_","P_"),MNU_GRAMAJE_REQUERIDO_TIPOA,"")))</f>
        <v>100</v>
      </c>
      <c r="J155" s="259">
        <f t="shared" si="101"/>
        <v>6321</v>
      </c>
      <c r="K155" s="259">
        <f t="shared" si="102"/>
        <v>151704</v>
      </c>
      <c r="L155" s="452">
        <f t="shared" si="103"/>
        <v>154</v>
      </c>
      <c r="M155" s="452">
        <f t="shared" si="104"/>
        <v>7.515200000000001</v>
      </c>
      <c r="N155" s="452">
        <f t="shared" si="105"/>
        <v>0.13244246400000001</v>
      </c>
      <c r="O155" s="452">
        <f t="shared" si="106"/>
        <v>162</v>
      </c>
      <c r="P155" s="260">
        <f t="shared" si="107"/>
        <v>23362416</v>
      </c>
      <c r="Q155" s="260">
        <f t="shared" si="108"/>
        <v>24576048</v>
      </c>
      <c r="R155" s="432">
        <f t="shared" si="109"/>
        <v>23</v>
      </c>
      <c r="S155" s="432">
        <f t="array" ref="S155">MAX((IF(MNU_CODIGO_ALIMENTO_ENTREGA=CONCATENATE($E155,"_","P_"),MNU_GRAMAJE_REQUERIDO_TIPOB,"")))</f>
        <v>100</v>
      </c>
      <c r="T155" s="261">
        <f t="shared" si="110"/>
        <v>8861</v>
      </c>
      <c r="U155" s="261">
        <f t="shared" si="111"/>
        <v>203803</v>
      </c>
      <c r="V155" s="452">
        <f t="shared" si="112"/>
        <v>154</v>
      </c>
      <c r="W155" s="452">
        <f t="shared" si="113"/>
        <v>7.515200000000001</v>
      </c>
      <c r="X155" s="452">
        <f t="shared" si="114"/>
        <v>0.13244246400000001</v>
      </c>
      <c r="Y155" s="452">
        <f t="shared" si="115"/>
        <v>162</v>
      </c>
      <c r="Z155" s="262">
        <f t="shared" si="116"/>
        <v>31385662</v>
      </c>
      <c r="AA155" s="262">
        <f t="shared" si="117"/>
        <v>33016086</v>
      </c>
      <c r="AB155" s="431">
        <f t="shared" si="118"/>
        <v>23</v>
      </c>
      <c r="AC155" s="431">
        <f t="array" ref="AC155">MAX((IF(MNU_CODIGO_ALIMENTO_ENTREGA=CONCATENATE($E155,"_","P_"),MNU_GRAMAJE_REQUERIDO_TIPOC,"")))</f>
        <v>100</v>
      </c>
      <c r="AD155" s="259">
        <f t="shared" si="119"/>
        <v>9307</v>
      </c>
      <c r="AE155" s="259">
        <f t="shared" si="120"/>
        <v>214061</v>
      </c>
      <c r="AF155" s="452">
        <f t="shared" si="121"/>
        <v>154</v>
      </c>
      <c r="AG155" s="452">
        <f t="shared" si="122"/>
        <v>7.515200000000001</v>
      </c>
      <c r="AH155" s="452">
        <f t="shared" si="123"/>
        <v>0.13244246400000001</v>
      </c>
      <c r="AI155" s="452">
        <f t="shared" si="124"/>
        <v>162</v>
      </c>
      <c r="AJ155" s="260">
        <f t="shared" si="125"/>
        <v>32965394</v>
      </c>
      <c r="AK155" s="260">
        <f t="shared" si="126"/>
        <v>34677882</v>
      </c>
      <c r="AL155" s="432">
        <f t="shared" si="127"/>
        <v>23</v>
      </c>
      <c r="AM155" s="432">
        <f t="array" ref="AM155">MAX((IF(MNU_CODIGO_ALIMENTO_ENTREGA=CONCATENATE($E155,"_","P_"),MNU_GRAMAJE_REQUERIDO_TIPOM,"")))</f>
        <v>100</v>
      </c>
      <c r="AN155" s="261">
        <f t="shared" si="128"/>
        <v>526</v>
      </c>
      <c r="AO155" s="261">
        <f t="shared" si="129"/>
        <v>12098</v>
      </c>
      <c r="AP155" s="452">
        <f t="shared" si="130"/>
        <v>154</v>
      </c>
      <c r="AQ155" s="452">
        <f t="shared" si="131"/>
        <v>7.515200000000001</v>
      </c>
      <c r="AR155" s="452">
        <f t="shared" si="132"/>
        <v>0.13244246400000001</v>
      </c>
      <c r="AS155" s="452">
        <f t="shared" si="133"/>
        <v>162</v>
      </c>
      <c r="AT155" s="262">
        <f t="shared" si="134"/>
        <v>1863092</v>
      </c>
      <c r="AU155" s="262">
        <f t="shared" si="135"/>
        <v>1959876</v>
      </c>
      <c r="AV155" s="431">
        <f t="shared" si="136"/>
        <v>23</v>
      </c>
      <c r="AW155" s="431">
        <f t="array" ref="AW155">MAX((IF(MNU_CODIGO_ALIMENTO_ENTREGA=CONCATENATE($E155,"_","P_"),MNU_GRAMAJE_REQUERIDO_TIPOH,"")))</f>
        <v>100</v>
      </c>
      <c r="AX155" s="259">
        <f t="shared" si="137"/>
        <v>566</v>
      </c>
      <c r="AY155" s="259">
        <f t="shared" si="138"/>
        <v>13018</v>
      </c>
      <c r="AZ155" s="452">
        <f t="shared" si="139"/>
        <v>154</v>
      </c>
      <c r="BA155" s="452">
        <f t="shared" si="140"/>
        <v>7.515200000000001</v>
      </c>
      <c r="BB155" s="452">
        <f t="shared" si="141"/>
        <v>0.13244246400000001</v>
      </c>
      <c r="BC155" s="452">
        <f t="shared" si="142"/>
        <v>162</v>
      </c>
      <c r="BD155" s="260">
        <f t="shared" si="143"/>
        <v>2004772</v>
      </c>
      <c r="BE155" s="260">
        <f t="shared" si="144"/>
        <v>2108916</v>
      </c>
      <c r="BF155" s="397">
        <f t="shared" si="145"/>
        <v>91581336</v>
      </c>
      <c r="BG155" s="397">
        <f t="shared" si="146"/>
        <v>96338808</v>
      </c>
    </row>
    <row r="156" spans="1:59" ht="15.75">
      <c r="A156" s="338">
        <v>11</v>
      </c>
      <c r="B156" s="338" t="str">
        <f t="shared" si="98"/>
        <v>FRUTA_11</v>
      </c>
      <c r="C156" s="338" t="str">
        <f t="shared" si="99"/>
        <v>59_11</v>
      </c>
      <c r="D156" s="338" t="s">
        <v>1</v>
      </c>
      <c r="E156" s="258">
        <v>59</v>
      </c>
      <c r="F156" s="328" t="s">
        <v>99</v>
      </c>
      <c r="G156" s="258" t="s">
        <v>9</v>
      </c>
      <c r="H156" s="431">
        <f t="shared" si="100"/>
        <v>0</v>
      </c>
      <c r="I156" s="431">
        <f t="array" ref="I156">MAX((IF(MNU_CODIGO_ALIMENTO_ENTREGA=CONCATENATE($E156,"_","P_"),MNU_GRAMAJE_REQUERIDO_TIPOA,"")))</f>
        <v>0</v>
      </c>
      <c r="J156" s="259">
        <f t="shared" si="101"/>
        <v>6321</v>
      </c>
      <c r="K156" s="259">
        <f t="shared" si="102"/>
        <v>0</v>
      </c>
      <c r="L156" s="452">
        <f t="shared" si="103"/>
        <v>0</v>
      </c>
      <c r="M156" s="452">
        <f t="shared" si="104"/>
        <v>0</v>
      </c>
      <c r="N156" s="452">
        <f t="shared" si="105"/>
        <v>0</v>
      </c>
      <c r="O156" s="452">
        <f t="shared" si="106"/>
        <v>0</v>
      </c>
      <c r="P156" s="260">
        <f t="shared" si="107"/>
        <v>0</v>
      </c>
      <c r="Q156" s="260">
        <f t="shared" si="108"/>
        <v>0</v>
      </c>
      <c r="R156" s="432">
        <f t="shared" si="109"/>
        <v>8</v>
      </c>
      <c r="S156" s="432">
        <f t="array" ref="S156">MAX((IF(MNU_CODIGO_ALIMENTO_ENTREGA=CONCATENATE($E156,"_","P_"),MNU_GRAMAJE_REQUERIDO_TIPOB,"")))</f>
        <v>100</v>
      </c>
      <c r="T156" s="261">
        <f t="shared" si="110"/>
        <v>8861</v>
      </c>
      <c r="U156" s="261">
        <f t="shared" si="111"/>
        <v>70888</v>
      </c>
      <c r="V156" s="452">
        <f t="shared" si="112"/>
        <v>286</v>
      </c>
      <c r="W156" s="452">
        <f t="shared" si="113"/>
        <v>13.956800000000001</v>
      </c>
      <c r="X156" s="452">
        <f t="shared" si="114"/>
        <v>0.24596457599999999</v>
      </c>
      <c r="Y156" s="452">
        <f t="shared" si="115"/>
        <v>300</v>
      </c>
      <c r="Z156" s="262">
        <f t="shared" si="116"/>
        <v>20273968</v>
      </c>
      <c r="AA156" s="262">
        <f t="shared" si="117"/>
        <v>21266400</v>
      </c>
      <c r="AB156" s="431">
        <f t="shared" si="118"/>
        <v>8</v>
      </c>
      <c r="AC156" s="431">
        <f t="array" ref="AC156">MAX((IF(MNU_CODIGO_ALIMENTO_ENTREGA=CONCATENATE($E156,"_","P_"),MNU_GRAMAJE_REQUERIDO_TIPOC,"")))</f>
        <v>100</v>
      </c>
      <c r="AD156" s="259">
        <f t="shared" si="119"/>
        <v>9307</v>
      </c>
      <c r="AE156" s="259">
        <f t="shared" si="120"/>
        <v>74456</v>
      </c>
      <c r="AF156" s="452">
        <f t="shared" si="121"/>
        <v>286</v>
      </c>
      <c r="AG156" s="452">
        <f t="shared" si="122"/>
        <v>13.956800000000001</v>
      </c>
      <c r="AH156" s="452">
        <f t="shared" si="123"/>
        <v>0.24596457599999999</v>
      </c>
      <c r="AI156" s="452">
        <f t="shared" si="124"/>
        <v>300</v>
      </c>
      <c r="AJ156" s="260">
        <f t="shared" si="125"/>
        <v>21294416</v>
      </c>
      <c r="AK156" s="260">
        <f t="shared" si="126"/>
        <v>22336800</v>
      </c>
      <c r="AL156" s="432">
        <f t="shared" si="127"/>
        <v>8</v>
      </c>
      <c r="AM156" s="432">
        <f t="array" ref="AM156">MAX((IF(MNU_CODIGO_ALIMENTO_ENTREGA=CONCATENATE($E156,"_","P_"),MNU_GRAMAJE_REQUERIDO_TIPOM,"")))</f>
        <v>100</v>
      </c>
      <c r="AN156" s="261">
        <f t="shared" si="128"/>
        <v>526</v>
      </c>
      <c r="AO156" s="261">
        <f t="shared" si="129"/>
        <v>4208</v>
      </c>
      <c r="AP156" s="452">
        <f t="shared" si="130"/>
        <v>286</v>
      </c>
      <c r="AQ156" s="452">
        <f t="shared" si="131"/>
        <v>13.956800000000001</v>
      </c>
      <c r="AR156" s="452">
        <f t="shared" si="132"/>
        <v>0.24596457599999999</v>
      </c>
      <c r="AS156" s="452">
        <f t="shared" si="133"/>
        <v>300</v>
      </c>
      <c r="AT156" s="262">
        <f t="shared" si="134"/>
        <v>1203488</v>
      </c>
      <c r="AU156" s="262">
        <f t="shared" si="135"/>
        <v>1262400</v>
      </c>
      <c r="AV156" s="431">
        <f t="shared" si="136"/>
        <v>8</v>
      </c>
      <c r="AW156" s="431">
        <f t="array" ref="AW156">MAX((IF(MNU_CODIGO_ALIMENTO_ENTREGA=CONCATENATE($E156,"_","P_"),MNU_GRAMAJE_REQUERIDO_TIPOH,"")))</f>
        <v>100</v>
      </c>
      <c r="AX156" s="259">
        <f t="shared" si="137"/>
        <v>566</v>
      </c>
      <c r="AY156" s="259">
        <f t="shared" si="138"/>
        <v>4528</v>
      </c>
      <c r="AZ156" s="452">
        <f t="shared" si="139"/>
        <v>286</v>
      </c>
      <c r="BA156" s="452">
        <f t="shared" si="140"/>
        <v>13.956800000000001</v>
      </c>
      <c r="BB156" s="452">
        <f t="shared" si="141"/>
        <v>0.24596457599999999</v>
      </c>
      <c r="BC156" s="452">
        <f t="shared" si="142"/>
        <v>300</v>
      </c>
      <c r="BD156" s="260">
        <f t="shared" si="143"/>
        <v>1295008</v>
      </c>
      <c r="BE156" s="260">
        <f t="shared" si="144"/>
        <v>1358400</v>
      </c>
      <c r="BF156" s="397">
        <f t="shared" si="145"/>
        <v>44066880</v>
      </c>
      <c r="BG156" s="397">
        <f t="shared" si="146"/>
        <v>46224000</v>
      </c>
    </row>
    <row r="157" spans="1:59" ht="15.75">
      <c r="A157" s="338">
        <v>11</v>
      </c>
      <c r="B157" s="338" t="str">
        <f t="shared" si="98"/>
        <v>FRUTA_11</v>
      </c>
      <c r="C157" s="338" t="str">
        <f t="shared" si="99"/>
        <v>69_11</v>
      </c>
      <c r="D157" s="338" t="s">
        <v>1</v>
      </c>
      <c r="E157" s="258">
        <v>69</v>
      </c>
      <c r="F157" s="328" t="s">
        <v>70</v>
      </c>
      <c r="G157" s="258" t="s">
        <v>9</v>
      </c>
      <c r="H157" s="431">
        <f t="shared" si="100"/>
        <v>30</v>
      </c>
      <c r="I157" s="431">
        <f t="array" ref="I157">MAX((IF(MNU_CODIGO_ALIMENTO_ENTREGA=CONCATENATE($E157,"_","P_"),MNU_GRAMAJE_REQUERIDO_TIPOA,"")))</f>
        <v>100</v>
      </c>
      <c r="J157" s="259">
        <f t="shared" si="101"/>
        <v>6321</v>
      </c>
      <c r="K157" s="259">
        <f t="shared" si="102"/>
        <v>189630</v>
      </c>
      <c r="L157" s="452">
        <f t="shared" si="103"/>
        <v>305</v>
      </c>
      <c r="M157" s="452">
        <f t="shared" si="104"/>
        <v>14.884</v>
      </c>
      <c r="N157" s="452">
        <f t="shared" si="105"/>
        <v>0.26230488000000002</v>
      </c>
      <c r="O157" s="452">
        <f t="shared" si="106"/>
        <v>320</v>
      </c>
      <c r="P157" s="260">
        <f t="shared" si="107"/>
        <v>57837150</v>
      </c>
      <c r="Q157" s="260">
        <f t="shared" si="108"/>
        <v>60681600</v>
      </c>
      <c r="R157" s="432">
        <f t="shared" si="109"/>
        <v>16</v>
      </c>
      <c r="S157" s="432">
        <f t="array" ref="S157">MAX((IF(MNU_CODIGO_ALIMENTO_ENTREGA=CONCATENATE($E157,"_","P_"),MNU_GRAMAJE_REQUERIDO_TIPOB,"")))</f>
        <v>100</v>
      </c>
      <c r="T157" s="261">
        <f t="shared" si="110"/>
        <v>8861</v>
      </c>
      <c r="U157" s="261">
        <f t="shared" si="111"/>
        <v>141776</v>
      </c>
      <c r="V157" s="452">
        <f t="shared" si="112"/>
        <v>305</v>
      </c>
      <c r="W157" s="452">
        <f t="shared" si="113"/>
        <v>14.884</v>
      </c>
      <c r="X157" s="452">
        <f t="shared" si="114"/>
        <v>0.26230488000000002</v>
      </c>
      <c r="Y157" s="452">
        <f t="shared" si="115"/>
        <v>320</v>
      </c>
      <c r="Z157" s="262">
        <f t="shared" si="116"/>
        <v>43241680</v>
      </c>
      <c r="AA157" s="262">
        <f t="shared" si="117"/>
        <v>45368320</v>
      </c>
      <c r="AB157" s="431">
        <f t="shared" si="118"/>
        <v>16</v>
      </c>
      <c r="AC157" s="431">
        <f t="array" ref="AC157">MAX((IF(MNU_CODIGO_ALIMENTO_ENTREGA=CONCATENATE($E157,"_","P_"),MNU_GRAMAJE_REQUERIDO_TIPOC,"")))</f>
        <v>100</v>
      </c>
      <c r="AD157" s="259">
        <f t="shared" si="119"/>
        <v>9307</v>
      </c>
      <c r="AE157" s="259">
        <f t="shared" si="120"/>
        <v>148912</v>
      </c>
      <c r="AF157" s="452">
        <f t="shared" si="121"/>
        <v>305</v>
      </c>
      <c r="AG157" s="452">
        <f t="shared" si="122"/>
        <v>14.884</v>
      </c>
      <c r="AH157" s="452">
        <f t="shared" si="123"/>
        <v>0.26230488000000002</v>
      </c>
      <c r="AI157" s="452">
        <f t="shared" si="124"/>
        <v>320</v>
      </c>
      <c r="AJ157" s="260">
        <f t="shared" si="125"/>
        <v>45418160</v>
      </c>
      <c r="AK157" s="260">
        <f t="shared" si="126"/>
        <v>47651840</v>
      </c>
      <c r="AL157" s="432">
        <f t="shared" si="127"/>
        <v>16</v>
      </c>
      <c r="AM157" s="432">
        <f t="array" ref="AM157">MAX((IF(MNU_CODIGO_ALIMENTO_ENTREGA=CONCATENATE($E157,"_","P_"),MNU_GRAMAJE_REQUERIDO_TIPOM,"")))</f>
        <v>100</v>
      </c>
      <c r="AN157" s="261">
        <f t="shared" si="128"/>
        <v>526</v>
      </c>
      <c r="AO157" s="261">
        <f t="shared" si="129"/>
        <v>8416</v>
      </c>
      <c r="AP157" s="452">
        <f t="shared" si="130"/>
        <v>305</v>
      </c>
      <c r="AQ157" s="452">
        <f t="shared" si="131"/>
        <v>14.884</v>
      </c>
      <c r="AR157" s="452">
        <f t="shared" si="132"/>
        <v>0.26230488000000002</v>
      </c>
      <c r="AS157" s="452">
        <f t="shared" si="133"/>
        <v>320</v>
      </c>
      <c r="AT157" s="262">
        <f t="shared" si="134"/>
        <v>2566880</v>
      </c>
      <c r="AU157" s="262">
        <f t="shared" si="135"/>
        <v>2693120</v>
      </c>
      <c r="AV157" s="431">
        <f t="shared" si="136"/>
        <v>16</v>
      </c>
      <c r="AW157" s="431">
        <f t="array" ref="AW157">MAX((IF(MNU_CODIGO_ALIMENTO_ENTREGA=CONCATENATE($E157,"_","P_"),MNU_GRAMAJE_REQUERIDO_TIPOH,"")))</f>
        <v>100</v>
      </c>
      <c r="AX157" s="259">
        <f t="shared" si="137"/>
        <v>566</v>
      </c>
      <c r="AY157" s="259">
        <f t="shared" si="138"/>
        <v>9056</v>
      </c>
      <c r="AZ157" s="452">
        <f t="shared" si="139"/>
        <v>305</v>
      </c>
      <c r="BA157" s="452">
        <f t="shared" si="140"/>
        <v>14.884</v>
      </c>
      <c r="BB157" s="452">
        <f t="shared" si="141"/>
        <v>0.26230488000000002</v>
      </c>
      <c r="BC157" s="452">
        <f t="shared" si="142"/>
        <v>320</v>
      </c>
      <c r="BD157" s="260">
        <f t="shared" si="143"/>
        <v>2762080</v>
      </c>
      <c r="BE157" s="260">
        <f t="shared" si="144"/>
        <v>2897920</v>
      </c>
      <c r="BF157" s="397">
        <f t="shared" si="145"/>
        <v>151825950</v>
      </c>
      <c r="BG157" s="397">
        <f t="shared" si="146"/>
        <v>159292800</v>
      </c>
    </row>
    <row r="158" spans="1:59" ht="15.75">
      <c r="A158" s="338">
        <v>11</v>
      </c>
      <c r="B158" s="338" t="str">
        <f t="shared" si="98"/>
        <v>FRUTA_11</v>
      </c>
      <c r="C158" s="338" t="str">
        <f t="shared" si="99"/>
        <v>70_11</v>
      </c>
      <c r="D158" s="338" t="s">
        <v>1</v>
      </c>
      <c r="E158" s="258">
        <v>70</v>
      </c>
      <c r="F158" s="328" t="s">
        <v>71</v>
      </c>
      <c r="G158" s="258" t="s">
        <v>9</v>
      </c>
      <c r="H158" s="431">
        <f t="shared" si="100"/>
        <v>0</v>
      </c>
      <c r="I158" s="431">
        <f t="array" ref="I158">MAX((IF(MNU_CODIGO_ALIMENTO_ENTREGA=CONCATENATE($E158,"_","P_"),MNU_GRAMAJE_REQUERIDO_TIPOA,"")))</f>
        <v>0</v>
      </c>
      <c r="J158" s="259">
        <f t="shared" si="101"/>
        <v>6321</v>
      </c>
      <c r="K158" s="259">
        <f t="shared" si="102"/>
        <v>0</v>
      </c>
      <c r="L158" s="452">
        <f t="shared" si="103"/>
        <v>0</v>
      </c>
      <c r="M158" s="452">
        <f t="shared" si="104"/>
        <v>0</v>
      </c>
      <c r="N158" s="452">
        <f t="shared" si="105"/>
        <v>0</v>
      </c>
      <c r="O158" s="452">
        <f t="shared" si="106"/>
        <v>0</v>
      </c>
      <c r="P158" s="260">
        <f t="shared" si="107"/>
        <v>0</v>
      </c>
      <c r="Q158" s="260">
        <f t="shared" si="108"/>
        <v>0</v>
      </c>
      <c r="R158" s="432">
        <f t="shared" si="109"/>
        <v>10</v>
      </c>
      <c r="S158" s="432">
        <f t="array" ref="S158">MAX((IF(MNU_CODIGO_ALIMENTO_ENTREGA=CONCATENATE($E158,"_","P_"),MNU_GRAMAJE_REQUERIDO_TIPOB,"")))</f>
        <v>100</v>
      </c>
      <c r="T158" s="261">
        <f t="shared" si="110"/>
        <v>8861</v>
      </c>
      <c r="U158" s="261">
        <f t="shared" si="111"/>
        <v>88610</v>
      </c>
      <c r="V158" s="452">
        <f t="shared" si="112"/>
        <v>434</v>
      </c>
      <c r="W158" s="452">
        <f t="shared" si="113"/>
        <v>21.179200000000002</v>
      </c>
      <c r="X158" s="452">
        <f t="shared" si="114"/>
        <v>0.37324694399999997</v>
      </c>
      <c r="Y158" s="452">
        <f t="shared" si="115"/>
        <v>456</v>
      </c>
      <c r="Z158" s="262">
        <f t="shared" si="116"/>
        <v>38456740</v>
      </c>
      <c r="AA158" s="262">
        <f t="shared" si="117"/>
        <v>40406160</v>
      </c>
      <c r="AB158" s="431">
        <f t="shared" si="118"/>
        <v>10</v>
      </c>
      <c r="AC158" s="431">
        <f t="array" ref="AC158">MAX((IF(MNU_CODIGO_ALIMENTO_ENTREGA=CONCATENATE($E158,"_","P_"),MNU_GRAMAJE_REQUERIDO_TIPOC,"")))</f>
        <v>100</v>
      </c>
      <c r="AD158" s="259">
        <f t="shared" si="119"/>
        <v>9307</v>
      </c>
      <c r="AE158" s="259">
        <f t="shared" si="120"/>
        <v>93070</v>
      </c>
      <c r="AF158" s="452">
        <f t="shared" si="121"/>
        <v>434</v>
      </c>
      <c r="AG158" s="452">
        <f t="shared" si="122"/>
        <v>21.179200000000002</v>
      </c>
      <c r="AH158" s="452">
        <f t="shared" si="123"/>
        <v>0.37324694399999997</v>
      </c>
      <c r="AI158" s="452">
        <f t="shared" si="124"/>
        <v>456</v>
      </c>
      <c r="AJ158" s="260">
        <f t="shared" si="125"/>
        <v>40392380</v>
      </c>
      <c r="AK158" s="260">
        <f t="shared" si="126"/>
        <v>42439920</v>
      </c>
      <c r="AL158" s="432">
        <f t="shared" si="127"/>
        <v>10</v>
      </c>
      <c r="AM158" s="432">
        <f t="array" ref="AM158">MAX((IF(MNU_CODIGO_ALIMENTO_ENTREGA=CONCATENATE($E158,"_","P_"),MNU_GRAMAJE_REQUERIDO_TIPOM,"")))</f>
        <v>100</v>
      </c>
      <c r="AN158" s="261">
        <f t="shared" si="128"/>
        <v>526</v>
      </c>
      <c r="AO158" s="261">
        <f t="shared" si="129"/>
        <v>5260</v>
      </c>
      <c r="AP158" s="452">
        <f t="shared" si="130"/>
        <v>434</v>
      </c>
      <c r="AQ158" s="452">
        <f t="shared" si="131"/>
        <v>21.179200000000002</v>
      </c>
      <c r="AR158" s="452">
        <f t="shared" si="132"/>
        <v>0.37324694399999997</v>
      </c>
      <c r="AS158" s="452">
        <f t="shared" si="133"/>
        <v>456</v>
      </c>
      <c r="AT158" s="262">
        <f t="shared" si="134"/>
        <v>2282840</v>
      </c>
      <c r="AU158" s="262">
        <f t="shared" si="135"/>
        <v>2398560</v>
      </c>
      <c r="AV158" s="431">
        <f t="shared" si="136"/>
        <v>10</v>
      </c>
      <c r="AW158" s="431">
        <f t="array" ref="AW158">MAX((IF(MNU_CODIGO_ALIMENTO_ENTREGA=CONCATENATE($E158,"_","P_"),MNU_GRAMAJE_REQUERIDO_TIPOH,"")))</f>
        <v>100</v>
      </c>
      <c r="AX158" s="259">
        <f t="shared" si="137"/>
        <v>566</v>
      </c>
      <c r="AY158" s="259">
        <f t="shared" si="138"/>
        <v>5660</v>
      </c>
      <c r="AZ158" s="452">
        <f t="shared" si="139"/>
        <v>434</v>
      </c>
      <c r="BA158" s="452">
        <f t="shared" si="140"/>
        <v>21.179200000000002</v>
      </c>
      <c r="BB158" s="452">
        <f t="shared" si="141"/>
        <v>0.37324694399999997</v>
      </c>
      <c r="BC158" s="452">
        <f t="shared" si="142"/>
        <v>456</v>
      </c>
      <c r="BD158" s="260">
        <f t="shared" si="143"/>
        <v>2456440</v>
      </c>
      <c r="BE158" s="260">
        <f t="shared" si="144"/>
        <v>2580960</v>
      </c>
      <c r="BF158" s="397">
        <f t="shared" si="145"/>
        <v>83588400</v>
      </c>
      <c r="BG158" s="397">
        <f t="shared" si="146"/>
        <v>87825600</v>
      </c>
    </row>
    <row r="159" spans="1:59" ht="15.75">
      <c r="A159" s="338">
        <v>12</v>
      </c>
      <c r="B159" s="338" t="str">
        <f t="shared" si="98"/>
        <v>FRUTA_12</v>
      </c>
      <c r="C159" s="338" t="str">
        <f t="shared" si="99"/>
        <v>7_12</v>
      </c>
      <c r="D159" s="338" t="s">
        <v>1</v>
      </c>
      <c r="E159" s="258">
        <v>7</v>
      </c>
      <c r="F159" s="328" t="s">
        <v>57</v>
      </c>
      <c r="G159" s="258" t="s">
        <v>9</v>
      </c>
      <c r="H159" s="431">
        <f t="shared" si="100"/>
        <v>22</v>
      </c>
      <c r="I159" s="431">
        <f t="array" ref="I159">MAX((IF(MNU_CODIGO_ALIMENTO_ENTREGA=CONCATENATE($E159,"_","P_"),MNU_GRAMAJE_REQUERIDO_TIPOA,"")))</f>
        <v>100</v>
      </c>
      <c r="J159" s="259">
        <f t="shared" si="101"/>
        <v>5647</v>
      </c>
      <c r="K159" s="259">
        <f t="shared" si="102"/>
        <v>124234</v>
      </c>
      <c r="L159" s="452">
        <f t="shared" si="103"/>
        <v>107</v>
      </c>
      <c r="M159" s="452">
        <f t="shared" si="104"/>
        <v>5.2216000000000005</v>
      </c>
      <c r="N159" s="452">
        <f t="shared" si="105"/>
        <v>9.2021712000000006E-2</v>
      </c>
      <c r="O159" s="452">
        <f t="shared" si="106"/>
        <v>112</v>
      </c>
      <c r="P159" s="260">
        <f t="shared" si="107"/>
        <v>13293038</v>
      </c>
      <c r="Q159" s="260">
        <f t="shared" si="108"/>
        <v>13914208</v>
      </c>
      <c r="R159" s="432">
        <f t="shared" si="109"/>
        <v>9</v>
      </c>
      <c r="S159" s="432">
        <f t="array" ref="S159">MAX((IF(MNU_CODIGO_ALIMENTO_ENTREGA=CONCATENATE($E159,"_","P_"),MNU_GRAMAJE_REQUERIDO_TIPOB,"")))</f>
        <v>100</v>
      </c>
      <c r="T159" s="261">
        <f t="shared" si="110"/>
        <v>8984</v>
      </c>
      <c r="U159" s="261">
        <f t="shared" si="111"/>
        <v>80856</v>
      </c>
      <c r="V159" s="452">
        <f t="shared" si="112"/>
        <v>107</v>
      </c>
      <c r="W159" s="452">
        <f t="shared" si="113"/>
        <v>5.2216000000000005</v>
      </c>
      <c r="X159" s="452">
        <f t="shared" si="114"/>
        <v>9.2021712000000006E-2</v>
      </c>
      <c r="Y159" s="452">
        <f t="shared" si="115"/>
        <v>112</v>
      </c>
      <c r="Z159" s="262">
        <f t="shared" si="116"/>
        <v>8651592</v>
      </c>
      <c r="AA159" s="262">
        <f t="shared" si="117"/>
        <v>9055872</v>
      </c>
      <c r="AB159" s="431">
        <f t="shared" si="118"/>
        <v>9</v>
      </c>
      <c r="AC159" s="431">
        <f t="array" ref="AC159">MAX((IF(MNU_CODIGO_ALIMENTO_ENTREGA=CONCATENATE($E159,"_","P_"),MNU_GRAMAJE_REQUERIDO_TIPOC,"")))</f>
        <v>100</v>
      </c>
      <c r="AD159" s="259">
        <f t="shared" si="119"/>
        <v>10917</v>
      </c>
      <c r="AE159" s="259">
        <f t="shared" si="120"/>
        <v>98253</v>
      </c>
      <c r="AF159" s="452">
        <f t="shared" si="121"/>
        <v>107</v>
      </c>
      <c r="AG159" s="452">
        <f t="shared" si="122"/>
        <v>5.2216000000000005</v>
      </c>
      <c r="AH159" s="452">
        <f t="shared" si="123"/>
        <v>9.2021712000000006E-2</v>
      </c>
      <c r="AI159" s="452">
        <f t="shared" si="124"/>
        <v>112</v>
      </c>
      <c r="AJ159" s="260">
        <f t="shared" si="125"/>
        <v>10513071</v>
      </c>
      <c r="AK159" s="260">
        <f t="shared" si="126"/>
        <v>11004336</v>
      </c>
      <c r="AL159" s="432">
        <f t="shared" si="127"/>
        <v>9</v>
      </c>
      <c r="AM159" s="432">
        <f t="array" ref="AM159">MAX((IF(MNU_CODIGO_ALIMENTO_ENTREGA=CONCATENATE($E159,"_","P_"),MNU_GRAMAJE_REQUERIDO_TIPOM,"")))</f>
        <v>100</v>
      </c>
      <c r="AN159" s="261">
        <f t="shared" si="128"/>
        <v>161</v>
      </c>
      <c r="AO159" s="261">
        <f t="shared" si="129"/>
        <v>1449</v>
      </c>
      <c r="AP159" s="452">
        <f t="shared" si="130"/>
        <v>107</v>
      </c>
      <c r="AQ159" s="452">
        <f t="shared" si="131"/>
        <v>5.2216000000000005</v>
      </c>
      <c r="AR159" s="452">
        <f t="shared" si="132"/>
        <v>9.2021712000000006E-2</v>
      </c>
      <c r="AS159" s="452">
        <f t="shared" si="133"/>
        <v>112</v>
      </c>
      <c r="AT159" s="262">
        <f t="shared" si="134"/>
        <v>155043</v>
      </c>
      <c r="AU159" s="262">
        <f t="shared" si="135"/>
        <v>162288</v>
      </c>
      <c r="AV159" s="431">
        <f t="shared" si="136"/>
        <v>9</v>
      </c>
      <c r="AW159" s="431">
        <f t="array" ref="AW159">MAX((IF(MNU_CODIGO_ALIMENTO_ENTREGA=CONCATENATE($E159,"_","P_"),MNU_GRAMAJE_REQUERIDO_TIPOH,"")))</f>
        <v>100</v>
      </c>
      <c r="AX159" s="259">
        <f t="shared" si="137"/>
        <v>289</v>
      </c>
      <c r="AY159" s="259">
        <f t="shared" si="138"/>
        <v>2601</v>
      </c>
      <c r="AZ159" s="452">
        <f t="shared" si="139"/>
        <v>107</v>
      </c>
      <c r="BA159" s="452">
        <f t="shared" si="140"/>
        <v>5.2216000000000005</v>
      </c>
      <c r="BB159" s="452">
        <f t="shared" si="141"/>
        <v>9.2021712000000006E-2</v>
      </c>
      <c r="BC159" s="452">
        <f t="shared" si="142"/>
        <v>112</v>
      </c>
      <c r="BD159" s="260">
        <f t="shared" si="143"/>
        <v>278307</v>
      </c>
      <c r="BE159" s="260">
        <f t="shared" si="144"/>
        <v>291312</v>
      </c>
      <c r="BF159" s="397">
        <f t="shared" si="145"/>
        <v>32891051</v>
      </c>
      <c r="BG159" s="397">
        <f t="shared" si="146"/>
        <v>34428016</v>
      </c>
    </row>
    <row r="160" spans="1:59" ht="15.75">
      <c r="A160" s="338">
        <v>12</v>
      </c>
      <c r="B160" s="338" t="str">
        <f t="shared" si="98"/>
        <v>FRUTA_12</v>
      </c>
      <c r="C160" s="338" t="str">
        <f t="shared" si="99"/>
        <v>8_12</v>
      </c>
      <c r="D160" s="338" t="s">
        <v>1</v>
      </c>
      <c r="E160" s="258">
        <v>8</v>
      </c>
      <c r="F160" s="465" t="s">
        <v>55</v>
      </c>
      <c r="G160" s="258" t="s">
        <v>9</v>
      </c>
      <c r="H160" s="431">
        <f t="shared" si="100"/>
        <v>10</v>
      </c>
      <c r="I160" s="431">
        <f t="array" ref="I160">MAX((IF(MNU_CODIGO_ALIMENTO_ENTREGA=CONCATENATE($E160,"_","P_"),MNU_GRAMAJE_REQUERIDO_TIPOA,"")))</f>
        <v>100</v>
      </c>
      <c r="J160" s="259">
        <f t="shared" si="101"/>
        <v>5647</v>
      </c>
      <c r="K160" s="259">
        <f t="shared" si="102"/>
        <v>56470</v>
      </c>
      <c r="L160" s="452">
        <f t="shared" si="103"/>
        <v>134</v>
      </c>
      <c r="M160" s="452">
        <f t="shared" si="104"/>
        <v>6.539200000000001</v>
      </c>
      <c r="N160" s="452">
        <f t="shared" si="105"/>
        <v>0.115242144</v>
      </c>
      <c r="O160" s="452">
        <f t="shared" si="106"/>
        <v>141</v>
      </c>
      <c r="P160" s="260">
        <f t="shared" si="107"/>
        <v>7566980</v>
      </c>
      <c r="Q160" s="260">
        <f t="shared" si="108"/>
        <v>7962270</v>
      </c>
      <c r="R160" s="432">
        <f t="shared" si="109"/>
        <v>8</v>
      </c>
      <c r="S160" s="432">
        <f t="array" ref="S160">MAX((IF(MNU_CODIGO_ALIMENTO_ENTREGA=CONCATENATE($E160,"_","P_"),MNU_GRAMAJE_REQUERIDO_TIPOB,"")))</f>
        <v>100</v>
      </c>
      <c r="T160" s="261">
        <f t="shared" si="110"/>
        <v>8984</v>
      </c>
      <c r="U160" s="261">
        <f t="shared" si="111"/>
        <v>71872</v>
      </c>
      <c r="V160" s="452">
        <f t="shared" si="112"/>
        <v>134</v>
      </c>
      <c r="W160" s="452">
        <f t="shared" si="113"/>
        <v>6.539200000000001</v>
      </c>
      <c r="X160" s="452">
        <f t="shared" si="114"/>
        <v>0.115242144</v>
      </c>
      <c r="Y160" s="452">
        <f t="shared" si="115"/>
        <v>141</v>
      </c>
      <c r="Z160" s="262">
        <f t="shared" si="116"/>
        <v>9630848</v>
      </c>
      <c r="AA160" s="262">
        <f t="shared" si="117"/>
        <v>10133952</v>
      </c>
      <c r="AB160" s="431">
        <f t="shared" si="118"/>
        <v>8</v>
      </c>
      <c r="AC160" s="431">
        <f t="array" ref="AC160">MAX((IF(MNU_CODIGO_ALIMENTO_ENTREGA=CONCATENATE($E160,"_","P_"),MNU_GRAMAJE_REQUERIDO_TIPOC,"")))</f>
        <v>100</v>
      </c>
      <c r="AD160" s="259">
        <f t="shared" si="119"/>
        <v>10917</v>
      </c>
      <c r="AE160" s="259">
        <f t="shared" si="120"/>
        <v>87336</v>
      </c>
      <c r="AF160" s="452">
        <f t="shared" si="121"/>
        <v>134</v>
      </c>
      <c r="AG160" s="452">
        <f t="shared" si="122"/>
        <v>6.539200000000001</v>
      </c>
      <c r="AH160" s="452">
        <f t="shared" si="123"/>
        <v>0.115242144</v>
      </c>
      <c r="AI160" s="452">
        <f t="shared" si="124"/>
        <v>141</v>
      </c>
      <c r="AJ160" s="260">
        <f t="shared" si="125"/>
        <v>11703024</v>
      </c>
      <c r="AK160" s="260">
        <f t="shared" si="126"/>
        <v>12314376</v>
      </c>
      <c r="AL160" s="432">
        <f t="shared" si="127"/>
        <v>8</v>
      </c>
      <c r="AM160" s="432">
        <f t="array" ref="AM160">MAX((IF(MNU_CODIGO_ALIMENTO_ENTREGA=CONCATENATE($E160,"_","P_"),MNU_GRAMAJE_REQUERIDO_TIPOM,"")))</f>
        <v>100</v>
      </c>
      <c r="AN160" s="261">
        <f t="shared" si="128"/>
        <v>161</v>
      </c>
      <c r="AO160" s="261">
        <f t="shared" si="129"/>
        <v>1288</v>
      </c>
      <c r="AP160" s="452">
        <f t="shared" si="130"/>
        <v>134</v>
      </c>
      <c r="AQ160" s="452">
        <f t="shared" si="131"/>
        <v>6.539200000000001</v>
      </c>
      <c r="AR160" s="452">
        <f t="shared" si="132"/>
        <v>0.115242144</v>
      </c>
      <c r="AS160" s="452">
        <f t="shared" si="133"/>
        <v>141</v>
      </c>
      <c r="AT160" s="262">
        <f t="shared" si="134"/>
        <v>172592</v>
      </c>
      <c r="AU160" s="262">
        <f t="shared" si="135"/>
        <v>181608</v>
      </c>
      <c r="AV160" s="431">
        <f t="shared" si="136"/>
        <v>8</v>
      </c>
      <c r="AW160" s="431">
        <f t="array" ref="AW160">MAX((IF(MNU_CODIGO_ALIMENTO_ENTREGA=CONCATENATE($E160,"_","P_"),MNU_GRAMAJE_REQUERIDO_TIPOH,"")))</f>
        <v>100</v>
      </c>
      <c r="AX160" s="259">
        <f t="shared" si="137"/>
        <v>289</v>
      </c>
      <c r="AY160" s="259">
        <f t="shared" si="138"/>
        <v>2312</v>
      </c>
      <c r="AZ160" s="452">
        <f t="shared" si="139"/>
        <v>134</v>
      </c>
      <c r="BA160" s="452">
        <f t="shared" si="140"/>
        <v>6.539200000000001</v>
      </c>
      <c r="BB160" s="452">
        <f t="shared" si="141"/>
        <v>0.115242144</v>
      </c>
      <c r="BC160" s="452">
        <f t="shared" si="142"/>
        <v>141</v>
      </c>
      <c r="BD160" s="260">
        <f t="shared" si="143"/>
        <v>309808</v>
      </c>
      <c r="BE160" s="260">
        <f t="shared" si="144"/>
        <v>325992</v>
      </c>
      <c r="BF160" s="397">
        <f t="shared" si="145"/>
        <v>29383252</v>
      </c>
      <c r="BG160" s="397">
        <f t="shared" si="146"/>
        <v>30918198</v>
      </c>
    </row>
    <row r="161" spans="1:59" ht="15.75">
      <c r="A161" s="338">
        <v>12</v>
      </c>
      <c r="B161" s="338" t="str">
        <f t="shared" si="98"/>
        <v>FRUTA_12</v>
      </c>
      <c r="C161" s="338" t="str">
        <f t="shared" si="99"/>
        <v>17_12</v>
      </c>
      <c r="D161" s="338" t="s">
        <v>1</v>
      </c>
      <c r="E161" s="258">
        <v>17</v>
      </c>
      <c r="F161" s="328" t="s">
        <v>53</v>
      </c>
      <c r="G161" s="258" t="s">
        <v>9</v>
      </c>
      <c r="H161" s="431">
        <f t="shared" si="100"/>
        <v>0</v>
      </c>
      <c r="I161" s="431">
        <f t="array" ref="I161">MAX((IF(MNU_CODIGO_ALIMENTO_ENTREGA=CONCATENATE($E161,"_","P_"),MNU_GRAMAJE_REQUERIDO_TIPOA,"")))</f>
        <v>0</v>
      </c>
      <c r="J161" s="259">
        <f t="shared" si="101"/>
        <v>5647</v>
      </c>
      <c r="K161" s="259">
        <f t="shared" si="102"/>
        <v>0</v>
      </c>
      <c r="L161" s="452">
        <f t="shared" si="103"/>
        <v>0</v>
      </c>
      <c r="M161" s="452">
        <f t="shared" si="104"/>
        <v>0</v>
      </c>
      <c r="N161" s="452">
        <f t="shared" si="105"/>
        <v>0</v>
      </c>
      <c r="O161" s="452">
        <f t="shared" si="106"/>
        <v>0</v>
      </c>
      <c r="P161" s="260">
        <f t="shared" si="107"/>
        <v>0</v>
      </c>
      <c r="Q161" s="260">
        <f t="shared" si="108"/>
        <v>0</v>
      </c>
      <c r="R161" s="432">
        <f t="shared" si="109"/>
        <v>21</v>
      </c>
      <c r="S161" s="432">
        <f t="array" ref="S161">MAX((IF(MNU_CODIGO_ALIMENTO_ENTREGA=CONCATENATE($E161,"_","P_"),MNU_GRAMAJE_REQUERIDO_TIPOB,"")))</f>
        <v>100</v>
      </c>
      <c r="T161" s="261">
        <f t="shared" si="110"/>
        <v>8984</v>
      </c>
      <c r="U161" s="261">
        <f t="shared" si="111"/>
        <v>188664</v>
      </c>
      <c r="V161" s="452">
        <f t="shared" si="112"/>
        <v>226</v>
      </c>
      <c r="W161" s="452">
        <f t="shared" si="113"/>
        <v>11.0288</v>
      </c>
      <c r="X161" s="452">
        <f t="shared" si="114"/>
        <v>0.19436361600000002</v>
      </c>
      <c r="Y161" s="452">
        <f t="shared" si="115"/>
        <v>237</v>
      </c>
      <c r="Z161" s="262">
        <f t="shared" si="116"/>
        <v>42638064</v>
      </c>
      <c r="AA161" s="262">
        <f t="shared" si="117"/>
        <v>44713368</v>
      </c>
      <c r="AB161" s="431">
        <f t="shared" si="118"/>
        <v>21</v>
      </c>
      <c r="AC161" s="431">
        <f t="array" ref="AC161">MAX((IF(MNU_CODIGO_ALIMENTO_ENTREGA=CONCATENATE($E161,"_","P_"),MNU_GRAMAJE_REQUERIDO_TIPOC,"")))</f>
        <v>100</v>
      </c>
      <c r="AD161" s="259">
        <f t="shared" si="119"/>
        <v>10917</v>
      </c>
      <c r="AE161" s="259">
        <f t="shared" si="120"/>
        <v>229257</v>
      </c>
      <c r="AF161" s="452">
        <f t="shared" si="121"/>
        <v>226</v>
      </c>
      <c r="AG161" s="452">
        <f t="shared" si="122"/>
        <v>11.0288</v>
      </c>
      <c r="AH161" s="452">
        <f t="shared" si="123"/>
        <v>0.19436361600000002</v>
      </c>
      <c r="AI161" s="452">
        <f t="shared" si="124"/>
        <v>237</v>
      </c>
      <c r="AJ161" s="260">
        <f t="shared" si="125"/>
        <v>51812082</v>
      </c>
      <c r="AK161" s="260">
        <f t="shared" si="126"/>
        <v>54333909</v>
      </c>
      <c r="AL161" s="432">
        <f t="shared" si="127"/>
        <v>21</v>
      </c>
      <c r="AM161" s="432">
        <f t="array" ref="AM161">MAX((IF(MNU_CODIGO_ALIMENTO_ENTREGA=CONCATENATE($E161,"_","P_"),MNU_GRAMAJE_REQUERIDO_TIPOM,"")))</f>
        <v>100</v>
      </c>
      <c r="AN161" s="261">
        <f t="shared" si="128"/>
        <v>161</v>
      </c>
      <c r="AO161" s="261">
        <f t="shared" si="129"/>
        <v>3381</v>
      </c>
      <c r="AP161" s="452">
        <f t="shared" si="130"/>
        <v>226</v>
      </c>
      <c r="AQ161" s="452">
        <f t="shared" si="131"/>
        <v>11.0288</v>
      </c>
      <c r="AR161" s="452">
        <f t="shared" si="132"/>
        <v>0.19436361600000002</v>
      </c>
      <c r="AS161" s="452">
        <f t="shared" si="133"/>
        <v>237</v>
      </c>
      <c r="AT161" s="262">
        <f t="shared" si="134"/>
        <v>764106</v>
      </c>
      <c r="AU161" s="262">
        <f t="shared" si="135"/>
        <v>801297</v>
      </c>
      <c r="AV161" s="431">
        <f t="shared" si="136"/>
        <v>21</v>
      </c>
      <c r="AW161" s="431">
        <f t="array" ref="AW161">MAX((IF(MNU_CODIGO_ALIMENTO_ENTREGA=CONCATENATE($E161,"_","P_"),MNU_GRAMAJE_REQUERIDO_TIPOH,"")))</f>
        <v>100</v>
      </c>
      <c r="AX161" s="259">
        <f t="shared" si="137"/>
        <v>289</v>
      </c>
      <c r="AY161" s="259">
        <f t="shared" si="138"/>
        <v>6069</v>
      </c>
      <c r="AZ161" s="452">
        <f t="shared" si="139"/>
        <v>226</v>
      </c>
      <c r="BA161" s="452">
        <f t="shared" si="140"/>
        <v>11.0288</v>
      </c>
      <c r="BB161" s="452">
        <f t="shared" si="141"/>
        <v>0.19436361600000002</v>
      </c>
      <c r="BC161" s="452">
        <f t="shared" si="142"/>
        <v>237</v>
      </c>
      <c r="BD161" s="260">
        <f t="shared" si="143"/>
        <v>1371594</v>
      </c>
      <c r="BE161" s="260">
        <f t="shared" si="144"/>
        <v>1438353</v>
      </c>
      <c r="BF161" s="397">
        <f t="shared" si="145"/>
        <v>96585846</v>
      </c>
      <c r="BG161" s="397">
        <f t="shared" si="146"/>
        <v>101286927</v>
      </c>
    </row>
    <row r="162" spans="1:59" ht="15.75">
      <c r="A162" s="338">
        <v>12</v>
      </c>
      <c r="B162" s="338" t="str">
        <f t="shared" si="98"/>
        <v>FRUTA_12</v>
      </c>
      <c r="C162" s="338" t="str">
        <f t="shared" si="99"/>
        <v>22_12</v>
      </c>
      <c r="D162" s="338" t="s">
        <v>1</v>
      </c>
      <c r="E162" s="258">
        <v>22</v>
      </c>
      <c r="F162" s="328" t="s">
        <v>51</v>
      </c>
      <c r="G162" s="258" t="s">
        <v>9</v>
      </c>
      <c r="H162" s="431">
        <f t="shared" si="100"/>
        <v>0</v>
      </c>
      <c r="I162" s="431">
        <f t="array" ref="I162">MAX((IF(MNU_CODIGO_ALIMENTO_ENTREGA=CONCATENATE($E162,"_","P_"),MNU_GRAMAJE_REQUERIDO_TIPOA,"")))</f>
        <v>0</v>
      </c>
      <c r="J162" s="259">
        <f t="shared" si="101"/>
        <v>5647</v>
      </c>
      <c r="K162" s="259">
        <f t="shared" si="102"/>
        <v>0</v>
      </c>
      <c r="L162" s="452">
        <f t="shared" si="103"/>
        <v>0</v>
      </c>
      <c r="M162" s="452">
        <f t="shared" si="104"/>
        <v>0</v>
      </c>
      <c r="N162" s="452">
        <f t="shared" si="105"/>
        <v>0</v>
      </c>
      <c r="O162" s="452">
        <f t="shared" si="106"/>
        <v>0</v>
      </c>
      <c r="P162" s="260">
        <f t="shared" si="107"/>
        <v>0</v>
      </c>
      <c r="Q162" s="260">
        <f t="shared" si="108"/>
        <v>0</v>
      </c>
      <c r="R162" s="432">
        <f t="shared" si="109"/>
        <v>20</v>
      </c>
      <c r="S162" s="432">
        <f t="array" ref="S162">MAX((IF(MNU_CODIGO_ALIMENTO_ENTREGA=CONCATENATE($E162,"_","P_"),MNU_GRAMAJE_REQUERIDO_TIPOB,"")))</f>
        <v>100</v>
      </c>
      <c r="T162" s="261">
        <f t="shared" si="110"/>
        <v>8984</v>
      </c>
      <c r="U162" s="261">
        <f t="shared" si="111"/>
        <v>179680</v>
      </c>
      <c r="V162" s="452">
        <f t="shared" si="112"/>
        <v>525</v>
      </c>
      <c r="W162" s="452">
        <f t="shared" si="113"/>
        <v>25.62</v>
      </c>
      <c r="X162" s="452">
        <f t="shared" si="114"/>
        <v>0.45150840000000003</v>
      </c>
      <c r="Y162" s="452">
        <f t="shared" si="115"/>
        <v>551</v>
      </c>
      <c r="Z162" s="262">
        <f t="shared" si="116"/>
        <v>94332000</v>
      </c>
      <c r="AA162" s="262">
        <f t="shared" si="117"/>
        <v>99003680</v>
      </c>
      <c r="AB162" s="431">
        <f t="shared" si="118"/>
        <v>20</v>
      </c>
      <c r="AC162" s="431">
        <f t="array" ref="AC162">MAX((IF(MNU_CODIGO_ALIMENTO_ENTREGA=CONCATENATE($E162,"_","P_"),MNU_GRAMAJE_REQUERIDO_TIPOC,"")))</f>
        <v>100</v>
      </c>
      <c r="AD162" s="259">
        <f t="shared" si="119"/>
        <v>10917</v>
      </c>
      <c r="AE162" s="259">
        <f t="shared" si="120"/>
        <v>218340</v>
      </c>
      <c r="AF162" s="452">
        <f t="shared" si="121"/>
        <v>525</v>
      </c>
      <c r="AG162" s="452">
        <f t="shared" si="122"/>
        <v>25.62</v>
      </c>
      <c r="AH162" s="452">
        <f t="shared" si="123"/>
        <v>0.45150840000000003</v>
      </c>
      <c r="AI162" s="452">
        <f t="shared" si="124"/>
        <v>551</v>
      </c>
      <c r="AJ162" s="260">
        <f t="shared" si="125"/>
        <v>114628500</v>
      </c>
      <c r="AK162" s="260">
        <f t="shared" si="126"/>
        <v>120305340</v>
      </c>
      <c r="AL162" s="432">
        <f t="shared" si="127"/>
        <v>20</v>
      </c>
      <c r="AM162" s="432">
        <f t="array" ref="AM162">MAX((IF(MNU_CODIGO_ALIMENTO_ENTREGA=CONCATENATE($E162,"_","P_"),MNU_GRAMAJE_REQUERIDO_TIPOM,"")))</f>
        <v>100</v>
      </c>
      <c r="AN162" s="261">
        <f t="shared" si="128"/>
        <v>161</v>
      </c>
      <c r="AO162" s="261">
        <f t="shared" si="129"/>
        <v>3220</v>
      </c>
      <c r="AP162" s="452">
        <f t="shared" si="130"/>
        <v>525</v>
      </c>
      <c r="AQ162" s="452">
        <f t="shared" si="131"/>
        <v>25.62</v>
      </c>
      <c r="AR162" s="452">
        <f t="shared" si="132"/>
        <v>0.45150840000000003</v>
      </c>
      <c r="AS162" s="452">
        <f t="shared" si="133"/>
        <v>551</v>
      </c>
      <c r="AT162" s="262">
        <f t="shared" si="134"/>
        <v>1690500</v>
      </c>
      <c r="AU162" s="262">
        <f t="shared" si="135"/>
        <v>1774220</v>
      </c>
      <c r="AV162" s="431">
        <f t="shared" si="136"/>
        <v>20</v>
      </c>
      <c r="AW162" s="431">
        <f t="array" ref="AW162">MAX((IF(MNU_CODIGO_ALIMENTO_ENTREGA=CONCATENATE($E162,"_","P_"),MNU_GRAMAJE_REQUERIDO_TIPOH,"")))</f>
        <v>100</v>
      </c>
      <c r="AX162" s="259">
        <f t="shared" si="137"/>
        <v>289</v>
      </c>
      <c r="AY162" s="259">
        <f t="shared" si="138"/>
        <v>5780</v>
      </c>
      <c r="AZ162" s="452">
        <f t="shared" si="139"/>
        <v>525</v>
      </c>
      <c r="BA162" s="452">
        <f t="shared" si="140"/>
        <v>25.62</v>
      </c>
      <c r="BB162" s="452">
        <f t="shared" si="141"/>
        <v>0.45150840000000003</v>
      </c>
      <c r="BC162" s="452">
        <f t="shared" si="142"/>
        <v>551</v>
      </c>
      <c r="BD162" s="260">
        <f t="shared" si="143"/>
        <v>3034500</v>
      </c>
      <c r="BE162" s="260">
        <f t="shared" si="144"/>
        <v>3184780</v>
      </c>
      <c r="BF162" s="397">
        <f t="shared" si="145"/>
        <v>213685500</v>
      </c>
      <c r="BG162" s="397">
        <f t="shared" si="146"/>
        <v>224268020</v>
      </c>
    </row>
    <row r="163" spans="1:59" ht="15.75">
      <c r="A163" s="338">
        <v>12</v>
      </c>
      <c r="B163" s="338" t="str">
        <f t="shared" si="98"/>
        <v>FRUTA_12</v>
      </c>
      <c r="C163" s="338" t="str">
        <f t="shared" si="99"/>
        <v>33_12</v>
      </c>
      <c r="D163" s="338" t="s">
        <v>1</v>
      </c>
      <c r="E163" s="258">
        <v>33</v>
      </c>
      <c r="F163" s="328" t="s">
        <v>59</v>
      </c>
      <c r="G163" s="258" t="s">
        <v>48</v>
      </c>
      <c r="H163" s="431">
        <f t="shared" si="100"/>
        <v>27</v>
      </c>
      <c r="I163" s="431">
        <v>1</v>
      </c>
      <c r="J163" s="259">
        <f t="shared" si="101"/>
        <v>5647</v>
      </c>
      <c r="K163" s="259">
        <f t="shared" si="102"/>
        <v>152469</v>
      </c>
      <c r="L163" s="452">
        <f t="shared" si="103"/>
        <v>270</v>
      </c>
      <c r="M163" s="452">
        <f t="shared" si="104"/>
        <v>13.176000000000002</v>
      </c>
      <c r="N163" s="452">
        <f t="shared" si="105"/>
        <v>0.23220432000000002</v>
      </c>
      <c r="O163" s="452">
        <f t="shared" si="106"/>
        <v>283</v>
      </c>
      <c r="P163" s="260">
        <f t="shared" si="107"/>
        <v>41166630</v>
      </c>
      <c r="Q163" s="260">
        <f t="shared" si="108"/>
        <v>43148727</v>
      </c>
      <c r="R163" s="432">
        <f t="shared" si="109"/>
        <v>18</v>
      </c>
      <c r="S163" s="432">
        <v>1</v>
      </c>
      <c r="T163" s="261">
        <f t="shared" si="110"/>
        <v>8984</v>
      </c>
      <c r="U163" s="261">
        <f t="shared" si="111"/>
        <v>161712</v>
      </c>
      <c r="V163" s="452">
        <f t="shared" si="112"/>
        <v>270</v>
      </c>
      <c r="W163" s="452">
        <f t="shared" si="113"/>
        <v>13.176000000000002</v>
      </c>
      <c r="X163" s="452">
        <f t="shared" si="114"/>
        <v>0.23220432000000002</v>
      </c>
      <c r="Y163" s="452">
        <f t="shared" si="115"/>
        <v>283</v>
      </c>
      <c r="Z163" s="262">
        <f t="shared" si="116"/>
        <v>43662240</v>
      </c>
      <c r="AA163" s="262">
        <f t="shared" si="117"/>
        <v>45764496</v>
      </c>
      <c r="AB163" s="431">
        <f t="shared" si="118"/>
        <v>18</v>
      </c>
      <c r="AC163" s="431">
        <v>1</v>
      </c>
      <c r="AD163" s="259">
        <f t="shared" si="119"/>
        <v>10917</v>
      </c>
      <c r="AE163" s="259">
        <f t="shared" si="120"/>
        <v>196506</v>
      </c>
      <c r="AF163" s="452">
        <f t="shared" si="121"/>
        <v>270</v>
      </c>
      <c r="AG163" s="452">
        <f t="shared" si="122"/>
        <v>13.176000000000002</v>
      </c>
      <c r="AH163" s="452">
        <f t="shared" si="123"/>
        <v>0.23220432000000002</v>
      </c>
      <c r="AI163" s="452">
        <f t="shared" si="124"/>
        <v>283</v>
      </c>
      <c r="AJ163" s="260">
        <f t="shared" si="125"/>
        <v>53056620</v>
      </c>
      <c r="AK163" s="260">
        <f t="shared" si="126"/>
        <v>55611198</v>
      </c>
      <c r="AL163" s="432">
        <f t="shared" si="127"/>
        <v>18</v>
      </c>
      <c r="AM163" s="432">
        <v>1</v>
      </c>
      <c r="AN163" s="261">
        <f t="shared" si="128"/>
        <v>161</v>
      </c>
      <c r="AO163" s="261">
        <f t="shared" si="129"/>
        <v>2898</v>
      </c>
      <c r="AP163" s="452">
        <f t="shared" si="130"/>
        <v>270</v>
      </c>
      <c r="AQ163" s="452">
        <f t="shared" si="131"/>
        <v>13.176000000000002</v>
      </c>
      <c r="AR163" s="452">
        <f t="shared" si="132"/>
        <v>0.23220432000000002</v>
      </c>
      <c r="AS163" s="452">
        <f t="shared" si="133"/>
        <v>283</v>
      </c>
      <c r="AT163" s="262">
        <f t="shared" si="134"/>
        <v>782460</v>
      </c>
      <c r="AU163" s="262">
        <f t="shared" si="135"/>
        <v>820134</v>
      </c>
      <c r="AV163" s="431">
        <f t="shared" si="136"/>
        <v>18</v>
      </c>
      <c r="AW163" s="431">
        <v>1</v>
      </c>
      <c r="AX163" s="259">
        <f t="shared" si="137"/>
        <v>289</v>
      </c>
      <c r="AY163" s="259">
        <f t="shared" si="138"/>
        <v>5202</v>
      </c>
      <c r="AZ163" s="452">
        <f t="shared" si="139"/>
        <v>270</v>
      </c>
      <c r="BA163" s="452">
        <f t="shared" si="140"/>
        <v>13.176000000000002</v>
      </c>
      <c r="BB163" s="452">
        <f t="shared" si="141"/>
        <v>0.23220432000000002</v>
      </c>
      <c r="BC163" s="452">
        <f t="shared" si="142"/>
        <v>283</v>
      </c>
      <c r="BD163" s="260">
        <f t="shared" si="143"/>
        <v>1404540</v>
      </c>
      <c r="BE163" s="260">
        <f t="shared" si="144"/>
        <v>1472166</v>
      </c>
      <c r="BF163" s="397">
        <f t="shared" si="145"/>
        <v>140072490</v>
      </c>
      <c r="BG163" s="397">
        <f t="shared" si="146"/>
        <v>146816721</v>
      </c>
    </row>
    <row r="164" spans="1:59" ht="15.75">
      <c r="A164" s="338">
        <v>12</v>
      </c>
      <c r="B164" s="338" t="str">
        <f t="shared" si="98"/>
        <v>FRUTA_12</v>
      </c>
      <c r="C164" s="338" t="str">
        <f t="shared" si="99"/>
        <v>36_12</v>
      </c>
      <c r="D164" s="338" t="s">
        <v>1</v>
      </c>
      <c r="E164" s="258">
        <v>36</v>
      </c>
      <c r="F164" s="328" t="s">
        <v>1340</v>
      </c>
      <c r="G164" s="258" t="s">
        <v>9</v>
      </c>
      <c r="H164" s="431">
        <f t="shared" si="100"/>
        <v>7</v>
      </c>
      <c r="I164" s="431">
        <f t="array" ref="I164">MAX((IF(MNU_CODIGO_ALIMENTO_ENTREGA=CONCATENATE($E164,"_","P_"),MNU_GRAMAJE_REQUERIDO_TIPOA,"")))</f>
        <v>20</v>
      </c>
      <c r="J164" s="259">
        <f t="shared" si="101"/>
        <v>5647</v>
      </c>
      <c r="K164" s="259">
        <f t="shared" si="102"/>
        <v>39529</v>
      </c>
      <c r="L164" s="452">
        <f t="shared" si="103"/>
        <v>126</v>
      </c>
      <c r="M164" s="452">
        <f t="shared" si="104"/>
        <v>6.1488000000000005</v>
      </c>
      <c r="N164" s="452">
        <f t="shared" si="105"/>
        <v>0.10836201599999999</v>
      </c>
      <c r="O164" s="452">
        <f t="shared" si="106"/>
        <v>132</v>
      </c>
      <c r="P164" s="260">
        <f t="shared" si="107"/>
        <v>4980654</v>
      </c>
      <c r="Q164" s="260">
        <f t="shared" si="108"/>
        <v>5217828</v>
      </c>
      <c r="R164" s="432">
        <f t="shared" si="109"/>
        <v>7</v>
      </c>
      <c r="S164" s="432">
        <f t="array" ref="S164">MAX((IF(MNU_CODIGO_ALIMENTO_ENTREGA=CONCATENATE($E164,"_","P_"),MNU_GRAMAJE_REQUERIDO_TIPOB,"")))</f>
        <v>40</v>
      </c>
      <c r="T164" s="261">
        <f t="shared" si="110"/>
        <v>8984</v>
      </c>
      <c r="U164" s="261">
        <f t="shared" si="111"/>
        <v>62888</v>
      </c>
      <c r="V164" s="452">
        <f t="shared" si="112"/>
        <v>252</v>
      </c>
      <c r="W164" s="452">
        <f t="shared" si="113"/>
        <v>12.297600000000001</v>
      </c>
      <c r="X164" s="452">
        <f t="shared" si="114"/>
        <v>0.21672403199999998</v>
      </c>
      <c r="Y164" s="452">
        <f t="shared" si="115"/>
        <v>265</v>
      </c>
      <c r="Z164" s="262">
        <f t="shared" si="116"/>
        <v>15847776</v>
      </c>
      <c r="AA164" s="262">
        <f t="shared" si="117"/>
        <v>16665320</v>
      </c>
      <c r="AB164" s="431">
        <f t="shared" si="118"/>
        <v>7</v>
      </c>
      <c r="AC164" s="431">
        <f t="array" ref="AC164">MAX((IF(MNU_CODIGO_ALIMENTO_ENTREGA=CONCATENATE($E164,"_","P_"),MNU_GRAMAJE_REQUERIDO_TIPOC,"")))</f>
        <v>40</v>
      </c>
      <c r="AD164" s="259">
        <f t="shared" si="119"/>
        <v>10917</v>
      </c>
      <c r="AE164" s="259">
        <f t="shared" si="120"/>
        <v>76419</v>
      </c>
      <c r="AF164" s="452">
        <f t="shared" si="121"/>
        <v>252</v>
      </c>
      <c r="AG164" s="452">
        <f t="shared" si="122"/>
        <v>12.297600000000001</v>
      </c>
      <c r="AH164" s="452">
        <f t="shared" si="123"/>
        <v>0.21672403199999998</v>
      </c>
      <c r="AI164" s="452">
        <f t="shared" si="124"/>
        <v>265</v>
      </c>
      <c r="AJ164" s="260">
        <f t="shared" si="125"/>
        <v>19257588</v>
      </c>
      <c r="AK164" s="260">
        <f t="shared" si="126"/>
        <v>20251035</v>
      </c>
      <c r="AL164" s="432">
        <f t="shared" si="127"/>
        <v>7</v>
      </c>
      <c r="AM164" s="432">
        <f t="array" ref="AM164">MAX((IF(MNU_CODIGO_ALIMENTO_ENTREGA=CONCATENATE($E164,"_","P_"),MNU_GRAMAJE_REQUERIDO_TIPOM,"")))</f>
        <v>40</v>
      </c>
      <c r="AN164" s="261">
        <f t="shared" si="128"/>
        <v>161</v>
      </c>
      <c r="AO164" s="261">
        <f t="shared" si="129"/>
        <v>1127</v>
      </c>
      <c r="AP164" s="452">
        <f t="shared" si="130"/>
        <v>252</v>
      </c>
      <c r="AQ164" s="452">
        <f t="shared" si="131"/>
        <v>12.297600000000001</v>
      </c>
      <c r="AR164" s="452">
        <f t="shared" si="132"/>
        <v>0.21672403199999998</v>
      </c>
      <c r="AS164" s="452">
        <f t="shared" si="133"/>
        <v>265</v>
      </c>
      <c r="AT164" s="262">
        <f t="shared" si="134"/>
        <v>284004</v>
      </c>
      <c r="AU164" s="262">
        <f t="shared" si="135"/>
        <v>298655</v>
      </c>
      <c r="AV164" s="431">
        <f t="shared" si="136"/>
        <v>7</v>
      </c>
      <c r="AW164" s="431">
        <f t="array" ref="AW164">MAX((IF(MNU_CODIGO_ALIMENTO_ENTREGA=CONCATENATE($E164,"_","P_"),MNU_GRAMAJE_REQUERIDO_TIPOH,"")))</f>
        <v>40</v>
      </c>
      <c r="AX164" s="259">
        <f t="shared" si="137"/>
        <v>289</v>
      </c>
      <c r="AY164" s="259">
        <f t="shared" si="138"/>
        <v>2023</v>
      </c>
      <c r="AZ164" s="452">
        <f t="shared" si="139"/>
        <v>252</v>
      </c>
      <c r="BA164" s="452">
        <f t="shared" si="140"/>
        <v>12.297600000000001</v>
      </c>
      <c r="BB164" s="452">
        <f t="shared" si="141"/>
        <v>0.21672403199999998</v>
      </c>
      <c r="BC164" s="452">
        <f t="shared" si="142"/>
        <v>265</v>
      </c>
      <c r="BD164" s="260">
        <f t="shared" si="143"/>
        <v>509796</v>
      </c>
      <c r="BE164" s="260">
        <f t="shared" si="144"/>
        <v>536095</v>
      </c>
      <c r="BF164" s="397">
        <f t="shared" si="145"/>
        <v>40879818</v>
      </c>
      <c r="BG164" s="397">
        <f t="shared" si="146"/>
        <v>42968933</v>
      </c>
    </row>
    <row r="165" spans="1:59" ht="15.75">
      <c r="A165" s="338">
        <v>12</v>
      </c>
      <c r="B165" s="338" t="str">
        <f t="shared" si="98"/>
        <v>FRUTA_12</v>
      </c>
      <c r="C165" s="338" t="str">
        <f t="shared" si="99"/>
        <v>42_12</v>
      </c>
      <c r="D165" s="338" t="s">
        <v>1</v>
      </c>
      <c r="E165" s="258">
        <v>42</v>
      </c>
      <c r="F165" s="328" t="s">
        <v>61</v>
      </c>
      <c r="G165" s="258" t="s">
        <v>9</v>
      </c>
      <c r="H165" s="431">
        <f t="shared" si="100"/>
        <v>23</v>
      </c>
      <c r="I165" s="431">
        <f t="array" ref="I165">MAX((IF(MNU_CODIGO_ALIMENTO_ENTREGA=CONCATENATE($E165,"_","P_"),MNU_GRAMAJE_REQUERIDO_TIPOA,"")))</f>
        <v>100</v>
      </c>
      <c r="J165" s="259">
        <f t="shared" si="101"/>
        <v>5647</v>
      </c>
      <c r="K165" s="259">
        <f t="shared" si="102"/>
        <v>129881</v>
      </c>
      <c r="L165" s="452">
        <f t="shared" si="103"/>
        <v>194</v>
      </c>
      <c r="M165" s="452">
        <f t="shared" si="104"/>
        <v>9.4672000000000001</v>
      </c>
      <c r="N165" s="452">
        <f t="shared" si="105"/>
        <v>0.16684310399999999</v>
      </c>
      <c r="O165" s="452">
        <f t="shared" si="106"/>
        <v>204</v>
      </c>
      <c r="P165" s="260">
        <f t="shared" si="107"/>
        <v>25196914</v>
      </c>
      <c r="Q165" s="260">
        <f t="shared" si="108"/>
        <v>26495724</v>
      </c>
      <c r="R165" s="432">
        <f t="shared" si="109"/>
        <v>19</v>
      </c>
      <c r="S165" s="432">
        <f t="array" ref="S165">MAX((IF(MNU_CODIGO_ALIMENTO_ENTREGA=CONCATENATE($E165,"_","P_"),MNU_GRAMAJE_REQUERIDO_TIPOB,"")))</f>
        <v>100</v>
      </c>
      <c r="T165" s="261">
        <f t="shared" si="110"/>
        <v>8984</v>
      </c>
      <c r="U165" s="261">
        <f t="shared" si="111"/>
        <v>170696</v>
      </c>
      <c r="V165" s="452">
        <f t="shared" si="112"/>
        <v>194</v>
      </c>
      <c r="W165" s="452">
        <f t="shared" si="113"/>
        <v>9.4672000000000001</v>
      </c>
      <c r="X165" s="452">
        <f t="shared" si="114"/>
        <v>0.16684310399999999</v>
      </c>
      <c r="Y165" s="452">
        <f t="shared" si="115"/>
        <v>204</v>
      </c>
      <c r="Z165" s="262">
        <f t="shared" si="116"/>
        <v>33115024</v>
      </c>
      <c r="AA165" s="262">
        <f t="shared" si="117"/>
        <v>34821984</v>
      </c>
      <c r="AB165" s="431">
        <f t="shared" si="118"/>
        <v>19</v>
      </c>
      <c r="AC165" s="431">
        <f t="array" ref="AC165">MAX((IF(MNU_CODIGO_ALIMENTO_ENTREGA=CONCATENATE($E165,"_","P_"),MNU_GRAMAJE_REQUERIDO_TIPOC,"")))</f>
        <v>100</v>
      </c>
      <c r="AD165" s="259">
        <f t="shared" si="119"/>
        <v>10917</v>
      </c>
      <c r="AE165" s="259">
        <f t="shared" si="120"/>
        <v>207423</v>
      </c>
      <c r="AF165" s="452">
        <f t="shared" si="121"/>
        <v>194</v>
      </c>
      <c r="AG165" s="452">
        <f t="shared" si="122"/>
        <v>9.4672000000000001</v>
      </c>
      <c r="AH165" s="452">
        <f t="shared" si="123"/>
        <v>0.16684310399999999</v>
      </c>
      <c r="AI165" s="452">
        <f t="shared" si="124"/>
        <v>204</v>
      </c>
      <c r="AJ165" s="260">
        <f t="shared" si="125"/>
        <v>40240062</v>
      </c>
      <c r="AK165" s="260">
        <f t="shared" si="126"/>
        <v>42314292</v>
      </c>
      <c r="AL165" s="432">
        <f t="shared" si="127"/>
        <v>19</v>
      </c>
      <c r="AM165" s="432">
        <f t="array" ref="AM165">MAX((IF(MNU_CODIGO_ALIMENTO_ENTREGA=CONCATENATE($E165,"_","P_"),MNU_GRAMAJE_REQUERIDO_TIPOM,"")))</f>
        <v>100</v>
      </c>
      <c r="AN165" s="261">
        <f t="shared" si="128"/>
        <v>161</v>
      </c>
      <c r="AO165" s="261">
        <f t="shared" si="129"/>
        <v>3059</v>
      </c>
      <c r="AP165" s="452">
        <f t="shared" si="130"/>
        <v>194</v>
      </c>
      <c r="AQ165" s="452">
        <f t="shared" si="131"/>
        <v>9.4672000000000001</v>
      </c>
      <c r="AR165" s="452">
        <f t="shared" si="132"/>
        <v>0.16684310399999999</v>
      </c>
      <c r="AS165" s="452">
        <f t="shared" si="133"/>
        <v>204</v>
      </c>
      <c r="AT165" s="262">
        <f t="shared" si="134"/>
        <v>593446</v>
      </c>
      <c r="AU165" s="262">
        <f t="shared" si="135"/>
        <v>624036</v>
      </c>
      <c r="AV165" s="431">
        <f t="shared" si="136"/>
        <v>19</v>
      </c>
      <c r="AW165" s="431">
        <f t="array" ref="AW165">MAX((IF(MNU_CODIGO_ALIMENTO_ENTREGA=CONCATENATE($E165,"_","P_"),MNU_GRAMAJE_REQUERIDO_TIPOH,"")))</f>
        <v>100</v>
      </c>
      <c r="AX165" s="259">
        <f t="shared" si="137"/>
        <v>289</v>
      </c>
      <c r="AY165" s="259">
        <f t="shared" si="138"/>
        <v>5491</v>
      </c>
      <c r="AZ165" s="452">
        <f t="shared" si="139"/>
        <v>194</v>
      </c>
      <c r="BA165" s="452">
        <f t="shared" si="140"/>
        <v>9.4672000000000001</v>
      </c>
      <c r="BB165" s="452">
        <f t="shared" si="141"/>
        <v>0.16684310399999999</v>
      </c>
      <c r="BC165" s="452">
        <f t="shared" si="142"/>
        <v>204</v>
      </c>
      <c r="BD165" s="260">
        <f t="shared" si="143"/>
        <v>1065254</v>
      </c>
      <c r="BE165" s="260">
        <f t="shared" si="144"/>
        <v>1120164</v>
      </c>
      <c r="BF165" s="397">
        <f t="shared" si="145"/>
        <v>100210700</v>
      </c>
      <c r="BG165" s="397">
        <f t="shared" si="146"/>
        <v>105376200</v>
      </c>
    </row>
    <row r="166" spans="1:59" ht="15.75">
      <c r="A166" s="338">
        <v>12</v>
      </c>
      <c r="B166" s="338" t="str">
        <f t="shared" si="98"/>
        <v>FRUTA_12</v>
      </c>
      <c r="C166" s="338" t="str">
        <f t="shared" si="99"/>
        <v>43_12</v>
      </c>
      <c r="D166" s="338" t="s">
        <v>1</v>
      </c>
      <c r="E166" s="258">
        <v>43</v>
      </c>
      <c r="F166" s="328" t="s">
        <v>62</v>
      </c>
      <c r="G166" s="258" t="s">
        <v>9</v>
      </c>
      <c r="H166" s="431">
        <f t="shared" si="100"/>
        <v>24</v>
      </c>
      <c r="I166" s="431">
        <f t="array" ref="I166">MAX((IF(MNU_CODIGO_ALIMENTO_ENTREGA=CONCATENATE($E166,"_","P_"),MNU_GRAMAJE_REQUERIDO_TIPOA,"")))</f>
        <v>100</v>
      </c>
      <c r="J166" s="259">
        <f t="shared" si="101"/>
        <v>5647</v>
      </c>
      <c r="K166" s="259">
        <f t="shared" si="102"/>
        <v>135528</v>
      </c>
      <c r="L166" s="452">
        <f t="shared" si="103"/>
        <v>170</v>
      </c>
      <c r="M166" s="452">
        <f t="shared" si="104"/>
        <v>8.2959999999999994</v>
      </c>
      <c r="N166" s="452">
        <f t="shared" si="105"/>
        <v>0.14620272000000001</v>
      </c>
      <c r="O166" s="452">
        <f t="shared" si="106"/>
        <v>178</v>
      </c>
      <c r="P166" s="260">
        <f t="shared" si="107"/>
        <v>23039760</v>
      </c>
      <c r="Q166" s="260">
        <f t="shared" si="108"/>
        <v>24123984</v>
      </c>
      <c r="R166" s="432">
        <f t="shared" si="109"/>
        <v>17</v>
      </c>
      <c r="S166" s="432">
        <f t="array" ref="S166">MAX((IF(MNU_CODIGO_ALIMENTO_ENTREGA=CONCATENATE($E166,"_","P_"),MNU_GRAMAJE_REQUERIDO_TIPOB,"")))</f>
        <v>100</v>
      </c>
      <c r="T166" s="261">
        <f t="shared" si="110"/>
        <v>8984</v>
      </c>
      <c r="U166" s="261">
        <f t="shared" si="111"/>
        <v>152728</v>
      </c>
      <c r="V166" s="452">
        <f t="shared" si="112"/>
        <v>170</v>
      </c>
      <c r="W166" s="452">
        <f t="shared" si="113"/>
        <v>8.2959999999999994</v>
      </c>
      <c r="X166" s="452">
        <f t="shared" si="114"/>
        <v>0.14620272000000001</v>
      </c>
      <c r="Y166" s="452">
        <f t="shared" si="115"/>
        <v>178</v>
      </c>
      <c r="Z166" s="262">
        <f t="shared" si="116"/>
        <v>25963760</v>
      </c>
      <c r="AA166" s="262">
        <f t="shared" si="117"/>
        <v>27185584</v>
      </c>
      <c r="AB166" s="431">
        <f t="shared" si="118"/>
        <v>17</v>
      </c>
      <c r="AC166" s="431">
        <f t="array" ref="AC166">MAX((IF(MNU_CODIGO_ALIMENTO_ENTREGA=CONCATENATE($E166,"_","P_"),MNU_GRAMAJE_REQUERIDO_TIPOC,"")))</f>
        <v>100</v>
      </c>
      <c r="AD166" s="259">
        <f t="shared" si="119"/>
        <v>10917</v>
      </c>
      <c r="AE166" s="259">
        <f t="shared" si="120"/>
        <v>185589</v>
      </c>
      <c r="AF166" s="452">
        <f t="shared" si="121"/>
        <v>170</v>
      </c>
      <c r="AG166" s="452">
        <f t="shared" si="122"/>
        <v>8.2959999999999994</v>
      </c>
      <c r="AH166" s="452">
        <f t="shared" si="123"/>
        <v>0.14620272000000001</v>
      </c>
      <c r="AI166" s="452">
        <f t="shared" si="124"/>
        <v>178</v>
      </c>
      <c r="AJ166" s="260">
        <f t="shared" si="125"/>
        <v>31550130</v>
      </c>
      <c r="AK166" s="260">
        <f t="shared" si="126"/>
        <v>33034842</v>
      </c>
      <c r="AL166" s="432">
        <f t="shared" si="127"/>
        <v>17</v>
      </c>
      <c r="AM166" s="432">
        <f t="array" ref="AM166">MAX((IF(MNU_CODIGO_ALIMENTO_ENTREGA=CONCATENATE($E166,"_","P_"),MNU_GRAMAJE_REQUERIDO_TIPOM,"")))</f>
        <v>100</v>
      </c>
      <c r="AN166" s="261">
        <f t="shared" si="128"/>
        <v>161</v>
      </c>
      <c r="AO166" s="261">
        <f t="shared" si="129"/>
        <v>2737</v>
      </c>
      <c r="AP166" s="452">
        <f t="shared" si="130"/>
        <v>170</v>
      </c>
      <c r="AQ166" s="452">
        <f t="shared" si="131"/>
        <v>8.2959999999999994</v>
      </c>
      <c r="AR166" s="452">
        <f t="shared" si="132"/>
        <v>0.14620272000000001</v>
      </c>
      <c r="AS166" s="452">
        <f t="shared" si="133"/>
        <v>178</v>
      </c>
      <c r="AT166" s="262">
        <f t="shared" si="134"/>
        <v>465290</v>
      </c>
      <c r="AU166" s="262">
        <f t="shared" si="135"/>
        <v>487186</v>
      </c>
      <c r="AV166" s="431">
        <f t="shared" si="136"/>
        <v>17</v>
      </c>
      <c r="AW166" s="431">
        <f t="array" ref="AW166">MAX((IF(MNU_CODIGO_ALIMENTO_ENTREGA=CONCATENATE($E166,"_","P_"),MNU_GRAMAJE_REQUERIDO_TIPOH,"")))</f>
        <v>100</v>
      </c>
      <c r="AX166" s="259">
        <f t="shared" si="137"/>
        <v>289</v>
      </c>
      <c r="AY166" s="259">
        <f t="shared" si="138"/>
        <v>4913</v>
      </c>
      <c r="AZ166" s="452">
        <f t="shared" si="139"/>
        <v>170</v>
      </c>
      <c r="BA166" s="452">
        <f t="shared" si="140"/>
        <v>8.2959999999999994</v>
      </c>
      <c r="BB166" s="452">
        <f t="shared" si="141"/>
        <v>0.14620272000000001</v>
      </c>
      <c r="BC166" s="452">
        <f t="shared" si="142"/>
        <v>178</v>
      </c>
      <c r="BD166" s="260">
        <f t="shared" si="143"/>
        <v>835210</v>
      </c>
      <c r="BE166" s="260">
        <f t="shared" si="144"/>
        <v>874514</v>
      </c>
      <c r="BF166" s="397">
        <f t="shared" si="145"/>
        <v>81854150</v>
      </c>
      <c r="BG166" s="397">
        <f t="shared" si="146"/>
        <v>85706110</v>
      </c>
    </row>
    <row r="167" spans="1:59" ht="15.75">
      <c r="A167" s="338">
        <v>12</v>
      </c>
      <c r="B167" s="338" t="str">
        <f t="shared" si="98"/>
        <v>FRUTA_12</v>
      </c>
      <c r="C167" s="338" t="str">
        <f t="shared" si="99"/>
        <v>46_12</v>
      </c>
      <c r="D167" s="338" t="s">
        <v>1</v>
      </c>
      <c r="E167" s="258">
        <v>46</v>
      </c>
      <c r="F167" s="328" t="s">
        <v>64</v>
      </c>
      <c r="G167" s="258" t="s">
        <v>9</v>
      </c>
      <c r="H167" s="431">
        <f t="shared" si="100"/>
        <v>30</v>
      </c>
      <c r="I167" s="431">
        <f t="array" ref="I167">MAX((IF(MNU_CODIGO_ALIMENTO_ENTREGA=CONCATENATE($E167,"_","P_"),MNU_GRAMAJE_REQUERIDO_TIPOA,"")))</f>
        <v>100</v>
      </c>
      <c r="J167" s="259">
        <f t="shared" si="101"/>
        <v>5647</v>
      </c>
      <c r="K167" s="259">
        <f t="shared" si="102"/>
        <v>169410</v>
      </c>
      <c r="L167" s="452">
        <f t="shared" si="103"/>
        <v>398</v>
      </c>
      <c r="M167" s="452">
        <f t="shared" si="104"/>
        <v>19.4224</v>
      </c>
      <c r="N167" s="452">
        <f t="shared" si="105"/>
        <v>0.34228636800000001</v>
      </c>
      <c r="O167" s="452">
        <f t="shared" si="106"/>
        <v>418</v>
      </c>
      <c r="P167" s="260">
        <f t="shared" si="107"/>
        <v>67425180</v>
      </c>
      <c r="Q167" s="260">
        <f t="shared" si="108"/>
        <v>70813380</v>
      </c>
      <c r="R167" s="432">
        <f t="shared" si="109"/>
        <v>21</v>
      </c>
      <c r="S167" s="432">
        <f t="array" ref="S167">MAX((IF(MNU_CODIGO_ALIMENTO_ENTREGA=CONCATENATE($E167,"_","P_"),MNU_GRAMAJE_REQUERIDO_TIPOB,"")))</f>
        <v>100</v>
      </c>
      <c r="T167" s="261">
        <f t="shared" si="110"/>
        <v>8984</v>
      </c>
      <c r="U167" s="261">
        <f t="shared" si="111"/>
        <v>188664</v>
      </c>
      <c r="V167" s="452">
        <f t="shared" si="112"/>
        <v>398</v>
      </c>
      <c r="W167" s="452">
        <f t="shared" si="113"/>
        <v>19.4224</v>
      </c>
      <c r="X167" s="452">
        <f t="shared" si="114"/>
        <v>0.34228636800000001</v>
      </c>
      <c r="Y167" s="452">
        <f t="shared" si="115"/>
        <v>418</v>
      </c>
      <c r="Z167" s="262">
        <f t="shared" si="116"/>
        <v>75088272</v>
      </c>
      <c r="AA167" s="262">
        <f t="shared" si="117"/>
        <v>78861552</v>
      </c>
      <c r="AB167" s="431">
        <f t="shared" si="118"/>
        <v>21</v>
      </c>
      <c r="AC167" s="431">
        <f t="array" ref="AC167">MAX((IF(MNU_CODIGO_ALIMENTO_ENTREGA=CONCATENATE($E167,"_","P_"),MNU_GRAMAJE_REQUERIDO_TIPOC,"")))</f>
        <v>100</v>
      </c>
      <c r="AD167" s="259">
        <f t="shared" si="119"/>
        <v>10917</v>
      </c>
      <c r="AE167" s="259">
        <f t="shared" si="120"/>
        <v>229257</v>
      </c>
      <c r="AF167" s="452">
        <f t="shared" si="121"/>
        <v>398</v>
      </c>
      <c r="AG167" s="452">
        <f t="shared" si="122"/>
        <v>19.4224</v>
      </c>
      <c r="AH167" s="452">
        <f t="shared" si="123"/>
        <v>0.34228636800000001</v>
      </c>
      <c r="AI167" s="452">
        <f t="shared" si="124"/>
        <v>418</v>
      </c>
      <c r="AJ167" s="260">
        <f t="shared" si="125"/>
        <v>91244286</v>
      </c>
      <c r="AK167" s="260">
        <f t="shared" si="126"/>
        <v>95829426</v>
      </c>
      <c r="AL167" s="432">
        <f t="shared" si="127"/>
        <v>21</v>
      </c>
      <c r="AM167" s="432">
        <f t="array" ref="AM167">MAX((IF(MNU_CODIGO_ALIMENTO_ENTREGA=CONCATENATE($E167,"_","P_"),MNU_GRAMAJE_REQUERIDO_TIPOM,"")))</f>
        <v>100</v>
      </c>
      <c r="AN167" s="261">
        <f t="shared" si="128"/>
        <v>161</v>
      </c>
      <c r="AO167" s="261">
        <f t="shared" si="129"/>
        <v>3381</v>
      </c>
      <c r="AP167" s="452">
        <f t="shared" si="130"/>
        <v>398</v>
      </c>
      <c r="AQ167" s="452">
        <f t="shared" si="131"/>
        <v>19.4224</v>
      </c>
      <c r="AR167" s="452">
        <f t="shared" si="132"/>
        <v>0.34228636800000001</v>
      </c>
      <c r="AS167" s="452">
        <f t="shared" si="133"/>
        <v>418</v>
      </c>
      <c r="AT167" s="262">
        <f t="shared" si="134"/>
        <v>1345638</v>
      </c>
      <c r="AU167" s="262">
        <f t="shared" si="135"/>
        <v>1413258</v>
      </c>
      <c r="AV167" s="431">
        <f t="shared" si="136"/>
        <v>21</v>
      </c>
      <c r="AW167" s="431">
        <f t="array" ref="AW167">MAX((IF(MNU_CODIGO_ALIMENTO_ENTREGA=CONCATENATE($E167,"_","P_"),MNU_GRAMAJE_REQUERIDO_TIPOH,"")))</f>
        <v>100</v>
      </c>
      <c r="AX167" s="259">
        <f t="shared" si="137"/>
        <v>289</v>
      </c>
      <c r="AY167" s="259">
        <f t="shared" si="138"/>
        <v>6069</v>
      </c>
      <c r="AZ167" s="452">
        <f t="shared" si="139"/>
        <v>398</v>
      </c>
      <c r="BA167" s="452">
        <f t="shared" si="140"/>
        <v>19.4224</v>
      </c>
      <c r="BB167" s="452">
        <f t="shared" si="141"/>
        <v>0.34228636800000001</v>
      </c>
      <c r="BC167" s="452">
        <f t="shared" si="142"/>
        <v>418</v>
      </c>
      <c r="BD167" s="260">
        <f t="shared" si="143"/>
        <v>2415462</v>
      </c>
      <c r="BE167" s="260">
        <f t="shared" si="144"/>
        <v>2536842</v>
      </c>
      <c r="BF167" s="397">
        <f t="shared" si="145"/>
        <v>237518838</v>
      </c>
      <c r="BG167" s="397">
        <f t="shared" si="146"/>
        <v>249454458</v>
      </c>
    </row>
    <row r="168" spans="1:59" ht="15.75">
      <c r="A168" s="338">
        <v>12</v>
      </c>
      <c r="B168" s="338" t="str">
        <f t="shared" si="98"/>
        <v>FRUTA_12</v>
      </c>
      <c r="C168" s="338" t="str">
        <f t="shared" si="99"/>
        <v>58_12</v>
      </c>
      <c r="D168" s="338" t="s">
        <v>1</v>
      </c>
      <c r="E168" s="258">
        <v>58</v>
      </c>
      <c r="F168" s="328" t="s">
        <v>67</v>
      </c>
      <c r="G168" s="258" t="s">
        <v>9</v>
      </c>
      <c r="H168" s="431">
        <f t="shared" si="100"/>
        <v>24</v>
      </c>
      <c r="I168" s="431">
        <f t="array" ref="I168">MAX((IF(MNU_CODIGO_ALIMENTO_ENTREGA=CONCATENATE($E168,"_","P_"),MNU_GRAMAJE_REQUERIDO_TIPOA,"")))</f>
        <v>100</v>
      </c>
      <c r="J168" s="259">
        <f t="shared" si="101"/>
        <v>5647</v>
      </c>
      <c r="K168" s="259">
        <f t="shared" si="102"/>
        <v>135528</v>
      </c>
      <c r="L168" s="452">
        <f t="shared" si="103"/>
        <v>154</v>
      </c>
      <c r="M168" s="452">
        <f t="shared" si="104"/>
        <v>7.515200000000001</v>
      </c>
      <c r="N168" s="452">
        <f t="shared" si="105"/>
        <v>0.13244246400000001</v>
      </c>
      <c r="O168" s="452">
        <f t="shared" si="106"/>
        <v>162</v>
      </c>
      <c r="P168" s="260">
        <f t="shared" si="107"/>
        <v>20871312</v>
      </c>
      <c r="Q168" s="260">
        <f t="shared" si="108"/>
        <v>21955536</v>
      </c>
      <c r="R168" s="432">
        <f t="shared" si="109"/>
        <v>23</v>
      </c>
      <c r="S168" s="432">
        <f t="array" ref="S168">MAX((IF(MNU_CODIGO_ALIMENTO_ENTREGA=CONCATENATE($E168,"_","P_"),MNU_GRAMAJE_REQUERIDO_TIPOB,"")))</f>
        <v>100</v>
      </c>
      <c r="T168" s="261">
        <f t="shared" si="110"/>
        <v>8984</v>
      </c>
      <c r="U168" s="261">
        <f t="shared" si="111"/>
        <v>206632</v>
      </c>
      <c r="V168" s="452">
        <f t="shared" si="112"/>
        <v>154</v>
      </c>
      <c r="W168" s="452">
        <f t="shared" si="113"/>
        <v>7.515200000000001</v>
      </c>
      <c r="X168" s="452">
        <f t="shared" si="114"/>
        <v>0.13244246400000001</v>
      </c>
      <c r="Y168" s="452">
        <f t="shared" si="115"/>
        <v>162</v>
      </c>
      <c r="Z168" s="262">
        <f t="shared" si="116"/>
        <v>31821328</v>
      </c>
      <c r="AA168" s="262">
        <f t="shared" si="117"/>
        <v>33474384</v>
      </c>
      <c r="AB168" s="431">
        <f t="shared" si="118"/>
        <v>23</v>
      </c>
      <c r="AC168" s="431">
        <f t="array" ref="AC168">MAX((IF(MNU_CODIGO_ALIMENTO_ENTREGA=CONCATENATE($E168,"_","P_"),MNU_GRAMAJE_REQUERIDO_TIPOC,"")))</f>
        <v>100</v>
      </c>
      <c r="AD168" s="259">
        <f t="shared" si="119"/>
        <v>10917</v>
      </c>
      <c r="AE168" s="259">
        <f t="shared" si="120"/>
        <v>251091</v>
      </c>
      <c r="AF168" s="452">
        <f t="shared" si="121"/>
        <v>154</v>
      </c>
      <c r="AG168" s="452">
        <f t="shared" si="122"/>
        <v>7.515200000000001</v>
      </c>
      <c r="AH168" s="452">
        <f t="shared" si="123"/>
        <v>0.13244246400000001</v>
      </c>
      <c r="AI168" s="452">
        <f t="shared" si="124"/>
        <v>162</v>
      </c>
      <c r="AJ168" s="260">
        <f t="shared" si="125"/>
        <v>38668014</v>
      </c>
      <c r="AK168" s="260">
        <f t="shared" si="126"/>
        <v>40676742</v>
      </c>
      <c r="AL168" s="432">
        <f t="shared" si="127"/>
        <v>23</v>
      </c>
      <c r="AM168" s="432">
        <f t="array" ref="AM168">MAX((IF(MNU_CODIGO_ALIMENTO_ENTREGA=CONCATENATE($E168,"_","P_"),MNU_GRAMAJE_REQUERIDO_TIPOM,"")))</f>
        <v>100</v>
      </c>
      <c r="AN168" s="261">
        <f t="shared" si="128"/>
        <v>161</v>
      </c>
      <c r="AO168" s="261">
        <f t="shared" si="129"/>
        <v>3703</v>
      </c>
      <c r="AP168" s="452">
        <f t="shared" si="130"/>
        <v>154</v>
      </c>
      <c r="AQ168" s="452">
        <f t="shared" si="131"/>
        <v>7.515200000000001</v>
      </c>
      <c r="AR168" s="452">
        <f t="shared" si="132"/>
        <v>0.13244246400000001</v>
      </c>
      <c r="AS168" s="452">
        <f t="shared" si="133"/>
        <v>162</v>
      </c>
      <c r="AT168" s="262">
        <f t="shared" si="134"/>
        <v>570262</v>
      </c>
      <c r="AU168" s="262">
        <f t="shared" si="135"/>
        <v>599886</v>
      </c>
      <c r="AV168" s="431">
        <f t="shared" si="136"/>
        <v>23</v>
      </c>
      <c r="AW168" s="431">
        <f t="array" ref="AW168">MAX((IF(MNU_CODIGO_ALIMENTO_ENTREGA=CONCATENATE($E168,"_","P_"),MNU_GRAMAJE_REQUERIDO_TIPOH,"")))</f>
        <v>100</v>
      </c>
      <c r="AX168" s="259">
        <f t="shared" si="137"/>
        <v>289</v>
      </c>
      <c r="AY168" s="259">
        <f t="shared" si="138"/>
        <v>6647</v>
      </c>
      <c r="AZ168" s="452">
        <f t="shared" si="139"/>
        <v>154</v>
      </c>
      <c r="BA168" s="452">
        <f t="shared" si="140"/>
        <v>7.515200000000001</v>
      </c>
      <c r="BB168" s="452">
        <f t="shared" si="141"/>
        <v>0.13244246400000001</v>
      </c>
      <c r="BC168" s="452">
        <f t="shared" si="142"/>
        <v>162</v>
      </c>
      <c r="BD168" s="260">
        <f t="shared" si="143"/>
        <v>1023638</v>
      </c>
      <c r="BE168" s="260">
        <f t="shared" si="144"/>
        <v>1076814</v>
      </c>
      <c r="BF168" s="397">
        <f t="shared" si="145"/>
        <v>92954554</v>
      </c>
      <c r="BG168" s="397">
        <f t="shared" si="146"/>
        <v>97783362</v>
      </c>
    </row>
    <row r="169" spans="1:59" ht="15.75">
      <c r="A169" s="338">
        <v>12</v>
      </c>
      <c r="B169" s="338" t="str">
        <f t="shared" si="98"/>
        <v>FRUTA_12</v>
      </c>
      <c r="C169" s="338" t="str">
        <f t="shared" si="99"/>
        <v>59_12</v>
      </c>
      <c r="D169" s="338" t="s">
        <v>1</v>
      </c>
      <c r="E169" s="258">
        <v>59</v>
      </c>
      <c r="F169" s="328" t="s">
        <v>99</v>
      </c>
      <c r="G169" s="258" t="s">
        <v>9</v>
      </c>
      <c r="H169" s="431">
        <f t="shared" si="100"/>
        <v>0</v>
      </c>
      <c r="I169" s="431">
        <f t="array" ref="I169">MAX((IF(MNU_CODIGO_ALIMENTO_ENTREGA=CONCATENATE($E169,"_","P_"),MNU_GRAMAJE_REQUERIDO_TIPOA,"")))</f>
        <v>0</v>
      </c>
      <c r="J169" s="259">
        <f t="shared" si="101"/>
        <v>5647</v>
      </c>
      <c r="K169" s="259">
        <f t="shared" si="102"/>
        <v>0</v>
      </c>
      <c r="L169" s="452">
        <f t="shared" si="103"/>
        <v>0</v>
      </c>
      <c r="M169" s="452">
        <f t="shared" si="104"/>
        <v>0</v>
      </c>
      <c r="N169" s="452">
        <f t="shared" si="105"/>
        <v>0</v>
      </c>
      <c r="O169" s="452">
        <f t="shared" si="106"/>
        <v>0</v>
      </c>
      <c r="P169" s="260">
        <f t="shared" si="107"/>
        <v>0</v>
      </c>
      <c r="Q169" s="260">
        <f t="shared" si="108"/>
        <v>0</v>
      </c>
      <c r="R169" s="432">
        <f t="shared" si="109"/>
        <v>8</v>
      </c>
      <c r="S169" s="432">
        <f t="array" ref="S169">MAX((IF(MNU_CODIGO_ALIMENTO_ENTREGA=CONCATENATE($E169,"_","P_"),MNU_GRAMAJE_REQUERIDO_TIPOB,"")))</f>
        <v>100</v>
      </c>
      <c r="T169" s="261">
        <f t="shared" si="110"/>
        <v>8984</v>
      </c>
      <c r="U169" s="261">
        <f t="shared" si="111"/>
        <v>71872</v>
      </c>
      <c r="V169" s="452">
        <f t="shared" si="112"/>
        <v>286</v>
      </c>
      <c r="W169" s="452">
        <f t="shared" si="113"/>
        <v>13.956800000000001</v>
      </c>
      <c r="X169" s="452">
        <f t="shared" si="114"/>
        <v>0.24596457599999999</v>
      </c>
      <c r="Y169" s="452">
        <f t="shared" si="115"/>
        <v>300</v>
      </c>
      <c r="Z169" s="262">
        <f t="shared" si="116"/>
        <v>20555392</v>
      </c>
      <c r="AA169" s="262">
        <f t="shared" si="117"/>
        <v>21561600</v>
      </c>
      <c r="AB169" s="431">
        <f t="shared" si="118"/>
        <v>8</v>
      </c>
      <c r="AC169" s="431">
        <f t="array" ref="AC169">MAX((IF(MNU_CODIGO_ALIMENTO_ENTREGA=CONCATENATE($E169,"_","P_"),MNU_GRAMAJE_REQUERIDO_TIPOC,"")))</f>
        <v>100</v>
      </c>
      <c r="AD169" s="259">
        <f t="shared" si="119"/>
        <v>10917</v>
      </c>
      <c r="AE169" s="259">
        <f t="shared" si="120"/>
        <v>87336</v>
      </c>
      <c r="AF169" s="452">
        <f t="shared" si="121"/>
        <v>286</v>
      </c>
      <c r="AG169" s="452">
        <f t="shared" si="122"/>
        <v>13.956800000000001</v>
      </c>
      <c r="AH169" s="452">
        <f t="shared" si="123"/>
        <v>0.24596457599999999</v>
      </c>
      <c r="AI169" s="452">
        <f t="shared" si="124"/>
        <v>300</v>
      </c>
      <c r="AJ169" s="260">
        <f t="shared" si="125"/>
        <v>24978096</v>
      </c>
      <c r="AK169" s="260">
        <f t="shared" si="126"/>
        <v>26200800</v>
      </c>
      <c r="AL169" s="432">
        <f t="shared" si="127"/>
        <v>8</v>
      </c>
      <c r="AM169" s="432">
        <f t="array" ref="AM169">MAX((IF(MNU_CODIGO_ALIMENTO_ENTREGA=CONCATENATE($E169,"_","P_"),MNU_GRAMAJE_REQUERIDO_TIPOM,"")))</f>
        <v>100</v>
      </c>
      <c r="AN169" s="261">
        <f t="shared" si="128"/>
        <v>161</v>
      </c>
      <c r="AO169" s="261">
        <f t="shared" si="129"/>
        <v>1288</v>
      </c>
      <c r="AP169" s="452">
        <f t="shared" si="130"/>
        <v>286</v>
      </c>
      <c r="AQ169" s="452">
        <f t="shared" si="131"/>
        <v>13.956800000000001</v>
      </c>
      <c r="AR169" s="452">
        <f t="shared" si="132"/>
        <v>0.24596457599999999</v>
      </c>
      <c r="AS169" s="452">
        <f t="shared" si="133"/>
        <v>300</v>
      </c>
      <c r="AT169" s="262">
        <f t="shared" si="134"/>
        <v>368368</v>
      </c>
      <c r="AU169" s="262">
        <f t="shared" si="135"/>
        <v>386400</v>
      </c>
      <c r="AV169" s="431">
        <f t="shared" si="136"/>
        <v>8</v>
      </c>
      <c r="AW169" s="431">
        <f t="array" ref="AW169">MAX((IF(MNU_CODIGO_ALIMENTO_ENTREGA=CONCATENATE($E169,"_","P_"),MNU_GRAMAJE_REQUERIDO_TIPOH,"")))</f>
        <v>100</v>
      </c>
      <c r="AX169" s="259">
        <f t="shared" si="137"/>
        <v>289</v>
      </c>
      <c r="AY169" s="259">
        <f t="shared" si="138"/>
        <v>2312</v>
      </c>
      <c r="AZ169" s="452">
        <f t="shared" si="139"/>
        <v>286</v>
      </c>
      <c r="BA169" s="452">
        <f t="shared" si="140"/>
        <v>13.956800000000001</v>
      </c>
      <c r="BB169" s="452">
        <f t="shared" si="141"/>
        <v>0.24596457599999999</v>
      </c>
      <c r="BC169" s="452">
        <f t="shared" si="142"/>
        <v>300</v>
      </c>
      <c r="BD169" s="260">
        <f t="shared" si="143"/>
        <v>661232</v>
      </c>
      <c r="BE169" s="260">
        <f t="shared" si="144"/>
        <v>693600</v>
      </c>
      <c r="BF169" s="397">
        <f t="shared" si="145"/>
        <v>46563088</v>
      </c>
      <c r="BG169" s="397">
        <f t="shared" si="146"/>
        <v>48842400</v>
      </c>
    </row>
    <row r="170" spans="1:59" ht="15.75">
      <c r="A170" s="338">
        <v>12</v>
      </c>
      <c r="B170" s="338" t="str">
        <f t="shared" si="98"/>
        <v>FRUTA_12</v>
      </c>
      <c r="C170" s="338" t="str">
        <f t="shared" si="99"/>
        <v>69_12</v>
      </c>
      <c r="D170" s="338" t="s">
        <v>1</v>
      </c>
      <c r="E170" s="258">
        <v>69</v>
      </c>
      <c r="F170" s="328" t="s">
        <v>70</v>
      </c>
      <c r="G170" s="258" t="s">
        <v>9</v>
      </c>
      <c r="H170" s="431">
        <f t="shared" si="100"/>
        <v>30</v>
      </c>
      <c r="I170" s="431">
        <f t="array" ref="I170">MAX((IF(MNU_CODIGO_ALIMENTO_ENTREGA=CONCATENATE($E170,"_","P_"),MNU_GRAMAJE_REQUERIDO_TIPOA,"")))</f>
        <v>100</v>
      </c>
      <c r="J170" s="259">
        <f t="shared" si="101"/>
        <v>5647</v>
      </c>
      <c r="K170" s="259">
        <f t="shared" si="102"/>
        <v>169410</v>
      </c>
      <c r="L170" s="452">
        <f t="shared" si="103"/>
        <v>305</v>
      </c>
      <c r="M170" s="452">
        <f t="shared" si="104"/>
        <v>14.884</v>
      </c>
      <c r="N170" s="452">
        <f t="shared" si="105"/>
        <v>0.26230488000000002</v>
      </c>
      <c r="O170" s="452">
        <f t="shared" si="106"/>
        <v>320</v>
      </c>
      <c r="P170" s="260">
        <f t="shared" si="107"/>
        <v>51670050</v>
      </c>
      <c r="Q170" s="260">
        <f t="shared" si="108"/>
        <v>54211200</v>
      </c>
      <c r="R170" s="432">
        <f t="shared" si="109"/>
        <v>16</v>
      </c>
      <c r="S170" s="432">
        <f t="array" ref="S170">MAX((IF(MNU_CODIGO_ALIMENTO_ENTREGA=CONCATENATE($E170,"_","P_"),MNU_GRAMAJE_REQUERIDO_TIPOB,"")))</f>
        <v>100</v>
      </c>
      <c r="T170" s="261">
        <f t="shared" si="110"/>
        <v>8984</v>
      </c>
      <c r="U170" s="261">
        <f t="shared" si="111"/>
        <v>143744</v>
      </c>
      <c r="V170" s="452">
        <f t="shared" si="112"/>
        <v>305</v>
      </c>
      <c r="W170" s="452">
        <f t="shared" si="113"/>
        <v>14.884</v>
      </c>
      <c r="X170" s="452">
        <f t="shared" si="114"/>
        <v>0.26230488000000002</v>
      </c>
      <c r="Y170" s="452">
        <f t="shared" si="115"/>
        <v>320</v>
      </c>
      <c r="Z170" s="262">
        <f t="shared" si="116"/>
        <v>43841920</v>
      </c>
      <c r="AA170" s="262">
        <f t="shared" si="117"/>
        <v>45998080</v>
      </c>
      <c r="AB170" s="431">
        <f t="shared" si="118"/>
        <v>16</v>
      </c>
      <c r="AC170" s="431">
        <f t="array" ref="AC170">MAX((IF(MNU_CODIGO_ALIMENTO_ENTREGA=CONCATENATE($E170,"_","P_"),MNU_GRAMAJE_REQUERIDO_TIPOC,"")))</f>
        <v>100</v>
      </c>
      <c r="AD170" s="259">
        <f t="shared" si="119"/>
        <v>10917</v>
      </c>
      <c r="AE170" s="259">
        <f t="shared" si="120"/>
        <v>174672</v>
      </c>
      <c r="AF170" s="452">
        <f t="shared" si="121"/>
        <v>305</v>
      </c>
      <c r="AG170" s="452">
        <f t="shared" si="122"/>
        <v>14.884</v>
      </c>
      <c r="AH170" s="452">
        <f t="shared" si="123"/>
        <v>0.26230488000000002</v>
      </c>
      <c r="AI170" s="452">
        <f t="shared" si="124"/>
        <v>320</v>
      </c>
      <c r="AJ170" s="260">
        <f t="shared" si="125"/>
        <v>53274960</v>
      </c>
      <c r="AK170" s="260">
        <f t="shared" si="126"/>
        <v>55895040</v>
      </c>
      <c r="AL170" s="432">
        <f t="shared" si="127"/>
        <v>16</v>
      </c>
      <c r="AM170" s="432">
        <f t="array" ref="AM170">MAX((IF(MNU_CODIGO_ALIMENTO_ENTREGA=CONCATENATE($E170,"_","P_"),MNU_GRAMAJE_REQUERIDO_TIPOM,"")))</f>
        <v>100</v>
      </c>
      <c r="AN170" s="261">
        <f t="shared" si="128"/>
        <v>161</v>
      </c>
      <c r="AO170" s="261">
        <f t="shared" si="129"/>
        <v>2576</v>
      </c>
      <c r="AP170" s="452">
        <f t="shared" si="130"/>
        <v>305</v>
      </c>
      <c r="AQ170" s="452">
        <f t="shared" si="131"/>
        <v>14.884</v>
      </c>
      <c r="AR170" s="452">
        <f t="shared" si="132"/>
        <v>0.26230488000000002</v>
      </c>
      <c r="AS170" s="452">
        <f t="shared" si="133"/>
        <v>320</v>
      </c>
      <c r="AT170" s="262">
        <f t="shared" si="134"/>
        <v>785680</v>
      </c>
      <c r="AU170" s="262">
        <f t="shared" si="135"/>
        <v>824320</v>
      </c>
      <c r="AV170" s="431">
        <f t="shared" si="136"/>
        <v>16</v>
      </c>
      <c r="AW170" s="431">
        <f t="array" ref="AW170">MAX((IF(MNU_CODIGO_ALIMENTO_ENTREGA=CONCATENATE($E170,"_","P_"),MNU_GRAMAJE_REQUERIDO_TIPOH,"")))</f>
        <v>100</v>
      </c>
      <c r="AX170" s="259">
        <f t="shared" si="137"/>
        <v>289</v>
      </c>
      <c r="AY170" s="259">
        <f t="shared" si="138"/>
        <v>4624</v>
      </c>
      <c r="AZ170" s="452">
        <f t="shared" si="139"/>
        <v>305</v>
      </c>
      <c r="BA170" s="452">
        <f t="shared" si="140"/>
        <v>14.884</v>
      </c>
      <c r="BB170" s="452">
        <f t="shared" si="141"/>
        <v>0.26230488000000002</v>
      </c>
      <c r="BC170" s="452">
        <f t="shared" si="142"/>
        <v>320</v>
      </c>
      <c r="BD170" s="260">
        <f t="shared" si="143"/>
        <v>1410320</v>
      </c>
      <c r="BE170" s="260">
        <f t="shared" si="144"/>
        <v>1479680</v>
      </c>
      <c r="BF170" s="397">
        <f t="shared" si="145"/>
        <v>150982930</v>
      </c>
      <c r="BG170" s="397">
        <f t="shared" si="146"/>
        <v>158408320</v>
      </c>
    </row>
    <row r="171" spans="1:59" ht="15.75">
      <c r="A171" s="338">
        <v>12</v>
      </c>
      <c r="B171" s="338" t="str">
        <f t="shared" si="98"/>
        <v>FRUTA_12</v>
      </c>
      <c r="C171" s="338" t="str">
        <f t="shared" si="99"/>
        <v>70_12</v>
      </c>
      <c r="D171" s="338" t="s">
        <v>1</v>
      </c>
      <c r="E171" s="258">
        <v>70</v>
      </c>
      <c r="F171" s="328" t="s">
        <v>71</v>
      </c>
      <c r="G171" s="258" t="s">
        <v>9</v>
      </c>
      <c r="H171" s="431">
        <f t="shared" si="100"/>
        <v>0</v>
      </c>
      <c r="I171" s="431">
        <f t="array" ref="I171">MAX((IF(MNU_CODIGO_ALIMENTO_ENTREGA=CONCATENATE($E171,"_","P_"),MNU_GRAMAJE_REQUERIDO_TIPOA,"")))</f>
        <v>0</v>
      </c>
      <c r="J171" s="259">
        <f t="shared" si="101"/>
        <v>5647</v>
      </c>
      <c r="K171" s="259">
        <f t="shared" si="102"/>
        <v>0</v>
      </c>
      <c r="L171" s="452">
        <f t="shared" si="103"/>
        <v>0</v>
      </c>
      <c r="M171" s="452">
        <f t="shared" si="104"/>
        <v>0</v>
      </c>
      <c r="N171" s="452">
        <f t="shared" si="105"/>
        <v>0</v>
      </c>
      <c r="O171" s="452">
        <f t="shared" si="106"/>
        <v>0</v>
      </c>
      <c r="P171" s="260">
        <f t="shared" si="107"/>
        <v>0</v>
      </c>
      <c r="Q171" s="260">
        <f t="shared" si="108"/>
        <v>0</v>
      </c>
      <c r="R171" s="432">
        <f t="shared" si="109"/>
        <v>10</v>
      </c>
      <c r="S171" s="432">
        <f t="array" ref="S171">MAX((IF(MNU_CODIGO_ALIMENTO_ENTREGA=CONCATENATE($E171,"_","P_"),MNU_GRAMAJE_REQUERIDO_TIPOB,"")))</f>
        <v>100</v>
      </c>
      <c r="T171" s="261">
        <f t="shared" si="110"/>
        <v>8984</v>
      </c>
      <c r="U171" s="261">
        <f t="shared" si="111"/>
        <v>89840</v>
      </c>
      <c r="V171" s="452">
        <f t="shared" si="112"/>
        <v>434</v>
      </c>
      <c r="W171" s="452">
        <f t="shared" si="113"/>
        <v>21.179200000000002</v>
      </c>
      <c r="X171" s="452">
        <f t="shared" si="114"/>
        <v>0.37324694399999997</v>
      </c>
      <c r="Y171" s="452">
        <f t="shared" si="115"/>
        <v>456</v>
      </c>
      <c r="Z171" s="262">
        <f t="shared" si="116"/>
        <v>38990560</v>
      </c>
      <c r="AA171" s="262">
        <f t="shared" si="117"/>
        <v>40967040</v>
      </c>
      <c r="AB171" s="431">
        <f t="shared" si="118"/>
        <v>10</v>
      </c>
      <c r="AC171" s="431">
        <f t="array" ref="AC171">MAX((IF(MNU_CODIGO_ALIMENTO_ENTREGA=CONCATENATE($E171,"_","P_"),MNU_GRAMAJE_REQUERIDO_TIPOC,"")))</f>
        <v>100</v>
      </c>
      <c r="AD171" s="259">
        <f t="shared" si="119"/>
        <v>10917</v>
      </c>
      <c r="AE171" s="259">
        <f t="shared" si="120"/>
        <v>109170</v>
      </c>
      <c r="AF171" s="452">
        <f t="shared" si="121"/>
        <v>434</v>
      </c>
      <c r="AG171" s="452">
        <f t="shared" si="122"/>
        <v>21.179200000000002</v>
      </c>
      <c r="AH171" s="452">
        <f t="shared" si="123"/>
        <v>0.37324694399999997</v>
      </c>
      <c r="AI171" s="452">
        <f t="shared" si="124"/>
        <v>456</v>
      </c>
      <c r="AJ171" s="260">
        <f t="shared" si="125"/>
        <v>47379780</v>
      </c>
      <c r="AK171" s="260">
        <f t="shared" si="126"/>
        <v>49781520</v>
      </c>
      <c r="AL171" s="432">
        <f t="shared" si="127"/>
        <v>10</v>
      </c>
      <c r="AM171" s="432">
        <f t="array" ref="AM171">MAX((IF(MNU_CODIGO_ALIMENTO_ENTREGA=CONCATENATE($E171,"_","P_"),MNU_GRAMAJE_REQUERIDO_TIPOM,"")))</f>
        <v>100</v>
      </c>
      <c r="AN171" s="261">
        <f t="shared" si="128"/>
        <v>161</v>
      </c>
      <c r="AO171" s="261">
        <f t="shared" si="129"/>
        <v>1610</v>
      </c>
      <c r="AP171" s="452">
        <f t="shared" si="130"/>
        <v>434</v>
      </c>
      <c r="AQ171" s="452">
        <f t="shared" si="131"/>
        <v>21.179200000000002</v>
      </c>
      <c r="AR171" s="452">
        <f t="shared" si="132"/>
        <v>0.37324694399999997</v>
      </c>
      <c r="AS171" s="452">
        <f t="shared" si="133"/>
        <v>456</v>
      </c>
      <c r="AT171" s="262">
        <f t="shared" si="134"/>
        <v>698740</v>
      </c>
      <c r="AU171" s="262">
        <f t="shared" si="135"/>
        <v>734160</v>
      </c>
      <c r="AV171" s="431">
        <f t="shared" si="136"/>
        <v>10</v>
      </c>
      <c r="AW171" s="431">
        <f t="array" ref="AW171">MAX((IF(MNU_CODIGO_ALIMENTO_ENTREGA=CONCATENATE($E171,"_","P_"),MNU_GRAMAJE_REQUERIDO_TIPOH,"")))</f>
        <v>100</v>
      </c>
      <c r="AX171" s="259">
        <f t="shared" si="137"/>
        <v>289</v>
      </c>
      <c r="AY171" s="259">
        <f t="shared" si="138"/>
        <v>2890</v>
      </c>
      <c r="AZ171" s="452">
        <f t="shared" si="139"/>
        <v>434</v>
      </c>
      <c r="BA171" s="452">
        <f t="shared" si="140"/>
        <v>21.179200000000002</v>
      </c>
      <c r="BB171" s="452">
        <f t="shared" si="141"/>
        <v>0.37324694399999997</v>
      </c>
      <c r="BC171" s="452">
        <f t="shared" si="142"/>
        <v>456</v>
      </c>
      <c r="BD171" s="260">
        <f t="shared" si="143"/>
        <v>1254260</v>
      </c>
      <c r="BE171" s="260">
        <f t="shared" si="144"/>
        <v>1317840</v>
      </c>
      <c r="BF171" s="397">
        <f t="shared" si="145"/>
        <v>88323340</v>
      </c>
      <c r="BG171" s="397">
        <f t="shared" si="146"/>
        <v>92800560</v>
      </c>
    </row>
    <row r="172" spans="1:59" ht="15.75">
      <c r="A172" s="338">
        <v>13</v>
      </c>
      <c r="B172" s="338" t="str">
        <f t="shared" si="98"/>
        <v>FRUTA_13</v>
      </c>
      <c r="C172" s="338" t="str">
        <f t="shared" si="99"/>
        <v>7_13</v>
      </c>
      <c r="D172" s="338" t="s">
        <v>1</v>
      </c>
      <c r="E172" s="258">
        <v>7</v>
      </c>
      <c r="F172" s="328" t="s">
        <v>57</v>
      </c>
      <c r="G172" s="258" t="s">
        <v>9</v>
      </c>
      <c r="H172" s="431">
        <f t="shared" si="100"/>
        <v>22</v>
      </c>
      <c r="I172" s="431">
        <f t="array" ref="I172">MAX((IF(MNU_CODIGO_ALIMENTO_ENTREGA=CONCATENATE($E172,"_","P_"),MNU_GRAMAJE_REQUERIDO_TIPOA,"")))</f>
        <v>100</v>
      </c>
      <c r="J172" s="259">
        <f t="shared" si="101"/>
        <v>5162</v>
      </c>
      <c r="K172" s="259">
        <f t="shared" si="102"/>
        <v>113564</v>
      </c>
      <c r="L172" s="452">
        <f t="shared" si="103"/>
        <v>107</v>
      </c>
      <c r="M172" s="452">
        <f t="shared" si="104"/>
        <v>5.2216000000000005</v>
      </c>
      <c r="N172" s="452">
        <f t="shared" si="105"/>
        <v>9.2021712000000006E-2</v>
      </c>
      <c r="O172" s="452">
        <f t="shared" si="106"/>
        <v>112</v>
      </c>
      <c r="P172" s="260">
        <f t="shared" si="107"/>
        <v>12151348</v>
      </c>
      <c r="Q172" s="260">
        <f t="shared" si="108"/>
        <v>12719168</v>
      </c>
      <c r="R172" s="432">
        <f t="shared" si="109"/>
        <v>9</v>
      </c>
      <c r="S172" s="432">
        <f t="array" ref="S172">MAX((IF(MNU_CODIGO_ALIMENTO_ENTREGA=CONCATENATE($E172,"_","P_"),MNU_GRAMAJE_REQUERIDO_TIPOB,"")))</f>
        <v>100</v>
      </c>
      <c r="T172" s="261">
        <f t="shared" si="110"/>
        <v>7506</v>
      </c>
      <c r="U172" s="261">
        <f t="shared" si="111"/>
        <v>67554</v>
      </c>
      <c r="V172" s="452">
        <f t="shared" si="112"/>
        <v>107</v>
      </c>
      <c r="W172" s="452">
        <f t="shared" si="113"/>
        <v>5.2216000000000005</v>
      </c>
      <c r="X172" s="452">
        <f t="shared" si="114"/>
        <v>9.2021712000000006E-2</v>
      </c>
      <c r="Y172" s="452">
        <f t="shared" si="115"/>
        <v>112</v>
      </c>
      <c r="Z172" s="262">
        <f t="shared" si="116"/>
        <v>7228278</v>
      </c>
      <c r="AA172" s="262">
        <f t="shared" si="117"/>
        <v>7566048</v>
      </c>
      <c r="AB172" s="431">
        <f t="shared" si="118"/>
        <v>9</v>
      </c>
      <c r="AC172" s="431">
        <f t="array" ref="AC172">MAX((IF(MNU_CODIGO_ALIMENTO_ENTREGA=CONCATENATE($E172,"_","P_"),MNU_GRAMAJE_REQUERIDO_TIPOC,"")))</f>
        <v>100</v>
      </c>
      <c r="AD172" s="259">
        <f t="shared" si="119"/>
        <v>10054</v>
      </c>
      <c r="AE172" s="259">
        <f t="shared" si="120"/>
        <v>90486</v>
      </c>
      <c r="AF172" s="452">
        <f t="shared" si="121"/>
        <v>107</v>
      </c>
      <c r="AG172" s="452">
        <f t="shared" si="122"/>
        <v>5.2216000000000005</v>
      </c>
      <c r="AH172" s="452">
        <f t="shared" si="123"/>
        <v>9.2021712000000006E-2</v>
      </c>
      <c r="AI172" s="452">
        <f t="shared" si="124"/>
        <v>112</v>
      </c>
      <c r="AJ172" s="260">
        <f t="shared" si="125"/>
        <v>9682002</v>
      </c>
      <c r="AK172" s="260">
        <f t="shared" si="126"/>
        <v>10134432</v>
      </c>
      <c r="AL172" s="432">
        <f t="shared" si="127"/>
        <v>9</v>
      </c>
      <c r="AM172" s="432">
        <f t="array" ref="AM172">MAX((IF(MNU_CODIGO_ALIMENTO_ENTREGA=CONCATENATE($E172,"_","P_"),MNU_GRAMAJE_REQUERIDO_TIPOM,"")))</f>
        <v>100</v>
      </c>
      <c r="AN172" s="261">
        <f t="shared" si="128"/>
        <v>227</v>
      </c>
      <c r="AO172" s="261">
        <f t="shared" si="129"/>
        <v>2043</v>
      </c>
      <c r="AP172" s="452">
        <f t="shared" si="130"/>
        <v>107</v>
      </c>
      <c r="AQ172" s="452">
        <f t="shared" si="131"/>
        <v>5.2216000000000005</v>
      </c>
      <c r="AR172" s="452">
        <f t="shared" si="132"/>
        <v>9.2021712000000006E-2</v>
      </c>
      <c r="AS172" s="452">
        <f t="shared" si="133"/>
        <v>112</v>
      </c>
      <c r="AT172" s="262">
        <f t="shared" si="134"/>
        <v>218601</v>
      </c>
      <c r="AU172" s="262">
        <f t="shared" si="135"/>
        <v>228816</v>
      </c>
      <c r="AV172" s="431">
        <f t="shared" si="136"/>
        <v>9</v>
      </c>
      <c r="AW172" s="431">
        <f t="array" ref="AW172">MAX((IF(MNU_CODIGO_ALIMENTO_ENTREGA=CONCATENATE($E172,"_","P_"),MNU_GRAMAJE_REQUERIDO_TIPOH,"")))</f>
        <v>100</v>
      </c>
      <c r="AX172" s="259">
        <f t="shared" si="137"/>
        <v>281</v>
      </c>
      <c r="AY172" s="259">
        <f t="shared" si="138"/>
        <v>2529</v>
      </c>
      <c r="AZ172" s="452">
        <f t="shared" si="139"/>
        <v>107</v>
      </c>
      <c r="BA172" s="452">
        <f t="shared" si="140"/>
        <v>5.2216000000000005</v>
      </c>
      <c r="BB172" s="452">
        <f t="shared" si="141"/>
        <v>9.2021712000000006E-2</v>
      </c>
      <c r="BC172" s="452">
        <f t="shared" si="142"/>
        <v>112</v>
      </c>
      <c r="BD172" s="260">
        <f t="shared" si="143"/>
        <v>270603</v>
      </c>
      <c r="BE172" s="260">
        <f t="shared" si="144"/>
        <v>283248</v>
      </c>
      <c r="BF172" s="397">
        <f t="shared" si="145"/>
        <v>29550832</v>
      </c>
      <c r="BG172" s="397">
        <f t="shared" si="146"/>
        <v>30931712</v>
      </c>
    </row>
    <row r="173" spans="1:59" ht="15.75">
      <c r="A173" s="338">
        <v>13</v>
      </c>
      <c r="B173" s="338" t="str">
        <f t="shared" si="98"/>
        <v>FRUTA_13</v>
      </c>
      <c r="C173" s="338" t="str">
        <f t="shared" si="99"/>
        <v>8_13</v>
      </c>
      <c r="D173" s="338" t="s">
        <v>1</v>
      </c>
      <c r="E173" s="258">
        <v>8</v>
      </c>
      <c r="F173" s="328" t="s">
        <v>55</v>
      </c>
      <c r="G173" s="258" t="s">
        <v>9</v>
      </c>
      <c r="H173" s="431">
        <f t="shared" si="100"/>
        <v>10</v>
      </c>
      <c r="I173" s="431">
        <f t="array" ref="I173">MAX((IF(MNU_CODIGO_ALIMENTO_ENTREGA=CONCATENATE($E173,"_","P_"),MNU_GRAMAJE_REQUERIDO_TIPOA,"")))</f>
        <v>100</v>
      </c>
      <c r="J173" s="259">
        <f t="shared" si="101"/>
        <v>5162</v>
      </c>
      <c r="K173" s="259">
        <f t="shared" si="102"/>
        <v>51620</v>
      </c>
      <c r="L173" s="452">
        <f t="shared" si="103"/>
        <v>134</v>
      </c>
      <c r="M173" s="452">
        <f t="shared" si="104"/>
        <v>6.539200000000001</v>
      </c>
      <c r="N173" s="452">
        <f t="shared" si="105"/>
        <v>0.115242144</v>
      </c>
      <c r="O173" s="452">
        <f t="shared" si="106"/>
        <v>141</v>
      </c>
      <c r="P173" s="260">
        <f t="shared" si="107"/>
        <v>6917080</v>
      </c>
      <c r="Q173" s="260">
        <f t="shared" si="108"/>
        <v>7278420</v>
      </c>
      <c r="R173" s="432">
        <f t="shared" si="109"/>
        <v>8</v>
      </c>
      <c r="S173" s="432">
        <f t="array" ref="S173">MAX((IF(MNU_CODIGO_ALIMENTO_ENTREGA=CONCATENATE($E173,"_","P_"),MNU_GRAMAJE_REQUERIDO_TIPOB,"")))</f>
        <v>100</v>
      </c>
      <c r="T173" s="261">
        <f t="shared" si="110"/>
        <v>7506</v>
      </c>
      <c r="U173" s="261">
        <f t="shared" si="111"/>
        <v>60048</v>
      </c>
      <c r="V173" s="452">
        <f t="shared" si="112"/>
        <v>134</v>
      </c>
      <c r="W173" s="452">
        <f t="shared" si="113"/>
        <v>6.539200000000001</v>
      </c>
      <c r="X173" s="452">
        <f t="shared" si="114"/>
        <v>0.115242144</v>
      </c>
      <c r="Y173" s="452">
        <f t="shared" si="115"/>
        <v>141</v>
      </c>
      <c r="Z173" s="262">
        <f t="shared" si="116"/>
        <v>8046432</v>
      </c>
      <c r="AA173" s="262">
        <f t="shared" si="117"/>
        <v>8466768</v>
      </c>
      <c r="AB173" s="431">
        <f t="shared" si="118"/>
        <v>8</v>
      </c>
      <c r="AC173" s="431">
        <f t="array" ref="AC173">MAX((IF(MNU_CODIGO_ALIMENTO_ENTREGA=CONCATENATE($E173,"_","P_"),MNU_GRAMAJE_REQUERIDO_TIPOC,"")))</f>
        <v>100</v>
      </c>
      <c r="AD173" s="259">
        <f t="shared" si="119"/>
        <v>10054</v>
      </c>
      <c r="AE173" s="259">
        <f t="shared" si="120"/>
        <v>80432</v>
      </c>
      <c r="AF173" s="452">
        <f t="shared" si="121"/>
        <v>134</v>
      </c>
      <c r="AG173" s="452">
        <f t="shared" si="122"/>
        <v>6.539200000000001</v>
      </c>
      <c r="AH173" s="452">
        <f t="shared" si="123"/>
        <v>0.115242144</v>
      </c>
      <c r="AI173" s="452">
        <f t="shared" si="124"/>
        <v>141</v>
      </c>
      <c r="AJ173" s="260">
        <f t="shared" si="125"/>
        <v>10777888</v>
      </c>
      <c r="AK173" s="260">
        <f t="shared" si="126"/>
        <v>11340912</v>
      </c>
      <c r="AL173" s="432">
        <f t="shared" si="127"/>
        <v>8</v>
      </c>
      <c r="AM173" s="432">
        <f t="array" ref="AM173">MAX((IF(MNU_CODIGO_ALIMENTO_ENTREGA=CONCATENATE($E173,"_","P_"),MNU_GRAMAJE_REQUERIDO_TIPOM,"")))</f>
        <v>100</v>
      </c>
      <c r="AN173" s="261">
        <f t="shared" si="128"/>
        <v>227</v>
      </c>
      <c r="AO173" s="261">
        <f t="shared" si="129"/>
        <v>1816</v>
      </c>
      <c r="AP173" s="452">
        <f t="shared" si="130"/>
        <v>134</v>
      </c>
      <c r="AQ173" s="452">
        <f t="shared" si="131"/>
        <v>6.539200000000001</v>
      </c>
      <c r="AR173" s="452">
        <f t="shared" si="132"/>
        <v>0.115242144</v>
      </c>
      <c r="AS173" s="452">
        <f t="shared" si="133"/>
        <v>141</v>
      </c>
      <c r="AT173" s="262">
        <f t="shared" si="134"/>
        <v>243344</v>
      </c>
      <c r="AU173" s="262">
        <f t="shared" si="135"/>
        <v>256056</v>
      </c>
      <c r="AV173" s="431">
        <f t="shared" si="136"/>
        <v>8</v>
      </c>
      <c r="AW173" s="431">
        <f t="array" ref="AW173">MAX((IF(MNU_CODIGO_ALIMENTO_ENTREGA=CONCATENATE($E173,"_","P_"),MNU_GRAMAJE_REQUERIDO_TIPOH,"")))</f>
        <v>100</v>
      </c>
      <c r="AX173" s="259">
        <f t="shared" si="137"/>
        <v>281</v>
      </c>
      <c r="AY173" s="259">
        <f t="shared" si="138"/>
        <v>2248</v>
      </c>
      <c r="AZ173" s="452">
        <f t="shared" si="139"/>
        <v>134</v>
      </c>
      <c r="BA173" s="452">
        <f t="shared" si="140"/>
        <v>6.539200000000001</v>
      </c>
      <c r="BB173" s="452">
        <f t="shared" si="141"/>
        <v>0.115242144</v>
      </c>
      <c r="BC173" s="452">
        <f t="shared" si="142"/>
        <v>141</v>
      </c>
      <c r="BD173" s="260">
        <f t="shared" si="143"/>
        <v>301232</v>
      </c>
      <c r="BE173" s="260">
        <f t="shared" si="144"/>
        <v>316968</v>
      </c>
      <c r="BF173" s="397">
        <f t="shared" si="145"/>
        <v>26285976</v>
      </c>
      <c r="BG173" s="397">
        <f t="shared" si="146"/>
        <v>27659124</v>
      </c>
    </row>
    <row r="174" spans="1:59" ht="15.75">
      <c r="A174" s="338">
        <v>13</v>
      </c>
      <c r="B174" s="338" t="str">
        <f t="shared" si="98"/>
        <v>FRUTA_13</v>
      </c>
      <c r="C174" s="338" t="str">
        <f t="shared" si="99"/>
        <v>17_13</v>
      </c>
      <c r="D174" s="338" t="s">
        <v>1</v>
      </c>
      <c r="E174" s="258">
        <v>17</v>
      </c>
      <c r="F174" s="328" t="s">
        <v>53</v>
      </c>
      <c r="G174" s="258" t="s">
        <v>9</v>
      </c>
      <c r="H174" s="431">
        <f t="shared" si="100"/>
        <v>0</v>
      </c>
      <c r="I174" s="431">
        <f t="array" ref="I174">MAX((IF(MNU_CODIGO_ALIMENTO_ENTREGA=CONCATENATE($E174,"_","P_"),MNU_GRAMAJE_REQUERIDO_TIPOA,"")))</f>
        <v>0</v>
      </c>
      <c r="J174" s="259">
        <f t="shared" si="101"/>
        <v>5162</v>
      </c>
      <c r="K174" s="259">
        <f t="shared" si="102"/>
        <v>0</v>
      </c>
      <c r="L174" s="452">
        <f t="shared" si="103"/>
        <v>0</v>
      </c>
      <c r="M174" s="452">
        <f t="shared" si="104"/>
        <v>0</v>
      </c>
      <c r="N174" s="452">
        <f t="shared" si="105"/>
        <v>0</v>
      </c>
      <c r="O174" s="452">
        <f t="shared" si="106"/>
        <v>0</v>
      </c>
      <c r="P174" s="260">
        <f t="shared" si="107"/>
        <v>0</v>
      </c>
      <c r="Q174" s="260">
        <f t="shared" si="108"/>
        <v>0</v>
      </c>
      <c r="R174" s="432">
        <f t="shared" si="109"/>
        <v>21</v>
      </c>
      <c r="S174" s="432">
        <f t="array" ref="S174">MAX((IF(MNU_CODIGO_ALIMENTO_ENTREGA=CONCATENATE($E174,"_","P_"),MNU_GRAMAJE_REQUERIDO_TIPOB,"")))</f>
        <v>100</v>
      </c>
      <c r="T174" s="261">
        <f t="shared" si="110"/>
        <v>7506</v>
      </c>
      <c r="U174" s="261">
        <f t="shared" si="111"/>
        <v>157626</v>
      </c>
      <c r="V174" s="452">
        <f t="shared" si="112"/>
        <v>226</v>
      </c>
      <c r="W174" s="452">
        <f t="shared" si="113"/>
        <v>11.0288</v>
      </c>
      <c r="X174" s="452">
        <f t="shared" si="114"/>
        <v>0.19436361600000002</v>
      </c>
      <c r="Y174" s="452">
        <f t="shared" si="115"/>
        <v>237</v>
      </c>
      <c r="Z174" s="262">
        <f t="shared" si="116"/>
        <v>35623476</v>
      </c>
      <c r="AA174" s="262">
        <f t="shared" si="117"/>
        <v>37357362</v>
      </c>
      <c r="AB174" s="431">
        <f t="shared" si="118"/>
        <v>21</v>
      </c>
      <c r="AC174" s="431">
        <f t="array" ref="AC174">MAX((IF(MNU_CODIGO_ALIMENTO_ENTREGA=CONCATENATE($E174,"_","P_"),MNU_GRAMAJE_REQUERIDO_TIPOC,"")))</f>
        <v>100</v>
      </c>
      <c r="AD174" s="259">
        <f t="shared" si="119"/>
        <v>10054</v>
      </c>
      <c r="AE174" s="259">
        <f t="shared" si="120"/>
        <v>211134</v>
      </c>
      <c r="AF174" s="452">
        <f t="shared" si="121"/>
        <v>226</v>
      </c>
      <c r="AG174" s="452">
        <f t="shared" si="122"/>
        <v>11.0288</v>
      </c>
      <c r="AH174" s="452">
        <f t="shared" si="123"/>
        <v>0.19436361600000002</v>
      </c>
      <c r="AI174" s="452">
        <f t="shared" si="124"/>
        <v>237</v>
      </c>
      <c r="AJ174" s="260">
        <f t="shared" si="125"/>
        <v>47716284</v>
      </c>
      <c r="AK174" s="260">
        <f t="shared" si="126"/>
        <v>50038758</v>
      </c>
      <c r="AL174" s="432">
        <f t="shared" si="127"/>
        <v>21</v>
      </c>
      <c r="AM174" s="432">
        <f t="array" ref="AM174">MAX((IF(MNU_CODIGO_ALIMENTO_ENTREGA=CONCATENATE($E174,"_","P_"),MNU_GRAMAJE_REQUERIDO_TIPOM,"")))</f>
        <v>100</v>
      </c>
      <c r="AN174" s="261">
        <f t="shared" si="128"/>
        <v>227</v>
      </c>
      <c r="AO174" s="261">
        <f t="shared" si="129"/>
        <v>4767</v>
      </c>
      <c r="AP174" s="452">
        <f t="shared" si="130"/>
        <v>226</v>
      </c>
      <c r="AQ174" s="452">
        <f t="shared" si="131"/>
        <v>11.0288</v>
      </c>
      <c r="AR174" s="452">
        <f t="shared" si="132"/>
        <v>0.19436361600000002</v>
      </c>
      <c r="AS174" s="452">
        <f t="shared" si="133"/>
        <v>237</v>
      </c>
      <c r="AT174" s="262">
        <f t="shared" si="134"/>
        <v>1077342</v>
      </c>
      <c r="AU174" s="262">
        <f t="shared" si="135"/>
        <v>1129779</v>
      </c>
      <c r="AV174" s="431">
        <f t="shared" si="136"/>
        <v>21</v>
      </c>
      <c r="AW174" s="431">
        <f t="array" ref="AW174">MAX((IF(MNU_CODIGO_ALIMENTO_ENTREGA=CONCATENATE($E174,"_","P_"),MNU_GRAMAJE_REQUERIDO_TIPOH,"")))</f>
        <v>100</v>
      </c>
      <c r="AX174" s="259">
        <f t="shared" si="137"/>
        <v>281</v>
      </c>
      <c r="AY174" s="259">
        <f t="shared" si="138"/>
        <v>5901</v>
      </c>
      <c r="AZ174" s="452">
        <f t="shared" si="139"/>
        <v>226</v>
      </c>
      <c r="BA174" s="452">
        <f t="shared" si="140"/>
        <v>11.0288</v>
      </c>
      <c r="BB174" s="452">
        <f t="shared" si="141"/>
        <v>0.19436361600000002</v>
      </c>
      <c r="BC174" s="452">
        <f t="shared" si="142"/>
        <v>237</v>
      </c>
      <c r="BD174" s="260">
        <f t="shared" si="143"/>
        <v>1333626</v>
      </c>
      <c r="BE174" s="260">
        <f t="shared" si="144"/>
        <v>1398537</v>
      </c>
      <c r="BF174" s="397">
        <f t="shared" si="145"/>
        <v>85750728</v>
      </c>
      <c r="BG174" s="397">
        <f t="shared" si="146"/>
        <v>89924436</v>
      </c>
    </row>
    <row r="175" spans="1:59" ht="15.75">
      <c r="A175" s="338">
        <v>13</v>
      </c>
      <c r="B175" s="338" t="str">
        <f t="shared" si="98"/>
        <v>FRUTA_13</v>
      </c>
      <c r="C175" s="338" t="str">
        <f t="shared" si="99"/>
        <v>22_13</v>
      </c>
      <c r="D175" s="338" t="s">
        <v>1</v>
      </c>
      <c r="E175" s="258">
        <v>22</v>
      </c>
      <c r="F175" s="328" t="s">
        <v>51</v>
      </c>
      <c r="G175" s="258" t="s">
        <v>9</v>
      </c>
      <c r="H175" s="431">
        <f t="shared" si="100"/>
        <v>0</v>
      </c>
      <c r="I175" s="431">
        <f t="array" ref="I175">MAX((IF(MNU_CODIGO_ALIMENTO_ENTREGA=CONCATENATE($E175,"_","P_"),MNU_GRAMAJE_REQUERIDO_TIPOA,"")))</f>
        <v>0</v>
      </c>
      <c r="J175" s="259">
        <f t="shared" si="101"/>
        <v>5162</v>
      </c>
      <c r="K175" s="259">
        <f t="shared" si="102"/>
        <v>0</v>
      </c>
      <c r="L175" s="452">
        <f t="shared" si="103"/>
        <v>0</v>
      </c>
      <c r="M175" s="452">
        <f t="shared" si="104"/>
        <v>0</v>
      </c>
      <c r="N175" s="452">
        <f t="shared" si="105"/>
        <v>0</v>
      </c>
      <c r="O175" s="452">
        <f t="shared" si="106"/>
        <v>0</v>
      </c>
      <c r="P175" s="260">
        <f t="shared" si="107"/>
        <v>0</v>
      </c>
      <c r="Q175" s="260">
        <f t="shared" si="108"/>
        <v>0</v>
      </c>
      <c r="R175" s="432">
        <f t="shared" si="109"/>
        <v>20</v>
      </c>
      <c r="S175" s="432">
        <f t="array" ref="S175">MAX((IF(MNU_CODIGO_ALIMENTO_ENTREGA=CONCATENATE($E175,"_","P_"),MNU_GRAMAJE_REQUERIDO_TIPOB,"")))</f>
        <v>100</v>
      </c>
      <c r="T175" s="261">
        <f t="shared" si="110"/>
        <v>7506</v>
      </c>
      <c r="U175" s="261">
        <f t="shared" si="111"/>
        <v>150120</v>
      </c>
      <c r="V175" s="452">
        <f t="shared" si="112"/>
        <v>525</v>
      </c>
      <c r="W175" s="452">
        <f t="shared" si="113"/>
        <v>25.62</v>
      </c>
      <c r="X175" s="452">
        <f t="shared" si="114"/>
        <v>0.45150840000000003</v>
      </c>
      <c r="Y175" s="452">
        <f t="shared" si="115"/>
        <v>551</v>
      </c>
      <c r="Z175" s="262">
        <f t="shared" si="116"/>
        <v>78813000</v>
      </c>
      <c r="AA175" s="262">
        <f t="shared" si="117"/>
        <v>82716120</v>
      </c>
      <c r="AB175" s="431">
        <f t="shared" si="118"/>
        <v>20</v>
      </c>
      <c r="AC175" s="431">
        <f t="array" ref="AC175">MAX((IF(MNU_CODIGO_ALIMENTO_ENTREGA=CONCATENATE($E175,"_","P_"),MNU_GRAMAJE_REQUERIDO_TIPOC,"")))</f>
        <v>100</v>
      </c>
      <c r="AD175" s="259">
        <f t="shared" si="119"/>
        <v>10054</v>
      </c>
      <c r="AE175" s="259">
        <f t="shared" si="120"/>
        <v>201080</v>
      </c>
      <c r="AF175" s="452">
        <f t="shared" si="121"/>
        <v>525</v>
      </c>
      <c r="AG175" s="452">
        <f t="shared" si="122"/>
        <v>25.62</v>
      </c>
      <c r="AH175" s="452">
        <f t="shared" si="123"/>
        <v>0.45150840000000003</v>
      </c>
      <c r="AI175" s="452">
        <f t="shared" si="124"/>
        <v>551</v>
      </c>
      <c r="AJ175" s="260">
        <f t="shared" si="125"/>
        <v>105567000</v>
      </c>
      <c r="AK175" s="260">
        <f t="shared" si="126"/>
        <v>110795080</v>
      </c>
      <c r="AL175" s="432">
        <f t="shared" si="127"/>
        <v>20</v>
      </c>
      <c r="AM175" s="432">
        <f t="array" ref="AM175">MAX((IF(MNU_CODIGO_ALIMENTO_ENTREGA=CONCATENATE($E175,"_","P_"),MNU_GRAMAJE_REQUERIDO_TIPOM,"")))</f>
        <v>100</v>
      </c>
      <c r="AN175" s="261">
        <f t="shared" si="128"/>
        <v>227</v>
      </c>
      <c r="AO175" s="261">
        <f t="shared" si="129"/>
        <v>4540</v>
      </c>
      <c r="AP175" s="452">
        <f t="shared" si="130"/>
        <v>525</v>
      </c>
      <c r="AQ175" s="452">
        <f t="shared" si="131"/>
        <v>25.62</v>
      </c>
      <c r="AR175" s="452">
        <f t="shared" si="132"/>
        <v>0.45150840000000003</v>
      </c>
      <c r="AS175" s="452">
        <f t="shared" si="133"/>
        <v>551</v>
      </c>
      <c r="AT175" s="262">
        <f t="shared" si="134"/>
        <v>2383500</v>
      </c>
      <c r="AU175" s="262">
        <f t="shared" si="135"/>
        <v>2501540</v>
      </c>
      <c r="AV175" s="431">
        <f t="shared" si="136"/>
        <v>20</v>
      </c>
      <c r="AW175" s="431">
        <f t="array" ref="AW175">MAX((IF(MNU_CODIGO_ALIMENTO_ENTREGA=CONCATENATE($E175,"_","P_"),MNU_GRAMAJE_REQUERIDO_TIPOH,"")))</f>
        <v>100</v>
      </c>
      <c r="AX175" s="259">
        <f t="shared" si="137"/>
        <v>281</v>
      </c>
      <c r="AY175" s="259">
        <f t="shared" si="138"/>
        <v>5620</v>
      </c>
      <c r="AZ175" s="452">
        <f t="shared" si="139"/>
        <v>525</v>
      </c>
      <c r="BA175" s="452">
        <f t="shared" si="140"/>
        <v>25.62</v>
      </c>
      <c r="BB175" s="452">
        <f t="shared" si="141"/>
        <v>0.45150840000000003</v>
      </c>
      <c r="BC175" s="452">
        <f t="shared" si="142"/>
        <v>551</v>
      </c>
      <c r="BD175" s="260">
        <f t="shared" si="143"/>
        <v>2950500</v>
      </c>
      <c r="BE175" s="260">
        <f t="shared" si="144"/>
        <v>3096620</v>
      </c>
      <c r="BF175" s="397">
        <f t="shared" si="145"/>
        <v>189714000</v>
      </c>
      <c r="BG175" s="397">
        <f t="shared" si="146"/>
        <v>199109360</v>
      </c>
    </row>
    <row r="176" spans="1:59" ht="15.75">
      <c r="A176" s="338">
        <v>13</v>
      </c>
      <c r="B176" s="338" t="str">
        <f t="shared" si="98"/>
        <v>FRUTA_13</v>
      </c>
      <c r="C176" s="338" t="str">
        <f t="shared" si="99"/>
        <v>33_13</v>
      </c>
      <c r="D176" s="338" t="s">
        <v>1</v>
      </c>
      <c r="E176" s="258">
        <v>33</v>
      </c>
      <c r="F176" s="328" t="s">
        <v>59</v>
      </c>
      <c r="G176" s="258" t="s">
        <v>48</v>
      </c>
      <c r="H176" s="431">
        <f t="shared" si="100"/>
        <v>27</v>
      </c>
      <c r="I176" s="431">
        <v>1</v>
      </c>
      <c r="J176" s="259">
        <f t="shared" si="101"/>
        <v>5162</v>
      </c>
      <c r="K176" s="259">
        <f t="shared" si="102"/>
        <v>139374</v>
      </c>
      <c r="L176" s="452">
        <f t="shared" si="103"/>
        <v>270</v>
      </c>
      <c r="M176" s="452">
        <f t="shared" si="104"/>
        <v>13.176000000000002</v>
      </c>
      <c r="N176" s="452">
        <f t="shared" si="105"/>
        <v>0.23220432000000002</v>
      </c>
      <c r="O176" s="452">
        <f t="shared" si="106"/>
        <v>283</v>
      </c>
      <c r="P176" s="260">
        <f t="shared" si="107"/>
        <v>37630980</v>
      </c>
      <c r="Q176" s="260">
        <f t="shared" si="108"/>
        <v>39442842</v>
      </c>
      <c r="R176" s="432">
        <f t="shared" si="109"/>
        <v>18</v>
      </c>
      <c r="S176" s="432">
        <v>1</v>
      </c>
      <c r="T176" s="261">
        <f t="shared" si="110"/>
        <v>7506</v>
      </c>
      <c r="U176" s="261">
        <f t="shared" si="111"/>
        <v>135108</v>
      </c>
      <c r="V176" s="452">
        <f t="shared" si="112"/>
        <v>270</v>
      </c>
      <c r="W176" s="452">
        <f t="shared" si="113"/>
        <v>13.176000000000002</v>
      </c>
      <c r="X176" s="452">
        <f t="shared" si="114"/>
        <v>0.23220432000000002</v>
      </c>
      <c r="Y176" s="452">
        <f t="shared" si="115"/>
        <v>283</v>
      </c>
      <c r="Z176" s="262">
        <f t="shared" si="116"/>
        <v>36479160</v>
      </c>
      <c r="AA176" s="262">
        <f t="shared" si="117"/>
        <v>38235564</v>
      </c>
      <c r="AB176" s="431">
        <f t="shared" si="118"/>
        <v>18</v>
      </c>
      <c r="AC176" s="431">
        <v>1</v>
      </c>
      <c r="AD176" s="259">
        <f t="shared" si="119"/>
        <v>10054</v>
      </c>
      <c r="AE176" s="259">
        <f t="shared" si="120"/>
        <v>180972</v>
      </c>
      <c r="AF176" s="452">
        <f t="shared" si="121"/>
        <v>270</v>
      </c>
      <c r="AG176" s="452">
        <f t="shared" si="122"/>
        <v>13.176000000000002</v>
      </c>
      <c r="AH176" s="452">
        <f t="shared" si="123"/>
        <v>0.23220432000000002</v>
      </c>
      <c r="AI176" s="452">
        <f t="shared" si="124"/>
        <v>283</v>
      </c>
      <c r="AJ176" s="260">
        <f t="shared" si="125"/>
        <v>48862440</v>
      </c>
      <c r="AK176" s="260">
        <f t="shared" si="126"/>
        <v>51215076</v>
      </c>
      <c r="AL176" s="432">
        <f t="shared" si="127"/>
        <v>18</v>
      </c>
      <c r="AM176" s="432">
        <v>1</v>
      </c>
      <c r="AN176" s="261">
        <f t="shared" si="128"/>
        <v>227</v>
      </c>
      <c r="AO176" s="261">
        <f t="shared" si="129"/>
        <v>4086</v>
      </c>
      <c r="AP176" s="452">
        <f t="shared" si="130"/>
        <v>270</v>
      </c>
      <c r="AQ176" s="452">
        <f t="shared" si="131"/>
        <v>13.176000000000002</v>
      </c>
      <c r="AR176" s="452">
        <f t="shared" si="132"/>
        <v>0.23220432000000002</v>
      </c>
      <c r="AS176" s="452">
        <f t="shared" si="133"/>
        <v>283</v>
      </c>
      <c r="AT176" s="262">
        <f t="shared" si="134"/>
        <v>1103220</v>
      </c>
      <c r="AU176" s="262">
        <f t="shared" si="135"/>
        <v>1156338</v>
      </c>
      <c r="AV176" s="431">
        <f t="shared" si="136"/>
        <v>18</v>
      </c>
      <c r="AW176" s="431">
        <v>1</v>
      </c>
      <c r="AX176" s="259">
        <f t="shared" si="137"/>
        <v>281</v>
      </c>
      <c r="AY176" s="259">
        <f t="shared" si="138"/>
        <v>5058</v>
      </c>
      <c r="AZ176" s="452">
        <f t="shared" si="139"/>
        <v>270</v>
      </c>
      <c r="BA176" s="452">
        <f t="shared" si="140"/>
        <v>13.176000000000002</v>
      </c>
      <c r="BB176" s="452">
        <f t="shared" si="141"/>
        <v>0.23220432000000002</v>
      </c>
      <c r="BC176" s="452">
        <f t="shared" si="142"/>
        <v>283</v>
      </c>
      <c r="BD176" s="260">
        <f t="shared" si="143"/>
        <v>1365660</v>
      </c>
      <c r="BE176" s="260">
        <f t="shared" si="144"/>
        <v>1431414</v>
      </c>
      <c r="BF176" s="397">
        <f t="shared" si="145"/>
        <v>125441460</v>
      </c>
      <c r="BG176" s="397">
        <f t="shared" si="146"/>
        <v>131481234</v>
      </c>
    </row>
    <row r="177" spans="1:59" ht="15.75">
      <c r="A177" s="338">
        <v>13</v>
      </c>
      <c r="B177" s="338" t="str">
        <f t="shared" si="98"/>
        <v>FRUTA_13</v>
      </c>
      <c r="C177" s="338" t="str">
        <f t="shared" si="99"/>
        <v>36_13</v>
      </c>
      <c r="D177" s="338" t="s">
        <v>1</v>
      </c>
      <c r="E177" s="258">
        <v>36</v>
      </c>
      <c r="F177" s="328" t="s">
        <v>1340</v>
      </c>
      <c r="G177" s="258" t="s">
        <v>9</v>
      </c>
      <c r="H177" s="431">
        <f t="shared" si="100"/>
        <v>7</v>
      </c>
      <c r="I177" s="431">
        <f t="array" ref="I177">MAX((IF(MNU_CODIGO_ALIMENTO_ENTREGA=CONCATENATE($E177,"_","P_"),MNU_GRAMAJE_REQUERIDO_TIPOA,"")))</f>
        <v>20</v>
      </c>
      <c r="J177" s="259">
        <f t="shared" si="101"/>
        <v>5162</v>
      </c>
      <c r="K177" s="259">
        <f t="shared" si="102"/>
        <v>36134</v>
      </c>
      <c r="L177" s="452">
        <f t="shared" si="103"/>
        <v>126</v>
      </c>
      <c r="M177" s="452">
        <f t="shared" si="104"/>
        <v>6.1488000000000005</v>
      </c>
      <c r="N177" s="452">
        <f t="shared" si="105"/>
        <v>0.10836201599999999</v>
      </c>
      <c r="O177" s="452">
        <f t="shared" si="106"/>
        <v>132</v>
      </c>
      <c r="P177" s="260">
        <f t="shared" si="107"/>
        <v>4552884</v>
      </c>
      <c r="Q177" s="260">
        <f t="shared" si="108"/>
        <v>4769688</v>
      </c>
      <c r="R177" s="432">
        <f t="shared" si="109"/>
        <v>7</v>
      </c>
      <c r="S177" s="432">
        <f t="array" ref="S177">MAX((IF(MNU_CODIGO_ALIMENTO_ENTREGA=CONCATENATE($E177,"_","P_"),MNU_GRAMAJE_REQUERIDO_TIPOB,"")))</f>
        <v>40</v>
      </c>
      <c r="T177" s="261">
        <f t="shared" si="110"/>
        <v>7506</v>
      </c>
      <c r="U177" s="261">
        <f t="shared" si="111"/>
        <v>52542</v>
      </c>
      <c r="V177" s="452">
        <f t="shared" si="112"/>
        <v>252</v>
      </c>
      <c r="W177" s="452">
        <f t="shared" si="113"/>
        <v>12.297600000000001</v>
      </c>
      <c r="X177" s="452">
        <f t="shared" si="114"/>
        <v>0.21672403199999998</v>
      </c>
      <c r="Y177" s="452">
        <f t="shared" si="115"/>
        <v>265</v>
      </c>
      <c r="Z177" s="262">
        <f t="shared" si="116"/>
        <v>13240584</v>
      </c>
      <c r="AA177" s="262">
        <f t="shared" si="117"/>
        <v>13923630</v>
      </c>
      <c r="AB177" s="431">
        <f t="shared" si="118"/>
        <v>7</v>
      </c>
      <c r="AC177" s="431">
        <f t="array" ref="AC177">MAX((IF(MNU_CODIGO_ALIMENTO_ENTREGA=CONCATENATE($E177,"_","P_"),MNU_GRAMAJE_REQUERIDO_TIPOC,"")))</f>
        <v>40</v>
      </c>
      <c r="AD177" s="259">
        <f t="shared" si="119"/>
        <v>10054</v>
      </c>
      <c r="AE177" s="259">
        <f t="shared" si="120"/>
        <v>70378</v>
      </c>
      <c r="AF177" s="452">
        <f t="shared" si="121"/>
        <v>252</v>
      </c>
      <c r="AG177" s="452">
        <f t="shared" si="122"/>
        <v>12.297600000000001</v>
      </c>
      <c r="AH177" s="452">
        <f t="shared" si="123"/>
        <v>0.21672403199999998</v>
      </c>
      <c r="AI177" s="452">
        <f t="shared" si="124"/>
        <v>265</v>
      </c>
      <c r="AJ177" s="260">
        <f t="shared" si="125"/>
        <v>17735256</v>
      </c>
      <c r="AK177" s="260">
        <f t="shared" si="126"/>
        <v>18650170</v>
      </c>
      <c r="AL177" s="432">
        <f t="shared" si="127"/>
        <v>7</v>
      </c>
      <c r="AM177" s="432">
        <f t="array" ref="AM177">MAX((IF(MNU_CODIGO_ALIMENTO_ENTREGA=CONCATENATE($E177,"_","P_"),MNU_GRAMAJE_REQUERIDO_TIPOM,"")))</f>
        <v>40</v>
      </c>
      <c r="AN177" s="261">
        <f t="shared" si="128"/>
        <v>227</v>
      </c>
      <c r="AO177" s="261">
        <f t="shared" si="129"/>
        <v>1589</v>
      </c>
      <c r="AP177" s="452">
        <f t="shared" si="130"/>
        <v>252</v>
      </c>
      <c r="AQ177" s="452">
        <f t="shared" si="131"/>
        <v>12.297600000000001</v>
      </c>
      <c r="AR177" s="452">
        <f t="shared" si="132"/>
        <v>0.21672403199999998</v>
      </c>
      <c r="AS177" s="452">
        <f t="shared" si="133"/>
        <v>265</v>
      </c>
      <c r="AT177" s="262">
        <f t="shared" si="134"/>
        <v>400428</v>
      </c>
      <c r="AU177" s="262">
        <f t="shared" si="135"/>
        <v>421085</v>
      </c>
      <c r="AV177" s="431">
        <f t="shared" si="136"/>
        <v>7</v>
      </c>
      <c r="AW177" s="431">
        <f t="array" ref="AW177">MAX((IF(MNU_CODIGO_ALIMENTO_ENTREGA=CONCATENATE($E177,"_","P_"),MNU_GRAMAJE_REQUERIDO_TIPOH,"")))</f>
        <v>40</v>
      </c>
      <c r="AX177" s="259">
        <f t="shared" si="137"/>
        <v>281</v>
      </c>
      <c r="AY177" s="259">
        <f t="shared" si="138"/>
        <v>1967</v>
      </c>
      <c r="AZ177" s="452">
        <f t="shared" si="139"/>
        <v>252</v>
      </c>
      <c r="BA177" s="452">
        <f t="shared" si="140"/>
        <v>12.297600000000001</v>
      </c>
      <c r="BB177" s="452">
        <f t="shared" si="141"/>
        <v>0.21672403199999998</v>
      </c>
      <c r="BC177" s="452">
        <f t="shared" si="142"/>
        <v>265</v>
      </c>
      <c r="BD177" s="260">
        <f t="shared" si="143"/>
        <v>495684</v>
      </c>
      <c r="BE177" s="260">
        <f t="shared" si="144"/>
        <v>521255</v>
      </c>
      <c r="BF177" s="397">
        <f t="shared" si="145"/>
        <v>36424836</v>
      </c>
      <c r="BG177" s="397">
        <f t="shared" si="146"/>
        <v>38285828</v>
      </c>
    </row>
    <row r="178" spans="1:59" ht="15.75">
      <c r="A178" s="338">
        <v>13</v>
      </c>
      <c r="B178" s="338" t="str">
        <f t="shared" si="98"/>
        <v>FRUTA_13</v>
      </c>
      <c r="C178" s="338" t="str">
        <f t="shared" si="99"/>
        <v>42_13</v>
      </c>
      <c r="D178" s="338" t="s">
        <v>1</v>
      </c>
      <c r="E178" s="258">
        <v>42</v>
      </c>
      <c r="F178" s="328" t="s">
        <v>61</v>
      </c>
      <c r="G178" s="258" t="s">
        <v>9</v>
      </c>
      <c r="H178" s="431">
        <f t="shared" si="100"/>
        <v>23</v>
      </c>
      <c r="I178" s="431">
        <f t="array" ref="I178">MAX((IF(MNU_CODIGO_ALIMENTO_ENTREGA=CONCATENATE($E178,"_","P_"),MNU_GRAMAJE_REQUERIDO_TIPOA,"")))</f>
        <v>100</v>
      </c>
      <c r="J178" s="259">
        <f t="shared" si="101"/>
        <v>5162</v>
      </c>
      <c r="K178" s="259">
        <f t="shared" si="102"/>
        <v>118726</v>
      </c>
      <c r="L178" s="452">
        <f t="shared" si="103"/>
        <v>194</v>
      </c>
      <c r="M178" s="452">
        <f t="shared" si="104"/>
        <v>9.4672000000000001</v>
      </c>
      <c r="N178" s="452">
        <f t="shared" si="105"/>
        <v>0.16684310399999999</v>
      </c>
      <c r="O178" s="452">
        <f t="shared" si="106"/>
        <v>204</v>
      </c>
      <c r="P178" s="260">
        <f t="shared" si="107"/>
        <v>23032844</v>
      </c>
      <c r="Q178" s="260">
        <f t="shared" si="108"/>
        <v>24220104</v>
      </c>
      <c r="R178" s="432">
        <f t="shared" si="109"/>
        <v>19</v>
      </c>
      <c r="S178" s="432">
        <f t="array" ref="S178">MAX((IF(MNU_CODIGO_ALIMENTO_ENTREGA=CONCATENATE($E178,"_","P_"),MNU_GRAMAJE_REQUERIDO_TIPOB,"")))</f>
        <v>100</v>
      </c>
      <c r="T178" s="261">
        <f t="shared" si="110"/>
        <v>7506</v>
      </c>
      <c r="U178" s="261">
        <f t="shared" si="111"/>
        <v>142614</v>
      </c>
      <c r="V178" s="452">
        <f t="shared" si="112"/>
        <v>194</v>
      </c>
      <c r="W178" s="452">
        <f t="shared" si="113"/>
        <v>9.4672000000000001</v>
      </c>
      <c r="X178" s="452">
        <f t="shared" si="114"/>
        <v>0.16684310399999999</v>
      </c>
      <c r="Y178" s="452">
        <f t="shared" si="115"/>
        <v>204</v>
      </c>
      <c r="Z178" s="262">
        <f t="shared" si="116"/>
        <v>27667116</v>
      </c>
      <c r="AA178" s="262">
        <f t="shared" si="117"/>
        <v>29093256</v>
      </c>
      <c r="AB178" s="431">
        <f t="shared" si="118"/>
        <v>19</v>
      </c>
      <c r="AC178" s="431">
        <f t="array" ref="AC178">MAX((IF(MNU_CODIGO_ALIMENTO_ENTREGA=CONCATENATE($E178,"_","P_"),MNU_GRAMAJE_REQUERIDO_TIPOC,"")))</f>
        <v>100</v>
      </c>
      <c r="AD178" s="259">
        <f t="shared" si="119"/>
        <v>10054</v>
      </c>
      <c r="AE178" s="259">
        <f t="shared" si="120"/>
        <v>191026</v>
      </c>
      <c r="AF178" s="452">
        <f t="shared" si="121"/>
        <v>194</v>
      </c>
      <c r="AG178" s="452">
        <f t="shared" si="122"/>
        <v>9.4672000000000001</v>
      </c>
      <c r="AH178" s="452">
        <f t="shared" si="123"/>
        <v>0.16684310399999999</v>
      </c>
      <c r="AI178" s="452">
        <f t="shared" si="124"/>
        <v>204</v>
      </c>
      <c r="AJ178" s="260">
        <f t="shared" si="125"/>
        <v>37059044</v>
      </c>
      <c r="AK178" s="260">
        <f t="shared" si="126"/>
        <v>38969304</v>
      </c>
      <c r="AL178" s="432">
        <f t="shared" si="127"/>
        <v>19</v>
      </c>
      <c r="AM178" s="432">
        <f t="array" ref="AM178">MAX((IF(MNU_CODIGO_ALIMENTO_ENTREGA=CONCATENATE($E178,"_","P_"),MNU_GRAMAJE_REQUERIDO_TIPOM,"")))</f>
        <v>100</v>
      </c>
      <c r="AN178" s="261">
        <f t="shared" si="128"/>
        <v>227</v>
      </c>
      <c r="AO178" s="261">
        <f t="shared" si="129"/>
        <v>4313</v>
      </c>
      <c r="AP178" s="452">
        <f t="shared" si="130"/>
        <v>194</v>
      </c>
      <c r="AQ178" s="452">
        <f t="shared" si="131"/>
        <v>9.4672000000000001</v>
      </c>
      <c r="AR178" s="452">
        <f t="shared" si="132"/>
        <v>0.16684310399999999</v>
      </c>
      <c r="AS178" s="452">
        <f t="shared" si="133"/>
        <v>204</v>
      </c>
      <c r="AT178" s="262">
        <f t="shared" si="134"/>
        <v>836722</v>
      </c>
      <c r="AU178" s="262">
        <f t="shared" si="135"/>
        <v>879852</v>
      </c>
      <c r="AV178" s="431">
        <f t="shared" si="136"/>
        <v>19</v>
      </c>
      <c r="AW178" s="431">
        <f t="array" ref="AW178">MAX((IF(MNU_CODIGO_ALIMENTO_ENTREGA=CONCATENATE($E178,"_","P_"),MNU_GRAMAJE_REQUERIDO_TIPOH,"")))</f>
        <v>100</v>
      </c>
      <c r="AX178" s="259">
        <f t="shared" si="137"/>
        <v>281</v>
      </c>
      <c r="AY178" s="259">
        <f t="shared" si="138"/>
        <v>5339</v>
      </c>
      <c r="AZ178" s="452">
        <f t="shared" si="139"/>
        <v>194</v>
      </c>
      <c r="BA178" s="452">
        <f t="shared" si="140"/>
        <v>9.4672000000000001</v>
      </c>
      <c r="BB178" s="452">
        <f t="shared" si="141"/>
        <v>0.16684310399999999</v>
      </c>
      <c r="BC178" s="452">
        <f t="shared" si="142"/>
        <v>204</v>
      </c>
      <c r="BD178" s="260">
        <f t="shared" si="143"/>
        <v>1035766</v>
      </c>
      <c r="BE178" s="260">
        <f t="shared" si="144"/>
        <v>1089156</v>
      </c>
      <c r="BF178" s="397">
        <f t="shared" si="145"/>
        <v>89631492</v>
      </c>
      <c r="BG178" s="397">
        <f t="shared" si="146"/>
        <v>94251672</v>
      </c>
    </row>
    <row r="179" spans="1:59" ht="15.75">
      <c r="A179" s="338">
        <v>13</v>
      </c>
      <c r="B179" s="338" t="str">
        <f t="shared" si="98"/>
        <v>FRUTA_13</v>
      </c>
      <c r="C179" s="338" t="str">
        <f t="shared" si="99"/>
        <v>43_13</v>
      </c>
      <c r="D179" s="338" t="s">
        <v>1</v>
      </c>
      <c r="E179" s="258">
        <v>43</v>
      </c>
      <c r="F179" s="328" t="s">
        <v>62</v>
      </c>
      <c r="G179" s="258" t="s">
        <v>9</v>
      </c>
      <c r="H179" s="431">
        <f t="shared" si="100"/>
        <v>24</v>
      </c>
      <c r="I179" s="431">
        <f t="array" ref="I179">MAX((IF(MNU_CODIGO_ALIMENTO_ENTREGA=CONCATENATE($E179,"_","P_"),MNU_GRAMAJE_REQUERIDO_TIPOA,"")))</f>
        <v>100</v>
      </c>
      <c r="J179" s="259">
        <f t="shared" si="101"/>
        <v>5162</v>
      </c>
      <c r="K179" s="259">
        <f t="shared" si="102"/>
        <v>123888</v>
      </c>
      <c r="L179" s="452">
        <f t="shared" si="103"/>
        <v>170</v>
      </c>
      <c r="M179" s="452">
        <f t="shared" si="104"/>
        <v>8.2959999999999994</v>
      </c>
      <c r="N179" s="452">
        <f t="shared" si="105"/>
        <v>0.14620272000000001</v>
      </c>
      <c r="O179" s="452">
        <f t="shared" si="106"/>
        <v>178</v>
      </c>
      <c r="P179" s="260">
        <f t="shared" si="107"/>
        <v>21060960</v>
      </c>
      <c r="Q179" s="260">
        <f t="shared" si="108"/>
        <v>22052064</v>
      </c>
      <c r="R179" s="432">
        <f t="shared" si="109"/>
        <v>17</v>
      </c>
      <c r="S179" s="432">
        <f t="array" ref="S179">MAX((IF(MNU_CODIGO_ALIMENTO_ENTREGA=CONCATENATE($E179,"_","P_"),MNU_GRAMAJE_REQUERIDO_TIPOB,"")))</f>
        <v>100</v>
      </c>
      <c r="T179" s="261">
        <f t="shared" si="110"/>
        <v>7506</v>
      </c>
      <c r="U179" s="261">
        <f t="shared" si="111"/>
        <v>127602</v>
      </c>
      <c r="V179" s="452">
        <f t="shared" si="112"/>
        <v>170</v>
      </c>
      <c r="W179" s="452">
        <f t="shared" si="113"/>
        <v>8.2959999999999994</v>
      </c>
      <c r="X179" s="452">
        <f t="shared" si="114"/>
        <v>0.14620272000000001</v>
      </c>
      <c r="Y179" s="452">
        <f t="shared" si="115"/>
        <v>178</v>
      </c>
      <c r="Z179" s="262">
        <f t="shared" si="116"/>
        <v>21692340</v>
      </c>
      <c r="AA179" s="262">
        <f t="shared" si="117"/>
        <v>22713156</v>
      </c>
      <c r="AB179" s="431">
        <f t="shared" si="118"/>
        <v>17</v>
      </c>
      <c r="AC179" s="431">
        <f t="array" ref="AC179">MAX((IF(MNU_CODIGO_ALIMENTO_ENTREGA=CONCATENATE($E179,"_","P_"),MNU_GRAMAJE_REQUERIDO_TIPOC,"")))</f>
        <v>100</v>
      </c>
      <c r="AD179" s="259">
        <f t="shared" si="119"/>
        <v>10054</v>
      </c>
      <c r="AE179" s="259">
        <f t="shared" si="120"/>
        <v>170918</v>
      </c>
      <c r="AF179" s="452">
        <f t="shared" si="121"/>
        <v>170</v>
      </c>
      <c r="AG179" s="452">
        <f t="shared" si="122"/>
        <v>8.2959999999999994</v>
      </c>
      <c r="AH179" s="452">
        <f t="shared" si="123"/>
        <v>0.14620272000000001</v>
      </c>
      <c r="AI179" s="452">
        <f t="shared" si="124"/>
        <v>178</v>
      </c>
      <c r="AJ179" s="260">
        <f t="shared" si="125"/>
        <v>29056060</v>
      </c>
      <c r="AK179" s="260">
        <f t="shared" si="126"/>
        <v>30423404</v>
      </c>
      <c r="AL179" s="432">
        <f t="shared" si="127"/>
        <v>17</v>
      </c>
      <c r="AM179" s="432">
        <f t="array" ref="AM179">MAX((IF(MNU_CODIGO_ALIMENTO_ENTREGA=CONCATENATE($E179,"_","P_"),MNU_GRAMAJE_REQUERIDO_TIPOM,"")))</f>
        <v>100</v>
      </c>
      <c r="AN179" s="261">
        <f t="shared" si="128"/>
        <v>227</v>
      </c>
      <c r="AO179" s="261">
        <f t="shared" si="129"/>
        <v>3859</v>
      </c>
      <c r="AP179" s="452">
        <f t="shared" si="130"/>
        <v>170</v>
      </c>
      <c r="AQ179" s="452">
        <f t="shared" si="131"/>
        <v>8.2959999999999994</v>
      </c>
      <c r="AR179" s="452">
        <f t="shared" si="132"/>
        <v>0.14620272000000001</v>
      </c>
      <c r="AS179" s="452">
        <f t="shared" si="133"/>
        <v>178</v>
      </c>
      <c r="AT179" s="262">
        <f t="shared" si="134"/>
        <v>656030</v>
      </c>
      <c r="AU179" s="262">
        <f t="shared" si="135"/>
        <v>686902</v>
      </c>
      <c r="AV179" s="431">
        <f t="shared" si="136"/>
        <v>17</v>
      </c>
      <c r="AW179" s="431">
        <f t="array" ref="AW179">MAX((IF(MNU_CODIGO_ALIMENTO_ENTREGA=CONCATENATE($E179,"_","P_"),MNU_GRAMAJE_REQUERIDO_TIPOH,"")))</f>
        <v>100</v>
      </c>
      <c r="AX179" s="259">
        <f t="shared" si="137"/>
        <v>281</v>
      </c>
      <c r="AY179" s="259">
        <f t="shared" si="138"/>
        <v>4777</v>
      </c>
      <c r="AZ179" s="452">
        <f t="shared" si="139"/>
        <v>170</v>
      </c>
      <c r="BA179" s="452">
        <f t="shared" si="140"/>
        <v>8.2959999999999994</v>
      </c>
      <c r="BB179" s="452">
        <f t="shared" si="141"/>
        <v>0.14620272000000001</v>
      </c>
      <c r="BC179" s="452">
        <f t="shared" si="142"/>
        <v>178</v>
      </c>
      <c r="BD179" s="260">
        <f t="shared" si="143"/>
        <v>812090</v>
      </c>
      <c r="BE179" s="260">
        <f t="shared" si="144"/>
        <v>850306</v>
      </c>
      <c r="BF179" s="397">
        <f t="shared" si="145"/>
        <v>73277480</v>
      </c>
      <c r="BG179" s="397">
        <f t="shared" si="146"/>
        <v>76725832</v>
      </c>
    </row>
    <row r="180" spans="1:59" ht="15.75">
      <c r="A180" s="338">
        <v>13</v>
      </c>
      <c r="B180" s="338" t="str">
        <f t="shared" si="98"/>
        <v>FRUTA_13</v>
      </c>
      <c r="C180" s="338" t="str">
        <f t="shared" si="99"/>
        <v>46_13</v>
      </c>
      <c r="D180" s="338" t="s">
        <v>1</v>
      </c>
      <c r="E180" s="258">
        <v>46</v>
      </c>
      <c r="F180" s="328" t="s">
        <v>64</v>
      </c>
      <c r="G180" s="258" t="s">
        <v>9</v>
      </c>
      <c r="H180" s="431">
        <f t="shared" si="100"/>
        <v>30</v>
      </c>
      <c r="I180" s="431">
        <f t="array" ref="I180">MAX((IF(MNU_CODIGO_ALIMENTO_ENTREGA=CONCATENATE($E180,"_","P_"),MNU_GRAMAJE_REQUERIDO_TIPOA,"")))</f>
        <v>100</v>
      </c>
      <c r="J180" s="259">
        <f t="shared" si="101"/>
        <v>5162</v>
      </c>
      <c r="K180" s="259">
        <f t="shared" si="102"/>
        <v>154860</v>
      </c>
      <c r="L180" s="452">
        <f t="shared" si="103"/>
        <v>398</v>
      </c>
      <c r="M180" s="452">
        <f t="shared" si="104"/>
        <v>19.4224</v>
      </c>
      <c r="N180" s="452">
        <f t="shared" si="105"/>
        <v>0.34228636800000001</v>
      </c>
      <c r="O180" s="452">
        <f t="shared" si="106"/>
        <v>418</v>
      </c>
      <c r="P180" s="260">
        <f t="shared" si="107"/>
        <v>61634280</v>
      </c>
      <c r="Q180" s="260">
        <f t="shared" si="108"/>
        <v>64731480</v>
      </c>
      <c r="R180" s="432">
        <f t="shared" si="109"/>
        <v>21</v>
      </c>
      <c r="S180" s="432">
        <f t="array" ref="S180">MAX((IF(MNU_CODIGO_ALIMENTO_ENTREGA=CONCATENATE($E180,"_","P_"),MNU_GRAMAJE_REQUERIDO_TIPOB,"")))</f>
        <v>100</v>
      </c>
      <c r="T180" s="261">
        <f t="shared" si="110"/>
        <v>7506</v>
      </c>
      <c r="U180" s="261">
        <f t="shared" si="111"/>
        <v>157626</v>
      </c>
      <c r="V180" s="452">
        <f t="shared" si="112"/>
        <v>398</v>
      </c>
      <c r="W180" s="452">
        <f t="shared" si="113"/>
        <v>19.4224</v>
      </c>
      <c r="X180" s="452">
        <f t="shared" si="114"/>
        <v>0.34228636800000001</v>
      </c>
      <c r="Y180" s="452">
        <f t="shared" si="115"/>
        <v>418</v>
      </c>
      <c r="Z180" s="262">
        <f t="shared" si="116"/>
        <v>62735148</v>
      </c>
      <c r="AA180" s="262">
        <f t="shared" si="117"/>
        <v>65887668</v>
      </c>
      <c r="AB180" s="431">
        <f t="shared" si="118"/>
        <v>21</v>
      </c>
      <c r="AC180" s="431">
        <f t="array" ref="AC180">MAX((IF(MNU_CODIGO_ALIMENTO_ENTREGA=CONCATENATE($E180,"_","P_"),MNU_GRAMAJE_REQUERIDO_TIPOC,"")))</f>
        <v>100</v>
      </c>
      <c r="AD180" s="259">
        <f t="shared" si="119"/>
        <v>10054</v>
      </c>
      <c r="AE180" s="259">
        <f t="shared" si="120"/>
        <v>211134</v>
      </c>
      <c r="AF180" s="452">
        <f t="shared" si="121"/>
        <v>398</v>
      </c>
      <c r="AG180" s="452">
        <f t="shared" si="122"/>
        <v>19.4224</v>
      </c>
      <c r="AH180" s="452">
        <f t="shared" si="123"/>
        <v>0.34228636800000001</v>
      </c>
      <c r="AI180" s="452">
        <f t="shared" si="124"/>
        <v>418</v>
      </c>
      <c r="AJ180" s="260">
        <f t="shared" si="125"/>
        <v>84031332</v>
      </c>
      <c r="AK180" s="260">
        <f t="shared" si="126"/>
        <v>88254012</v>
      </c>
      <c r="AL180" s="432">
        <f t="shared" si="127"/>
        <v>21</v>
      </c>
      <c r="AM180" s="432">
        <f t="array" ref="AM180">MAX((IF(MNU_CODIGO_ALIMENTO_ENTREGA=CONCATENATE($E180,"_","P_"),MNU_GRAMAJE_REQUERIDO_TIPOM,"")))</f>
        <v>100</v>
      </c>
      <c r="AN180" s="261">
        <f t="shared" si="128"/>
        <v>227</v>
      </c>
      <c r="AO180" s="261">
        <f t="shared" si="129"/>
        <v>4767</v>
      </c>
      <c r="AP180" s="452">
        <f t="shared" si="130"/>
        <v>398</v>
      </c>
      <c r="AQ180" s="452">
        <f t="shared" si="131"/>
        <v>19.4224</v>
      </c>
      <c r="AR180" s="452">
        <f t="shared" si="132"/>
        <v>0.34228636800000001</v>
      </c>
      <c r="AS180" s="452">
        <f t="shared" si="133"/>
        <v>418</v>
      </c>
      <c r="AT180" s="262">
        <f t="shared" si="134"/>
        <v>1897266</v>
      </c>
      <c r="AU180" s="262">
        <f t="shared" si="135"/>
        <v>1992606</v>
      </c>
      <c r="AV180" s="431">
        <f t="shared" si="136"/>
        <v>21</v>
      </c>
      <c r="AW180" s="431">
        <f t="array" ref="AW180">MAX((IF(MNU_CODIGO_ALIMENTO_ENTREGA=CONCATENATE($E180,"_","P_"),MNU_GRAMAJE_REQUERIDO_TIPOH,"")))</f>
        <v>100</v>
      </c>
      <c r="AX180" s="259">
        <f t="shared" si="137"/>
        <v>281</v>
      </c>
      <c r="AY180" s="259">
        <f t="shared" si="138"/>
        <v>5901</v>
      </c>
      <c r="AZ180" s="452">
        <f t="shared" si="139"/>
        <v>398</v>
      </c>
      <c r="BA180" s="452">
        <f t="shared" si="140"/>
        <v>19.4224</v>
      </c>
      <c r="BB180" s="452">
        <f t="shared" si="141"/>
        <v>0.34228636800000001</v>
      </c>
      <c r="BC180" s="452">
        <f t="shared" si="142"/>
        <v>418</v>
      </c>
      <c r="BD180" s="260">
        <f t="shared" si="143"/>
        <v>2348598</v>
      </c>
      <c r="BE180" s="260">
        <f t="shared" si="144"/>
        <v>2466618</v>
      </c>
      <c r="BF180" s="397">
        <f t="shared" si="145"/>
        <v>212646624</v>
      </c>
      <c r="BG180" s="397">
        <f t="shared" si="146"/>
        <v>223332384</v>
      </c>
    </row>
    <row r="181" spans="1:59" ht="15.75">
      <c r="A181" s="338">
        <v>13</v>
      </c>
      <c r="B181" s="338" t="str">
        <f t="shared" si="98"/>
        <v>FRUTA_13</v>
      </c>
      <c r="C181" s="338" t="str">
        <f t="shared" si="99"/>
        <v>58_13</v>
      </c>
      <c r="D181" s="338" t="s">
        <v>1</v>
      </c>
      <c r="E181" s="258">
        <v>58</v>
      </c>
      <c r="F181" s="328" t="s">
        <v>67</v>
      </c>
      <c r="G181" s="258" t="s">
        <v>9</v>
      </c>
      <c r="H181" s="431">
        <f t="shared" si="100"/>
        <v>24</v>
      </c>
      <c r="I181" s="431">
        <f t="array" ref="I181">MAX((IF(MNU_CODIGO_ALIMENTO_ENTREGA=CONCATENATE($E181,"_","P_"),MNU_GRAMAJE_REQUERIDO_TIPOA,"")))</f>
        <v>100</v>
      </c>
      <c r="J181" s="259">
        <f t="shared" si="101"/>
        <v>5162</v>
      </c>
      <c r="K181" s="259">
        <f t="shared" si="102"/>
        <v>123888</v>
      </c>
      <c r="L181" s="452">
        <f t="shared" si="103"/>
        <v>154</v>
      </c>
      <c r="M181" s="452">
        <f t="shared" si="104"/>
        <v>7.515200000000001</v>
      </c>
      <c r="N181" s="452">
        <f t="shared" si="105"/>
        <v>0.13244246400000001</v>
      </c>
      <c r="O181" s="452">
        <f t="shared" si="106"/>
        <v>162</v>
      </c>
      <c r="P181" s="260">
        <f t="shared" si="107"/>
        <v>19078752</v>
      </c>
      <c r="Q181" s="260">
        <f t="shared" si="108"/>
        <v>20069856</v>
      </c>
      <c r="R181" s="432">
        <f t="shared" si="109"/>
        <v>23</v>
      </c>
      <c r="S181" s="432">
        <f t="array" ref="S181">MAX((IF(MNU_CODIGO_ALIMENTO_ENTREGA=CONCATENATE($E181,"_","P_"),MNU_GRAMAJE_REQUERIDO_TIPOB,"")))</f>
        <v>100</v>
      </c>
      <c r="T181" s="261">
        <f t="shared" si="110"/>
        <v>7506</v>
      </c>
      <c r="U181" s="261">
        <f t="shared" si="111"/>
        <v>172638</v>
      </c>
      <c r="V181" s="452">
        <f t="shared" si="112"/>
        <v>154</v>
      </c>
      <c r="W181" s="452">
        <f t="shared" si="113"/>
        <v>7.515200000000001</v>
      </c>
      <c r="X181" s="452">
        <f t="shared" si="114"/>
        <v>0.13244246400000001</v>
      </c>
      <c r="Y181" s="452">
        <f t="shared" si="115"/>
        <v>162</v>
      </c>
      <c r="Z181" s="262">
        <f t="shared" si="116"/>
        <v>26586252</v>
      </c>
      <c r="AA181" s="262">
        <f t="shared" si="117"/>
        <v>27967356</v>
      </c>
      <c r="AB181" s="431">
        <f t="shared" si="118"/>
        <v>23</v>
      </c>
      <c r="AC181" s="431">
        <f t="array" ref="AC181">MAX((IF(MNU_CODIGO_ALIMENTO_ENTREGA=CONCATENATE($E181,"_","P_"),MNU_GRAMAJE_REQUERIDO_TIPOC,"")))</f>
        <v>100</v>
      </c>
      <c r="AD181" s="259">
        <f t="shared" si="119"/>
        <v>10054</v>
      </c>
      <c r="AE181" s="259">
        <f t="shared" si="120"/>
        <v>231242</v>
      </c>
      <c r="AF181" s="452">
        <f t="shared" si="121"/>
        <v>154</v>
      </c>
      <c r="AG181" s="452">
        <f t="shared" si="122"/>
        <v>7.515200000000001</v>
      </c>
      <c r="AH181" s="452">
        <f t="shared" si="123"/>
        <v>0.13244246400000001</v>
      </c>
      <c r="AI181" s="452">
        <f t="shared" si="124"/>
        <v>162</v>
      </c>
      <c r="AJ181" s="260">
        <f t="shared" si="125"/>
        <v>35611268</v>
      </c>
      <c r="AK181" s="260">
        <f t="shared" si="126"/>
        <v>37461204</v>
      </c>
      <c r="AL181" s="432">
        <f t="shared" si="127"/>
        <v>23</v>
      </c>
      <c r="AM181" s="432">
        <f t="array" ref="AM181">MAX((IF(MNU_CODIGO_ALIMENTO_ENTREGA=CONCATENATE($E181,"_","P_"),MNU_GRAMAJE_REQUERIDO_TIPOM,"")))</f>
        <v>100</v>
      </c>
      <c r="AN181" s="261">
        <f t="shared" si="128"/>
        <v>227</v>
      </c>
      <c r="AO181" s="261">
        <f t="shared" si="129"/>
        <v>5221</v>
      </c>
      <c r="AP181" s="452">
        <f t="shared" si="130"/>
        <v>154</v>
      </c>
      <c r="AQ181" s="452">
        <f t="shared" si="131"/>
        <v>7.515200000000001</v>
      </c>
      <c r="AR181" s="452">
        <f t="shared" si="132"/>
        <v>0.13244246400000001</v>
      </c>
      <c r="AS181" s="452">
        <f t="shared" si="133"/>
        <v>162</v>
      </c>
      <c r="AT181" s="262">
        <f t="shared" si="134"/>
        <v>804034</v>
      </c>
      <c r="AU181" s="262">
        <f t="shared" si="135"/>
        <v>845802</v>
      </c>
      <c r="AV181" s="431">
        <f t="shared" si="136"/>
        <v>23</v>
      </c>
      <c r="AW181" s="431">
        <f t="array" ref="AW181">MAX((IF(MNU_CODIGO_ALIMENTO_ENTREGA=CONCATENATE($E181,"_","P_"),MNU_GRAMAJE_REQUERIDO_TIPOH,"")))</f>
        <v>100</v>
      </c>
      <c r="AX181" s="259">
        <f t="shared" si="137"/>
        <v>281</v>
      </c>
      <c r="AY181" s="259">
        <f t="shared" si="138"/>
        <v>6463</v>
      </c>
      <c r="AZ181" s="452">
        <f t="shared" si="139"/>
        <v>154</v>
      </c>
      <c r="BA181" s="452">
        <f t="shared" si="140"/>
        <v>7.515200000000001</v>
      </c>
      <c r="BB181" s="452">
        <f t="shared" si="141"/>
        <v>0.13244246400000001</v>
      </c>
      <c r="BC181" s="452">
        <f t="shared" si="142"/>
        <v>162</v>
      </c>
      <c r="BD181" s="260">
        <f t="shared" si="143"/>
        <v>995302</v>
      </c>
      <c r="BE181" s="260">
        <f t="shared" si="144"/>
        <v>1047006</v>
      </c>
      <c r="BF181" s="397">
        <f t="shared" si="145"/>
        <v>83075608</v>
      </c>
      <c r="BG181" s="397">
        <f t="shared" si="146"/>
        <v>87391224</v>
      </c>
    </row>
    <row r="182" spans="1:59" ht="15.75">
      <c r="A182" s="338">
        <v>13</v>
      </c>
      <c r="B182" s="338" t="str">
        <f t="shared" si="98"/>
        <v>FRUTA_13</v>
      </c>
      <c r="C182" s="338" t="str">
        <f t="shared" si="99"/>
        <v>59_13</v>
      </c>
      <c r="D182" s="338" t="s">
        <v>1</v>
      </c>
      <c r="E182" s="258">
        <v>59</v>
      </c>
      <c r="F182" s="328" t="s">
        <v>99</v>
      </c>
      <c r="G182" s="258" t="s">
        <v>9</v>
      </c>
      <c r="H182" s="431">
        <f t="shared" si="100"/>
        <v>0</v>
      </c>
      <c r="I182" s="431">
        <f t="array" ref="I182">MAX((IF(MNU_CODIGO_ALIMENTO_ENTREGA=CONCATENATE($E182,"_","P_"),MNU_GRAMAJE_REQUERIDO_TIPOA,"")))</f>
        <v>0</v>
      </c>
      <c r="J182" s="259">
        <f t="shared" si="101"/>
        <v>5162</v>
      </c>
      <c r="K182" s="259">
        <f t="shared" si="102"/>
        <v>0</v>
      </c>
      <c r="L182" s="452">
        <f t="shared" si="103"/>
        <v>0</v>
      </c>
      <c r="M182" s="452">
        <f t="shared" si="104"/>
        <v>0</v>
      </c>
      <c r="N182" s="452">
        <f t="shared" si="105"/>
        <v>0</v>
      </c>
      <c r="O182" s="452">
        <f t="shared" si="106"/>
        <v>0</v>
      </c>
      <c r="P182" s="260">
        <f t="shared" si="107"/>
        <v>0</v>
      </c>
      <c r="Q182" s="260">
        <f t="shared" si="108"/>
        <v>0</v>
      </c>
      <c r="R182" s="432">
        <f t="shared" si="109"/>
        <v>8</v>
      </c>
      <c r="S182" s="432">
        <f t="array" ref="S182">MAX((IF(MNU_CODIGO_ALIMENTO_ENTREGA=CONCATENATE($E182,"_","P_"),MNU_GRAMAJE_REQUERIDO_TIPOB,"")))</f>
        <v>100</v>
      </c>
      <c r="T182" s="261">
        <f t="shared" si="110"/>
        <v>7506</v>
      </c>
      <c r="U182" s="261">
        <f t="shared" si="111"/>
        <v>60048</v>
      </c>
      <c r="V182" s="452">
        <f t="shared" si="112"/>
        <v>286</v>
      </c>
      <c r="W182" s="452">
        <f t="shared" si="113"/>
        <v>13.956800000000001</v>
      </c>
      <c r="X182" s="452">
        <f t="shared" si="114"/>
        <v>0.24596457599999999</v>
      </c>
      <c r="Y182" s="452">
        <f t="shared" si="115"/>
        <v>300</v>
      </c>
      <c r="Z182" s="262">
        <f t="shared" si="116"/>
        <v>17173728</v>
      </c>
      <c r="AA182" s="262">
        <f t="shared" si="117"/>
        <v>18014400</v>
      </c>
      <c r="AB182" s="431">
        <f t="shared" si="118"/>
        <v>8</v>
      </c>
      <c r="AC182" s="431">
        <f t="array" ref="AC182">MAX((IF(MNU_CODIGO_ALIMENTO_ENTREGA=CONCATENATE($E182,"_","P_"),MNU_GRAMAJE_REQUERIDO_TIPOC,"")))</f>
        <v>100</v>
      </c>
      <c r="AD182" s="259">
        <f t="shared" si="119"/>
        <v>10054</v>
      </c>
      <c r="AE182" s="259">
        <f t="shared" si="120"/>
        <v>80432</v>
      </c>
      <c r="AF182" s="452">
        <f t="shared" si="121"/>
        <v>286</v>
      </c>
      <c r="AG182" s="452">
        <f t="shared" si="122"/>
        <v>13.956800000000001</v>
      </c>
      <c r="AH182" s="452">
        <f t="shared" si="123"/>
        <v>0.24596457599999999</v>
      </c>
      <c r="AI182" s="452">
        <f t="shared" si="124"/>
        <v>300</v>
      </c>
      <c r="AJ182" s="260">
        <f t="shared" si="125"/>
        <v>23003552</v>
      </c>
      <c r="AK182" s="260">
        <f t="shared" si="126"/>
        <v>24129600</v>
      </c>
      <c r="AL182" s="432">
        <f t="shared" si="127"/>
        <v>8</v>
      </c>
      <c r="AM182" s="432">
        <f t="array" ref="AM182">MAX((IF(MNU_CODIGO_ALIMENTO_ENTREGA=CONCATENATE($E182,"_","P_"),MNU_GRAMAJE_REQUERIDO_TIPOM,"")))</f>
        <v>100</v>
      </c>
      <c r="AN182" s="261">
        <f t="shared" si="128"/>
        <v>227</v>
      </c>
      <c r="AO182" s="261">
        <f t="shared" si="129"/>
        <v>1816</v>
      </c>
      <c r="AP182" s="452">
        <f t="shared" si="130"/>
        <v>286</v>
      </c>
      <c r="AQ182" s="452">
        <f t="shared" si="131"/>
        <v>13.956800000000001</v>
      </c>
      <c r="AR182" s="452">
        <f t="shared" si="132"/>
        <v>0.24596457599999999</v>
      </c>
      <c r="AS182" s="452">
        <f t="shared" si="133"/>
        <v>300</v>
      </c>
      <c r="AT182" s="262">
        <f t="shared" si="134"/>
        <v>519376</v>
      </c>
      <c r="AU182" s="262">
        <f t="shared" si="135"/>
        <v>544800</v>
      </c>
      <c r="AV182" s="431">
        <f t="shared" si="136"/>
        <v>8</v>
      </c>
      <c r="AW182" s="431">
        <f t="array" ref="AW182">MAX((IF(MNU_CODIGO_ALIMENTO_ENTREGA=CONCATENATE($E182,"_","P_"),MNU_GRAMAJE_REQUERIDO_TIPOH,"")))</f>
        <v>100</v>
      </c>
      <c r="AX182" s="259">
        <f t="shared" si="137"/>
        <v>281</v>
      </c>
      <c r="AY182" s="259">
        <f t="shared" si="138"/>
        <v>2248</v>
      </c>
      <c r="AZ182" s="452">
        <f t="shared" si="139"/>
        <v>286</v>
      </c>
      <c r="BA182" s="452">
        <f t="shared" si="140"/>
        <v>13.956800000000001</v>
      </c>
      <c r="BB182" s="452">
        <f t="shared" si="141"/>
        <v>0.24596457599999999</v>
      </c>
      <c r="BC182" s="452">
        <f t="shared" si="142"/>
        <v>300</v>
      </c>
      <c r="BD182" s="260">
        <f t="shared" si="143"/>
        <v>642928</v>
      </c>
      <c r="BE182" s="260">
        <f t="shared" si="144"/>
        <v>674400</v>
      </c>
      <c r="BF182" s="397">
        <f t="shared" si="145"/>
        <v>41339584</v>
      </c>
      <c r="BG182" s="397">
        <f t="shared" si="146"/>
        <v>43363200</v>
      </c>
    </row>
    <row r="183" spans="1:59" ht="15.75">
      <c r="A183" s="338">
        <v>13</v>
      </c>
      <c r="B183" s="338" t="str">
        <f t="shared" si="98"/>
        <v>FRUTA_13</v>
      </c>
      <c r="C183" s="338" t="str">
        <f t="shared" si="99"/>
        <v>69_13</v>
      </c>
      <c r="D183" s="338" t="s">
        <v>1</v>
      </c>
      <c r="E183" s="258">
        <v>69</v>
      </c>
      <c r="F183" s="328" t="s">
        <v>70</v>
      </c>
      <c r="G183" s="258" t="s">
        <v>9</v>
      </c>
      <c r="H183" s="431">
        <f t="shared" si="100"/>
        <v>30</v>
      </c>
      <c r="I183" s="431">
        <f t="array" ref="I183">MAX((IF(MNU_CODIGO_ALIMENTO_ENTREGA=CONCATENATE($E183,"_","P_"),MNU_GRAMAJE_REQUERIDO_TIPOA,"")))</f>
        <v>100</v>
      </c>
      <c r="J183" s="259">
        <f t="shared" si="101"/>
        <v>5162</v>
      </c>
      <c r="K183" s="259">
        <f t="shared" si="102"/>
        <v>154860</v>
      </c>
      <c r="L183" s="452">
        <f t="shared" si="103"/>
        <v>305</v>
      </c>
      <c r="M183" s="452">
        <f t="shared" si="104"/>
        <v>14.884</v>
      </c>
      <c r="N183" s="452">
        <f t="shared" si="105"/>
        <v>0.26230488000000002</v>
      </c>
      <c r="O183" s="452">
        <f t="shared" si="106"/>
        <v>320</v>
      </c>
      <c r="P183" s="260">
        <f t="shared" si="107"/>
        <v>47232300</v>
      </c>
      <c r="Q183" s="260">
        <f t="shared" si="108"/>
        <v>49555200</v>
      </c>
      <c r="R183" s="432">
        <f t="shared" si="109"/>
        <v>16</v>
      </c>
      <c r="S183" s="432">
        <f t="array" ref="S183">MAX((IF(MNU_CODIGO_ALIMENTO_ENTREGA=CONCATENATE($E183,"_","P_"),MNU_GRAMAJE_REQUERIDO_TIPOB,"")))</f>
        <v>100</v>
      </c>
      <c r="T183" s="261">
        <f t="shared" si="110"/>
        <v>7506</v>
      </c>
      <c r="U183" s="261">
        <f t="shared" si="111"/>
        <v>120096</v>
      </c>
      <c r="V183" s="452">
        <f t="shared" si="112"/>
        <v>305</v>
      </c>
      <c r="W183" s="452">
        <f t="shared" si="113"/>
        <v>14.884</v>
      </c>
      <c r="X183" s="452">
        <f t="shared" si="114"/>
        <v>0.26230488000000002</v>
      </c>
      <c r="Y183" s="452">
        <f t="shared" si="115"/>
        <v>320</v>
      </c>
      <c r="Z183" s="262">
        <f t="shared" si="116"/>
        <v>36629280</v>
      </c>
      <c r="AA183" s="262">
        <f t="shared" si="117"/>
        <v>38430720</v>
      </c>
      <c r="AB183" s="431">
        <f t="shared" si="118"/>
        <v>16</v>
      </c>
      <c r="AC183" s="431">
        <f t="array" ref="AC183">MAX((IF(MNU_CODIGO_ALIMENTO_ENTREGA=CONCATENATE($E183,"_","P_"),MNU_GRAMAJE_REQUERIDO_TIPOC,"")))</f>
        <v>100</v>
      </c>
      <c r="AD183" s="259">
        <f t="shared" si="119"/>
        <v>10054</v>
      </c>
      <c r="AE183" s="259">
        <f t="shared" si="120"/>
        <v>160864</v>
      </c>
      <c r="AF183" s="452">
        <f t="shared" si="121"/>
        <v>305</v>
      </c>
      <c r="AG183" s="452">
        <f t="shared" si="122"/>
        <v>14.884</v>
      </c>
      <c r="AH183" s="452">
        <f t="shared" si="123"/>
        <v>0.26230488000000002</v>
      </c>
      <c r="AI183" s="452">
        <f t="shared" si="124"/>
        <v>320</v>
      </c>
      <c r="AJ183" s="260">
        <f t="shared" si="125"/>
        <v>49063520</v>
      </c>
      <c r="AK183" s="260">
        <f t="shared" si="126"/>
        <v>51476480</v>
      </c>
      <c r="AL183" s="432">
        <f t="shared" si="127"/>
        <v>16</v>
      </c>
      <c r="AM183" s="432">
        <f t="array" ref="AM183">MAX((IF(MNU_CODIGO_ALIMENTO_ENTREGA=CONCATENATE($E183,"_","P_"),MNU_GRAMAJE_REQUERIDO_TIPOM,"")))</f>
        <v>100</v>
      </c>
      <c r="AN183" s="261">
        <f t="shared" si="128"/>
        <v>227</v>
      </c>
      <c r="AO183" s="261">
        <f t="shared" si="129"/>
        <v>3632</v>
      </c>
      <c r="AP183" s="452">
        <f t="shared" si="130"/>
        <v>305</v>
      </c>
      <c r="AQ183" s="452">
        <f t="shared" si="131"/>
        <v>14.884</v>
      </c>
      <c r="AR183" s="452">
        <f t="shared" si="132"/>
        <v>0.26230488000000002</v>
      </c>
      <c r="AS183" s="452">
        <f t="shared" si="133"/>
        <v>320</v>
      </c>
      <c r="AT183" s="262">
        <f t="shared" si="134"/>
        <v>1107760</v>
      </c>
      <c r="AU183" s="262">
        <f t="shared" si="135"/>
        <v>1162240</v>
      </c>
      <c r="AV183" s="431">
        <f t="shared" si="136"/>
        <v>16</v>
      </c>
      <c r="AW183" s="431">
        <f t="array" ref="AW183">MAX((IF(MNU_CODIGO_ALIMENTO_ENTREGA=CONCATENATE($E183,"_","P_"),MNU_GRAMAJE_REQUERIDO_TIPOH,"")))</f>
        <v>100</v>
      </c>
      <c r="AX183" s="259">
        <f t="shared" si="137"/>
        <v>281</v>
      </c>
      <c r="AY183" s="259">
        <f t="shared" si="138"/>
        <v>4496</v>
      </c>
      <c r="AZ183" s="452">
        <f t="shared" si="139"/>
        <v>305</v>
      </c>
      <c r="BA183" s="452">
        <f t="shared" si="140"/>
        <v>14.884</v>
      </c>
      <c r="BB183" s="452">
        <f t="shared" si="141"/>
        <v>0.26230488000000002</v>
      </c>
      <c r="BC183" s="452">
        <f t="shared" si="142"/>
        <v>320</v>
      </c>
      <c r="BD183" s="260">
        <f t="shared" si="143"/>
        <v>1371280</v>
      </c>
      <c r="BE183" s="260">
        <f t="shared" si="144"/>
        <v>1438720</v>
      </c>
      <c r="BF183" s="397">
        <f t="shared" si="145"/>
        <v>135404140</v>
      </c>
      <c r="BG183" s="397">
        <f t="shared" si="146"/>
        <v>142063360</v>
      </c>
    </row>
    <row r="184" spans="1:59" ht="15.75">
      <c r="A184" s="338">
        <v>13</v>
      </c>
      <c r="B184" s="338" t="str">
        <f t="shared" si="98"/>
        <v>FRUTA_13</v>
      </c>
      <c r="C184" s="338" t="str">
        <f t="shared" si="99"/>
        <v>70_13</v>
      </c>
      <c r="D184" s="338" t="s">
        <v>1</v>
      </c>
      <c r="E184" s="258">
        <v>70</v>
      </c>
      <c r="F184" s="328" t="s">
        <v>71</v>
      </c>
      <c r="G184" s="258" t="s">
        <v>9</v>
      </c>
      <c r="H184" s="431">
        <f t="shared" si="100"/>
        <v>0</v>
      </c>
      <c r="I184" s="431">
        <f t="array" ref="I184">MAX((IF(MNU_CODIGO_ALIMENTO_ENTREGA=CONCATENATE($E184,"_","P_"),MNU_GRAMAJE_REQUERIDO_TIPOA,"")))</f>
        <v>0</v>
      </c>
      <c r="J184" s="259">
        <f t="shared" si="101"/>
        <v>5162</v>
      </c>
      <c r="K184" s="259">
        <f t="shared" si="102"/>
        <v>0</v>
      </c>
      <c r="L184" s="452">
        <f t="shared" si="103"/>
        <v>0</v>
      </c>
      <c r="M184" s="452">
        <f t="shared" si="104"/>
        <v>0</v>
      </c>
      <c r="N184" s="452">
        <f t="shared" si="105"/>
        <v>0</v>
      </c>
      <c r="O184" s="452">
        <f t="shared" si="106"/>
        <v>0</v>
      </c>
      <c r="P184" s="260">
        <f t="shared" si="107"/>
        <v>0</v>
      </c>
      <c r="Q184" s="260">
        <f t="shared" si="108"/>
        <v>0</v>
      </c>
      <c r="R184" s="432">
        <f t="shared" si="109"/>
        <v>10</v>
      </c>
      <c r="S184" s="432">
        <f t="array" ref="S184">MAX((IF(MNU_CODIGO_ALIMENTO_ENTREGA=CONCATENATE($E184,"_","P_"),MNU_GRAMAJE_REQUERIDO_TIPOB,"")))</f>
        <v>100</v>
      </c>
      <c r="T184" s="261">
        <f t="shared" si="110"/>
        <v>7506</v>
      </c>
      <c r="U184" s="261">
        <f t="shared" si="111"/>
        <v>75060</v>
      </c>
      <c r="V184" s="452">
        <f t="shared" si="112"/>
        <v>434</v>
      </c>
      <c r="W184" s="452">
        <f t="shared" si="113"/>
        <v>21.179200000000002</v>
      </c>
      <c r="X184" s="452">
        <f t="shared" si="114"/>
        <v>0.37324694399999997</v>
      </c>
      <c r="Y184" s="452">
        <f t="shared" si="115"/>
        <v>456</v>
      </c>
      <c r="Z184" s="262">
        <f t="shared" si="116"/>
        <v>32576040</v>
      </c>
      <c r="AA184" s="262">
        <f t="shared" si="117"/>
        <v>34227360</v>
      </c>
      <c r="AB184" s="431">
        <f t="shared" si="118"/>
        <v>10</v>
      </c>
      <c r="AC184" s="431">
        <f t="array" ref="AC184">MAX((IF(MNU_CODIGO_ALIMENTO_ENTREGA=CONCATENATE($E184,"_","P_"),MNU_GRAMAJE_REQUERIDO_TIPOC,"")))</f>
        <v>100</v>
      </c>
      <c r="AD184" s="259">
        <f t="shared" si="119"/>
        <v>10054</v>
      </c>
      <c r="AE184" s="259">
        <f t="shared" si="120"/>
        <v>100540</v>
      </c>
      <c r="AF184" s="452">
        <f t="shared" si="121"/>
        <v>434</v>
      </c>
      <c r="AG184" s="452">
        <f t="shared" si="122"/>
        <v>21.179200000000002</v>
      </c>
      <c r="AH184" s="452">
        <f t="shared" si="123"/>
        <v>0.37324694399999997</v>
      </c>
      <c r="AI184" s="452">
        <f t="shared" si="124"/>
        <v>456</v>
      </c>
      <c r="AJ184" s="260">
        <f t="shared" si="125"/>
        <v>43634360</v>
      </c>
      <c r="AK184" s="260">
        <f t="shared" si="126"/>
        <v>45846240</v>
      </c>
      <c r="AL184" s="432">
        <f t="shared" si="127"/>
        <v>10</v>
      </c>
      <c r="AM184" s="432">
        <f t="array" ref="AM184">MAX((IF(MNU_CODIGO_ALIMENTO_ENTREGA=CONCATENATE($E184,"_","P_"),MNU_GRAMAJE_REQUERIDO_TIPOM,"")))</f>
        <v>100</v>
      </c>
      <c r="AN184" s="261">
        <f t="shared" si="128"/>
        <v>227</v>
      </c>
      <c r="AO184" s="261">
        <f t="shared" si="129"/>
        <v>2270</v>
      </c>
      <c r="AP184" s="452">
        <f t="shared" si="130"/>
        <v>434</v>
      </c>
      <c r="AQ184" s="452">
        <f t="shared" si="131"/>
        <v>21.179200000000002</v>
      </c>
      <c r="AR184" s="452">
        <f t="shared" si="132"/>
        <v>0.37324694399999997</v>
      </c>
      <c r="AS184" s="452">
        <f t="shared" si="133"/>
        <v>456</v>
      </c>
      <c r="AT184" s="262">
        <f t="shared" si="134"/>
        <v>985180</v>
      </c>
      <c r="AU184" s="262">
        <f t="shared" si="135"/>
        <v>1035120</v>
      </c>
      <c r="AV184" s="431">
        <f t="shared" si="136"/>
        <v>10</v>
      </c>
      <c r="AW184" s="431">
        <f t="array" ref="AW184">MAX((IF(MNU_CODIGO_ALIMENTO_ENTREGA=CONCATENATE($E184,"_","P_"),MNU_GRAMAJE_REQUERIDO_TIPOH,"")))</f>
        <v>100</v>
      </c>
      <c r="AX184" s="259">
        <f t="shared" si="137"/>
        <v>281</v>
      </c>
      <c r="AY184" s="259">
        <f t="shared" si="138"/>
        <v>2810</v>
      </c>
      <c r="AZ184" s="452">
        <f t="shared" si="139"/>
        <v>434</v>
      </c>
      <c r="BA184" s="452">
        <f t="shared" si="140"/>
        <v>21.179200000000002</v>
      </c>
      <c r="BB184" s="452">
        <f t="shared" si="141"/>
        <v>0.37324694399999997</v>
      </c>
      <c r="BC184" s="452">
        <f t="shared" si="142"/>
        <v>456</v>
      </c>
      <c r="BD184" s="260">
        <f t="shared" si="143"/>
        <v>1219540</v>
      </c>
      <c r="BE184" s="260">
        <f t="shared" si="144"/>
        <v>1281360</v>
      </c>
      <c r="BF184" s="397">
        <f t="shared" si="145"/>
        <v>78415120</v>
      </c>
      <c r="BG184" s="397">
        <f t="shared" si="146"/>
        <v>82390080</v>
      </c>
    </row>
    <row r="185" spans="1:59" ht="15.75">
      <c r="A185" s="338">
        <v>14</v>
      </c>
      <c r="B185" s="338" t="str">
        <f t="shared" si="98"/>
        <v>FRUTA_14</v>
      </c>
      <c r="C185" s="338" t="str">
        <f t="shared" si="99"/>
        <v>7_14</v>
      </c>
      <c r="D185" s="338" t="s">
        <v>1</v>
      </c>
      <c r="E185" s="258">
        <v>7</v>
      </c>
      <c r="F185" s="328" t="s">
        <v>57</v>
      </c>
      <c r="G185" s="258" t="s">
        <v>9</v>
      </c>
      <c r="H185" s="431">
        <f t="shared" si="100"/>
        <v>22</v>
      </c>
      <c r="I185" s="431">
        <f t="array" ref="I185">MAX((IF(MNU_CODIGO_ALIMENTO_ENTREGA=CONCATENATE($E185,"_","P_"),MNU_GRAMAJE_REQUERIDO_TIPOA,"")))</f>
        <v>100</v>
      </c>
      <c r="J185" s="259">
        <f t="shared" si="101"/>
        <v>4679</v>
      </c>
      <c r="K185" s="259">
        <f t="shared" si="102"/>
        <v>102938</v>
      </c>
      <c r="L185" s="452">
        <f t="shared" si="103"/>
        <v>107</v>
      </c>
      <c r="M185" s="452">
        <f t="shared" si="104"/>
        <v>5.2216000000000005</v>
      </c>
      <c r="N185" s="452">
        <f t="shared" si="105"/>
        <v>9.2021712000000006E-2</v>
      </c>
      <c r="O185" s="452">
        <f t="shared" si="106"/>
        <v>112</v>
      </c>
      <c r="P185" s="260">
        <f t="shared" si="107"/>
        <v>11014366</v>
      </c>
      <c r="Q185" s="260">
        <f t="shared" si="108"/>
        <v>11529056</v>
      </c>
      <c r="R185" s="432">
        <f t="shared" si="109"/>
        <v>9</v>
      </c>
      <c r="S185" s="432">
        <f t="array" ref="S185">MAX((IF(MNU_CODIGO_ALIMENTO_ENTREGA=CONCATENATE($E185,"_","P_"),MNU_GRAMAJE_REQUERIDO_TIPOB,"")))</f>
        <v>100</v>
      </c>
      <c r="T185" s="261">
        <f t="shared" si="110"/>
        <v>6284</v>
      </c>
      <c r="U185" s="261">
        <f t="shared" si="111"/>
        <v>56556</v>
      </c>
      <c r="V185" s="452">
        <f t="shared" si="112"/>
        <v>107</v>
      </c>
      <c r="W185" s="452">
        <f t="shared" si="113"/>
        <v>5.2216000000000005</v>
      </c>
      <c r="X185" s="452">
        <f t="shared" si="114"/>
        <v>9.2021712000000006E-2</v>
      </c>
      <c r="Y185" s="452">
        <f t="shared" si="115"/>
        <v>112</v>
      </c>
      <c r="Z185" s="262">
        <f t="shared" si="116"/>
        <v>6051492</v>
      </c>
      <c r="AA185" s="262">
        <f t="shared" si="117"/>
        <v>6334272</v>
      </c>
      <c r="AB185" s="431">
        <f t="shared" si="118"/>
        <v>9</v>
      </c>
      <c r="AC185" s="431">
        <f t="array" ref="AC185">MAX((IF(MNU_CODIGO_ALIMENTO_ENTREGA=CONCATENATE($E185,"_","P_"),MNU_GRAMAJE_REQUERIDO_TIPOC,"")))</f>
        <v>100</v>
      </c>
      <c r="AD185" s="259">
        <f t="shared" si="119"/>
        <v>6681</v>
      </c>
      <c r="AE185" s="259">
        <f t="shared" si="120"/>
        <v>60129</v>
      </c>
      <c r="AF185" s="452">
        <f t="shared" si="121"/>
        <v>107</v>
      </c>
      <c r="AG185" s="452">
        <f t="shared" si="122"/>
        <v>5.2216000000000005</v>
      </c>
      <c r="AH185" s="452">
        <f t="shared" si="123"/>
        <v>9.2021712000000006E-2</v>
      </c>
      <c r="AI185" s="452">
        <f t="shared" si="124"/>
        <v>112</v>
      </c>
      <c r="AJ185" s="260">
        <f t="shared" si="125"/>
        <v>6433803</v>
      </c>
      <c r="AK185" s="260">
        <f t="shared" si="126"/>
        <v>6734448</v>
      </c>
      <c r="AL185" s="432">
        <f t="shared" si="127"/>
        <v>9</v>
      </c>
      <c r="AM185" s="432">
        <f t="array" ref="AM185">MAX((IF(MNU_CODIGO_ALIMENTO_ENTREGA=CONCATENATE($E185,"_","P_"),MNU_GRAMAJE_REQUERIDO_TIPOM,"")))</f>
        <v>100</v>
      </c>
      <c r="AN185" s="261">
        <f t="shared" si="128"/>
        <v>465</v>
      </c>
      <c r="AO185" s="261">
        <f t="shared" si="129"/>
        <v>4185</v>
      </c>
      <c r="AP185" s="452">
        <f t="shared" si="130"/>
        <v>107</v>
      </c>
      <c r="AQ185" s="452">
        <f t="shared" si="131"/>
        <v>5.2216000000000005</v>
      </c>
      <c r="AR185" s="452">
        <f t="shared" si="132"/>
        <v>9.2021712000000006E-2</v>
      </c>
      <c r="AS185" s="452">
        <f t="shared" si="133"/>
        <v>112</v>
      </c>
      <c r="AT185" s="262">
        <f t="shared" si="134"/>
        <v>447795</v>
      </c>
      <c r="AU185" s="262">
        <f t="shared" si="135"/>
        <v>468720</v>
      </c>
      <c r="AV185" s="431">
        <f t="shared" si="136"/>
        <v>9</v>
      </c>
      <c r="AW185" s="431">
        <f t="array" ref="AW185">MAX((IF(MNU_CODIGO_ALIMENTO_ENTREGA=CONCATENATE($E185,"_","P_"),MNU_GRAMAJE_REQUERIDO_TIPOH,"")))</f>
        <v>100</v>
      </c>
      <c r="AX185" s="259">
        <f t="shared" si="137"/>
        <v>400</v>
      </c>
      <c r="AY185" s="259">
        <f t="shared" si="138"/>
        <v>3600</v>
      </c>
      <c r="AZ185" s="452">
        <f t="shared" si="139"/>
        <v>107</v>
      </c>
      <c r="BA185" s="452">
        <f t="shared" si="140"/>
        <v>5.2216000000000005</v>
      </c>
      <c r="BB185" s="452">
        <f t="shared" si="141"/>
        <v>9.2021712000000006E-2</v>
      </c>
      <c r="BC185" s="452">
        <f t="shared" si="142"/>
        <v>112</v>
      </c>
      <c r="BD185" s="260">
        <f t="shared" si="143"/>
        <v>385200</v>
      </c>
      <c r="BE185" s="260">
        <f t="shared" si="144"/>
        <v>403200</v>
      </c>
      <c r="BF185" s="397">
        <f t="shared" si="145"/>
        <v>24332656</v>
      </c>
      <c r="BG185" s="397">
        <f t="shared" si="146"/>
        <v>25469696</v>
      </c>
    </row>
    <row r="186" spans="1:59" ht="15.75">
      <c r="A186" s="338">
        <v>14</v>
      </c>
      <c r="B186" s="338" t="str">
        <f t="shared" si="98"/>
        <v>FRUTA_14</v>
      </c>
      <c r="C186" s="338" t="str">
        <f t="shared" si="99"/>
        <v>8_14</v>
      </c>
      <c r="D186" s="338" t="s">
        <v>1</v>
      </c>
      <c r="E186" s="258">
        <v>8</v>
      </c>
      <c r="F186" s="328" t="s">
        <v>55</v>
      </c>
      <c r="G186" s="258" t="s">
        <v>9</v>
      </c>
      <c r="H186" s="431">
        <f t="shared" si="100"/>
        <v>10</v>
      </c>
      <c r="I186" s="431">
        <f t="array" ref="I186">MAX((IF(MNU_CODIGO_ALIMENTO_ENTREGA=CONCATENATE($E186,"_","P_"),MNU_GRAMAJE_REQUERIDO_TIPOA,"")))</f>
        <v>100</v>
      </c>
      <c r="J186" s="259">
        <f t="shared" si="101"/>
        <v>4679</v>
      </c>
      <c r="K186" s="259">
        <f t="shared" si="102"/>
        <v>46790</v>
      </c>
      <c r="L186" s="452">
        <f t="shared" si="103"/>
        <v>134</v>
      </c>
      <c r="M186" s="452">
        <f t="shared" si="104"/>
        <v>6.539200000000001</v>
      </c>
      <c r="N186" s="452">
        <f t="shared" si="105"/>
        <v>0.115242144</v>
      </c>
      <c r="O186" s="452">
        <f t="shared" si="106"/>
        <v>141</v>
      </c>
      <c r="P186" s="260">
        <f t="shared" si="107"/>
        <v>6269860</v>
      </c>
      <c r="Q186" s="260">
        <f t="shared" si="108"/>
        <v>6597390</v>
      </c>
      <c r="R186" s="432">
        <f t="shared" si="109"/>
        <v>8</v>
      </c>
      <c r="S186" s="432">
        <f t="array" ref="S186">MAX((IF(MNU_CODIGO_ALIMENTO_ENTREGA=CONCATENATE($E186,"_","P_"),MNU_GRAMAJE_REQUERIDO_TIPOB,"")))</f>
        <v>100</v>
      </c>
      <c r="T186" s="261">
        <f t="shared" si="110"/>
        <v>6284</v>
      </c>
      <c r="U186" s="261">
        <f t="shared" si="111"/>
        <v>50272</v>
      </c>
      <c r="V186" s="452">
        <f t="shared" si="112"/>
        <v>134</v>
      </c>
      <c r="W186" s="452">
        <f t="shared" si="113"/>
        <v>6.539200000000001</v>
      </c>
      <c r="X186" s="452">
        <f t="shared" si="114"/>
        <v>0.115242144</v>
      </c>
      <c r="Y186" s="452">
        <f t="shared" si="115"/>
        <v>141</v>
      </c>
      <c r="Z186" s="262">
        <f t="shared" si="116"/>
        <v>6736448</v>
      </c>
      <c r="AA186" s="262">
        <f t="shared" si="117"/>
        <v>7088352</v>
      </c>
      <c r="AB186" s="431">
        <f t="shared" si="118"/>
        <v>8</v>
      </c>
      <c r="AC186" s="431">
        <f t="array" ref="AC186">MAX((IF(MNU_CODIGO_ALIMENTO_ENTREGA=CONCATENATE($E186,"_","P_"),MNU_GRAMAJE_REQUERIDO_TIPOC,"")))</f>
        <v>100</v>
      </c>
      <c r="AD186" s="259">
        <f t="shared" si="119"/>
        <v>6681</v>
      </c>
      <c r="AE186" s="259">
        <f t="shared" si="120"/>
        <v>53448</v>
      </c>
      <c r="AF186" s="452">
        <f t="shared" si="121"/>
        <v>134</v>
      </c>
      <c r="AG186" s="452">
        <f t="shared" si="122"/>
        <v>6.539200000000001</v>
      </c>
      <c r="AH186" s="452">
        <f t="shared" si="123"/>
        <v>0.115242144</v>
      </c>
      <c r="AI186" s="452">
        <f t="shared" si="124"/>
        <v>141</v>
      </c>
      <c r="AJ186" s="260">
        <f t="shared" si="125"/>
        <v>7162032</v>
      </c>
      <c r="AK186" s="260">
        <f t="shared" si="126"/>
        <v>7536168</v>
      </c>
      <c r="AL186" s="432">
        <f t="shared" si="127"/>
        <v>8</v>
      </c>
      <c r="AM186" s="432">
        <f t="array" ref="AM186">MAX((IF(MNU_CODIGO_ALIMENTO_ENTREGA=CONCATENATE($E186,"_","P_"),MNU_GRAMAJE_REQUERIDO_TIPOM,"")))</f>
        <v>100</v>
      </c>
      <c r="AN186" s="261">
        <f t="shared" si="128"/>
        <v>465</v>
      </c>
      <c r="AO186" s="261">
        <f t="shared" si="129"/>
        <v>3720</v>
      </c>
      <c r="AP186" s="452">
        <f t="shared" si="130"/>
        <v>134</v>
      </c>
      <c r="AQ186" s="452">
        <f t="shared" si="131"/>
        <v>6.539200000000001</v>
      </c>
      <c r="AR186" s="452">
        <f t="shared" si="132"/>
        <v>0.115242144</v>
      </c>
      <c r="AS186" s="452">
        <f t="shared" si="133"/>
        <v>141</v>
      </c>
      <c r="AT186" s="262">
        <f t="shared" si="134"/>
        <v>498480</v>
      </c>
      <c r="AU186" s="262">
        <f t="shared" si="135"/>
        <v>524520</v>
      </c>
      <c r="AV186" s="431">
        <f t="shared" si="136"/>
        <v>8</v>
      </c>
      <c r="AW186" s="431">
        <f t="array" ref="AW186">MAX((IF(MNU_CODIGO_ALIMENTO_ENTREGA=CONCATENATE($E186,"_","P_"),MNU_GRAMAJE_REQUERIDO_TIPOH,"")))</f>
        <v>100</v>
      </c>
      <c r="AX186" s="259">
        <f t="shared" si="137"/>
        <v>400</v>
      </c>
      <c r="AY186" s="259">
        <f t="shared" si="138"/>
        <v>3200</v>
      </c>
      <c r="AZ186" s="452">
        <f t="shared" si="139"/>
        <v>134</v>
      </c>
      <c r="BA186" s="452">
        <f t="shared" si="140"/>
        <v>6.539200000000001</v>
      </c>
      <c r="BB186" s="452">
        <f t="shared" si="141"/>
        <v>0.115242144</v>
      </c>
      <c r="BC186" s="452">
        <f t="shared" si="142"/>
        <v>141</v>
      </c>
      <c r="BD186" s="260">
        <f t="shared" si="143"/>
        <v>428800</v>
      </c>
      <c r="BE186" s="260">
        <f t="shared" si="144"/>
        <v>451200</v>
      </c>
      <c r="BF186" s="397">
        <f t="shared" si="145"/>
        <v>21095620</v>
      </c>
      <c r="BG186" s="397">
        <f t="shared" si="146"/>
        <v>22197630</v>
      </c>
    </row>
    <row r="187" spans="1:59" ht="15.75">
      <c r="A187" s="338">
        <v>14</v>
      </c>
      <c r="B187" s="338" t="str">
        <f t="shared" si="98"/>
        <v>FRUTA_14</v>
      </c>
      <c r="C187" s="338" t="str">
        <f t="shared" si="99"/>
        <v>17_14</v>
      </c>
      <c r="D187" s="338" t="s">
        <v>1</v>
      </c>
      <c r="E187" s="258">
        <v>17</v>
      </c>
      <c r="F187" s="328" t="s">
        <v>53</v>
      </c>
      <c r="G187" s="258" t="s">
        <v>9</v>
      </c>
      <c r="H187" s="431">
        <f t="shared" si="100"/>
        <v>0</v>
      </c>
      <c r="I187" s="431">
        <f t="array" ref="I187">MAX((IF(MNU_CODIGO_ALIMENTO_ENTREGA=CONCATENATE($E187,"_","P_"),MNU_GRAMAJE_REQUERIDO_TIPOA,"")))</f>
        <v>0</v>
      </c>
      <c r="J187" s="259">
        <f t="shared" si="101"/>
        <v>4679</v>
      </c>
      <c r="K187" s="259">
        <f t="shared" si="102"/>
        <v>0</v>
      </c>
      <c r="L187" s="452">
        <f t="shared" si="103"/>
        <v>0</v>
      </c>
      <c r="M187" s="452">
        <f t="shared" si="104"/>
        <v>0</v>
      </c>
      <c r="N187" s="452">
        <f t="shared" si="105"/>
        <v>0</v>
      </c>
      <c r="O187" s="452">
        <f t="shared" si="106"/>
        <v>0</v>
      </c>
      <c r="P187" s="260">
        <f t="shared" si="107"/>
        <v>0</v>
      </c>
      <c r="Q187" s="260">
        <f t="shared" si="108"/>
        <v>0</v>
      </c>
      <c r="R187" s="432">
        <f t="shared" si="109"/>
        <v>21</v>
      </c>
      <c r="S187" s="432">
        <f t="array" ref="S187">MAX((IF(MNU_CODIGO_ALIMENTO_ENTREGA=CONCATENATE($E187,"_","P_"),MNU_GRAMAJE_REQUERIDO_TIPOB,"")))</f>
        <v>100</v>
      </c>
      <c r="T187" s="261">
        <f t="shared" si="110"/>
        <v>6284</v>
      </c>
      <c r="U187" s="261">
        <f t="shared" si="111"/>
        <v>131964</v>
      </c>
      <c r="V187" s="452">
        <f t="shared" si="112"/>
        <v>226</v>
      </c>
      <c r="W187" s="452">
        <f t="shared" si="113"/>
        <v>11.0288</v>
      </c>
      <c r="X187" s="452">
        <f t="shared" si="114"/>
        <v>0.19436361600000002</v>
      </c>
      <c r="Y187" s="452">
        <f t="shared" si="115"/>
        <v>237</v>
      </c>
      <c r="Z187" s="262">
        <f t="shared" si="116"/>
        <v>29823864</v>
      </c>
      <c r="AA187" s="262">
        <f t="shared" si="117"/>
        <v>31275468</v>
      </c>
      <c r="AB187" s="431">
        <f t="shared" si="118"/>
        <v>21</v>
      </c>
      <c r="AC187" s="431">
        <f t="array" ref="AC187">MAX((IF(MNU_CODIGO_ALIMENTO_ENTREGA=CONCATENATE($E187,"_","P_"),MNU_GRAMAJE_REQUERIDO_TIPOC,"")))</f>
        <v>100</v>
      </c>
      <c r="AD187" s="259">
        <f t="shared" si="119"/>
        <v>6681</v>
      </c>
      <c r="AE187" s="259">
        <f t="shared" si="120"/>
        <v>140301</v>
      </c>
      <c r="AF187" s="452">
        <f t="shared" si="121"/>
        <v>226</v>
      </c>
      <c r="AG187" s="452">
        <f t="shared" si="122"/>
        <v>11.0288</v>
      </c>
      <c r="AH187" s="452">
        <f t="shared" si="123"/>
        <v>0.19436361600000002</v>
      </c>
      <c r="AI187" s="452">
        <f t="shared" si="124"/>
        <v>237</v>
      </c>
      <c r="AJ187" s="260">
        <f t="shared" si="125"/>
        <v>31708026</v>
      </c>
      <c r="AK187" s="260">
        <f t="shared" si="126"/>
        <v>33251337</v>
      </c>
      <c r="AL187" s="432">
        <f t="shared" si="127"/>
        <v>21</v>
      </c>
      <c r="AM187" s="432">
        <f t="array" ref="AM187">MAX((IF(MNU_CODIGO_ALIMENTO_ENTREGA=CONCATENATE($E187,"_","P_"),MNU_GRAMAJE_REQUERIDO_TIPOM,"")))</f>
        <v>100</v>
      </c>
      <c r="AN187" s="261">
        <f t="shared" si="128"/>
        <v>465</v>
      </c>
      <c r="AO187" s="261">
        <f t="shared" si="129"/>
        <v>9765</v>
      </c>
      <c r="AP187" s="452">
        <f t="shared" si="130"/>
        <v>226</v>
      </c>
      <c r="AQ187" s="452">
        <f t="shared" si="131"/>
        <v>11.0288</v>
      </c>
      <c r="AR187" s="452">
        <f t="shared" si="132"/>
        <v>0.19436361600000002</v>
      </c>
      <c r="AS187" s="452">
        <f t="shared" si="133"/>
        <v>237</v>
      </c>
      <c r="AT187" s="262">
        <f t="shared" si="134"/>
        <v>2206890</v>
      </c>
      <c r="AU187" s="262">
        <f t="shared" si="135"/>
        <v>2314305</v>
      </c>
      <c r="AV187" s="431">
        <f t="shared" si="136"/>
        <v>21</v>
      </c>
      <c r="AW187" s="431">
        <f t="array" ref="AW187">MAX((IF(MNU_CODIGO_ALIMENTO_ENTREGA=CONCATENATE($E187,"_","P_"),MNU_GRAMAJE_REQUERIDO_TIPOH,"")))</f>
        <v>100</v>
      </c>
      <c r="AX187" s="259">
        <f t="shared" si="137"/>
        <v>400</v>
      </c>
      <c r="AY187" s="259">
        <f t="shared" si="138"/>
        <v>8400</v>
      </c>
      <c r="AZ187" s="452">
        <f t="shared" si="139"/>
        <v>226</v>
      </c>
      <c r="BA187" s="452">
        <f t="shared" si="140"/>
        <v>11.0288</v>
      </c>
      <c r="BB187" s="452">
        <f t="shared" si="141"/>
        <v>0.19436361600000002</v>
      </c>
      <c r="BC187" s="452">
        <f t="shared" si="142"/>
        <v>237</v>
      </c>
      <c r="BD187" s="260">
        <f t="shared" si="143"/>
        <v>1898400</v>
      </c>
      <c r="BE187" s="260">
        <f t="shared" si="144"/>
        <v>1990800</v>
      </c>
      <c r="BF187" s="397">
        <f t="shared" si="145"/>
        <v>65637180</v>
      </c>
      <c r="BG187" s="397">
        <f t="shared" si="146"/>
        <v>68831910</v>
      </c>
    </row>
    <row r="188" spans="1:59" ht="15.75">
      <c r="A188" s="338">
        <v>14</v>
      </c>
      <c r="B188" s="338" t="str">
        <f t="shared" ref="B188:B251" si="147">CONCATENATE(D188,"_",A188)</f>
        <v>FRUTA_14</v>
      </c>
      <c r="C188" s="338" t="str">
        <f t="shared" ref="C188:C251" si="148">CONCATENATE(E188,"_",A188)</f>
        <v>22_14</v>
      </c>
      <c r="D188" s="338" t="s">
        <v>1</v>
      </c>
      <c r="E188" s="258">
        <v>22</v>
      </c>
      <c r="F188" s="328" t="s">
        <v>51</v>
      </c>
      <c r="G188" s="258" t="s">
        <v>9</v>
      </c>
      <c r="H188" s="431">
        <f t="shared" ref="H188:H251" si="149">SUMIF(MNU_CODIGO_ALIMENTO_ENTREGA,CONCATENATE($E188,"_","P_"),MNU_FRECUENCIAS_LAV_TIPOA)</f>
        <v>0</v>
      </c>
      <c r="I188" s="431">
        <f t="array" ref="I188">MAX((IF(MNU_CODIGO_ALIMENTO_ENTREGA=CONCATENATE($E188,"_","P_"),MNU_GRAMAJE_REQUERIDO_TIPOA,"")))</f>
        <v>0</v>
      </c>
      <c r="J188" s="259">
        <f t="shared" ref="J188:J251" si="150">SUMIF(VOL_GRUPO,CONCATENATE($A188,"1052-1NO"),VOL_TIPOA)</f>
        <v>4679</v>
      </c>
      <c r="K188" s="259">
        <f t="shared" ref="K188:K251" si="151">H188*J188</f>
        <v>0</v>
      </c>
      <c r="L188" s="452">
        <f t="shared" ref="L188:L251" si="152">IF(ISERROR(AVERAGEIFS(MNU_COSTO_UNITARIO_TIPOA_SELECCIONADO,MNU_CODIGO_ALIMENTO_ENTREGA,CONCATENATE($E188,"_","P_"))),0,AVERAGEIFS(MNU_COSTO_UNITARIO_TIPOA_SELECCIONADO,MNU_CODIGO_ALIMENTO_ENTREGA,CONCATENATE($E188,"_","P_")))</f>
        <v>0</v>
      </c>
      <c r="M188" s="452">
        <f t="shared" ref="M188:M251" si="153">(L188*0.01)+(L188*0.005)+(L188*0.02)+(L188*(13.8/1000))</f>
        <v>0</v>
      </c>
      <c r="N188" s="452">
        <f t="shared" ref="N188:N251" si="154">((L188+M188)*0.00071)+((L188+M188)*0.00011)</f>
        <v>0</v>
      </c>
      <c r="O188" s="452">
        <f t="shared" ref="O188:O251" si="155">ROUND(L188+M188+N188,0)</f>
        <v>0</v>
      </c>
      <c r="P188" s="260">
        <f t="shared" ref="P188:P251" si="156">H188*J188*L188</f>
        <v>0</v>
      </c>
      <c r="Q188" s="260">
        <f t="shared" ref="Q188:Q251" si="157">H188*J188*O188</f>
        <v>0</v>
      </c>
      <c r="R188" s="432">
        <f t="shared" ref="R188:R251" si="158">SUMIF(MNU_CODIGO_ALIMENTO_ENTREGA,CONCATENATE($E188,"_","P_"),MNU_FRECUENCIAS_LAV_TIPOB)</f>
        <v>20</v>
      </c>
      <c r="S188" s="432">
        <f t="array" ref="S188">MAX((IF(MNU_CODIGO_ALIMENTO_ENTREGA=CONCATENATE($E188,"_","P_"),MNU_GRAMAJE_REQUERIDO_TIPOB,"")))</f>
        <v>100</v>
      </c>
      <c r="T188" s="261">
        <f t="shared" ref="T188:T251" si="159">SUMIF(VOL_GRUPO,CONCATENATE($A188,"1052-1NO"),VOL_TIPOB)</f>
        <v>6284</v>
      </c>
      <c r="U188" s="261">
        <f t="shared" ref="U188:U251" si="160">R188*T188</f>
        <v>125680</v>
      </c>
      <c r="V188" s="452">
        <f t="shared" ref="V188:V251" si="161">IF(ISERROR(AVERAGEIFS(MNU_COSTO_UNITARIO_TIPOB_SELECCIONADO,MNU_CODIGO_ALIMENTO_ENTREGA,CONCATENATE($E188,"_","P_"))),0,AVERAGEIFS(MNU_COSTO_UNITARIO_TIPOB_SELECCIONADO,MNU_CODIGO_ALIMENTO_ENTREGA,CONCATENATE($E188,"_","P_")))</f>
        <v>525</v>
      </c>
      <c r="W188" s="452">
        <f t="shared" ref="W188:W251" si="162">(V188*0.01)+(V188*0.005)+(V188*0.02)+(V188*(13.8/1000))</f>
        <v>25.62</v>
      </c>
      <c r="X188" s="452">
        <f t="shared" ref="X188:X251" si="163">((V188+W188)*0.00071)+((V188+W188)*0.00011)</f>
        <v>0.45150840000000003</v>
      </c>
      <c r="Y188" s="452">
        <f t="shared" ref="Y188:Y251" si="164">ROUND(V188+W188+X188,0)</f>
        <v>551</v>
      </c>
      <c r="Z188" s="262">
        <f t="shared" ref="Z188:Z251" si="165">R188*T188*V188</f>
        <v>65982000</v>
      </c>
      <c r="AA188" s="262">
        <f t="shared" ref="AA188:AA251" si="166">R188*T188*Y188</f>
        <v>69249680</v>
      </c>
      <c r="AB188" s="431">
        <f t="shared" ref="AB188:AB251" si="167">SUMIF(MNU_CODIGO_ALIMENTO_ENTREGA,CONCATENATE($E188,"_","P_"),MNU_FRECUENCIAS_LAV_TIPOC)</f>
        <v>20</v>
      </c>
      <c r="AC188" s="431">
        <f t="array" ref="AC188">MAX((IF(MNU_CODIGO_ALIMENTO_ENTREGA=CONCATENATE($E188,"_","P_"),MNU_GRAMAJE_REQUERIDO_TIPOC,"")))</f>
        <v>100</v>
      </c>
      <c r="AD188" s="259">
        <f t="shared" ref="AD188:AD251" si="168">SUMIF(VOL_GRUPO,CONCATENATE($A188,"1052-1NO"),VOL_TIPOC)</f>
        <v>6681</v>
      </c>
      <c r="AE188" s="259">
        <f t="shared" ref="AE188:AE251" si="169">AB188*AD188</f>
        <v>133620</v>
      </c>
      <c r="AF188" s="452">
        <f t="shared" ref="AF188:AF251" si="170">IF(ISERROR(AVERAGEIFS(MNU_COSTO_UNITARIO_TIPOC_SELECCIONADO,MNU_CODIGO_ALIMENTO_ENTREGA,CONCATENATE($E188,"_","P_"))),0,AVERAGEIFS(MNU_COSTO_UNITARIO_TIPOC_SELECCIONADO,MNU_CODIGO_ALIMENTO_ENTREGA,CONCATENATE($E188,"_","P_")))</f>
        <v>525</v>
      </c>
      <c r="AG188" s="452">
        <f t="shared" ref="AG188:AG251" si="171">(AF188*0.01)+(AF188*0.005)+(AF188*0.02)+(AF188*(13.8/1000))</f>
        <v>25.62</v>
      </c>
      <c r="AH188" s="452">
        <f t="shared" ref="AH188:AH251" si="172">((AF188+AG188)*0.00071)+((AF188+AG188)*0.00011)</f>
        <v>0.45150840000000003</v>
      </c>
      <c r="AI188" s="452">
        <f t="shared" ref="AI188:AI251" si="173">ROUND(AF188+AG188+AH188,0)</f>
        <v>551</v>
      </c>
      <c r="AJ188" s="260">
        <f t="shared" ref="AJ188:AJ251" si="174">AB188*AD188*AF188</f>
        <v>70150500</v>
      </c>
      <c r="AK188" s="260">
        <f t="shared" ref="AK188:AK251" si="175">AB188*AD188*AI188</f>
        <v>73624620</v>
      </c>
      <c r="AL188" s="432">
        <f t="shared" ref="AL188:AL251" si="176">SUMIF(MNU_CODIGO_ALIMENTO_ENTREGA,CONCATENATE($E188,"_","P_"),MNU_FRECUENCIAS_LAV_TIPOM)</f>
        <v>20</v>
      </c>
      <c r="AM188" s="432">
        <f t="array" ref="AM188">MAX((IF(MNU_CODIGO_ALIMENTO_ENTREGA=CONCATENATE($E188,"_","P_"),MNU_GRAMAJE_REQUERIDO_TIPOM,"")))</f>
        <v>100</v>
      </c>
      <c r="AN188" s="261">
        <f t="shared" ref="AN188:AN251" si="177">SUMIF(VOL_GRUPO,CONCATENATE($A188,"1052-1NO"),VOL_TIPOM)</f>
        <v>465</v>
      </c>
      <c r="AO188" s="261">
        <f t="shared" ref="AO188:AO251" si="178">AL188*AN188</f>
        <v>9300</v>
      </c>
      <c r="AP188" s="452">
        <f t="shared" ref="AP188:AP251" si="179">IF(ISERROR(AVERAGEIFS(MNU_COSTO_UNITARIO_TIPOM_SELECCIONADO,MNU_CODIGO_ALIMENTO_ENTREGA,CONCATENATE($E188,"_","P_"))),0,AVERAGEIFS(MNU_COSTO_UNITARIO_TIPOM_SELECCIONADO,MNU_CODIGO_ALIMENTO_ENTREGA,CONCATENATE($E188,"_","P_")))</f>
        <v>525</v>
      </c>
      <c r="AQ188" s="452">
        <f t="shared" ref="AQ188:AQ251" si="180">(AP188*0.01)+(AP188*0.005)+(AP188*0.02)+(AP188*(13.8/1000))</f>
        <v>25.62</v>
      </c>
      <c r="AR188" s="452">
        <f t="shared" ref="AR188:AR251" si="181">((AP188+AQ188)*0.00071)+((AP188+AQ188)*0.00011)</f>
        <v>0.45150840000000003</v>
      </c>
      <c r="AS188" s="452">
        <f t="shared" ref="AS188:AS251" si="182">ROUND(AP188+AQ188+AR188,0)</f>
        <v>551</v>
      </c>
      <c r="AT188" s="262">
        <f t="shared" ref="AT188:AT251" si="183">AL188*AN188*AP188</f>
        <v>4882500</v>
      </c>
      <c r="AU188" s="262">
        <f t="shared" ref="AU188:AU251" si="184">AL188*AN188*AS188</f>
        <v>5124300</v>
      </c>
      <c r="AV188" s="431">
        <f t="shared" ref="AV188:AV251" si="185">SUMIF(MNU_CODIGO_ALIMENTO_ENTREGA,CONCATENATE($E188,"_","P_"),MNU_FRECUENCIAS_LAV_TIPOH)</f>
        <v>20</v>
      </c>
      <c r="AW188" s="431">
        <f t="array" ref="AW188">MAX((IF(MNU_CODIGO_ALIMENTO_ENTREGA=CONCATENATE($E188,"_","P_"),MNU_GRAMAJE_REQUERIDO_TIPOH,"")))</f>
        <v>100</v>
      </c>
      <c r="AX188" s="259">
        <f t="shared" ref="AX188:AX251" si="186">SUMIF(VOL_GRUPO,CONCATENATE($A188,"1052-1NO"),VOL_TIPOH)</f>
        <v>400</v>
      </c>
      <c r="AY188" s="259">
        <f t="shared" ref="AY188:AY251" si="187">AV188*AX188</f>
        <v>8000</v>
      </c>
      <c r="AZ188" s="452">
        <f t="shared" ref="AZ188:AZ251" si="188">IF(ISERROR(AVERAGEIFS(MNU_COSTO_UNITARIO_TIPOH_SELECCIONADO,MNU_CODIGO_ALIMENTO_ENTREGA,CONCATENATE($E188,"_","P_"))),0,AVERAGEIFS(MNU_COSTO_UNITARIO_TIPOH_SELECCIONADO,MNU_CODIGO_ALIMENTO_ENTREGA,CONCATENATE($E188,"_","P_")))</f>
        <v>525</v>
      </c>
      <c r="BA188" s="452">
        <f t="shared" ref="BA188:BA251" si="189">(AZ188*0.01)+(AZ188*0.005)+(AZ188*0.02)+(AZ188*(13.8/1000))</f>
        <v>25.62</v>
      </c>
      <c r="BB188" s="452">
        <f t="shared" ref="BB188:BB251" si="190">((AZ188+BA188)*0.00071)+((AZ188+BA188)*0.00011)</f>
        <v>0.45150840000000003</v>
      </c>
      <c r="BC188" s="452">
        <f t="shared" ref="BC188:BC251" si="191">ROUND(AZ188+BA188+BB188,0)</f>
        <v>551</v>
      </c>
      <c r="BD188" s="260">
        <f t="shared" ref="BD188:BD251" si="192">AV188*AX188*AZ188</f>
        <v>4200000</v>
      </c>
      <c r="BE188" s="260">
        <f t="shared" ref="BE188:BE251" si="193">AV188*AX188*BC188</f>
        <v>4408000</v>
      </c>
      <c r="BF188" s="397">
        <f t="shared" ref="BF188:BF251" si="194">BD188+AT188+AJ188+Z188+P188</f>
        <v>145215000</v>
      </c>
      <c r="BG188" s="397">
        <f t="shared" ref="BG188:BG251" si="195">BE188+AU188+AK188+AA188+Q188</f>
        <v>152406600</v>
      </c>
    </row>
    <row r="189" spans="1:59" ht="15.75">
      <c r="A189" s="338">
        <v>14</v>
      </c>
      <c r="B189" s="338" t="str">
        <f t="shared" si="147"/>
        <v>FRUTA_14</v>
      </c>
      <c r="C189" s="338" t="str">
        <f t="shared" si="148"/>
        <v>33_14</v>
      </c>
      <c r="D189" s="338" t="s">
        <v>1</v>
      </c>
      <c r="E189" s="258">
        <v>33</v>
      </c>
      <c r="F189" s="328" t="s">
        <v>59</v>
      </c>
      <c r="G189" s="258" t="s">
        <v>48</v>
      </c>
      <c r="H189" s="431">
        <f t="shared" si="149"/>
        <v>27</v>
      </c>
      <c r="I189" s="431">
        <v>1</v>
      </c>
      <c r="J189" s="259">
        <f t="shared" si="150"/>
        <v>4679</v>
      </c>
      <c r="K189" s="259">
        <f t="shared" si="151"/>
        <v>126333</v>
      </c>
      <c r="L189" s="452">
        <f t="shared" si="152"/>
        <v>270</v>
      </c>
      <c r="M189" s="452">
        <f t="shared" si="153"/>
        <v>13.176000000000002</v>
      </c>
      <c r="N189" s="452">
        <f t="shared" si="154"/>
        <v>0.23220432000000002</v>
      </c>
      <c r="O189" s="452">
        <f t="shared" si="155"/>
        <v>283</v>
      </c>
      <c r="P189" s="260">
        <f t="shared" si="156"/>
        <v>34109910</v>
      </c>
      <c r="Q189" s="260">
        <f t="shared" si="157"/>
        <v>35752239</v>
      </c>
      <c r="R189" s="432">
        <f t="shared" si="158"/>
        <v>18</v>
      </c>
      <c r="S189" s="432">
        <v>1</v>
      </c>
      <c r="T189" s="261">
        <f t="shared" si="159"/>
        <v>6284</v>
      </c>
      <c r="U189" s="261">
        <f t="shared" si="160"/>
        <v>113112</v>
      </c>
      <c r="V189" s="452">
        <f t="shared" si="161"/>
        <v>270</v>
      </c>
      <c r="W189" s="452">
        <f t="shared" si="162"/>
        <v>13.176000000000002</v>
      </c>
      <c r="X189" s="452">
        <f t="shared" si="163"/>
        <v>0.23220432000000002</v>
      </c>
      <c r="Y189" s="452">
        <f t="shared" si="164"/>
        <v>283</v>
      </c>
      <c r="Z189" s="262">
        <f t="shared" si="165"/>
        <v>30540240</v>
      </c>
      <c r="AA189" s="262">
        <f t="shared" si="166"/>
        <v>32010696</v>
      </c>
      <c r="AB189" s="431">
        <f t="shared" si="167"/>
        <v>18</v>
      </c>
      <c r="AC189" s="431">
        <v>1</v>
      </c>
      <c r="AD189" s="259">
        <f t="shared" si="168"/>
        <v>6681</v>
      </c>
      <c r="AE189" s="259">
        <f t="shared" si="169"/>
        <v>120258</v>
      </c>
      <c r="AF189" s="452">
        <f t="shared" si="170"/>
        <v>270</v>
      </c>
      <c r="AG189" s="452">
        <f t="shared" si="171"/>
        <v>13.176000000000002</v>
      </c>
      <c r="AH189" s="452">
        <f t="shared" si="172"/>
        <v>0.23220432000000002</v>
      </c>
      <c r="AI189" s="452">
        <f t="shared" si="173"/>
        <v>283</v>
      </c>
      <c r="AJ189" s="260">
        <f t="shared" si="174"/>
        <v>32469660</v>
      </c>
      <c r="AK189" s="260">
        <f t="shared" si="175"/>
        <v>34033014</v>
      </c>
      <c r="AL189" s="432">
        <f t="shared" si="176"/>
        <v>18</v>
      </c>
      <c r="AM189" s="432">
        <v>1</v>
      </c>
      <c r="AN189" s="261">
        <f t="shared" si="177"/>
        <v>465</v>
      </c>
      <c r="AO189" s="261">
        <f t="shared" si="178"/>
        <v>8370</v>
      </c>
      <c r="AP189" s="452">
        <f t="shared" si="179"/>
        <v>270</v>
      </c>
      <c r="AQ189" s="452">
        <f t="shared" si="180"/>
        <v>13.176000000000002</v>
      </c>
      <c r="AR189" s="452">
        <f t="shared" si="181"/>
        <v>0.23220432000000002</v>
      </c>
      <c r="AS189" s="452">
        <f t="shared" si="182"/>
        <v>283</v>
      </c>
      <c r="AT189" s="262">
        <f t="shared" si="183"/>
        <v>2259900</v>
      </c>
      <c r="AU189" s="262">
        <f t="shared" si="184"/>
        <v>2368710</v>
      </c>
      <c r="AV189" s="431">
        <f t="shared" si="185"/>
        <v>18</v>
      </c>
      <c r="AW189" s="431">
        <v>1</v>
      </c>
      <c r="AX189" s="259">
        <f t="shared" si="186"/>
        <v>400</v>
      </c>
      <c r="AY189" s="259">
        <f t="shared" si="187"/>
        <v>7200</v>
      </c>
      <c r="AZ189" s="452">
        <f t="shared" si="188"/>
        <v>270</v>
      </c>
      <c r="BA189" s="452">
        <f t="shared" si="189"/>
        <v>13.176000000000002</v>
      </c>
      <c r="BB189" s="452">
        <f t="shared" si="190"/>
        <v>0.23220432000000002</v>
      </c>
      <c r="BC189" s="452">
        <f t="shared" si="191"/>
        <v>283</v>
      </c>
      <c r="BD189" s="260">
        <f t="shared" si="192"/>
        <v>1944000</v>
      </c>
      <c r="BE189" s="260">
        <f t="shared" si="193"/>
        <v>2037600</v>
      </c>
      <c r="BF189" s="397">
        <f t="shared" si="194"/>
        <v>101323710</v>
      </c>
      <c r="BG189" s="397">
        <f t="shared" si="195"/>
        <v>106202259</v>
      </c>
    </row>
    <row r="190" spans="1:59" ht="15.75">
      <c r="A190" s="338">
        <v>14</v>
      </c>
      <c r="B190" s="338" t="str">
        <f t="shared" si="147"/>
        <v>FRUTA_14</v>
      </c>
      <c r="C190" s="338" t="str">
        <f t="shared" si="148"/>
        <v>36_14</v>
      </c>
      <c r="D190" s="338" t="s">
        <v>1</v>
      </c>
      <c r="E190" s="258">
        <v>36</v>
      </c>
      <c r="F190" s="328" t="s">
        <v>1340</v>
      </c>
      <c r="G190" s="258" t="s">
        <v>9</v>
      </c>
      <c r="H190" s="431">
        <f t="shared" si="149"/>
        <v>7</v>
      </c>
      <c r="I190" s="431">
        <f t="array" ref="I190">MAX((IF(MNU_CODIGO_ALIMENTO_ENTREGA=CONCATENATE($E190,"_","P_"),MNU_GRAMAJE_REQUERIDO_TIPOA,"")))</f>
        <v>20</v>
      </c>
      <c r="J190" s="259">
        <f t="shared" si="150"/>
        <v>4679</v>
      </c>
      <c r="K190" s="259">
        <f t="shared" si="151"/>
        <v>32753</v>
      </c>
      <c r="L190" s="452">
        <f t="shared" si="152"/>
        <v>126</v>
      </c>
      <c r="M190" s="452">
        <f t="shared" si="153"/>
        <v>6.1488000000000005</v>
      </c>
      <c r="N190" s="452">
        <f t="shared" si="154"/>
        <v>0.10836201599999999</v>
      </c>
      <c r="O190" s="452">
        <f t="shared" si="155"/>
        <v>132</v>
      </c>
      <c r="P190" s="260">
        <f t="shared" si="156"/>
        <v>4126878</v>
      </c>
      <c r="Q190" s="260">
        <f t="shared" si="157"/>
        <v>4323396</v>
      </c>
      <c r="R190" s="432">
        <f t="shared" si="158"/>
        <v>7</v>
      </c>
      <c r="S190" s="432">
        <f t="array" ref="S190">MAX((IF(MNU_CODIGO_ALIMENTO_ENTREGA=CONCATENATE($E190,"_","P_"),MNU_GRAMAJE_REQUERIDO_TIPOB,"")))</f>
        <v>40</v>
      </c>
      <c r="T190" s="261">
        <f t="shared" si="159"/>
        <v>6284</v>
      </c>
      <c r="U190" s="261">
        <f t="shared" si="160"/>
        <v>43988</v>
      </c>
      <c r="V190" s="452">
        <f t="shared" si="161"/>
        <v>252</v>
      </c>
      <c r="W190" s="452">
        <f t="shared" si="162"/>
        <v>12.297600000000001</v>
      </c>
      <c r="X190" s="452">
        <f t="shared" si="163"/>
        <v>0.21672403199999998</v>
      </c>
      <c r="Y190" s="452">
        <f t="shared" si="164"/>
        <v>265</v>
      </c>
      <c r="Z190" s="262">
        <f t="shared" si="165"/>
        <v>11084976</v>
      </c>
      <c r="AA190" s="262">
        <f t="shared" si="166"/>
        <v>11656820</v>
      </c>
      <c r="AB190" s="431">
        <f t="shared" si="167"/>
        <v>7</v>
      </c>
      <c r="AC190" s="431">
        <f t="array" ref="AC190">MAX((IF(MNU_CODIGO_ALIMENTO_ENTREGA=CONCATENATE($E190,"_","P_"),MNU_GRAMAJE_REQUERIDO_TIPOC,"")))</f>
        <v>40</v>
      </c>
      <c r="AD190" s="259">
        <f t="shared" si="168"/>
        <v>6681</v>
      </c>
      <c r="AE190" s="259">
        <f t="shared" si="169"/>
        <v>46767</v>
      </c>
      <c r="AF190" s="452">
        <f t="shared" si="170"/>
        <v>252</v>
      </c>
      <c r="AG190" s="452">
        <f t="shared" si="171"/>
        <v>12.297600000000001</v>
      </c>
      <c r="AH190" s="452">
        <f t="shared" si="172"/>
        <v>0.21672403199999998</v>
      </c>
      <c r="AI190" s="452">
        <f t="shared" si="173"/>
        <v>265</v>
      </c>
      <c r="AJ190" s="260">
        <f t="shared" si="174"/>
        <v>11785284</v>
      </c>
      <c r="AK190" s="260">
        <f t="shared" si="175"/>
        <v>12393255</v>
      </c>
      <c r="AL190" s="432">
        <f t="shared" si="176"/>
        <v>7</v>
      </c>
      <c r="AM190" s="432">
        <f t="array" ref="AM190">MAX((IF(MNU_CODIGO_ALIMENTO_ENTREGA=CONCATENATE($E190,"_","P_"),MNU_GRAMAJE_REQUERIDO_TIPOM,"")))</f>
        <v>40</v>
      </c>
      <c r="AN190" s="261">
        <f t="shared" si="177"/>
        <v>465</v>
      </c>
      <c r="AO190" s="261">
        <f t="shared" si="178"/>
        <v>3255</v>
      </c>
      <c r="AP190" s="452">
        <f t="shared" si="179"/>
        <v>252</v>
      </c>
      <c r="AQ190" s="452">
        <f t="shared" si="180"/>
        <v>12.297600000000001</v>
      </c>
      <c r="AR190" s="452">
        <f t="shared" si="181"/>
        <v>0.21672403199999998</v>
      </c>
      <c r="AS190" s="452">
        <f t="shared" si="182"/>
        <v>265</v>
      </c>
      <c r="AT190" s="262">
        <f t="shared" si="183"/>
        <v>820260</v>
      </c>
      <c r="AU190" s="262">
        <f t="shared" si="184"/>
        <v>862575</v>
      </c>
      <c r="AV190" s="431">
        <f t="shared" si="185"/>
        <v>7</v>
      </c>
      <c r="AW190" s="431">
        <f t="array" ref="AW190">MAX((IF(MNU_CODIGO_ALIMENTO_ENTREGA=CONCATENATE($E190,"_","P_"),MNU_GRAMAJE_REQUERIDO_TIPOH,"")))</f>
        <v>40</v>
      </c>
      <c r="AX190" s="259">
        <f t="shared" si="186"/>
        <v>400</v>
      </c>
      <c r="AY190" s="259">
        <f t="shared" si="187"/>
        <v>2800</v>
      </c>
      <c r="AZ190" s="452">
        <f t="shared" si="188"/>
        <v>252</v>
      </c>
      <c r="BA190" s="452">
        <f t="shared" si="189"/>
        <v>12.297600000000001</v>
      </c>
      <c r="BB190" s="452">
        <f t="shared" si="190"/>
        <v>0.21672403199999998</v>
      </c>
      <c r="BC190" s="452">
        <f t="shared" si="191"/>
        <v>265</v>
      </c>
      <c r="BD190" s="260">
        <f t="shared" si="192"/>
        <v>705600</v>
      </c>
      <c r="BE190" s="260">
        <f t="shared" si="193"/>
        <v>742000</v>
      </c>
      <c r="BF190" s="397">
        <f t="shared" si="194"/>
        <v>28522998</v>
      </c>
      <c r="BG190" s="397">
        <f t="shared" si="195"/>
        <v>29978046</v>
      </c>
    </row>
    <row r="191" spans="1:59" ht="15.75">
      <c r="A191" s="338">
        <v>14</v>
      </c>
      <c r="B191" s="338" t="str">
        <f t="shared" si="147"/>
        <v>FRUTA_14</v>
      </c>
      <c r="C191" s="338" t="str">
        <f t="shared" si="148"/>
        <v>42_14</v>
      </c>
      <c r="D191" s="338" t="s">
        <v>1</v>
      </c>
      <c r="E191" s="258">
        <v>42</v>
      </c>
      <c r="F191" s="328" t="s">
        <v>61</v>
      </c>
      <c r="G191" s="258" t="s">
        <v>9</v>
      </c>
      <c r="H191" s="431">
        <f t="shared" si="149"/>
        <v>23</v>
      </c>
      <c r="I191" s="431">
        <f t="array" ref="I191">MAX((IF(MNU_CODIGO_ALIMENTO_ENTREGA=CONCATENATE($E191,"_","P_"),MNU_GRAMAJE_REQUERIDO_TIPOA,"")))</f>
        <v>100</v>
      </c>
      <c r="J191" s="259">
        <f t="shared" si="150"/>
        <v>4679</v>
      </c>
      <c r="K191" s="259">
        <f t="shared" si="151"/>
        <v>107617</v>
      </c>
      <c r="L191" s="452">
        <f t="shared" si="152"/>
        <v>194</v>
      </c>
      <c r="M191" s="452">
        <f t="shared" si="153"/>
        <v>9.4672000000000001</v>
      </c>
      <c r="N191" s="452">
        <f t="shared" si="154"/>
        <v>0.16684310399999999</v>
      </c>
      <c r="O191" s="452">
        <f t="shared" si="155"/>
        <v>204</v>
      </c>
      <c r="P191" s="260">
        <f t="shared" si="156"/>
        <v>20877698</v>
      </c>
      <c r="Q191" s="260">
        <f t="shared" si="157"/>
        <v>21953868</v>
      </c>
      <c r="R191" s="432">
        <f t="shared" si="158"/>
        <v>19</v>
      </c>
      <c r="S191" s="432">
        <f t="array" ref="S191">MAX((IF(MNU_CODIGO_ALIMENTO_ENTREGA=CONCATENATE($E191,"_","P_"),MNU_GRAMAJE_REQUERIDO_TIPOB,"")))</f>
        <v>100</v>
      </c>
      <c r="T191" s="261">
        <f t="shared" si="159"/>
        <v>6284</v>
      </c>
      <c r="U191" s="261">
        <f t="shared" si="160"/>
        <v>119396</v>
      </c>
      <c r="V191" s="452">
        <f t="shared" si="161"/>
        <v>194</v>
      </c>
      <c r="W191" s="452">
        <f t="shared" si="162"/>
        <v>9.4672000000000001</v>
      </c>
      <c r="X191" s="452">
        <f t="shared" si="163"/>
        <v>0.16684310399999999</v>
      </c>
      <c r="Y191" s="452">
        <f t="shared" si="164"/>
        <v>204</v>
      </c>
      <c r="Z191" s="262">
        <f t="shared" si="165"/>
        <v>23162824</v>
      </c>
      <c r="AA191" s="262">
        <f t="shared" si="166"/>
        <v>24356784</v>
      </c>
      <c r="AB191" s="431">
        <f t="shared" si="167"/>
        <v>19</v>
      </c>
      <c r="AC191" s="431">
        <f t="array" ref="AC191">MAX((IF(MNU_CODIGO_ALIMENTO_ENTREGA=CONCATENATE($E191,"_","P_"),MNU_GRAMAJE_REQUERIDO_TIPOC,"")))</f>
        <v>100</v>
      </c>
      <c r="AD191" s="259">
        <f t="shared" si="168"/>
        <v>6681</v>
      </c>
      <c r="AE191" s="259">
        <f t="shared" si="169"/>
        <v>126939</v>
      </c>
      <c r="AF191" s="452">
        <f t="shared" si="170"/>
        <v>194</v>
      </c>
      <c r="AG191" s="452">
        <f t="shared" si="171"/>
        <v>9.4672000000000001</v>
      </c>
      <c r="AH191" s="452">
        <f t="shared" si="172"/>
        <v>0.16684310399999999</v>
      </c>
      <c r="AI191" s="452">
        <f t="shared" si="173"/>
        <v>204</v>
      </c>
      <c r="AJ191" s="260">
        <f t="shared" si="174"/>
        <v>24626166</v>
      </c>
      <c r="AK191" s="260">
        <f t="shared" si="175"/>
        <v>25895556</v>
      </c>
      <c r="AL191" s="432">
        <f t="shared" si="176"/>
        <v>19</v>
      </c>
      <c r="AM191" s="432">
        <f t="array" ref="AM191">MAX((IF(MNU_CODIGO_ALIMENTO_ENTREGA=CONCATENATE($E191,"_","P_"),MNU_GRAMAJE_REQUERIDO_TIPOM,"")))</f>
        <v>100</v>
      </c>
      <c r="AN191" s="261">
        <f t="shared" si="177"/>
        <v>465</v>
      </c>
      <c r="AO191" s="261">
        <f t="shared" si="178"/>
        <v>8835</v>
      </c>
      <c r="AP191" s="452">
        <f t="shared" si="179"/>
        <v>194</v>
      </c>
      <c r="AQ191" s="452">
        <f t="shared" si="180"/>
        <v>9.4672000000000001</v>
      </c>
      <c r="AR191" s="452">
        <f t="shared" si="181"/>
        <v>0.16684310399999999</v>
      </c>
      <c r="AS191" s="452">
        <f t="shared" si="182"/>
        <v>204</v>
      </c>
      <c r="AT191" s="262">
        <f t="shared" si="183"/>
        <v>1713990</v>
      </c>
      <c r="AU191" s="262">
        <f t="shared" si="184"/>
        <v>1802340</v>
      </c>
      <c r="AV191" s="431">
        <f t="shared" si="185"/>
        <v>19</v>
      </c>
      <c r="AW191" s="431">
        <f t="array" ref="AW191">MAX((IF(MNU_CODIGO_ALIMENTO_ENTREGA=CONCATENATE($E191,"_","P_"),MNU_GRAMAJE_REQUERIDO_TIPOH,"")))</f>
        <v>100</v>
      </c>
      <c r="AX191" s="259">
        <f t="shared" si="186"/>
        <v>400</v>
      </c>
      <c r="AY191" s="259">
        <f t="shared" si="187"/>
        <v>7600</v>
      </c>
      <c r="AZ191" s="452">
        <f t="shared" si="188"/>
        <v>194</v>
      </c>
      <c r="BA191" s="452">
        <f t="shared" si="189"/>
        <v>9.4672000000000001</v>
      </c>
      <c r="BB191" s="452">
        <f t="shared" si="190"/>
        <v>0.16684310399999999</v>
      </c>
      <c r="BC191" s="452">
        <f t="shared" si="191"/>
        <v>204</v>
      </c>
      <c r="BD191" s="260">
        <f t="shared" si="192"/>
        <v>1474400</v>
      </c>
      <c r="BE191" s="260">
        <f t="shared" si="193"/>
        <v>1550400</v>
      </c>
      <c r="BF191" s="397">
        <f t="shared" si="194"/>
        <v>71855078</v>
      </c>
      <c r="BG191" s="397">
        <f t="shared" si="195"/>
        <v>75558948</v>
      </c>
    </row>
    <row r="192" spans="1:59" ht="15.75">
      <c r="A192" s="338">
        <v>14</v>
      </c>
      <c r="B192" s="338" t="str">
        <f t="shared" si="147"/>
        <v>FRUTA_14</v>
      </c>
      <c r="C192" s="338" t="str">
        <f t="shared" si="148"/>
        <v>43_14</v>
      </c>
      <c r="D192" s="338" t="s">
        <v>1</v>
      </c>
      <c r="E192" s="258">
        <v>43</v>
      </c>
      <c r="F192" s="328" t="s">
        <v>62</v>
      </c>
      <c r="G192" s="258" t="s">
        <v>9</v>
      </c>
      <c r="H192" s="431">
        <f t="shared" si="149"/>
        <v>24</v>
      </c>
      <c r="I192" s="431">
        <f t="array" ref="I192">MAX((IF(MNU_CODIGO_ALIMENTO_ENTREGA=CONCATENATE($E192,"_","P_"),MNU_GRAMAJE_REQUERIDO_TIPOA,"")))</f>
        <v>100</v>
      </c>
      <c r="J192" s="259">
        <f t="shared" si="150"/>
        <v>4679</v>
      </c>
      <c r="K192" s="259">
        <f t="shared" si="151"/>
        <v>112296</v>
      </c>
      <c r="L192" s="452">
        <f t="shared" si="152"/>
        <v>170</v>
      </c>
      <c r="M192" s="452">
        <f t="shared" si="153"/>
        <v>8.2959999999999994</v>
      </c>
      <c r="N192" s="452">
        <f t="shared" si="154"/>
        <v>0.14620272000000001</v>
      </c>
      <c r="O192" s="452">
        <f t="shared" si="155"/>
        <v>178</v>
      </c>
      <c r="P192" s="260">
        <f t="shared" si="156"/>
        <v>19090320</v>
      </c>
      <c r="Q192" s="260">
        <f t="shared" si="157"/>
        <v>19988688</v>
      </c>
      <c r="R192" s="432">
        <f t="shared" si="158"/>
        <v>17</v>
      </c>
      <c r="S192" s="432">
        <f t="array" ref="S192">MAX((IF(MNU_CODIGO_ALIMENTO_ENTREGA=CONCATENATE($E192,"_","P_"),MNU_GRAMAJE_REQUERIDO_TIPOB,"")))</f>
        <v>100</v>
      </c>
      <c r="T192" s="261">
        <f t="shared" si="159"/>
        <v>6284</v>
      </c>
      <c r="U192" s="261">
        <f t="shared" si="160"/>
        <v>106828</v>
      </c>
      <c r="V192" s="452">
        <f t="shared" si="161"/>
        <v>170</v>
      </c>
      <c r="W192" s="452">
        <f t="shared" si="162"/>
        <v>8.2959999999999994</v>
      </c>
      <c r="X192" s="452">
        <f t="shared" si="163"/>
        <v>0.14620272000000001</v>
      </c>
      <c r="Y192" s="452">
        <f t="shared" si="164"/>
        <v>178</v>
      </c>
      <c r="Z192" s="262">
        <f t="shared" si="165"/>
        <v>18160760</v>
      </c>
      <c r="AA192" s="262">
        <f t="shared" si="166"/>
        <v>19015384</v>
      </c>
      <c r="AB192" s="431">
        <f t="shared" si="167"/>
        <v>17</v>
      </c>
      <c r="AC192" s="431">
        <f t="array" ref="AC192">MAX((IF(MNU_CODIGO_ALIMENTO_ENTREGA=CONCATENATE($E192,"_","P_"),MNU_GRAMAJE_REQUERIDO_TIPOC,"")))</f>
        <v>100</v>
      </c>
      <c r="AD192" s="259">
        <f t="shared" si="168"/>
        <v>6681</v>
      </c>
      <c r="AE192" s="259">
        <f t="shared" si="169"/>
        <v>113577</v>
      </c>
      <c r="AF192" s="452">
        <f t="shared" si="170"/>
        <v>170</v>
      </c>
      <c r="AG192" s="452">
        <f t="shared" si="171"/>
        <v>8.2959999999999994</v>
      </c>
      <c r="AH192" s="452">
        <f t="shared" si="172"/>
        <v>0.14620272000000001</v>
      </c>
      <c r="AI192" s="452">
        <f t="shared" si="173"/>
        <v>178</v>
      </c>
      <c r="AJ192" s="260">
        <f t="shared" si="174"/>
        <v>19308090</v>
      </c>
      <c r="AK192" s="260">
        <f t="shared" si="175"/>
        <v>20216706</v>
      </c>
      <c r="AL192" s="432">
        <f t="shared" si="176"/>
        <v>17</v>
      </c>
      <c r="AM192" s="432">
        <f t="array" ref="AM192">MAX((IF(MNU_CODIGO_ALIMENTO_ENTREGA=CONCATENATE($E192,"_","P_"),MNU_GRAMAJE_REQUERIDO_TIPOM,"")))</f>
        <v>100</v>
      </c>
      <c r="AN192" s="261">
        <f t="shared" si="177"/>
        <v>465</v>
      </c>
      <c r="AO192" s="261">
        <f t="shared" si="178"/>
        <v>7905</v>
      </c>
      <c r="AP192" s="452">
        <f t="shared" si="179"/>
        <v>170</v>
      </c>
      <c r="AQ192" s="452">
        <f t="shared" si="180"/>
        <v>8.2959999999999994</v>
      </c>
      <c r="AR192" s="452">
        <f t="shared" si="181"/>
        <v>0.14620272000000001</v>
      </c>
      <c r="AS192" s="452">
        <f t="shared" si="182"/>
        <v>178</v>
      </c>
      <c r="AT192" s="262">
        <f t="shared" si="183"/>
        <v>1343850</v>
      </c>
      <c r="AU192" s="262">
        <f t="shared" si="184"/>
        <v>1407090</v>
      </c>
      <c r="AV192" s="431">
        <f t="shared" si="185"/>
        <v>17</v>
      </c>
      <c r="AW192" s="431">
        <f t="array" ref="AW192">MAX((IF(MNU_CODIGO_ALIMENTO_ENTREGA=CONCATENATE($E192,"_","P_"),MNU_GRAMAJE_REQUERIDO_TIPOH,"")))</f>
        <v>100</v>
      </c>
      <c r="AX192" s="259">
        <f t="shared" si="186"/>
        <v>400</v>
      </c>
      <c r="AY192" s="259">
        <f t="shared" si="187"/>
        <v>6800</v>
      </c>
      <c r="AZ192" s="452">
        <f t="shared" si="188"/>
        <v>170</v>
      </c>
      <c r="BA192" s="452">
        <f t="shared" si="189"/>
        <v>8.2959999999999994</v>
      </c>
      <c r="BB192" s="452">
        <f t="shared" si="190"/>
        <v>0.14620272000000001</v>
      </c>
      <c r="BC192" s="452">
        <f t="shared" si="191"/>
        <v>178</v>
      </c>
      <c r="BD192" s="260">
        <f t="shared" si="192"/>
        <v>1156000</v>
      </c>
      <c r="BE192" s="260">
        <f t="shared" si="193"/>
        <v>1210400</v>
      </c>
      <c r="BF192" s="397">
        <f t="shared" si="194"/>
        <v>59059020</v>
      </c>
      <c r="BG192" s="397">
        <f t="shared" si="195"/>
        <v>61838268</v>
      </c>
    </row>
    <row r="193" spans="1:59" ht="15.75">
      <c r="A193" s="338">
        <v>14</v>
      </c>
      <c r="B193" s="338" t="str">
        <f t="shared" si="147"/>
        <v>FRUTA_14</v>
      </c>
      <c r="C193" s="338" t="str">
        <f t="shared" si="148"/>
        <v>46_14</v>
      </c>
      <c r="D193" s="338" t="s">
        <v>1</v>
      </c>
      <c r="E193" s="258">
        <v>46</v>
      </c>
      <c r="F193" s="328" t="s">
        <v>64</v>
      </c>
      <c r="G193" s="258" t="s">
        <v>9</v>
      </c>
      <c r="H193" s="431">
        <f t="shared" si="149"/>
        <v>30</v>
      </c>
      <c r="I193" s="431">
        <f t="array" ref="I193">MAX((IF(MNU_CODIGO_ALIMENTO_ENTREGA=CONCATENATE($E193,"_","P_"),MNU_GRAMAJE_REQUERIDO_TIPOA,"")))</f>
        <v>100</v>
      </c>
      <c r="J193" s="259">
        <f t="shared" si="150"/>
        <v>4679</v>
      </c>
      <c r="K193" s="259">
        <f t="shared" si="151"/>
        <v>140370</v>
      </c>
      <c r="L193" s="452">
        <f t="shared" si="152"/>
        <v>398</v>
      </c>
      <c r="M193" s="452">
        <f t="shared" si="153"/>
        <v>19.4224</v>
      </c>
      <c r="N193" s="452">
        <f t="shared" si="154"/>
        <v>0.34228636800000001</v>
      </c>
      <c r="O193" s="452">
        <f t="shared" si="155"/>
        <v>418</v>
      </c>
      <c r="P193" s="260">
        <f t="shared" si="156"/>
        <v>55867260</v>
      </c>
      <c r="Q193" s="260">
        <f t="shared" si="157"/>
        <v>58674660</v>
      </c>
      <c r="R193" s="432">
        <f t="shared" si="158"/>
        <v>21</v>
      </c>
      <c r="S193" s="432">
        <f t="array" ref="S193">MAX((IF(MNU_CODIGO_ALIMENTO_ENTREGA=CONCATENATE($E193,"_","P_"),MNU_GRAMAJE_REQUERIDO_TIPOB,"")))</f>
        <v>100</v>
      </c>
      <c r="T193" s="261">
        <f t="shared" si="159"/>
        <v>6284</v>
      </c>
      <c r="U193" s="261">
        <f t="shared" si="160"/>
        <v>131964</v>
      </c>
      <c r="V193" s="452">
        <f t="shared" si="161"/>
        <v>398</v>
      </c>
      <c r="W193" s="452">
        <f t="shared" si="162"/>
        <v>19.4224</v>
      </c>
      <c r="X193" s="452">
        <f t="shared" si="163"/>
        <v>0.34228636800000001</v>
      </c>
      <c r="Y193" s="452">
        <f t="shared" si="164"/>
        <v>418</v>
      </c>
      <c r="Z193" s="262">
        <f t="shared" si="165"/>
        <v>52521672</v>
      </c>
      <c r="AA193" s="262">
        <f t="shared" si="166"/>
        <v>55160952</v>
      </c>
      <c r="AB193" s="431">
        <f t="shared" si="167"/>
        <v>21</v>
      </c>
      <c r="AC193" s="431">
        <f t="array" ref="AC193">MAX((IF(MNU_CODIGO_ALIMENTO_ENTREGA=CONCATENATE($E193,"_","P_"),MNU_GRAMAJE_REQUERIDO_TIPOC,"")))</f>
        <v>100</v>
      </c>
      <c r="AD193" s="259">
        <f t="shared" si="168"/>
        <v>6681</v>
      </c>
      <c r="AE193" s="259">
        <f t="shared" si="169"/>
        <v>140301</v>
      </c>
      <c r="AF193" s="452">
        <f t="shared" si="170"/>
        <v>398</v>
      </c>
      <c r="AG193" s="452">
        <f t="shared" si="171"/>
        <v>19.4224</v>
      </c>
      <c r="AH193" s="452">
        <f t="shared" si="172"/>
        <v>0.34228636800000001</v>
      </c>
      <c r="AI193" s="452">
        <f t="shared" si="173"/>
        <v>418</v>
      </c>
      <c r="AJ193" s="260">
        <f t="shared" si="174"/>
        <v>55839798</v>
      </c>
      <c r="AK193" s="260">
        <f t="shared" si="175"/>
        <v>58645818</v>
      </c>
      <c r="AL193" s="432">
        <f t="shared" si="176"/>
        <v>21</v>
      </c>
      <c r="AM193" s="432">
        <f t="array" ref="AM193">MAX((IF(MNU_CODIGO_ALIMENTO_ENTREGA=CONCATENATE($E193,"_","P_"),MNU_GRAMAJE_REQUERIDO_TIPOM,"")))</f>
        <v>100</v>
      </c>
      <c r="AN193" s="261">
        <f t="shared" si="177"/>
        <v>465</v>
      </c>
      <c r="AO193" s="261">
        <f t="shared" si="178"/>
        <v>9765</v>
      </c>
      <c r="AP193" s="452">
        <f t="shared" si="179"/>
        <v>398</v>
      </c>
      <c r="AQ193" s="452">
        <f t="shared" si="180"/>
        <v>19.4224</v>
      </c>
      <c r="AR193" s="452">
        <f t="shared" si="181"/>
        <v>0.34228636800000001</v>
      </c>
      <c r="AS193" s="452">
        <f t="shared" si="182"/>
        <v>418</v>
      </c>
      <c r="AT193" s="262">
        <f t="shared" si="183"/>
        <v>3886470</v>
      </c>
      <c r="AU193" s="262">
        <f t="shared" si="184"/>
        <v>4081770</v>
      </c>
      <c r="AV193" s="431">
        <f t="shared" si="185"/>
        <v>21</v>
      </c>
      <c r="AW193" s="431">
        <f t="array" ref="AW193">MAX((IF(MNU_CODIGO_ALIMENTO_ENTREGA=CONCATENATE($E193,"_","P_"),MNU_GRAMAJE_REQUERIDO_TIPOH,"")))</f>
        <v>100</v>
      </c>
      <c r="AX193" s="259">
        <f t="shared" si="186"/>
        <v>400</v>
      </c>
      <c r="AY193" s="259">
        <f t="shared" si="187"/>
        <v>8400</v>
      </c>
      <c r="AZ193" s="452">
        <f t="shared" si="188"/>
        <v>398</v>
      </c>
      <c r="BA193" s="452">
        <f t="shared" si="189"/>
        <v>19.4224</v>
      </c>
      <c r="BB193" s="452">
        <f t="shared" si="190"/>
        <v>0.34228636800000001</v>
      </c>
      <c r="BC193" s="452">
        <f t="shared" si="191"/>
        <v>418</v>
      </c>
      <c r="BD193" s="260">
        <f t="shared" si="192"/>
        <v>3343200</v>
      </c>
      <c r="BE193" s="260">
        <f t="shared" si="193"/>
        <v>3511200</v>
      </c>
      <c r="BF193" s="397">
        <f t="shared" si="194"/>
        <v>171458400</v>
      </c>
      <c r="BG193" s="397">
        <f t="shared" si="195"/>
        <v>180074400</v>
      </c>
    </row>
    <row r="194" spans="1:59" ht="15.75">
      <c r="A194" s="338">
        <v>14</v>
      </c>
      <c r="B194" s="338" t="str">
        <f t="shared" si="147"/>
        <v>FRUTA_14</v>
      </c>
      <c r="C194" s="338" t="str">
        <f t="shared" si="148"/>
        <v>58_14</v>
      </c>
      <c r="D194" s="338" t="s">
        <v>1</v>
      </c>
      <c r="E194" s="258">
        <v>58</v>
      </c>
      <c r="F194" s="328" t="s">
        <v>67</v>
      </c>
      <c r="G194" s="258" t="s">
        <v>9</v>
      </c>
      <c r="H194" s="431">
        <f t="shared" si="149"/>
        <v>24</v>
      </c>
      <c r="I194" s="431">
        <f t="array" ref="I194">MAX((IF(MNU_CODIGO_ALIMENTO_ENTREGA=CONCATENATE($E194,"_","P_"),MNU_GRAMAJE_REQUERIDO_TIPOA,"")))</f>
        <v>100</v>
      </c>
      <c r="J194" s="259">
        <f t="shared" si="150"/>
        <v>4679</v>
      </c>
      <c r="K194" s="259">
        <f t="shared" si="151"/>
        <v>112296</v>
      </c>
      <c r="L194" s="452">
        <f t="shared" si="152"/>
        <v>154</v>
      </c>
      <c r="M194" s="452">
        <f t="shared" si="153"/>
        <v>7.515200000000001</v>
      </c>
      <c r="N194" s="452">
        <f t="shared" si="154"/>
        <v>0.13244246400000001</v>
      </c>
      <c r="O194" s="452">
        <f t="shared" si="155"/>
        <v>162</v>
      </c>
      <c r="P194" s="260">
        <f t="shared" si="156"/>
        <v>17293584</v>
      </c>
      <c r="Q194" s="260">
        <f t="shared" si="157"/>
        <v>18191952</v>
      </c>
      <c r="R194" s="432">
        <f t="shared" si="158"/>
        <v>23</v>
      </c>
      <c r="S194" s="432">
        <f t="array" ref="S194">MAX((IF(MNU_CODIGO_ALIMENTO_ENTREGA=CONCATENATE($E194,"_","P_"),MNU_GRAMAJE_REQUERIDO_TIPOB,"")))</f>
        <v>100</v>
      </c>
      <c r="T194" s="261">
        <f t="shared" si="159"/>
        <v>6284</v>
      </c>
      <c r="U194" s="261">
        <f t="shared" si="160"/>
        <v>144532</v>
      </c>
      <c r="V194" s="452">
        <f t="shared" si="161"/>
        <v>154</v>
      </c>
      <c r="W194" s="452">
        <f t="shared" si="162"/>
        <v>7.515200000000001</v>
      </c>
      <c r="X194" s="452">
        <f t="shared" si="163"/>
        <v>0.13244246400000001</v>
      </c>
      <c r="Y194" s="452">
        <f t="shared" si="164"/>
        <v>162</v>
      </c>
      <c r="Z194" s="262">
        <f t="shared" si="165"/>
        <v>22257928</v>
      </c>
      <c r="AA194" s="262">
        <f t="shared" si="166"/>
        <v>23414184</v>
      </c>
      <c r="AB194" s="431">
        <f t="shared" si="167"/>
        <v>23</v>
      </c>
      <c r="AC194" s="431">
        <f t="array" ref="AC194">MAX((IF(MNU_CODIGO_ALIMENTO_ENTREGA=CONCATENATE($E194,"_","P_"),MNU_GRAMAJE_REQUERIDO_TIPOC,"")))</f>
        <v>100</v>
      </c>
      <c r="AD194" s="259">
        <f t="shared" si="168"/>
        <v>6681</v>
      </c>
      <c r="AE194" s="259">
        <f t="shared" si="169"/>
        <v>153663</v>
      </c>
      <c r="AF194" s="452">
        <f t="shared" si="170"/>
        <v>154</v>
      </c>
      <c r="AG194" s="452">
        <f t="shared" si="171"/>
        <v>7.515200000000001</v>
      </c>
      <c r="AH194" s="452">
        <f t="shared" si="172"/>
        <v>0.13244246400000001</v>
      </c>
      <c r="AI194" s="452">
        <f t="shared" si="173"/>
        <v>162</v>
      </c>
      <c r="AJ194" s="260">
        <f t="shared" si="174"/>
        <v>23664102</v>
      </c>
      <c r="AK194" s="260">
        <f t="shared" si="175"/>
        <v>24893406</v>
      </c>
      <c r="AL194" s="432">
        <f t="shared" si="176"/>
        <v>23</v>
      </c>
      <c r="AM194" s="432">
        <f t="array" ref="AM194">MAX((IF(MNU_CODIGO_ALIMENTO_ENTREGA=CONCATENATE($E194,"_","P_"),MNU_GRAMAJE_REQUERIDO_TIPOM,"")))</f>
        <v>100</v>
      </c>
      <c r="AN194" s="261">
        <f t="shared" si="177"/>
        <v>465</v>
      </c>
      <c r="AO194" s="261">
        <f t="shared" si="178"/>
        <v>10695</v>
      </c>
      <c r="AP194" s="452">
        <f t="shared" si="179"/>
        <v>154</v>
      </c>
      <c r="AQ194" s="452">
        <f t="shared" si="180"/>
        <v>7.515200000000001</v>
      </c>
      <c r="AR194" s="452">
        <f t="shared" si="181"/>
        <v>0.13244246400000001</v>
      </c>
      <c r="AS194" s="452">
        <f t="shared" si="182"/>
        <v>162</v>
      </c>
      <c r="AT194" s="262">
        <f t="shared" si="183"/>
        <v>1647030</v>
      </c>
      <c r="AU194" s="262">
        <f t="shared" si="184"/>
        <v>1732590</v>
      </c>
      <c r="AV194" s="431">
        <f t="shared" si="185"/>
        <v>23</v>
      </c>
      <c r="AW194" s="431">
        <f t="array" ref="AW194">MAX((IF(MNU_CODIGO_ALIMENTO_ENTREGA=CONCATENATE($E194,"_","P_"),MNU_GRAMAJE_REQUERIDO_TIPOH,"")))</f>
        <v>100</v>
      </c>
      <c r="AX194" s="259">
        <f t="shared" si="186"/>
        <v>400</v>
      </c>
      <c r="AY194" s="259">
        <f t="shared" si="187"/>
        <v>9200</v>
      </c>
      <c r="AZ194" s="452">
        <f t="shared" si="188"/>
        <v>154</v>
      </c>
      <c r="BA194" s="452">
        <f t="shared" si="189"/>
        <v>7.515200000000001</v>
      </c>
      <c r="BB194" s="452">
        <f t="shared" si="190"/>
        <v>0.13244246400000001</v>
      </c>
      <c r="BC194" s="452">
        <f t="shared" si="191"/>
        <v>162</v>
      </c>
      <c r="BD194" s="260">
        <f t="shared" si="192"/>
        <v>1416800</v>
      </c>
      <c r="BE194" s="260">
        <f t="shared" si="193"/>
        <v>1490400</v>
      </c>
      <c r="BF194" s="397">
        <f t="shared" si="194"/>
        <v>66279444</v>
      </c>
      <c r="BG194" s="397">
        <f t="shared" si="195"/>
        <v>69722532</v>
      </c>
    </row>
    <row r="195" spans="1:59" ht="15.75">
      <c r="A195" s="338">
        <v>14</v>
      </c>
      <c r="B195" s="338" t="str">
        <f t="shared" si="147"/>
        <v>FRUTA_14</v>
      </c>
      <c r="C195" s="338" t="str">
        <f t="shared" si="148"/>
        <v>59_14</v>
      </c>
      <c r="D195" s="338" t="s">
        <v>1</v>
      </c>
      <c r="E195" s="258">
        <v>59</v>
      </c>
      <c r="F195" s="328" t="s">
        <v>99</v>
      </c>
      <c r="G195" s="258" t="s">
        <v>9</v>
      </c>
      <c r="H195" s="431">
        <f t="shared" si="149"/>
        <v>0</v>
      </c>
      <c r="I195" s="431">
        <f t="array" ref="I195">MAX((IF(MNU_CODIGO_ALIMENTO_ENTREGA=CONCATENATE($E195,"_","P_"),MNU_GRAMAJE_REQUERIDO_TIPOA,"")))</f>
        <v>0</v>
      </c>
      <c r="J195" s="259">
        <f t="shared" si="150"/>
        <v>4679</v>
      </c>
      <c r="K195" s="259">
        <f t="shared" si="151"/>
        <v>0</v>
      </c>
      <c r="L195" s="452">
        <f t="shared" si="152"/>
        <v>0</v>
      </c>
      <c r="M195" s="452">
        <f t="shared" si="153"/>
        <v>0</v>
      </c>
      <c r="N195" s="452">
        <f t="shared" si="154"/>
        <v>0</v>
      </c>
      <c r="O195" s="452">
        <f t="shared" si="155"/>
        <v>0</v>
      </c>
      <c r="P195" s="260">
        <f t="shared" si="156"/>
        <v>0</v>
      </c>
      <c r="Q195" s="260">
        <f t="shared" si="157"/>
        <v>0</v>
      </c>
      <c r="R195" s="432">
        <f t="shared" si="158"/>
        <v>8</v>
      </c>
      <c r="S195" s="432">
        <f t="array" ref="S195">MAX((IF(MNU_CODIGO_ALIMENTO_ENTREGA=CONCATENATE($E195,"_","P_"),MNU_GRAMAJE_REQUERIDO_TIPOB,"")))</f>
        <v>100</v>
      </c>
      <c r="T195" s="261">
        <f t="shared" si="159"/>
        <v>6284</v>
      </c>
      <c r="U195" s="261">
        <f t="shared" si="160"/>
        <v>50272</v>
      </c>
      <c r="V195" s="452">
        <f t="shared" si="161"/>
        <v>286</v>
      </c>
      <c r="W195" s="452">
        <f t="shared" si="162"/>
        <v>13.956800000000001</v>
      </c>
      <c r="X195" s="452">
        <f t="shared" si="163"/>
        <v>0.24596457599999999</v>
      </c>
      <c r="Y195" s="452">
        <f t="shared" si="164"/>
        <v>300</v>
      </c>
      <c r="Z195" s="262">
        <f t="shared" si="165"/>
        <v>14377792</v>
      </c>
      <c r="AA195" s="262">
        <f t="shared" si="166"/>
        <v>15081600</v>
      </c>
      <c r="AB195" s="431">
        <f t="shared" si="167"/>
        <v>8</v>
      </c>
      <c r="AC195" s="431">
        <f t="array" ref="AC195">MAX((IF(MNU_CODIGO_ALIMENTO_ENTREGA=CONCATENATE($E195,"_","P_"),MNU_GRAMAJE_REQUERIDO_TIPOC,"")))</f>
        <v>100</v>
      </c>
      <c r="AD195" s="259">
        <f t="shared" si="168"/>
        <v>6681</v>
      </c>
      <c r="AE195" s="259">
        <f t="shared" si="169"/>
        <v>53448</v>
      </c>
      <c r="AF195" s="452">
        <f t="shared" si="170"/>
        <v>286</v>
      </c>
      <c r="AG195" s="452">
        <f t="shared" si="171"/>
        <v>13.956800000000001</v>
      </c>
      <c r="AH195" s="452">
        <f t="shared" si="172"/>
        <v>0.24596457599999999</v>
      </c>
      <c r="AI195" s="452">
        <f t="shared" si="173"/>
        <v>300</v>
      </c>
      <c r="AJ195" s="260">
        <f t="shared" si="174"/>
        <v>15286128</v>
      </c>
      <c r="AK195" s="260">
        <f t="shared" si="175"/>
        <v>16034400</v>
      </c>
      <c r="AL195" s="432">
        <f t="shared" si="176"/>
        <v>8</v>
      </c>
      <c r="AM195" s="432">
        <f t="array" ref="AM195">MAX((IF(MNU_CODIGO_ALIMENTO_ENTREGA=CONCATENATE($E195,"_","P_"),MNU_GRAMAJE_REQUERIDO_TIPOM,"")))</f>
        <v>100</v>
      </c>
      <c r="AN195" s="261">
        <f t="shared" si="177"/>
        <v>465</v>
      </c>
      <c r="AO195" s="261">
        <f t="shared" si="178"/>
        <v>3720</v>
      </c>
      <c r="AP195" s="452">
        <f t="shared" si="179"/>
        <v>286</v>
      </c>
      <c r="AQ195" s="452">
        <f t="shared" si="180"/>
        <v>13.956800000000001</v>
      </c>
      <c r="AR195" s="452">
        <f t="shared" si="181"/>
        <v>0.24596457599999999</v>
      </c>
      <c r="AS195" s="452">
        <f t="shared" si="182"/>
        <v>300</v>
      </c>
      <c r="AT195" s="262">
        <f t="shared" si="183"/>
        <v>1063920</v>
      </c>
      <c r="AU195" s="262">
        <f t="shared" si="184"/>
        <v>1116000</v>
      </c>
      <c r="AV195" s="431">
        <f t="shared" si="185"/>
        <v>8</v>
      </c>
      <c r="AW195" s="431">
        <f t="array" ref="AW195">MAX((IF(MNU_CODIGO_ALIMENTO_ENTREGA=CONCATENATE($E195,"_","P_"),MNU_GRAMAJE_REQUERIDO_TIPOH,"")))</f>
        <v>100</v>
      </c>
      <c r="AX195" s="259">
        <f t="shared" si="186"/>
        <v>400</v>
      </c>
      <c r="AY195" s="259">
        <f t="shared" si="187"/>
        <v>3200</v>
      </c>
      <c r="AZ195" s="452">
        <f t="shared" si="188"/>
        <v>286</v>
      </c>
      <c r="BA195" s="452">
        <f t="shared" si="189"/>
        <v>13.956800000000001</v>
      </c>
      <c r="BB195" s="452">
        <f t="shared" si="190"/>
        <v>0.24596457599999999</v>
      </c>
      <c r="BC195" s="452">
        <f t="shared" si="191"/>
        <v>300</v>
      </c>
      <c r="BD195" s="260">
        <f t="shared" si="192"/>
        <v>915200</v>
      </c>
      <c r="BE195" s="260">
        <f t="shared" si="193"/>
        <v>960000</v>
      </c>
      <c r="BF195" s="397">
        <f t="shared" si="194"/>
        <v>31643040</v>
      </c>
      <c r="BG195" s="397">
        <f t="shared" si="195"/>
        <v>33192000</v>
      </c>
    </row>
    <row r="196" spans="1:59" ht="15.75">
      <c r="A196" s="338">
        <v>14</v>
      </c>
      <c r="B196" s="338" t="str">
        <f t="shared" si="147"/>
        <v>FRUTA_14</v>
      </c>
      <c r="C196" s="338" t="str">
        <f t="shared" si="148"/>
        <v>69_14</v>
      </c>
      <c r="D196" s="338" t="s">
        <v>1</v>
      </c>
      <c r="E196" s="258">
        <v>69</v>
      </c>
      <c r="F196" s="328" t="s">
        <v>70</v>
      </c>
      <c r="G196" s="258" t="s">
        <v>9</v>
      </c>
      <c r="H196" s="431">
        <f t="shared" si="149"/>
        <v>30</v>
      </c>
      <c r="I196" s="431">
        <f t="array" ref="I196">MAX((IF(MNU_CODIGO_ALIMENTO_ENTREGA=CONCATENATE($E196,"_","P_"),MNU_GRAMAJE_REQUERIDO_TIPOA,"")))</f>
        <v>100</v>
      </c>
      <c r="J196" s="259">
        <f t="shared" si="150"/>
        <v>4679</v>
      </c>
      <c r="K196" s="259">
        <f t="shared" si="151"/>
        <v>140370</v>
      </c>
      <c r="L196" s="452">
        <f t="shared" si="152"/>
        <v>305</v>
      </c>
      <c r="M196" s="452">
        <f t="shared" si="153"/>
        <v>14.884</v>
      </c>
      <c r="N196" s="452">
        <f t="shared" si="154"/>
        <v>0.26230488000000002</v>
      </c>
      <c r="O196" s="452">
        <f t="shared" si="155"/>
        <v>320</v>
      </c>
      <c r="P196" s="260">
        <f t="shared" si="156"/>
        <v>42812850</v>
      </c>
      <c r="Q196" s="260">
        <f t="shared" si="157"/>
        <v>44918400</v>
      </c>
      <c r="R196" s="432">
        <f t="shared" si="158"/>
        <v>16</v>
      </c>
      <c r="S196" s="432">
        <f t="array" ref="S196">MAX((IF(MNU_CODIGO_ALIMENTO_ENTREGA=CONCATENATE($E196,"_","P_"),MNU_GRAMAJE_REQUERIDO_TIPOB,"")))</f>
        <v>100</v>
      </c>
      <c r="T196" s="261">
        <f t="shared" si="159"/>
        <v>6284</v>
      </c>
      <c r="U196" s="261">
        <f t="shared" si="160"/>
        <v>100544</v>
      </c>
      <c r="V196" s="452">
        <f t="shared" si="161"/>
        <v>305</v>
      </c>
      <c r="W196" s="452">
        <f t="shared" si="162"/>
        <v>14.884</v>
      </c>
      <c r="X196" s="452">
        <f t="shared" si="163"/>
        <v>0.26230488000000002</v>
      </c>
      <c r="Y196" s="452">
        <f t="shared" si="164"/>
        <v>320</v>
      </c>
      <c r="Z196" s="262">
        <f t="shared" si="165"/>
        <v>30665920</v>
      </c>
      <c r="AA196" s="262">
        <f t="shared" si="166"/>
        <v>32174080</v>
      </c>
      <c r="AB196" s="431">
        <f t="shared" si="167"/>
        <v>16</v>
      </c>
      <c r="AC196" s="431">
        <f t="array" ref="AC196">MAX((IF(MNU_CODIGO_ALIMENTO_ENTREGA=CONCATENATE($E196,"_","P_"),MNU_GRAMAJE_REQUERIDO_TIPOC,"")))</f>
        <v>100</v>
      </c>
      <c r="AD196" s="259">
        <f t="shared" si="168"/>
        <v>6681</v>
      </c>
      <c r="AE196" s="259">
        <f t="shared" si="169"/>
        <v>106896</v>
      </c>
      <c r="AF196" s="452">
        <f t="shared" si="170"/>
        <v>305</v>
      </c>
      <c r="AG196" s="452">
        <f t="shared" si="171"/>
        <v>14.884</v>
      </c>
      <c r="AH196" s="452">
        <f t="shared" si="172"/>
        <v>0.26230488000000002</v>
      </c>
      <c r="AI196" s="452">
        <f t="shared" si="173"/>
        <v>320</v>
      </c>
      <c r="AJ196" s="260">
        <f t="shared" si="174"/>
        <v>32603280</v>
      </c>
      <c r="AK196" s="260">
        <f t="shared" si="175"/>
        <v>34206720</v>
      </c>
      <c r="AL196" s="432">
        <f t="shared" si="176"/>
        <v>16</v>
      </c>
      <c r="AM196" s="432">
        <f t="array" ref="AM196">MAX((IF(MNU_CODIGO_ALIMENTO_ENTREGA=CONCATENATE($E196,"_","P_"),MNU_GRAMAJE_REQUERIDO_TIPOM,"")))</f>
        <v>100</v>
      </c>
      <c r="AN196" s="261">
        <f t="shared" si="177"/>
        <v>465</v>
      </c>
      <c r="AO196" s="261">
        <f t="shared" si="178"/>
        <v>7440</v>
      </c>
      <c r="AP196" s="452">
        <f t="shared" si="179"/>
        <v>305</v>
      </c>
      <c r="AQ196" s="452">
        <f t="shared" si="180"/>
        <v>14.884</v>
      </c>
      <c r="AR196" s="452">
        <f t="shared" si="181"/>
        <v>0.26230488000000002</v>
      </c>
      <c r="AS196" s="452">
        <f t="shared" si="182"/>
        <v>320</v>
      </c>
      <c r="AT196" s="262">
        <f t="shared" si="183"/>
        <v>2269200</v>
      </c>
      <c r="AU196" s="262">
        <f t="shared" si="184"/>
        <v>2380800</v>
      </c>
      <c r="AV196" s="431">
        <f t="shared" si="185"/>
        <v>16</v>
      </c>
      <c r="AW196" s="431">
        <f t="array" ref="AW196">MAX((IF(MNU_CODIGO_ALIMENTO_ENTREGA=CONCATENATE($E196,"_","P_"),MNU_GRAMAJE_REQUERIDO_TIPOH,"")))</f>
        <v>100</v>
      </c>
      <c r="AX196" s="259">
        <f t="shared" si="186"/>
        <v>400</v>
      </c>
      <c r="AY196" s="259">
        <f t="shared" si="187"/>
        <v>6400</v>
      </c>
      <c r="AZ196" s="452">
        <f t="shared" si="188"/>
        <v>305</v>
      </c>
      <c r="BA196" s="452">
        <f t="shared" si="189"/>
        <v>14.884</v>
      </c>
      <c r="BB196" s="452">
        <f t="shared" si="190"/>
        <v>0.26230488000000002</v>
      </c>
      <c r="BC196" s="452">
        <f t="shared" si="191"/>
        <v>320</v>
      </c>
      <c r="BD196" s="260">
        <f t="shared" si="192"/>
        <v>1952000</v>
      </c>
      <c r="BE196" s="260">
        <f t="shared" si="193"/>
        <v>2048000</v>
      </c>
      <c r="BF196" s="397">
        <f t="shared" si="194"/>
        <v>110303250</v>
      </c>
      <c r="BG196" s="397">
        <f t="shared" si="195"/>
        <v>115728000</v>
      </c>
    </row>
    <row r="197" spans="1:59" ht="15.75">
      <c r="A197" s="338">
        <v>14</v>
      </c>
      <c r="B197" s="338" t="str">
        <f t="shared" si="147"/>
        <v>FRUTA_14</v>
      </c>
      <c r="C197" s="338" t="str">
        <f t="shared" si="148"/>
        <v>70_14</v>
      </c>
      <c r="D197" s="338" t="s">
        <v>1</v>
      </c>
      <c r="E197" s="258">
        <v>70</v>
      </c>
      <c r="F197" s="328" t="s">
        <v>71</v>
      </c>
      <c r="G197" s="258" t="s">
        <v>9</v>
      </c>
      <c r="H197" s="431">
        <f t="shared" si="149"/>
        <v>0</v>
      </c>
      <c r="I197" s="431">
        <f t="array" ref="I197">MAX((IF(MNU_CODIGO_ALIMENTO_ENTREGA=CONCATENATE($E197,"_","P_"),MNU_GRAMAJE_REQUERIDO_TIPOA,"")))</f>
        <v>0</v>
      </c>
      <c r="J197" s="259">
        <f t="shared" si="150"/>
        <v>4679</v>
      </c>
      <c r="K197" s="259">
        <f t="shared" si="151"/>
        <v>0</v>
      </c>
      <c r="L197" s="452">
        <f t="shared" si="152"/>
        <v>0</v>
      </c>
      <c r="M197" s="452">
        <f t="shared" si="153"/>
        <v>0</v>
      </c>
      <c r="N197" s="452">
        <f t="shared" si="154"/>
        <v>0</v>
      </c>
      <c r="O197" s="452">
        <f t="shared" si="155"/>
        <v>0</v>
      </c>
      <c r="P197" s="260">
        <f t="shared" si="156"/>
        <v>0</v>
      </c>
      <c r="Q197" s="260">
        <f t="shared" si="157"/>
        <v>0</v>
      </c>
      <c r="R197" s="432">
        <f t="shared" si="158"/>
        <v>10</v>
      </c>
      <c r="S197" s="432">
        <f t="array" ref="S197">MAX((IF(MNU_CODIGO_ALIMENTO_ENTREGA=CONCATENATE($E197,"_","P_"),MNU_GRAMAJE_REQUERIDO_TIPOB,"")))</f>
        <v>100</v>
      </c>
      <c r="T197" s="261">
        <f t="shared" si="159"/>
        <v>6284</v>
      </c>
      <c r="U197" s="261">
        <f t="shared" si="160"/>
        <v>62840</v>
      </c>
      <c r="V197" s="452">
        <f t="shared" si="161"/>
        <v>434</v>
      </c>
      <c r="W197" s="452">
        <f t="shared" si="162"/>
        <v>21.179200000000002</v>
      </c>
      <c r="X197" s="452">
        <f t="shared" si="163"/>
        <v>0.37324694399999997</v>
      </c>
      <c r="Y197" s="452">
        <f t="shared" si="164"/>
        <v>456</v>
      </c>
      <c r="Z197" s="262">
        <f t="shared" si="165"/>
        <v>27272560</v>
      </c>
      <c r="AA197" s="262">
        <f t="shared" si="166"/>
        <v>28655040</v>
      </c>
      <c r="AB197" s="431">
        <f t="shared" si="167"/>
        <v>10</v>
      </c>
      <c r="AC197" s="431">
        <f t="array" ref="AC197">MAX((IF(MNU_CODIGO_ALIMENTO_ENTREGA=CONCATENATE($E197,"_","P_"),MNU_GRAMAJE_REQUERIDO_TIPOC,"")))</f>
        <v>100</v>
      </c>
      <c r="AD197" s="259">
        <f t="shared" si="168"/>
        <v>6681</v>
      </c>
      <c r="AE197" s="259">
        <f t="shared" si="169"/>
        <v>66810</v>
      </c>
      <c r="AF197" s="452">
        <f t="shared" si="170"/>
        <v>434</v>
      </c>
      <c r="AG197" s="452">
        <f t="shared" si="171"/>
        <v>21.179200000000002</v>
      </c>
      <c r="AH197" s="452">
        <f t="shared" si="172"/>
        <v>0.37324694399999997</v>
      </c>
      <c r="AI197" s="452">
        <f t="shared" si="173"/>
        <v>456</v>
      </c>
      <c r="AJ197" s="260">
        <f t="shared" si="174"/>
        <v>28995540</v>
      </c>
      <c r="AK197" s="260">
        <f t="shared" si="175"/>
        <v>30465360</v>
      </c>
      <c r="AL197" s="432">
        <f t="shared" si="176"/>
        <v>10</v>
      </c>
      <c r="AM197" s="432">
        <f t="array" ref="AM197">MAX((IF(MNU_CODIGO_ALIMENTO_ENTREGA=CONCATENATE($E197,"_","P_"),MNU_GRAMAJE_REQUERIDO_TIPOM,"")))</f>
        <v>100</v>
      </c>
      <c r="AN197" s="261">
        <f t="shared" si="177"/>
        <v>465</v>
      </c>
      <c r="AO197" s="261">
        <f t="shared" si="178"/>
        <v>4650</v>
      </c>
      <c r="AP197" s="452">
        <f t="shared" si="179"/>
        <v>434</v>
      </c>
      <c r="AQ197" s="452">
        <f t="shared" si="180"/>
        <v>21.179200000000002</v>
      </c>
      <c r="AR197" s="452">
        <f t="shared" si="181"/>
        <v>0.37324694399999997</v>
      </c>
      <c r="AS197" s="452">
        <f t="shared" si="182"/>
        <v>456</v>
      </c>
      <c r="AT197" s="262">
        <f t="shared" si="183"/>
        <v>2018100</v>
      </c>
      <c r="AU197" s="262">
        <f t="shared" si="184"/>
        <v>2120400</v>
      </c>
      <c r="AV197" s="431">
        <f t="shared" si="185"/>
        <v>10</v>
      </c>
      <c r="AW197" s="431">
        <f t="array" ref="AW197">MAX((IF(MNU_CODIGO_ALIMENTO_ENTREGA=CONCATENATE($E197,"_","P_"),MNU_GRAMAJE_REQUERIDO_TIPOH,"")))</f>
        <v>100</v>
      </c>
      <c r="AX197" s="259">
        <f t="shared" si="186"/>
        <v>400</v>
      </c>
      <c r="AY197" s="259">
        <f t="shared" si="187"/>
        <v>4000</v>
      </c>
      <c r="AZ197" s="452">
        <f t="shared" si="188"/>
        <v>434</v>
      </c>
      <c r="BA197" s="452">
        <f t="shared" si="189"/>
        <v>21.179200000000002</v>
      </c>
      <c r="BB197" s="452">
        <f t="shared" si="190"/>
        <v>0.37324694399999997</v>
      </c>
      <c r="BC197" s="452">
        <f t="shared" si="191"/>
        <v>456</v>
      </c>
      <c r="BD197" s="260">
        <f t="shared" si="192"/>
        <v>1736000</v>
      </c>
      <c r="BE197" s="260">
        <f t="shared" si="193"/>
        <v>1824000</v>
      </c>
      <c r="BF197" s="397">
        <f t="shared" si="194"/>
        <v>60022200</v>
      </c>
      <c r="BG197" s="397">
        <f t="shared" si="195"/>
        <v>63064800</v>
      </c>
    </row>
    <row r="198" spans="1:59" ht="15.75">
      <c r="A198" s="338">
        <v>15</v>
      </c>
      <c r="B198" s="338" t="str">
        <f t="shared" si="147"/>
        <v>FRUTA_15</v>
      </c>
      <c r="C198" s="338" t="str">
        <f t="shared" si="148"/>
        <v>7_15</v>
      </c>
      <c r="D198" s="338" t="s">
        <v>1</v>
      </c>
      <c r="E198" s="258">
        <v>7</v>
      </c>
      <c r="F198" s="328" t="s">
        <v>57</v>
      </c>
      <c r="G198" s="258" t="s">
        <v>9</v>
      </c>
      <c r="H198" s="431">
        <f t="shared" si="149"/>
        <v>22</v>
      </c>
      <c r="I198" s="431">
        <f t="array" ref="I198">MAX((IF(MNU_CODIGO_ALIMENTO_ENTREGA=CONCATENATE($E198,"_","P_"),MNU_GRAMAJE_REQUERIDO_TIPOA,"")))</f>
        <v>100</v>
      </c>
      <c r="J198" s="259">
        <f t="shared" si="150"/>
        <v>6986</v>
      </c>
      <c r="K198" s="259">
        <f t="shared" si="151"/>
        <v>153692</v>
      </c>
      <c r="L198" s="452">
        <f t="shared" si="152"/>
        <v>107</v>
      </c>
      <c r="M198" s="452">
        <f t="shared" si="153"/>
        <v>5.2216000000000005</v>
      </c>
      <c r="N198" s="452">
        <f t="shared" si="154"/>
        <v>9.2021712000000006E-2</v>
      </c>
      <c r="O198" s="452">
        <f t="shared" si="155"/>
        <v>112</v>
      </c>
      <c r="P198" s="260">
        <f t="shared" si="156"/>
        <v>16445044</v>
      </c>
      <c r="Q198" s="260">
        <f t="shared" si="157"/>
        <v>17213504</v>
      </c>
      <c r="R198" s="432">
        <f t="shared" si="158"/>
        <v>9</v>
      </c>
      <c r="S198" s="432">
        <f t="array" ref="S198">MAX((IF(MNU_CODIGO_ALIMENTO_ENTREGA=CONCATENATE($E198,"_","P_"),MNU_GRAMAJE_REQUERIDO_TIPOB,"")))</f>
        <v>100</v>
      </c>
      <c r="T198" s="261">
        <f t="shared" si="159"/>
        <v>8585</v>
      </c>
      <c r="U198" s="261">
        <f t="shared" si="160"/>
        <v>77265</v>
      </c>
      <c r="V198" s="452">
        <f t="shared" si="161"/>
        <v>107</v>
      </c>
      <c r="W198" s="452">
        <f t="shared" si="162"/>
        <v>5.2216000000000005</v>
      </c>
      <c r="X198" s="452">
        <f t="shared" si="163"/>
        <v>9.2021712000000006E-2</v>
      </c>
      <c r="Y198" s="452">
        <f t="shared" si="164"/>
        <v>112</v>
      </c>
      <c r="Z198" s="262">
        <f t="shared" si="165"/>
        <v>8267355</v>
      </c>
      <c r="AA198" s="262">
        <f t="shared" si="166"/>
        <v>8653680</v>
      </c>
      <c r="AB198" s="431">
        <f t="shared" si="167"/>
        <v>9</v>
      </c>
      <c r="AC198" s="431">
        <f t="array" ref="AC198">MAX((IF(MNU_CODIGO_ALIMENTO_ENTREGA=CONCATENATE($E198,"_","P_"),MNU_GRAMAJE_REQUERIDO_TIPOC,"")))</f>
        <v>100</v>
      </c>
      <c r="AD198" s="259">
        <f t="shared" si="168"/>
        <v>7800</v>
      </c>
      <c r="AE198" s="259">
        <f t="shared" si="169"/>
        <v>70200</v>
      </c>
      <c r="AF198" s="452">
        <f t="shared" si="170"/>
        <v>107</v>
      </c>
      <c r="AG198" s="452">
        <f t="shared" si="171"/>
        <v>5.2216000000000005</v>
      </c>
      <c r="AH198" s="452">
        <f t="shared" si="172"/>
        <v>9.2021712000000006E-2</v>
      </c>
      <c r="AI198" s="452">
        <f t="shared" si="173"/>
        <v>112</v>
      </c>
      <c r="AJ198" s="260">
        <f t="shared" si="174"/>
        <v>7511400</v>
      </c>
      <c r="AK198" s="260">
        <f t="shared" si="175"/>
        <v>7862400</v>
      </c>
      <c r="AL198" s="432">
        <f t="shared" si="176"/>
        <v>9</v>
      </c>
      <c r="AM198" s="432">
        <f t="array" ref="AM198">MAX((IF(MNU_CODIGO_ALIMENTO_ENTREGA=CONCATENATE($E198,"_","P_"),MNU_GRAMAJE_REQUERIDO_TIPOM,"")))</f>
        <v>100</v>
      </c>
      <c r="AN198" s="261">
        <f t="shared" si="177"/>
        <v>0</v>
      </c>
      <c r="AO198" s="261">
        <f t="shared" si="178"/>
        <v>0</v>
      </c>
      <c r="AP198" s="452">
        <f t="shared" si="179"/>
        <v>107</v>
      </c>
      <c r="AQ198" s="452">
        <f t="shared" si="180"/>
        <v>5.2216000000000005</v>
      </c>
      <c r="AR198" s="452">
        <f t="shared" si="181"/>
        <v>9.2021712000000006E-2</v>
      </c>
      <c r="AS198" s="452">
        <f t="shared" si="182"/>
        <v>112</v>
      </c>
      <c r="AT198" s="262">
        <f t="shared" si="183"/>
        <v>0</v>
      </c>
      <c r="AU198" s="262">
        <f t="shared" si="184"/>
        <v>0</v>
      </c>
      <c r="AV198" s="431">
        <f t="shared" si="185"/>
        <v>9</v>
      </c>
      <c r="AW198" s="431">
        <f t="array" ref="AW198">MAX((IF(MNU_CODIGO_ALIMENTO_ENTREGA=CONCATENATE($E198,"_","P_"),MNU_GRAMAJE_REQUERIDO_TIPOH,"")))</f>
        <v>100</v>
      </c>
      <c r="AX198" s="259">
        <f t="shared" si="186"/>
        <v>0</v>
      </c>
      <c r="AY198" s="259">
        <f t="shared" si="187"/>
        <v>0</v>
      </c>
      <c r="AZ198" s="452">
        <f t="shared" si="188"/>
        <v>107</v>
      </c>
      <c r="BA198" s="452">
        <f t="shared" si="189"/>
        <v>5.2216000000000005</v>
      </c>
      <c r="BB198" s="452">
        <f t="shared" si="190"/>
        <v>9.2021712000000006E-2</v>
      </c>
      <c r="BC198" s="452">
        <f t="shared" si="191"/>
        <v>112</v>
      </c>
      <c r="BD198" s="260">
        <f t="shared" si="192"/>
        <v>0</v>
      </c>
      <c r="BE198" s="260">
        <f t="shared" si="193"/>
        <v>0</v>
      </c>
      <c r="BF198" s="397">
        <f t="shared" si="194"/>
        <v>32223799</v>
      </c>
      <c r="BG198" s="397">
        <f t="shared" si="195"/>
        <v>33729584</v>
      </c>
    </row>
    <row r="199" spans="1:59" ht="15.75">
      <c r="A199" s="338">
        <v>15</v>
      </c>
      <c r="B199" s="338" t="str">
        <f t="shared" si="147"/>
        <v>FRUTA_15</v>
      </c>
      <c r="C199" s="338" t="str">
        <f t="shared" si="148"/>
        <v>8_15</v>
      </c>
      <c r="D199" s="338" t="s">
        <v>1</v>
      </c>
      <c r="E199" s="258">
        <v>8</v>
      </c>
      <c r="F199" s="328" t="s">
        <v>55</v>
      </c>
      <c r="G199" s="258" t="s">
        <v>9</v>
      </c>
      <c r="H199" s="431">
        <f t="shared" si="149"/>
        <v>10</v>
      </c>
      <c r="I199" s="431">
        <f t="array" ref="I199">MAX((IF(MNU_CODIGO_ALIMENTO_ENTREGA=CONCATENATE($E199,"_","P_"),MNU_GRAMAJE_REQUERIDO_TIPOA,"")))</f>
        <v>100</v>
      </c>
      <c r="J199" s="259">
        <f t="shared" si="150"/>
        <v>6986</v>
      </c>
      <c r="K199" s="259">
        <f t="shared" si="151"/>
        <v>69860</v>
      </c>
      <c r="L199" s="452">
        <f t="shared" si="152"/>
        <v>134</v>
      </c>
      <c r="M199" s="452">
        <f t="shared" si="153"/>
        <v>6.539200000000001</v>
      </c>
      <c r="N199" s="452">
        <f t="shared" si="154"/>
        <v>0.115242144</v>
      </c>
      <c r="O199" s="452">
        <f t="shared" si="155"/>
        <v>141</v>
      </c>
      <c r="P199" s="260">
        <f t="shared" si="156"/>
        <v>9361240</v>
      </c>
      <c r="Q199" s="260">
        <f t="shared" si="157"/>
        <v>9850260</v>
      </c>
      <c r="R199" s="432">
        <f t="shared" si="158"/>
        <v>8</v>
      </c>
      <c r="S199" s="432">
        <f t="array" ref="S199">MAX((IF(MNU_CODIGO_ALIMENTO_ENTREGA=CONCATENATE($E199,"_","P_"),MNU_GRAMAJE_REQUERIDO_TIPOB,"")))</f>
        <v>100</v>
      </c>
      <c r="T199" s="261">
        <f t="shared" si="159"/>
        <v>8585</v>
      </c>
      <c r="U199" s="261">
        <f t="shared" si="160"/>
        <v>68680</v>
      </c>
      <c r="V199" s="452">
        <f t="shared" si="161"/>
        <v>134</v>
      </c>
      <c r="W199" s="452">
        <f t="shared" si="162"/>
        <v>6.539200000000001</v>
      </c>
      <c r="X199" s="452">
        <f t="shared" si="163"/>
        <v>0.115242144</v>
      </c>
      <c r="Y199" s="452">
        <f t="shared" si="164"/>
        <v>141</v>
      </c>
      <c r="Z199" s="262">
        <f t="shared" si="165"/>
        <v>9203120</v>
      </c>
      <c r="AA199" s="262">
        <f t="shared" si="166"/>
        <v>9683880</v>
      </c>
      <c r="AB199" s="431">
        <f t="shared" si="167"/>
        <v>8</v>
      </c>
      <c r="AC199" s="431">
        <f t="array" ref="AC199">MAX((IF(MNU_CODIGO_ALIMENTO_ENTREGA=CONCATENATE($E199,"_","P_"),MNU_GRAMAJE_REQUERIDO_TIPOC,"")))</f>
        <v>100</v>
      </c>
      <c r="AD199" s="259">
        <f t="shared" si="168"/>
        <v>7800</v>
      </c>
      <c r="AE199" s="259">
        <f t="shared" si="169"/>
        <v>62400</v>
      </c>
      <c r="AF199" s="452">
        <f t="shared" si="170"/>
        <v>134</v>
      </c>
      <c r="AG199" s="452">
        <f t="shared" si="171"/>
        <v>6.539200000000001</v>
      </c>
      <c r="AH199" s="452">
        <f t="shared" si="172"/>
        <v>0.115242144</v>
      </c>
      <c r="AI199" s="452">
        <f t="shared" si="173"/>
        <v>141</v>
      </c>
      <c r="AJ199" s="260">
        <f t="shared" si="174"/>
        <v>8361600</v>
      </c>
      <c r="AK199" s="260">
        <f t="shared" si="175"/>
        <v>8798400</v>
      </c>
      <c r="AL199" s="432">
        <f t="shared" si="176"/>
        <v>8</v>
      </c>
      <c r="AM199" s="432">
        <f t="array" ref="AM199">MAX((IF(MNU_CODIGO_ALIMENTO_ENTREGA=CONCATENATE($E199,"_","P_"),MNU_GRAMAJE_REQUERIDO_TIPOM,"")))</f>
        <v>100</v>
      </c>
      <c r="AN199" s="261">
        <f t="shared" si="177"/>
        <v>0</v>
      </c>
      <c r="AO199" s="261">
        <f t="shared" si="178"/>
        <v>0</v>
      </c>
      <c r="AP199" s="452">
        <f t="shared" si="179"/>
        <v>134</v>
      </c>
      <c r="AQ199" s="452">
        <f t="shared" si="180"/>
        <v>6.539200000000001</v>
      </c>
      <c r="AR199" s="452">
        <f t="shared" si="181"/>
        <v>0.115242144</v>
      </c>
      <c r="AS199" s="452">
        <f t="shared" si="182"/>
        <v>141</v>
      </c>
      <c r="AT199" s="262">
        <f t="shared" si="183"/>
        <v>0</v>
      </c>
      <c r="AU199" s="262">
        <f t="shared" si="184"/>
        <v>0</v>
      </c>
      <c r="AV199" s="431">
        <f t="shared" si="185"/>
        <v>8</v>
      </c>
      <c r="AW199" s="431">
        <f t="array" ref="AW199">MAX((IF(MNU_CODIGO_ALIMENTO_ENTREGA=CONCATENATE($E199,"_","P_"),MNU_GRAMAJE_REQUERIDO_TIPOH,"")))</f>
        <v>100</v>
      </c>
      <c r="AX199" s="259">
        <f t="shared" si="186"/>
        <v>0</v>
      </c>
      <c r="AY199" s="259">
        <f t="shared" si="187"/>
        <v>0</v>
      </c>
      <c r="AZ199" s="452">
        <f t="shared" si="188"/>
        <v>134</v>
      </c>
      <c r="BA199" s="452">
        <f t="shared" si="189"/>
        <v>6.539200000000001</v>
      </c>
      <c r="BB199" s="452">
        <f t="shared" si="190"/>
        <v>0.115242144</v>
      </c>
      <c r="BC199" s="452">
        <f t="shared" si="191"/>
        <v>141</v>
      </c>
      <c r="BD199" s="260">
        <f t="shared" si="192"/>
        <v>0</v>
      </c>
      <c r="BE199" s="260">
        <f t="shared" si="193"/>
        <v>0</v>
      </c>
      <c r="BF199" s="397">
        <f t="shared" si="194"/>
        <v>26925960</v>
      </c>
      <c r="BG199" s="397">
        <f t="shared" si="195"/>
        <v>28332540</v>
      </c>
    </row>
    <row r="200" spans="1:59" ht="15.75">
      <c r="A200" s="338">
        <v>15</v>
      </c>
      <c r="B200" s="338" t="str">
        <f t="shared" si="147"/>
        <v>FRUTA_15</v>
      </c>
      <c r="C200" s="338" t="str">
        <f t="shared" si="148"/>
        <v>17_15</v>
      </c>
      <c r="D200" s="338" t="s">
        <v>1</v>
      </c>
      <c r="E200" s="258">
        <v>17</v>
      </c>
      <c r="F200" s="328" t="s">
        <v>53</v>
      </c>
      <c r="G200" s="258" t="s">
        <v>9</v>
      </c>
      <c r="H200" s="431">
        <f t="shared" si="149"/>
        <v>0</v>
      </c>
      <c r="I200" s="431">
        <f t="array" ref="I200">MAX((IF(MNU_CODIGO_ALIMENTO_ENTREGA=CONCATENATE($E200,"_","P_"),MNU_GRAMAJE_REQUERIDO_TIPOA,"")))</f>
        <v>0</v>
      </c>
      <c r="J200" s="259">
        <f t="shared" si="150"/>
        <v>6986</v>
      </c>
      <c r="K200" s="259">
        <f t="shared" si="151"/>
        <v>0</v>
      </c>
      <c r="L200" s="452">
        <f t="shared" si="152"/>
        <v>0</v>
      </c>
      <c r="M200" s="452">
        <f t="shared" si="153"/>
        <v>0</v>
      </c>
      <c r="N200" s="452">
        <f t="shared" si="154"/>
        <v>0</v>
      </c>
      <c r="O200" s="452">
        <f t="shared" si="155"/>
        <v>0</v>
      </c>
      <c r="P200" s="260">
        <f t="shared" si="156"/>
        <v>0</v>
      </c>
      <c r="Q200" s="260">
        <f t="shared" si="157"/>
        <v>0</v>
      </c>
      <c r="R200" s="432">
        <f t="shared" si="158"/>
        <v>21</v>
      </c>
      <c r="S200" s="432">
        <f t="array" ref="S200">MAX((IF(MNU_CODIGO_ALIMENTO_ENTREGA=CONCATENATE($E200,"_","P_"),MNU_GRAMAJE_REQUERIDO_TIPOB,"")))</f>
        <v>100</v>
      </c>
      <c r="T200" s="261">
        <f t="shared" si="159"/>
        <v>8585</v>
      </c>
      <c r="U200" s="261">
        <f t="shared" si="160"/>
        <v>180285</v>
      </c>
      <c r="V200" s="452">
        <f t="shared" si="161"/>
        <v>226</v>
      </c>
      <c r="W200" s="452">
        <f t="shared" si="162"/>
        <v>11.0288</v>
      </c>
      <c r="X200" s="452">
        <f t="shared" si="163"/>
        <v>0.19436361600000002</v>
      </c>
      <c r="Y200" s="452">
        <f t="shared" si="164"/>
        <v>237</v>
      </c>
      <c r="Z200" s="262">
        <f t="shared" si="165"/>
        <v>40744410</v>
      </c>
      <c r="AA200" s="262">
        <f t="shared" si="166"/>
        <v>42727545</v>
      </c>
      <c r="AB200" s="431">
        <f t="shared" si="167"/>
        <v>21</v>
      </c>
      <c r="AC200" s="431">
        <f t="array" ref="AC200">MAX((IF(MNU_CODIGO_ALIMENTO_ENTREGA=CONCATENATE($E200,"_","P_"),MNU_GRAMAJE_REQUERIDO_TIPOC,"")))</f>
        <v>100</v>
      </c>
      <c r="AD200" s="259">
        <f t="shared" si="168"/>
        <v>7800</v>
      </c>
      <c r="AE200" s="259">
        <f t="shared" si="169"/>
        <v>163800</v>
      </c>
      <c r="AF200" s="452">
        <f t="shared" si="170"/>
        <v>226</v>
      </c>
      <c r="AG200" s="452">
        <f t="shared" si="171"/>
        <v>11.0288</v>
      </c>
      <c r="AH200" s="452">
        <f t="shared" si="172"/>
        <v>0.19436361600000002</v>
      </c>
      <c r="AI200" s="452">
        <f t="shared" si="173"/>
        <v>237</v>
      </c>
      <c r="AJ200" s="260">
        <f t="shared" si="174"/>
        <v>37018800</v>
      </c>
      <c r="AK200" s="260">
        <f t="shared" si="175"/>
        <v>38820600</v>
      </c>
      <c r="AL200" s="432">
        <f t="shared" si="176"/>
        <v>21</v>
      </c>
      <c r="AM200" s="432">
        <f t="array" ref="AM200">MAX((IF(MNU_CODIGO_ALIMENTO_ENTREGA=CONCATENATE($E200,"_","P_"),MNU_GRAMAJE_REQUERIDO_TIPOM,"")))</f>
        <v>100</v>
      </c>
      <c r="AN200" s="261">
        <f t="shared" si="177"/>
        <v>0</v>
      </c>
      <c r="AO200" s="261">
        <f t="shared" si="178"/>
        <v>0</v>
      </c>
      <c r="AP200" s="452">
        <f t="shared" si="179"/>
        <v>226</v>
      </c>
      <c r="AQ200" s="452">
        <f t="shared" si="180"/>
        <v>11.0288</v>
      </c>
      <c r="AR200" s="452">
        <f t="shared" si="181"/>
        <v>0.19436361600000002</v>
      </c>
      <c r="AS200" s="452">
        <f t="shared" si="182"/>
        <v>237</v>
      </c>
      <c r="AT200" s="262">
        <f t="shared" si="183"/>
        <v>0</v>
      </c>
      <c r="AU200" s="262">
        <f t="shared" si="184"/>
        <v>0</v>
      </c>
      <c r="AV200" s="431">
        <f t="shared" si="185"/>
        <v>21</v>
      </c>
      <c r="AW200" s="431">
        <f t="array" ref="AW200">MAX((IF(MNU_CODIGO_ALIMENTO_ENTREGA=CONCATENATE($E200,"_","P_"),MNU_GRAMAJE_REQUERIDO_TIPOH,"")))</f>
        <v>100</v>
      </c>
      <c r="AX200" s="259">
        <f t="shared" si="186"/>
        <v>0</v>
      </c>
      <c r="AY200" s="259">
        <f t="shared" si="187"/>
        <v>0</v>
      </c>
      <c r="AZ200" s="452">
        <f t="shared" si="188"/>
        <v>226</v>
      </c>
      <c r="BA200" s="452">
        <f t="shared" si="189"/>
        <v>11.0288</v>
      </c>
      <c r="BB200" s="452">
        <f t="shared" si="190"/>
        <v>0.19436361600000002</v>
      </c>
      <c r="BC200" s="452">
        <f t="shared" si="191"/>
        <v>237</v>
      </c>
      <c r="BD200" s="260">
        <f t="shared" si="192"/>
        <v>0</v>
      </c>
      <c r="BE200" s="260">
        <f t="shared" si="193"/>
        <v>0</v>
      </c>
      <c r="BF200" s="397">
        <f t="shared" si="194"/>
        <v>77763210</v>
      </c>
      <c r="BG200" s="397">
        <f t="shared" si="195"/>
        <v>81548145</v>
      </c>
    </row>
    <row r="201" spans="1:59" ht="15.75">
      <c r="A201" s="338">
        <v>15</v>
      </c>
      <c r="B201" s="338" t="str">
        <f t="shared" si="147"/>
        <v>FRUTA_15</v>
      </c>
      <c r="C201" s="338" t="str">
        <f t="shared" si="148"/>
        <v>22_15</v>
      </c>
      <c r="D201" s="338" t="s">
        <v>1</v>
      </c>
      <c r="E201" s="258">
        <v>22</v>
      </c>
      <c r="F201" s="328" t="s">
        <v>51</v>
      </c>
      <c r="G201" s="258" t="s">
        <v>9</v>
      </c>
      <c r="H201" s="431">
        <f t="shared" si="149"/>
        <v>0</v>
      </c>
      <c r="I201" s="431">
        <f t="array" ref="I201">MAX((IF(MNU_CODIGO_ALIMENTO_ENTREGA=CONCATENATE($E201,"_","P_"),MNU_GRAMAJE_REQUERIDO_TIPOA,"")))</f>
        <v>0</v>
      </c>
      <c r="J201" s="259">
        <f t="shared" si="150"/>
        <v>6986</v>
      </c>
      <c r="K201" s="259">
        <f t="shared" si="151"/>
        <v>0</v>
      </c>
      <c r="L201" s="452">
        <f t="shared" si="152"/>
        <v>0</v>
      </c>
      <c r="M201" s="452">
        <f t="shared" si="153"/>
        <v>0</v>
      </c>
      <c r="N201" s="452">
        <f t="shared" si="154"/>
        <v>0</v>
      </c>
      <c r="O201" s="452">
        <f t="shared" si="155"/>
        <v>0</v>
      </c>
      <c r="P201" s="260">
        <f t="shared" si="156"/>
        <v>0</v>
      </c>
      <c r="Q201" s="260">
        <f t="shared" si="157"/>
        <v>0</v>
      </c>
      <c r="R201" s="432">
        <f t="shared" si="158"/>
        <v>20</v>
      </c>
      <c r="S201" s="432">
        <f t="array" ref="S201">MAX((IF(MNU_CODIGO_ALIMENTO_ENTREGA=CONCATENATE($E201,"_","P_"),MNU_GRAMAJE_REQUERIDO_TIPOB,"")))</f>
        <v>100</v>
      </c>
      <c r="T201" s="261">
        <f t="shared" si="159"/>
        <v>8585</v>
      </c>
      <c r="U201" s="261">
        <f t="shared" si="160"/>
        <v>171700</v>
      </c>
      <c r="V201" s="452">
        <f t="shared" si="161"/>
        <v>525</v>
      </c>
      <c r="W201" s="452">
        <f t="shared" si="162"/>
        <v>25.62</v>
      </c>
      <c r="X201" s="452">
        <f t="shared" si="163"/>
        <v>0.45150840000000003</v>
      </c>
      <c r="Y201" s="452">
        <f t="shared" si="164"/>
        <v>551</v>
      </c>
      <c r="Z201" s="262">
        <f t="shared" si="165"/>
        <v>90142500</v>
      </c>
      <c r="AA201" s="262">
        <f t="shared" si="166"/>
        <v>94606700</v>
      </c>
      <c r="AB201" s="431">
        <f t="shared" si="167"/>
        <v>20</v>
      </c>
      <c r="AC201" s="431">
        <f t="array" ref="AC201">MAX((IF(MNU_CODIGO_ALIMENTO_ENTREGA=CONCATENATE($E201,"_","P_"),MNU_GRAMAJE_REQUERIDO_TIPOC,"")))</f>
        <v>100</v>
      </c>
      <c r="AD201" s="259">
        <f t="shared" si="168"/>
        <v>7800</v>
      </c>
      <c r="AE201" s="259">
        <f t="shared" si="169"/>
        <v>156000</v>
      </c>
      <c r="AF201" s="452">
        <f t="shared" si="170"/>
        <v>525</v>
      </c>
      <c r="AG201" s="452">
        <f t="shared" si="171"/>
        <v>25.62</v>
      </c>
      <c r="AH201" s="452">
        <f t="shared" si="172"/>
        <v>0.45150840000000003</v>
      </c>
      <c r="AI201" s="452">
        <f t="shared" si="173"/>
        <v>551</v>
      </c>
      <c r="AJ201" s="260">
        <f t="shared" si="174"/>
        <v>81900000</v>
      </c>
      <c r="AK201" s="260">
        <f t="shared" si="175"/>
        <v>85956000</v>
      </c>
      <c r="AL201" s="432">
        <f t="shared" si="176"/>
        <v>20</v>
      </c>
      <c r="AM201" s="432">
        <f t="array" ref="AM201">MAX((IF(MNU_CODIGO_ALIMENTO_ENTREGA=CONCATENATE($E201,"_","P_"),MNU_GRAMAJE_REQUERIDO_TIPOM,"")))</f>
        <v>100</v>
      </c>
      <c r="AN201" s="261">
        <f t="shared" si="177"/>
        <v>0</v>
      </c>
      <c r="AO201" s="261">
        <f t="shared" si="178"/>
        <v>0</v>
      </c>
      <c r="AP201" s="452">
        <f t="shared" si="179"/>
        <v>525</v>
      </c>
      <c r="AQ201" s="452">
        <f t="shared" si="180"/>
        <v>25.62</v>
      </c>
      <c r="AR201" s="452">
        <f t="shared" si="181"/>
        <v>0.45150840000000003</v>
      </c>
      <c r="AS201" s="452">
        <f t="shared" si="182"/>
        <v>551</v>
      </c>
      <c r="AT201" s="262">
        <f t="shared" si="183"/>
        <v>0</v>
      </c>
      <c r="AU201" s="262">
        <f t="shared" si="184"/>
        <v>0</v>
      </c>
      <c r="AV201" s="431">
        <f t="shared" si="185"/>
        <v>20</v>
      </c>
      <c r="AW201" s="431">
        <f t="array" ref="AW201">MAX((IF(MNU_CODIGO_ALIMENTO_ENTREGA=CONCATENATE($E201,"_","P_"),MNU_GRAMAJE_REQUERIDO_TIPOH,"")))</f>
        <v>100</v>
      </c>
      <c r="AX201" s="259">
        <f t="shared" si="186"/>
        <v>0</v>
      </c>
      <c r="AY201" s="259">
        <f t="shared" si="187"/>
        <v>0</v>
      </c>
      <c r="AZ201" s="452">
        <f t="shared" si="188"/>
        <v>525</v>
      </c>
      <c r="BA201" s="452">
        <f t="shared" si="189"/>
        <v>25.62</v>
      </c>
      <c r="BB201" s="452">
        <f t="shared" si="190"/>
        <v>0.45150840000000003</v>
      </c>
      <c r="BC201" s="452">
        <f t="shared" si="191"/>
        <v>551</v>
      </c>
      <c r="BD201" s="260">
        <f t="shared" si="192"/>
        <v>0</v>
      </c>
      <c r="BE201" s="260">
        <f t="shared" si="193"/>
        <v>0</v>
      </c>
      <c r="BF201" s="397">
        <f t="shared" si="194"/>
        <v>172042500</v>
      </c>
      <c r="BG201" s="397">
        <f t="shared" si="195"/>
        <v>180562700</v>
      </c>
    </row>
    <row r="202" spans="1:59" ht="15.75">
      <c r="A202" s="338">
        <v>15</v>
      </c>
      <c r="B202" s="338" t="str">
        <f t="shared" si="147"/>
        <v>FRUTA_15</v>
      </c>
      <c r="C202" s="338" t="str">
        <f t="shared" si="148"/>
        <v>33_15</v>
      </c>
      <c r="D202" s="338" t="s">
        <v>1</v>
      </c>
      <c r="E202" s="258">
        <v>33</v>
      </c>
      <c r="F202" s="328" t="s">
        <v>59</v>
      </c>
      <c r="G202" s="258" t="s">
        <v>48</v>
      </c>
      <c r="H202" s="431">
        <f t="shared" si="149"/>
        <v>27</v>
      </c>
      <c r="I202" s="431">
        <v>1</v>
      </c>
      <c r="J202" s="259">
        <f t="shared" si="150"/>
        <v>6986</v>
      </c>
      <c r="K202" s="259">
        <f t="shared" si="151"/>
        <v>188622</v>
      </c>
      <c r="L202" s="452">
        <f t="shared" si="152"/>
        <v>270</v>
      </c>
      <c r="M202" s="452">
        <f t="shared" si="153"/>
        <v>13.176000000000002</v>
      </c>
      <c r="N202" s="452">
        <f t="shared" si="154"/>
        <v>0.23220432000000002</v>
      </c>
      <c r="O202" s="452">
        <f t="shared" si="155"/>
        <v>283</v>
      </c>
      <c r="P202" s="260">
        <f t="shared" si="156"/>
        <v>50927940</v>
      </c>
      <c r="Q202" s="260">
        <f t="shared" si="157"/>
        <v>53380026</v>
      </c>
      <c r="R202" s="432">
        <f t="shared" si="158"/>
        <v>18</v>
      </c>
      <c r="S202" s="432">
        <v>1</v>
      </c>
      <c r="T202" s="261">
        <f t="shared" si="159"/>
        <v>8585</v>
      </c>
      <c r="U202" s="261">
        <f t="shared" si="160"/>
        <v>154530</v>
      </c>
      <c r="V202" s="452">
        <f t="shared" si="161"/>
        <v>270</v>
      </c>
      <c r="W202" s="452">
        <f t="shared" si="162"/>
        <v>13.176000000000002</v>
      </c>
      <c r="X202" s="452">
        <f t="shared" si="163"/>
        <v>0.23220432000000002</v>
      </c>
      <c r="Y202" s="452">
        <f t="shared" si="164"/>
        <v>283</v>
      </c>
      <c r="Z202" s="262">
        <f t="shared" si="165"/>
        <v>41723100</v>
      </c>
      <c r="AA202" s="262">
        <f t="shared" si="166"/>
        <v>43731990</v>
      </c>
      <c r="AB202" s="431">
        <f t="shared" si="167"/>
        <v>18</v>
      </c>
      <c r="AC202" s="431">
        <v>1</v>
      </c>
      <c r="AD202" s="259">
        <f t="shared" si="168"/>
        <v>7800</v>
      </c>
      <c r="AE202" s="259">
        <f t="shared" si="169"/>
        <v>140400</v>
      </c>
      <c r="AF202" s="452">
        <f t="shared" si="170"/>
        <v>270</v>
      </c>
      <c r="AG202" s="452">
        <f t="shared" si="171"/>
        <v>13.176000000000002</v>
      </c>
      <c r="AH202" s="452">
        <f t="shared" si="172"/>
        <v>0.23220432000000002</v>
      </c>
      <c r="AI202" s="452">
        <f t="shared" si="173"/>
        <v>283</v>
      </c>
      <c r="AJ202" s="260">
        <f t="shared" si="174"/>
        <v>37908000</v>
      </c>
      <c r="AK202" s="260">
        <f t="shared" si="175"/>
        <v>39733200</v>
      </c>
      <c r="AL202" s="432">
        <f t="shared" si="176"/>
        <v>18</v>
      </c>
      <c r="AM202" s="432">
        <v>1</v>
      </c>
      <c r="AN202" s="261">
        <f t="shared" si="177"/>
        <v>0</v>
      </c>
      <c r="AO202" s="261">
        <f t="shared" si="178"/>
        <v>0</v>
      </c>
      <c r="AP202" s="452">
        <f t="shared" si="179"/>
        <v>270</v>
      </c>
      <c r="AQ202" s="452">
        <f t="shared" si="180"/>
        <v>13.176000000000002</v>
      </c>
      <c r="AR202" s="452">
        <f t="shared" si="181"/>
        <v>0.23220432000000002</v>
      </c>
      <c r="AS202" s="452">
        <f t="shared" si="182"/>
        <v>283</v>
      </c>
      <c r="AT202" s="262">
        <f t="shared" si="183"/>
        <v>0</v>
      </c>
      <c r="AU202" s="262">
        <f t="shared" si="184"/>
        <v>0</v>
      </c>
      <c r="AV202" s="431">
        <f t="shared" si="185"/>
        <v>18</v>
      </c>
      <c r="AW202" s="431">
        <v>1</v>
      </c>
      <c r="AX202" s="259">
        <f t="shared" si="186"/>
        <v>0</v>
      </c>
      <c r="AY202" s="259">
        <f t="shared" si="187"/>
        <v>0</v>
      </c>
      <c r="AZ202" s="452">
        <f t="shared" si="188"/>
        <v>270</v>
      </c>
      <c r="BA202" s="452">
        <f t="shared" si="189"/>
        <v>13.176000000000002</v>
      </c>
      <c r="BB202" s="452">
        <f t="shared" si="190"/>
        <v>0.23220432000000002</v>
      </c>
      <c r="BC202" s="452">
        <f t="shared" si="191"/>
        <v>283</v>
      </c>
      <c r="BD202" s="260">
        <f t="shared" si="192"/>
        <v>0</v>
      </c>
      <c r="BE202" s="260">
        <f t="shared" si="193"/>
        <v>0</v>
      </c>
      <c r="BF202" s="397">
        <f t="shared" si="194"/>
        <v>130559040</v>
      </c>
      <c r="BG202" s="397">
        <f t="shared" si="195"/>
        <v>136845216</v>
      </c>
    </row>
    <row r="203" spans="1:59" ht="15.75">
      <c r="A203" s="338">
        <v>15</v>
      </c>
      <c r="B203" s="338" t="str">
        <f t="shared" si="147"/>
        <v>FRUTA_15</v>
      </c>
      <c r="C203" s="338" t="str">
        <f t="shared" si="148"/>
        <v>36_15</v>
      </c>
      <c r="D203" s="338" t="s">
        <v>1</v>
      </c>
      <c r="E203" s="258">
        <v>36</v>
      </c>
      <c r="F203" s="328" t="s">
        <v>1340</v>
      </c>
      <c r="G203" s="258" t="s">
        <v>9</v>
      </c>
      <c r="H203" s="431">
        <f t="shared" si="149"/>
        <v>7</v>
      </c>
      <c r="I203" s="431">
        <f t="array" ref="I203">MAX((IF(MNU_CODIGO_ALIMENTO_ENTREGA=CONCATENATE($E203,"_","P_"),MNU_GRAMAJE_REQUERIDO_TIPOA,"")))</f>
        <v>20</v>
      </c>
      <c r="J203" s="259">
        <f t="shared" si="150"/>
        <v>6986</v>
      </c>
      <c r="K203" s="259">
        <f t="shared" si="151"/>
        <v>48902</v>
      </c>
      <c r="L203" s="452">
        <f t="shared" si="152"/>
        <v>126</v>
      </c>
      <c r="M203" s="452">
        <f t="shared" si="153"/>
        <v>6.1488000000000005</v>
      </c>
      <c r="N203" s="452">
        <f t="shared" si="154"/>
        <v>0.10836201599999999</v>
      </c>
      <c r="O203" s="452">
        <f t="shared" si="155"/>
        <v>132</v>
      </c>
      <c r="P203" s="260">
        <f t="shared" si="156"/>
        <v>6161652</v>
      </c>
      <c r="Q203" s="260">
        <f t="shared" si="157"/>
        <v>6455064</v>
      </c>
      <c r="R203" s="432">
        <f t="shared" si="158"/>
        <v>7</v>
      </c>
      <c r="S203" s="432">
        <f t="array" ref="S203">MAX((IF(MNU_CODIGO_ALIMENTO_ENTREGA=CONCATENATE($E203,"_","P_"),MNU_GRAMAJE_REQUERIDO_TIPOB,"")))</f>
        <v>40</v>
      </c>
      <c r="T203" s="261">
        <f t="shared" si="159"/>
        <v>8585</v>
      </c>
      <c r="U203" s="261">
        <f t="shared" si="160"/>
        <v>60095</v>
      </c>
      <c r="V203" s="452">
        <f t="shared" si="161"/>
        <v>252</v>
      </c>
      <c r="W203" s="452">
        <f t="shared" si="162"/>
        <v>12.297600000000001</v>
      </c>
      <c r="X203" s="452">
        <f t="shared" si="163"/>
        <v>0.21672403199999998</v>
      </c>
      <c r="Y203" s="452">
        <f t="shared" si="164"/>
        <v>265</v>
      </c>
      <c r="Z203" s="262">
        <f t="shared" si="165"/>
        <v>15143940</v>
      </c>
      <c r="AA203" s="262">
        <f t="shared" si="166"/>
        <v>15925175</v>
      </c>
      <c r="AB203" s="431">
        <f t="shared" si="167"/>
        <v>7</v>
      </c>
      <c r="AC203" s="431">
        <f t="array" ref="AC203">MAX((IF(MNU_CODIGO_ALIMENTO_ENTREGA=CONCATENATE($E203,"_","P_"),MNU_GRAMAJE_REQUERIDO_TIPOC,"")))</f>
        <v>40</v>
      </c>
      <c r="AD203" s="259">
        <f t="shared" si="168"/>
        <v>7800</v>
      </c>
      <c r="AE203" s="259">
        <f t="shared" si="169"/>
        <v>54600</v>
      </c>
      <c r="AF203" s="452">
        <f t="shared" si="170"/>
        <v>252</v>
      </c>
      <c r="AG203" s="452">
        <f t="shared" si="171"/>
        <v>12.297600000000001</v>
      </c>
      <c r="AH203" s="452">
        <f t="shared" si="172"/>
        <v>0.21672403199999998</v>
      </c>
      <c r="AI203" s="452">
        <f t="shared" si="173"/>
        <v>265</v>
      </c>
      <c r="AJ203" s="260">
        <f t="shared" si="174"/>
        <v>13759200</v>
      </c>
      <c r="AK203" s="260">
        <f t="shared" si="175"/>
        <v>14469000</v>
      </c>
      <c r="AL203" s="432">
        <f t="shared" si="176"/>
        <v>7</v>
      </c>
      <c r="AM203" s="432">
        <f t="array" ref="AM203">MAX((IF(MNU_CODIGO_ALIMENTO_ENTREGA=CONCATENATE($E203,"_","P_"),MNU_GRAMAJE_REQUERIDO_TIPOM,"")))</f>
        <v>40</v>
      </c>
      <c r="AN203" s="261">
        <f t="shared" si="177"/>
        <v>0</v>
      </c>
      <c r="AO203" s="261">
        <f t="shared" si="178"/>
        <v>0</v>
      </c>
      <c r="AP203" s="452">
        <f t="shared" si="179"/>
        <v>252</v>
      </c>
      <c r="AQ203" s="452">
        <f t="shared" si="180"/>
        <v>12.297600000000001</v>
      </c>
      <c r="AR203" s="452">
        <f t="shared" si="181"/>
        <v>0.21672403199999998</v>
      </c>
      <c r="AS203" s="452">
        <f t="shared" si="182"/>
        <v>265</v>
      </c>
      <c r="AT203" s="262">
        <f t="shared" si="183"/>
        <v>0</v>
      </c>
      <c r="AU203" s="262">
        <f t="shared" si="184"/>
        <v>0</v>
      </c>
      <c r="AV203" s="431">
        <f t="shared" si="185"/>
        <v>7</v>
      </c>
      <c r="AW203" s="431">
        <f t="array" ref="AW203">MAX((IF(MNU_CODIGO_ALIMENTO_ENTREGA=CONCATENATE($E203,"_","P_"),MNU_GRAMAJE_REQUERIDO_TIPOH,"")))</f>
        <v>40</v>
      </c>
      <c r="AX203" s="259">
        <f t="shared" si="186"/>
        <v>0</v>
      </c>
      <c r="AY203" s="259">
        <f t="shared" si="187"/>
        <v>0</v>
      </c>
      <c r="AZ203" s="452">
        <f t="shared" si="188"/>
        <v>252</v>
      </c>
      <c r="BA203" s="452">
        <f t="shared" si="189"/>
        <v>12.297600000000001</v>
      </c>
      <c r="BB203" s="452">
        <f t="shared" si="190"/>
        <v>0.21672403199999998</v>
      </c>
      <c r="BC203" s="452">
        <f t="shared" si="191"/>
        <v>265</v>
      </c>
      <c r="BD203" s="260">
        <f t="shared" si="192"/>
        <v>0</v>
      </c>
      <c r="BE203" s="260">
        <f t="shared" si="193"/>
        <v>0</v>
      </c>
      <c r="BF203" s="397">
        <f t="shared" si="194"/>
        <v>35064792</v>
      </c>
      <c r="BG203" s="397">
        <f t="shared" si="195"/>
        <v>36849239</v>
      </c>
    </row>
    <row r="204" spans="1:59" ht="15.75">
      <c r="A204" s="338">
        <v>15</v>
      </c>
      <c r="B204" s="338" t="str">
        <f t="shared" si="147"/>
        <v>FRUTA_15</v>
      </c>
      <c r="C204" s="338" t="str">
        <f t="shared" si="148"/>
        <v>42_15</v>
      </c>
      <c r="D204" s="338" t="s">
        <v>1</v>
      </c>
      <c r="E204" s="258">
        <v>42</v>
      </c>
      <c r="F204" s="328" t="s">
        <v>61</v>
      </c>
      <c r="G204" s="258" t="s">
        <v>9</v>
      </c>
      <c r="H204" s="431">
        <f t="shared" si="149"/>
        <v>23</v>
      </c>
      <c r="I204" s="431">
        <f t="array" ref="I204">MAX((IF(MNU_CODIGO_ALIMENTO_ENTREGA=CONCATENATE($E204,"_","P_"),MNU_GRAMAJE_REQUERIDO_TIPOA,"")))</f>
        <v>100</v>
      </c>
      <c r="J204" s="259">
        <f t="shared" si="150"/>
        <v>6986</v>
      </c>
      <c r="K204" s="259">
        <f t="shared" si="151"/>
        <v>160678</v>
      </c>
      <c r="L204" s="452">
        <f t="shared" si="152"/>
        <v>194</v>
      </c>
      <c r="M204" s="452">
        <f t="shared" si="153"/>
        <v>9.4672000000000001</v>
      </c>
      <c r="N204" s="452">
        <f t="shared" si="154"/>
        <v>0.16684310399999999</v>
      </c>
      <c r="O204" s="452">
        <f t="shared" si="155"/>
        <v>204</v>
      </c>
      <c r="P204" s="260">
        <f t="shared" si="156"/>
        <v>31171532</v>
      </c>
      <c r="Q204" s="260">
        <f t="shared" si="157"/>
        <v>32778312</v>
      </c>
      <c r="R204" s="432">
        <f t="shared" si="158"/>
        <v>19</v>
      </c>
      <c r="S204" s="432">
        <f t="array" ref="S204">MAX((IF(MNU_CODIGO_ALIMENTO_ENTREGA=CONCATENATE($E204,"_","P_"),MNU_GRAMAJE_REQUERIDO_TIPOB,"")))</f>
        <v>100</v>
      </c>
      <c r="T204" s="261">
        <f t="shared" si="159"/>
        <v>8585</v>
      </c>
      <c r="U204" s="261">
        <f t="shared" si="160"/>
        <v>163115</v>
      </c>
      <c r="V204" s="452">
        <f t="shared" si="161"/>
        <v>194</v>
      </c>
      <c r="W204" s="452">
        <f t="shared" si="162"/>
        <v>9.4672000000000001</v>
      </c>
      <c r="X204" s="452">
        <f t="shared" si="163"/>
        <v>0.16684310399999999</v>
      </c>
      <c r="Y204" s="452">
        <f t="shared" si="164"/>
        <v>204</v>
      </c>
      <c r="Z204" s="262">
        <f t="shared" si="165"/>
        <v>31644310</v>
      </c>
      <c r="AA204" s="262">
        <f t="shared" si="166"/>
        <v>33275460</v>
      </c>
      <c r="AB204" s="431">
        <f t="shared" si="167"/>
        <v>19</v>
      </c>
      <c r="AC204" s="431">
        <f t="array" ref="AC204">MAX((IF(MNU_CODIGO_ALIMENTO_ENTREGA=CONCATENATE($E204,"_","P_"),MNU_GRAMAJE_REQUERIDO_TIPOC,"")))</f>
        <v>100</v>
      </c>
      <c r="AD204" s="259">
        <f t="shared" si="168"/>
        <v>7800</v>
      </c>
      <c r="AE204" s="259">
        <f t="shared" si="169"/>
        <v>148200</v>
      </c>
      <c r="AF204" s="452">
        <f t="shared" si="170"/>
        <v>194</v>
      </c>
      <c r="AG204" s="452">
        <f t="shared" si="171"/>
        <v>9.4672000000000001</v>
      </c>
      <c r="AH204" s="452">
        <f t="shared" si="172"/>
        <v>0.16684310399999999</v>
      </c>
      <c r="AI204" s="452">
        <f t="shared" si="173"/>
        <v>204</v>
      </c>
      <c r="AJ204" s="260">
        <f t="shared" si="174"/>
        <v>28750800</v>
      </c>
      <c r="AK204" s="260">
        <f t="shared" si="175"/>
        <v>30232800</v>
      </c>
      <c r="AL204" s="432">
        <f t="shared" si="176"/>
        <v>19</v>
      </c>
      <c r="AM204" s="432">
        <f t="array" ref="AM204">MAX((IF(MNU_CODIGO_ALIMENTO_ENTREGA=CONCATENATE($E204,"_","P_"),MNU_GRAMAJE_REQUERIDO_TIPOM,"")))</f>
        <v>100</v>
      </c>
      <c r="AN204" s="261">
        <f t="shared" si="177"/>
        <v>0</v>
      </c>
      <c r="AO204" s="261">
        <f t="shared" si="178"/>
        <v>0</v>
      </c>
      <c r="AP204" s="452">
        <f t="shared" si="179"/>
        <v>194</v>
      </c>
      <c r="AQ204" s="452">
        <f t="shared" si="180"/>
        <v>9.4672000000000001</v>
      </c>
      <c r="AR204" s="452">
        <f t="shared" si="181"/>
        <v>0.16684310399999999</v>
      </c>
      <c r="AS204" s="452">
        <f t="shared" si="182"/>
        <v>204</v>
      </c>
      <c r="AT204" s="262">
        <f t="shared" si="183"/>
        <v>0</v>
      </c>
      <c r="AU204" s="262">
        <f t="shared" si="184"/>
        <v>0</v>
      </c>
      <c r="AV204" s="431">
        <f t="shared" si="185"/>
        <v>19</v>
      </c>
      <c r="AW204" s="431">
        <f t="array" ref="AW204">MAX((IF(MNU_CODIGO_ALIMENTO_ENTREGA=CONCATENATE($E204,"_","P_"),MNU_GRAMAJE_REQUERIDO_TIPOH,"")))</f>
        <v>100</v>
      </c>
      <c r="AX204" s="259">
        <f t="shared" si="186"/>
        <v>0</v>
      </c>
      <c r="AY204" s="259">
        <f t="shared" si="187"/>
        <v>0</v>
      </c>
      <c r="AZ204" s="452">
        <f t="shared" si="188"/>
        <v>194</v>
      </c>
      <c r="BA204" s="452">
        <f t="shared" si="189"/>
        <v>9.4672000000000001</v>
      </c>
      <c r="BB204" s="452">
        <f t="shared" si="190"/>
        <v>0.16684310399999999</v>
      </c>
      <c r="BC204" s="452">
        <f t="shared" si="191"/>
        <v>204</v>
      </c>
      <c r="BD204" s="260">
        <f t="shared" si="192"/>
        <v>0</v>
      </c>
      <c r="BE204" s="260">
        <f t="shared" si="193"/>
        <v>0</v>
      </c>
      <c r="BF204" s="397">
        <f t="shared" si="194"/>
        <v>91566642</v>
      </c>
      <c r="BG204" s="397">
        <f t="shared" si="195"/>
        <v>96286572</v>
      </c>
    </row>
    <row r="205" spans="1:59" ht="15.75">
      <c r="A205" s="338">
        <v>15</v>
      </c>
      <c r="B205" s="338" t="str">
        <f t="shared" si="147"/>
        <v>FRUTA_15</v>
      </c>
      <c r="C205" s="338" t="str">
        <f t="shared" si="148"/>
        <v>43_15</v>
      </c>
      <c r="D205" s="338" t="s">
        <v>1</v>
      </c>
      <c r="E205" s="258">
        <v>43</v>
      </c>
      <c r="F205" s="328" t="s">
        <v>62</v>
      </c>
      <c r="G205" s="258" t="s">
        <v>9</v>
      </c>
      <c r="H205" s="431">
        <f t="shared" si="149"/>
        <v>24</v>
      </c>
      <c r="I205" s="431">
        <f t="array" ref="I205">MAX((IF(MNU_CODIGO_ALIMENTO_ENTREGA=CONCATENATE($E205,"_","P_"),MNU_GRAMAJE_REQUERIDO_TIPOA,"")))</f>
        <v>100</v>
      </c>
      <c r="J205" s="259">
        <f t="shared" si="150"/>
        <v>6986</v>
      </c>
      <c r="K205" s="259">
        <f t="shared" si="151"/>
        <v>167664</v>
      </c>
      <c r="L205" s="452">
        <f t="shared" si="152"/>
        <v>170</v>
      </c>
      <c r="M205" s="452">
        <f t="shared" si="153"/>
        <v>8.2959999999999994</v>
      </c>
      <c r="N205" s="452">
        <f t="shared" si="154"/>
        <v>0.14620272000000001</v>
      </c>
      <c r="O205" s="452">
        <f t="shared" si="155"/>
        <v>178</v>
      </c>
      <c r="P205" s="260">
        <f t="shared" si="156"/>
        <v>28502880</v>
      </c>
      <c r="Q205" s="260">
        <f t="shared" si="157"/>
        <v>29844192</v>
      </c>
      <c r="R205" s="432">
        <f t="shared" si="158"/>
        <v>17</v>
      </c>
      <c r="S205" s="432">
        <f t="array" ref="S205">MAX((IF(MNU_CODIGO_ALIMENTO_ENTREGA=CONCATENATE($E205,"_","P_"),MNU_GRAMAJE_REQUERIDO_TIPOB,"")))</f>
        <v>100</v>
      </c>
      <c r="T205" s="261">
        <f t="shared" si="159"/>
        <v>8585</v>
      </c>
      <c r="U205" s="261">
        <f t="shared" si="160"/>
        <v>145945</v>
      </c>
      <c r="V205" s="452">
        <f t="shared" si="161"/>
        <v>170</v>
      </c>
      <c r="W205" s="452">
        <f t="shared" si="162"/>
        <v>8.2959999999999994</v>
      </c>
      <c r="X205" s="452">
        <f t="shared" si="163"/>
        <v>0.14620272000000001</v>
      </c>
      <c r="Y205" s="452">
        <f t="shared" si="164"/>
        <v>178</v>
      </c>
      <c r="Z205" s="262">
        <f t="shared" si="165"/>
        <v>24810650</v>
      </c>
      <c r="AA205" s="262">
        <f t="shared" si="166"/>
        <v>25978210</v>
      </c>
      <c r="AB205" s="431">
        <f t="shared" si="167"/>
        <v>17</v>
      </c>
      <c r="AC205" s="431">
        <f t="array" ref="AC205">MAX((IF(MNU_CODIGO_ALIMENTO_ENTREGA=CONCATENATE($E205,"_","P_"),MNU_GRAMAJE_REQUERIDO_TIPOC,"")))</f>
        <v>100</v>
      </c>
      <c r="AD205" s="259">
        <f t="shared" si="168"/>
        <v>7800</v>
      </c>
      <c r="AE205" s="259">
        <f t="shared" si="169"/>
        <v>132600</v>
      </c>
      <c r="AF205" s="452">
        <f t="shared" si="170"/>
        <v>170</v>
      </c>
      <c r="AG205" s="452">
        <f t="shared" si="171"/>
        <v>8.2959999999999994</v>
      </c>
      <c r="AH205" s="452">
        <f t="shared" si="172"/>
        <v>0.14620272000000001</v>
      </c>
      <c r="AI205" s="452">
        <f t="shared" si="173"/>
        <v>178</v>
      </c>
      <c r="AJ205" s="260">
        <f t="shared" si="174"/>
        <v>22542000</v>
      </c>
      <c r="AK205" s="260">
        <f t="shared" si="175"/>
        <v>23602800</v>
      </c>
      <c r="AL205" s="432">
        <f t="shared" si="176"/>
        <v>17</v>
      </c>
      <c r="AM205" s="432">
        <f t="array" ref="AM205">MAX((IF(MNU_CODIGO_ALIMENTO_ENTREGA=CONCATENATE($E205,"_","P_"),MNU_GRAMAJE_REQUERIDO_TIPOM,"")))</f>
        <v>100</v>
      </c>
      <c r="AN205" s="261">
        <f t="shared" si="177"/>
        <v>0</v>
      </c>
      <c r="AO205" s="261">
        <f t="shared" si="178"/>
        <v>0</v>
      </c>
      <c r="AP205" s="452">
        <f t="shared" si="179"/>
        <v>170</v>
      </c>
      <c r="AQ205" s="452">
        <f t="shared" si="180"/>
        <v>8.2959999999999994</v>
      </c>
      <c r="AR205" s="452">
        <f t="shared" si="181"/>
        <v>0.14620272000000001</v>
      </c>
      <c r="AS205" s="452">
        <f t="shared" si="182"/>
        <v>178</v>
      </c>
      <c r="AT205" s="262">
        <f t="shared" si="183"/>
        <v>0</v>
      </c>
      <c r="AU205" s="262">
        <f t="shared" si="184"/>
        <v>0</v>
      </c>
      <c r="AV205" s="431">
        <f t="shared" si="185"/>
        <v>17</v>
      </c>
      <c r="AW205" s="431">
        <f t="array" ref="AW205">MAX((IF(MNU_CODIGO_ALIMENTO_ENTREGA=CONCATENATE($E205,"_","P_"),MNU_GRAMAJE_REQUERIDO_TIPOH,"")))</f>
        <v>100</v>
      </c>
      <c r="AX205" s="259">
        <f t="shared" si="186"/>
        <v>0</v>
      </c>
      <c r="AY205" s="259">
        <f t="shared" si="187"/>
        <v>0</v>
      </c>
      <c r="AZ205" s="452">
        <f t="shared" si="188"/>
        <v>170</v>
      </c>
      <c r="BA205" s="452">
        <f t="shared" si="189"/>
        <v>8.2959999999999994</v>
      </c>
      <c r="BB205" s="452">
        <f t="shared" si="190"/>
        <v>0.14620272000000001</v>
      </c>
      <c r="BC205" s="452">
        <f t="shared" si="191"/>
        <v>178</v>
      </c>
      <c r="BD205" s="260">
        <f t="shared" si="192"/>
        <v>0</v>
      </c>
      <c r="BE205" s="260">
        <f t="shared" si="193"/>
        <v>0</v>
      </c>
      <c r="BF205" s="397">
        <f t="shared" si="194"/>
        <v>75855530</v>
      </c>
      <c r="BG205" s="397">
        <f t="shared" si="195"/>
        <v>79425202</v>
      </c>
    </row>
    <row r="206" spans="1:59" ht="15.75">
      <c r="A206" s="338">
        <v>15</v>
      </c>
      <c r="B206" s="338" t="str">
        <f t="shared" si="147"/>
        <v>FRUTA_15</v>
      </c>
      <c r="C206" s="338" t="str">
        <f t="shared" si="148"/>
        <v>46_15</v>
      </c>
      <c r="D206" s="338" t="s">
        <v>1</v>
      </c>
      <c r="E206" s="258">
        <v>46</v>
      </c>
      <c r="F206" s="328" t="s">
        <v>64</v>
      </c>
      <c r="G206" s="258" t="s">
        <v>9</v>
      </c>
      <c r="H206" s="431">
        <f t="shared" si="149"/>
        <v>30</v>
      </c>
      <c r="I206" s="431">
        <f t="array" ref="I206">MAX((IF(MNU_CODIGO_ALIMENTO_ENTREGA=CONCATENATE($E206,"_","P_"),MNU_GRAMAJE_REQUERIDO_TIPOA,"")))</f>
        <v>100</v>
      </c>
      <c r="J206" s="259">
        <f t="shared" si="150"/>
        <v>6986</v>
      </c>
      <c r="K206" s="259">
        <f t="shared" si="151"/>
        <v>209580</v>
      </c>
      <c r="L206" s="452">
        <f t="shared" si="152"/>
        <v>398</v>
      </c>
      <c r="M206" s="452">
        <f t="shared" si="153"/>
        <v>19.4224</v>
      </c>
      <c r="N206" s="452">
        <f t="shared" si="154"/>
        <v>0.34228636800000001</v>
      </c>
      <c r="O206" s="452">
        <f t="shared" si="155"/>
        <v>418</v>
      </c>
      <c r="P206" s="260">
        <f t="shared" si="156"/>
        <v>83412840</v>
      </c>
      <c r="Q206" s="260">
        <f t="shared" si="157"/>
        <v>87604440</v>
      </c>
      <c r="R206" s="432">
        <f t="shared" si="158"/>
        <v>21</v>
      </c>
      <c r="S206" s="432">
        <f t="array" ref="S206">MAX((IF(MNU_CODIGO_ALIMENTO_ENTREGA=CONCATENATE($E206,"_","P_"),MNU_GRAMAJE_REQUERIDO_TIPOB,"")))</f>
        <v>100</v>
      </c>
      <c r="T206" s="261">
        <f t="shared" si="159"/>
        <v>8585</v>
      </c>
      <c r="U206" s="261">
        <f t="shared" si="160"/>
        <v>180285</v>
      </c>
      <c r="V206" s="452">
        <f t="shared" si="161"/>
        <v>398</v>
      </c>
      <c r="W206" s="452">
        <f t="shared" si="162"/>
        <v>19.4224</v>
      </c>
      <c r="X206" s="452">
        <f t="shared" si="163"/>
        <v>0.34228636800000001</v>
      </c>
      <c r="Y206" s="452">
        <f t="shared" si="164"/>
        <v>418</v>
      </c>
      <c r="Z206" s="262">
        <f t="shared" si="165"/>
        <v>71753430</v>
      </c>
      <c r="AA206" s="262">
        <f t="shared" si="166"/>
        <v>75359130</v>
      </c>
      <c r="AB206" s="431">
        <f t="shared" si="167"/>
        <v>21</v>
      </c>
      <c r="AC206" s="431">
        <f t="array" ref="AC206">MAX((IF(MNU_CODIGO_ALIMENTO_ENTREGA=CONCATENATE($E206,"_","P_"),MNU_GRAMAJE_REQUERIDO_TIPOC,"")))</f>
        <v>100</v>
      </c>
      <c r="AD206" s="259">
        <f t="shared" si="168"/>
        <v>7800</v>
      </c>
      <c r="AE206" s="259">
        <f t="shared" si="169"/>
        <v>163800</v>
      </c>
      <c r="AF206" s="452">
        <f t="shared" si="170"/>
        <v>398</v>
      </c>
      <c r="AG206" s="452">
        <f t="shared" si="171"/>
        <v>19.4224</v>
      </c>
      <c r="AH206" s="452">
        <f t="shared" si="172"/>
        <v>0.34228636800000001</v>
      </c>
      <c r="AI206" s="452">
        <f t="shared" si="173"/>
        <v>418</v>
      </c>
      <c r="AJ206" s="260">
        <f t="shared" si="174"/>
        <v>65192400</v>
      </c>
      <c r="AK206" s="260">
        <f t="shared" si="175"/>
        <v>68468400</v>
      </c>
      <c r="AL206" s="432">
        <f t="shared" si="176"/>
        <v>21</v>
      </c>
      <c r="AM206" s="432">
        <f t="array" ref="AM206">MAX((IF(MNU_CODIGO_ALIMENTO_ENTREGA=CONCATENATE($E206,"_","P_"),MNU_GRAMAJE_REQUERIDO_TIPOM,"")))</f>
        <v>100</v>
      </c>
      <c r="AN206" s="261">
        <f t="shared" si="177"/>
        <v>0</v>
      </c>
      <c r="AO206" s="261">
        <f t="shared" si="178"/>
        <v>0</v>
      </c>
      <c r="AP206" s="452">
        <f t="shared" si="179"/>
        <v>398</v>
      </c>
      <c r="AQ206" s="452">
        <f t="shared" si="180"/>
        <v>19.4224</v>
      </c>
      <c r="AR206" s="452">
        <f t="shared" si="181"/>
        <v>0.34228636800000001</v>
      </c>
      <c r="AS206" s="452">
        <f t="shared" si="182"/>
        <v>418</v>
      </c>
      <c r="AT206" s="262">
        <f t="shared" si="183"/>
        <v>0</v>
      </c>
      <c r="AU206" s="262">
        <f t="shared" si="184"/>
        <v>0</v>
      </c>
      <c r="AV206" s="431">
        <f t="shared" si="185"/>
        <v>21</v>
      </c>
      <c r="AW206" s="431">
        <f t="array" ref="AW206">MAX((IF(MNU_CODIGO_ALIMENTO_ENTREGA=CONCATENATE($E206,"_","P_"),MNU_GRAMAJE_REQUERIDO_TIPOH,"")))</f>
        <v>100</v>
      </c>
      <c r="AX206" s="259">
        <f t="shared" si="186"/>
        <v>0</v>
      </c>
      <c r="AY206" s="259">
        <f t="shared" si="187"/>
        <v>0</v>
      </c>
      <c r="AZ206" s="452">
        <f t="shared" si="188"/>
        <v>398</v>
      </c>
      <c r="BA206" s="452">
        <f t="shared" si="189"/>
        <v>19.4224</v>
      </c>
      <c r="BB206" s="452">
        <f t="shared" si="190"/>
        <v>0.34228636800000001</v>
      </c>
      <c r="BC206" s="452">
        <f t="shared" si="191"/>
        <v>418</v>
      </c>
      <c r="BD206" s="260">
        <f t="shared" si="192"/>
        <v>0</v>
      </c>
      <c r="BE206" s="260">
        <f t="shared" si="193"/>
        <v>0</v>
      </c>
      <c r="BF206" s="397">
        <f t="shared" si="194"/>
        <v>220358670</v>
      </c>
      <c r="BG206" s="397">
        <f t="shared" si="195"/>
        <v>231431970</v>
      </c>
    </row>
    <row r="207" spans="1:59" ht="15.75">
      <c r="A207" s="338">
        <v>15</v>
      </c>
      <c r="B207" s="338" t="str">
        <f t="shared" si="147"/>
        <v>FRUTA_15</v>
      </c>
      <c r="C207" s="338" t="str">
        <f t="shared" si="148"/>
        <v>58_15</v>
      </c>
      <c r="D207" s="338" t="s">
        <v>1</v>
      </c>
      <c r="E207" s="258">
        <v>58</v>
      </c>
      <c r="F207" s="328" t="s">
        <v>67</v>
      </c>
      <c r="G207" s="258" t="s">
        <v>9</v>
      </c>
      <c r="H207" s="431">
        <f t="shared" si="149"/>
        <v>24</v>
      </c>
      <c r="I207" s="431">
        <f t="array" ref="I207">MAX((IF(MNU_CODIGO_ALIMENTO_ENTREGA=CONCATENATE($E207,"_","P_"),MNU_GRAMAJE_REQUERIDO_TIPOA,"")))</f>
        <v>100</v>
      </c>
      <c r="J207" s="259">
        <f t="shared" si="150"/>
        <v>6986</v>
      </c>
      <c r="K207" s="259">
        <f t="shared" si="151"/>
        <v>167664</v>
      </c>
      <c r="L207" s="452">
        <f t="shared" si="152"/>
        <v>154</v>
      </c>
      <c r="M207" s="452">
        <f t="shared" si="153"/>
        <v>7.515200000000001</v>
      </c>
      <c r="N207" s="452">
        <f t="shared" si="154"/>
        <v>0.13244246400000001</v>
      </c>
      <c r="O207" s="452">
        <f t="shared" si="155"/>
        <v>162</v>
      </c>
      <c r="P207" s="260">
        <f t="shared" si="156"/>
        <v>25820256</v>
      </c>
      <c r="Q207" s="260">
        <f t="shared" si="157"/>
        <v>27161568</v>
      </c>
      <c r="R207" s="432">
        <f t="shared" si="158"/>
        <v>23</v>
      </c>
      <c r="S207" s="432">
        <f t="array" ref="S207">MAX((IF(MNU_CODIGO_ALIMENTO_ENTREGA=CONCATENATE($E207,"_","P_"),MNU_GRAMAJE_REQUERIDO_TIPOB,"")))</f>
        <v>100</v>
      </c>
      <c r="T207" s="261">
        <f t="shared" si="159"/>
        <v>8585</v>
      </c>
      <c r="U207" s="261">
        <f t="shared" si="160"/>
        <v>197455</v>
      </c>
      <c r="V207" s="452">
        <f t="shared" si="161"/>
        <v>154</v>
      </c>
      <c r="W207" s="452">
        <f t="shared" si="162"/>
        <v>7.515200000000001</v>
      </c>
      <c r="X207" s="452">
        <f t="shared" si="163"/>
        <v>0.13244246400000001</v>
      </c>
      <c r="Y207" s="452">
        <f t="shared" si="164"/>
        <v>162</v>
      </c>
      <c r="Z207" s="262">
        <f t="shared" si="165"/>
        <v>30408070</v>
      </c>
      <c r="AA207" s="262">
        <f t="shared" si="166"/>
        <v>31987710</v>
      </c>
      <c r="AB207" s="431">
        <f t="shared" si="167"/>
        <v>23</v>
      </c>
      <c r="AC207" s="431">
        <f t="array" ref="AC207">MAX((IF(MNU_CODIGO_ALIMENTO_ENTREGA=CONCATENATE($E207,"_","P_"),MNU_GRAMAJE_REQUERIDO_TIPOC,"")))</f>
        <v>100</v>
      </c>
      <c r="AD207" s="259">
        <f t="shared" si="168"/>
        <v>7800</v>
      </c>
      <c r="AE207" s="259">
        <f t="shared" si="169"/>
        <v>179400</v>
      </c>
      <c r="AF207" s="452">
        <f t="shared" si="170"/>
        <v>154</v>
      </c>
      <c r="AG207" s="452">
        <f t="shared" si="171"/>
        <v>7.515200000000001</v>
      </c>
      <c r="AH207" s="452">
        <f t="shared" si="172"/>
        <v>0.13244246400000001</v>
      </c>
      <c r="AI207" s="452">
        <f t="shared" si="173"/>
        <v>162</v>
      </c>
      <c r="AJ207" s="260">
        <f t="shared" si="174"/>
        <v>27627600</v>
      </c>
      <c r="AK207" s="260">
        <f t="shared" si="175"/>
        <v>29062800</v>
      </c>
      <c r="AL207" s="432">
        <f t="shared" si="176"/>
        <v>23</v>
      </c>
      <c r="AM207" s="432">
        <f t="array" ref="AM207">MAX((IF(MNU_CODIGO_ALIMENTO_ENTREGA=CONCATENATE($E207,"_","P_"),MNU_GRAMAJE_REQUERIDO_TIPOM,"")))</f>
        <v>100</v>
      </c>
      <c r="AN207" s="261">
        <f t="shared" si="177"/>
        <v>0</v>
      </c>
      <c r="AO207" s="261">
        <f t="shared" si="178"/>
        <v>0</v>
      </c>
      <c r="AP207" s="452">
        <f t="shared" si="179"/>
        <v>154</v>
      </c>
      <c r="AQ207" s="452">
        <f t="shared" si="180"/>
        <v>7.515200000000001</v>
      </c>
      <c r="AR207" s="452">
        <f t="shared" si="181"/>
        <v>0.13244246400000001</v>
      </c>
      <c r="AS207" s="452">
        <f t="shared" si="182"/>
        <v>162</v>
      </c>
      <c r="AT207" s="262">
        <f t="shared" si="183"/>
        <v>0</v>
      </c>
      <c r="AU207" s="262">
        <f t="shared" si="184"/>
        <v>0</v>
      </c>
      <c r="AV207" s="431">
        <f t="shared" si="185"/>
        <v>23</v>
      </c>
      <c r="AW207" s="431">
        <f t="array" ref="AW207">MAX((IF(MNU_CODIGO_ALIMENTO_ENTREGA=CONCATENATE($E207,"_","P_"),MNU_GRAMAJE_REQUERIDO_TIPOH,"")))</f>
        <v>100</v>
      </c>
      <c r="AX207" s="259">
        <f t="shared" si="186"/>
        <v>0</v>
      </c>
      <c r="AY207" s="259">
        <f t="shared" si="187"/>
        <v>0</v>
      </c>
      <c r="AZ207" s="452">
        <f t="shared" si="188"/>
        <v>154</v>
      </c>
      <c r="BA207" s="452">
        <f t="shared" si="189"/>
        <v>7.515200000000001</v>
      </c>
      <c r="BB207" s="452">
        <f t="shared" si="190"/>
        <v>0.13244246400000001</v>
      </c>
      <c r="BC207" s="452">
        <f t="shared" si="191"/>
        <v>162</v>
      </c>
      <c r="BD207" s="260">
        <f t="shared" si="192"/>
        <v>0</v>
      </c>
      <c r="BE207" s="260">
        <f t="shared" si="193"/>
        <v>0</v>
      </c>
      <c r="BF207" s="397">
        <f t="shared" si="194"/>
        <v>83855926</v>
      </c>
      <c r="BG207" s="397">
        <f t="shared" si="195"/>
        <v>88212078</v>
      </c>
    </row>
    <row r="208" spans="1:59" ht="15.75">
      <c r="A208" s="338">
        <v>15</v>
      </c>
      <c r="B208" s="338" t="str">
        <f t="shared" si="147"/>
        <v>FRUTA_15</v>
      </c>
      <c r="C208" s="338" t="str">
        <f t="shared" si="148"/>
        <v>59_15</v>
      </c>
      <c r="D208" s="338" t="s">
        <v>1</v>
      </c>
      <c r="E208" s="258">
        <v>59</v>
      </c>
      <c r="F208" s="328" t="s">
        <v>99</v>
      </c>
      <c r="G208" s="258" t="s">
        <v>9</v>
      </c>
      <c r="H208" s="431">
        <f t="shared" si="149"/>
        <v>0</v>
      </c>
      <c r="I208" s="431">
        <f t="array" ref="I208">MAX((IF(MNU_CODIGO_ALIMENTO_ENTREGA=CONCATENATE($E208,"_","P_"),MNU_GRAMAJE_REQUERIDO_TIPOA,"")))</f>
        <v>0</v>
      </c>
      <c r="J208" s="259">
        <f t="shared" si="150"/>
        <v>6986</v>
      </c>
      <c r="K208" s="259">
        <f t="shared" si="151"/>
        <v>0</v>
      </c>
      <c r="L208" s="452">
        <f t="shared" si="152"/>
        <v>0</v>
      </c>
      <c r="M208" s="452">
        <f t="shared" si="153"/>
        <v>0</v>
      </c>
      <c r="N208" s="452">
        <f t="shared" si="154"/>
        <v>0</v>
      </c>
      <c r="O208" s="452">
        <f t="shared" si="155"/>
        <v>0</v>
      </c>
      <c r="P208" s="260">
        <f t="shared" si="156"/>
        <v>0</v>
      </c>
      <c r="Q208" s="260">
        <f t="shared" si="157"/>
        <v>0</v>
      </c>
      <c r="R208" s="432">
        <f t="shared" si="158"/>
        <v>8</v>
      </c>
      <c r="S208" s="432">
        <f t="array" ref="S208">MAX((IF(MNU_CODIGO_ALIMENTO_ENTREGA=CONCATENATE($E208,"_","P_"),MNU_GRAMAJE_REQUERIDO_TIPOB,"")))</f>
        <v>100</v>
      </c>
      <c r="T208" s="261">
        <f t="shared" si="159"/>
        <v>8585</v>
      </c>
      <c r="U208" s="261">
        <f t="shared" si="160"/>
        <v>68680</v>
      </c>
      <c r="V208" s="452">
        <f t="shared" si="161"/>
        <v>286</v>
      </c>
      <c r="W208" s="452">
        <f t="shared" si="162"/>
        <v>13.956800000000001</v>
      </c>
      <c r="X208" s="452">
        <f t="shared" si="163"/>
        <v>0.24596457599999999</v>
      </c>
      <c r="Y208" s="452">
        <f t="shared" si="164"/>
        <v>300</v>
      </c>
      <c r="Z208" s="262">
        <f t="shared" si="165"/>
        <v>19642480</v>
      </c>
      <c r="AA208" s="262">
        <f t="shared" si="166"/>
        <v>20604000</v>
      </c>
      <c r="AB208" s="431">
        <f t="shared" si="167"/>
        <v>8</v>
      </c>
      <c r="AC208" s="431">
        <f t="array" ref="AC208">MAX((IF(MNU_CODIGO_ALIMENTO_ENTREGA=CONCATENATE($E208,"_","P_"),MNU_GRAMAJE_REQUERIDO_TIPOC,"")))</f>
        <v>100</v>
      </c>
      <c r="AD208" s="259">
        <f t="shared" si="168"/>
        <v>7800</v>
      </c>
      <c r="AE208" s="259">
        <f t="shared" si="169"/>
        <v>62400</v>
      </c>
      <c r="AF208" s="452">
        <f t="shared" si="170"/>
        <v>286</v>
      </c>
      <c r="AG208" s="452">
        <f t="shared" si="171"/>
        <v>13.956800000000001</v>
      </c>
      <c r="AH208" s="452">
        <f t="shared" si="172"/>
        <v>0.24596457599999999</v>
      </c>
      <c r="AI208" s="452">
        <f t="shared" si="173"/>
        <v>300</v>
      </c>
      <c r="AJ208" s="260">
        <f t="shared" si="174"/>
        <v>17846400</v>
      </c>
      <c r="AK208" s="260">
        <f t="shared" si="175"/>
        <v>18720000</v>
      </c>
      <c r="AL208" s="432">
        <f t="shared" si="176"/>
        <v>8</v>
      </c>
      <c r="AM208" s="432">
        <f t="array" ref="AM208">MAX((IF(MNU_CODIGO_ALIMENTO_ENTREGA=CONCATENATE($E208,"_","P_"),MNU_GRAMAJE_REQUERIDO_TIPOM,"")))</f>
        <v>100</v>
      </c>
      <c r="AN208" s="261">
        <f t="shared" si="177"/>
        <v>0</v>
      </c>
      <c r="AO208" s="261">
        <f t="shared" si="178"/>
        <v>0</v>
      </c>
      <c r="AP208" s="452">
        <f t="shared" si="179"/>
        <v>286</v>
      </c>
      <c r="AQ208" s="452">
        <f t="shared" si="180"/>
        <v>13.956800000000001</v>
      </c>
      <c r="AR208" s="452">
        <f t="shared" si="181"/>
        <v>0.24596457599999999</v>
      </c>
      <c r="AS208" s="452">
        <f t="shared" si="182"/>
        <v>300</v>
      </c>
      <c r="AT208" s="262">
        <f t="shared" si="183"/>
        <v>0</v>
      </c>
      <c r="AU208" s="262">
        <f t="shared" si="184"/>
        <v>0</v>
      </c>
      <c r="AV208" s="431">
        <f t="shared" si="185"/>
        <v>8</v>
      </c>
      <c r="AW208" s="431">
        <f t="array" ref="AW208">MAX((IF(MNU_CODIGO_ALIMENTO_ENTREGA=CONCATENATE($E208,"_","P_"),MNU_GRAMAJE_REQUERIDO_TIPOH,"")))</f>
        <v>100</v>
      </c>
      <c r="AX208" s="259">
        <f t="shared" si="186"/>
        <v>0</v>
      </c>
      <c r="AY208" s="259">
        <f t="shared" si="187"/>
        <v>0</v>
      </c>
      <c r="AZ208" s="452">
        <f t="shared" si="188"/>
        <v>286</v>
      </c>
      <c r="BA208" s="452">
        <f t="shared" si="189"/>
        <v>13.956800000000001</v>
      </c>
      <c r="BB208" s="452">
        <f t="shared" si="190"/>
        <v>0.24596457599999999</v>
      </c>
      <c r="BC208" s="452">
        <f t="shared" si="191"/>
        <v>300</v>
      </c>
      <c r="BD208" s="260">
        <f t="shared" si="192"/>
        <v>0</v>
      </c>
      <c r="BE208" s="260">
        <f t="shared" si="193"/>
        <v>0</v>
      </c>
      <c r="BF208" s="397">
        <f t="shared" si="194"/>
        <v>37488880</v>
      </c>
      <c r="BG208" s="397">
        <f t="shared" si="195"/>
        <v>39324000</v>
      </c>
    </row>
    <row r="209" spans="1:59" ht="15.75">
      <c r="A209" s="338">
        <v>15</v>
      </c>
      <c r="B209" s="338" t="str">
        <f t="shared" si="147"/>
        <v>FRUTA_15</v>
      </c>
      <c r="C209" s="338" t="str">
        <f t="shared" si="148"/>
        <v>69_15</v>
      </c>
      <c r="D209" s="338" t="s">
        <v>1</v>
      </c>
      <c r="E209" s="258">
        <v>69</v>
      </c>
      <c r="F209" s="328" t="s">
        <v>70</v>
      </c>
      <c r="G209" s="258" t="s">
        <v>9</v>
      </c>
      <c r="H209" s="431">
        <f t="shared" si="149"/>
        <v>30</v>
      </c>
      <c r="I209" s="431">
        <f t="array" ref="I209">MAX((IF(MNU_CODIGO_ALIMENTO_ENTREGA=CONCATENATE($E209,"_","P_"),MNU_GRAMAJE_REQUERIDO_TIPOA,"")))</f>
        <v>100</v>
      </c>
      <c r="J209" s="259">
        <f t="shared" si="150"/>
        <v>6986</v>
      </c>
      <c r="K209" s="259">
        <f t="shared" si="151"/>
        <v>209580</v>
      </c>
      <c r="L209" s="452">
        <f t="shared" si="152"/>
        <v>305</v>
      </c>
      <c r="M209" s="452">
        <f t="shared" si="153"/>
        <v>14.884</v>
      </c>
      <c r="N209" s="452">
        <f t="shared" si="154"/>
        <v>0.26230488000000002</v>
      </c>
      <c r="O209" s="452">
        <f t="shared" si="155"/>
        <v>320</v>
      </c>
      <c r="P209" s="260">
        <f t="shared" si="156"/>
        <v>63921900</v>
      </c>
      <c r="Q209" s="260">
        <f t="shared" si="157"/>
        <v>67065600</v>
      </c>
      <c r="R209" s="432">
        <f t="shared" si="158"/>
        <v>16</v>
      </c>
      <c r="S209" s="432">
        <f t="array" ref="S209">MAX((IF(MNU_CODIGO_ALIMENTO_ENTREGA=CONCATENATE($E209,"_","P_"),MNU_GRAMAJE_REQUERIDO_TIPOB,"")))</f>
        <v>100</v>
      </c>
      <c r="T209" s="261">
        <f t="shared" si="159"/>
        <v>8585</v>
      </c>
      <c r="U209" s="261">
        <f t="shared" si="160"/>
        <v>137360</v>
      </c>
      <c r="V209" s="452">
        <f t="shared" si="161"/>
        <v>305</v>
      </c>
      <c r="W209" s="452">
        <f t="shared" si="162"/>
        <v>14.884</v>
      </c>
      <c r="X209" s="452">
        <f t="shared" si="163"/>
        <v>0.26230488000000002</v>
      </c>
      <c r="Y209" s="452">
        <f t="shared" si="164"/>
        <v>320</v>
      </c>
      <c r="Z209" s="262">
        <f t="shared" si="165"/>
        <v>41894800</v>
      </c>
      <c r="AA209" s="262">
        <f t="shared" si="166"/>
        <v>43955200</v>
      </c>
      <c r="AB209" s="431">
        <f t="shared" si="167"/>
        <v>16</v>
      </c>
      <c r="AC209" s="431">
        <f t="array" ref="AC209">MAX((IF(MNU_CODIGO_ALIMENTO_ENTREGA=CONCATENATE($E209,"_","P_"),MNU_GRAMAJE_REQUERIDO_TIPOC,"")))</f>
        <v>100</v>
      </c>
      <c r="AD209" s="259">
        <f t="shared" si="168"/>
        <v>7800</v>
      </c>
      <c r="AE209" s="259">
        <f t="shared" si="169"/>
        <v>124800</v>
      </c>
      <c r="AF209" s="452">
        <f t="shared" si="170"/>
        <v>305</v>
      </c>
      <c r="AG209" s="452">
        <f t="shared" si="171"/>
        <v>14.884</v>
      </c>
      <c r="AH209" s="452">
        <f t="shared" si="172"/>
        <v>0.26230488000000002</v>
      </c>
      <c r="AI209" s="452">
        <f t="shared" si="173"/>
        <v>320</v>
      </c>
      <c r="AJ209" s="260">
        <f t="shared" si="174"/>
        <v>38064000</v>
      </c>
      <c r="AK209" s="260">
        <f t="shared" si="175"/>
        <v>39936000</v>
      </c>
      <c r="AL209" s="432">
        <f t="shared" si="176"/>
        <v>16</v>
      </c>
      <c r="AM209" s="432">
        <f t="array" ref="AM209">MAX((IF(MNU_CODIGO_ALIMENTO_ENTREGA=CONCATENATE($E209,"_","P_"),MNU_GRAMAJE_REQUERIDO_TIPOM,"")))</f>
        <v>100</v>
      </c>
      <c r="AN209" s="261">
        <f t="shared" si="177"/>
        <v>0</v>
      </c>
      <c r="AO209" s="261">
        <f t="shared" si="178"/>
        <v>0</v>
      </c>
      <c r="AP209" s="452">
        <f t="shared" si="179"/>
        <v>305</v>
      </c>
      <c r="AQ209" s="452">
        <f t="shared" si="180"/>
        <v>14.884</v>
      </c>
      <c r="AR209" s="452">
        <f t="shared" si="181"/>
        <v>0.26230488000000002</v>
      </c>
      <c r="AS209" s="452">
        <f t="shared" si="182"/>
        <v>320</v>
      </c>
      <c r="AT209" s="262">
        <f t="shared" si="183"/>
        <v>0</v>
      </c>
      <c r="AU209" s="262">
        <f t="shared" si="184"/>
        <v>0</v>
      </c>
      <c r="AV209" s="431">
        <f t="shared" si="185"/>
        <v>16</v>
      </c>
      <c r="AW209" s="431">
        <f t="array" ref="AW209">MAX((IF(MNU_CODIGO_ALIMENTO_ENTREGA=CONCATENATE($E209,"_","P_"),MNU_GRAMAJE_REQUERIDO_TIPOH,"")))</f>
        <v>100</v>
      </c>
      <c r="AX209" s="259">
        <f t="shared" si="186"/>
        <v>0</v>
      </c>
      <c r="AY209" s="259">
        <f t="shared" si="187"/>
        <v>0</v>
      </c>
      <c r="AZ209" s="452">
        <f t="shared" si="188"/>
        <v>305</v>
      </c>
      <c r="BA209" s="452">
        <f t="shared" si="189"/>
        <v>14.884</v>
      </c>
      <c r="BB209" s="452">
        <f t="shared" si="190"/>
        <v>0.26230488000000002</v>
      </c>
      <c r="BC209" s="452">
        <f t="shared" si="191"/>
        <v>320</v>
      </c>
      <c r="BD209" s="260">
        <f t="shared" si="192"/>
        <v>0</v>
      </c>
      <c r="BE209" s="260">
        <f t="shared" si="193"/>
        <v>0</v>
      </c>
      <c r="BF209" s="397">
        <f t="shared" si="194"/>
        <v>143880700</v>
      </c>
      <c r="BG209" s="397">
        <f t="shared" si="195"/>
        <v>150956800</v>
      </c>
    </row>
    <row r="210" spans="1:59" ht="15.75">
      <c r="A210" s="338">
        <v>15</v>
      </c>
      <c r="B210" s="338" t="str">
        <f t="shared" si="147"/>
        <v>FRUTA_15</v>
      </c>
      <c r="C210" s="338" t="str">
        <f t="shared" si="148"/>
        <v>70_15</v>
      </c>
      <c r="D210" s="338" t="s">
        <v>1</v>
      </c>
      <c r="E210" s="258">
        <v>70</v>
      </c>
      <c r="F210" s="328" t="s">
        <v>71</v>
      </c>
      <c r="G210" s="258" t="s">
        <v>9</v>
      </c>
      <c r="H210" s="431">
        <f t="shared" si="149"/>
        <v>0</v>
      </c>
      <c r="I210" s="431">
        <f t="array" ref="I210">MAX((IF(MNU_CODIGO_ALIMENTO_ENTREGA=CONCATENATE($E210,"_","P_"),MNU_GRAMAJE_REQUERIDO_TIPOA,"")))</f>
        <v>0</v>
      </c>
      <c r="J210" s="259">
        <f t="shared" si="150"/>
        <v>6986</v>
      </c>
      <c r="K210" s="259">
        <f t="shared" si="151"/>
        <v>0</v>
      </c>
      <c r="L210" s="452">
        <f t="shared" si="152"/>
        <v>0</v>
      </c>
      <c r="M210" s="452">
        <f t="shared" si="153"/>
        <v>0</v>
      </c>
      <c r="N210" s="452">
        <f t="shared" si="154"/>
        <v>0</v>
      </c>
      <c r="O210" s="452">
        <f t="shared" si="155"/>
        <v>0</v>
      </c>
      <c r="P210" s="260">
        <f t="shared" si="156"/>
        <v>0</v>
      </c>
      <c r="Q210" s="260">
        <f t="shared" si="157"/>
        <v>0</v>
      </c>
      <c r="R210" s="432">
        <f t="shared" si="158"/>
        <v>10</v>
      </c>
      <c r="S210" s="432">
        <f t="array" ref="S210">MAX((IF(MNU_CODIGO_ALIMENTO_ENTREGA=CONCATENATE($E210,"_","P_"),MNU_GRAMAJE_REQUERIDO_TIPOB,"")))</f>
        <v>100</v>
      </c>
      <c r="T210" s="261">
        <f t="shared" si="159"/>
        <v>8585</v>
      </c>
      <c r="U210" s="261">
        <f t="shared" si="160"/>
        <v>85850</v>
      </c>
      <c r="V210" s="452">
        <f t="shared" si="161"/>
        <v>434</v>
      </c>
      <c r="W210" s="452">
        <f t="shared" si="162"/>
        <v>21.179200000000002</v>
      </c>
      <c r="X210" s="452">
        <f t="shared" si="163"/>
        <v>0.37324694399999997</v>
      </c>
      <c r="Y210" s="452">
        <f t="shared" si="164"/>
        <v>456</v>
      </c>
      <c r="Z210" s="262">
        <f t="shared" si="165"/>
        <v>37258900</v>
      </c>
      <c r="AA210" s="262">
        <f t="shared" si="166"/>
        <v>39147600</v>
      </c>
      <c r="AB210" s="431">
        <f t="shared" si="167"/>
        <v>10</v>
      </c>
      <c r="AC210" s="431">
        <f t="array" ref="AC210">MAX((IF(MNU_CODIGO_ALIMENTO_ENTREGA=CONCATENATE($E210,"_","P_"),MNU_GRAMAJE_REQUERIDO_TIPOC,"")))</f>
        <v>100</v>
      </c>
      <c r="AD210" s="259">
        <f t="shared" si="168"/>
        <v>7800</v>
      </c>
      <c r="AE210" s="259">
        <f t="shared" si="169"/>
        <v>78000</v>
      </c>
      <c r="AF210" s="452">
        <f t="shared" si="170"/>
        <v>434</v>
      </c>
      <c r="AG210" s="452">
        <f t="shared" si="171"/>
        <v>21.179200000000002</v>
      </c>
      <c r="AH210" s="452">
        <f t="shared" si="172"/>
        <v>0.37324694399999997</v>
      </c>
      <c r="AI210" s="452">
        <f t="shared" si="173"/>
        <v>456</v>
      </c>
      <c r="AJ210" s="260">
        <f t="shared" si="174"/>
        <v>33852000</v>
      </c>
      <c r="AK210" s="260">
        <f t="shared" si="175"/>
        <v>35568000</v>
      </c>
      <c r="AL210" s="432">
        <f t="shared" si="176"/>
        <v>10</v>
      </c>
      <c r="AM210" s="432">
        <f t="array" ref="AM210">MAX((IF(MNU_CODIGO_ALIMENTO_ENTREGA=CONCATENATE($E210,"_","P_"),MNU_GRAMAJE_REQUERIDO_TIPOM,"")))</f>
        <v>100</v>
      </c>
      <c r="AN210" s="261">
        <f t="shared" si="177"/>
        <v>0</v>
      </c>
      <c r="AO210" s="261">
        <f t="shared" si="178"/>
        <v>0</v>
      </c>
      <c r="AP210" s="452">
        <f t="shared" si="179"/>
        <v>434</v>
      </c>
      <c r="AQ210" s="452">
        <f t="shared" si="180"/>
        <v>21.179200000000002</v>
      </c>
      <c r="AR210" s="452">
        <f t="shared" si="181"/>
        <v>0.37324694399999997</v>
      </c>
      <c r="AS210" s="452">
        <f t="shared" si="182"/>
        <v>456</v>
      </c>
      <c r="AT210" s="262">
        <f t="shared" si="183"/>
        <v>0</v>
      </c>
      <c r="AU210" s="262">
        <f t="shared" si="184"/>
        <v>0</v>
      </c>
      <c r="AV210" s="431">
        <f t="shared" si="185"/>
        <v>10</v>
      </c>
      <c r="AW210" s="431">
        <f t="array" ref="AW210">MAX((IF(MNU_CODIGO_ALIMENTO_ENTREGA=CONCATENATE($E210,"_","P_"),MNU_GRAMAJE_REQUERIDO_TIPOH,"")))</f>
        <v>100</v>
      </c>
      <c r="AX210" s="259">
        <f t="shared" si="186"/>
        <v>0</v>
      </c>
      <c r="AY210" s="259">
        <f t="shared" si="187"/>
        <v>0</v>
      </c>
      <c r="AZ210" s="452">
        <f t="shared" si="188"/>
        <v>434</v>
      </c>
      <c r="BA210" s="452">
        <f t="shared" si="189"/>
        <v>21.179200000000002</v>
      </c>
      <c r="BB210" s="452">
        <f t="shared" si="190"/>
        <v>0.37324694399999997</v>
      </c>
      <c r="BC210" s="452">
        <f t="shared" si="191"/>
        <v>456</v>
      </c>
      <c r="BD210" s="260">
        <f t="shared" si="192"/>
        <v>0</v>
      </c>
      <c r="BE210" s="260">
        <f t="shared" si="193"/>
        <v>0</v>
      </c>
      <c r="BF210" s="397">
        <f t="shared" si="194"/>
        <v>71110900</v>
      </c>
      <c r="BG210" s="397">
        <f t="shared" si="195"/>
        <v>74715600</v>
      </c>
    </row>
    <row r="211" spans="1:59" ht="15.75">
      <c r="A211" s="338">
        <v>16</v>
      </c>
      <c r="B211" s="338" t="str">
        <f t="shared" si="147"/>
        <v>FRUTA_16</v>
      </c>
      <c r="C211" s="338" t="str">
        <f t="shared" si="148"/>
        <v>7_16</v>
      </c>
      <c r="D211" s="338" t="s">
        <v>1</v>
      </c>
      <c r="E211" s="258">
        <v>7</v>
      </c>
      <c r="F211" s="328" t="s">
        <v>57</v>
      </c>
      <c r="G211" s="258" t="s">
        <v>9</v>
      </c>
      <c r="H211" s="431">
        <f t="shared" si="149"/>
        <v>22</v>
      </c>
      <c r="I211" s="431">
        <f t="array" ref="I211">MAX((IF(MNU_CODIGO_ALIMENTO_ENTREGA=CONCATENATE($E211,"_","P_"),MNU_GRAMAJE_REQUERIDO_TIPOA,"")))</f>
        <v>100</v>
      </c>
      <c r="J211" s="259">
        <f t="shared" si="150"/>
        <v>4807</v>
      </c>
      <c r="K211" s="259">
        <f t="shared" si="151"/>
        <v>105754</v>
      </c>
      <c r="L211" s="452">
        <f t="shared" si="152"/>
        <v>107</v>
      </c>
      <c r="M211" s="452">
        <f t="shared" si="153"/>
        <v>5.2216000000000005</v>
      </c>
      <c r="N211" s="452">
        <f t="shared" si="154"/>
        <v>9.2021712000000006E-2</v>
      </c>
      <c r="O211" s="452">
        <f t="shared" si="155"/>
        <v>112</v>
      </c>
      <c r="P211" s="260">
        <f t="shared" si="156"/>
        <v>11315678</v>
      </c>
      <c r="Q211" s="260">
        <f t="shared" si="157"/>
        <v>11844448</v>
      </c>
      <c r="R211" s="432">
        <f t="shared" si="158"/>
        <v>9</v>
      </c>
      <c r="S211" s="432">
        <f t="array" ref="S211">MAX((IF(MNU_CODIGO_ALIMENTO_ENTREGA=CONCATENATE($E211,"_","P_"),MNU_GRAMAJE_REQUERIDO_TIPOB,"")))</f>
        <v>100</v>
      </c>
      <c r="T211" s="261">
        <f t="shared" si="159"/>
        <v>6802</v>
      </c>
      <c r="U211" s="261">
        <f t="shared" si="160"/>
        <v>61218</v>
      </c>
      <c r="V211" s="452">
        <f t="shared" si="161"/>
        <v>107</v>
      </c>
      <c r="W211" s="452">
        <f t="shared" si="162"/>
        <v>5.2216000000000005</v>
      </c>
      <c r="X211" s="452">
        <f t="shared" si="163"/>
        <v>9.2021712000000006E-2</v>
      </c>
      <c r="Y211" s="452">
        <f t="shared" si="164"/>
        <v>112</v>
      </c>
      <c r="Z211" s="262">
        <f t="shared" si="165"/>
        <v>6550326</v>
      </c>
      <c r="AA211" s="262">
        <f t="shared" si="166"/>
        <v>6856416</v>
      </c>
      <c r="AB211" s="431">
        <f t="shared" si="167"/>
        <v>9</v>
      </c>
      <c r="AC211" s="431">
        <f t="array" ref="AC211">MAX((IF(MNU_CODIGO_ALIMENTO_ENTREGA=CONCATENATE($E211,"_","P_"),MNU_GRAMAJE_REQUERIDO_TIPOC,"")))</f>
        <v>100</v>
      </c>
      <c r="AD211" s="259">
        <f t="shared" si="168"/>
        <v>6799</v>
      </c>
      <c r="AE211" s="259">
        <f t="shared" si="169"/>
        <v>61191</v>
      </c>
      <c r="AF211" s="452">
        <f t="shared" si="170"/>
        <v>107</v>
      </c>
      <c r="AG211" s="452">
        <f t="shared" si="171"/>
        <v>5.2216000000000005</v>
      </c>
      <c r="AH211" s="452">
        <f t="shared" si="172"/>
        <v>9.2021712000000006E-2</v>
      </c>
      <c r="AI211" s="452">
        <f t="shared" si="173"/>
        <v>112</v>
      </c>
      <c r="AJ211" s="260">
        <f t="shared" si="174"/>
        <v>6547437</v>
      </c>
      <c r="AK211" s="260">
        <f t="shared" si="175"/>
        <v>6853392</v>
      </c>
      <c r="AL211" s="432">
        <f t="shared" si="176"/>
        <v>9</v>
      </c>
      <c r="AM211" s="432">
        <f t="array" ref="AM211">MAX((IF(MNU_CODIGO_ALIMENTO_ENTREGA=CONCATENATE($E211,"_","P_"),MNU_GRAMAJE_REQUERIDO_TIPOM,"")))</f>
        <v>100</v>
      </c>
      <c r="AN211" s="261">
        <f t="shared" si="177"/>
        <v>367</v>
      </c>
      <c r="AO211" s="261">
        <f t="shared" si="178"/>
        <v>3303</v>
      </c>
      <c r="AP211" s="452">
        <f t="shared" si="179"/>
        <v>107</v>
      </c>
      <c r="AQ211" s="452">
        <f t="shared" si="180"/>
        <v>5.2216000000000005</v>
      </c>
      <c r="AR211" s="452">
        <f t="shared" si="181"/>
        <v>9.2021712000000006E-2</v>
      </c>
      <c r="AS211" s="452">
        <f t="shared" si="182"/>
        <v>112</v>
      </c>
      <c r="AT211" s="262">
        <f t="shared" si="183"/>
        <v>353421</v>
      </c>
      <c r="AU211" s="262">
        <f t="shared" si="184"/>
        <v>369936</v>
      </c>
      <c r="AV211" s="431">
        <f t="shared" si="185"/>
        <v>9</v>
      </c>
      <c r="AW211" s="431">
        <f t="array" ref="AW211">MAX((IF(MNU_CODIGO_ALIMENTO_ENTREGA=CONCATENATE($E211,"_","P_"),MNU_GRAMAJE_REQUERIDO_TIPOH,"")))</f>
        <v>100</v>
      </c>
      <c r="AX211" s="259">
        <f t="shared" si="186"/>
        <v>402</v>
      </c>
      <c r="AY211" s="259">
        <f t="shared" si="187"/>
        <v>3618</v>
      </c>
      <c r="AZ211" s="452">
        <f t="shared" si="188"/>
        <v>107</v>
      </c>
      <c r="BA211" s="452">
        <f t="shared" si="189"/>
        <v>5.2216000000000005</v>
      </c>
      <c r="BB211" s="452">
        <f t="shared" si="190"/>
        <v>9.2021712000000006E-2</v>
      </c>
      <c r="BC211" s="452">
        <f t="shared" si="191"/>
        <v>112</v>
      </c>
      <c r="BD211" s="260">
        <f t="shared" si="192"/>
        <v>387126</v>
      </c>
      <c r="BE211" s="260">
        <f t="shared" si="193"/>
        <v>405216</v>
      </c>
      <c r="BF211" s="397">
        <f t="shared" si="194"/>
        <v>25153988</v>
      </c>
      <c r="BG211" s="397">
        <f t="shared" si="195"/>
        <v>26329408</v>
      </c>
    </row>
    <row r="212" spans="1:59" ht="15.75">
      <c r="A212" s="338">
        <v>16</v>
      </c>
      <c r="B212" s="338" t="str">
        <f t="shared" si="147"/>
        <v>FRUTA_16</v>
      </c>
      <c r="C212" s="338" t="str">
        <f t="shared" si="148"/>
        <v>8_16</v>
      </c>
      <c r="D212" s="338" t="s">
        <v>1</v>
      </c>
      <c r="E212" s="258">
        <v>8</v>
      </c>
      <c r="F212" s="328" t="s">
        <v>55</v>
      </c>
      <c r="G212" s="258" t="s">
        <v>9</v>
      </c>
      <c r="H212" s="431">
        <f t="shared" si="149"/>
        <v>10</v>
      </c>
      <c r="I212" s="431">
        <f t="array" ref="I212">MAX((IF(MNU_CODIGO_ALIMENTO_ENTREGA=CONCATENATE($E212,"_","P_"),MNU_GRAMAJE_REQUERIDO_TIPOA,"")))</f>
        <v>100</v>
      </c>
      <c r="J212" s="259">
        <f t="shared" si="150"/>
        <v>4807</v>
      </c>
      <c r="K212" s="259">
        <f t="shared" si="151"/>
        <v>48070</v>
      </c>
      <c r="L212" s="452">
        <f t="shared" si="152"/>
        <v>134</v>
      </c>
      <c r="M212" s="452">
        <f t="shared" si="153"/>
        <v>6.539200000000001</v>
      </c>
      <c r="N212" s="452">
        <f t="shared" si="154"/>
        <v>0.115242144</v>
      </c>
      <c r="O212" s="452">
        <f t="shared" si="155"/>
        <v>141</v>
      </c>
      <c r="P212" s="260">
        <f t="shared" si="156"/>
        <v>6441380</v>
      </c>
      <c r="Q212" s="260">
        <f t="shared" si="157"/>
        <v>6777870</v>
      </c>
      <c r="R212" s="432">
        <f t="shared" si="158"/>
        <v>8</v>
      </c>
      <c r="S212" s="432">
        <f t="array" ref="S212">MAX((IF(MNU_CODIGO_ALIMENTO_ENTREGA=CONCATENATE($E212,"_","P_"),MNU_GRAMAJE_REQUERIDO_TIPOB,"")))</f>
        <v>100</v>
      </c>
      <c r="T212" s="261">
        <f t="shared" si="159"/>
        <v>6802</v>
      </c>
      <c r="U212" s="261">
        <f t="shared" si="160"/>
        <v>54416</v>
      </c>
      <c r="V212" s="452">
        <f t="shared" si="161"/>
        <v>134</v>
      </c>
      <c r="W212" s="452">
        <f t="shared" si="162"/>
        <v>6.539200000000001</v>
      </c>
      <c r="X212" s="452">
        <f t="shared" si="163"/>
        <v>0.115242144</v>
      </c>
      <c r="Y212" s="452">
        <f t="shared" si="164"/>
        <v>141</v>
      </c>
      <c r="Z212" s="262">
        <f t="shared" si="165"/>
        <v>7291744</v>
      </c>
      <c r="AA212" s="262">
        <f t="shared" si="166"/>
        <v>7672656</v>
      </c>
      <c r="AB212" s="431">
        <f t="shared" si="167"/>
        <v>8</v>
      </c>
      <c r="AC212" s="431">
        <f t="array" ref="AC212">MAX((IF(MNU_CODIGO_ALIMENTO_ENTREGA=CONCATENATE($E212,"_","P_"),MNU_GRAMAJE_REQUERIDO_TIPOC,"")))</f>
        <v>100</v>
      </c>
      <c r="AD212" s="259">
        <f t="shared" si="168"/>
        <v>6799</v>
      </c>
      <c r="AE212" s="259">
        <f t="shared" si="169"/>
        <v>54392</v>
      </c>
      <c r="AF212" s="452">
        <f t="shared" si="170"/>
        <v>134</v>
      </c>
      <c r="AG212" s="452">
        <f t="shared" si="171"/>
        <v>6.539200000000001</v>
      </c>
      <c r="AH212" s="452">
        <f t="shared" si="172"/>
        <v>0.115242144</v>
      </c>
      <c r="AI212" s="452">
        <f t="shared" si="173"/>
        <v>141</v>
      </c>
      <c r="AJ212" s="260">
        <f t="shared" si="174"/>
        <v>7288528</v>
      </c>
      <c r="AK212" s="260">
        <f t="shared" si="175"/>
        <v>7669272</v>
      </c>
      <c r="AL212" s="432">
        <f t="shared" si="176"/>
        <v>8</v>
      </c>
      <c r="AM212" s="432">
        <f t="array" ref="AM212">MAX((IF(MNU_CODIGO_ALIMENTO_ENTREGA=CONCATENATE($E212,"_","P_"),MNU_GRAMAJE_REQUERIDO_TIPOM,"")))</f>
        <v>100</v>
      </c>
      <c r="AN212" s="261">
        <f t="shared" si="177"/>
        <v>367</v>
      </c>
      <c r="AO212" s="261">
        <f t="shared" si="178"/>
        <v>2936</v>
      </c>
      <c r="AP212" s="452">
        <f t="shared" si="179"/>
        <v>134</v>
      </c>
      <c r="AQ212" s="452">
        <f t="shared" si="180"/>
        <v>6.539200000000001</v>
      </c>
      <c r="AR212" s="452">
        <f t="shared" si="181"/>
        <v>0.115242144</v>
      </c>
      <c r="AS212" s="452">
        <f t="shared" si="182"/>
        <v>141</v>
      </c>
      <c r="AT212" s="262">
        <f t="shared" si="183"/>
        <v>393424</v>
      </c>
      <c r="AU212" s="262">
        <f t="shared" si="184"/>
        <v>413976</v>
      </c>
      <c r="AV212" s="431">
        <f t="shared" si="185"/>
        <v>8</v>
      </c>
      <c r="AW212" s="431">
        <f t="array" ref="AW212">MAX((IF(MNU_CODIGO_ALIMENTO_ENTREGA=CONCATENATE($E212,"_","P_"),MNU_GRAMAJE_REQUERIDO_TIPOH,"")))</f>
        <v>100</v>
      </c>
      <c r="AX212" s="259">
        <f t="shared" si="186"/>
        <v>402</v>
      </c>
      <c r="AY212" s="259">
        <f t="shared" si="187"/>
        <v>3216</v>
      </c>
      <c r="AZ212" s="452">
        <f t="shared" si="188"/>
        <v>134</v>
      </c>
      <c r="BA212" s="452">
        <f t="shared" si="189"/>
        <v>6.539200000000001</v>
      </c>
      <c r="BB212" s="452">
        <f t="shared" si="190"/>
        <v>0.115242144</v>
      </c>
      <c r="BC212" s="452">
        <f t="shared" si="191"/>
        <v>141</v>
      </c>
      <c r="BD212" s="260">
        <f t="shared" si="192"/>
        <v>430944</v>
      </c>
      <c r="BE212" s="260">
        <f t="shared" si="193"/>
        <v>453456</v>
      </c>
      <c r="BF212" s="397">
        <f t="shared" si="194"/>
        <v>21846020</v>
      </c>
      <c r="BG212" s="397">
        <f t="shared" si="195"/>
        <v>22987230</v>
      </c>
    </row>
    <row r="213" spans="1:59" ht="15.75">
      <c r="A213" s="338">
        <v>16</v>
      </c>
      <c r="B213" s="338" t="str">
        <f t="shared" si="147"/>
        <v>FRUTA_16</v>
      </c>
      <c r="C213" s="338" t="str">
        <f t="shared" si="148"/>
        <v>17_16</v>
      </c>
      <c r="D213" s="338" t="s">
        <v>1</v>
      </c>
      <c r="E213" s="258">
        <v>17</v>
      </c>
      <c r="F213" s="328" t="s">
        <v>53</v>
      </c>
      <c r="G213" s="258" t="s">
        <v>9</v>
      </c>
      <c r="H213" s="431">
        <f t="shared" si="149"/>
        <v>0</v>
      </c>
      <c r="I213" s="431">
        <f t="array" ref="I213">MAX((IF(MNU_CODIGO_ALIMENTO_ENTREGA=CONCATENATE($E213,"_","P_"),MNU_GRAMAJE_REQUERIDO_TIPOA,"")))</f>
        <v>0</v>
      </c>
      <c r="J213" s="259">
        <f t="shared" si="150"/>
        <v>4807</v>
      </c>
      <c r="K213" s="259">
        <f t="shared" si="151"/>
        <v>0</v>
      </c>
      <c r="L213" s="452">
        <f t="shared" si="152"/>
        <v>0</v>
      </c>
      <c r="M213" s="452">
        <f t="shared" si="153"/>
        <v>0</v>
      </c>
      <c r="N213" s="452">
        <f t="shared" si="154"/>
        <v>0</v>
      </c>
      <c r="O213" s="452">
        <f t="shared" si="155"/>
        <v>0</v>
      </c>
      <c r="P213" s="260">
        <f t="shared" si="156"/>
        <v>0</v>
      </c>
      <c r="Q213" s="260">
        <f t="shared" si="157"/>
        <v>0</v>
      </c>
      <c r="R213" s="432">
        <f t="shared" si="158"/>
        <v>21</v>
      </c>
      <c r="S213" s="432">
        <f t="array" ref="S213">MAX((IF(MNU_CODIGO_ALIMENTO_ENTREGA=CONCATENATE($E213,"_","P_"),MNU_GRAMAJE_REQUERIDO_TIPOB,"")))</f>
        <v>100</v>
      </c>
      <c r="T213" s="261">
        <f t="shared" si="159"/>
        <v>6802</v>
      </c>
      <c r="U213" s="261">
        <f t="shared" si="160"/>
        <v>142842</v>
      </c>
      <c r="V213" s="452">
        <f t="shared" si="161"/>
        <v>226</v>
      </c>
      <c r="W213" s="452">
        <f t="shared" si="162"/>
        <v>11.0288</v>
      </c>
      <c r="X213" s="452">
        <f t="shared" si="163"/>
        <v>0.19436361600000002</v>
      </c>
      <c r="Y213" s="452">
        <f t="shared" si="164"/>
        <v>237</v>
      </c>
      <c r="Z213" s="262">
        <f t="shared" si="165"/>
        <v>32282292</v>
      </c>
      <c r="AA213" s="262">
        <f t="shared" si="166"/>
        <v>33853554</v>
      </c>
      <c r="AB213" s="431">
        <f t="shared" si="167"/>
        <v>21</v>
      </c>
      <c r="AC213" s="431">
        <f t="array" ref="AC213">MAX((IF(MNU_CODIGO_ALIMENTO_ENTREGA=CONCATENATE($E213,"_","P_"),MNU_GRAMAJE_REQUERIDO_TIPOC,"")))</f>
        <v>100</v>
      </c>
      <c r="AD213" s="259">
        <f t="shared" si="168"/>
        <v>6799</v>
      </c>
      <c r="AE213" s="259">
        <f t="shared" si="169"/>
        <v>142779</v>
      </c>
      <c r="AF213" s="452">
        <f t="shared" si="170"/>
        <v>226</v>
      </c>
      <c r="AG213" s="452">
        <f t="shared" si="171"/>
        <v>11.0288</v>
      </c>
      <c r="AH213" s="452">
        <f t="shared" si="172"/>
        <v>0.19436361600000002</v>
      </c>
      <c r="AI213" s="452">
        <f t="shared" si="173"/>
        <v>237</v>
      </c>
      <c r="AJ213" s="260">
        <f t="shared" si="174"/>
        <v>32268054</v>
      </c>
      <c r="AK213" s="260">
        <f t="shared" si="175"/>
        <v>33838623</v>
      </c>
      <c r="AL213" s="432">
        <f t="shared" si="176"/>
        <v>21</v>
      </c>
      <c r="AM213" s="432">
        <f t="array" ref="AM213">MAX((IF(MNU_CODIGO_ALIMENTO_ENTREGA=CONCATENATE($E213,"_","P_"),MNU_GRAMAJE_REQUERIDO_TIPOM,"")))</f>
        <v>100</v>
      </c>
      <c r="AN213" s="261">
        <f t="shared" si="177"/>
        <v>367</v>
      </c>
      <c r="AO213" s="261">
        <f t="shared" si="178"/>
        <v>7707</v>
      </c>
      <c r="AP213" s="452">
        <f t="shared" si="179"/>
        <v>226</v>
      </c>
      <c r="AQ213" s="452">
        <f t="shared" si="180"/>
        <v>11.0288</v>
      </c>
      <c r="AR213" s="452">
        <f t="shared" si="181"/>
        <v>0.19436361600000002</v>
      </c>
      <c r="AS213" s="452">
        <f t="shared" si="182"/>
        <v>237</v>
      </c>
      <c r="AT213" s="262">
        <f t="shared" si="183"/>
        <v>1741782</v>
      </c>
      <c r="AU213" s="262">
        <f t="shared" si="184"/>
        <v>1826559</v>
      </c>
      <c r="AV213" s="431">
        <f t="shared" si="185"/>
        <v>21</v>
      </c>
      <c r="AW213" s="431">
        <f t="array" ref="AW213">MAX((IF(MNU_CODIGO_ALIMENTO_ENTREGA=CONCATENATE($E213,"_","P_"),MNU_GRAMAJE_REQUERIDO_TIPOH,"")))</f>
        <v>100</v>
      </c>
      <c r="AX213" s="259">
        <f t="shared" si="186"/>
        <v>402</v>
      </c>
      <c r="AY213" s="259">
        <f t="shared" si="187"/>
        <v>8442</v>
      </c>
      <c r="AZ213" s="452">
        <f t="shared" si="188"/>
        <v>226</v>
      </c>
      <c r="BA213" s="452">
        <f t="shared" si="189"/>
        <v>11.0288</v>
      </c>
      <c r="BB213" s="452">
        <f t="shared" si="190"/>
        <v>0.19436361600000002</v>
      </c>
      <c r="BC213" s="452">
        <f t="shared" si="191"/>
        <v>237</v>
      </c>
      <c r="BD213" s="260">
        <f t="shared" si="192"/>
        <v>1907892</v>
      </c>
      <c r="BE213" s="260">
        <f t="shared" si="193"/>
        <v>2000754</v>
      </c>
      <c r="BF213" s="397">
        <f t="shared" si="194"/>
        <v>68200020</v>
      </c>
      <c r="BG213" s="397">
        <f t="shared" si="195"/>
        <v>71519490</v>
      </c>
    </row>
    <row r="214" spans="1:59" ht="15.75">
      <c r="A214" s="338">
        <v>16</v>
      </c>
      <c r="B214" s="338" t="str">
        <f t="shared" si="147"/>
        <v>FRUTA_16</v>
      </c>
      <c r="C214" s="338" t="str">
        <f t="shared" si="148"/>
        <v>22_16</v>
      </c>
      <c r="D214" s="338" t="s">
        <v>1</v>
      </c>
      <c r="E214" s="258">
        <v>22</v>
      </c>
      <c r="F214" s="328" t="s">
        <v>51</v>
      </c>
      <c r="G214" s="258" t="s">
        <v>9</v>
      </c>
      <c r="H214" s="431">
        <f t="shared" si="149"/>
        <v>0</v>
      </c>
      <c r="I214" s="431">
        <f t="array" ref="I214">MAX((IF(MNU_CODIGO_ALIMENTO_ENTREGA=CONCATENATE($E214,"_","P_"),MNU_GRAMAJE_REQUERIDO_TIPOA,"")))</f>
        <v>0</v>
      </c>
      <c r="J214" s="259">
        <f t="shared" si="150"/>
        <v>4807</v>
      </c>
      <c r="K214" s="259">
        <f t="shared" si="151"/>
        <v>0</v>
      </c>
      <c r="L214" s="452">
        <f t="shared" si="152"/>
        <v>0</v>
      </c>
      <c r="M214" s="452">
        <f t="shared" si="153"/>
        <v>0</v>
      </c>
      <c r="N214" s="452">
        <f t="shared" si="154"/>
        <v>0</v>
      </c>
      <c r="O214" s="452">
        <f t="shared" si="155"/>
        <v>0</v>
      </c>
      <c r="P214" s="260">
        <f t="shared" si="156"/>
        <v>0</v>
      </c>
      <c r="Q214" s="260">
        <f t="shared" si="157"/>
        <v>0</v>
      </c>
      <c r="R214" s="432">
        <f t="shared" si="158"/>
        <v>20</v>
      </c>
      <c r="S214" s="432">
        <f t="array" ref="S214">MAX((IF(MNU_CODIGO_ALIMENTO_ENTREGA=CONCATENATE($E214,"_","P_"),MNU_GRAMAJE_REQUERIDO_TIPOB,"")))</f>
        <v>100</v>
      </c>
      <c r="T214" s="261">
        <f t="shared" si="159"/>
        <v>6802</v>
      </c>
      <c r="U214" s="261">
        <f t="shared" si="160"/>
        <v>136040</v>
      </c>
      <c r="V214" s="452">
        <f t="shared" si="161"/>
        <v>525</v>
      </c>
      <c r="W214" s="452">
        <f t="shared" si="162"/>
        <v>25.62</v>
      </c>
      <c r="X214" s="452">
        <f t="shared" si="163"/>
        <v>0.45150840000000003</v>
      </c>
      <c r="Y214" s="452">
        <f t="shared" si="164"/>
        <v>551</v>
      </c>
      <c r="Z214" s="262">
        <f t="shared" si="165"/>
        <v>71421000</v>
      </c>
      <c r="AA214" s="262">
        <f t="shared" si="166"/>
        <v>74958040</v>
      </c>
      <c r="AB214" s="431">
        <f t="shared" si="167"/>
        <v>20</v>
      </c>
      <c r="AC214" s="431">
        <f t="array" ref="AC214">MAX((IF(MNU_CODIGO_ALIMENTO_ENTREGA=CONCATENATE($E214,"_","P_"),MNU_GRAMAJE_REQUERIDO_TIPOC,"")))</f>
        <v>100</v>
      </c>
      <c r="AD214" s="259">
        <f t="shared" si="168"/>
        <v>6799</v>
      </c>
      <c r="AE214" s="259">
        <f t="shared" si="169"/>
        <v>135980</v>
      </c>
      <c r="AF214" s="452">
        <f t="shared" si="170"/>
        <v>525</v>
      </c>
      <c r="AG214" s="452">
        <f t="shared" si="171"/>
        <v>25.62</v>
      </c>
      <c r="AH214" s="452">
        <f t="shared" si="172"/>
        <v>0.45150840000000003</v>
      </c>
      <c r="AI214" s="452">
        <f t="shared" si="173"/>
        <v>551</v>
      </c>
      <c r="AJ214" s="260">
        <f t="shared" si="174"/>
        <v>71389500</v>
      </c>
      <c r="AK214" s="260">
        <f t="shared" si="175"/>
        <v>74924980</v>
      </c>
      <c r="AL214" s="432">
        <f t="shared" si="176"/>
        <v>20</v>
      </c>
      <c r="AM214" s="432">
        <f t="array" ref="AM214">MAX((IF(MNU_CODIGO_ALIMENTO_ENTREGA=CONCATENATE($E214,"_","P_"),MNU_GRAMAJE_REQUERIDO_TIPOM,"")))</f>
        <v>100</v>
      </c>
      <c r="AN214" s="261">
        <f t="shared" si="177"/>
        <v>367</v>
      </c>
      <c r="AO214" s="261">
        <f t="shared" si="178"/>
        <v>7340</v>
      </c>
      <c r="AP214" s="452">
        <f t="shared" si="179"/>
        <v>525</v>
      </c>
      <c r="AQ214" s="452">
        <f t="shared" si="180"/>
        <v>25.62</v>
      </c>
      <c r="AR214" s="452">
        <f t="shared" si="181"/>
        <v>0.45150840000000003</v>
      </c>
      <c r="AS214" s="452">
        <f t="shared" si="182"/>
        <v>551</v>
      </c>
      <c r="AT214" s="262">
        <f t="shared" si="183"/>
        <v>3853500</v>
      </c>
      <c r="AU214" s="262">
        <f t="shared" si="184"/>
        <v>4044340</v>
      </c>
      <c r="AV214" s="431">
        <f t="shared" si="185"/>
        <v>20</v>
      </c>
      <c r="AW214" s="431">
        <f t="array" ref="AW214">MAX((IF(MNU_CODIGO_ALIMENTO_ENTREGA=CONCATENATE($E214,"_","P_"),MNU_GRAMAJE_REQUERIDO_TIPOH,"")))</f>
        <v>100</v>
      </c>
      <c r="AX214" s="259">
        <f t="shared" si="186"/>
        <v>402</v>
      </c>
      <c r="AY214" s="259">
        <f t="shared" si="187"/>
        <v>8040</v>
      </c>
      <c r="AZ214" s="452">
        <f t="shared" si="188"/>
        <v>525</v>
      </c>
      <c r="BA214" s="452">
        <f t="shared" si="189"/>
        <v>25.62</v>
      </c>
      <c r="BB214" s="452">
        <f t="shared" si="190"/>
        <v>0.45150840000000003</v>
      </c>
      <c r="BC214" s="452">
        <f t="shared" si="191"/>
        <v>551</v>
      </c>
      <c r="BD214" s="260">
        <f t="shared" si="192"/>
        <v>4221000</v>
      </c>
      <c r="BE214" s="260">
        <f t="shared" si="193"/>
        <v>4430040</v>
      </c>
      <c r="BF214" s="397">
        <f t="shared" si="194"/>
        <v>150885000</v>
      </c>
      <c r="BG214" s="397">
        <f t="shared" si="195"/>
        <v>158357400</v>
      </c>
    </row>
    <row r="215" spans="1:59" ht="15.75">
      <c r="A215" s="338">
        <v>16</v>
      </c>
      <c r="B215" s="338" t="str">
        <f t="shared" si="147"/>
        <v>FRUTA_16</v>
      </c>
      <c r="C215" s="338" t="str">
        <f t="shared" si="148"/>
        <v>33_16</v>
      </c>
      <c r="D215" s="338" t="s">
        <v>1</v>
      </c>
      <c r="E215" s="258">
        <v>33</v>
      </c>
      <c r="F215" s="328" t="s">
        <v>59</v>
      </c>
      <c r="G215" s="258" t="s">
        <v>48</v>
      </c>
      <c r="H215" s="431">
        <f t="shared" si="149"/>
        <v>27</v>
      </c>
      <c r="I215" s="431">
        <v>1</v>
      </c>
      <c r="J215" s="259">
        <f t="shared" si="150"/>
        <v>4807</v>
      </c>
      <c r="K215" s="259">
        <f t="shared" si="151"/>
        <v>129789</v>
      </c>
      <c r="L215" s="452">
        <f t="shared" si="152"/>
        <v>270</v>
      </c>
      <c r="M215" s="452">
        <f t="shared" si="153"/>
        <v>13.176000000000002</v>
      </c>
      <c r="N215" s="452">
        <f t="shared" si="154"/>
        <v>0.23220432000000002</v>
      </c>
      <c r="O215" s="452">
        <f t="shared" si="155"/>
        <v>283</v>
      </c>
      <c r="P215" s="260">
        <f t="shared" si="156"/>
        <v>35043030</v>
      </c>
      <c r="Q215" s="260">
        <f t="shared" si="157"/>
        <v>36730287</v>
      </c>
      <c r="R215" s="432">
        <f t="shared" si="158"/>
        <v>18</v>
      </c>
      <c r="S215" s="432">
        <v>1</v>
      </c>
      <c r="T215" s="261">
        <f t="shared" si="159"/>
        <v>6802</v>
      </c>
      <c r="U215" s="261">
        <f t="shared" si="160"/>
        <v>122436</v>
      </c>
      <c r="V215" s="452">
        <f t="shared" si="161"/>
        <v>270</v>
      </c>
      <c r="W215" s="452">
        <f t="shared" si="162"/>
        <v>13.176000000000002</v>
      </c>
      <c r="X215" s="452">
        <f t="shared" si="163"/>
        <v>0.23220432000000002</v>
      </c>
      <c r="Y215" s="452">
        <f t="shared" si="164"/>
        <v>283</v>
      </c>
      <c r="Z215" s="262">
        <f t="shared" si="165"/>
        <v>33057720</v>
      </c>
      <c r="AA215" s="262">
        <f t="shared" si="166"/>
        <v>34649388</v>
      </c>
      <c r="AB215" s="431">
        <f t="shared" si="167"/>
        <v>18</v>
      </c>
      <c r="AC215" s="431">
        <v>1</v>
      </c>
      <c r="AD215" s="259">
        <f t="shared" si="168"/>
        <v>6799</v>
      </c>
      <c r="AE215" s="259">
        <f t="shared" si="169"/>
        <v>122382</v>
      </c>
      <c r="AF215" s="452">
        <f t="shared" si="170"/>
        <v>270</v>
      </c>
      <c r="AG215" s="452">
        <f t="shared" si="171"/>
        <v>13.176000000000002</v>
      </c>
      <c r="AH215" s="452">
        <f t="shared" si="172"/>
        <v>0.23220432000000002</v>
      </c>
      <c r="AI215" s="452">
        <f t="shared" si="173"/>
        <v>283</v>
      </c>
      <c r="AJ215" s="260">
        <f t="shared" si="174"/>
        <v>33043140</v>
      </c>
      <c r="AK215" s="260">
        <f t="shared" si="175"/>
        <v>34634106</v>
      </c>
      <c r="AL215" s="432">
        <f t="shared" si="176"/>
        <v>18</v>
      </c>
      <c r="AM215" s="432">
        <v>1</v>
      </c>
      <c r="AN215" s="261">
        <f t="shared" si="177"/>
        <v>367</v>
      </c>
      <c r="AO215" s="261">
        <f t="shared" si="178"/>
        <v>6606</v>
      </c>
      <c r="AP215" s="452">
        <f t="shared" si="179"/>
        <v>270</v>
      </c>
      <c r="AQ215" s="452">
        <f t="shared" si="180"/>
        <v>13.176000000000002</v>
      </c>
      <c r="AR215" s="452">
        <f t="shared" si="181"/>
        <v>0.23220432000000002</v>
      </c>
      <c r="AS215" s="452">
        <f t="shared" si="182"/>
        <v>283</v>
      </c>
      <c r="AT215" s="262">
        <f t="shared" si="183"/>
        <v>1783620</v>
      </c>
      <c r="AU215" s="262">
        <f t="shared" si="184"/>
        <v>1869498</v>
      </c>
      <c r="AV215" s="431">
        <f t="shared" si="185"/>
        <v>18</v>
      </c>
      <c r="AW215" s="431">
        <v>1</v>
      </c>
      <c r="AX215" s="259">
        <f t="shared" si="186"/>
        <v>402</v>
      </c>
      <c r="AY215" s="259">
        <f t="shared" si="187"/>
        <v>7236</v>
      </c>
      <c r="AZ215" s="452">
        <f t="shared" si="188"/>
        <v>270</v>
      </c>
      <c r="BA215" s="452">
        <f t="shared" si="189"/>
        <v>13.176000000000002</v>
      </c>
      <c r="BB215" s="452">
        <f t="shared" si="190"/>
        <v>0.23220432000000002</v>
      </c>
      <c r="BC215" s="452">
        <f t="shared" si="191"/>
        <v>283</v>
      </c>
      <c r="BD215" s="260">
        <f t="shared" si="192"/>
        <v>1953720</v>
      </c>
      <c r="BE215" s="260">
        <f t="shared" si="193"/>
        <v>2047788</v>
      </c>
      <c r="BF215" s="397">
        <f t="shared" si="194"/>
        <v>104881230</v>
      </c>
      <c r="BG215" s="397">
        <f t="shared" si="195"/>
        <v>109931067</v>
      </c>
    </row>
    <row r="216" spans="1:59" ht="15.75">
      <c r="A216" s="338">
        <v>16</v>
      </c>
      <c r="B216" s="338" t="str">
        <f t="shared" si="147"/>
        <v>FRUTA_16</v>
      </c>
      <c r="C216" s="338" t="str">
        <f t="shared" si="148"/>
        <v>36_16</v>
      </c>
      <c r="D216" s="338" t="s">
        <v>1</v>
      </c>
      <c r="E216" s="258">
        <v>36</v>
      </c>
      <c r="F216" s="328" t="s">
        <v>1340</v>
      </c>
      <c r="G216" s="258" t="s">
        <v>9</v>
      </c>
      <c r="H216" s="431">
        <f t="shared" si="149"/>
        <v>7</v>
      </c>
      <c r="I216" s="431">
        <f t="array" ref="I216">MAX((IF(MNU_CODIGO_ALIMENTO_ENTREGA=CONCATENATE($E216,"_","P_"),MNU_GRAMAJE_REQUERIDO_TIPOA,"")))</f>
        <v>20</v>
      </c>
      <c r="J216" s="259">
        <f t="shared" si="150"/>
        <v>4807</v>
      </c>
      <c r="K216" s="259">
        <f t="shared" si="151"/>
        <v>33649</v>
      </c>
      <c r="L216" s="452">
        <f t="shared" si="152"/>
        <v>126</v>
      </c>
      <c r="M216" s="452">
        <f t="shared" si="153"/>
        <v>6.1488000000000005</v>
      </c>
      <c r="N216" s="452">
        <f t="shared" si="154"/>
        <v>0.10836201599999999</v>
      </c>
      <c r="O216" s="452">
        <f t="shared" si="155"/>
        <v>132</v>
      </c>
      <c r="P216" s="260">
        <f t="shared" si="156"/>
        <v>4239774</v>
      </c>
      <c r="Q216" s="260">
        <f t="shared" si="157"/>
        <v>4441668</v>
      </c>
      <c r="R216" s="432">
        <f t="shared" si="158"/>
        <v>7</v>
      </c>
      <c r="S216" s="432">
        <f t="array" ref="S216">MAX((IF(MNU_CODIGO_ALIMENTO_ENTREGA=CONCATENATE($E216,"_","P_"),MNU_GRAMAJE_REQUERIDO_TIPOB,"")))</f>
        <v>40</v>
      </c>
      <c r="T216" s="261">
        <f t="shared" si="159"/>
        <v>6802</v>
      </c>
      <c r="U216" s="261">
        <f t="shared" si="160"/>
        <v>47614</v>
      </c>
      <c r="V216" s="452">
        <f t="shared" si="161"/>
        <v>252</v>
      </c>
      <c r="W216" s="452">
        <f t="shared" si="162"/>
        <v>12.297600000000001</v>
      </c>
      <c r="X216" s="452">
        <f t="shared" si="163"/>
        <v>0.21672403199999998</v>
      </c>
      <c r="Y216" s="452">
        <f t="shared" si="164"/>
        <v>265</v>
      </c>
      <c r="Z216" s="262">
        <f t="shared" si="165"/>
        <v>11998728</v>
      </c>
      <c r="AA216" s="262">
        <f t="shared" si="166"/>
        <v>12617710</v>
      </c>
      <c r="AB216" s="431">
        <f t="shared" si="167"/>
        <v>7</v>
      </c>
      <c r="AC216" s="431">
        <f t="array" ref="AC216">MAX((IF(MNU_CODIGO_ALIMENTO_ENTREGA=CONCATENATE($E216,"_","P_"),MNU_GRAMAJE_REQUERIDO_TIPOC,"")))</f>
        <v>40</v>
      </c>
      <c r="AD216" s="259">
        <f t="shared" si="168"/>
        <v>6799</v>
      </c>
      <c r="AE216" s="259">
        <f t="shared" si="169"/>
        <v>47593</v>
      </c>
      <c r="AF216" s="452">
        <f t="shared" si="170"/>
        <v>252</v>
      </c>
      <c r="AG216" s="452">
        <f t="shared" si="171"/>
        <v>12.297600000000001</v>
      </c>
      <c r="AH216" s="452">
        <f t="shared" si="172"/>
        <v>0.21672403199999998</v>
      </c>
      <c r="AI216" s="452">
        <f t="shared" si="173"/>
        <v>265</v>
      </c>
      <c r="AJ216" s="260">
        <f t="shared" si="174"/>
        <v>11993436</v>
      </c>
      <c r="AK216" s="260">
        <f t="shared" si="175"/>
        <v>12612145</v>
      </c>
      <c r="AL216" s="432">
        <f t="shared" si="176"/>
        <v>7</v>
      </c>
      <c r="AM216" s="432">
        <f t="array" ref="AM216">MAX((IF(MNU_CODIGO_ALIMENTO_ENTREGA=CONCATENATE($E216,"_","P_"),MNU_GRAMAJE_REQUERIDO_TIPOM,"")))</f>
        <v>40</v>
      </c>
      <c r="AN216" s="261">
        <f t="shared" si="177"/>
        <v>367</v>
      </c>
      <c r="AO216" s="261">
        <f t="shared" si="178"/>
        <v>2569</v>
      </c>
      <c r="AP216" s="452">
        <f t="shared" si="179"/>
        <v>252</v>
      </c>
      <c r="AQ216" s="452">
        <f t="shared" si="180"/>
        <v>12.297600000000001</v>
      </c>
      <c r="AR216" s="452">
        <f t="shared" si="181"/>
        <v>0.21672403199999998</v>
      </c>
      <c r="AS216" s="452">
        <f t="shared" si="182"/>
        <v>265</v>
      </c>
      <c r="AT216" s="262">
        <f t="shared" si="183"/>
        <v>647388</v>
      </c>
      <c r="AU216" s="262">
        <f t="shared" si="184"/>
        <v>680785</v>
      </c>
      <c r="AV216" s="431">
        <f t="shared" si="185"/>
        <v>7</v>
      </c>
      <c r="AW216" s="431">
        <f t="array" ref="AW216">MAX((IF(MNU_CODIGO_ALIMENTO_ENTREGA=CONCATENATE($E216,"_","P_"),MNU_GRAMAJE_REQUERIDO_TIPOH,"")))</f>
        <v>40</v>
      </c>
      <c r="AX216" s="259">
        <f t="shared" si="186"/>
        <v>402</v>
      </c>
      <c r="AY216" s="259">
        <f t="shared" si="187"/>
        <v>2814</v>
      </c>
      <c r="AZ216" s="452">
        <f t="shared" si="188"/>
        <v>252</v>
      </c>
      <c r="BA216" s="452">
        <f t="shared" si="189"/>
        <v>12.297600000000001</v>
      </c>
      <c r="BB216" s="452">
        <f t="shared" si="190"/>
        <v>0.21672403199999998</v>
      </c>
      <c r="BC216" s="452">
        <f t="shared" si="191"/>
        <v>265</v>
      </c>
      <c r="BD216" s="260">
        <f t="shared" si="192"/>
        <v>709128</v>
      </c>
      <c r="BE216" s="260">
        <f t="shared" si="193"/>
        <v>745710</v>
      </c>
      <c r="BF216" s="397">
        <f t="shared" si="194"/>
        <v>29588454</v>
      </c>
      <c r="BG216" s="397">
        <f t="shared" si="195"/>
        <v>31098018</v>
      </c>
    </row>
    <row r="217" spans="1:59" ht="15.75">
      <c r="A217" s="338">
        <v>16</v>
      </c>
      <c r="B217" s="338" t="str">
        <f t="shared" si="147"/>
        <v>FRUTA_16</v>
      </c>
      <c r="C217" s="338" t="str">
        <f t="shared" si="148"/>
        <v>42_16</v>
      </c>
      <c r="D217" s="338" t="s">
        <v>1</v>
      </c>
      <c r="E217" s="258">
        <v>42</v>
      </c>
      <c r="F217" s="328" t="s">
        <v>61</v>
      </c>
      <c r="G217" s="258" t="s">
        <v>9</v>
      </c>
      <c r="H217" s="431">
        <f t="shared" si="149"/>
        <v>23</v>
      </c>
      <c r="I217" s="431">
        <f t="array" ref="I217">MAX((IF(MNU_CODIGO_ALIMENTO_ENTREGA=CONCATENATE($E217,"_","P_"),MNU_GRAMAJE_REQUERIDO_TIPOA,"")))</f>
        <v>100</v>
      </c>
      <c r="J217" s="259">
        <f t="shared" si="150"/>
        <v>4807</v>
      </c>
      <c r="K217" s="259">
        <f t="shared" si="151"/>
        <v>110561</v>
      </c>
      <c r="L217" s="452">
        <f t="shared" si="152"/>
        <v>194</v>
      </c>
      <c r="M217" s="452">
        <f t="shared" si="153"/>
        <v>9.4672000000000001</v>
      </c>
      <c r="N217" s="452">
        <f t="shared" si="154"/>
        <v>0.16684310399999999</v>
      </c>
      <c r="O217" s="452">
        <f t="shared" si="155"/>
        <v>204</v>
      </c>
      <c r="P217" s="260">
        <f t="shared" si="156"/>
        <v>21448834</v>
      </c>
      <c r="Q217" s="260">
        <f t="shared" si="157"/>
        <v>22554444</v>
      </c>
      <c r="R217" s="432">
        <f t="shared" si="158"/>
        <v>19</v>
      </c>
      <c r="S217" s="432">
        <f t="array" ref="S217">MAX((IF(MNU_CODIGO_ALIMENTO_ENTREGA=CONCATENATE($E217,"_","P_"),MNU_GRAMAJE_REQUERIDO_TIPOB,"")))</f>
        <v>100</v>
      </c>
      <c r="T217" s="261">
        <f t="shared" si="159"/>
        <v>6802</v>
      </c>
      <c r="U217" s="261">
        <f t="shared" si="160"/>
        <v>129238</v>
      </c>
      <c r="V217" s="452">
        <f t="shared" si="161"/>
        <v>194</v>
      </c>
      <c r="W217" s="452">
        <f t="shared" si="162"/>
        <v>9.4672000000000001</v>
      </c>
      <c r="X217" s="452">
        <f t="shared" si="163"/>
        <v>0.16684310399999999</v>
      </c>
      <c r="Y217" s="452">
        <f t="shared" si="164"/>
        <v>204</v>
      </c>
      <c r="Z217" s="262">
        <f t="shared" si="165"/>
        <v>25072172</v>
      </c>
      <c r="AA217" s="262">
        <f t="shared" si="166"/>
        <v>26364552</v>
      </c>
      <c r="AB217" s="431">
        <f t="shared" si="167"/>
        <v>19</v>
      </c>
      <c r="AC217" s="431">
        <f t="array" ref="AC217">MAX((IF(MNU_CODIGO_ALIMENTO_ENTREGA=CONCATENATE($E217,"_","P_"),MNU_GRAMAJE_REQUERIDO_TIPOC,"")))</f>
        <v>100</v>
      </c>
      <c r="AD217" s="259">
        <f t="shared" si="168"/>
        <v>6799</v>
      </c>
      <c r="AE217" s="259">
        <f t="shared" si="169"/>
        <v>129181</v>
      </c>
      <c r="AF217" s="452">
        <f t="shared" si="170"/>
        <v>194</v>
      </c>
      <c r="AG217" s="452">
        <f t="shared" si="171"/>
        <v>9.4672000000000001</v>
      </c>
      <c r="AH217" s="452">
        <f t="shared" si="172"/>
        <v>0.16684310399999999</v>
      </c>
      <c r="AI217" s="452">
        <f t="shared" si="173"/>
        <v>204</v>
      </c>
      <c r="AJ217" s="260">
        <f t="shared" si="174"/>
        <v>25061114</v>
      </c>
      <c r="AK217" s="260">
        <f t="shared" si="175"/>
        <v>26352924</v>
      </c>
      <c r="AL217" s="432">
        <f t="shared" si="176"/>
        <v>19</v>
      </c>
      <c r="AM217" s="432">
        <f t="array" ref="AM217">MAX((IF(MNU_CODIGO_ALIMENTO_ENTREGA=CONCATENATE($E217,"_","P_"),MNU_GRAMAJE_REQUERIDO_TIPOM,"")))</f>
        <v>100</v>
      </c>
      <c r="AN217" s="261">
        <f t="shared" si="177"/>
        <v>367</v>
      </c>
      <c r="AO217" s="261">
        <f t="shared" si="178"/>
        <v>6973</v>
      </c>
      <c r="AP217" s="452">
        <f t="shared" si="179"/>
        <v>194</v>
      </c>
      <c r="AQ217" s="452">
        <f t="shared" si="180"/>
        <v>9.4672000000000001</v>
      </c>
      <c r="AR217" s="452">
        <f t="shared" si="181"/>
        <v>0.16684310399999999</v>
      </c>
      <c r="AS217" s="452">
        <f t="shared" si="182"/>
        <v>204</v>
      </c>
      <c r="AT217" s="262">
        <f t="shared" si="183"/>
        <v>1352762</v>
      </c>
      <c r="AU217" s="262">
        <f t="shared" si="184"/>
        <v>1422492</v>
      </c>
      <c r="AV217" s="431">
        <f t="shared" si="185"/>
        <v>19</v>
      </c>
      <c r="AW217" s="431">
        <f t="array" ref="AW217">MAX((IF(MNU_CODIGO_ALIMENTO_ENTREGA=CONCATENATE($E217,"_","P_"),MNU_GRAMAJE_REQUERIDO_TIPOH,"")))</f>
        <v>100</v>
      </c>
      <c r="AX217" s="259">
        <f t="shared" si="186"/>
        <v>402</v>
      </c>
      <c r="AY217" s="259">
        <f t="shared" si="187"/>
        <v>7638</v>
      </c>
      <c r="AZ217" s="452">
        <f t="shared" si="188"/>
        <v>194</v>
      </c>
      <c r="BA217" s="452">
        <f t="shared" si="189"/>
        <v>9.4672000000000001</v>
      </c>
      <c r="BB217" s="452">
        <f t="shared" si="190"/>
        <v>0.16684310399999999</v>
      </c>
      <c r="BC217" s="452">
        <f t="shared" si="191"/>
        <v>204</v>
      </c>
      <c r="BD217" s="260">
        <f t="shared" si="192"/>
        <v>1481772</v>
      </c>
      <c r="BE217" s="260">
        <f t="shared" si="193"/>
        <v>1558152</v>
      </c>
      <c r="BF217" s="397">
        <f t="shared" si="194"/>
        <v>74416654</v>
      </c>
      <c r="BG217" s="397">
        <f t="shared" si="195"/>
        <v>78252564</v>
      </c>
    </row>
    <row r="218" spans="1:59" ht="15.75">
      <c r="A218" s="338">
        <v>16</v>
      </c>
      <c r="B218" s="338" t="str">
        <f t="shared" si="147"/>
        <v>FRUTA_16</v>
      </c>
      <c r="C218" s="338" t="str">
        <f t="shared" si="148"/>
        <v>43_16</v>
      </c>
      <c r="D218" s="338" t="s">
        <v>1</v>
      </c>
      <c r="E218" s="258">
        <v>43</v>
      </c>
      <c r="F218" s="328" t="s">
        <v>62</v>
      </c>
      <c r="G218" s="258" t="s">
        <v>9</v>
      </c>
      <c r="H218" s="431">
        <f t="shared" si="149"/>
        <v>24</v>
      </c>
      <c r="I218" s="431">
        <f t="array" ref="I218">MAX((IF(MNU_CODIGO_ALIMENTO_ENTREGA=CONCATENATE($E218,"_","P_"),MNU_GRAMAJE_REQUERIDO_TIPOA,"")))</f>
        <v>100</v>
      </c>
      <c r="J218" s="259">
        <f t="shared" si="150"/>
        <v>4807</v>
      </c>
      <c r="K218" s="259">
        <f t="shared" si="151"/>
        <v>115368</v>
      </c>
      <c r="L218" s="452">
        <f t="shared" si="152"/>
        <v>170</v>
      </c>
      <c r="M218" s="452">
        <f t="shared" si="153"/>
        <v>8.2959999999999994</v>
      </c>
      <c r="N218" s="452">
        <f t="shared" si="154"/>
        <v>0.14620272000000001</v>
      </c>
      <c r="O218" s="452">
        <f t="shared" si="155"/>
        <v>178</v>
      </c>
      <c r="P218" s="260">
        <f t="shared" si="156"/>
        <v>19612560</v>
      </c>
      <c r="Q218" s="260">
        <f t="shared" si="157"/>
        <v>20535504</v>
      </c>
      <c r="R218" s="432">
        <f t="shared" si="158"/>
        <v>17</v>
      </c>
      <c r="S218" s="432">
        <f t="array" ref="S218">MAX((IF(MNU_CODIGO_ALIMENTO_ENTREGA=CONCATENATE($E218,"_","P_"),MNU_GRAMAJE_REQUERIDO_TIPOB,"")))</f>
        <v>100</v>
      </c>
      <c r="T218" s="261">
        <f t="shared" si="159"/>
        <v>6802</v>
      </c>
      <c r="U218" s="261">
        <f t="shared" si="160"/>
        <v>115634</v>
      </c>
      <c r="V218" s="452">
        <f t="shared" si="161"/>
        <v>170</v>
      </c>
      <c r="W218" s="452">
        <f t="shared" si="162"/>
        <v>8.2959999999999994</v>
      </c>
      <c r="X218" s="452">
        <f t="shared" si="163"/>
        <v>0.14620272000000001</v>
      </c>
      <c r="Y218" s="452">
        <f t="shared" si="164"/>
        <v>178</v>
      </c>
      <c r="Z218" s="262">
        <f t="shared" si="165"/>
        <v>19657780</v>
      </c>
      <c r="AA218" s="262">
        <f t="shared" si="166"/>
        <v>20582852</v>
      </c>
      <c r="AB218" s="431">
        <f t="shared" si="167"/>
        <v>17</v>
      </c>
      <c r="AC218" s="431">
        <f t="array" ref="AC218">MAX((IF(MNU_CODIGO_ALIMENTO_ENTREGA=CONCATENATE($E218,"_","P_"),MNU_GRAMAJE_REQUERIDO_TIPOC,"")))</f>
        <v>100</v>
      </c>
      <c r="AD218" s="259">
        <f t="shared" si="168"/>
        <v>6799</v>
      </c>
      <c r="AE218" s="259">
        <f t="shared" si="169"/>
        <v>115583</v>
      </c>
      <c r="AF218" s="452">
        <f t="shared" si="170"/>
        <v>170</v>
      </c>
      <c r="AG218" s="452">
        <f t="shared" si="171"/>
        <v>8.2959999999999994</v>
      </c>
      <c r="AH218" s="452">
        <f t="shared" si="172"/>
        <v>0.14620272000000001</v>
      </c>
      <c r="AI218" s="452">
        <f t="shared" si="173"/>
        <v>178</v>
      </c>
      <c r="AJ218" s="260">
        <f t="shared" si="174"/>
        <v>19649110</v>
      </c>
      <c r="AK218" s="260">
        <f t="shared" si="175"/>
        <v>20573774</v>
      </c>
      <c r="AL218" s="432">
        <f t="shared" si="176"/>
        <v>17</v>
      </c>
      <c r="AM218" s="432">
        <f t="array" ref="AM218">MAX((IF(MNU_CODIGO_ALIMENTO_ENTREGA=CONCATENATE($E218,"_","P_"),MNU_GRAMAJE_REQUERIDO_TIPOM,"")))</f>
        <v>100</v>
      </c>
      <c r="AN218" s="261">
        <f t="shared" si="177"/>
        <v>367</v>
      </c>
      <c r="AO218" s="261">
        <f t="shared" si="178"/>
        <v>6239</v>
      </c>
      <c r="AP218" s="452">
        <f t="shared" si="179"/>
        <v>170</v>
      </c>
      <c r="AQ218" s="452">
        <f t="shared" si="180"/>
        <v>8.2959999999999994</v>
      </c>
      <c r="AR218" s="452">
        <f t="shared" si="181"/>
        <v>0.14620272000000001</v>
      </c>
      <c r="AS218" s="452">
        <f t="shared" si="182"/>
        <v>178</v>
      </c>
      <c r="AT218" s="262">
        <f t="shared" si="183"/>
        <v>1060630</v>
      </c>
      <c r="AU218" s="262">
        <f t="shared" si="184"/>
        <v>1110542</v>
      </c>
      <c r="AV218" s="431">
        <f t="shared" si="185"/>
        <v>17</v>
      </c>
      <c r="AW218" s="431">
        <f t="array" ref="AW218">MAX((IF(MNU_CODIGO_ALIMENTO_ENTREGA=CONCATENATE($E218,"_","P_"),MNU_GRAMAJE_REQUERIDO_TIPOH,"")))</f>
        <v>100</v>
      </c>
      <c r="AX218" s="259">
        <f t="shared" si="186"/>
        <v>402</v>
      </c>
      <c r="AY218" s="259">
        <f t="shared" si="187"/>
        <v>6834</v>
      </c>
      <c r="AZ218" s="452">
        <f t="shared" si="188"/>
        <v>170</v>
      </c>
      <c r="BA218" s="452">
        <f t="shared" si="189"/>
        <v>8.2959999999999994</v>
      </c>
      <c r="BB218" s="452">
        <f t="shared" si="190"/>
        <v>0.14620272000000001</v>
      </c>
      <c r="BC218" s="452">
        <f t="shared" si="191"/>
        <v>178</v>
      </c>
      <c r="BD218" s="260">
        <f t="shared" si="192"/>
        <v>1161780</v>
      </c>
      <c r="BE218" s="260">
        <f t="shared" si="193"/>
        <v>1216452</v>
      </c>
      <c r="BF218" s="397">
        <f t="shared" si="194"/>
        <v>61141860</v>
      </c>
      <c r="BG218" s="397">
        <f t="shared" si="195"/>
        <v>64019124</v>
      </c>
    </row>
    <row r="219" spans="1:59" ht="15.75">
      <c r="A219" s="338">
        <v>16</v>
      </c>
      <c r="B219" s="338" t="str">
        <f t="shared" si="147"/>
        <v>FRUTA_16</v>
      </c>
      <c r="C219" s="338" t="str">
        <f t="shared" si="148"/>
        <v>46_16</v>
      </c>
      <c r="D219" s="338" t="s">
        <v>1</v>
      </c>
      <c r="E219" s="258">
        <v>46</v>
      </c>
      <c r="F219" s="465" t="s">
        <v>64</v>
      </c>
      <c r="G219" s="258" t="s">
        <v>9</v>
      </c>
      <c r="H219" s="431">
        <f t="shared" si="149"/>
        <v>30</v>
      </c>
      <c r="I219" s="431">
        <f t="array" ref="I219">MAX((IF(MNU_CODIGO_ALIMENTO_ENTREGA=CONCATENATE($E219,"_","P_"),MNU_GRAMAJE_REQUERIDO_TIPOA,"")))</f>
        <v>100</v>
      </c>
      <c r="J219" s="259">
        <f t="shared" si="150"/>
        <v>4807</v>
      </c>
      <c r="K219" s="259">
        <f t="shared" si="151"/>
        <v>144210</v>
      </c>
      <c r="L219" s="452">
        <f t="shared" si="152"/>
        <v>398</v>
      </c>
      <c r="M219" s="452">
        <f t="shared" si="153"/>
        <v>19.4224</v>
      </c>
      <c r="N219" s="452">
        <f t="shared" si="154"/>
        <v>0.34228636800000001</v>
      </c>
      <c r="O219" s="452">
        <f t="shared" si="155"/>
        <v>418</v>
      </c>
      <c r="P219" s="260">
        <f t="shared" si="156"/>
        <v>57395580</v>
      </c>
      <c r="Q219" s="260">
        <f t="shared" si="157"/>
        <v>60279780</v>
      </c>
      <c r="R219" s="432">
        <f t="shared" si="158"/>
        <v>21</v>
      </c>
      <c r="S219" s="432">
        <f t="array" ref="S219">MAX((IF(MNU_CODIGO_ALIMENTO_ENTREGA=CONCATENATE($E219,"_","P_"),MNU_GRAMAJE_REQUERIDO_TIPOB,"")))</f>
        <v>100</v>
      </c>
      <c r="T219" s="261">
        <f t="shared" si="159"/>
        <v>6802</v>
      </c>
      <c r="U219" s="261">
        <f t="shared" si="160"/>
        <v>142842</v>
      </c>
      <c r="V219" s="452">
        <f t="shared" si="161"/>
        <v>398</v>
      </c>
      <c r="W219" s="452">
        <f t="shared" si="162"/>
        <v>19.4224</v>
      </c>
      <c r="X219" s="452">
        <f t="shared" si="163"/>
        <v>0.34228636800000001</v>
      </c>
      <c r="Y219" s="452">
        <f t="shared" si="164"/>
        <v>418</v>
      </c>
      <c r="Z219" s="262">
        <f t="shared" si="165"/>
        <v>56851116</v>
      </c>
      <c r="AA219" s="262">
        <f t="shared" si="166"/>
        <v>59707956</v>
      </c>
      <c r="AB219" s="431">
        <f t="shared" si="167"/>
        <v>21</v>
      </c>
      <c r="AC219" s="431">
        <f t="array" ref="AC219">MAX((IF(MNU_CODIGO_ALIMENTO_ENTREGA=CONCATENATE($E219,"_","P_"),MNU_GRAMAJE_REQUERIDO_TIPOC,"")))</f>
        <v>100</v>
      </c>
      <c r="AD219" s="259">
        <f t="shared" si="168"/>
        <v>6799</v>
      </c>
      <c r="AE219" s="259">
        <f t="shared" si="169"/>
        <v>142779</v>
      </c>
      <c r="AF219" s="452">
        <f t="shared" si="170"/>
        <v>398</v>
      </c>
      <c r="AG219" s="452">
        <f t="shared" si="171"/>
        <v>19.4224</v>
      </c>
      <c r="AH219" s="452">
        <f t="shared" si="172"/>
        <v>0.34228636800000001</v>
      </c>
      <c r="AI219" s="452">
        <f t="shared" si="173"/>
        <v>418</v>
      </c>
      <c r="AJ219" s="260">
        <f t="shared" si="174"/>
        <v>56826042</v>
      </c>
      <c r="AK219" s="260">
        <f t="shared" si="175"/>
        <v>59681622</v>
      </c>
      <c r="AL219" s="432">
        <f t="shared" si="176"/>
        <v>21</v>
      </c>
      <c r="AM219" s="432">
        <f t="array" ref="AM219">MAX((IF(MNU_CODIGO_ALIMENTO_ENTREGA=CONCATENATE($E219,"_","P_"),MNU_GRAMAJE_REQUERIDO_TIPOM,"")))</f>
        <v>100</v>
      </c>
      <c r="AN219" s="261">
        <f t="shared" si="177"/>
        <v>367</v>
      </c>
      <c r="AO219" s="261">
        <f t="shared" si="178"/>
        <v>7707</v>
      </c>
      <c r="AP219" s="452">
        <f t="shared" si="179"/>
        <v>398</v>
      </c>
      <c r="AQ219" s="452">
        <f t="shared" si="180"/>
        <v>19.4224</v>
      </c>
      <c r="AR219" s="452">
        <f t="shared" si="181"/>
        <v>0.34228636800000001</v>
      </c>
      <c r="AS219" s="452">
        <f t="shared" si="182"/>
        <v>418</v>
      </c>
      <c r="AT219" s="262">
        <f t="shared" si="183"/>
        <v>3067386</v>
      </c>
      <c r="AU219" s="262">
        <f t="shared" si="184"/>
        <v>3221526</v>
      </c>
      <c r="AV219" s="431">
        <f t="shared" si="185"/>
        <v>21</v>
      </c>
      <c r="AW219" s="431">
        <f t="array" ref="AW219">MAX((IF(MNU_CODIGO_ALIMENTO_ENTREGA=CONCATENATE($E219,"_","P_"),MNU_GRAMAJE_REQUERIDO_TIPOH,"")))</f>
        <v>100</v>
      </c>
      <c r="AX219" s="259">
        <f t="shared" si="186"/>
        <v>402</v>
      </c>
      <c r="AY219" s="259">
        <f t="shared" si="187"/>
        <v>8442</v>
      </c>
      <c r="AZ219" s="452">
        <f t="shared" si="188"/>
        <v>398</v>
      </c>
      <c r="BA219" s="452">
        <f t="shared" si="189"/>
        <v>19.4224</v>
      </c>
      <c r="BB219" s="452">
        <f t="shared" si="190"/>
        <v>0.34228636800000001</v>
      </c>
      <c r="BC219" s="452">
        <f t="shared" si="191"/>
        <v>418</v>
      </c>
      <c r="BD219" s="260">
        <f t="shared" si="192"/>
        <v>3359916</v>
      </c>
      <c r="BE219" s="260">
        <f t="shared" si="193"/>
        <v>3528756</v>
      </c>
      <c r="BF219" s="397">
        <f t="shared" si="194"/>
        <v>177500040</v>
      </c>
      <c r="BG219" s="397">
        <f t="shared" si="195"/>
        <v>186419640</v>
      </c>
    </row>
    <row r="220" spans="1:59" ht="15.75">
      <c r="A220" s="338">
        <v>16</v>
      </c>
      <c r="B220" s="338" t="str">
        <f t="shared" si="147"/>
        <v>FRUTA_16</v>
      </c>
      <c r="C220" s="338" t="str">
        <f t="shared" si="148"/>
        <v>58_16</v>
      </c>
      <c r="D220" s="338" t="s">
        <v>1</v>
      </c>
      <c r="E220" s="258">
        <v>58</v>
      </c>
      <c r="F220" s="328" t="s">
        <v>67</v>
      </c>
      <c r="G220" s="258" t="s">
        <v>9</v>
      </c>
      <c r="H220" s="431">
        <f t="shared" si="149"/>
        <v>24</v>
      </c>
      <c r="I220" s="431">
        <f t="array" ref="I220">MAX((IF(MNU_CODIGO_ALIMENTO_ENTREGA=CONCATENATE($E220,"_","P_"),MNU_GRAMAJE_REQUERIDO_TIPOA,"")))</f>
        <v>100</v>
      </c>
      <c r="J220" s="259">
        <f t="shared" si="150"/>
        <v>4807</v>
      </c>
      <c r="K220" s="259">
        <f t="shared" si="151"/>
        <v>115368</v>
      </c>
      <c r="L220" s="452">
        <f t="shared" si="152"/>
        <v>154</v>
      </c>
      <c r="M220" s="452">
        <f t="shared" si="153"/>
        <v>7.515200000000001</v>
      </c>
      <c r="N220" s="452">
        <f t="shared" si="154"/>
        <v>0.13244246400000001</v>
      </c>
      <c r="O220" s="452">
        <f t="shared" si="155"/>
        <v>162</v>
      </c>
      <c r="P220" s="260">
        <f t="shared" si="156"/>
        <v>17766672</v>
      </c>
      <c r="Q220" s="260">
        <f t="shared" si="157"/>
        <v>18689616</v>
      </c>
      <c r="R220" s="432">
        <f t="shared" si="158"/>
        <v>23</v>
      </c>
      <c r="S220" s="432">
        <f t="array" ref="S220">MAX((IF(MNU_CODIGO_ALIMENTO_ENTREGA=CONCATENATE($E220,"_","P_"),MNU_GRAMAJE_REQUERIDO_TIPOB,"")))</f>
        <v>100</v>
      </c>
      <c r="T220" s="261">
        <f t="shared" si="159"/>
        <v>6802</v>
      </c>
      <c r="U220" s="261">
        <f t="shared" si="160"/>
        <v>156446</v>
      </c>
      <c r="V220" s="452">
        <f t="shared" si="161"/>
        <v>154</v>
      </c>
      <c r="W220" s="452">
        <f t="shared" si="162"/>
        <v>7.515200000000001</v>
      </c>
      <c r="X220" s="452">
        <f t="shared" si="163"/>
        <v>0.13244246400000001</v>
      </c>
      <c r="Y220" s="452">
        <f t="shared" si="164"/>
        <v>162</v>
      </c>
      <c r="Z220" s="262">
        <f t="shared" si="165"/>
        <v>24092684</v>
      </c>
      <c r="AA220" s="262">
        <f t="shared" si="166"/>
        <v>25344252</v>
      </c>
      <c r="AB220" s="431">
        <f t="shared" si="167"/>
        <v>23</v>
      </c>
      <c r="AC220" s="431">
        <f t="array" ref="AC220">MAX((IF(MNU_CODIGO_ALIMENTO_ENTREGA=CONCATENATE($E220,"_","P_"),MNU_GRAMAJE_REQUERIDO_TIPOC,"")))</f>
        <v>100</v>
      </c>
      <c r="AD220" s="259">
        <f t="shared" si="168"/>
        <v>6799</v>
      </c>
      <c r="AE220" s="259">
        <f t="shared" si="169"/>
        <v>156377</v>
      </c>
      <c r="AF220" s="452">
        <f t="shared" si="170"/>
        <v>154</v>
      </c>
      <c r="AG220" s="452">
        <f t="shared" si="171"/>
        <v>7.515200000000001</v>
      </c>
      <c r="AH220" s="452">
        <f t="shared" si="172"/>
        <v>0.13244246400000001</v>
      </c>
      <c r="AI220" s="452">
        <f t="shared" si="173"/>
        <v>162</v>
      </c>
      <c r="AJ220" s="260">
        <f t="shared" si="174"/>
        <v>24082058</v>
      </c>
      <c r="AK220" s="260">
        <f t="shared" si="175"/>
        <v>25333074</v>
      </c>
      <c r="AL220" s="432">
        <f t="shared" si="176"/>
        <v>23</v>
      </c>
      <c r="AM220" s="432">
        <f t="array" ref="AM220">MAX((IF(MNU_CODIGO_ALIMENTO_ENTREGA=CONCATENATE($E220,"_","P_"),MNU_GRAMAJE_REQUERIDO_TIPOM,"")))</f>
        <v>100</v>
      </c>
      <c r="AN220" s="261">
        <f t="shared" si="177"/>
        <v>367</v>
      </c>
      <c r="AO220" s="261">
        <f t="shared" si="178"/>
        <v>8441</v>
      </c>
      <c r="AP220" s="452">
        <f t="shared" si="179"/>
        <v>154</v>
      </c>
      <c r="AQ220" s="452">
        <f t="shared" si="180"/>
        <v>7.515200000000001</v>
      </c>
      <c r="AR220" s="452">
        <f t="shared" si="181"/>
        <v>0.13244246400000001</v>
      </c>
      <c r="AS220" s="452">
        <f t="shared" si="182"/>
        <v>162</v>
      </c>
      <c r="AT220" s="262">
        <f t="shared" si="183"/>
        <v>1299914</v>
      </c>
      <c r="AU220" s="262">
        <f t="shared" si="184"/>
        <v>1367442</v>
      </c>
      <c r="AV220" s="431">
        <f t="shared" si="185"/>
        <v>23</v>
      </c>
      <c r="AW220" s="431">
        <f t="array" ref="AW220">MAX((IF(MNU_CODIGO_ALIMENTO_ENTREGA=CONCATENATE($E220,"_","P_"),MNU_GRAMAJE_REQUERIDO_TIPOH,"")))</f>
        <v>100</v>
      </c>
      <c r="AX220" s="259">
        <f t="shared" si="186"/>
        <v>402</v>
      </c>
      <c r="AY220" s="259">
        <f t="shared" si="187"/>
        <v>9246</v>
      </c>
      <c r="AZ220" s="452">
        <f t="shared" si="188"/>
        <v>154</v>
      </c>
      <c r="BA220" s="452">
        <f t="shared" si="189"/>
        <v>7.515200000000001</v>
      </c>
      <c r="BB220" s="452">
        <f t="shared" si="190"/>
        <v>0.13244246400000001</v>
      </c>
      <c r="BC220" s="452">
        <f t="shared" si="191"/>
        <v>162</v>
      </c>
      <c r="BD220" s="260">
        <f t="shared" si="192"/>
        <v>1423884</v>
      </c>
      <c r="BE220" s="260">
        <f t="shared" si="193"/>
        <v>1497852</v>
      </c>
      <c r="BF220" s="397">
        <f t="shared" si="194"/>
        <v>68665212</v>
      </c>
      <c r="BG220" s="397">
        <f t="shared" si="195"/>
        <v>72232236</v>
      </c>
    </row>
    <row r="221" spans="1:59" ht="15.75">
      <c r="A221" s="338">
        <v>16</v>
      </c>
      <c r="B221" s="338" t="str">
        <f t="shared" si="147"/>
        <v>FRUTA_16</v>
      </c>
      <c r="C221" s="338" t="str">
        <f t="shared" si="148"/>
        <v>59_16</v>
      </c>
      <c r="D221" s="338" t="s">
        <v>1</v>
      </c>
      <c r="E221" s="258">
        <v>59</v>
      </c>
      <c r="F221" s="328" t="s">
        <v>99</v>
      </c>
      <c r="G221" s="258" t="s">
        <v>9</v>
      </c>
      <c r="H221" s="431">
        <f t="shared" si="149"/>
        <v>0</v>
      </c>
      <c r="I221" s="431">
        <f t="array" ref="I221">MAX((IF(MNU_CODIGO_ALIMENTO_ENTREGA=CONCATENATE($E221,"_","P_"),MNU_GRAMAJE_REQUERIDO_TIPOA,"")))</f>
        <v>0</v>
      </c>
      <c r="J221" s="259">
        <f t="shared" si="150"/>
        <v>4807</v>
      </c>
      <c r="K221" s="259">
        <f t="shared" si="151"/>
        <v>0</v>
      </c>
      <c r="L221" s="452">
        <f t="shared" si="152"/>
        <v>0</v>
      </c>
      <c r="M221" s="452">
        <f t="shared" si="153"/>
        <v>0</v>
      </c>
      <c r="N221" s="452">
        <f t="shared" si="154"/>
        <v>0</v>
      </c>
      <c r="O221" s="452">
        <f t="shared" si="155"/>
        <v>0</v>
      </c>
      <c r="P221" s="260">
        <f t="shared" si="156"/>
        <v>0</v>
      </c>
      <c r="Q221" s="260">
        <f t="shared" si="157"/>
        <v>0</v>
      </c>
      <c r="R221" s="432">
        <f t="shared" si="158"/>
        <v>8</v>
      </c>
      <c r="S221" s="432">
        <f t="array" ref="S221">MAX((IF(MNU_CODIGO_ALIMENTO_ENTREGA=CONCATENATE($E221,"_","P_"),MNU_GRAMAJE_REQUERIDO_TIPOB,"")))</f>
        <v>100</v>
      </c>
      <c r="T221" s="261">
        <f t="shared" si="159"/>
        <v>6802</v>
      </c>
      <c r="U221" s="261">
        <f t="shared" si="160"/>
        <v>54416</v>
      </c>
      <c r="V221" s="452">
        <f t="shared" si="161"/>
        <v>286</v>
      </c>
      <c r="W221" s="452">
        <f t="shared" si="162"/>
        <v>13.956800000000001</v>
      </c>
      <c r="X221" s="452">
        <f t="shared" si="163"/>
        <v>0.24596457599999999</v>
      </c>
      <c r="Y221" s="452">
        <f t="shared" si="164"/>
        <v>300</v>
      </c>
      <c r="Z221" s="262">
        <f t="shared" si="165"/>
        <v>15562976</v>
      </c>
      <c r="AA221" s="262">
        <f t="shared" si="166"/>
        <v>16324800</v>
      </c>
      <c r="AB221" s="431">
        <f t="shared" si="167"/>
        <v>8</v>
      </c>
      <c r="AC221" s="431">
        <f t="array" ref="AC221">MAX((IF(MNU_CODIGO_ALIMENTO_ENTREGA=CONCATENATE($E221,"_","P_"),MNU_GRAMAJE_REQUERIDO_TIPOC,"")))</f>
        <v>100</v>
      </c>
      <c r="AD221" s="259">
        <f t="shared" si="168"/>
        <v>6799</v>
      </c>
      <c r="AE221" s="259">
        <f t="shared" si="169"/>
        <v>54392</v>
      </c>
      <c r="AF221" s="452">
        <f t="shared" si="170"/>
        <v>286</v>
      </c>
      <c r="AG221" s="452">
        <f t="shared" si="171"/>
        <v>13.956800000000001</v>
      </c>
      <c r="AH221" s="452">
        <f t="shared" si="172"/>
        <v>0.24596457599999999</v>
      </c>
      <c r="AI221" s="452">
        <f t="shared" si="173"/>
        <v>300</v>
      </c>
      <c r="AJ221" s="260">
        <f t="shared" si="174"/>
        <v>15556112</v>
      </c>
      <c r="AK221" s="260">
        <f t="shared" si="175"/>
        <v>16317600</v>
      </c>
      <c r="AL221" s="432">
        <f t="shared" si="176"/>
        <v>8</v>
      </c>
      <c r="AM221" s="432">
        <f t="array" ref="AM221">MAX((IF(MNU_CODIGO_ALIMENTO_ENTREGA=CONCATENATE($E221,"_","P_"),MNU_GRAMAJE_REQUERIDO_TIPOM,"")))</f>
        <v>100</v>
      </c>
      <c r="AN221" s="261">
        <f t="shared" si="177"/>
        <v>367</v>
      </c>
      <c r="AO221" s="261">
        <f t="shared" si="178"/>
        <v>2936</v>
      </c>
      <c r="AP221" s="452">
        <f t="shared" si="179"/>
        <v>286</v>
      </c>
      <c r="AQ221" s="452">
        <f t="shared" si="180"/>
        <v>13.956800000000001</v>
      </c>
      <c r="AR221" s="452">
        <f t="shared" si="181"/>
        <v>0.24596457599999999</v>
      </c>
      <c r="AS221" s="452">
        <f t="shared" si="182"/>
        <v>300</v>
      </c>
      <c r="AT221" s="262">
        <f t="shared" si="183"/>
        <v>839696</v>
      </c>
      <c r="AU221" s="262">
        <f t="shared" si="184"/>
        <v>880800</v>
      </c>
      <c r="AV221" s="431">
        <f t="shared" si="185"/>
        <v>8</v>
      </c>
      <c r="AW221" s="431">
        <f t="array" ref="AW221">MAX((IF(MNU_CODIGO_ALIMENTO_ENTREGA=CONCATENATE($E221,"_","P_"),MNU_GRAMAJE_REQUERIDO_TIPOH,"")))</f>
        <v>100</v>
      </c>
      <c r="AX221" s="259">
        <f t="shared" si="186"/>
        <v>402</v>
      </c>
      <c r="AY221" s="259">
        <f t="shared" si="187"/>
        <v>3216</v>
      </c>
      <c r="AZ221" s="452">
        <f t="shared" si="188"/>
        <v>286</v>
      </c>
      <c r="BA221" s="452">
        <f t="shared" si="189"/>
        <v>13.956800000000001</v>
      </c>
      <c r="BB221" s="452">
        <f t="shared" si="190"/>
        <v>0.24596457599999999</v>
      </c>
      <c r="BC221" s="452">
        <f t="shared" si="191"/>
        <v>300</v>
      </c>
      <c r="BD221" s="260">
        <f t="shared" si="192"/>
        <v>919776</v>
      </c>
      <c r="BE221" s="260">
        <f t="shared" si="193"/>
        <v>964800</v>
      </c>
      <c r="BF221" s="397">
        <f t="shared" si="194"/>
        <v>32878560</v>
      </c>
      <c r="BG221" s="397">
        <f t="shared" si="195"/>
        <v>34488000</v>
      </c>
    </row>
    <row r="222" spans="1:59" ht="15.75">
      <c r="A222" s="338">
        <v>16</v>
      </c>
      <c r="B222" s="338" t="str">
        <f t="shared" si="147"/>
        <v>FRUTA_16</v>
      </c>
      <c r="C222" s="338" t="str">
        <f t="shared" si="148"/>
        <v>69_16</v>
      </c>
      <c r="D222" s="338" t="s">
        <v>1</v>
      </c>
      <c r="E222" s="258">
        <v>69</v>
      </c>
      <c r="F222" s="328" t="s">
        <v>70</v>
      </c>
      <c r="G222" s="258" t="s">
        <v>9</v>
      </c>
      <c r="H222" s="431">
        <f t="shared" si="149"/>
        <v>30</v>
      </c>
      <c r="I222" s="431">
        <f t="array" ref="I222">MAX((IF(MNU_CODIGO_ALIMENTO_ENTREGA=CONCATENATE($E222,"_","P_"),MNU_GRAMAJE_REQUERIDO_TIPOA,"")))</f>
        <v>100</v>
      </c>
      <c r="J222" s="259">
        <f t="shared" si="150"/>
        <v>4807</v>
      </c>
      <c r="K222" s="259">
        <f t="shared" si="151"/>
        <v>144210</v>
      </c>
      <c r="L222" s="452">
        <f t="shared" si="152"/>
        <v>305</v>
      </c>
      <c r="M222" s="452">
        <f t="shared" si="153"/>
        <v>14.884</v>
      </c>
      <c r="N222" s="452">
        <f t="shared" si="154"/>
        <v>0.26230488000000002</v>
      </c>
      <c r="O222" s="452">
        <f t="shared" si="155"/>
        <v>320</v>
      </c>
      <c r="P222" s="260">
        <f t="shared" si="156"/>
        <v>43984050</v>
      </c>
      <c r="Q222" s="260">
        <f t="shared" si="157"/>
        <v>46147200</v>
      </c>
      <c r="R222" s="432">
        <f t="shared" si="158"/>
        <v>16</v>
      </c>
      <c r="S222" s="432">
        <f t="array" ref="S222">MAX((IF(MNU_CODIGO_ALIMENTO_ENTREGA=CONCATENATE($E222,"_","P_"),MNU_GRAMAJE_REQUERIDO_TIPOB,"")))</f>
        <v>100</v>
      </c>
      <c r="T222" s="261">
        <f t="shared" si="159"/>
        <v>6802</v>
      </c>
      <c r="U222" s="261">
        <f t="shared" si="160"/>
        <v>108832</v>
      </c>
      <c r="V222" s="452">
        <f t="shared" si="161"/>
        <v>305</v>
      </c>
      <c r="W222" s="452">
        <f t="shared" si="162"/>
        <v>14.884</v>
      </c>
      <c r="X222" s="452">
        <f t="shared" si="163"/>
        <v>0.26230488000000002</v>
      </c>
      <c r="Y222" s="452">
        <f t="shared" si="164"/>
        <v>320</v>
      </c>
      <c r="Z222" s="262">
        <f t="shared" si="165"/>
        <v>33193760</v>
      </c>
      <c r="AA222" s="262">
        <f t="shared" si="166"/>
        <v>34826240</v>
      </c>
      <c r="AB222" s="431">
        <f t="shared" si="167"/>
        <v>16</v>
      </c>
      <c r="AC222" s="431">
        <f t="array" ref="AC222">MAX((IF(MNU_CODIGO_ALIMENTO_ENTREGA=CONCATENATE($E222,"_","P_"),MNU_GRAMAJE_REQUERIDO_TIPOC,"")))</f>
        <v>100</v>
      </c>
      <c r="AD222" s="259">
        <f t="shared" si="168"/>
        <v>6799</v>
      </c>
      <c r="AE222" s="259">
        <f t="shared" si="169"/>
        <v>108784</v>
      </c>
      <c r="AF222" s="452">
        <f t="shared" si="170"/>
        <v>305</v>
      </c>
      <c r="AG222" s="452">
        <f t="shared" si="171"/>
        <v>14.884</v>
      </c>
      <c r="AH222" s="452">
        <f t="shared" si="172"/>
        <v>0.26230488000000002</v>
      </c>
      <c r="AI222" s="452">
        <f t="shared" si="173"/>
        <v>320</v>
      </c>
      <c r="AJ222" s="260">
        <f t="shared" si="174"/>
        <v>33179120</v>
      </c>
      <c r="AK222" s="260">
        <f t="shared" si="175"/>
        <v>34810880</v>
      </c>
      <c r="AL222" s="432">
        <f t="shared" si="176"/>
        <v>16</v>
      </c>
      <c r="AM222" s="432">
        <f t="array" ref="AM222">MAX((IF(MNU_CODIGO_ALIMENTO_ENTREGA=CONCATENATE($E222,"_","P_"),MNU_GRAMAJE_REQUERIDO_TIPOM,"")))</f>
        <v>100</v>
      </c>
      <c r="AN222" s="261">
        <f t="shared" si="177"/>
        <v>367</v>
      </c>
      <c r="AO222" s="261">
        <f t="shared" si="178"/>
        <v>5872</v>
      </c>
      <c r="AP222" s="452">
        <f t="shared" si="179"/>
        <v>305</v>
      </c>
      <c r="AQ222" s="452">
        <f t="shared" si="180"/>
        <v>14.884</v>
      </c>
      <c r="AR222" s="452">
        <f t="shared" si="181"/>
        <v>0.26230488000000002</v>
      </c>
      <c r="AS222" s="452">
        <f t="shared" si="182"/>
        <v>320</v>
      </c>
      <c r="AT222" s="262">
        <f t="shared" si="183"/>
        <v>1790960</v>
      </c>
      <c r="AU222" s="262">
        <f t="shared" si="184"/>
        <v>1879040</v>
      </c>
      <c r="AV222" s="431">
        <f t="shared" si="185"/>
        <v>16</v>
      </c>
      <c r="AW222" s="431">
        <f t="array" ref="AW222">MAX((IF(MNU_CODIGO_ALIMENTO_ENTREGA=CONCATENATE($E222,"_","P_"),MNU_GRAMAJE_REQUERIDO_TIPOH,"")))</f>
        <v>100</v>
      </c>
      <c r="AX222" s="259">
        <f t="shared" si="186"/>
        <v>402</v>
      </c>
      <c r="AY222" s="259">
        <f t="shared" si="187"/>
        <v>6432</v>
      </c>
      <c r="AZ222" s="452">
        <f t="shared" si="188"/>
        <v>305</v>
      </c>
      <c r="BA222" s="452">
        <f t="shared" si="189"/>
        <v>14.884</v>
      </c>
      <c r="BB222" s="452">
        <f t="shared" si="190"/>
        <v>0.26230488000000002</v>
      </c>
      <c r="BC222" s="452">
        <f t="shared" si="191"/>
        <v>320</v>
      </c>
      <c r="BD222" s="260">
        <f t="shared" si="192"/>
        <v>1961760</v>
      </c>
      <c r="BE222" s="260">
        <f t="shared" si="193"/>
        <v>2058240</v>
      </c>
      <c r="BF222" s="397">
        <f t="shared" si="194"/>
        <v>114109650</v>
      </c>
      <c r="BG222" s="397">
        <f t="shared" si="195"/>
        <v>119721600</v>
      </c>
    </row>
    <row r="223" spans="1:59" ht="15.75">
      <c r="A223" s="338">
        <v>16</v>
      </c>
      <c r="B223" s="338" t="str">
        <f t="shared" si="147"/>
        <v>FRUTA_16</v>
      </c>
      <c r="C223" s="338" t="str">
        <f t="shared" si="148"/>
        <v>70_16</v>
      </c>
      <c r="D223" s="338" t="s">
        <v>1</v>
      </c>
      <c r="E223" s="258">
        <v>70</v>
      </c>
      <c r="F223" s="328" t="s">
        <v>71</v>
      </c>
      <c r="G223" s="258" t="s">
        <v>9</v>
      </c>
      <c r="H223" s="431">
        <f t="shared" si="149"/>
        <v>0</v>
      </c>
      <c r="I223" s="431">
        <f t="array" ref="I223">MAX((IF(MNU_CODIGO_ALIMENTO_ENTREGA=CONCATENATE($E223,"_","P_"),MNU_GRAMAJE_REQUERIDO_TIPOA,"")))</f>
        <v>0</v>
      </c>
      <c r="J223" s="259">
        <f t="shared" si="150"/>
        <v>4807</v>
      </c>
      <c r="K223" s="259">
        <f t="shared" si="151"/>
        <v>0</v>
      </c>
      <c r="L223" s="452">
        <f t="shared" si="152"/>
        <v>0</v>
      </c>
      <c r="M223" s="452">
        <f t="shared" si="153"/>
        <v>0</v>
      </c>
      <c r="N223" s="452">
        <f t="shared" si="154"/>
        <v>0</v>
      </c>
      <c r="O223" s="452">
        <f t="shared" si="155"/>
        <v>0</v>
      </c>
      <c r="P223" s="260">
        <f t="shared" si="156"/>
        <v>0</v>
      </c>
      <c r="Q223" s="260">
        <f t="shared" si="157"/>
        <v>0</v>
      </c>
      <c r="R223" s="432">
        <f t="shared" si="158"/>
        <v>10</v>
      </c>
      <c r="S223" s="432">
        <f t="array" ref="S223">MAX((IF(MNU_CODIGO_ALIMENTO_ENTREGA=CONCATENATE($E223,"_","P_"),MNU_GRAMAJE_REQUERIDO_TIPOB,"")))</f>
        <v>100</v>
      </c>
      <c r="T223" s="261">
        <f t="shared" si="159"/>
        <v>6802</v>
      </c>
      <c r="U223" s="261">
        <f t="shared" si="160"/>
        <v>68020</v>
      </c>
      <c r="V223" s="452">
        <f t="shared" si="161"/>
        <v>434</v>
      </c>
      <c r="W223" s="452">
        <f t="shared" si="162"/>
        <v>21.179200000000002</v>
      </c>
      <c r="X223" s="452">
        <f t="shared" si="163"/>
        <v>0.37324694399999997</v>
      </c>
      <c r="Y223" s="452">
        <f t="shared" si="164"/>
        <v>456</v>
      </c>
      <c r="Z223" s="262">
        <f t="shared" si="165"/>
        <v>29520680</v>
      </c>
      <c r="AA223" s="262">
        <f t="shared" si="166"/>
        <v>31017120</v>
      </c>
      <c r="AB223" s="431">
        <f t="shared" si="167"/>
        <v>10</v>
      </c>
      <c r="AC223" s="431">
        <f t="array" ref="AC223">MAX((IF(MNU_CODIGO_ALIMENTO_ENTREGA=CONCATENATE($E223,"_","P_"),MNU_GRAMAJE_REQUERIDO_TIPOC,"")))</f>
        <v>100</v>
      </c>
      <c r="AD223" s="259">
        <f t="shared" si="168"/>
        <v>6799</v>
      </c>
      <c r="AE223" s="259">
        <f t="shared" si="169"/>
        <v>67990</v>
      </c>
      <c r="AF223" s="452">
        <f t="shared" si="170"/>
        <v>434</v>
      </c>
      <c r="AG223" s="452">
        <f t="shared" si="171"/>
        <v>21.179200000000002</v>
      </c>
      <c r="AH223" s="452">
        <f t="shared" si="172"/>
        <v>0.37324694399999997</v>
      </c>
      <c r="AI223" s="452">
        <f t="shared" si="173"/>
        <v>456</v>
      </c>
      <c r="AJ223" s="260">
        <f t="shared" si="174"/>
        <v>29507660</v>
      </c>
      <c r="AK223" s="260">
        <f t="shared" si="175"/>
        <v>31003440</v>
      </c>
      <c r="AL223" s="432">
        <f t="shared" si="176"/>
        <v>10</v>
      </c>
      <c r="AM223" s="432">
        <f t="array" ref="AM223">MAX((IF(MNU_CODIGO_ALIMENTO_ENTREGA=CONCATENATE($E223,"_","P_"),MNU_GRAMAJE_REQUERIDO_TIPOM,"")))</f>
        <v>100</v>
      </c>
      <c r="AN223" s="261">
        <f t="shared" si="177"/>
        <v>367</v>
      </c>
      <c r="AO223" s="261">
        <f t="shared" si="178"/>
        <v>3670</v>
      </c>
      <c r="AP223" s="452">
        <f t="shared" si="179"/>
        <v>434</v>
      </c>
      <c r="AQ223" s="452">
        <f t="shared" si="180"/>
        <v>21.179200000000002</v>
      </c>
      <c r="AR223" s="452">
        <f t="shared" si="181"/>
        <v>0.37324694399999997</v>
      </c>
      <c r="AS223" s="452">
        <f t="shared" si="182"/>
        <v>456</v>
      </c>
      <c r="AT223" s="262">
        <f t="shared" si="183"/>
        <v>1592780</v>
      </c>
      <c r="AU223" s="262">
        <f t="shared" si="184"/>
        <v>1673520</v>
      </c>
      <c r="AV223" s="431">
        <f t="shared" si="185"/>
        <v>10</v>
      </c>
      <c r="AW223" s="431">
        <f t="array" ref="AW223">MAX((IF(MNU_CODIGO_ALIMENTO_ENTREGA=CONCATENATE($E223,"_","P_"),MNU_GRAMAJE_REQUERIDO_TIPOH,"")))</f>
        <v>100</v>
      </c>
      <c r="AX223" s="259">
        <f t="shared" si="186"/>
        <v>402</v>
      </c>
      <c r="AY223" s="259">
        <f t="shared" si="187"/>
        <v>4020</v>
      </c>
      <c r="AZ223" s="452">
        <f t="shared" si="188"/>
        <v>434</v>
      </c>
      <c r="BA223" s="452">
        <f t="shared" si="189"/>
        <v>21.179200000000002</v>
      </c>
      <c r="BB223" s="452">
        <f t="shared" si="190"/>
        <v>0.37324694399999997</v>
      </c>
      <c r="BC223" s="452">
        <f t="shared" si="191"/>
        <v>456</v>
      </c>
      <c r="BD223" s="260">
        <f t="shared" si="192"/>
        <v>1744680</v>
      </c>
      <c r="BE223" s="260">
        <f t="shared" si="193"/>
        <v>1833120</v>
      </c>
      <c r="BF223" s="397">
        <f t="shared" si="194"/>
        <v>62365800</v>
      </c>
      <c r="BG223" s="397">
        <f t="shared" si="195"/>
        <v>65527200</v>
      </c>
    </row>
    <row r="224" spans="1:59" ht="15.75">
      <c r="A224" s="338">
        <v>17</v>
      </c>
      <c r="B224" s="338" t="str">
        <f t="shared" si="147"/>
        <v>FRUTA_17</v>
      </c>
      <c r="C224" s="338" t="str">
        <f t="shared" si="148"/>
        <v>7_17</v>
      </c>
      <c r="D224" s="338" t="s">
        <v>1</v>
      </c>
      <c r="E224" s="258">
        <v>7</v>
      </c>
      <c r="F224" s="328" t="s">
        <v>57</v>
      </c>
      <c r="G224" s="258" t="s">
        <v>9</v>
      </c>
      <c r="H224" s="431">
        <f t="shared" si="149"/>
        <v>22</v>
      </c>
      <c r="I224" s="431">
        <f t="array" ref="I224">MAX((IF(MNU_CODIGO_ALIMENTO_ENTREGA=CONCATENATE($E224,"_","P_"),MNU_GRAMAJE_REQUERIDO_TIPOA,"")))</f>
        <v>100</v>
      </c>
      <c r="J224" s="259">
        <f t="shared" si="150"/>
        <v>5655</v>
      </c>
      <c r="K224" s="259">
        <f t="shared" si="151"/>
        <v>124410</v>
      </c>
      <c r="L224" s="452">
        <f t="shared" si="152"/>
        <v>107</v>
      </c>
      <c r="M224" s="452">
        <f t="shared" si="153"/>
        <v>5.2216000000000005</v>
      </c>
      <c r="N224" s="452">
        <f t="shared" si="154"/>
        <v>9.2021712000000006E-2</v>
      </c>
      <c r="O224" s="452">
        <f t="shared" si="155"/>
        <v>112</v>
      </c>
      <c r="P224" s="260">
        <f t="shared" si="156"/>
        <v>13311870</v>
      </c>
      <c r="Q224" s="260">
        <f t="shared" si="157"/>
        <v>13933920</v>
      </c>
      <c r="R224" s="432">
        <f t="shared" si="158"/>
        <v>9</v>
      </c>
      <c r="S224" s="432">
        <f t="array" ref="S224">MAX((IF(MNU_CODIGO_ALIMENTO_ENTREGA=CONCATENATE($E224,"_","P_"),MNU_GRAMAJE_REQUERIDO_TIPOB,"")))</f>
        <v>100</v>
      </c>
      <c r="T224" s="261">
        <f t="shared" si="159"/>
        <v>7756</v>
      </c>
      <c r="U224" s="261">
        <f t="shared" si="160"/>
        <v>69804</v>
      </c>
      <c r="V224" s="452">
        <f t="shared" si="161"/>
        <v>107</v>
      </c>
      <c r="W224" s="452">
        <f t="shared" si="162"/>
        <v>5.2216000000000005</v>
      </c>
      <c r="X224" s="452">
        <f t="shared" si="163"/>
        <v>9.2021712000000006E-2</v>
      </c>
      <c r="Y224" s="452">
        <f t="shared" si="164"/>
        <v>112</v>
      </c>
      <c r="Z224" s="262">
        <f t="shared" si="165"/>
        <v>7469028</v>
      </c>
      <c r="AA224" s="262">
        <f t="shared" si="166"/>
        <v>7818048</v>
      </c>
      <c r="AB224" s="431">
        <f t="shared" si="167"/>
        <v>9</v>
      </c>
      <c r="AC224" s="431">
        <f t="array" ref="AC224">MAX((IF(MNU_CODIGO_ALIMENTO_ENTREGA=CONCATENATE($E224,"_","P_"),MNU_GRAMAJE_REQUERIDO_TIPOC,"")))</f>
        <v>100</v>
      </c>
      <c r="AD224" s="259">
        <f t="shared" si="168"/>
        <v>7978</v>
      </c>
      <c r="AE224" s="259">
        <f t="shared" si="169"/>
        <v>71802</v>
      </c>
      <c r="AF224" s="452">
        <f t="shared" si="170"/>
        <v>107</v>
      </c>
      <c r="AG224" s="452">
        <f t="shared" si="171"/>
        <v>5.2216000000000005</v>
      </c>
      <c r="AH224" s="452">
        <f t="shared" si="172"/>
        <v>9.2021712000000006E-2</v>
      </c>
      <c r="AI224" s="452">
        <f t="shared" si="173"/>
        <v>112</v>
      </c>
      <c r="AJ224" s="260">
        <f t="shared" si="174"/>
        <v>7682814</v>
      </c>
      <c r="AK224" s="260">
        <f t="shared" si="175"/>
        <v>8041824</v>
      </c>
      <c r="AL224" s="432">
        <f t="shared" si="176"/>
        <v>9</v>
      </c>
      <c r="AM224" s="432">
        <f t="array" ref="AM224">MAX((IF(MNU_CODIGO_ALIMENTO_ENTREGA=CONCATENATE($E224,"_","P_"),MNU_GRAMAJE_REQUERIDO_TIPOM,"")))</f>
        <v>100</v>
      </c>
      <c r="AN224" s="261">
        <f t="shared" si="177"/>
        <v>285</v>
      </c>
      <c r="AO224" s="261">
        <f t="shared" si="178"/>
        <v>2565</v>
      </c>
      <c r="AP224" s="452">
        <f t="shared" si="179"/>
        <v>107</v>
      </c>
      <c r="AQ224" s="452">
        <f t="shared" si="180"/>
        <v>5.2216000000000005</v>
      </c>
      <c r="AR224" s="452">
        <f t="shared" si="181"/>
        <v>9.2021712000000006E-2</v>
      </c>
      <c r="AS224" s="452">
        <f t="shared" si="182"/>
        <v>112</v>
      </c>
      <c r="AT224" s="262">
        <f t="shared" si="183"/>
        <v>274455</v>
      </c>
      <c r="AU224" s="262">
        <f t="shared" si="184"/>
        <v>287280</v>
      </c>
      <c r="AV224" s="431">
        <f t="shared" si="185"/>
        <v>9</v>
      </c>
      <c r="AW224" s="431">
        <f t="array" ref="AW224">MAX((IF(MNU_CODIGO_ALIMENTO_ENTREGA=CONCATENATE($E224,"_","P_"),MNU_GRAMAJE_REQUERIDO_TIPOH,"")))</f>
        <v>100</v>
      </c>
      <c r="AX224" s="259">
        <f t="shared" si="186"/>
        <v>294</v>
      </c>
      <c r="AY224" s="259">
        <f t="shared" si="187"/>
        <v>2646</v>
      </c>
      <c r="AZ224" s="452">
        <f t="shared" si="188"/>
        <v>107</v>
      </c>
      <c r="BA224" s="452">
        <f t="shared" si="189"/>
        <v>5.2216000000000005</v>
      </c>
      <c r="BB224" s="452">
        <f t="shared" si="190"/>
        <v>9.2021712000000006E-2</v>
      </c>
      <c r="BC224" s="452">
        <f t="shared" si="191"/>
        <v>112</v>
      </c>
      <c r="BD224" s="260">
        <f t="shared" si="192"/>
        <v>283122</v>
      </c>
      <c r="BE224" s="260">
        <f t="shared" si="193"/>
        <v>296352</v>
      </c>
      <c r="BF224" s="397">
        <f t="shared" si="194"/>
        <v>29021289</v>
      </c>
      <c r="BG224" s="397">
        <f t="shared" si="195"/>
        <v>30377424</v>
      </c>
    </row>
    <row r="225" spans="1:59" ht="15.75">
      <c r="A225" s="338">
        <v>17</v>
      </c>
      <c r="B225" s="338" t="str">
        <f t="shared" si="147"/>
        <v>FRUTA_17</v>
      </c>
      <c r="C225" s="338" t="str">
        <f t="shared" si="148"/>
        <v>8_17</v>
      </c>
      <c r="D225" s="338" t="s">
        <v>1</v>
      </c>
      <c r="E225" s="258">
        <v>8</v>
      </c>
      <c r="F225" s="328" t="s">
        <v>55</v>
      </c>
      <c r="G225" s="258" t="s">
        <v>9</v>
      </c>
      <c r="H225" s="431">
        <f t="shared" si="149"/>
        <v>10</v>
      </c>
      <c r="I225" s="431">
        <f t="array" ref="I225">MAX((IF(MNU_CODIGO_ALIMENTO_ENTREGA=CONCATENATE($E225,"_","P_"),MNU_GRAMAJE_REQUERIDO_TIPOA,"")))</f>
        <v>100</v>
      </c>
      <c r="J225" s="259">
        <f t="shared" si="150"/>
        <v>5655</v>
      </c>
      <c r="K225" s="259">
        <f t="shared" si="151"/>
        <v>56550</v>
      </c>
      <c r="L225" s="452">
        <f t="shared" si="152"/>
        <v>134</v>
      </c>
      <c r="M225" s="452">
        <f t="shared" si="153"/>
        <v>6.539200000000001</v>
      </c>
      <c r="N225" s="452">
        <f t="shared" si="154"/>
        <v>0.115242144</v>
      </c>
      <c r="O225" s="452">
        <f t="shared" si="155"/>
        <v>141</v>
      </c>
      <c r="P225" s="260">
        <f t="shared" si="156"/>
        <v>7577700</v>
      </c>
      <c r="Q225" s="260">
        <f t="shared" si="157"/>
        <v>7973550</v>
      </c>
      <c r="R225" s="432">
        <f t="shared" si="158"/>
        <v>8</v>
      </c>
      <c r="S225" s="432">
        <f t="array" ref="S225">MAX((IF(MNU_CODIGO_ALIMENTO_ENTREGA=CONCATENATE($E225,"_","P_"),MNU_GRAMAJE_REQUERIDO_TIPOB,"")))</f>
        <v>100</v>
      </c>
      <c r="T225" s="261">
        <f t="shared" si="159"/>
        <v>7756</v>
      </c>
      <c r="U225" s="261">
        <f t="shared" si="160"/>
        <v>62048</v>
      </c>
      <c r="V225" s="452">
        <f t="shared" si="161"/>
        <v>134</v>
      </c>
      <c r="W225" s="452">
        <f t="shared" si="162"/>
        <v>6.539200000000001</v>
      </c>
      <c r="X225" s="452">
        <f t="shared" si="163"/>
        <v>0.115242144</v>
      </c>
      <c r="Y225" s="452">
        <f t="shared" si="164"/>
        <v>141</v>
      </c>
      <c r="Z225" s="262">
        <f t="shared" si="165"/>
        <v>8314432</v>
      </c>
      <c r="AA225" s="262">
        <f t="shared" si="166"/>
        <v>8748768</v>
      </c>
      <c r="AB225" s="431">
        <f t="shared" si="167"/>
        <v>8</v>
      </c>
      <c r="AC225" s="431">
        <f t="array" ref="AC225">MAX((IF(MNU_CODIGO_ALIMENTO_ENTREGA=CONCATENATE($E225,"_","P_"),MNU_GRAMAJE_REQUERIDO_TIPOC,"")))</f>
        <v>100</v>
      </c>
      <c r="AD225" s="259">
        <f t="shared" si="168"/>
        <v>7978</v>
      </c>
      <c r="AE225" s="259">
        <f t="shared" si="169"/>
        <v>63824</v>
      </c>
      <c r="AF225" s="452">
        <f t="shared" si="170"/>
        <v>134</v>
      </c>
      <c r="AG225" s="452">
        <f t="shared" si="171"/>
        <v>6.539200000000001</v>
      </c>
      <c r="AH225" s="452">
        <f t="shared" si="172"/>
        <v>0.115242144</v>
      </c>
      <c r="AI225" s="452">
        <f t="shared" si="173"/>
        <v>141</v>
      </c>
      <c r="AJ225" s="260">
        <f t="shared" si="174"/>
        <v>8552416</v>
      </c>
      <c r="AK225" s="260">
        <f t="shared" si="175"/>
        <v>8999184</v>
      </c>
      <c r="AL225" s="432">
        <f t="shared" si="176"/>
        <v>8</v>
      </c>
      <c r="AM225" s="432">
        <f t="array" ref="AM225">MAX((IF(MNU_CODIGO_ALIMENTO_ENTREGA=CONCATENATE($E225,"_","P_"),MNU_GRAMAJE_REQUERIDO_TIPOM,"")))</f>
        <v>100</v>
      </c>
      <c r="AN225" s="261">
        <f t="shared" si="177"/>
        <v>285</v>
      </c>
      <c r="AO225" s="261">
        <f t="shared" si="178"/>
        <v>2280</v>
      </c>
      <c r="AP225" s="452">
        <f t="shared" si="179"/>
        <v>134</v>
      </c>
      <c r="AQ225" s="452">
        <f t="shared" si="180"/>
        <v>6.539200000000001</v>
      </c>
      <c r="AR225" s="452">
        <f t="shared" si="181"/>
        <v>0.115242144</v>
      </c>
      <c r="AS225" s="452">
        <f t="shared" si="182"/>
        <v>141</v>
      </c>
      <c r="AT225" s="262">
        <f t="shared" si="183"/>
        <v>305520</v>
      </c>
      <c r="AU225" s="262">
        <f t="shared" si="184"/>
        <v>321480</v>
      </c>
      <c r="AV225" s="431">
        <f t="shared" si="185"/>
        <v>8</v>
      </c>
      <c r="AW225" s="431">
        <f t="array" ref="AW225">MAX((IF(MNU_CODIGO_ALIMENTO_ENTREGA=CONCATENATE($E225,"_","P_"),MNU_GRAMAJE_REQUERIDO_TIPOH,"")))</f>
        <v>100</v>
      </c>
      <c r="AX225" s="259">
        <f t="shared" si="186"/>
        <v>294</v>
      </c>
      <c r="AY225" s="259">
        <f t="shared" si="187"/>
        <v>2352</v>
      </c>
      <c r="AZ225" s="452">
        <f t="shared" si="188"/>
        <v>134</v>
      </c>
      <c r="BA225" s="452">
        <f t="shared" si="189"/>
        <v>6.539200000000001</v>
      </c>
      <c r="BB225" s="452">
        <f t="shared" si="190"/>
        <v>0.115242144</v>
      </c>
      <c r="BC225" s="452">
        <f t="shared" si="191"/>
        <v>141</v>
      </c>
      <c r="BD225" s="260">
        <f t="shared" si="192"/>
        <v>315168</v>
      </c>
      <c r="BE225" s="260">
        <f t="shared" si="193"/>
        <v>331632</v>
      </c>
      <c r="BF225" s="397">
        <f t="shared" si="194"/>
        <v>25065236</v>
      </c>
      <c r="BG225" s="397">
        <f t="shared" si="195"/>
        <v>26374614</v>
      </c>
    </row>
    <row r="226" spans="1:59" ht="15.75">
      <c r="A226" s="338">
        <v>17</v>
      </c>
      <c r="B226" s="338" t="str">
        <f t="shared" si="147"/>
        <v>FRUTA_17</v>
      </c>
      <c r="C226" s="338" t="str">
        <f t="shared" si="148"/>
        <v>17_17</v>
      </c>
      <c r="D226" s="338" t="s">
        <v>1</v>
      </c>
      <c r="E226" s="258">
        <v>17</v>
      </c>
      <c r="F226" s="328" t="s">
        <v>53</v>
      </c>
      <c r="G226" s="258" t="s">
        <v>9</v>
      </c>
      <c r="H226" s="431">
        <f t="shared" si="149"/>
        <v>0</v>
      </c>
      <c r="I226" s="431">
        <f t="array" ref="I226">MAX((IF(MNU_CODIGO_ALIMENTO_ENTREGA=CONCATENATE($E226,"_","P_"),MNU_GRAMAJE_REQUERIDO_TIPOA,"")))</f>
        <v>0</v>
      </c>
      <c r="J226" s="259">
        <f t="shared" si="150"/>
        <v>5655</v>
      </c>
      <c r="K226" s="259">
        <f t="shared" si="151"/>
        <v>0</v>
      </c>
      <c r="L226" s="452">
        <f t="shared" si="152"/>
        <v>0</v>
      </c>
      <c r="M226" s="452">
        <f t="shared" si="153"/>
        <v>0</v>
      </c>
      <c r="N226" s="452">
        <f t="shared" si="154"/>
        <v>0</v>
      </c>
      <c r="O226" s="452">
        <f t="shared" si="155"/>
        <v>0</v>
      </c>
      <c r="P226" s="260">
        <f t="shared" si="156"/>
        <v>0</v>
      </c>
      <c r="Q226" s="260">
        <f t="shared" si="157"/>
        <v>0</v>
      </c>
      <c r="R226" s="432">
        <f t="shared" si="158"/>
        <v>21</v>
      </c>
      <c r="S226" s="432">
        <f t="array" ref="S226">MAX((IF(MNU_CODIGO_ALIMENTO_ENTREGA=CONCATENATE($E226,"_","P_"),MNU_GRAMAJE_REQUERIDO_TIPOB,"")))</f>
        <v>100</v>
      </c>
      <c r="T226" s="261">
        <f t="shared" si="159"/>
        <v>7756</v>
      </c>
      <c r="U226" s="261">
        <f t="shared" si="160"/>
        <v>162876</v>
      </c>
      <c r="V226" s="452">
        <f t="shared" si="161"/>
        <v>226</v>
      </c>
      <c r="W226" s="452">
        <f t="shared" si="162"/>
        <v>11.0288</v>
      </c>
      <c r="X226" s="452">
        <f t="shared" si="163"/>
        <v>0.19436361600000002</v>
      </c>
      <c r="Y226" s="452">
        <f t="shared" si="164"/>
        <v>237</v>
      </c>
      <c r="Z226" s="262">
        <f t="shared" si="165"/>
        <v>36809976</v>
      </c>
      <c r="AA226" s="262">
        <f t="shared" si="166"/>
        <v>38601612</v>
      </c>
      <c r="AB226" s="431">
        <f t="shared" si="167"/>
        <v>21</v>
      </c>
      <c r="AC226" s="431">
        <f t="array" ref="AC226">MAX((IF(MNU_CODIGO_ALIMENTO_ENTREGA=CONCATENATE($E226,"_","P_"),MNU_GRAMAJE_REQUERIDO_TIPOC,"")))</f>
        <v>100</v>
      </c>
      <c r="AD226" s="259">
        <f t="shared" si="168"/>
        <v>7978</v>
      </c>
      <c r="AE226" s="259">
        <f t="shared" si="169"/>
        <v>167538</v>
      </c>
      <c r="AF226" s="452">
        <f t="shared" si="170"/>
        <v>226</v>
      </c>
      <c r="AG226" s="452">
        <f t="shared" si="171"/>
        <v>11.0288</v>
      </c>
      <c r="AH226" s="452">
        <f t="shared" si="172"/>
        <v>0.19436361600000002</v>
      </c>
      <c r="AI226" s="452">
        <f t="shared" si="173"/>
        <v>237</v>
      </c>
      <c r="AJ226" s="260">
        <f t="shared" si="174"/>
        <v>37863588</v>
      </c>
      <c r="AK226" s="260">
        <f t="shared" si="175"/>
        <v>39706506</v>
      </c>
      <c r="AL226" s="432">
        <f t="shared" si="176"/>
        <v>21</v>
      </c>
      <c r="AM226" s="432">
        <f t="array" ref="AM226">MAX((IF(MNU_CODIGO_ALIMENTO_ENTREGA=CONCATENATE($E226,"_","P_"),MNU_GRAMAJE_REQUERIDO_TIPOM,"")))</f>
        <v>100</v>
      </c>
      <c r="AN226" s="261">
        <f t="shared" si="177"/>
        <v>285</v>
      </c>
      <c r="AO226" s="261">
        <f t="shared" si="178"/>
        <v>5985</v>
      </c>
      <c r="AP226" s="452">
        <f t="shared" si="179"/>
        <v>226</v>
      </c>
      <c r="AQ226" s="452">
        <f t="shared" si="180"/>
        <v>11.0288</v>
      </c>
      <c r="AR226" s="452">
        <f t="shared" si="181"/>
        <v>0.19436361600000002</v>
      </c>
      <c r="AS226" s="452">
        <f t="shared" si="182"/>
        <v>237</v>
      </c>
      <c r="AT226" s="262">
        <f t="shared" si="183"/>
        <v>1352610</v>
      </c>
      <c r="AU226" s="262">
        <f t="shared" si="184"/>
        <v>1418445</v>
      </c>
      <c r="AV226" s="431">
        <f t="shared" si="185"/>
        <v>21</v>
      </c>
      <c r="AW226" s="431">
        <f t="array" ref="AW226">MAX((IF(MNU_CODIGO_ALIMENTO_ENTREGA=CONCATENATE($E226,"_","P_"),MNU_GRAMAJE_REQUERIDO_TIPOH,"")))</f>
        <v>100</v>
      </c>
      <c r="AX226" s="259">
        <f t="shared" si="186"/>
        <v>294</v>
      </c>
      <c r="AY226" s="259">
        <f t="shared" si="187"/>
        <v>6174</v>
      </c>
      <c r="AZ226" s="452">
        <f t="shared" si="188"/>
        <v>226</v>
      </c>
      <c r="BA226" s="452">
        <f t="shared" si="189"/>
        <v>11.0288</v>
      </c>
      <c r="BB226" s="452">
        <f t="shared" si="190"/>
        <v>0.19436361600000002</v>
      </c>
      <c r="BC226" s="452">
        <f t="shared" si="191"/>
        <v>237</v>
      </c>
      <c r="BD226" s="260">
        <f t="shared" si="192"/>
        <v>1395324</v>
      </c>
      <c r="BE226" s="260">
        <f t="shared" si="193"/>
        <v>1463238</v>
      </c>
      <c r="BF226" s="397">
        <f t="shared" si="194"/>
        <v>77421498</v>
      </c>
      <c r="BG226" s="397">
        <f t="shared" si="195"/>
        <v>81189801</v>
      </c>
    </row>
    <row r="227" spans="1:59" ht="15.75">
      <c r="A227" s="338">
        <v>17</v>
      </c>
      <c r="B227" s="338" t="str">
        <f t="shared" si="147"/>
        <v>FRUTA_17</v>
      </c>
      <c r="C227" s="338" t="str">
        <f t="shared" si="148"/>
        <v>22_17</v>
      </c>
      <c r="D227" s="338" t="s">
        <v>1</v>
      </c>
      <c r="E227" s="258">
        <v>22</v>
      </c>
      <c r="F227" s="328" t="s">
        <v>51</v>
      </c>
      <c r="G227" s="258" t="s">
        <v>9</v>
      </c>
      <c r="H227" s="431">
        <f t="shared" si="149"/>
        <v>0</v>
      </c>
      <c r="I227" s="431">
        <f t="array" ref="I227">MAX((IF(MNU_CODIGO_ALIMENTO_ENTREGA=CONCATENATE($E227,"_","P_"),MNU_GRAMAJE_REQUERIDO_TIPOA,"")))</f>
        <v>0</v>
      </c>
      <c r="J227" s="259">
        <f t="shared" si="150"/>
        <v>5655</v>
      </c>
      <c r="K227" s="259">
        <f t="shared" si="151"/>
        <v>0</v>
      </c>
      <c r="L227" s="452">
        <f t="shared" si="152"/>
        <v>0</v>
      </c>
      <c r="M227" s="452">
        <f t="shared" si="153"/>
        <v>0</v>
      </c>
      <c r="N227" s="452">
        <f t="shared" si="154"/>
        <v>0</v>
      </c>
      <c r="O227" s="452">
        <f t="shared" si="155"/>
        <v>0</v>
      </c>
      <c r="P227" s="260">
        <f t="shared" si="156"/>
        <v>0</v>
      </c>
      <c r="Q227" s="260">
        <f t="shared" si="157"/>
        <v>0</v>
      </c>
      <c r="R227" s="432">
        <f t="shared" si="158"/>
        <v>20</v>
      </c>
      <c r="S227" s="432">
        <f t="array" ref="S227">MAX((IF(MNU_CODIGO_ALIMENTO_ENTREGA=CONCATENATE($E227,"_","P_"),MNU_GRAMAJE_REQUERIDO_TIPOB,"")))</f>
        <v>100</v>
      </c>
      <c r="T227" s="261">
        <f t="shared" si="159"/>
        <v>7756</v>
      </c>
      <c r="U227" s="261">
        <f t="shared" si="160"/>
        <v>155120</v>
      </c>
      <c r="V227" s="452">
        <f t="shared" si="161"/>
        <v>525</v>
      </c>
      <c r="W227" s="452">
        <f t="shared" si="162"/>
        <v>25.62</v>
      </c>
      <c r="X227" s="452">
        <f t="shared" si="163"/>
        <v>0.45150840000000003</v>
      </c>
      <c r="Y227" s="452">
        <f t="shared" si="164"/>
        <v>551</v>
      </c>
      <c r="Z227" s="262">
        <f t="shared" si="165"/>
        <v>81438000</v>
      </c>
      <c r="AA227" s="262">
        <f t="shared" si="166"/>
        <v>85471120</v>
      </c>
      <c r="AB227" s="431">
        <f t="shared" si="167"/>
        <v>20</v>
      </c>
      <c r="AC227" s="431">
        <f t="array" ref="AC227">MAX((IF(MNU_CODIGO_ALIMENTO_ENTREGA=CONCATENATE($E227,"_","P_"),MNU_GRAMAJE_REQUERIDO_TIPOC,"")))</f>
        <v>100</v>
      </c>
      <c r="AD227" s="259">
        <f t="shared" si="168"/>
        <v>7978</v>
      </c>
      <c r="AE227" s="259">
        <f t="shared" si="169"/>
        <v>159560</v>
      </c>
      <c r="AF227" s="452">
        <f t="shared" si="170"/>
        <v>525</v>
      </c>
      <c r="AG227" s="452">
        <f t="shared" si="171"/>
        <v>25.62</v>
      </c>
      <c r="AH227" s="452">
        <f t="shared" si="172"/>
        <v>0.45150840000000003</v>
      </c>
      <c r="AI227" s="452">
        <f t="shared" si="173"/>
        <v>551</v>
      </c>
      <c r="AJ227" s="260">
        <f t="shared" si="174"/>
        <v>83769000</v>
      </c>
      <c r="AK227" s="260">
        <f t="shared" si="175"/>
        <v>87917560</v>
      </c>
      <c r="AL227" s="432">
        <f t="shared" si="176"/>
        <v>20</v>
      </c>
      <c r="AM227" s="432">
        <f t="array" ref="AM227">MAX((IF(MNU_CODIGO_ALIMENTO_ENTREGA=CONCATENATE($E227,"_","P_"),MNU_GRAMAJE_REQUERIDO_TIPOM,"")))</f>
        <v>100</v>
      </c>
      <c r="AN227" s="261">
        <f t="shared" si="177"/>
        <v>285</v>
      </c>
      <c r="AO227" s="261">
        <f t="shared" si="178"/>
        <v>5700</v>
      </c>
      <c r="AP227" s="452">
        <f t="shared" si="179"/>
        <v>525</v>
      </c>
      <c r="AQ227" s="452">
        <f t="shared" si="180"/>
        <v>25.62</v>
      </c>
      <c r="AR227" s="452">
        <f t="shared" si="181"/>
        <v>0.45150840000000003</v>
      </c>
      <c r="AS227" s="452">
        <f t="shared" si="182"/>
        <v>551</v>
      </c>
      <c r="AT227" s="262">
        <f t="shared" si="183"/>
        <v>2992500</v>
      </c>
      <c r="AU227" s="262">
        <f t="shared" si="184"/>
        <v>3140700</v>
      </c>
      <c r="AV227" s="431">
        <f t="shared" si="185"/>
        <v>20</v>
      </c>
      <c r="AW227" s="431">
        <f t="array" ref="AW227">MAX((IF(MNU_CODIGO_ALIMENTO_ENTREGA=CONCATENATE($E227,"_","P_"),MNU_GRAMAJE_REQUERIDO_TIPOH,"")))</f>
        <v>100</v>
      </c>
      <c r="AX227" s="259">
        <f t="shared" si="186"/>
        <v>294</v>
      </c>
      <c r="AY227" s="259">
        <f t="shared" si="187"/>
        <v>5880</v>
      </c>
      <c r="AZ227" s="452">
        <f t="shared" si="188"/>
        <v>525</v>
      </c>
      <c r="BA227" s="452">
        <f t="shared" si="189"/>
        <v>25.62</v>
      </c>
      <c r="BB227" s="452">
        <f t="shared" si="190"/>
        <v>0.45150840000000003</v>
      </c>
      <c r="BC227" s="452">
        <f t="shared" si="191"/>
        <v>551</v>
      </c>
      <c r="BD227" s="260">
        <f t="shared" si="192"/>
        <v>3087000</v>
      </c>
      <c r="BE227" s="260">
        <f t="shared" si="193"/>
        <v>3239880</v>
      </c>
      <c r="BF227" s="397">
        <f t="shared" si="194"/>
        <v>171286500</v>
      </c>
      <c r="BG227" s="397">
        <f t="shared" si="195"/>
        <v>179769260</v>
      </c>
    </row>
    <row r="228" spans="1:59" ht="15.75">
      <c r="A228" s="338">
        <v>17</v>
      </c>
      <c r="B228" s="338" t="str">
        <f t="shared" si="147"/>
        <v>FRUTA_17</v>
      </c>
      <c r="C228" s="338" t="str">
        <f t="shared" si="148"/>
        <v>33_17</v>
      </c>
      <c r="D228" s="338" t="s">
        <v>1</v>
      </c>
      <c r="E228" s="258">
        <v>33</v>
      </c>
      <c r="F228" s="328" t="s">
        <v>59</v>
      </c>
      <c r="G228" s="258" t="s">
        <v>48</v>
      </c>
      <c r="H228" s="431">
        <f t="shared" si="149"/>
        <v>27</v>
      </c>
      <c r="I228" s="431">
        <v>1</v>
      </c>
      <c r="J228" s="259">
        <f t="shared" si="150"/>
        <v>5655</v>
      </c>
      <c r="K228" s="259">
        <f t="shared" si="151"/>
        <v>152685</v>
      </c>
      <c r="L228" s="452">
        <f t="shared" si="152"/>
        <v>270</v>
      </c>
      <c r="M228" s="452">
        <f t="shared" si="153"/>
        <v>13.176000000000002</v>
      </c>
      <c r="N228" s="452">
        <f t="shared" si="154"/>
        <v>0.23220432000000002</v>
      </c>
      <c r="O228" s="452">
        <f t="shared" si="155"/>
        <v>283</v>
      </c>
      <c r="P228" s="260">
        <f t="shared" si="156"/>
        <v>41224950</v>
      </c>
      <c r="Q228" s="260">
        <f t="shared" si="157"/>
        <v>43209855</v>
      </c>
      <c r="R228" s="432">
        <f t="shared" si="158"/>
        <v>18</v>
      </c>
      <c r="S228" s="432">
        <v>1</v>
      </c>
      <c r="T228" s="261">
        <f t="shared" si="159"/>
        <v>7756</v>
      </c>
      <c r="U228" s="261">
        <f t="shared" si="160"/>
        <v>139608</v>
      </c>
      <c r="V228" s="452">
        <f t="shared" si="161"/>
        <v>270</v>
      </c>
      <c r="W228" s="452">
        <f t="shared" si="162"/>
        <v>13.176000000000002</v>
      </c>
      <c r="X228" s="452">
        <f t="shared" si="163"/>
        <v>0.23220432000000002</v>
      </c>
      <c r="Y228" s="452">
        <f t="shared" si="164"/>
        <v>283</v>
      </c>
      <c r="Z228" s="262">
        <f t="shared" si="165"/>
        <v>37694160</v>
      </c>
      <c r="AA228" s="262">
        <f t="shared" si="166"/>
        <v>39509064</v>
      </c>
      <c r="AB228" s="431">
        <f t="shared" si="167"/>
        <v>18</v>
      </c>
      <c r="AC228" s="431">
        <v>1</v>
      </c>
      <c r="AD228" s="259">
        <f t="shared" si="168"/>
        <v>7978</v>
      </c>
      <c r="AE228" s="259">
        <f t="shared" si="169"/>
        <v>143604</v>
      </c>
      <c r="AF228" s="452">
        <f t="shared" si="170"/>
        <v>270</v>
      </c>
      <c r="AG228" s="452">
        <f t="shared" si="171"/>
        <v>13.176000000000002</v>
      </c>
      <c r="AH228" s="452">
        <f t="shared" si="172"/>
        <v>0.23220432000000002</v>
      </c>
      <c r="AI228" s="452">
        <f t="shared" si="173"/>
        <v>283</v>
      </c>
      <c r="AJ228" s="260">
        <f t="shared" si="174"/>
        <v>38773080</v>
      </c>
      <c r="AK228" s="260">
        <f t="shared" si="175"/>
        <v>40639932</v>
      </c>
      <c r="AL228" s="432">
        <f t="shared" si="176"/>
        <v>18</v>
      </c>
      <c r="AM228" s="432">
        <v>1</v>
      </c>
      <c r="AN228" s="261">
        <f t="shared" si="177"/>
        <v>285</v>
      </c>
      <c r="AO228" s="261">
        <f t="shared" si="178"/>
        <v>5130</v>
      </c>
      <c r="AP228" s="452">
        <f t="shared" si="179"/>
        <v>270</v>
      </c>
      <c r="AQ228" s="452">
        <f t="shared" si="180"/>
        <v>13.176000000000002</v>
      </c>
      <c r="AR228" s="452">
        <f t="shared" si="181"/>
        <v>0.23220432000000002</v>
      </c>
      <c r="AS228" s="452">
        <f t="shared" si="182"/>
        <v>283</v>
      </c>
      <c r="AT228" s="262">
        <f t="shared" si="183"/>
        <v>1385100</v>
      </c>
      <c r="AU228" s="262">
        <f t="shared" si="184"/>
        <v>1451790</v>
      </c>
      <c r="AV228" s="431">
        <f t="shared" si="185"/>
        <v>18</v>
      </c>
      <c r="AW228" s="431">
        <v>1</v>
      </c>
      <c r="AX228" s="259">
        <f t="shared" si="186"/>
        <v>294</v>
      </c>
      <c r="AY228" s="259">
        <f t="shared" si="187"/>
        <v>5292</v>
      </c>
      <c r="AZ228" s="452">
        <f t="shared" si="188"/>
        <v>270</v>
      </c>
      <c r="BA228" s="452">
        <f t="shared" si="189"/>
        <v>13.176000000000002</v>
      </c>
      <c r="BB228" s="452">
        <f t="shared" si="190"/>
        <v>0.23220432000000002</v>
      </c>
      <c r="BC228" s="452">
        <f t="shared" si="191"/>
        <v>283</v>
      </c>
      <c r="BD228" s="260">
        <f t="shared" si="192"/>
        <v>1428840</v>
      </c>
      <c r="BE228" s="260">
        <f t="shared" si="193"/>
        <v>1497636</v>
      </c>
      <c r="BF228" s="397">
        <f t="shared" si="194"/>
        <v>120506130</v>
      </c>
      <c r="BG228" s="397">
        <f t="shared" si="195"/>
        <v>126308277</v>
      </c>
    </row>
    <row r="229" spans="1:59" ht="15.75">
      <c r="A229" s="338">
        <v>17</v>
      </c>
      <c r="B229" s="338" t="str">
        <f t="shared" si="147"/>
        <v>FRUTA_17</v>
      </c>
      <c r="C229" s="338" t="str">
        <f t="shared" si="148"/>
        <v>36_17</v>
      </c>
      <c r="D229" s="338" t="s">
        <v>1</v>
      </c>
      <c r="E229" s="258">
        <v>36</v>
      </c>
      <c r="F229" s="328" t="s">
        <v>1340</v>
      </c>
      <c r="G229" s="258" t="s">
        <v>9</v>
      </c>
      <c r="H229" s="431">
        <f t="shared" si="149"/>
        <v>7</v>
      </c>
      <c r="I229" s="431">
        <f t="array" ref="I229">MAX((IF(MNU_CODIGO_ALIMENTO_ENTREGA=CONCATENATE($E229,"_","P_"),MNU_GRAMAJE_REQUERIDO_TIPOA,"")))</f>
        <v>20</v>
      </c>
      <c r="J229" s="259">
        <f t="shared" si="150"/>
        <v>5655</v>
      </c>
      <c r="K229" s="259">
        <f t="shared" si="151"/>
        <v>39585</v>
      </c>
      <c r="L229" s="452">
        <f t="shared" si="152"/>
        <v>126</v>
      </c>
      <c r="M229" s="452">
        <f t="shared" si="153"/>
        <v>6.1488000000000005</v>
      </c>
      <c r="N229" s="452">
        <f t="shared" si="154"/>
        <v>0.10836201599999999</v>
      </c>
      <c r="O229" s="452">
        <f t="shared" si="155"/>
        <v>132</v>
      </c>
      <c r="P229" s="260">
        <f t="shared" si="156"/>
        <v>4987710</v>
      </c>
      <c r="Q229" s="260">
        <f t="shared" si="157"/>
        <v>5225220</v>
      </c>
      <c r="R229" s="432">
        <f t="shared" si="158"/>
        <v>7</v>
      </c>
      <c r="S229" s="432">
        <f t="array" ref="S229">MAX((IF(MNU_CODIGO_ALIMENTO_ENTREGA=CONCATENATE($E229,"_","P_"),MNU_GRAMAJE_REQUERIDO_TIPOB,"")))</f>
        <v>40</v>
      </c>
      <c r="T229" s="261">
        <f t="shared" si="159"/>
        <v>7756</v>
      </c>
      <c r="U229" s="261">
        <f t="shared" si="160"/>
        <v>54292</v>
      </c>
      <c r="V229" s="452">
        <f t="shared" si="161"/>
        <v>252</v>
      </c>
      <c r="W229" s="452">
        <f t="shared" si="162"/>
        <v>12.297600000000001</v>
      </c>
      <c r="X229" s="452">
        <f t="shared" si="163"/>
        <v>0.21672403199999998</v>
      </c>
      <c r="Y229" s="452">
        <f t="shared" si="164"/>
        <v>265</v>
      </c>
      <c r="Z229" s="262">
        <f t="shared" si="165"/>
        <v>13681584</v>
      </c>
      <c r="AA229" s="262">
        <f t="shared" si="166"/>
        <v>14387380</v>
      </c>
      <c r="AB229" s="431">
        <f t="shared" si="167"/>
        <v>7</v>
      </c>
      <c r="AC229" s="431">
        <f t="array" ref="AC229">MAX((IF(MNU_CODIGO_ALIMENTO_ENTREGA=CONCATENATE($E229,"_","P_"),MNU_GRAMAJE_REQUERIDO_TIPOC,"")))</f>
        <v>40</v>
      </c>
      <c r="AD229" s="259">
        <f t="shared" si="168"/>
        <v>7978</v>
      </c>
      <c r="AE229" s="259">
        <f t="shared" si="169"/>
        <v>55846</v>
      </c>
      <c r="AF229" s="452">
        <f t="shared" si="170"/>
        <v>252</v>
      </c>
      <c r="AG229" s="452">
        <f t="shared" si="171"/>
        <v>12.297600000000001</v>
      </c>
      <c r="AH229" s="452">
        <f t="shared" si="172"/>
        <v>0.21672403199999998</v>
      </c>
      <c r="AI229" s="452">
        <f t="shared" si="173"/>
        <v>265</v>
      </c>
      <c r="AJ229" s="260">
        <f t="shared" si="174"/>
        <v>14073192</v>
      </c>
      <c r="AK229" s="260">
        <f t="shared" si="175"/>
        <v>14799190</v>
      </c>
      <c r="AL229" s="432">
        <f t="shared" si="176"/>
        <v>7</v>
      </c>
      <c r="AM229" s="432">
        <f t="array" ref="AM229">MAX((IF(MNU_CODIGO_ALIMENTO_ENTREGA=CONCATENATE($E229,"_","P_"),MNU_GRAMAJE_REQUERIDO_TIPOM,"")))</f>
        <v>40</v>
      </c>
      <c r="AN229" s="261">
        <f t="shared" si="177"/>
        <v>285</v>
      </c>
      <c r="AO229" s="261">
        <f t="shared" si="178"/>
        <v>1995</v>
      </c>
      <c r="AP229" s="452">
        <f t="shared" si="179"/>
        <v>252</v>
      </c>
      <c r="AQ229" s="452">
        <f t="shared" si="180"/>
        <v>12.297600000000001</v>
      </c>
      <c r="AR229" s="452">
        <f t="shared" si="181"/>
        <v>0.21672403199999998</v>
      </c>
      <c r="AS229" s="452">
        <f t="shared" si="182"/>
        <v>265</v>
      </c>
      <c r="AT229" s="262">
        <f t="shared" si="183"/>
        <v>502740</v>
      </c>
      <c r="AU229" s="262">
        <f t="shared" si="184"/>
        <v>528675</v>
      </c>
      <c r="AV229" s="431">
        <f t="shared" si="185"/>
        <v>7</v>
      </c>
      <c r="AW229" s="431">
        <f t="array" ref="AW229">MAX((IF(MNU_CODIGO_ALIMENTO_ENTREGA=CONCATENATE($E229,"_","P_"),MNU_GRAMAJE_REQUERIDO_TIPOH,"")))</f>
        <v>40</v>
      </c>
      <c r="AX229" s="259">
        <f t="shared" si="186"/>
        <v>294</v>
      </c>
      <c r="AY229" s="259">
        <f t="shared" si="187"/>
        <v>2058</v>
      </c>
      <c r="AZ229" s="452">
        <f t="shared" si="188"/>
        <v>252</v>
      </c>
      <c r="BA229" s="452">
        <f t="shared" si="189"/>
        <v>12.297600000000001</v>
      </c>
      <c r="BB229" s="452">
        <f t="shared" si="190"/>
        <v>0.21672403199999998</v>
      </c>
      <c r="BC229" s="452">
        <f t="shared" si="191"/>
        <v>265</v>
      </c>
      <c r="BD229" s="260">
        <f t="shared" si="192"/>
        <v>518616</v>
      </c>
      <c r="BE229" s="260">
        <f t="shared" si="193"/>
        <v>545370</v>
      </c>
      <c r="BF229" s="397">
        <f t="shared" si="194"/>
        <v>33763842</v>
      </c>
      <c r="BG229" s="397">
        <f t="shared" si="195"/>
        <v>35485835</v>
      </c>
    </row>
    <row r="230" spans="1:59" ht="15.75">
      <c r="A230" s="338">
        <v>17</v>
      </c>
      <c r="B230" s="338" t="str">
        <f t="shared" si="147"/>
        <v>FRUTA_17</v>
      </c>
      <c r="C230" s="338" t="str">
        <f t="shared" si="148"/>
        <v>42_17</v>
      </c>
      <c r="D230" s="338" t="s">
        <v>1</v>
      </c>
      <c r="E230" s="258">
        <v>42</v>
      </c>
      <c r="F230" s="328" t="s">
        <v>61</v>
      </c>
      <c r="G230" s="258" t="s">
        <v>9</v>
      </c>
      <c r="H230" s="431">
        <f t="shared" si="149"/>
        <v>23</v>
      </c>
      <c r="I230" s="431">
        <f t="array" ref="I230">MAX((IF(MNU_CODIGO_ALIMENTO_ENTREGA=CONCATENATE($E230,"_","P_"),MNU_GRAMAJE_REQUERIDO_TIPOA,"")))</f>
        <v>100</v>
      </c>
      <c r="J230" s="259">
        <f t="shared" si="150"/>
        <v>5655</v>
      </c>
      <c r="K230" s="259">
        <f t="shared" si="151"/>
        <v>130065</v>
      </c>
      <c r="L230" s="452">
        <f t="shared" si="152"/>
        <v>194</v>
      </c>
      <c r="M230" s="452">
        <f t="shared" si="153"/>
        <v>9.4672000000000001</v>
      </c>
      <c r="N230" s="452">
        <f t="shared" si="154"/>
        <v>0.16684310399999999</v>
      </c>
      <c r="O230" s="452">
        <f t="shared" si="155"/>
        <v>204</v>
      </c>
      <c r="P230" s="260">
        <f t="shared" si="156"/>
        <v>25232610</v>
      </c>
      <c r="Q230" s="260">
        <f t="shared" si="157"/>
        <v>26533260</v>
      </c>
      <c r="R230" s="432">
        <f t="shared" si="158"/>
        <v>19</v>
      </c>
      <c r="S230" s="432">
        <f t="array" ref="S230">MAX((IF(MNU_CODIGO_ALIMENTO_ENTREGA=CONCATENATE($E230,"_","P_"),MNU_GRAMAJE_REQUERIDO_TIPOB,"")))</f>
        <v>100</v>
      </c>
      <c r="T230" s="261">
        <f t="shared" si="159"/>
        <v>7756</v>
      </c>
      <c r="U230" s="261">
        <f t="shared" si="160"/>
        <v>147364</v>
      </c>
      <c r="V230" s="452">
        <f t="shared" si="161"/>
        <v>194</v>
      </c>
      <c r="W230" s="452">
        <f t="shared" si="162"/>
        <v>9.4672000000000001</v>
      </c>
      <c r="X230" s="452">
        <f t="shared" si="163"/>
        <v>0.16684310399999999</v>
      </c>
      <c r="Y230" s="452">
        <f t="shared" si="164"/>
        <v>204</v>
      </c>
      <c r="Z230" s="262">
        <f t="shared" si="165"/>
        <v>28588616</v>
      </c>
      <c r="AA230" s="262">
        <f t="shared" si="166"/>
        <v>30062256</v>
      </c>
      <c r="AB230" s="431">
        <f t="shared" si="167"/>
        <v>19</v>
      </c>
      <c r="AC230" s="431">
        <f t="array" ref="AC230">MAX((IF(MNU_CODIGO_ALIMENTO_ENTREGA=CONCATENATE($E230,"_","P_"),MNU_GRAMAJE_REQUERIDO_TIPOC,"")))</f>
        <v>100</v>
      </c>
      <c r="AD230" s="259">
        <f t="shared" si="168"/>
        <v>7978</v>
      </c>
      <c r="AE230" s="259">
        <f t="shared" si="169"/>
        <v>151582</v>
      </c>
      <c r="AF230" s="452">
        <f t="shared" si="170"/>
        <v>194</v>
      </c>
      <c r="AG230" s="452">
        <f t="shared" si="171"/>
        <v>9.4672000000000001</v>
      </c>
      <c r="AH230" s="452">
        <f t="shared" si="172"/>
        <v>0.16684310399999999</v>
      </c>
      <c r="AI230" s="452">
        <f t="shared" si="173"/>
        <v>204</v>
      </c>
      <c r="AJ230" s="260">
        <f t="shared" si="174"/>
        <v>29406908</v>
      </c>
      <c r="AK230" s="260">
        <f t="shared" si="175"/>
        <v>30922728</v>
      </c>
      <c r="AL230" s="432">
        <f t="shared" si="176"/>
        <v>19</v>
      </c>
      <c r="AM230" s="432">
        <f t="array" ref="AM230">MAX((IF(MNU_CODIGO_ALIMENTO_ENTREGA=CONCATENATE($E230,"_","P_"),MNU_GRAMAJE_REQUERIDO_TIPOM,"")))</f>
        <v>100</v>
      </c>
      <c r="AN230" s="261">
        <f t="shared" si="177"/>
        <v>285</v>
      </c>
      <c r="AO230" s="261">
        <f t="shared" si="178"/>
        <v>5415</v>
      </c>
      <c r="AP230" s="452">
        <f t="shared" si="179"/>
        <v>194</v>
      </c>
      <c r="AQ230" s="452">
        <f t="shared" si="180"/>
        <v>9.4672000000000001</v>
      </c>
      <c r="AR230" s="452">
        <f t="shared" si="181"/>
        <v>0.16684310399999999</v>
      </c>
      <c r="AS230" s="452">
        <f t="shared" si="182"/>
        <v>204</v>
      </c>
      <c r="AT230" s="262">
        <f t="shared" si="183"/>
        <v>1050510</v>
      </c>
      <c r="AU230" s="262">
        <f t="shared" si="184"/>
        <v>1104660</v>
      </c>
      <c r="AV230" s="431">
        <f t="shared" si="185"/>
        <v>19</v>
      </c>
      <c r="AW230" s="431">
        <f t="array" ref="AW230">MAX((IF(MNU_CODIGO_ALIMENTO_ENTREGA=CONCATENATE($E230,"_","P_"),MNU_GRAMAJE_REQUERIDO_TIPOH,"")))</f>
        <v>100</v>
      </c>
      <c r="AX230" s="259">
        <f t="shared" si="186"/>
        <v>294</v>
      </c>
      <c r="AY230" s="259">
        <f t="shared" si="187"/>
        <v>5586</v>
      </c>
      <c r="AZ230" s="452">
        <f t="shared" si="188"/>
        <v>194</v>
      </c>
      <c r="BA230" s="452">
        <f t="shared" si="189"/>
        <v>9.4672000000000001</v>
      </c>
      <c r="BB230" s="452">
        <f t="shared" si="190"/>
        <v>0.16684310399999999</v>
      </c>
      <c r="BC230" s="452">
        <f t="shared" si="191"/>
        <v>204</v>
      </c>
      <c r="BD230" s="260">
        <f t="shared" si="192"/>
        <v>1083684</v>
      </c>
      <c r="BE230" s="260">
        <f t="shared" si="193"/>
        <v>1139544</v>
      </c>
      <c r="BF230" s="397">
        <f t="shared" si="194"/>
        <v>85362328</v>
      </c>
      <c r="BG230" s="397">
        <f t="shared" si="195"/>
        <v>89762448</v>
      </c>
    </row>
    <row r="231" spans="1:59" ht="15.75">
      <c r="A231" s="338">
        <v>17</v>
      </c>
      <c r="B231" s="338" t="str">
        <f t="shared" si="147"/>
        <v>FRUTA_17</v>
      </c>
      <c r="C231" s="338" t="str">
        <f t="shared" si="148"/>
        <v>43_17</v>
      </c>
      <c r="D231" s="338" t="s">
        <v>1</v>
      </c>
      <c r="E231" s="258">
        <v>43</v>
      </c>
      <c r="F231" s="328" t="s">
        <v>62</v>
      </c>
      <c r="G231" s="258" t="s">
        <v>9</v>
      </c>
      <c r="H231" s="431">
        <f t="shared" si="149"/>
        <v>24</v>
      </c>
      <c r="I231" s="431">
        <f t="array" ref="I231">MAX((IF(MNU_CODIGO_ALIMENTO_ENTREGA=CONCATENATE($E231,"_","P_"),MNU_GRAMAJE_REQUERIDO_TIPOA,"")))</f>
        <v>100</v>
      </c>
      <c r="J231" s="259">
        <f t="shared" si="150"/>
        <v>5655</v>
      </c>
      <c r="K231" s="259">
        <f t="shared" si="151"/>
        <v>135720</v>
      </c>
      <c r="L231" s="452">
        <f t="shared" si="152"/>
        <v>170</v>
      </c>
      <c r="M231" s="452">
        <f t="shared" si="153"/>
        <v>8.2959999999999994</v>
      </c>
      <c r="N231" s="452">
        <f t="shared" si="154"/>
        <v>0.14620272000000001</v>
      </c>
      <c r="O231" s="452">
        <f t="shared" si="155"/>
        <v>178</v>
      </c>
      <c r="P231" s="260">
        <f t="shared" si="156"/>
        <v>23072400</v>
      </c>
      <c r="Q231" s="260">
        <f t="shared" si="157"/>
        <v>24158160</v>
      </c>
      <c r="R231" s="432">
        <f t="shared" si="158"/>
        <v>17</v>
      </c>
      <c r="S231" s="432">
        <f t="array" ref="S231">MAX((IF(MNU_CODIGO_ALIMENTO_ENTREGA=CONCATENATE($E231,"_","P_"),MNU_GRAMAJE_REQUERIDO_TIPOB,"")))</f>
        <v>100</v>
      </c>
      <c r="T231" s="261">
        <f t="shared" si="159"/>
        <v>7756</v>
      </c>
      <c r="U231" s="261">
        <f t="shared" si="160"/>
        <v>131852</v>
      </c>
      <c r="V231" s="452">
        <f t="shared" si="161"/>
        <v>170</v>
      </c>
      <c r="W231" s="452">
        <f t="shared" si="162"/>
        <v>8.2959999999999994</v>
      </c>
      <c r="X231" s="452">
        <f t="shared" si="163"/>
        <v>0.14620272000000001</v>
      </c>
      <c r="Y231" s="452">
        <f t="shared" si="164"/>
        <v>178</v>
      </c>
      <c r="Z231" s="262">
        <f t="shared" si="165"/>
        <v>22414840</v>
      </c>
      <c r="AA231" s="262">
        <f t="shared" si="166"/>
        <v>23469656</v>
      </c>
      <c r="AB231" s="431">
        <f t="shared" si="167"/>
        <v>17</v>
      </c>
      <c r="AC231" s="431">
        <f t="array" ref="AC231">MAX((IF(MNU_CODIGO_ALIMENTO_ENTREGA=CONCATENATE($E231,"_","P_"),MNU_GRAMAJE_REQUERIDO_TIPOC,"")))</f>
        <v>100</v>
      </c>
      <c r="AD231" s="259">
        <f t="shared" si="168"/>
        <v>7978</v>
      </c>
      <c r="AE231" s="259">
        <f t="shared" si="169"/>
        <v>135626</v>
      </c>
      <c r="AF231" s="452">
        <f t="shared" si="170"/>
        <v>170</v>
      </c>
      <c r="AG231" s="452">
        <f t="shared" si="171"/>
        <v>8.2959999999999994</v>
      </c>
      <c r="AH231" s="452">
        <f t="shared" si="172"/>
        <v>0.14620272000000001</v>
      </c>
      <c r="AI231" s="452">
        <f t="shared" si="173"/>
        <v>178</v>
      </c>
      <c r="AJ231" s="260">
        <f t="shared" si="174"/>
        <v>23056420</v>
      </c>
      <c r="AK231" s="260">
        <f t="shared" si="175"/>
        <v>24141428</v>
      </c>
      <c r="AL231" s="432">
        <f t="shared" si="176"/>
        <v>17</v>
      </c>
      <c r="AM231" s="432">
        <f t="array" ref="AM231">MAX((IF(MNU_CODIGO_ALIMENTO_ENTREGA=CONCATENATE($E231,"_","P_"),MNU_GRAMAJE_REQUERIDO_TIPOM,"")))</f>
        <v>100</v>
      </c>
      <c r="AN231" s="261">
        <f t="shared" si="177"/>
        <v>285</v>
      </c>
      <c r="AO231" s="261">
        <f t="shared" si="178"/>
        <v>4845</v>
      </c>
      <c r="AP231" s="452">
        <f t="shared" si="179"/>
        <v>170</v>
      </c>
      <c r="AQ231" s="452">
        <f t="shared" si="180"/>
        <v>8.2959999999999994</v>
      </c>
      <c r="AR231" s="452">
        <f t="shared" si="181"/>
        <v>0.14620272000000001</v>
      </c>
      <c r="AS231" s="452">
        <f t="shared" si="182"/>
        <v>178</v>
      </c>
      <c r="AT231" s="262">
        <f t="shared" si="183"/>
        <v>823650</v>
      </c>
      <c r="AU231" s="262">
        <f t="shared" si="184"/>
        <v>862410</v>
      </c>
      <c r="AV231" s="431">
        <f t="shared" si="185"/>
        <v>17</v>
      </c>
      <c r="AW231" s="431">
        <f t="array" ref="AW231">MAX((IF(MNU_CODIGO_ALIMENTO_ENTREGA=CONCATENATE($E231,"_","P_"),MNU_GRAMAJE_REQUERIDO_TIPOH,"")))</f>
        <v>100</v>
      </c>
      <c r="AX231" s="259">
        <f t="shared" si="186"/>
        <v>294</v>
      </c>
      <c r="AY231" s="259">
        <f t="shared" si="187"/>
        <v>4998</v>
      </c>
      <c r="AZ231" s="452">
        <f t="shared" si="188"/>
        <v>170</v>
      </c>
      <c r="BA231" s="452">
        <f t="shared" si="189"/>
        <v>8.2959999999999994</v>
      </c>
      <c r="BB231" s="452">
        <f t="shared" si="190"/>
        <v>0.14620272000000001</v>
      </c>
      <c r="BC231" s="452">
        <f t="shared" si="191"/>
        <v>178</v>
      </c>
      <c r="BD231" s="260">
        <f t="shared" si="192"/>
        <v>849660</v>
      </c>
      <c r="BE231" s="260">
        <f t="shared" si="193"/>
        <v>889644</v>
      </c>
      <c r="BF231" s="397">
        <f t="shared" si="194"/>
        <v>70216970</v>
      </c>
      <c r="BG231" s="397">
        <f t="shared" si="195"/>
        <v>73521298</v>
      </c>
    </row>
    <row r="232" spans="1:59" ht="15.75">
      <c r="A232" s="338">
        <v>17</v>
      </c>
      <c r="B232" s="338" t="str">
        <f t="shared" si="147"/>
        <v>FRUTA_17</v>
      </c>
      <c r="C232" s="338" t="str">
        <f t="shared" si="148"/>
        <v>46_17</v>
      </c>
      <c r="D232" s="338" t="s">
        <v>1</v>
      </c>
      <c r="E232" s="258">
        <v>46</v>
      </c>
      <c r="F232" s="328" t="s">
        <v>64</v>
      </c>
      <c r="G232" s="258" t="s">
        <v>9</v>
      </c>
      <c r="H232" s="431">
        <f t="shared" si="149"/>
        <v>30</v>
      </c>
      <c r="I232" s="431">
        <f t="array" ref="I232">MAX((IF(MNU_CODIGO_ALIMENTO_ENTREGA=CONCATENATE($E232,"_","P_"),MNU_GRAMAJE_REQUERIDO_TIPOA,"")))</f>
        <v>100</v>
      </c>
      <c r="J232" s="259">
        <f t="shared" si="150"/>
        <v>5655</v>
      </c>
      <c r="K232" s="259">
        <f t="shared" si="151"/>
        <v>169650</v>
      </c>
      <c r="L232" s="452">
        <f t="shared" si="152"/>
        <v>398</v>
      </c>
      <c r="M232" s="452">
        <f t="shared" si="153"/>
        <v>19.4224</v>
      </c>
      <c r="N232" s="452">
        <f t="shared" si="154"/>
        <v>0.34228636800000001</v>
      </c>
      <c r="O232" s="452">
        <f t="shared" si="155"/>
        <v>418</v>
      </c>
      <c r="P232" s="260">
        <f t="shared" si="156"/>
        <v>67520700</v>
      </c>
      <c r="Q232" s="260">
        <f t="shared" si="157"/>
        <v>70913700</v>
      </c>
      <c r="R232" s="432">
        <f t="shared" si="158"/>
        <v>21</v>
      </c>
      <c r="S232" s="432">
        <f t="array" ref="S232">MAX((IF(MNU_CODIGO_ALIMENTO_ENTREGA=CONCATENATE($E232,"_","P_"),MNU_GRAMAJE_REQUERIDO_TIPOB,"")))</f>
        <v>100</v>
      </c>
      <c r="T232" s="261">
        <f t="shared" si="159"/>
        <v>7756</v>
      </c>
      <c r="U232" s="261">
        <f t="shared" si="160"/>
        <v>162876</v>
      </c>
      <c r="V232" s="452">
        <f t="shared" si="161"/>
        <v>398</v>
      </c>
      <c r="W232" s="452">
        <f t="shared" si="162"/>
        <v>19.4224</v>
      </c>
      <c r="X232" s="452">
        <f t="shared" si="163"/>
        <v>0.34228636800000001</v>
      </c>
      <c r="Y232" s="452">
        <f t="shared" si="164"/>
        <v>418</v>
      </c>
      <c r="Z232" s="262">
        <f t="shared" si="165"/>
        <v>64824648</v>
      </c>
      <c r="AA232" s="262">
        <f t="shared" si="166"/>
        <v>68082168</v>
      </c>
      <c r="AB232" s="431">
        <f t="shared" si="167"/>
        <v>21</v>
      </c>
      <c r="AC232" s="431">
        <f t="array" ref="AC232">MAX((IF(MNU_CODIGO_ALIMENTO_ENTREGA=CONCATENATE($E232,"_","P_"),MNU_GRAMAJE_REQUERIDO_TIPOC,"")))</f>
        <v>100</v>
      </c>
      <c r="AD232" s="259">
        <f t="shared" si="168"/>
        <v>7978</v>
      </c>
      <c r="AE232" s="259">
        <f t="shared" si="169"/>
        <v>167538</v>
      </c>
      <c r="AF232" s="452">
        <f t="shared" si="170"/>
        <v>398</v>
      </c>
      <c r="AG232" s="452">
        <f t="shared" si="171"/>
        <v>19.4224</v>
      </c>
      <c r="AH232" s="452">
        <f t="shared" si="172"/>
        <v>0.34228636800000001</v>
      </c>
      <c r="AI232" s="452">
        <f t="shared" si="173"/>
        <v>418</v>
      </c>
      <c r="AJ232" s="260">
        <f t="shared" si="174"/>
        <v>66680124</v>
      </c>
      <c r="AK232" s="260">
        <f t="shared" si="175"/>
        <v>70030884</v>
      </c>
      <c r="AL232" s="432">
        <f t="shared" si="176"/>
        <v>21</v>
      </c>
      <c r="AM232" s="432">
        <f t="array" ref="AM232">MAX((IF(MNU_CODIGO_ALIMENTO_ENTREGA=CONCATENATE($E232,"_","P_"),MNU_GRAMAJE_REQUERIDO_TIPOM,"")))</f>
        <v>100</v>
      </c>
      <c r="AN232" s="261">
        <f t="shared" si="177"/>
        <v>285</v>
      </c>
      <c r="AO232" s="261">
        <f t="shared" si="178"/>
        <v>5985</v>
      </c>
      <c r="AP232" s="452">
        <f t="shared" si="179"/>
        <v>398</v>
      </c>
      <c r="AQ232" s="452">
        <f t="shared" si="180"/>
        <v>19.4224</v>
      </c>
      <c r="AR232" s="452">
        <f t="shared" si="181"/>
        <v>0.34228636800000001</v>
      </c>
      <c r="AS232" s="452">
        <f t="shared" si="182"/>
        <v>418</v>
      </c>
      <c r="AT232" s="262">
        <f t="shared" si="183"/>
        <v>2382030</v>
      </c>
      <c r="AU232" s="262">
        <f t="shared" si="184"/>
        <v>2501730</v>
      </c>
      <c r="AV232" s="431">
        <f t="shared" si="185"/>
        <v>21</v>
      </c>
      <c r="AW232" s="431">
        <f t="array" ref="AW232">MAX((IF(MNU_CODIGO_ALIMENTO_ENTREGA=CONCATENATE($E232,"_","P_"),MNU_GRAMAJE_REQUERIDO_TIPOH,"")))</f>
        <v>100</v>
      </c>
      <c r="AX232" s="259">
        <f t="shared" si="186"/>
        <v>294</v>
      </c>
      <c r="AY232" s="259">
        <f t="shared" si="187"/>
        <v>6174</v>
      </c>
      <c r="AZ232" s="452">
        <f t="shared" si="188"/>
        <v>398</v>
      </c>
      <c r="BA232" s="452">
        <f t="shared" si="189"/>
        <v>19.4224</v>
      </c>
      <c r="BB232" s="452">
        <f t="shared" si="190"/>
        <v>0.34228636800000001</v>
      </c>
      <c r="BC232" s="452">
        <f t="shared" si="191"/>
        <v>418</v>
      </c>
      <c r="BD232" s="260">
        <f t="shared" si="192"/>
        <v>2457252</v>
      </c>
      <c r="BE232" s="260">
        <f t="shared" si="193"/>
        <v>2580732</v>
      </c>
      <c r="BF232" s="397">
        <f t="shared" si="194"/>
        <v>203864754</v>
      </c>
      <c r="BG232" s="397">
        <f t="shared" si="195"/>
        <v>214109214</v>
      </c>
    </row>
    <row r="233" spans="1:59" ht="15.75">
      <c r="A233" s="338">
        <v>17</v>
      </c>
      <c r="B233" s="338" t="str">
        <f t="shared" si="147"/>
        <v>FRUTA_17</v>
      </c>
      <c r="C233" s="338" t="str">
        <f t="shared" si="148"/>
        <v>58_17</v>
      </c>
      <c r="D233" s="338" t="s">
        <v>1</v>
      </c>
      <c r="E233" s="258">
        <v>58</v>
      </c>
      <c r="F233" s="328" t="s">
        <v>67</v>
      </c>
      <c r="G233" s="258" t="s">
        <v>9</v>
      </c>
      <c r="H233" s="431">
        <f t="shared" si="149"/>
        <v>24</v>
      </c>
      <c r="I233" s="431">
        <f t="array" ref="I233">MAX((IF(MNU_CODIGO_ALIMENTO_ENTREGA=CONCATENATE($E233,"_","P_"),MNU_GRAMAJE_REQUERIDO_TIPOA,"")))</f>
        <v>100</v>
      </c>
      <c r="J233" s="259">
        <f t="shared" si="150"/>
        <v>5655</v>
      </c>
      <c r="K233" s="259">
        <f t="shared" si="151"/>
        <v>135720</v>
      </c>
      <c r="L233" s="452">
        <f t="shared" si="152"/>
        <v>154</v>
      </c>
      <c r="M233" s="452">
        <f t="shared" si="153"/>
        <v>7.515200000000001</v>
      </c>
      <c r="N233" s="452">
        <f t="shared" si="154"/>
        <v>0.13244246400000001</v>
      </c>
      <c r="O233" s="452">
        <f t="shared" si="155"/>
        <v>162</v>
      </c>
      <c r="P233" s="260">
        <f t="shared" si="156"/>
        <v>20900880</v>
      </c>
      <c r="Q233" s="260">
        <f t="shared" si="157"/>
        <v>21986640</v>
      </c>
      <c r="R233" s="432">
        <f t="shared" si="158"/>
        <v>23</v>
      </c>
      <c r="S233" s="432">
        <f t="array" ref="S233">MAX((IF(MNU_CODIGO_ALIMENTO_ENTREGA=CONCATENATE($E233,"_","P_"),MNU_GRAMAJE_REQUERIDO_TIPOB,"")))</f>
        <v>100</v>
      </c>
      <c r="T233" s="261">
        <f t="shared" si="159"/>
        <v>7756</v>
      </c>
      <c r="U233" s="261">
        <f t="shared" si="160"/>
        <v>178388</v>
      </c>
      <c r="V233" s="452">
        <f t="shared" si="161"/>
        <v>154</v>
      </c>
      <c r="W233" s="452">
        <f t="shared" si="162"/>
        <v>7.515200000000001</v>
      </c>
      <c r="X233" s="452">
        <f t="shared" si="163"/>
        <v>0.13244246400000001</v>
      </c>
      <c r="Y233" s="452">
        <f t="shared" si="164"/>
        <v>162</v>
      </c>
      <c r="Z233" s="262">
        <f t="shared" si="165"/>
        <v>27471752</v>
      </c>
      <c r="AA233" s="262">
        <f t="shared" si="166"/>
        <v>28898856</v>
      </c>
      <c r="AB233" s="431">
        <f t="shared" si="167"/>
        <v>23</v>
      </c>
      <c r="AC233" s="431">
        <f t="array" ref="AC233">MAX((IF(MNU_CODIGO_ALIMENTO_ENTREGA=CONCATENATE($E233,"_","P_"),MNU_GRAMAJE_REQUERIDO_TIPOC,"")))</f>
        <v>100</v>
      </c>
      <c r="AD233" s="259">
        <f t="shared" si="168"/>
        <v>7978</v>
      </c>
      <c r="AE233" s="259">
        <f t="shared" si="169"/>
        <v>183494</v>
      </c>
      <c r="AF233" s="452">
        <f t="shared" si="170"/>
        <v>154</v>
      </c>
      <c r="AG233" s="452">
        <f t="shared" si="171"/>
        <v>7.515200000000001</v>
      </c>
      <c r="AH233" s="452">
        <f t="shared" si="172"/>
        <v>0.13244246400000001</v>
      </c>
      <c r="AI233" s="452">
        <f t="shared" si="173"/>
        <v>162</v>
      </c>
      <c r="AJ233" s="260">
        <f t="shared" si="174"/>
        <v>28258076</v>
      </c>
      <c r="AK233" s="260">
        <f t="shared" si="175"/>
        <v>29726028</v>
      </c>
      <c r="AL233" s="432">
        <f t="shared" si="176"/>
        <v>23</v>
      </c>
      <c r="AM233" s="432">
        <f t="array" ref="AM233">MAX((IF(MNU_CODIGO_ALIMENTO_ENTREGA=CONCATENATE($E233,"_","P_"),MNU_GRAMAJE_REQUERIDO_TIPOM,"")))</f>
        <v>100</v>
      </c>
      <c r="AN233" s="261">
        <f t="shared" si="177"/>
        <v>285</v>
      </c>
      <c r="AO233" s="261">
        <f t="shared" si="178"/>
        <v>6555</v>
      </c>
      <c r="AP233" s="452">
        <f t="shared" si="179"/>
        <v>154</v>
      </c>
      <c r="AQ233" s="452">
        <f t="shared" si="180"/>
        <v>7.515200000000001</v>
      </c>
      <c r="AR233" s="452">
        <f t="shared" si="181"/>
        <v>0.13244246400000001</v>
      </c>
      <c r="AS233" s="452">
        <f t="shared" si="182"/>
        <v>162</v>
      </c>
      <c r="AT233" s="262">
        <f t="shared" si="183"/>
        <v>1009470</v>
      </c>
      <c r="AU233" s="262">
        <f t="shared" si="184"/>
        <v>1061910</v>
      </c>
      <c r="AV233" s="431">
        <f t="shared" si="185"/>
        <v>23</v>
      </c>
      <c r="AW233" s="431">
        <f t="array" ref="AW233">MAX((IF(MNU_CODIGO_ALIMENTO_ENTREGA=CONCATENATE($E233,"_","P_"),MNU_GRAMAJE_REQUERIDO_TIPOH,"")))</f>
        <v>100</v>
      </c>
      <c r="AX233" s="259">
        <f t="shared" si="186"/>
        <v>294</v>
      </c>
      <c r="AY233" s="259">
        <f t="shared" si="187"/>
        <v>6762</v>
      </c>
      <c r="AZ233" s="452">
        <f t="shared" si="188"/>
        <v>154</v>
      </c>
      <c r="BA233" s="452">
        <f t="shared" si="189"/>
        <v>7.515200000000001</v>
      </c>
      <c r="BB233" s="452">
        <f t="shared" si="190"/>
        <v>0.13244246400000001</v>
      </c>
      <c r="BC233" s="452">
        <f t="shared" si="191"/>
        <v>162</v>
      </c>
      <c r="BD233" s="260">
        <f t="shared" si="192"/>
        <v>1041348</v>
      </c>
      <c r="BE233" s="260">
        <f t="shared" si="193"/>
        <v>1095444</v>
      </c>
      <c r="BF233" s="397">
        <f t="shared" si="194"/>
        <v>78681526</v>
      </c>
      <c r="BG233" s="397">
        <f t="shared" si="195"/>
        <v>82768878</v>
      </c>
    </row>
    <row r="234" spans="1:59" ht="15.75">
      <c r="A234" s="338">
        <v>17</v>
      </c>
      <c r="B234" s="338" t="str">
        <f t="shared" si="147"/>
        <v>FRUTA_17</v>
      </c>
      <c r="C234" s="338" t="str">
        <f t="shared" si="148"/>
        <v>59_17</v>
      </c>
      <c r="D234" s="338" t="s">
        <v>1</v>
      </c>
      <c r="E234" s="258">
        <v>59</v>
      </c>
      <c r="F234" s="328" t="s">
        <v>99</v>
      </c>
      <c r="G234" s="258" t="s">
        <v>9</v>
      </c>
      <c r="H234" s="431">
        <f t="shared" si="149"/>
        <v>0</v>
      </c>
      <c r="I234" s="431">
        <f t="array" ref="I234">MAX((IF(MNU_CODIGO_ALIMENTO_ENTREGA=CONCATENATE($E234,"_","P_"),MNU_GRAMAJE_REQUERIDO_TIPOA,"")))</f>
        <v>0</v>
      </c>
      <c r="J234" s="259">
        <f t="shared" si="150"/>
        <v>5655</v>
      </c>
      <c r="K234" s="259">
        <f t="shared" si="151"/>
        <v>0</v>
      </c>
      <c r="L234" s="452">
        <f t="shared" si="152"/>
        <v>0</v>
      </c>
      <c r="M234" s="452">
        <f t="shared" si="153"/>
        <v>0</v>
      </c>
      <c r="N234" s="452">
        <f t="shared" si="154"/>
        <v>0</v>
      </c>
      <c r="O234" s="452">
        <f t="shared" si="155"/>
        <v>0</v>
      </c>
      <c r="P234" s="260">
        <f t="shared" si="156"/>
        <v>0</v>
      </c>
      <c r="Q234" s="260">
        <f t="shared" si="157"/>
        <v>0</v>
      </c>
      <c r="R234" s="432">
        <f t="shared" si="158"/>
        <v>8</v>
      </c>
      <c r="S234" s="432">
        <f t="array" ref="S234">MAX((IF(MNU_CODIGO_ALIMENTO_ENTREGA=CONCATENATE($E234,"_","P_"),MNU_GRAMAJE_REQUERIDO_TIPOB,"")))</f>
        <v>100</v>
      </c>
      <c r="T234" s="261">
        <f t="shared" si="159"/>
        <v>7756</v>
      </c>
      <c r="U234" s="261">
        <f t="shared" si="160"/>
        <v>62048</v>
      </c>
      <c r="V234" s="452">
        <f t="shared" si="161"/>
        <v>286</v>
      </c>
      <c r="W234" s="452">
        <f t="shared" si="162"/>
        <v>13.956800000000001</v>
      </c>
      <c r="X234" s="452">
        <f t="shared" si="163"/>
        <v>0.24596457599999999</v>
      </c>
      <c r="Y234" s="452">
        <f t="shared" si="164"/>
        <v>300</v>
      </c>
      <c r="Z234" s="262">
        <f t="shared" si="165"/>
        <v>17745728</v>
      </c>
      <c r="AA234" s="262">
        <f t="shared" si="166"/>
        <v>18614400</v>
      </c>
      <c r="AB234" s="431">
        <f t="shared" si="167"/>
        <v>8</v>
      </c>
      <c r="AC234" s="431">
        <f t="array" ref="AC234">MAX((IF(MNU_CODIGO_ALIMENTO_ENTREGA=CONCATENATE($E234,"_","P_"),MNU_GRAMAJE_REQUERIDO_TIPOC,"")))</f>
        <v>100</v>
      </c>
      <c r="AD234" s="259">
        <f t="shared" si="168"/>
        <v>7978</v>
      </c>
      <c r="AE234" s="259">
        <f t="shared" si="169"/>
        <v>63824</v>
      </c>
      <c r="AF234" s="452">
        <f t="shared" si="170"/>
        <v>286</v>
      </c>
      <c r="AG234" s="452">
        <f t="shared" si="171"/>
        <v>13.956800000000001</v>
      </c>
      <c r="AH234" s="452">
        <f t="shared" si="172"/>
        <v>0.24596457599999999</v>
      </c>
      <c r="AI234" s="452">
        <f t="shared" si="173"/>
        <v>300</v>
      </c>
      <c r="AJ234" s="260">
        <f t="shared" si="174"/>
        <v>18253664</v>
      </c>
      <c r="AK234" s="260">
        <f t="shared" si="175"/>
        <v>19147200</v>
      </c>
      <c r="AL234" s="432">
        <f t="shared" si="176"/>
        <v>8</v>
      </c>
      <c r="AM234" s="432">
        <f t="array" ref="AM234">MAX((IF(MNU_CODIGO_ALIMENTO_ENTREGA=CONCATENATE($E234,"_","P_"),MNU_GRAMAJE_REQUERIDO_TIPOM,"")))</f>
        <v>100</v>
      </c>
      <c r="AN234" s="261">
        <f t="shared" si="177"/>
        <v>285</v>
      </c>
      <c r="AO234" s="261">
        <f t="shared" si="178"/>
        <v>2280</v>
      </c>
      <c r="AP234" s="452">
        <f t="shared" si="179"/>
        <v>286</v>
      </c>
      <c r="AQ234" s="452">
        <f t="shared" si="180"/>
        <v>13.956800000000001</v>
      </c>
      <c r="AR234" s="452">
        <f t="shared" si="181"/>
        <v>0.24596457599999999</v>
      </c>
      <c r="AS234" s="452">
        <f t="shared" si="182"/>
        <v>300</v>
      </c>
      <c r="AT234" s="262">
        <f t="shared" si="183"/>
        <v>652080</v>
      </c>
      <c r="AU234" s="262">
        <f t="shared" si="184"/>
        <v>684000</v>
      </c>
      <c r="AV234" s="431">
        <f t="shared" si="185"/>
        <v>8</v>
      </c>
      <c r="AW234" s="431">
        <f t="array" ref="AW234">MAX((IF(MNU_CODIGO_ALIMENTO_ENTREGA=CONCATENATE($E234,"_","P_"),MNU_GRAMAJE_REQUERIDO_TIPOH,"")))</f>
        <v>100</v>
      </c>
      <c r="AX234" s="259">
        <f t="shared" si="186"/>
        <v>294</v>
      </c>
      <c r="AY234" s="259">
        <f t="shared" si="187"/>
        <v>2352</v>
      </c>
      <c r="AZ234" s="452">
        <f t="shared" si="188"/>
        <v>286</v>
      </c>
      <c r="BA234" s="452">
        <f t="shared" si="189"/>
        <v>13.956800000000001</v>
      </c>
      <c r="BB234" s="452">
        <f t="shared" si="190"/>
        <v>0.24596457599999999</v>
      </c>
      <c r="BC234" s="452">
        <f t="shared" si="191"/>
        <v>300</v>
      </c>
      <c r="BD234" s="260">
        <f t="shared" si="192"/>
        <v>672672</v>
      </c>
      <c r="BE234" s="260">
        <f t="shared" si="193"/>
        <v>705600</v>
      </c>
      <c r="BF234" s="397">
        <f t="shared" si="194"/>
        <v>37324144</v>
      </c>
      <c r="BG234" s="397">
        <f t="shared" si="195"/>
        <v>39151200</v>
      </c>
    </row>
    <row r="235" spans="1:59" ht="15.75">
      <c r="A235" s="338">
        <v>17</v>
      </c>
      <c r="B235" s="338" t="str">
        <f t="shared" si="147"/>
        <v>FRUTA_17</v>
      </c>
      <c r="C235" s="338" t="str">
        <f t="shared" si="148"/>
        <v>69_17</v>
      </c>
      <c r="D235" s="338" t="s">
        <v>1</v>
      </c>
      <c r="E235" s="258">
        <v>69</v>
      </c>
      <c r="F235" s="328" t="s">
        <v>70</v>
      </c>
      <c r="G235" s="258" t="s">
        <v>9</v>
      </c>
      <c r="H235" s="431">
        <f t="shared" si="149"/>
        <v>30</v>
      </c>
      <c r="I235" s="431">
        <f t="array" ref="I235">MAX((IF(MNU_CODIGO_ALIMENTO_ENTREGA=CONCATENATE($E235,"_","P_"),MNU_GRAMAJE_REQUERIDO_TIPOA,"")))</f>
        <v>100</v>
      </c>
      <c r="J235" s="259">
        <f t="shared" si="150"/>
        <v>5655</v>
      </c>
      <c r="K235" s="259">
        <f t="shared" si="151"/>
        <v>169650</v>
      </c>
      <c r="L235" s="452">
        <f t="shared" si="152"/>
        <v>305</v>
      </c>
      <c r="M235" s="452">
        <f t="shared" si="153"/>
        <v>14.884</v>
      </c>
      <c r="N235" s="452">
        <f t="shared" si="154"/>
        <v>0.26230488000000002</v>
      </c>
      <c r="O235" s="452">
        <f t="shared" si="155"/>
        <v>320</v>
      </c>
      <c r="P235" s="260">
        <f t="shared" si="156"/>
        <v>51743250</v>
      </c>
      <c r="Q235" s="260">
        <f t="shared" si="157"/>
        <v>54288000</v>
      </c>
      <c r="R235" s="432">
        <f t="shared" si="158"/>
        <v>16</v>
      </c>
      <c r="S235" s="432">
        <f t="array" ref="S235">MAX((IF(MNU_CODIGO_ALIMENTO_ENTREGA=CONCATENATE($E235,"_","P_"),MNU_GRAMAJE_REQUERIDO_TIPOB,"")))</f>
        <v>100</v>
      </c>
      <c r="T235" s="261">
        <f t="shared" si="159"/>
        <v>7756</v>
      </c>
      <c r="U235" s="261">
        <f t="shared" si="160"/>
        <v>124096</v>
      </c>
      <c r="V235" s="452">
        <f t="shared" si="161"/>
        <v>305</v>
      </c>
      <c r="W235" s="452">
        <f t="shared" si="162"/>
        <v>14.884</v>
      </c>
      <c r="X235" s="452">
        <f t="shared" si="163"/>
        <v>0.26230488000000002</v>
      </c>
      <c r="Y235" s="452">
        <f t="shared" si="164"/>
        <v>320</v>
      </c>
      <c r="Z235" s="262">
        <f t="shared" si="165"/>
        <v>37849280</v>
      </c>
      <c r="AA235" s="262">
        <f t="shared" si="166"/>
        <v>39710720</v>
      </c>
      <c r="AB235" s="431">
        <f t="shared" si="167"/>
        <v>16</v>
      </c>
      <c r="AC235" s="431">
        <f t="array" ref="AC235">MAX((IF(MNU_CODIGO_ALIMENTO_ENTREGA=CONCATENATE($E235,"_","P_"),MNU_GRAMAJE_REQUERIDO_TIPOC,"")))</f>
        <v>100</v>
      </c>
      <c r="AD235" s="259">
        <f t="shared" si="168"/>
        <v>7978</v>
      </c>
      <c r="AE235" s="259">
        <f t="shared" si="169"/>
        <v>127648</v>
      </c>
      <c r="AF235" s="452">
        <f t="shared" si="170"/>
        <v>305</v>
      </c>
      <c r="AG235" s="452">
        <f t="shared" si="171"/>
        <v>14.884</v>
      </c>
      <c r="AH235" s="452">
        <f t="shared" si="172"/>
        <v>0.26230488000000002</v>
      </c>
      <c r="AI235" s="452">
        <f t="shared" si="173"/>
        <v>320</v>
      </c>
      <c r="AJ235" s="260">
        <f t="shared" si="174"/>
        <v>38932640</v>
      </c>
      <c r="AK235" s="260">
        <f t="shared" si="175"/>
        <v>40847360</v>
      </c>
      <c r="AL235" s="432">
        <f t="shared" si="176"/>
        <v>16</v>
      </c>
      <c r="AM235" s="432">
        <f t="array" ref="AM235">MAX((IF(MNU_CODIGO_ALIMENTO_ENTREGA=CONCATENATE($E235,"_","P_"),MNU_GRAMAJE_REQUERIDO_TIPOM,"")))</f>
        <v>100</v>
      </c>
      <c r="AN235" s="261">
        <f t="shared" si="177"/>
        <v>285</v>
      </c>
      <c r="AO235" s="261">
        <f t="shared" si="178"/>
        <v>4560</v>
      </c>
      <c r="AP235" s="452">
        <f t="shared" si="179"/>
        <v>305</v>
      </c>
      <c r="AQ235" s="452">
        <f t="shared" si="180"/>
        <v>14.884</v>
      </c>
      <c r="AR235" s="452">
        <f t="shared" si="181"/>
        <v>0.26230488000000002</v>
      </c>
      <c r="AS235" s="452">
        <f t="shared" si="182"/>
        <v>320</v>
      </c>
      <c r="AT235" s="262">
        <f t="shared" si="183"/>
        <v>1390800</v>
      </c>
      <c r="AU235" s="262">
        <f t="shared" si="184"/>
        <v>1459200</v>
      </c>
      <c r="AV235" s="431">
        <f t="shared" si="185"/>
        <v>16</v>
      </c>
      <c r="AW235" s="431">
        <f t="array" ref="AW235">MAX((IF(MNU_CODIGO_ALIMENTO_ENTREGA=CONCATENATE($E235,"_","P_"),MNU_GRAMAJE_REQUERIDO_TIPOH,"")))</f>
        <v>100</v>
      </c>
      <c r="AX235" s="259">
        <f t="shared" si="186"/>
        <v>294</v>
      </c>
      <c r="AY235" s="259">
        <f t="shared" si="187"/>
        <v>4704</v>
      </c>
      <c r="AZ235" s="452">
        <f t="shared" si="188"/>
        <v>305</v>
      </c>
      <c r="BA235" s="452">
        <f t="shared" si="189"/>
        <v>14.884</v>
      </c>
      <c r="BB235" s="452">
        <f t="shared" si="190"/>
        <v>0.26230488000000002</v>
      </c>
      <c r="BC235" s="452">
        <f t="shared" si="191"/>
        <v>320</v>
      </c>
      <c r="BD235" s="260">
        <f t="shared" si="192"/>
        <v>1434720</v>
      </c>
      <c r="BE235" s="260">
        <f t="shared" si="193"/>
        <v>1505280</v>
      </c>
      <c r="BF235" s="397">
        <f t="shared" si="194"/>
        <v>131350690</v>
      </c>
      <c r="BG235" s="397">
        <f t="shared" si="195"/>
        <v>137810560</v>
      </c>
    </row>
    <row r="236" spans="1:59" ht="15.75">
      <c r="A236" s="338">
        <v>17</v>
      </c>
      <c r="B236" s="338" t="str">
        <f t="shared" si="147"/>
        <v>FRUTA_17</v>
      </c>
      <c r="C236" s="338" t="str">
        <f t="shared" si="148"/>
        <v>70_17</v>
      </c>
      <c r="D236" s="338" t="s">
        <v>1</v>
      </c>
      <c r="E236" s="258">
        <v>70</v>
      </c>
      <c r="F236" s="328" t="s">
        <v>71</v>
      </c>
      <c r="G236" s="258" t="s">
        <v>9</v>
      </c>
      <c r="H236" s="431">
        <f t="shared" si="149"/>
        <v>0</v>
      </c>
      <c r="I236" s="431">
        <f t="array" ref="I236">MAX((IF(MNU_CODIGO_ALIMENTO_ENTREGA=CONCATENATE($E236,"_","P_"),MNU_GRAMAJE_REQUERIDO_TIPOA,"")))</f>
        <v>0</v>
      </c>
      <c r="J236" s="259">
        <f t="shared" si="150"/>
        <v>5655</v>
      </c>
      <c r="K236" s="259">
        <f t="shared" si="151"/>
        <v>0</v>
      </c>
      <c r="L236" s="452">
        <f t="shared" si="152"/>
        <v>0</v>
      </c>
      <c r="M236" s="452">
        <f t="shared" si="153"/>
        <v>0</v>
      </c>
      <c r="N236" s="452">
        <f t="shared" si="154"/>
        <v>0</v>
      </c>
      <c r="O236" s="452">
        <f t="shared" si="155"/>
        <v>0</v>
      </c>
      <c r="P236" s="260">
        <f t="shared" si="156"/>
        <v>0</v>
      </c>
      <c r="Q236" s="260">
        <f t="shared" si="157"/>
        <v>0</v>
      </c>
      <c r="R236" s="432">
        <f t="shared" si="158"/>
        <v>10</v>
      </c>
      <c r="S236" s="432">
        <f t="array" ref="S236">MAX((IF(MNU_CODIGO_ALIMENTO_ENTREGA=CONCATENATE($E236,"_","P_"),MNU_GRAMAJE_REQUERIDO_TIPOB,"")))</f>
        <v>100</v>
      </c>
      <c r="T236" s="261">
        <f t="shared" si="159"/>
        <v>7756</v>
      </c>
      <c r="U236" s="261">
        <f t="shared" si="160"/>
        <v>77560</v>
      </c>
      <c r="V236" s="452">
        <f t="shared" si="161"/>
        <v>434</v>
      </c>
      <c r="W236" s="452">
        <f t="shared" si="162"/>
        <v>21.179200000000002</v>
      </c>
      <c r="X236" s="452">
        <f t="shared" si="163"/>
        <v>0.37324694399999997</v>
      </c>
      <c r="Y236" s="452">
        <f t="shared" si="164"/>
        <v>456</v>
      </c>
      <c r="Z236" s="262">
        <f t="shared" si="165"/>
        <v>33661040</v>
      </c>
      <c r="AA236" s="262">
        <f t="shared" si="166"/>
        <v>35367360</v>
      </c>
      <c r="AB236" s="431">
        <f t="shared" si="167"/>
        <v>10</v>
      </c>
      <c r="AC236" s="431">
        <f t="array" ref="AC236">MAX((IF(MNU_CODIGO_ALIMENTO_ENTREGA=CONCATENATE($E236,"_","P_"),MNU_GRAMAJE_REQUERIDO_TIPOC,"")))</f>
        <v>100</v>
      </c>
      <c r="AD236" s="259">
        <f t="shared" si="168"/>
        <v>7978</v>
      </c>
      <c r="AE236" s="259">
        <f t="shared" si="169"/>
        <v>79780</v>
      </c>
      <c r="AF236" s="452">
        <f t="shared" si="170"/>
        <v>434</v>
      </c>
      <c r="AG236" s="452">
        <f t="shared" si="171"/>
        <v>21.179200000000002</v>
      </c>
      <c r="AH236" s="452">
        <f t="shared" si="172"/>
        <v>0.37324694399999997</v>
      </c>
      <c r="AI236" s="452">
        <f t="shared" si="173"/>
        <v>456</v>
      </c>
      <c r="AJ236" s="260">
        <f t="shared" si="174"/>
        <v>34624520</v>
      </c>
      <c r="AK236" s="260">
        <f t="shared" si="175"/>
        <v>36379680</v>
      </c>
      <c r="AL236" s="432">
        <f t="shared" si="176"/>
        <v>10</v>
      </c>
      <c r="AM236" s="432">
        <f t="array" ref="AM236">MAX((IF(MNU_CODIGO_ALIMENTO_ENTREGA=CONCATENATE($E236,"_","P_"),MNU_GRAMAJE_REQUERIDO_TIPOM,"")))</f>
        <v>100</v>
      </c>
      <c r="AN236" s="261">
        <f t="shared" si="177"/>
        <v>285</v>
      </c>
      <c r="AO236" s="261">
        <f t="shared" si="178"/>
        <v>2850</v>
      </c>
      <c r="AP236" s="452">
        <f t="shared" si="179"/>
        <v>434</v>
      </c>
      <c r="AQ236" s="452">
        <f t="shared" si="180"/>
        <v>21.179200000000002</v>
      </c>
      <c r="AR236" s="452">
        <f t="shared" si="181"/>
        <v>0.37324694399999997</v>
      </c>
      <c r="AS236" s="452">
        <f t="shared" si="182"/>
        <v>456</v>
      </c>
      <c r="AT236" s="262">
        <f t="shared" si="183"/>
        <v>1236900</v>
      </c>
      <c r="AU236" s="262">
        <f t="shared" si="184"/>
        <v>1299600</v>
      </c>
      <c r="AV236" s="431">
        <f t="shared" si="185"/>
        <v>10</v>
      </c>
      <c r="AW236" s="431">
        <f t="array" ref="AW236">MAX((IF(MNU_CODIGO_ALIMENTO_ENTREGA=CONCATENATE($E236,"_","P_"),MNU_GRAMAJE_REQUERIDO_TIPOH,"")))</f>
        <v>100</v>
      </c>
      <c r="AX236" s="259">
        <f t="shared" si="186"/>
        <v>294</v>
      </c>
      <c r="AY236" s="259">
        <f t="shared" si="187"/>
        <v>2940</v>
      </c>
      <c r="AZ236" s="452">
        <f t="shared" si="188"/>
        <v>434</v>
      </c>
      <c r="BA236" s="452">
        <f t="shared" si="189"/>
        <v>21.179200000000002</v>
      </c>
      <c r="BB236" s="452">
        <f t="shared" si="190"/>
        <v>0.37324694399999997</v>
      </c>
      <c r="BC236" s="452">
        <f t="shared" si="191"/>
        <v>456</v>
      </c>
      <c r="BD236" s="260">
        <f t="shared" si="192"/>
        <v>1275960</v>
      </c>
      <c r="BE236" s="260">
        <f t="shared" si="193"/>
        <v>1340640</v>
      </c>
      <c r="BF236" s="397">
        <f t="shared" si="194"/>
        <v>70798420</v>
      </c>
      <c r="BG236" s="397">
        <f t="shared" si="195"/>
        <v>74387280</v>
      </c>
    </row>
    <row r="237" spans="1:59" ht="15.75">
      <c r="A237" s="338">
        <v>18</v>
      </c>
      <c r="B237" s="338" t="str">
        <f t="shared" si="147"/>
        <v>FRUTA_18</v>
      </c>
      <c r="C237" s="338" t="str">
        <f t="shared" si="148"/>
        <v>7_18</v>
      </c>
      <c r="D237" s="338" t="s">
        <v>1</v>
      </c>
      <c r="E237" s="258">
        <v>7</v>
      </c>
      <c r="F237" s="328" t="s">
        <v>57</v>
      </c>
      <c r="G237" s="258" t="s">
        <v>9</v>
      </c>
      <c r="H237" s="431">
        <f t="shared" si="149"/>
        <v>22</v>
      </c>
      <c r="I237" s="431">
        <f t="array" ref="I237">MAX((IF(MNU_CODIGO_ALIMENTO_ENTREGA=CONCATENATE($E237,"_","P_"),MNU_GRAMAJE_REQUERIDO_TIPOA,"")))</f>
        <v>100</v>
      </c>
      <c r="J237" s="259">
        <f t="shared" si="150"/>
        <v>6647</v>
      </c>
      <c r="K237" s="259">
        <f t="shared" si="151"/>
        <v>146234</v>
      </c>
      <c r="L237" s="452">
        <f t="shared" si="152"/>
        <v>107</v>
      </c>
      <c r="M237" s="452">
        <f t="shared" si="153"/>
        <v>5.2216000000000005</v>
      </c>
      <c r="N237" s="452">
        <f t="shared" si="154"/>
        <v>9.2021712000000006E-2</v>
      </c>
      <c r="O237" s="452">
        <f t="shared" si="155"/>
        <v>112</v>
      </c>
      <c r="P237" s="260">
        <f t="shared" si="156"/>
        <v>15647038</v>
      </c>
      <c r="Q237" s="260">
        <f t="shared" si="157"/>
        <v>16378208</v>
      </c>
      <c r="R237" s="432">
        <f t="shared" si="158"/>
        <v>9</v>
      </c>
      <c r="S237" s="432">
        <f t="array" ref="S237">MAX((IF(MNU_CODIGO_ALIMENTO_ENTREGA=CONCATENATE($E237,"_","P_"),MNU_GRAMAJE_REQUERIDO_TIPOB,"")))</f>
        <v>100</v>
      </c>
      <c r="T237" s="261">
        <f t="shared" si="159"/>
        <v>7022</v>
      </c>
      <c r="U237" s="261">
        <f t="shared" si="160"/>
        <v>63198</v>
      </c>
      <c r="V237" s="452">
        <f t="shared" si="161"/>
        <v>107</v>
      </c>
      <c r="W237" s="452">
        <f t="shared" si="162"/>
        <v>5.2216000000000005</v>
      </c>
      <c r="X237" s="452">
        <f t="shared" si="163"/>
        <v>9.2021712000000006E-2</v>
      </c>
      <c r="Y237" s="452">
        <f t="shared" si="164"/>
        <v>112</v>
      </c>
      <c r="Z237" s="262">
        <f t="shared" si="165"/>
        <v>6762186</v>
      </c>
      <c r="AA237" s="262">
        <f t="shared" si="166"/>
        <v>7078176</v>
      </c>
      <c r="AB237" s="431">
        <f t="shared" si="167"/>
        <v>9</v>
      </c>
      <c r="AC237" s="431">
        <f t="array" ref="AC237">MAX((IF(MNU_CODIGO_ALIMENTO_ENTREGA=CONCATENATE($E237,"_","P_"),MNU_GRAMAJE_REQUERIDO_TIPOC,"")))</f>
        <v>100</v>
      </c>
      <c r="AD237" s="259">
        <f t="shared" si="168"/>
        <v>5592</v>
      </c>
      <c r="AE237" s="259">
        <f t="shared" si="169"/>
        <v>50328</v>
      </c>
      <c r="AF237" s="452">
        <f t="shared" si="170"/>
        <v>107</v>
      </c>
      <c r="AG237" s="452">
        <f t="shared" si="171"/>
        <v>5.2216000000000005</v>
      </c>
      <c r="AH237" s="452">
        <f t="shared" si="172"/>
        <v>9.2021712000000006E-2</v>
      </c>
      <c r="AI237" s="452">
        <f t="shared" si="173"/>
        <v>112</v>
      </c>
      <c r="AJ237" s="260">
        <f t="shared" si="174"/>
        <v>5385096</v>
      </c>
      <c r="AK237" s="260">
        <f t="shared" si="175"/>
        <v>5636736</v>
      </c>
      <c r="AL237" s="432">
        <f t="shared" si="176"/>
        <v>9</v>
      </c>
      <c r="AM237" s="432">
        <f t="array" ref="AM237">MAX((IF(MNU_CODIGO_ALIMENTO_ENTREGA=CONCATENATE($E237,"_","P_"),MNU_GRAMAJE_REQUERIDO_TIPOM,"")))</f>
        <v>100</v>
      </c>
      <c r="AN237" s="261">
        <f t="shared" si="177"/>
        <v>338</v>
      </c>
      <c r="AO237" s="261">
        <f t="shared" si="178"/>
        <v>3042</v>
      </c>
      <c r="AP237" s="452">
        <f t="shared" si="179"/>
        <v>107</v>
      </c>
      <c r="AQ237" s="452">
        <f t="shared" si="180"/>
        <v>5.2216000000000005</v>
      </c>
      <c r="AR237" s="452">
        <f t="shared" si="181"/>
        <v>9.2021712000000006E-2</v>
      </c>
      <c r="AS237" s="452">
        <f t="shared" si="182"/>
        <v>112</v>
      </c>
      <c r="AT237" s="262">
        <f t="shared" si="183"/>
        <v>325494</v>
      </c>
      <c r="AU237" s="262">
        <f t="shared" si="184"/>
        <v>340704</v>
      </c>
      <c r="AV237" s="431">
        <f t="shared" si="185"/>
        <v>9</v>
      </c>
      <c r="AW237" s="431">
        <f t="array" ref="AW237">MAX((IF(MNU_CODIGO_ALIMENTO_ENTREGA=CONCATENATE($E237,"_","P_"),MNU_GRAMAJE_REQUERIDO_TIPOH,"")))</f>
        <v>100</v>
      </c>
      <c r="AX237" s="259">
        <f t="shared" si="186"/>
        <v>354</v>
      </c>
      <c r="AY237" s="259">
        <f t="shared" si="187"/>
        <v>3186</v>
      </c>
      <c r="AZ237" s="452">
        <f t="shared" si="188"/>
        <v>107</v>
      </c>
      <c r="BA237" s="452">
        <f t="shared" si="189"/>
        <v>5.2216000000000005</v>
      </c>
      <c r="BB237" s="452">
        <f t="shared" si="190"/>
        <v>9.2021712000000006E-2</v>
      </c>
      <c r="BC237" s="452">
        <f t="shared" si="191"/>
        <v>112</v>
      </c>
      <c r="BD237" s="260">
        <f t="shared" si="192"/>
        <v>340902</v>
      </c>
      <c r="BE237" s="260">
        <f t="shared" si="193"/>
        <v>356832</v>
      </c>
      <c r="BF237" s="397">
        <f t="shared" si="194"/>
        <v>28460716</v>
      </c>
      <c r="BG237" s="397">
        <f t="shared" si="195"/>
        <v>29790656</v>
      </c>
    </row>
    <row r="238" spans="1:59" ht="15.75">
      <c r="A238" s="338">
        <v>18</v>
      </c>
      <c r="B238" s="338" t="str">
        <f t="shared" si="147"/>
        <v>FRUTA_18</v>
      </c>
      <c r="C238" s="338" t="str">
        <f t="shared" si="148"/>
        <v>8_18</v>
      </c>
      <c r="D238" s="338" t="s">
        <v>1</v>
      </c>
      <c r="E238" s="258">
        <v>8</v>
      </c>
      <c r="F238" s="328" t="s">
        <v>55</v>
      </c>
      <c r="G238" s="258" t="s">
        <v>9</v>
      </c>
      <c r="H238" s="431">
        <f t="shared" si="149"/>
        <v>10</v>
      </c>
      <c r="I238" s="431">
        <f t="array" ref="I238">MAX((IF(MNU_CODIGO_ALIMENTO_ENTREGA=CONCATENATE($E238,"_","P_"),MNU_GRAMAJE_REQUERIDO_TIPOA,"")))</f>
        <v>100</v>
      </c>
      <c r="J238" s="259">
        <f t="shared" si="150"/>
        <v>6647</v>
      </c>
      <c r="K238" s="259">
        <f t="shared" si="151"/>
        <v>66470</v>
      </c>
      <c r="L238" s="452">
        <f t="shared" si="152"/>
        <v>134</v>
      </c>
      <c r="M238" s="452">
        <f t="shared" si="153"/>
        <v>6.539200000000001</v>
      </c>
      <c r="N238" s="452">
        <f t="shared" si="154"/>
        <v>0.115242144</v>
      </c>
      <c r="O238" s="452">
        <f t="shared" si="155"/>
        <v>141</v>
      </c>
      <c r="P238" s="260">
        <f t="shared" si="156"/>
        <v>8906980</v>
      </c>
      <c r="Q238" s="260">
        <f t="shared" si="157"/>
        <v>9372270</v>
      </c>
      <c r="R238" s="432">
        <f t="shared" si="158"/>
        <v>8</v>
      </c>
      <c r="S238" s="432">
        <f t="array" ref="S238">MAX((IF(MNU_CODIGO_ALIMENTO_ENTREGA=CONCATENATE($E238,"_","P_"),MNU_GRAMAJE_REQUERIDO_TIPOB,"")))</f>
        <v>100</v>
      </c>
      <c r="T238" s="261">
        <f t="shared" si="159"/>
        <v>7022</v>
      </c>
      <c r="U238" s="261">
        <f t="shared" si="160"/>
        <v>56176</v>
      </c>
      <c r="V238" s="452">
        <f t="shared" si="161"/>
        <v>134</v>
      </c>
      <c r="W238" s="452">
        <f t="shared" si="162"/>
        <v>6.539200000000001</v>
      </c>
      <c r="X238" s="452">
        <f t="shared" si="163"/>
        <v>0.115242144</v>
      </c>
      <c r="Y238" s="452">
        <f t="shared" si="164"/>
        <v>141</v>
      </c>
      <c r="Z238" s="262">
        <f t="shared" si="165"/>
        <v>7527584</v>
      </c>
      <c r="AA238" s="262">
        <f t="shared" si="166"/>
        <v>7920816</v>
      </c>
      <c r="AB238" s="431">
        <f t="shared" si="167"/>
        <v>8</v>
      </c>
      <c r="AC238" s="431">
        <f t="array" ref="AC238">MAX((IF(MNU_CODIGO_ALIMENTO_ENTREGA=CONCATENATE($E238,"_","P_"),MNU_GRAMAJE_REQUERIDO_TIPOC,"")))</f>
        <v>100</v>
      </c>
      <c r="AD238" s="259">
        <f t="shared" si="168"/>
        <v>5592</v>
      </c>
      <c r="AE238" s="259">
        <f t="shared" si="169"/>
        <v>44736</v>
      </c>
      <c r="AF238" s="452">
        <f t="shared" si="170"/>
        <v>134</v>
      </c>
      <c r="AG238" s="452">
        <f t="shared" si="171"/>
        <v>6.539200000000001</v>
      </c>
      <c r="AH238" s="452">
        <f t="shared" si="172"/>
        <v>0.115242144</v>
      </c>
      <c r="AI238" s="452">
        <f t="shared" si="173"/>
        <v>141</v>
      </c>
      <c r="AJ238" s="260">
        <f t="shared" si="174"/>
        <v>5994624</v>
      </c>
      <c r="AK238" s="260">
        <f t="shared" si="175"/>
        <v>6307776</v>
      </c>
      <c r="AL238" s="432">
        <f t="shared" si="176"/>
        <v>8</v>
      </c>
      <c r="AM238" s="432">
        <f t="array" ref="AM238">MAX((IF(MNU_CODIGO_ALIMENTO_ENTREGA=CONCATENATE($E238,"_","P_"),MNU_GRAMAJE_REQUERIDO_TIPOM,"")))</f>
        <v>100</v>
      </c>
      <c r="AN238" s="261">
        <f t="shared" si="177"/>
        <v>338</v>
      </c>
      <c r="AO238" s="261">
        <f t="shared" si="178"/>
        <v>2704</v>
      </c>
      <c r="AP238" s="452">
        <f t="shared" si="179"/>
        <v>134</v>
      </c>
      <c r="AQ238" s="452">
        <f t="shared" si="180"/>
        <v>6.539200000000001</v>
      </c>
      <c r="AR238" s="452">
        <f t="shared" si="181"/>
        <v>0.115242144</v>
      </c>
      <c r="AS238" s="452">
        <f t="shared" si="182"/>
        <v>141</v>
      </c>
      <c r="AT238" s="262">
        <f t="shared" si="183"/>
        <v>362336</v>
      </c>
      <c r="AU238" s="262">
        <f t="shared" si="184"/>
        <v>381264</v>
      </c>
      <c r="AV238" s="431">
        <f t="shared" si="185"/>
        <v>8</v>
      </c>
      <c r="AW238" s="431">
        <f t="array" ref="AW238">MAX((IF(MNU_CODIGO_ALIMENTO_ENTREGA=CONCATENATE($E238,"_","P_"),MNU_GRAMAJE_REQUERIDO_TIPOH,"")))</f>
        <v>100</v>
      </c>
      <c r="AX238" s="259">
        <f t="shared" si="186"/>
        <v>354</v>
      </c>
      <c r="AY238" s="259">
        <f t="shared" si="187"/>
        <v>2832</v>
      </c>
      <c r="AZ238" s="452">
        <f t="shared" si="188"/>
        <v>134</v>
      </c>
      <c r="BA238" s="452">
        <f t="shared" si="189"/>
        <v>6.539200000000001</v>
      </c>
      <c r="BB238" s="452">
        <f t="shared" si="190"/>
        <v>0.115242144</v>
      </c>
      <c r="BC238" s="452">
        <f t="shared" si="191"/>
        <v>141</v>
      </c>
      <c r="BD238" s="260">
        <f t="shared" si="192"/>
        <v>379488</v>
      </c>
      <c r="BE238" s="260">
        <f t="shared" si="193"/>
        <v>399312</v>
      </c>
      <c r="BF238" s="397">
        <f t="shared" si="194"/>
        <v>23171012</v>
      </c>
      <c r="BG238" s="397">
        <f t="shared" si="195"/>
        <v>24381438</v>
      </c>
    </row>
    <row r="239" spans="1:59" ht="15.75">
      <c r="A239" s="338">
        <v>18</v>
      </c>
      <c r="B239" s="338" t="str">
        <f t="shared" si="147"/>
        <v>FRUTA_18</v>
      </c>
      <c r="C239" s="338" t="str">
        <f t="shared" si="148"/>
        <v>17_18</v>
      </c>
      <c r="D239" s="338" t="s">
        <v>1</v>
      </c>
      <c r="E239" s="258">
        <v>17</v>
      </c>
      <c r="F239" s="328" t="s">
        <v>53</v>
      </c>
      <c r="G239" s="258" t="s">
        <v>9</v>
      </c>
      <c r="H239" s="431">
        <f t="shared" si="149"/>
        <v>0</v>
      </c>
      <c r="I239" s="431">
        <f t="array" ref="I239">MAX((IF(MNU_CODIGO_ALIMENTO_ENTREGA=CONCATENATE($E239,"_","P_"),MNU_GRAMAJE_REQUERIDO_TIPOA,"")))</f>
        <v>0</v>
      </c>
      <c r="J239" s="259">
        <f t="shared" si="150"/>
        <v>6647</v>
      </c>
      <c r="K239" s="259">
        <f t="shared" si="151"/>
        <v>0</v>
      </c>
      <c r="L239" s="452">
        <f t="shared" si="152"/>
        <v>0</v>
      </c>
      <c r="M239" s="452">
        <f t="shared" si="153"/>
        <v>0</v>
      </c>
      <c r="N239" s="452">
        <f t="shared" si="154"/>
        <v>0</v>
      </c>
      <c r="O239" s="452">
        <f t="shared" si="155"/>
        <v>0</v>
      </c>
      <c r="P239" s="260">
        <f t="shared" si="156"/>
        <v>0</v>
      </c>
      <c r="Q239" s="260">
        <f t="shared" si="157"/>
        <v>0</v>
      </c>
      <c r="R239" s="432">
        <f t="shared" si="158"/>
        <v>21</v>
      </c>
      <c r="S239" s="432">
        <f t="array" ref="S239">MAX((IF(MNU_CODIGO_ALIMENTO_ENTREGA=CONCATENATE($E239,"_","P_"),MNU_GRAMAJE_REQUERIDO_TIPOB,"")))</f>
        <v>100</v>
      </c>
      <c r="T239" s="261">
        <f t="shared" si="159"/>
        <v>7022</v>
      </c>
      <c r="U239" s="261">
        <f t="shared" si="160"/>
        <v>147462</v>
      </c>
      <c r="V239" s="452">
        <f t="shared" si="161"/>
        <v>226</v>
      </c>
      <c r="W239" s="452">
        <f t="shared" si="162"/>
        <v>11.0288</v>
      </c>
      <c r="X239" s="452">
        <f t="shared" si="163"/>
        <v>0.19436361600000002</v>
      </c>
      <c r="Y239" s="452">
        <f t="shared" si="164"/>
        <v>237</v>
      </c>
      <c r="Z239" s="262">
        <f t="shared" si="165"/>
        <v>33326412</v>
      </c>
      <c r="AA239" s="262">
        <f t="shared" si="166"/>
        <v>34948494</v>
      </c>
      <c r="AB239" s="431">
        <f t="shared" si="167"/>
        <v>21</v>
      </c>
      <c r="AC239" s="431">
        <f t="array" ref="AC239">MAX((IF(MNU_CODIGO_ALIMENTO_ENTREGA=CONCATENATE($E239,"_","P_"),MNU_GRAMAJE_REQUERIDO_TIPOC,"")))</f>
        <v>100</v>
      </c>
      <c r="AD239" s="259">
        <f t="shared" si="168"/>
        <v>5592</v>
      </c>
      <c r="AE239" s="259">
        <f t="shared" si="169"/>
        <v>117432</v>
      </c>
      <c r="AF239" s="452">
        <f t="shared" si="170"/>
        <v>226</v>
      </c>
      <c r="AG239" s="452">
        <f t="shared" si="171"/>
        <v>11.0288</v>
      </c>
      <c r="AH239" s="452">
        <f t="shared" si="172"/>
        <v>0.19436361600000002</v>
      </c>
      <c r="AI239" s="452">
        <f t="shared" si="173"/>
        <v>237</v>
      </c>
      <c r="AJ239" s="260">
        <f t="shared" si="174"/>
        <v>26539632</v>
      </c>
      <c r="AK239" s="260">
        <f t="shared" si="175"/>
        <v>27831384</v>
      </c>
      <c r="AL239" s="432">
        <f t="shared" si="176"/>
        <v>21</v>
      </c>
      <c r="AM239" s="432">
        <f t="array" ref="AM239">MAX((IF(MNU_CODIGO_ALIMENTO_ENTREGA=CONCATENATE($E239,"_","P_"),MNU_GRAMAJE_REQUERIDO_TIPOM,"")))</f>
        <v>100</v>
      </c>
      <c r="AN239" s="261">
        <f t="shared" si="177"/>
        <v>338</v>
      </c>
      <c r="AO239" s="261">
        <f t="shared" si="178"/>
        <v>7098</v>
      </c>
      <c r="AP239" s="452">
        <f t="shared" si="179"/>
        <v>226</v>
      </c>
      <c r="AQ239" s="452">
        <f t="shared" si="180"/>
        <v>11.0288</v>
      </c>
      <c r="AR239" s="452">
        <f t="shared" si="181"/>
        <v>0.19436361600000002</v>
      </c>
      <c r="AS239" s="452">
        <f t="shared" si="182"/>
        <v>237</v>
      </c>
      <c r="AT239" s="262">
        <f t="shared" si="183"/>
        <v>1604148</v>
      </c>
      <c r="AU239" s="262">
        <f t="shared" si="184"/>
        <v>1682226</v>
      </c>
      <c r="AV239" s="431">
        <f t="shared" si="185"/>
        <v>21</v>
      </c>
      <c r="AW239" s="431">
        <f t="array" ref="AW239">MAX((IF(MNU_CODIGO_ALIMENTO_ENTREGA=CONCATENATE($E239,"_","P_"),MNU_GRAMAJE_REQUERIDO_TIPOH,"")))</f>
        <v>100</v>
      </c>
      <c r="AX239" s="259">
        <f t="shared" si="186"/>
        <v>354</v>
      </c>
      <c r="AY239" s="259">
        <f t="shared" si="187"/>
        <v>7434</v>
      </c>
      <c r="AZ239" s="452">
        <f t="shared" si="188"/>
        <v>226</v>
      </c>
      <c r="BA239" s="452">
        <f t="shared" si="189"/>
        <v>11.0288</v>
      </c>
      <c r="BB239" s="452">
        <f t="shared" si="190"/>
        <v>0.19436361600000002</v>
      </c>
      <c r="BC239" s="452">
        <f t="shared" si="191"/>
        <v>237</v>
      </c>
      <c r="BD239" s="260">
        <f t="shared" si="192"/>
        <v>1680084</v>
      </c>
      <c r="BE239" s="260">
        <f t="shared" si="193"/>
        <v>1761858</v>
      </c>
      <c r="BF239" s="397">
        <f t="shared" si="194"/>
        <v>63150276</v>
      </c>
      <c r="BG239" s="397">
        <f t="shared" si="195"/>
        <v>66223962</v>
      </c>
    </row>
    <row r="240" spans="1:59" ht="15.75">
      <c r="A240" s="338">
        <v>18</v>
      </c>
      <c r="B240" s="338" t="str">
        <f t="shared" si="147"/>
        <v>FRUTA_18</v>
      </c>
      <c r="C240" s="338" t="str">
        <f t="shared" si="148"/>
        <v>22_18</v>
      </c>
      <c r="D240" s="338" t="s">
        <v>1</v>
      </c>
      <c r="E240" s="258">
        <v>22</v>
      </c>
      <c r="F240" s="328" t="s">
        <v>51</v>
      </c>
      <c r="G240" s="258" t="s">
        <v>9</v>
      </c>
      <c r="H240" s="431">
        <f t="shared" si="149"/>
        <v>0</v>
      </c>
      <c r="I240" s="431">
        <f t="array" ref="I240">MAX((IF(MNU_CODIGO_ALIMENTO_ENTREGA=CONCATENATE($E240,"_","P_"),MNU_GRAMAJE_REQUERIDO_TIPOA,"")))</f>
        <v>0</v>
      </c>
      <c r="J240" s="259">
        <f t="shared" si="150"/>
        <v>6647</v>
      </c>
      <c r="K240" s="259">
        <f t="shared" si="151"/>
        <v>0</v>
      </c>
      <c r="L240" s="452">
        <f t="shared" si="152"/>
        <v>0</v>
      </c>
      <c r="M240" s="452">
        <f t="shared" si="153"/>
        <v>0</v>
      </c>
      <c r="N240" s="452">
        <f t="shared" si="154"/>
        <v>0</v>
      </c>
      <c r="O240" s="452">
        <f t="shared" si="155"/>
        <v>0</v>
      </c>
      <c r="P240" s="260">
        <f t="shared" si="156"/>
        <v>0</v>
      </c>
      <c r="Q240" s="260">
        <f t="shared" si="157"/>
        <v>0</v>
      </c>
      <c r="R240" s="432">
        <f t="shared" si="158"/>
        <v>20</v>
      </c>
      <c r="S240" s="432">
        <f t="array" ref="S240">MAX((IF(MNU_CODIGO_ALIMENTO_ENTREGA=CONCATENATE($E240,"_","P_"),MNU_GRAMAJE_REQUERIDO_TIPOB,"")))</f>
        <v>100</v>
      </c>
      <c r="T240" s="261">
        <f t="shared" si="159"/>
        <v>7022</v>
      </c>
      <c r="U240" s="261">
        <f t="shared" si="160"/>
        <v>140440</v>
      </c>
      <c r="V240" s="452">
        <f t="shared" si="161"/>
        <v>525</v>
      </c>
      <c r="W240" s="452">
        <f t="shared" si="162"/>
        <v>25.62</v>
      </c>
      <c r="X240" s="452">
        <f t="shared" si="163"/>
        <v>0.45150840000000003</v>
      </c>
      <c r="Y240" s="452">
        <f t="shared" si="164"/>
        <v>551</v>
      </c>
      <c r="Z240" s="262">
        <f t="shared" si="165"/>
        <v>73731000</v>
      </c>
      <c r="AA240" s="262">
        <f t="shared" si="166"/>
        <v>77382440</v>
      </c>
      <c r="AB240" s="431">
        <f t="shared" si="167"/>
        <v>20</v>
      </c>
      <c r="AC240" s="431">
        <f t="array" ref="AC240">MAX((IF(MNU_CODIGO_ALIMENTO_ENTREGA=CONCATENATE($E240,"_","P_"),MNU_GRAMAJE_REQUERIDO_TIPOC,"")))</f>
        <v>100</v>
      </c>
      <c r="AD240" s="259">
        <f t="shared" si="168"/>
        <v>5592</v>
      </c>
      <c r="AE240" s="259">
        <f t="shared" si="169"/>
        <v>111840</v>
      </c>
      <c r="AF240" s="452">
        <f t="shared" si="170"/>
        <v>525</v>
      </c>
      <c r="AG240" s="452">
        <f t="shared" si="171"/>
        <v>25.62</v>
      </c>
      <c r="AH240" s="452">
        <f t="shared" si="172"/>
        <v>0.45150840000000003</v>
      </c>
      <c r="AI240" s="452">
        <f t="shared" si="173"/>
        <v>551</v>
      </c>
      <c r="AJ240" s="260">
        <f t="shared" si="174"/>
        <v>58716000</v>
      </c>
      <c r="AK240" s="260">
        <f t="shared" si="175"/>
        <v>61623840</v>
      </c>
      <c r="AL240" s="432">
        <f t="shared" si="176"/>
        <v>20</v>
      </c>
      <c r="AM240" s="432">
        <f t="array" ref="AM240">MAX((IF(MNU_CODIGO_ALIMENTO_ENTREGA=CONCATENATE($E240,"_","P_"),MNU_GRAMAJE_REQUERIDO_TIPOM,"")))</f>
        <v>100</v>
      </c>
      <c r="AN240" s="261">
        <f t="shared" si="177"/>
        <v>338</v>
      </c>
      <c r="AO240" s="261">
        <f t="shared" si="178"/>
        <v>6760</v>
      </c>
      <c r="AP240" s="452">
        <f t="shared" si="179"/>
        <v>525</v>
      </c>
      <c r="AQ240" s="452">
        <f t="shared" si="180"/>
        <v>25.62</v>
      </c>
      <c r="AR240" s="452">
        <f t="shared" si="181"/>
        <v>0.45150840000000003</v>
      </c>
      <c r="AS240" s="452">
        <f t="shared" si="182"/>
        <v>551</v>
      </c>
      <c r="AT240" s="262">
        <f t="shared" si="183"/>
        <v>3549000</v>
      </c>
      <c r="AU240" s="262">
        <f t="shared" si="184"/>
        <v>3724760</v>
      </c>
      <c r="AV240" s="431">
        <f t="shared" si="185"/>
        <v>20</v>
      </c>
      <c r="AW240" s="431">
        <f t="array" ref="AW240">MAX((IF(MNU_CODIGO_ALIMENTO_ENTREGA=CONCATENATE($E240,"_","P_"),MNU_GRAMAJE_REQUERIDO_TIPOH,"")))</f>
        <v>100</v>
      </c>
      <c r="AX240" s="259">
        <f t="shared" si="186"/>
        <v>354</v>
      </c>
      <c r="AY240" s="259">
        <f t="shared" si="187"/>
        <v>7080</v>
      </c>
      <c r="AZ240" s="452">
        <f t="shared" si="188"/>
        <v>525</v>
      </c>
      <c r="BA240" s="452">
        <f t="shared" si="189"/>
        <v>25.62</v>
      </c>
      <c r="BB240" s="452">
        <f t="shared" si="190"/>
        <v>0.45150840000000003</v>
      </c>
      <c r="BC240" s="452">
        <f t="shared" si="191"/>
        <v>551</v>
      </c>
      <c r="BD240" s="260">
        <f t="shared" si="192"/>
        <v>3717000</v>
      </c>
      <c r="BE240" s="260">
        <f t="shared" si="193"/>
        <v>3901080</v>
      </c>
      <c r="BF240" s="397">
        <f t="shared" si="194"/>
        <v>139713000</v>
      </c>
      <c r="BG240" s="397">
        <f t="shared" si="195"/>
        <v>146632120</v>
      </c>
    </row>
    <row r="241" spans="1:59" ht="15.75">
      <c r="A241" s="338">
        <v>18</v>
      </c>
      <c r="B241" s="338" t="str">
        <f t="shared" si="147"/>
        <v>FRUTA_18</v>
      </c>
      <c r="C241" s="338" t="str">
        <f t="shared" si="148"/>
        <v>33_18</v>
      </c>
      <c r="D241" s="338" t="s">
        <v>1</v>
      </c>
      <c r="E241" s="258">
        <v>33</v>
      </c>
      <c r="F241" s="328" t="s">
        <v>59</v>
      </c>
      <c r="G241" s="258" t="s">
        <v>48</v>
      </c>
      <c r="H241" s="431">
        <f t="shared" si="149"/>
        <v>27</v>
      </c>
      <c r="I241" s="431">
        <v>1</v>
      </c>
      <c r="J241" s="259">
        <f t="shared" si="150"/>
        <v>6647</v>
      </c>
      <c r="K241" s="259">
        <f t="shared" si="151"/>
        <v>179469</v>
      </c>
      <c r="L241" s="452">
        <f t="shared" si="152"/>
        <v>270</v>
      </c>
      <c r="M241" s="452">
        <f t="shared" si="153"/>
        <v>13.176000000000002</v>
      </c>
      <c r="N241" s="452">
        <f t="shared" si="154"/>
        <v>0.23220432000000002</v>
      </c>
      <c r="O241" s="452">
        <f t="shared" si="155"/>
        <v>283</v>
      </c>
      <c r="P241" s="260">
        <f t="shared" si="156"/>
        <v>48456630</v>
      </c>
      <c r="Q241" s="260">
        <f t="shared" si="157"/>
        <v>50789727</v>
      </c>
      <c r="R241" s="432">
        <f t="shared" si="158"/>
        <v>18</v>
      </c>
      <c r="S241" s="432">
        <v>1</v>
      </c>
      <c r="T241" s="261">
        <f t="shared" si="159"/>
        <v>7022</v>
      </c>
      <c r="U241" s="261">
        <f t="shared" si="160"/>
        <v>126396</v>
      </c>
      <c r="V241" s="452">
        <f t="shared" si="161"/>
        <v>270</v>
      </c>
      <c r="W241" s="452">
        <f t="shared" si="162"/>
        <v>13.176000000000002</v>
      </c>
      <c r="X241" s="452">
        <f t="shared" si="163"/>
        <v>0.23220432000000002</v>
      </c>
      <c r="Y241" s="452">
        <f t="shared" si="164"/>
        <v>283</v>
      </c>
      <c r="Z241" s="262">
        <f t="shared" si="165"/>
        <v>34126920</v>
      </c>
      <c r="AA241" s="262">
        <f t="shared" si="166"/>
        <v>35770068</v>
      </c>
      <c r="AB241" s="431">
        <f t="shared" si="167"/>
        <v>18</v>
      </c>
      <c r="AC241" s="431">
        <v>1</v>
      </c>
      <c r="AD241" s="259">
        <f t="shared" si="168"/>
        <v>5592</v>
      </c>
      <c r="AE241" s="259">
        <f t="shared" si="169"/>
        <v>100656</v>
      </c>
      <c r="AF241" s="452">
        <f t="shared" si="170"/>
        <v>270</v>
      </c>
      <c r="AG241" s="452">
        <f t="shared" si="171"/>
        <v>13.176000000000002</v>
      </c>
      <c r="AH241" s="452">
        <f t="shared" si="172"/>
        <v>0.23220432000000002</v>
      </c>
      <c r="AI241" s="452">
        <f t="shared" si="173"/>
        <v>283</v>
      </c>
      <c r="AJ241" s="260">
        <f t="shared" si="174"/>
        <v>27177120</v>
      </c>
      <c r="AK241" s="260">
        <f t="shared" si="175"/>
        <v>28485648</v>
      </c>
      <c r="AL241" s="432">
        <f t="shared" si="176"/>
        <v>18</v>
      </c>
      <c r="AM241" s="432">
        <v>1</v>
      </c>
      <c r="AN241" s="261">
        <f t="shared" si="177"/>
        <v>338</v>
      </c>
      <c r="AO241" s="261">
        <f t="shared" si="178"/>
        <v>6084</v>
      </c>
      <c r="AP241" s="452">
        <f t="shared" si="179"/>
        <v>270</v>
      </c>
      <c r="AQ241" s="452">
        <f t="shared" si="180"/>
        <v>13.176000000000002</v>
      </c>
      <c r="AR241" s="452">
        <f t="shared" si="181"/>
        <v>0.23220432000000002</v>
      </c>
      <c r="AS241" s="452">
        <f t="shared" si="182"/>
        <v>283</v>
      </c>
      <c r="AT241" s="262">
        <f t="shared" si="183"/>
        <v>1642680</v>
      </c>
      <c r="AU241" s="262">
        <f t="shared" si="184"/>
        <v>1721772</v>
      </c>
      <c r="AV241" s="431">
        <f t="shared" si="185"/>
        <v>18</v>
      </c>
      <c r="AW241" s="431">
        <v>1</v>
      </c>
      <c r="AX241" s="259">
        <f t="shared" si="186"/>
        <v>354</v>
      </c>
      <c r="AY241" s="259">
        <f t="shared" si="187"/>
        <v>6372</v>
      </c>
      <c r="AZ241" s="452">
        <f t="shared" si="188"/>
        <v>270</v>
      </c>
      <c r="BA241" s="452">
        <f t="shared" si="189"/>
        <v>13.176000000000002</v>
      </c>
      <c r="BB241" s="452">
        <f t="shared" si="190"/>
        <v>0.23220432000000002</v>
      </c>
      <c r="BC241" s="452">
        <f t="shared" si="191"/>
        <v>283</v>
      </c>
      <c r="BD241" s="260">
        <f t="shared" si="192"/>
        <v>1720440</v>
      </c>
      <c r="BE241" s="260">
        <f t="shared" si="193"/>
        <v>1803276</v>
      </c>
      <c r="BF241" s="397">
        <f t="shared" si="194"/>
        <v>113123790</v>
      </c>
      <c r="BG241" s="397">
        <f t="shared" si="195"/>
        <v>118570491</v>
      </c>
    </row>
    <row r="242" spans="1:59" ht="15.75">
      <c r="A242" s="338">
        <v>18</v>
      </c>
      <c r="B242" s="338" t="str">
        <f t="shared" si="147"/>
        <v>FRUTA_18</v>
      </c>
      <c r="C242" s="338" t="str">
        <f t="shared" si="148"/>
        <v>36_18</v>
      </c>
      <c r="D242" s="338" t="s">
        <v>1</v>
      </c>
      <c r="E242" s="258">
        <v>36</v>
      </c>
      <c r="F242" s="328" t="s">
        <v>1340</v>
      </c>
      <c r="G242" s="258" t="s">
        <v>9</v>
      </c>
      <c r="H242" s="431">
        <f t="shared" si="149"/>
        <v>7</v>
      </c>
      <c r="I242" s="431">
        <f t="array" ref="I242">MAX((IF(MNU_CODIGO_ALIMENTO_ENTREGA=CONCATENATE($E242,"_","P_"),MNU_GRAMAJE_REQUERIDO_TIPOA,"")))</f>
        <v>20</v>
      </c>
      <c r="J242" s="259">
        <f t="shared" si="150"/>
        <v>6647</v>
      </c>
      <c r="K242" s="259">
        <f t="shared" si="151"/>
        <v>46529</v>
      </c>
      <c r="L242" s="452">
        <f t="shared" si="152"/>
        <v>126</v>
      </c>
      <c r="M242" s="452">
        <f t="shared" si="153"/>
        <v>6.1488000000000005</v>
      </c>
      <c r="N242" s="452">
        <f t="shared" si="154"/>
        <v>0.10836201599999999</v>
      </c>
      <c r="O242" s="452">
        <f t="shared" si="155"/>
        <v>132</v>
      </c>
      <c r="P242" s="260">
        <f t="shared" si="156"/>
        <v>5862654</v>
      </c>
      <c r="Q242" s="260">
        <f t="shared" si="157"/>
        <v>6141828</v>
      </c>
      <c r="R242" s="432">
        <f t="shared" si="158"/>
        <v>7</v>
      </c>
      <c r="S242" s="432">
        <f t="array" ref="S242">MAX((IF(MNU_CODIGO_ALIMENTO_ENTREGA=CONCATENATE($E242,"_","P_"),MNU_GRAMAJE_REQUERIDO_TIPOB,"")))</f>
        <v>40</v>
      </c>
      <c r="T242" s="261">
        <f t="shared" si="159"/>
        <v>7022</v>
      </c>
      <c r="U242" s="261">
        <f t="shared" si="160"/>
        <v>49154</v>
      </c>
      <c r="V242" s="452">
        <f t="shared" si="161"/>
        <v>252</v>
      </c>
      <c r="W242" s="452">
        <f t="shared" si="162"/>
        <v>12.297600000000001</v>
      </c>
      <c r="X242" s="452">
        <f t="shared" si="163"/>
        <v>0.21672403199999998</v>
      </c>
      <c r="Y242" s="452">
        <f t="shared" si="164"/>
        <v>265</v>
      </c>
      <c r="Z242" s="262">
        <f t="shared" si="165"/>
        <v>12386808</v>
      </c>
      <c r="AA242" s="262">
        <f t="shared" si="166"/>
        <v>13025810</v>
      </c>
      <c r="AB242" s="431">
        <f t="shared" si="167"/>
        <v>7</v>
      </c>
      <c r="AC242" s="431">
        <f t="array" ref="AC242">MAX((IF(MNU_CODIGO_ALIMENTO_ENTREGA=CONCATENATE($E242,"_","P_"),MNU_GRAMAJE_REQUERIDO_TIPOC,"")))</f>
        <v>40</v>
      </c>
      <c r="AD242" s="259">
        <f t="shared" si="168"/>
        <v>5592</v>
      </c>
      <c r="AE242" s="259">
        <f t="shared" si="169"/>
        <v>39144</v>
      </c>
      <c r="AF242" s="452">
        <f t="shared" si="170"/>
        <v>252</v>
      </c>
      <c r="AG242" s="452">
        <f t="shared" si="171"/>
        <v>12.297600000000001</v>
      </c>
      <c r="AH242" s="452">
        <f t="shared" si="172"/>
        <v>0.21672403199999998</v>
      </c>
      <c r="AI242" s="452">
        <f t="shared" si="173"/>
        <v>265</v>
      </c>
      <c r="AJ242" s="260">
        <f t="shared" si="174"/>
        <v>9864288</v>
      </c>
      <c r="AK242" s="260">
        <f t="shared" si="175"/>
        <v>10373160</v>
      </c>
      <c r="AL242" s="432">
        <f t="shared" si="176"/>
        <v>7</v>
      </c>
      <c r="AM242" s="432">
        <f t="array" ref="AM242">MAX((IF(MNU_CODIGO_ALIMENTO_ENTREGA=CONCATENATE($E242,"_","P_"),MNU_GRAMAJE_REQUERIDO_TIPOM,"")))</f>
        <v>40</v>
      </c>
      <c r="AN242" s="261">
        <f t="shared" si="177"/>
        <v>338</v>
      </c>
      <c r="AO242" s="261">
        <f t="shared" si="178"/>
        <v>2366</v>
      </c>
      <c r="AP242" s="452">
        <f t="shared" si="179"/>
        <v>252</v>
      </c>
      <c r="AQ242" s="452">
        <f t="shared" si="180"/>
        <v>12.297600000000001</v>
      </c>
      <c r="AR242" s="452">
        <f t="shared" si="181"/>
        <v>0.21672403199999998</v>
      </c>
      <c r="AS242" s="452">
        <f t="shared" si="182"/>
        <v>265</v>
      </c>
      <c r="AT242" s="262">
        <f t="shared" si="183"/>
        <v>596232</v>
      </c>
      <c r="AU242" s="262">
        <f t="shared" si="184"/>
        <v>626990</v>
      </c>
      <c r="AV242" s="431">
        <f t="shared" si="185"/>
        <v>7</v>
      </c>
      <c r="AW242" s="431">
        <f t="array" ref="AW242">MAX((IF(MNU_CODIGO_ALIMENTO_ENTREGA=CONCATENATE($E242,"_","P_"),MNU_GRAMAJE_REQUERIDO_TIPOH,"")))</f>
        <v>40</v>
      </c>
      <c r="AX242" s="259">
        <f t="shared" si="186"/>
        <v>354</v>
      </c>
      <c r="AY242" s="259">
        <f t="shared" si="187"/>
        <v>2478</v>
      </c>
      <c r="AZ242" s="452">
        <f t="shared" si="188"/>
        <v>252</v>
      </c>
      <c r="BA242" s="452">
        <f t="shared" si="189"/>
        <v>12.297600000000001</v>
      </c>
      <c r="BB242" s="452">
        <f t="shared" si="190"/>
        <v>0.21672403199999998</v>
      </c>
      <c r="BC242" s="452">
        <f t="shared" si="191"/>
        <v>265</v>
      </c>
      <c r="BD242" s="260">
        <f t="shared" si="192"/>
        <v>624456</v>
      </c>
      <c r="BE242" s="260">
        <f t="shared" si="193"/>
        <v>656670</v>
      </c>
      <c r="BF242" s="397">
        <f t="shared" si="194"/>
        <v>29334438</v>
      </c>
      <c r="BG242" s="397">
        <f t="shared" si="195"/>
        <v>30824458</v>
      </c>
    </row>
    <row r="243" spans="1:59" ht="15.75">
      <c r="A243" s="338">
        <v>18</v>
      </c>
      <c r="B243" s="338" t="str">
        <f t="shared" si="147"/>
        <v>FRUTA_18</v>
      </c>
      <c r="C243" s="338" t="str">
        <f t="shared" si="148"/>
        <v>42_18</v>
      </c>
      <c r="D243" s="338" t="s">
        <v>1</v>
      </c>
      <c r="E243" s="258">
        <v>42</v>
      </c>
      <c r="F243" s="328" t="s">
        <v>61</v>
      </c>
      <c r="G243" s="258" t="s">
        <v>9</v>
      </c>
      <c r="H243" s="431">
        <f t="shared" si="149"/>
        <v>23</v>
      </c>
      <c r="I243" s="431">
        <f t="array" ref="I243">MAX((IF(MNU_CODIGO_ALIMENTO_ENTREGA=CONCATENATE($E243,"_","P_"),MNU_GRAMAJE_REQUERIDO_TIPOA,"")))</f>
        <v>100</v>
      </c>
      <c r="J243" s="259">
        <f t="shared" si="150"/>
        <v>6647</v>
      </c>
      <c r="K243" s="259">
        <f t="shared" si="151"/>
        <v>152881</v>
      </c>
      <c r="L243" s="452">
        <f t="shared" si="152"/>
        <v>194</v>
      </c>
      <c r="M243" s="452">
        <f t="shared" si="153"/>
        <v>9.4672000000000001</v>
      </c>
      <c r="N243" s="452">
        <f t="shared" si="154"/>
        <v>0.16684310399999999</v>
      </c>
      <c r="O243" s="452">
        <f t="shared" si="155"/>
        <v>204</v>
      </c>
      <c r="P243" s="260">
        <f t="shared" si="156"/>
        <v>29658914</v>
      </c>
      <c r="Q243" s="260">
        <f t="shared" si="157"/>
        <v>31187724</v>
      </c>
      <c r="R243" s="432">
        <f t="shared" si="158"/>
        <v>19</v>
      </c>
      <c r="S243" s="432">
        <f t="array" ref="S243">MAX((IF(MNU_CODIGO_ALIMENTO_ENTREGA=CONCATENATE($E243,"_","P_"),MNU_GRAMAJE_REQUERIDO_TIPOB,"")))</f>
        <v>100</v>
      </c>
      <c r="T243" s="261">
        <f t="shared" si="159"/>
        <v>7022</v>
      </c>
      <c r="U243" s="261">
        <f t="shared" si="160"/>
        <v>133418</v>
      </c>
      <c r="V243" s="452">
        <f t="shared" si="161"/>
        <v>194</v>
      </c>
      <c r="W243" s="452">
        <f t="shared" si="162"/>
        <v>9.4672000000000001</v>
      </c>
      <c r="X243" s="452">
        <f t="shared" si="163"/>
        <v>0.16684310399999999</v>
      </c>
      <c r="Y243" s="452">
        <f t="shared" si="164"/>
        <v>204</v>
      </c>
      <c r="Z243" s="262">
        <f t="shared" si="165"/>
        <v>25883092</v>
      </c>
      <c r="AA243" s="262">
        <f t="shared" si="166"/>
        <v>27217272</v>
      </c>
      <c r="AB243" s="431">
        <f t="shared" si="167"/>
        <v>19</v>
      </c>
      <c r="AC243" s="431">
        <f t="array" ref="AC243">MAX((IF(MNU_CODIGO_ALIMENTO_ENTREGA=CONCATENATE($E243,"_","P_"),MNU_GRAMAJE_REQUERIDO_TIPOC,"")))</f>
        <v>100</v>
      </c>
      <c r="AD243" s="259">
        <f t="shared" si="168"/>
        <v>5592</v>
      </c>
      <c r="AE243" s="259">
        <f t="shared" si="169"/>
        <v>106248</v>
      </c>
      <c r="AF243" s="452">
        <f t="shared" si="170"/>
        <v>194</v>
      </c>
      <c r="AG243" s="452">
        <f t="shared" si="171"/>
        <v>9.4672000000000001</v>
      </c>
      <c r="AH243" s="452">
        <f t="shared" si="172"/>
        <v>0.16684310399999999</v>
      </c>
      <c r="AI243" s="452">
        <f t="shared" si="173"/>
        <v>204</v>
      </c>
      <c r="AJ243" s="260">
        <f t="shared" si="174"/>
        <v>20612112</v>
      </c>
      <c r="AK243" s="260">
        <f t="shared" si="175"/>
        <v>21674592</v>
      </c>
      <c r="AL243" s="432">
        <f t="shared" si="176"/>
        <v>19</v>
      </c>
      <c r="AM243" s="432">
        <f t="array" ref="AM243">MAX((IF(MNU_CODIGO_ALIMENTO_ENTREGA=CONCATENATE($E243,"_","P_"),MNU_GRAMAJE_REQUERIDO_TIPOM,"")))</f>
        <v>100</v>
      </c>
      <c r="AN243" s="261">
        <f t="shared" si="177"/>
        <v>338</v>
      </c>
      <c r="AO243" s="261">
        <f t="shared" si="178"/>
        <v>6422</v>
      </c>
      <c r="AP243" s="452">
        <f t="shared" si="179"/>
        <v>194</v>
      </c>
      <c r="AQ243" s="452">
        <f t="shared" si="180"/>
        <v>9.4672000000000001</v>
      </c>
      <c r="AR243" s="452">
        <f t="shared" si="181"/>
        <v>0.16684310399999999</v>
      </c>
      <c r="AS243" s="452">
        <f t="shared" si="182"/>
        <v>204</v>
      </c>
      <c r="AT243" s="262">
        <f t="shared" si="183"/>
        <v>1245868</v>
      </c>
      <c r="AU243" s="262">
        <f t="shared" si="184"/>
        <v>1310088</v>
      </c>
      <c r="AV243" s="431">
        <f t="shared" si="185"/>
        <v>19</v>
      </c>
      <c r="AW243" s="431">
        <f t="array" ref="AW243">MAX((IF(MNU_CODIGO_ALIMENTO_ENTREGA=CONCATENATE($E243,"_","P_"),MNU_GRAMAJE_REQUERIDO_TIPOH,"")))</f>
        <v>100</v>
      </c>
      <c r="AX243" s="259">
        <f t="shared" si="186"/>
        <v>354</v>
      </c>
      <c r="AY243" s="259">
        <f t="shared" si="187"/>
        <v>6726</v>
      </c>
      <c r="AZ243" s="452">
        <f t="shared" si="188"/>
        <v>194</v>
      </c>
      <c r="BA243" s="452">
        <f t="shared" si="189"/>
        <v>9.4672000000000001</v>
      </c>
      <c r="BB243" s="452">
        <f t="shared" si="190"/>
        <v>0.16684310399999999</v>
      </c>
      <c r="BC243" s="452">
        <f t="shared" si="191"/>
        <v>204</v>
      </c>
      <c r="BD243" s="260">
        <f t="shared" si="192"/>
        <v>1304844</v>
      </c>
      <c r="BE243" s="260">
        <f t="shared" si="193"/>
        <v>1372104</v>
      </c>
      <c r="BF243" s="397">
        <f t="shared" si="194"/>
        <v>78704830</v>
      </c>
      <c r="BG243" s="397">
        <f t="shared" si="195"/>
        <v>82761780</v>
      </c>
    </row>
    <row r="244" spans="1:59" ht="15.75">
      <c r="A244" s="338">
        <v>18</v>
      </c>
      <c r="B244" s="338" t="str">
        <f t="shared" si="147"/>
        <v>FRUTA_18</v>
      </c>
      <c r="C244" s="338" t="str">
        <f t="shared" si="148"/>
        <v>43_18</v>
      </c>
      <c r="D244" s="338" t="s">
        <v>1</v>
      </c>
      <c r="E244" s="258">
        <v>43</v>
      </c>
      <c r="F244" s="328" t="s">
        <v>62</v>
      </c>
      <c r="G244" s="258" t="s">
        <v>9</v>
      </c>
      <c r="H244" s="431">
        <f t="shared" si="149"/>
        <v>24</v>
      </c>
      <c r="I244" s="431">
        <f t="array" ref="I244">MAX((IF(MNU_CODIGO_ALIMENTO_ENTREGA=CONCATENATE($E244,"_","P_"),MNU_GRAMAJE_REQUERIDO_TIPOA,"")))</f>
        <v>100</v>
      </c>
      <c r="J244" s="259">
        <f t="shared" si="150"/>
        <v>6647</v>
      </c>
      <c r="K244" s="259">
        <f t="shared" si="151"/>
        <v>159528</v>
      </c>
      <c r="L244" s="452">
        <f t="shared" si="152"/>
        <v>170</v>
      </c>
      <c r="M244" s="452">
        <f t="shared" si="153"/>
        <v>8.2959999999999994</v>
      </c>
      <c r="N244" s="452">
        <f t="shared" si="154"/>
        <v>0.14620272000000001</v>
      </c>
      <c r="O244" s="452">
        <f t="shared" si="155"/>
        <v>178</v>
      </c>
      <c r="P244" s="260">
        <f t="shared" si="156"/>
        <v>27119760</v>
      </c>
      <c r="Q244" s="260">
        <f t="shared" si="157"/>
        <v>28395984</v>
      </c>
      <c r="R244" s="432">
        <f t="shared" si="158"/>
        <v>17</v>
      </c>
      <c r="S244" s="432">
        <f t="array" ref="S244">MAX((IF(MNU_CODIGO_ALIMENTO_ENTREGA=CONCATENATE($E244,"_","P_"),MNU_GRAMAJE_REQUERIDO_TIPOB,"")))</f>
        <v>100</v>
      </c>
      <c r="T244" s="261">
        <f t="shared" si="159"/>
        <v>7022</v>
      </c>
      <c r="U244" s="261">
        <f t="shared" si="160"/>
        <v>119374</v>
      </c>
      <c r="V244" s="452">
        <f t="shared" si="161"/>
        <v>170</v>
      </c>
      <c r="W244" s="452">
        <f t="shared" si="162"/>
        <v>8.2959999999999994</v>
      </c>
      <c r="X244" s="452">
        <f t="shared" si="163"/>
        <v>0.14620272000000001</v>
      </c>
      <c r="Y244" s="452">
        <f t="shared" si="164"/>
        <v>178</v>
      </c>
      <c r="Z244" s="262">
        <f t="shared" si="165"/>
        <v>20293580</v>
      </c>
      <c r="AA244" s="262">
        <f t="shared" si="166"/>
        <v>21248572</v>
      </c>
      <c r="AB244" s="431">
        <f t="shared" si="167"/>
        <v>17</v>
      </c>
      <c r="AC244" s="431">
        <f t="array" ref="AC244">MAX((IF(MNU_CODIGO_ALIMENTO_ENTREGA=CONCATENATE($E244,"_","P_"),MNU_GRAMAJE_REQUERIDO_TIPOC,"")))</f>
        <v>100</v>
      </c>
      <c r="AD244" s="259">
        <f t="shared" si="168"/>
        <v>5592</v>
      </c>
      <c r="AE244" s="259">
        <f t="shared" si="169"/>
        <v>95064</v>
      </c>
      <c r="AF244" s="452">
        <f t="shared" si="170"/>
        <v>170</v>
      </c>
      <c r="AG244" s="452">
        <f t="shared" si="171"/>
        <v>8.2959999999999994</v>
      </c>
      <c r="AH244" s="452">
        <f t="shared" si="172"/>
        <v>0.14620272000000001</v>
      </c>
      <c r="AI244" s="452">
        <f t="shared" si="173"/>
        <v>178</v>
      </c>
      <c r="AJ244" s="260">
        <f t="shared" si="174"/>
        <v>16160880</v>
      </c>
      <c r="AK244" s="260">
        <f t="shared" si="175"/>
        <v>16921392</v>
      </c>
      <c r="AL244" s="432">
        <f t="shared" si="176"/>
        <v>17</v>
      </c>
      <c r="AM244" s="432">
        <f t="array" ref="AM244">MAX((IF(MNU_CODIGO_ALIMENTO_ENTREGA=CONCATENATE($E244,"_","P_"),MNU_GRAMAJE_REQUERIDO_TIPOM,"")))</f>
        <v>100</v>
      </c>
      <c r="AN244" s="261">
        <f t="shared" si="177"/>
        <v>338</v>
      </c>
      <c r="AO244" s="261">
        <f t="shared" si="178"/>
        <v>5746</v>
      </c>
      <c r="AP244" s="452">
        <f t="shared" si="179"/>
        <v>170</v>
      </c>
      <c r="AQ244" s="452">
        <f t="shared" si="180"/>
        <v>8.2959999999999994</v>
      </c>
      <c r="AR244" s="452">
        <f t="shared" si="181"/>
        <v>0.14620272000000001</v>
      </c>
      <c r="AS244" s="452">
        <f t="shared" si="182"/>
        <v>178</v>
      </c>
      <c r="AT244" s="262">
        <f t="shared" si="183"/>
        <v>976820</v>
      </c>
      <c r="AU244" s="262">
        <f t="shared" si="184"/>
        <v>1022788</v>
      </c>
      <c r="AV244" s="431">
        <f t="shared" si="185"/>
        <v>17</v>
      </c>
      <c r="AW244" s="431">
        <f t="array" ref="AW244">MAX((IF(MNU_CODIGO_ALIMENTO_ENTREGA=CONCATENATE($E244,"_","P_"),MNU_GRAMAJE_REQUERIDO_TIPOH,"")))</f>
        <v>100</v>
      </c>
      <c r="AX244" s="259">
        <f t="shared" si="186"/>
        <v>354</v>
      </c>
      <c r="AY244" s="259">
        <f t="shared" si="187"/>
        <v>6018</v>
      </c>
      <c r="AZ244" s="452">
        <f t="shared" si="188"/>
        <v>170</v>
      </c>
      <c r="BA244" s="452">
        <f t="shared" si="189"/>
        <v>8.2959999999999994</v>
      </c>
      <c r="BB244" s="452">
        <f t="shared" si="190"/>
        <v>0.14620272000000001</v>
      </c>
      <c r="BC244" s="452">
        <f t="shared" si="191"/>
        <v>178</v>
      </c>
      <c r="BD244" s="260">
        <f t="shared" si="192"/>
        <v>1023060</v>
      </c>
      <c r="BE244" s="260">
        <f t="shared" si="193"/>
        <v>1071204</v>
      </c>
      <c r="BF244" s="397">
        <f t="shared" si="194"/>
        <v>65574100</v>
      </c>
      <c r="BG244" s="397">
        <f t="shared" si="195"/>
        <v>68659940</v>
      </c>
    </row>
    <row r="245" spans="1:59" ht="15.75">
      <c r="A245" s="338">
        <v>18</v>
      </c>
      <c r="B245" s="338" t="str">
        <f t="shared" si="147"/>
        <v>FRUTA_18</v>
      </c>
      <c r="C245" s="338" t="str">
        <f t="shared" si="148"/>
        <v>46_18</v>
      </c>
      <c r="D245" s="338" t="s">
        <v>1</v>
      </c>
      <c r="E245" s="258">
        <v>46</v>
      </c>
      <c r="F245" s="328" t="s">
        <v>64</v>
      </c>
      <c r="G245" s="258" t="s">
        <v>9</v>
      </c>
      <c r="H245" s="431">
        <f t="shared" si="149"/>
        <v>30</v>
      </c>
      <c r="I245" s="431">
        <f t="array" ref="I245">MAX((IF(MNU_CODIGO_ALIMENTO_ENTREGA=CONCATENATE($E245,"_","P_"),MNU_GRAMAJE_REQUERIDO_TIPOA,"")))</f>
        <v>100</v>
      </c>
      <c r="J245" s="259">
        <f t="shared" si="150"/>
        <v>6647</v>
      </c>
      <c r="K245" s="259">
        <f t="shared" si="151"/>
        <v>199410</v>
      </c>
      <c r="L245" s="452">
        <f t="shared" si="152"/>
        <v>398</v>
      </c>
      <c r="M245" s="452">
        <f t="shared" si="153"/>
        <v>19.4224</v>
      </c>
      <c r="N245" s="452">
        <f t="shared" si="154"/>
        <v>0.34228636800000001</v>
      </c>
      <c r="O245" s="452">
        <f t="shared" si="155"/>
        <v>418</v>
      </c>
      <c r="P245" s="260">
        <f t="shared" si="156"/>
        <v>79365180</v>
      </c>
      <c r="Q245" s="260">
        <f t="shared" si="157"/>
        <v>83353380</v>
      </c>
      <c r="R245" s="432">
        <f t="shared" si="158"/>
        <v>21</v>
      </c>
      <c r="S245" s="432">
        <f t="array" ref="S245">MAX((IF(MNU_CODIGO_ALIMENTO_ENTREGA=CONCATENATE($E245,"_","P_"),MNU_GRAMAJE_REQUERIDO_TIPOB,"")))</f>
        <v>100</v>
      </c>
      <c r="T245" s="261">
        <f t="shared" si="159"/>
        <v>7022</v>
      </c>
      <c r="U245" s="261">
        <f t="shared" si="160"/>
        <v>147462</v>
      </c>
      <c r="V245" s="452">
        <f t="shared" si="161"/>
        <v>398</v>
      </c>
      <c r="W245" s="452">
        <f t="shared" si="162"/>
        <v>19.4224</v>
      </c>
      <c r="X245" s="452">
        <f t="shared" si="163"/>
        <v>0.34228636800000001</v>
      </c>
      <c r="Y245" s="452">
        <f t="shared" si="164"/>
        <v>418</v>
      </c>
      <c r="Z245" s="262">
        <f t="shared" si="165"/>
        <v>58689876</v>
      </c>
      <c r="AA245" s="262">
        <f t="shared" si="166"/>
        <v>61639116</v>
      </c>
      <c r="AB245" s="431">
        <f t="shared" si="167"/>
        <v>21</v>
      </c>
      <c r="AC245" s="431">
        <f t="array" ref="AC245">MAX((IF(MNU_CODIGO_ALIMENTO_ENTREGA=CONCATENATE($E245,"_","P_"),MNU_GRAMAJE_REQUERIDO_TIPOC,"")))</f>
        <v>100</v>
      </c>
      <c r="AD245" s="259">
        <f t="shared" si="168"/>
        <v>5592</v>
      </c>
      <c r="AE245" s="259">
        <f t="shared" si="169"/>
        <v>117432</v>
      </c>
      <c r="AF245" s="452">
        <f t="shared" si="170"/>
        <v>398</v>
      </c>
      <c r="AG245" s="452">
        <f t="shared" si="171"/>
        <v>19.4224</v>
      </c>
      <c r="AH245" s="452">
        <f t="shared" si="172"/>
        <v>0.34228636800000001</v>
      </c>
      <c r="AI245" s="452">
        <f t="shared" si="173"/>
        <v>418</v>
      </c>
      <c r="AJ245" s="260">
        <f t="shared" si="174"/>
        <v>46737936</v>
      </c>
      <c r="AK245" s="260">
        <f t="shared" si="175"/>
        <v>49086576</v>
      </c>
      <c r="AL245" s="432">
        <f t="shared" si="176"/>
        <v>21</v>
      </c>
      <c r="AM245" s="432">
        <f t="array" ref="AM245">MAX((IF(MNU_CODIGO_ALIMENTO_ENTREGA=CONCATENATE($E245,"_","P_"),MNU_GRAMAJE_REQUERIDO_TIPOM,"")))</f>
        <v>100</v>
      </c>
      <c r="AN245" s="261">
        <f t="shared" si="177"/>
        <v>338</v>
      </c>
      <c r="AO245" s="261">
        <f t="shared" si="178"/>
        <v>7098</v>
      </c>
      <c r="AP245" s="452">
        <f t="shared" si="179"/>
        <v>398</v>
      </c>
      <c r="AQ245" s="452">
        <f t="shared" si="180"/>
        <v>19.4224</v>
      </c>
      <c r="AR245" s="452">
        <f t="shared" si="181"/>
        <v>0.34228636800000001</v>
      </c>
      <c r="AS245" s="452">
        <f t="shared" si="182"/>
        <v>418</v>
      </c>
      <c r="AT245" s="262">
        <f t="shared" si="183"/>
        <v>2825004</v>
      </c>
      <c r="AU245" s="262">
        <f t="shared" si="184"/>
        <v>2966964</v>
      </c>
      <c r="AV245" s="431">
        <f t="shared" si="185"/>
        <v>21</v>
      </c>
      <c r="AW245" s="431">
        <f t="array" ref="AW245">MAX((IF(MNU_CODIGO_ALIMENTO_ENTREGA=CONCATENATE($E245,"_","P_"),MNU_GRAMAJE_REQUERIDO_TIPOH,"")))</f>
        <v>100</v>
      </c>
      <c r="AX245" s="259">
        <f t="shared" si="186"/>
        <v>354</v>
      </c>
      <c r="AY245" s="259">
        <f t="shared" si="187"/>
        <v>7434</v>
      </c>
      <c r="AZ245" s="452">
        <f t="shared" si="188"/>
        <v>398</v>
      </c>
      <c r="BA245" s="452">
        <f t="shared" si="189"/>
        <v>19.4224</v>
      </c>
      <c r="BB245" s="452">
        <f t="shared" si="190"/>
        <v>0.34228636800000001</v>
      </c>
      <c r="BC245" s="452">
        <f t="shared" si="191"/>
        <v>418</v>
      </c>
      <c r="BD245" s="260">
        <f t="shared" si="192"/>
        <v>2958732</v>
      </c>
      <c r="BE245" s="260">
        <f t="shared" si="193"/>
        <v>3107412</v>
      </c>
      <c r="BF245" s="397">
        <f t="shared" si="194"/>
        <v>190576728</v>
      </c>
      <c r="BG245" s="397">
        <f t="shared" si="195"/>
        <v>200153448</v>
      </c>
    </row>
    <row r="246" spans="1:59" ht="15.75">
      <c r="A246" s="338">
        <v>18</v>
      </c>
      <c r="B246" s="338" t="str">
        <f t="shared" si="147"/>
        <v>FRUTA_18</v>
      </c>
      <c r="C246" s="338" t="str">
        <f t="shared" si="148"/>
        <v>58_18</v>
      </c>
      <c r="D246" s="338" t="s">
        <v>1</v>
      </c>
      <c r="E246" s="258">
        <v>58</v>
      </c>
      <c r="F246" s="328" t="s">
        <v>67</v>
      </c>
      <c r="G246" s="258" t="s">
        <v>9</v>
      </c>
      <c r="H246" s="431">
        <f t="shared" si="149"/>
        <v>24</v>
      </c>
      <c r="I246" s="431">
        <f t="array" ref="I246">MAX((IF(MNU_CODIGO_ALIMENTO_ENTREGA=CONCATENATE($E246,"_","P_"),MNU_GRAMAJE_REQUERIDO_TIPOA,"")))</f>
        <v>100</v>
      </c>
      <c r="J246" s="259">
        <f t="shared" si="150"/>
        <v>6647</v>
      </c>
      <c r="K246" s="259">
        <f t="shared" si="151"/>
        <v>159528</v>
      </c>
      <c r="L246" s="452">
        <f t="shared" si="152"/>
        <v>154</v>
      </c>
      <c r="M246" s="452">
        <f t="shared" si="153"/>
        <v>7.515200000000001</v>
      </c>
      <c r="N246" s="452">
        <f t="shared" si="154"/>
        <v>0.13244246400000001</v>
      </c>
      <c r="O246" s="452">
        <f t="shared" si="155"/>
        <v>162</v>
      </c>
      <c r="P246" s="260">
        <f t="shared" si="156"/>
        <v>24567312</v>
      </c>
      <c r="Q246" s="260">
        <f t="shared" si="157"/>
        <v>25843536</v>
      </c>
      <c r="R246" s="432">
        <f t="shared" si="158"/>
        <v>23</v>
      </c>
      <c r="S246" s="432">
        <f t="array" ref="S246">MAX((IF(MNU_CODIGO_ALIMENTO_ENTREGA=CONCATENATE($E246,"_","P_"),MNU_GRAMAJE_REQUERIDO_TIPOB,"")))</f>
        <v>100</v>
      </c>
      <c r="T246" s="261">
        <f t="shared" si="159"/>
        <v>7022</v>
      </c>
      <c r="U246" s="261">
        <f t="shared" si="160"/>
        <v>161506</v>
      </c>
      <c r="V246" s="452">
        <f t="shared" si="161"/>
        <v>154</v>
      </c>
      <c r="W246" s="452">
        <f t="shared" si="162"/>
        <v>7.515200000000001</v>
      </c>
      <c r="X246" s="452">
        <f t="shared" si="163"/>
        <v>0.13244246400000001</v>
      </c>
      <c r="Y246" s="452">
        <f t="shared" si="164"/>
        <v>162</v>
      </c>
      <c r="Z246" s="262">
        <f t="shared" si="165"/>
        <v>24871924</v>
      </c>
      <c r="AA246" s="262">
        <f t="shared" si="166"/>
        <v>26163972</v>
      </c>
      <c r="AB246" s="431">
        <f t="shared" si="167"/>
        <v>23</v>
      </c>
      <c r="AC246" s="431">
        <f t="array" ref="AC246">MAX((IF(MNU_CODIGO_ALIMENTO_ENTREGA=CONCATENATE($E246,"_","P_"),MNU_GRAMAJE_REQUERIDO_TIPOC,"")))</f>
        <v>100</v>
      </c>
      <c r="AD246" s="259">
        <f t="shared" si="168"/>
        <v>5592</v>
      </c>
      <c r="AE246" s="259">
        <f t="shared" si="169"/>
        <v>128616</v>
      </c>
      <c r="AF246" s="452">
        <f t="shared" si="170"/>
        <v>154</v>
      </c>
      <c r="AG246" s="452">
        <f t="shared" si="171"/>
        <v>7.515200000000001</v>
      </c>
      <c r="AH246" s="452">
        <f t="shared" si="172"/>
        <v>0.13244246400000001</v>
      </c>
      <c r="AI246" s="452">
        <f t="shared" si="173"/>
        <v>162</v>
      </c>
      <c r="AJ246" s="260">
        <f t="shared" si="174"/>
        <v>19806864</v>
      </c>
      <c r="AK246" s="260">
        <f t="shared" si="175"/>
        <v>20835792</v>
      </c>
      <c r="AL246" s="432">
        <f t="shared" si="176"/>
        <v>23</v>
      </c>
      <c r="AM246" s="432">
        <f t="array" ref="AM246">MAX((IF(MNU_CODIGO_ALIMENTO_ENTREGA=CONCATENATE($E246,"_","P_"),MNU_GRAMAJE_REQUERIDO_TIPOM,"")))</f>
        <v>100</v>
      </c>
      <c r="AN246" s="261">
        <f t="shared" si="177"/>
        <v>338</v>
      </c>
      <c r="AO246" s="261">
        <f t="shared" si="178"/>
        <v>7774</v>
      </c>
      <c r="AP246" s="452">
        <f t="shared" si="179"/>
        <v>154</v>
      </c>
      <c r="AQ246" s="452">
        <f t="shared" si="180"/>
        <v>7.515200000000001</v>
      </c>
      <c r="AR246" s="452">
        <f t="shared" si="181"/>
        <v>0.13244246400000001</v>
      </c>
      <c r="AS246" s="452">
        <f t="shared" si="182"/>
        <v>162</v>
      </c>
      <c r="AT246" s="262">
        <f t="shared" si="183"/>
        <v>1197196</v>
      </c>
      <c r="AU246" s="262">
        <f t="shared" si="184"/>
        <v>1259388</v>
      </c>
      <c r="AV246" s="431">
        <f t="shared" si="185"/>
        <v>23</v>
      </c>
      <c r="AW246" s="431">
        <f t="array" ref="AW246">MAX((IF(MNU_CODIGO_ALIMENTO_ENTREGA=CONCATENATE($E246,"_","P_"),MNU_GRAMAJE_REQUERIDO_TIPOH,"")))</f>
        <v>100</v>
      </c>
      <c r="AX246" s="259">
        <f t="shared" si="186"/>
        <v>354</v>
      </c>
      <c r="AY246" s="259">
        <f t="shared" si="187"/>
        <v>8142</v>
      </c>
      <c r="AZ246" s="452">
        <f t="shared" si="188"/>
        <v>154</v>
      </c>
      <c r="BA246" s="452">
        <f t="shared" si="189"/>
        <v>7.515200000000001</v>
      </c>
      <c r="BB246" s="452">
        <f t="shared" si="190"/>
        <v>0.13244246400000001</v>
      </c>
      <c r="BC246" s="452">
        <f t="shared" si="191"/>
        <v>162</v>
      </c>
      <c r="BD246" s="260">
        <f t="shared" si="192"/>
        <v>1253868</v>
      </c>
      <c r="BE246" s="260">
        <f t="shared" si="193"/>
        <v>1319004</v>
      </c>
      <c r="BF246" s="397">
        <f t="shared" si="194"/>
        <v>71697164</v>
      </c>
      <c r="BG246" s="397">
        <f t="shared" si="195"/>
        <v>75421692</v>
      </c>
    </row>
    <row r="247" spans="1:59" ht="15.75">
      <c r="A247" s="338">
        <v>18</v>
      </c>
      <c r="B247" s="338" t="str">
        <f t="shared" si="147"/>
        <v>FRUTA_18</v>
      </c>
      <c r="C247" s="338" t="str">
        <f t="shared" si="148"/>
        <v>59_18</v>
      </c>
      <c r="D247" s="338" t="s">
        <v>1</v>
      </c>
      <c r="E247" s="258">
        <v>59</v>
      </c>
      <c r="F247" s="328" t="s">
        <v>99</v>
      </c>
      <c r="G247" s="258" t="s">
        <v>9</v>
      </c>
      <c r="H247" s="431">
        <f t="shared" si="149"/>
        <v>0</v>
      </c>
      <c r="I247" s="431">
        <f t="array" ref="I247">MAX((IF(MNU_CODIGO_ALIMENTO_ENTREGA=CONCATENATE($E247,"_","P_"),MNU_GRAMAJE_REQUERIDO_TIPOA,"")))</f>
        <v>0</v>
      </c>
      <c r="J247" s="259">
        <f t="shared" si="150"/>
        <v>6647</v>
      </c>
      <c r="K247" s="259">
        <f t="shared" si="151"/>
        <v>0</v>
      </c>
      <c r="L247" s="452">
        <f t="shared" si="152"/>
        <v>0</v>
      </c>
      <c r="M247" s="452">
        <f t="shared" si="153"/>
        <v>0</v>
      </c>
      <c r="N247" s="452">
        <f t="shared" si="154"/>
        <v>0</v>
      </c>
      <c r="O247" s="452">
        <f t="shared" si="155"/>
        <v>0</v>
      </c>
      <c r="P247" s="260">
        <f t="shared" si="156"/>
        <v>0</v>
      </c>
      <c r="Q247" s="260">
        <f t="shared" si="157"/>
        <v>0</v>
      </c>
      <c r="R247" s="432">
        <f t="shared" si="158"/>
        <v>8</v>
      </c>
      <c r="S247" s="432">
        <f t="array" ref="S247">MAX((IF(MNU_CODIGO_ALIMENTO_ENTREGA=CONCATENATE($E247,"_","P_"),MNU_GRAMAJE_REQUERIDO_TIPOB,"")))</f>
        <v>100</v>
      </c>
      <c r="T247" s="261">
        <f t="shared" si="159"/>
        <v>7022</v>
      </c>
      <c r="U247" s="261">
        <f t="shared" si="160"/>
        <v>56176</v>
      </c>
      <c r="V247" s="452">
        <f t="shared" si="161"/>
        <v>286</v>
      </c>
      <c r="W247" s="452">
        <f t="shared" si="162"/>
        <v>13.956800000000001</v>
      </c>
      <c r="X247" s="452">
        <f t="shared" si="163"/>
        <v>0.24596457599999999</v>
      </c>
      <c r="Y247" s="452">
        <f t="shared" si="164"/>
        <v>300</v>
      </c>
      <c r="Z247" s="262">
        <f t="shared" si="165"/>
        <v>16066336</v>
      </c>
      <c r="AA247" s="262">
        <f t="shared" si="166"/>
        <v>16852800</v>
      </c>
      <c r="AB247" s="431">
        <f t="shared" si="167"/>
        <v>8</v>
      </c>
      <c r="AC247" s="431">
        <f t="array" ref="AC247">MAX((IF(MNU_CODIGO_ALIMENTO_ENTREGA=CONCATENATE($E247,"_","P_"),MNU_GRAMAJE_REQUERIDO_TIPOC,"")))</f>
        <v>100</v>
      </c>
      <c r="AD247" s="259">
        <f t="shared" si="168"/>
        <v>5592</v>
      </c>
      <c r="AE247" s="259">
        <f t="shared" si="169"/>
        <v>44736</v>
      </c>
      <c r="AF247" s="452">
        <f t="shared" si="170"/>
        <v>286</v>
      </c>
      <c r="AG247" s="452">
        <f t="shared" si="171"/>
        <v>13.956800000000001</v>
      </c>
      <c r="AH247" s="452">
        <f t="shared" si="172"/>
        <v>0.24596457599999999</v>
      </c>
      <c r="AI247" s="452">
        <f t="shared" si="173"/>
        <v>300</v>
      </c>
      <c r="AJ247" s="260">
        <f t="shared" si="174"/>
        <v>12794496</v>
      </c>
      <c r="AK247" s="260">
        <f t="shared" si="175"/>
        <v>13420800</v>
      </c>
      <c r="AL247" s="432">
        <f t="shared" si="176"/>
        <v>8</v>
      </c>
      <c r="AM247" s="432">
        <f t="array" ref="AM247">MAX((IF(MNU_CODIGO_ALIMENTO_ENTREGA=CONCATENATE($E247,"_","P_"),MNU_GRAMAJE_REQUERIDO_TIPOM,"")))</f>
        <v>100</v>
      </c>
      <c r="AN247" s="261">
        <f t="shared" si="177"/>
        <v>338</v>
      </c>
      <c r="AO247" s="261">
        <f t="shared" si="178"/>
        <v>2704</v>
      </c>
      <c r="AP247" s="452">
        <f t="shared" si="179"/>
        <v>286</v>
      </c>
      <c r="AQ247" s="452">
        <f t="shared" si="180"/>
        <v>13.956800000000001</v>
      </c>
      <c r="AR247" s="452">
        <f t="shared" si="181"/>
        <v>0.24596457599999999</v>
      </c>
      <c r="AS247" s="452">
        <f t="shared" si="182"/>
        <v>300</v>
      </c>
      <c r="AT247" s="262">
        <f t="shared" si="183"/>
        <v>773344</v>
      </c>
      <c r="AU247" s="262">
        <f t="shared" si="184"/>
        <v>811200</v>
      </c>
      <c r="AV247" s="431">
        <f t="shared" si="185"/>
        <v>8</v>
      </c>
      <c r="AW247" s="431">
        <f t="array" ref="AW247">MAX((IF(MNU_CODIGO_ALIMENTO_ENTREGA=CONCATENATE($E247,"_","P_"),MNU_GRAMAJE_REQUERIDO_TIPOH,"")))</f>
        <v>100</v>
      </c>
      <c r="AX247" s="259">
        <f t="shared" si="186"/>
        <v>354</v>
      </c>
      <c r="AY247" s="259">
        <f t="shared" si="187"/>
        <v>2832</v>
      </c>
      <c r="AZ247" s="452">
        <f t="shared" si="188"/>
        <v>286</v>
      </c>
      <c r="BA247" s="452">
        <f t="shared" si="189"/>
        <v>13.956800000000001</v>
      </c>
      <c r="BB247" s="452">
        <f t="shared" si="190"/>
        <v>0.24596457599999999</v>
      </c>
      <c r="BC247" s="452">
        <f t="shared" si="191"/>
        <v>300</v>
      </c>
      <c r="BD247" s="260">
        <f t="shared" si="192"/>
        <v>809952</v>
      </c>
      <c r="BE247" s="260">
        <f t="shared" si="193"/>
        <v>849600</v>
      </c>
      <c r="BF247" s="397">
        <f t="shared" si="194"/>
        <v>30444128</v>
      </c>
      <c r="BG247" s="397">
        <f t="shared" si="195"/>
        <v>31934400</v>
      </c>
    </row>
    <row r="248" spans="1:59" ht="15.75">
      <c r="A248" s="338">
        <v>18</v>
      </c>
      <c r="B248" s="338" t="str">
        <f t="shared" si="147"/>
        <v>FRUTA_18</v>
      </c>
      <c r="C248" s="338" t="str">
        <f t="shared" si="148"/>
        <v>69_18</v>
      </c>
      <c r="D248" s="338" t="s">
        <v>1</v>
      </c>
      <c r="E248" s="258">
        <v>69</v>
      </c>
      <c r="F248" s="328" t="s">
        <v>70</v>
      </c>
      <c r="G248" s="258" t="s">
        <v>9</v>
      </c>
      <c r="H248" s="431">
        <f t="shared" si="149"/>
        <v>30</v>
      </c>
      <c r="I248" s="431">
        <f t="array" ref="I248">MAX((IF(MNU_CODIGO_ALIMENTO_ENTREGA=CONCATENATE($E248,"_","P_"),MNU_GRAMAJE_REQUERIDO_TIPOA,"")))</f>
        <v>100</v>
      </c>
      <c r="J248" s="259">
        <f t="shared" si="150"/>
        <v>6647</v>
      </c>
      <c r="K248" s="259">
        <f t="shared" si="151"/>
        <v>199410</v>
      </c>
      <c r="L248" s="452">
        <f t="shared" si="152"/>
        <v>305</v>
      </c>
      <c r="M248" s="452">
        <f t="shared" si="153"/>
        <v>14.884</v>
      </c>
      <c r="N248" s="452">
        <f t="shared" si="154"/>
        <v>0.26230488000000002</v>
      </c>
      <c r="O248" s="452">
        <f t="shared" si="155"/>
        <v>320</v>
      </c>
      <c r="P248" s="260">
        <f t="shared" si="156"/>
        <v>60820050</v>
      </c>
      <c r="Q248" s="260">
        <f t="shared" si="157"/>
        <v>63811200</v>
      </c>
      <c r="R248" s="432">
        <f t="shared" si="158"/>
        <v>16</v>
      </c>
      <c r="S248" s="432">
        <f t="array" ref="S248">MAX((IF(MNU_CODIGO_ALIMENTO_ENTREGA=CONCATENATE($E248,"_","P_"),MNU_GRAMAJE_REQUERIDO_TIPOB,"")))</f>
        <v>100</v>
      </c>
      <c r="T248" s="261">
        <f t="shared" si="159"/>
        <v>7022</v>
      </c>
      <c r="U248" s="261">
        <f t="shared" si="160"/>
        <v>112352</v>
      </c>
      <c r="V248" s="452">
        <f t="shared" si="161"/>
        <v>305</v>
      </c>
      <c r="W248" s="452">
        <f t="shared" si="162"/>
        <v>14.884</v>
      </c>
      <c r="X248" s="452">
        <f t="shared" si="163"/>
        <v>0.26230488000000002</v>
      </c>
      <c r="Y248" s="452">
        <f t="shared" si="164"/>
        <v>320</v>
      </c>
      <c r="Z248" s="262">
        <f t="shared" si="165"/>
        <v>34267360</v>
      </c>
      <c r="AA248" s="262">
        <f t="shared" si="166"/>
        <v>35952640</v>
      </c>
      <c r="AB248" s="431">
        <f t="shared" si="167"/>
        <v>16</v>
      </c>
      <c r="AC248" s="431">
        <f t="array" ref="AC248">MAX((IF(MNU_CODIGO_ALIMENTO_ENTREGA=CONCATENATE($E248,"_","P_"),MNU_GRAMAJE_REQUERIDO_TIPOC,"")))</f>
        <v>100</v>
      </c>
      <c r="AD248" s="259">
        <f t="shared" si="168"/>
        <v>5592</v>
      </c>
      <c r="AE248" s="259">
        <f t="shared" si="169"/>
        <v>89472</v>
      </c>
      <c r="AF248" s="452">
        <f t="shared" si="170"/>
        <v>305</v>
      </c>
      <c r="AG248" s="452">
        <f t="shared" si="171"/>
        <v>14.884</v>
      </c>
      <c r="AH248" s="452">
        <f t="shared" si="172"/>
        <v>0.26230488000000002</v>
      </c>
      <c r="AI248" s="452">
        <f t="shared" si="173"/>
        <v>320</v>
      </c>
      <c r="AJ248" s="260">
        <f t="shared" si="174"/>
        <v>27288960</v>
      </c>
      <c r="AK248" s="260">
        <f t="shared" si="175"/>
        <v>28631040</v>
      </c>
      <c r="AL248" s="432">
        <f t="shared" si="176"/>
        <v>16</v>
      </c>
      <c r="AM248" s="432">
        <f t="array" ref="AM248">MAX((IF(MNU_CODIGO_ALIMENTO_ENTREGA=CONCATENATE($E248,"_","P_"),MNU_GRAMAJE_REQUERIDO_TIPOM,"")))</f>
        <v>100</v>
      </c>
      <c r="AN248" s="261">
        <f t="shared" si="177"/>
        <v>338</v>
      </c>
      <c r="AO248" s="261">
        <f t="shared" si="178"/>
        <v>5408</v>
      </c>
      <c r="AP248" s="452">
        <f t="shared" si="179"/>
        <v>305</v>
      </c>
      <c r="AQ248" s="452">
        <f t="shared" si="180"/>
        <v>14.884</v>
      </c>
      <c r="AR248" s="452">
        <f t="shared" si="181"/>
        <v>0.26230488000000002</v>
      </c>
      <c r="AS248" s="452">
        <f t="shared" si="182"/>
        <v>320</v>
      </c>
      <c r="AT248" s="262">
        <f t="shared" si="183"/>
        <v>1649440</v>
      </c>
      <c r="AU248" s="262">
        <f t="shared" si="184"/>
        <v>1730560</v>
      </c>
      <c r="AV248" s="431">
        <f t="shared" si="185"/>
        <v>16</v>
      </c>
      <c r="AW248" s="431">
        <f t="array" ref="AW248">MAX((IF(MNU_CODIGO_ALIMENTO_ENTREGA=CONCATENATE($E248,"_","P_"),MNU_GRAMAJE_REQUERIDO_TIPOH,"")))</f>
        <v>100</v>
      </c>
      <c r="AX248" s="259">
        <f t="shared" si="186"/>
        <v>354</v>
      </c>
      <c r="AY248" s="259">
        <f t="shared" si="187"/>
        <v>5664</v>
      </c>
      <c r="AZ248" s="452">
        <f t="shared" si="188"/>
        <v>305</v>
      </c>
      <c r="BA248" s="452">
        <f t="shared" si="189"/>
        <v>14.884</v>
      </c>
      <c r="BB248" s="452">
        <f t="shared" si="190"/>
        <v>0.26230488000000002</v>
      </c>
      <c r="BC248" s="452">
        <f t="shared" si="191"/>
        <v>320</v>
      </c>
      <c r="BD248" s="260">
        <f t="shared" si="192"/>
        <v>1727520</v>
      </c>
      <c r="BE248" s="260">
        <f t="shared" si="193"/>
        <v>1812480</v>
      </c>
      <c r="BF248" s="397">
        <f t="shared" si="194"/>
        <v>125753330</v>
      </c>
      <c r="BG248" s="397">
        <f t="shared" si="195"/>
        <v>131937920</v>
      </c>
    </row>
    <row r="249" spans="1:59" ht="15.75">
      <c r="A249" s="338">
        <v>18</v>
      </c>
      <c r="B249" s="338" t="str">
        <f t="shared" si="147"/>
        <v>FRUTA_18</v>
      </c>
      <c r="C249" s="338" t="str">
        <f t="shared" si="148"/>
        <v>70_18</v>
      </c>
      <c r="D249" s="338" t="s">
        <v>1</v>
      </c>
      <c r="E249" s="258">
        <v>70</v>
      </c>
      <c r="F249" s="328" t="s">
        <v>71</v>
      </c>
      <c r="G249" s="258" t="s">
        <v>9</v>
      </c>
      <c r="H249" s="431">
        <f t="shared" si="149"/>
        <v>0</v>
      </c>
      <c r="I249" s="431">
        <f t="array" ref="I249">MAX((IF(MNU_CODIGO_ALIMENTO_ENTREGA=CONCATENATE($E249,"_","P_"),MNU_GRAMAJE_REQUERIDO_TIPOA,"")))</f>
        <v>0</v>
      </c>
      <c r="J249" s="259">
        <f t="shared" si="150"/>
        <v>6647</v>
      </c>
      <c r="K249" s="259">
        <f t="shared" si="151"/>
        <v>0</v>
      </c>
      <c r="L249" s="452">
        <f t="shared" si="152"/>
        <v>0</v>
      </c>
      <c r="M249" s="452">
        <f t="shared" si="153"/>
        <v>0</v>
      </c>
      <c r="N249" s="452">
        <f t="shared" si="154"/>
        <v>0</v>
      </c>
      <c r="O249" s="452">
        <f t="shared" si="155"/>
        <v>0</v>
      </c>
      <c r="P249" s="260">
        <f t="shared" si="156"/>
        <v>0</v>
      </c>
      <c r="Q249" s="260">
        <f t="shared" si="157"/>
        <v>0</v>
      </c>
      <c r="R249" s="432">
        <f t="shared" si="158"/>
        <v>10</v>
      </c>
      <c r="S249" s="432">
        <f t="array" ref="S249">MAX((IF(MNU_CODIGO_ALIMENTO_ENTREGA=CONCATENATE($E249,"_","P_"),MNU_GRAMAJE_REQUERIDO_TIPOB,"")))</f>
        <v>100</v>
      </c>
      <c r="T249" s="261">
        <f t="shared" si="159"/>
        <v>7022</v>
      </c>
      <c r="U249" s="261">
        <f t="shared" si="160"/>
        <v>70220</v>
      </c>
      <c r="V249" s="452">
        <f t="shared" si="161"/>
        <v>434</v>
      </c>
      <c r="W249" s="452">
        <f t="shared" si="162"/>
        <v>21.179200000000002</v>
      </c>
      <c r="X249" s="452">
        <f t="shared" si="163"/>
        <v>0.37324694399999997</v>
      </c>
      <c r="Y249" s="452">
        <f t="shared" si="164"/>
        <v>456</v>
      </c>
      <c r="Z249" s="262">
        <f t="shared" si="165"/>
        <v>30475480</v>
      </c>
      <c r="AA249" s="262">
        <f t="shared" si="166"/>
        <v>32020320</v>
      </c>
      <c r="AB249" s="431">
        <f t="shared" si="167"/>
        <v>10</v>
      </c>
      <c r="AC249" s="431">
        <f t="array" ref="AC249">MAX((IF(MNU_CODIGO_ALIMENTO_ENTREGA=CONCATENATE($E249,"_","P_"),MNU_GRAMAJE_REQUERIDO_TIPOC,"")))</f>
        <v>100</v>
      </c>
      <c r="AD249" s="259">
        <f t="shared" si="168"/>
        <v>5592</v>
      </c>
      <c r="AE249" s="259">
        <f t="shared" si="169"/>
        <v>55920</v>
      </c>
      <c r="AF249" s="452">
        <f t="shared" si="170"/>
        <v>434</v>
      </c>
      <c r="AG249" s="452">
        <f t="shared" si="171"/>
        <v>21.179200000000002</v>
      </c>
      <c r="AH249" s="452">
        <f t="shared" si="172"/>
        <v>0.37324694399999997</v>
      </c>
      <c r="AI249" s="452">
        <f t="shared" si="173"/>
        <v>456</v>
      </c>
      <c r="AJ249" s="260">
        <f t="shared" si="174"/>
        <v>24269280</v>
      </c>
      <c r="AK249" s="260">
        <f t="shared" si="175"/>
        <v>25499520</v>
      </c>
      <c r="AL249" s="432">
        <f t="shared" si="176"/>
        <v>10</v>
      </c>
      <c r="AM249" s="432">
        <f t="array" ref="AM249">MAX((IF(MNU_CODIGO_ALIMENTO_ENTREGA=CONCATENATE($E249,"_","P_"),MNU_GRAMAJE_REQUERIDO_TIPOM,"")))</f>
        <v>100</v>
      </c>
      <c r="AN249" s="261">
        <f t="shared" si="177"/>
        <v>338</v>
      </c>
      <c r="AO249" s="261">
        <f t="shared" si="178"/>
        <v>3380</v>
      </c>
      <c r="AP249" s="452">
        <f t="shared" si="179"/>
        <v>434</v>
      </c>
      <c r="AQ249" s="452">
        <f t="shared" si="180"/>
        <v>21.179200000000002</v>
      </c>
      <c r="AR249" s="452">
        <f t="shared" si="181"/>
        <v>0.37324694399999997</v>
      </c>
      <c r="AS249" s="452">
        <f t="shared" si="182"/>
        <v>456</v>
      </c>
      <c r="AT249" s="262">
        <f t="shared" si="183"/>
        <v>1466920</v>
      </c>
      <c r="AU249" s="262">
        <f t="shared" si="184"/>
        <v>1541280</v>
      </c>
      <c r="AV249" s="431">
        <f t="shared" si="185"/>
        <v>10</v>
      </c>
      <c r="AW249" s="431">
        <f t="array" ref="AW249">MAX((IF(MNU_CODIGO_ALIMENTO_ENTREGA=CONCATENATE($E249,"_","P_"),MNU_GRAMAJE_REQUERIDO_TIPOH,"")))</f>
        <v>100</v>
      </c>
      <c r="AX249" s="259">
        <f t="shared" si="186"/>
        <v>354</v>
      </c>
      <c r="AY249" s="259">
        <f t="shared" si="187"/>
        <v>3540</v>
      </c>
      <c r="AZ249" s="452">
        <f t="shared" si="188"/>
        <v>434</v>
      </c>
      <c r="BA249" s="452">
        <f t="shared" si="189"/>
        <v>21.179200000000002</v>
      </c>
      <c r="BB249" s="452">
        <f t="shared" si="190"/>
        <v>0.37324694399999997</v>
      </c>
      <c r="BC249" s="452">
        <f t="shared" si="191"/>
        <v>456</v>
      </c>
      <c r="BD249" s="260">
        <f t="shared" si="192"/>
        <v>1536360</v>
      </c>
      <c r="BE249" s="260">
        <f t="shared" si="193"/>
        <v>1614240</v>
      </c>
      <c r="BF249" s="397">
        <f t="shared" si="194"/>
        <v>57748040</v>
      </c>
      <c r="BG249" s="397">
        <f t="shared" si="195"/>
        <v>60675360</v>
      </c>
    </row>
    <row r="250" spans="1:59" ht="15.75">
      <c r="A250" s="338">
        <v>19</v>
      </c>
      <c r="B250" s="338" t="str">
        <f t="shared" si="147"/>
        <v>FRUTA_19</v>
      </c>
      <c r="C250" s="338" t="str">
        <f t="shared" si="148"/>
        <v>7_19</v>
      </c>
      <c r="D250" s="338" t="s">
        <v>1</v>
      </c>
      <c r="E250" s="258">
        <v>7</v>
      </c>
      <c r="F250" s="328" t="s">
        <v>57</v>
      </c>
      <c r="G250" s="258" t="s">
        <v>9</v>
      </c>
      <c r="H250" s="431">
        <f t="shared" si="149"/>
        <v>22</v>
      </c>
      <c r="I250" s="431">
        <f t="array" ref="I250">MAX((IF(MNU_CODIGO_ALIMENTO_ENTREGA=CONCATENATE($E250,"_","P_"),MNU_GRAMAJE_REQUERIDO_TIPOA,"")))</f>
        <v>100</v>
      </c>
      <c r="J250" s="259">
        <f t="shared" si="150"/>
        <v>6034</v>
      </c>
      <c r="K250" s="259">
        <f t="shared" si="151"/>
        <v>132748</v>
      </c>
      <c r="L250" s="452">
        <f t="shared" si="152"/>
        <v>107</v>
      </c>
      <c r="M250" s="452">
        <f t="shared" si="153"/>
        <v>5.2216000000000005</v>
      </c>
      <c r="N250" s="452">
        <f t="shared" si="154"/>
        <v>9.2021712000000006E-2</v>
      </c>
      <c r="O250" s="452">
        <f t="shared" si="155"/>
        <v>112</v>
      </c>
      <c r="P250" s="260">
        <f t="shared" si="156"/>
        <v>14204036</v>
      </c>
      <c r="Q250" s="260">
        <f t="shared" si="157"/>
        <v>14867776</v>
      </c>
      <c r="R250" s="432">
        <f t="shared" si="158"/>
        <v>9</v>
      </c>
      <c r="S250" s="432">
        <f t="array" ref="S250">MAX((IF(MNU_CODIGO_ALIMENTO_ENTREGA=CONCATENATE($E250,"_","P_"),MNU_GRAMAJE_REQUERIDO_TIPOB,"")))</f>
        <v>100</v>
      </c>
      <c r="T250" s="261">
        <f t="shared" si="159"/>
        <v>8795</v>
      </c>
      <c r="U250" s="261">
        <f t="shared" si="160"/>
        <v>79155</v>
      </c>
      <c r="V250" s="452">
        <f t="shared" si="161"/>
        <v>107</v>
      </c>
      <c r="W250" s="452">
        <f t="shared" si="162"/>
        <v>5.2216000000000005</v>
      </c>
      <c r="X250" s="452">
        <f t="shared" si="163"/>
        <v>9.2021712000000006E-2</v>
      </c>
      <c r="Y250" s="452">
        <f t="shared" si="164"/>
        <v>112</v>
      </c>
      <c r="Z250" s="262">
        <f t="shared" si="165"/>
        <v>8469585</v>
      </c>
      <c r="AA250" s="262">
        <f t="shared" si="166"/>
        <v>8865360</v>
      </c>
      <c r="AB250" s="431">
        <f t="shared" si="167"/>
        <v>9</v>
      </c>
      <c r="AC250" s="431">
        <f t="array" ref="AC250">MAX((IF(MNU_CODIGO_ALIMENTO_ENTREGA=CONCATENATE($E250,"_","P_"),MNU_GRAMAJE_REQUERIDO_TIPOC,"")))</f>
        <v>100</v>
      </c>
      <c r="AD250" s="259">
        <f t="shared" si="168"/>
        <v>11061</v>
      </c>
      <c r="AE250" s="259">
        <f t="shared" si="169"/>
        <v>99549</v>
      </c>
      <c r="AF250" s="452">
        <f t="shared" si="170"/>
        <v>107</v>
      </c>
      <c r="AG250" s="452">
        <f t="shared" si="171"/>
        <v>5.2216000000000005</v>
      </c>
      <c r="AH250" s="452">
        <f t="shared" si="172"/>
        <v>9.2021712000000006E-2</v>
      </c>
      <c r="AI250" s="452">
        <f t="shared" si="173"/>
        <v>112</v>
      </c>
      <c r="AJ250" s="260">
        <f t="shared" si="174"/>
        <v>10651743</v>
      </c>
      <c r="AK250" s="260">
        <f t="shared" si="175"/>
        <v>11149488</v>
      </c>
      <c r="AL250" s="432">
        <f t="shared" si="176"/>
        <v>9</v>
      </c>
      <c r="AM250" s="432">
        <f t="array" ref="AM250">MAX((IF(MNU_CODIGO_ALIMENTO_ENTREGA=CONCATENATE($E250,"_","P_"),MNU_GRAMAJE_REQUERIDO_TIPOM,"")))</f>
        <v>100</v>
      </c>
      <c r="AN250" s="261">
        <f t="shared" si="177"/>
        <v>188</v>
      </c>
      <c r="AO250" s="261">
        <f t="shared" si="178"/>
        <v>1692</v>
      </c>
      <c r="AP250" s="452">
        <f t="shared" si="179"/>
        <v>107</v>
      </c>
      <c r="AQ250" s="452">
        <f t="shared" si="180"/>
        <v>5.2216000000000005</v>
      </c>
      <c r="AR250" s="452">
        <f t="shared" si="181"/>
        <v>9.2021712000000006E-2</v>
      </c>
      <c r="AS250" s="452">
        <f t="shared" si="182"/>
        <v>112</v>
      </c>
      <c r="AT250" s="262">
        <f t="shared" si="183"/>
        <v>181044</v>
      </c>
      <c r="AU250" s="262">
        <f t="shared" si="184"/>
        <v>189504</v>
      </c>
      <c r="AV250" s="431">
        <f t="shared" si="185"/>
        <v>9</v>
      </c>
      <c r="AW250" s="431">
        <f t="array" ref="AW250">MAX((IF(MNU_CODIGO_ALIMENTO_ENTREGA=CONCATENATE($E250,"_","P_"),MNU_GRAMAJE_REQUERIDO_TIPOH,"")))</f>
        <v>100</v>
      </c>
      <c r="AX250" s="259">
        <f t="shared" si="186"/>
        <v>183</v>
      </c>
      <c r="AY250" s="259">
        <f t="shared" si="187"/>
        <v>1647</v>
      </c>
      <c r="AZ250" s="452">
        <f t="shared" si="188"/>
        <v>107</v>
      </c>
      <c r="BA250" s="452">
        <f t="shared" si="189"/>
        <v>5.2216000000000005</v>
      </c>
      <c r="BB250" s="452">
        <f t="shared" si="190"/>
        <v>9.2021712000000006E-2</v>
      </c>
      <c r="BC250" s="452">
        <f t="shared" si="191"/>
        <v>112</v>
      </c>
      <c r="BD250" s="260">
        <f t="shared" si="192"/>
        <v>176229</v>
      </c>
      <c r="BE250" s="260">
        <f t="shared" si="193"/>
        <v>184464</v>
      </c>
      <c r="BF250" s="397">
        <f t="shared" si="194"/>
        <v>33682637</v>
      </c>
      <c r="BG250" s="397">
        <f t="shared" si="195"/>
        <v>35256592</v>
      </c>
    </row>
    <row r="251" spans="1:59" ht="15.75">
      <c r="A251" s="338">
        <v>19</v>
      </c>
      <c r="B251" s="338" t="str">
        <f t="shared" si="147"/>
        <v>FRUTA_19</v>
      </c>
      <c r="C251" s="338" t="str">
        <f t="shared" si="148"/>
        <v>8_19</v>
      </c>
      <c r="D251" s="338" t="s">
        <v>1</v>
      </c>
      <c r="E251" s="258">
        <v>8</v>
      </c>
      <c r="F251" s="328" t="s">
        <v>55</v>
      </c>
      <c r="G251" s="258" t="s">
        <v>9</v>
      </c>
      <c r="H251" s="431">
        <f t="shared" si="149"/>
        <v>10</v>
      </c>
      <c r="I251" s="431">
        <f t="array" ref="I251">MAX((IF(MNU_CODIGO_ALIMENTO_ENTREGA=CONCATENATE($E251,"_","P_"),MNU_GRAMAJE_REQUERIDO_TIPOA,"")))</f>
        <v>100</v>
      </c>
      <c r="J251" s="259">
        <f t="shared" si="150"/>
        <v>6034</v>
      </c>
      <c r="K251" s="259">
        <f t="shared" si="151"/>
        <v>60340</v>
      </c>
      <c r="L251" s="452">
        <f t="shared" si="152"/>
        <v>134</v>
      </c>
      <c r="M251" s="452">
        <f t="shared" si="153"/>
        <v>6.539200000000001</v>
      </c>
      <c r="N251" s="452">
        <f t="shared" si="154"/>
        <v>0.115242144</v>
      </c>
      <c r="O251" s="452">
        <f t="shared" si="155"/>
        <v>141</v>
      </c>
      <c r="P251" s="260">
        <f t="shared" si="156"/>
        <v>8085560</v>
      </c>
      <c r="Q251" s="260">
        <f t="shared" si="157"/>
        <v>8507940</v>
      </c>
      <c r="R251" s="432">
        <f t="shared" si="158"/>
        <v>8</v>
      </c>
      <c r="S251" s="432">
        <f t="array" ref="S251">MAX((IF(MNU_CODIGO_ALIMENTO_ENTREGA=CONCATENATE($E251,"_","P_"),MNU_GRAMAJE_REQUERIDO_TIPOB,"")))</f>
        <v>100</v>
      </c>
      <c r="T251" s="261">
        <f t="shared" si="159"/>
        <v>8795</v>
      </c>
      <c r="U251" s="261">
        <f t="shared" si="160"/>
        <v>70360</v>
      </c>
      <c r="V251" s="452">
        <f t="shared" si="161"/>
        <v>134</v>
      </c>
      <c r="W251" s="452">
        <f t="shared" si="162"/>
        <v>6.539200000000001</v>
      </c>
      <c r="X251" s="452">
        <f t="shared" si="163"/>
        <v>0.115242144</v>
      </c>
      <c r="Y251" s="452">
        <f t="shared" si="164"/>
        <v>141</v>
      </c>
      <c r="Z251" s="262">
        <f t="shared" si="165"/>
        <v>9428240</v>
      </c>
      <c r="AA251" s="262">
        <f t="shared" si="166"/>
        <v>9920760</v>
      </c>
      <c r="AB251" s="431">
        <f t="shared" si="167"/>
        <v>8</v>
      </c>
      <c r="AC251" s="431">
        <f t="array" ref="AC251">MAX((IF(MNU_CODIGO_ALIMENTO_ENTREGA=CONCATENATE($E251,"_","P_"),MNU_GRAMAJE_REQUERIDO_TIPOC,"")))</f>
        <v>100</v>
      </c>
      <c r="AD251" s="259">
        <f t="shared" si="168"/>
        <v>11061</v>
      </c>
      <c r="AE251" s="259">
        <f t="shared" si="169"/>
        <v>88488</v>
      </c>
      <c r="AF251" s="452">
        <f t="shared" si="170"/>
        <v>134</v>
      </c>
      <c r="AG251" s="452">
        <f t="shared" si="171"/>
        <v>6.539200000000001</v>
      </c>
      <c r="AH251" s="452">
        <f t="shared" si="172"/>
        <v>0.115242144</v>
      </c>
      <c r="AI251" s="452">
        <f t="shared" si="173"/>
        <v>141</v>
      </c>
      <c r="AJ251" s="260">
        <f t="shared" si="174"/>
        <v>11857392</v>
      </c>
      <c r="AK251" s="260">
        <f t="shared" si="175"/>
        <v>12476808</v>
      </c>
      <c r="AL251" s="432">
        <f t="shared" si="176"/>
        <v>8</v>
      </c>
      <c r="AM251" s="432">
        <f t="array" ref="AM251">MAX((IF(MNU_CODIGO_ALIMENTO_ENTREGA=CONCATENATE($E251,"_","P_"),MNU_GRAMAJE_REQUERIDO_TIPOM,"")))</f>
        <v>100</v>
      </c>
      <c r="AN251" s="261">
        <f t="shared" si="177"/>
        <v>188</v>
      </c>
      <c r="AO251" s="261">
        <f t="shared" si="178"/>
        <v>1504</v>
      </c>
      <c r="AP251" s="452">
        <f t="shared" si="179"/>
        <v>134</v>
      </c>
      <c r="AQ251" s="452">
        <f t="shared" si="180"/>
        <v>6.539200000000001</v>
      </c>
      <c r="AR251" s="452">
        <f t="shared" si="181"/>
        <v>0.115242144</v>
      </c>
      <c r="AS251" s="452">
        <f t="shared" si="182"/>
        <v>141</v>
      </c>
      <c r="AT251" s="262">
        <f t="shared" si="183"/>
        <v>201536</v>
      </c>
      <c r="AU251" s="262">
        <f t="shared" si="184"/>
        <v>212064</v>
      </c>
      <c r="AV251" s="431">
        <f t="shared" si="185"/>
        <v>8</v>
      </c>
      <c r="AW251" s="431">
        <f t="array" ref="AW251">MAX((IF(MNU_CODIGO_ALIMENTO_ENTREGA=CONCATENATE($E251,"_","P_"),MNU_GRAMAJE_REQUERIDO_TIPOH,"")))</f>
        <v>100</v>
      </c>
      <c r="AX251" s="259">
        <f t="shared" si="186"/>
        <v>183</v>
      </c>
      <c r="AY251" s="259">
        <f t="shared" si="187"/>
        <v>1464</v>
      </c>
      <c r="AZ251" s="452">
        <f t="shared" si="188"/>
        <v>134</v>
      </c>
      <c r="BA251" s="452">
        <f t="shared" si="189"/>
        <v>6.539200000000001</v>
      </c>
      <c r="BB251" s="452">
        <f t="shared" si="190"/>
        <v>0.115242144</v>
      </c>
      <c r="BC251" s="452">
        <f t="shared" si="191"/>
        <v>141</v>
      </c>
      <c r="BD251" s="260">
        <f t="shared" si="192"/>
        <v>196176</v>
      </c>
      <c r="BE251" s="260">
        <f t="shared" si="193"/>
        <v>206424</v>
      </c>
      <c r="BF251" s="397">
        <f t="shared" si="194"/>
        <v>29768904</v>
      </c>
      <c r="BG251" s="397">
        <f t="shared" si="195"/>
        <v>31323996</v>
      </c>
    </row>
    <row r="252" spans="1:59" ht="15.75">
      <c r="A252" s="338">
        <v>19</v>
      </c>
      <c r="B252" s="338" t="str">
        <f t="shared" ref="B252:B315" si="196">CONCATENATE(D252,"_",A252)</f>
        <v>FRUTA_19</v>
      </c>
      <c r="C252" s="338" t="str">
        <f t="shared" ref="C252:C315" si="197">CONCATENATE(E252,"_",A252)</f>
        <v>17_19</v>
      </c>
      <c r="D252" s="338" t="s">
        <v>1</v>
      </c>
      <c r="E252" s="258">
        <v>17</v>
      </c>
      <c r="F252" s="328" t="s">
        <v>53</v>
      </c>
      <c r="G252" s="258" t="s">
        <v>9</v>
      </c>
      <c r="H252" s="431">
        <f t="shared" ref="H252:H315" si="198">SUMIF(MNU_CODIGO_ALIMENTO_ENTREGA,CONCATENATE($E252,"_","P_"),MNU_FRECUENCIAS_LAV_TIPOA)</f>
        <v>0</v>
      </c>
      <c r="I252" s="431">
        <f t="array" ref="I252">MAX((IF(MNU_CODIGO_ALIMENTO_ENTREGA=CONCATENATE($E252,"_","P_"),MNU_GRAMAJE_REQUERIDO_TIPOA,"")))</f>
        <v>0</v>
      </c>
      <c r="J252" s="259">
        <f t="shared" ref="J252:J315" si="199">SUMIF(VOL_GRUPO,CONCATENATE($A252,"1052-1NO"),VOL_TIPOA)</f>
        <v>6034</v>
      </c>
      <c r="K252" s="259">
        <f t="shared" ref="K252:K315" si="200">H252*J252</f>
        <v>0</v>
      </c>
      <c r="L252" s="452">
        <f t="shared" ref="L252:L315" si="201">IF(ISERROR(AVERAGEIFS(MNU_COSTO_UNITARIO_TIPOA_SELECCIONADO,MNU_CODIGO_ALIMENTO_ENTREGA,CONCATENATE($E252,"_","P_"))),0,AVERAGEIFS(MNU_COSTO_UNITARIO_TIPOA_SELECCIONADO,MNU_CODIGO_ALIMENTO_ENTREGA,CONCATENATE($E252,"_","P_")))</f>
        <v>0</v>
      </c>
      <c r="M252" s="452">
        <f t="shared" ref="M252:M315" si="202">(L252*0.01)+(L252*0.005)+(L252*0.02)+(L252*(13.8/1000))</f>
        <v>0</v>
      </c>
      <c r="N252" s="452">
        <f t="shared" ref="N252:N315" si="203">((L252+M252)*0.00071)+((L252+M252)*0.00011)</f>
        <v>0</v>
      </c>
      <c r="O252" s="452">
        <f t="shared" ref="O252:O315" si="204">ROUND(L252+M252+N252,0)</f>
        <v>0</v>
      </c>
      <c r="P252" s="260">
        <f t="shared" ref="P252:P315" si="205">H252*J252*L252</f>
        <v>0</v>
      </c>
      <c r="Q252" s="260">
        <f t="shared" ref="Q252:Q315" si="206">H252*J252*O252</f>
        <v>0</v>
      </c>
      <c r="R252" s="432">
        <f t="shared" ref="R252:R315" si="207">SUMIF(MNU_CODIGO_ALIMENTO_ENTREGA,CONCATENATE($E252,"_","P_"),MNU_FRECUENCIAS_LAV_TIPOB)</f>
        <v>21</v>
      </c>
      <c r="S252" s="432">
        <f t="array" ref="S252">MAX((IF(MNU_CODIGO_ALIMENTO_ENTREGA=CONCATENATE($E252,"_","P_"),MNU_GRAMAJE_REQUERIDO_TIPOB,"")))</f>
        <v>100</v>
      </c>
      <c r="T252" s="261">
        <f t="shared" ref="T252:T315" si="208">SUMIF(VOL_GRUPO,CONCATENATE($A252,"1052-1NO"),VOL_TIPOB)</f>
        <v>8795</v>
      </c>
      <c r="U252" s="261">
        <f t="shared" ref="U252:U315" si="209">R252*T252</f>
        <v>184695</v>
      </c>
      <c r="V252" s="452">
        <f t="shared" ref="V252:V315" si="210">IF(ISERROR(AVERAGEIFS(MNU_COSTO_UNITARIO_TIPOB_SELECCIONADO,MNU_CODIGO_ALIMENTO_ENTREGA,CONCATENATE($E252,"_","P_"))),0,AVERAGEIFS(MNU_COSTO_UNITARIO_TIPOB_SELECCIONADO,MNU_CODIGO_ALIMENTO_ENTREGA,CONCATENATE($E252,"_","P_")))</f>
        <v>226</v>
      </c>
      <c r="W252" s="452">
        <f t="shared" ref="W252:W315" si="211">(V252*0.01)+(V252*0.005)+(V252*0.02)+(V252*(13.8/1000))</f>
        <v>11.0288</v>
      </c>
      <c r="X252" s="452">
        <f t="shared" ref="X252:X315" si="212">((V252+W252)*0.00071)+((V252+W252)*0.00011)</f>
        <v>0.19436361600000002</v>
      </c>
      <c r="Y252" s="452">
        <f t="shared" ref="Y252:Y315" si="213">ROUND(V252+W252+X252,0)</f>
        <v>237</v>
      </c>
      <c r="Z252" s="262">
        <f t="shared" ref="Z252:Z315" si="214">R252*T252*V252</f>
        <v>41741070</v>
      </c>
      <c r="AA252" s="262">
        <f t="shared" ref="AA252:AA315" si="215">R252*T252*Y252</f>
        <v>43772715</v>
      </c>
      <c r="AB252" s="431">
        <f t="shared" ref="AB252:AB315" si="216">SUMIF(MNU_CODIGO_ALIMENTO_ENTREGA,CONCATENATE($E252,"_","P_"),MNU_FRECUENCIAS_LAV_TIPOC)</f>
        <v>21</v>
      </c>
      <c r="AC252" s="431">
        <f t="array" ref="AC252">MAX((IF(MNU_CODIGO_ALIMENTO_ENTREGA=CONCATENATE($E252,"_","P_"),MNU_GRAMAJE_REQUERIDO_TIPOC,"")))</f>
        <v>100</v>
      </c>
      <c r="AD252" s="259">
        <f t="shared" ref="AD252:AD315" si="217">SUMIF(VOL_GRUPO,CONCATENATE($A252,"1052-1NO"),VOL_TIPOC)</f>
        <v>11061</v>
      </c>
      <c r="AE252" s="259">
        <f t="shared" ref="AE252:AE315" si="218">AB252*AD252</f>
        <v>232281</v>
      </c>
      <c r="AF252" s="452">
        <f t="shared" ref="AF252:AF315" si="219">IF(ISERROR(AVERAGEIFS(MNU_COSTO_UNITARIO_TIPOC_SELECCIONADO,MNU_CODIGO_ALIMENTO_ENTREGA,CONCATENATE($E252,"_","P_"))),0,AVERAGEIFS(MNU_COSTO_UNITARIO_TIPOC_SELECCIONADO,MNU_CODIGO_ALIMENTO_ENTREGA,CONCATENATE($E252,"_","P_")))</f>
        <v>226</v>
      </c>
      <c r="AG252" s="452">
        <f t="shared" ref="AG252:AG315" si="220">(AF252*0.01)+(AF252*0.005)+(AF252*0.02)+(AF252*(13.8/1000))</f>
        <v>11.0288</v>
      </c>
      <c r="AH252" s="452">
        <f t="shared" ref="AH252:AH315" si="221">((AF252+AG252)*0.00071)+((AF252+AG252)*0.00011)</f>
        <v>0.19436361600000002</v>
      </c>
      <c r="AI252" s="452">
        <f t="shared" ref="AI252:AI315" si="222">ROUND(AF252+AG252+AH252,0)</f>
        <v>237</v>
      </c>
      <c r="AJ252" s="260">
        <f t="shared" ref="AJ252:AJ315" si="223">AB252*AD252*AF252</f>
        <v>52495506</v>
      </c>
      <c r="AK252" s="260">
        <f t="shared" ref="AK252:AK315" si="224">AB252*AD252*AI252</f>
        <v>55050597</v>
      </c>
      <c r="AL252" s="432">
        <f t="shared" ref="AL252:AL315" si="225">SUMIF(MNU_CODIGO_ALIMENTO_ENTREGA,CONCATENATE($E252,"_","P_"),MNU_FRECUENCIAS_LAV_TIPOM)</f>
        <v>21</v>
      </c>
      <c r="AM252" s="432">
        <f t="array" ref="AM252">MAX((IF(MNU_CODIGO_ALIMENTO_ENTREGA=CONCATENATE($E252,"_","P_"),MNU_GRAMAJE_REQUERIDO_TIPOM,"")))</f>
        <v>100</v>
      </c>
      <c r="AN252" s="261">
        <f t="shared" ref="AN252:AN315" si="226">SUMIF(VOL_GRUPO,CONCATENATE($A252,"1052-1NO"),VOL_TIPOM)</f>
        <v>188</v>
      </c>
      <c r="AO252" s="261">
        <f t="shared" ref="AO252:AO315" si="227">AL252*AN252</f>
        <v>3948</v>
      </c>
      <c r="AP252" s="452">
        <f t="shared" ref="AP252:AP315" si="228">IF(ISERROR(AVERAGEIFS(MNU_COSTO_UNITARIO_TIPOM_SELECCIONADO,MNU_CODIGO_ALIMENTO_ENTREGA,CONCATENATE($E252,"_","P_"))),0,AVERAGEIFS(MNU_COSTO_UNITARIO_TIPOM_SELECCIONADO,MNU_CODIGO_ALIMENTO_ENTREGA,CONCATENATE($E252,"_","P_")))</f>
        <v>226</v>
      </c>
      <c r="AQ252" s="452">
        <f t="shared" ref="AQ252:AQ315" si="229">(AP252*0.01)+(AP252*0.005)+(AP252*0.02)+(AP252*(13.8/1000))</f>
        <v>11.0288</v>
      </c>
      <c r="AR252" s="452">
        <f t="shared" ref="AR252:AR315" si="230">((AP252+AQ252)*0.00071)+((AP252+AQ252)*0.00011)</f>
        <v>0.19436361600000002</v>
      </c>
      <c r="AS252" s="452">
        <f t="shared" ref="AS252:AS315" si="231">ROUND(AP252+AQ252+AR252,0)</f>
        <v>237</v>
      </c>
      <c r="AT252" s="262">
        <f t="shared" ref="AT252:AT315" si="232">AL252*AN252*AP252</f>
        <v>892248</v>
      </c>
      <c r="AU252" s="262">
        <f t="shared" ref="AU252:AU315" si="233">AL252*AN252*AS252</f>
        <v>935676</v>
      </c>
      <c r="AV252" s="431">
        <f t="shared" ref="AV252:AV315" si="234">SUMIF(MNU_CODIGO_ALIMENTO_ENTREGA,CONCATENATE($E252,"_","P_"),MNU_FRECUENCIAS_LAV_TIPOH)</f>
        <v>21</v>
      </c>
      <c r="AW252" s="431">
        <f t="array" ref="AW252">MAX((IF(MNU_CODIGO_ALIMENTO_ENTREGA=CONCATENATE($E252,"_","P_"),MNU_GRAMAJE_REQUERIDO_TIPOH,"")))</f>
        <v>100</v>
      </c>
      <c r="AX252" s="259">
        <f t="shared" ref="AX252:AX315" si="235">SUMIF(VOL_GRUPO,CONCATENATE($A252,"1052-1NO"),VOL_TIPOH)</f>
        <v>183</v>
      </c>
      <c r="AY252" s="259">
        <f t="shared" ref="AY252:AY315" si="236">AV252*AX252</f>
        <v>3843</v>
      </c>
      <c r="AZ252" s="452">
        <f t="shared" ref="AZ252:AZ315" si="237">IF(ISERROR(AVERAGEIFS(MNU_COSTO_UNITARIO_TIPOH_SELECCIONADO,MNU_CODIGO_ALIMENTO_ENTREGA,CONCATENATE($E252,"_","P_"))),0,AVERAGEIFS(MNU_COSTO_UNITARIO_TIPOH_SELECCIONADO,MNU_CODIGO_ALIMENTO_ENTREGA,CONCATENATE($E252,"_","P_")))</f>
        <v>226</v>
      </c>
      <c r="BA252" s="452">
        <f t="shared" ref="BA252:BA315" si="238">(AZ252*0.01)+(AZ252*0.005)+(AZ252*0.02)+(AZ252*(13.8/1000))</f>
        <v>11.0288</v>
      </c>
      <c r="BB252" s="452">
        <f t="shared" ref="BB252:BB315" si="239">((AZ252+BA252)*0.00071)+((AZ252+BA252)*0.00011)</f>
        <v>0.19436361600000002</v>
      </c>
      <c r="BC252" s="452">
        <f t="shared" ref="BC252:BC315" si="240">ROUND(AZ252+BA252+BB252,0)</f>
        <v>237</v>
      </c>
      <c r="BD252" s="260">
        <f t="shared" ref="BD252:BD315" si="241">AV252*AX252*AZ252</f>
        <v>868518</v>
      </c>
      <c r="BE252" s="260">
        <f t="shared" ref="BE252:BE315" si="242">AV252*AX252*BC252</f>
        <v>910791</v>
      </c>
      <c r="BF252" s="397">
        <f t="shared" ref="BF252:BF315" si="243">BD252+AT252+AJ252+Z252+P252</f>
        <v>95997342</v>
      </c>
      <c r="BG252" s="397">
        <f t="shared" ref="BG252:BG315" si="244">BE252+AU252+AK252+AA252+Q252</f>
        <v>100669779</v>
      </c>
    </row>
    <row r="253" spans="1:59" ht="15.75">
      <c r="A253" s="338">
        <v>19</v>
      </c>
      <c r="B253" s="338" t="str">
        <f t="shared" si="196"/>
        <v>FRUTA_19</v>
      </c>
      <c r="C253" s="338" t="str">
        <f t="shared" si="197"/>
        <v>22_19</v>
      </c>
      <c r="D253" s="338" t="s">
        <v>1</v>
      </c>
      <c r="E253" s="258">
        <v>22</v>
      </c>
      <c r="F253" s="328" t="s">
        <v>51</v>
      </c>
      <c r="G253" s="258" t="s">
        <v>9</v>
      </c>
      <c r="H253" s="431">
        <f t="shared" si="198"/>
        <v>0</v>
      </c>
      <c r="I253" s="431">
        <f t="array" ref="I253">MAX((IF(MNU_CODIGO_ALIMENTO_ENTREGA=CONCATENATE($E253,"_","P_"),MNU_GRAMAJE_REQUERIDO_TIPOA,"")))</f>
        <v>0</v>
      </c>
      <c r="J253" s="259">
        <f t="shared" si="199"/>
        <v>6034</v>
      </c>
      <c r="K253" s="259">
        <f t="shared" si="200"/>
        <v>0</v>
      </c>
      <c r="L253" s="452">
        <f t="shared" si="201"/>
        <v>0</v>
      </c>
      <c r="M253" s="452">
        <f t="shared" si="202"/>
        <v>0</v>
      </c>
      <c r="N253" s="452">
        <f t="shared" si="203"/>
        <v>0</v>
      </c>
      <c r="O253" s="452">
        <f t="shared" si="204"/>
        <v>0</v>
      </c>
      <c r="P253" s="260">
        <f t="shared" si="205"/>
        <v>0</v>
      </c>
      <c r="Q253" s="260">
        <f t="shared" si="206"/>
        <v>0</v>
      </c>
      <c r="R253" s="432">
        <f t="shared" si="207"/>
        <v>20</v>
      </c>
      <c r="S253" s="432">
        <f t="array" ref="S253">MAX((IF(MNU_CODIGO_ALIMENTO_ENTREGA=CONCATENATE($E253,"_","P_"),MNU_GRAMAJE_REQUERIDO_TIPOB,"")))</f>
        <v>100</v>
      </c>
      <c r="T253" s="261">
        <f t="shared" si="208"/>
        <v>8795</v>
      </c>
      <c r="U253" s="261">
        <f t="shared" si="209"/>
        <v>175900</v>
      </c>
      <c r="V253" s="452">
        <f t="shared" si="210"/>
        <v>525</v>
      </c>
      <c r="W253" s="452">
        <f t="shared" si="211"/>
        <v>25.62</v>
      </c>
      <c r="X253" s="452">
        <f t="shared" si="212"/>
        <v>0.45150840000000003</v>
      </c>
      <c r="Y253" s="452">
        <f t="shared" si="213"/>
        <v>551</v>
      </c>
      <c r="Z253" s="262">
        <f t="shared" si="214"/>
        <v>92347500</v>
      </c>
      <c r="AA253" s="262">
        <f t="shared" si="215"/>
        <v>96920900</v>
      </c>
      <c r="AB253" s="431">
        <f t="shared" si="216"/>
        <v>20</v>
      </c>
      <c r="AC253" s="431">
        <f t="array" ref="AC253">MAX((IF(MNU_CODIGO_ALIMENTO_ENTREGA=CONCATENATE($E253,"_","P_"),MNU_GRAMAJE_REQUERIDO_TIPOC,"")))</f>
        <v>100</v>
      </c>
      <c r="AD253" s="259">
        <f t="shared" si="217"/>
        <v>11061</v>
      </c>
      <c r="AE253" s="259">
        <f t="shared" si="218"/>
        <v>221220</v>
      </c>
      <c r="AF253" s="452">
        <f t="shared" si="219"/>
        <v>525</v>
      </c>
      <c r="AG253" s="452">
        <f t="shared" si="220"/>
        <v>25.62</v>
      </c>
      <c r="AH253" s="452">
        <f t="shared" si="221"/>
        <v>0.45150840000000003</v>
      </c>
      <c r="AI253" s="452">
        <f t="shared" si="222"/>
        <v>551</v>
      </c>
      <c r="AJ253" s="260">
        <f t="shared" si="223"/>
        <v>116140500</v>
      </c>
      <c r="AK253" s="260">
        <f t="shared" si="224"/>
        <v>121892220</v>
      </c>
      <c r="AL253" s="432">
        <f t="shared" si="225"/>
        <v>20</v>
      </c>
      <c r="AM253" s="432">
        <f t="array" ref="AM253">MAX((IF(MNU_CODIGO_ALIMENTO_ENTREGA=CONCATENATE($E253,"_","P_"),MNU_GRAMAJE_REQUERIDO_TIPOM,"")))</f>
        <v>100</v>
      </c>
      <c r="AN253" s="261">
        <f t="shared" si="226"/>
        <v>188</v>
      </c>
      <c r="AO253" s="261">
        <f t="shared" si="227"/>
        <v>3760</v>
      </c>
      <c r="AP253" s="452">
        <f t="shared" si="228"/>
        <v>525</v>
      </c>
      <c r="AQ253" s="452">
        <f t="shared" si="229"/>
        <v>25.62</v>
      </c>
      <c r="AR253" s="452">
        <f t="shared" si="230"/>
        <v>0.45150840000000003</v>
      </c>
      <c r="AS253" s="452">
        <f t="shared" si="231"/>
        <v>551</v>
      </c>
      <c r="AT253" s="262">
        <f t="shared" si="232"/>
        <v>1974000</v>
      </c>
      <c r="AU253" s="262">
        <f t="shared" si="233"/>
        <v>2071760</v>
      </c>
      <c r="AV253" s="431">
        <f t="shared" si="234"/>
        <v>20</v>
      </c>
      <c r="AW253" s="431">
        <f t="array" ref="AW253">MAX((IF(MNU_CODIGO_ALIMENTO_ENTREGA=CONCATENATE($E253,"_","P_"),MNU_GRAMAJE_REQUERIDO_TIPOH,"")))</f>
        <v>100</v>
      </c>
      <c r="AX253" s="259">
        <f t="shared" si="235"/>
        <v>183</v>
      </c>
      <c r="AY253" s="259">
        <f t="shared" si="236"/>
        <v>3660</v>
      </c>
      <c r="AZ253" s="452">
        <f t="shared" si="237"/>
        <v>525</v>
      </c>
      <c r="BA253" s="452">
        <f t="shared" si="238"/>
        <v>25.62</v>
      </c>
      <c r="BB253" s="452">
        <f t="shared" si="239"/>
        <v>0.45150840000000003</v>
      </c>
      <c r="BC253" s="452">
        <f t="shared" si="240"/>
        <v>551</v>
      </c>
      <c r="BD253" s="260">
        <f t="shared" si="241"/>
        <v>1921500</v>
      </c>
      <c r="BE253" s="260">
        <f t="shared" si="242"/>
        <v>2016660</v>
      </c>
      <c r="BF253" s="397">
        <f t="shared" si="243"/>
        <v>212383500</v>
      </c>
      <c r="BG253" s="397">
        <f t="shared" si="244"/>
        <v>222901540</v>
      </c>
    </row>
    <row r="254" spans="1:59" ht="15.75">
      <c r="A254" s="338">
        <v>19</v>
      </c>
      <c r="B254" s="338" t="str">
        <f t="shared" si="196"/>
        <v>FRUTA_19</v>
      </c>
      <c r="C254" s="338" t="str">
        <f t="shared" si="197"/>
        <v>33_19</v>
      </c>
      <c r="D254" s="338" t="s">
        <v>1</v>
      </c>
      <c r="E254" s="258">
        <v>33</v>
      </c>
      <c r="F254" s="328" t="s">
        <v>59</v>
      </c>
      <c r="G254" s="258" t="s">
        <v>48</v>
      </c>
      <c r="H254" s="431">
        <f t="shared" si="198"/>
        <v>27</v>
      </c>
      <c r="I254" s="431">
        <v>1</v>
      </c>
      <c r="J254" s="259">
        <f t="shared" si="199"/>
        <v>6034</v>
      </c>
      <c r="K254" s="259">
        <f t="shared" si="200"/>
        <v>162918</v>
      </c>
      <c r="L254" s="452">
        <f t="shared" si="201"/>
        <v>270</v>
      </c>
      <c r="M254" s="452">
        <f t="shared" si="202"/>
        <v>13.176000000000002</v>
      </c>
      <c r="N254" s="452">
        <f t="shared" si="203"/>
        <v>0.23220432000000002</v>
      </c>
      <c r="O254" s="452">
        <f t="shared" si="204"/>
        <v>283</v>
      </c>
      <c r="P254" s="260">
        <f t="shared" si="205"/>
        <v>43987860</v>
      </c>
      <c r="Q254" s="260">
        <f t="shared" si="206"/>
        <v>46105794</v>
      </c>
      <c r="R254" s="432">
        <f t="shared" si="207"/>
        <v>18</v>
      </c>
      <c r="S254" s="432">
        <v>1</v>
      </c>
      <c r="T254" s="261">
        <f t="shared" si="208"/>
        <v>8795</v>
      </c>
      <c r="U254" s="261">
        <f t="shared" si="209"/>
        <v>158310</v>
      </c>
      <c r="V254" s="452">
        <f t="shared" si="210"/>
        <v>270</v>
      </c>
      <c r="W254" s="452">
        <f t="shared" si="211"/>
        <v>13.176000000000002</v>
      </c>
      <c r="X254" s="452">
        <f t="shared" si="212"/>
        <v>0.23220432000000002</v>
      </c>
      <c r="Y254" s="452">
        <f t="shared" si="213"/>
        <v>283</v>
      </c>
      <c r="Z254" s="262">
        <f t="shared" si="214"/>
        <v>42743700</v>
      </c>
      <c r="AA254" s="262">
        <f t="shared" si="215"/>
        <v>44801730</v>
      </c>
      <c r="AB254" s="431">
        <f t="shared" si="216"/>
        <v>18</v>
      </c>
      <c r="AC254" s="431">
        <v>1</v>
      </c>
      <c r="AD254" s="259">
        <f t="shared" si="217"/>
        <v>11061</v>
      </c>
      <c r="AE254" s="259">
        <f t="shared" si="218"/>
        <v>199098</v>
      </c>
      <c r="AF254" s="452">
        <f t="shared" si="219"/>
        <v>270</v>
      </c>
      <c r="AG254" s="452">
        <f t="shared" si="220"/>
        <v>13.176000000000002</v>
      </c>
      <c r="AH254" s="452">
        <f t="shared" si="221"/>
        <v>0.23220432000000002</v>
      </c>
      <c r="AI254" s="452">
        <f t="shared" si="222"/>
        <v>283</v>
      </c>
      <c r="AJ254" s="260">
        <f t="shared" si="223"/>
        <v>53756460</v>
      </c>
      <c r="AK254" s="260">
        <f t="shared" si="224"/>
        <v>56344734</v>
      </c>
      <c r="AL254" s="432">
        <f t="shared" si="225"/>
        <v>18</v>
      </c>
      <c r="AM254" s="432">
        <v>1</v>
      </c>
      <c r="AN254" s="261">
        <f t="shared" si="226"/>
        <v>188</v>
      </c>
      <c r="AO254" s="261">
        <f t="shared" si="227"/>
        <v>3384</v>
      </c>
      <c r="AP254" s="452">
        <f t="shared" si="228"/>
        <v>270</v>
      </c>
      <c r="AQ254" s="452">
        <f t="shared" si="229"/>
        <v>13.176000000000002</v>
      </c>
      <c r="AR254" s="452">
        <f t="shared" si="230"/>
        <v>0.23220432000000002</v>
      </c>
      <c r="AS254" s="452">
        <f t="shared" si="231"/>
        <v>283</v>
      </c>
      <c r="AT254" s="262">
        <f t="shared" si="232"/>
        <v>913680</v>
      </c>
      <c r="AU254" s="262">
        <f t="shared" si="233"/>
        <v>957672</v>
      </c>
      <c r="AV254" s="431">
        <f t="shared" si="234"/>
        <v>18</v>
      </c>
      <c r="AW254" s="431">
        <v>1</v>
      </c>
      <c r="AX254" s="259">
        <f t="shared" si="235"/>
        <v>183</v>
      </c>
      <c r="AY254" s="259">
        <f t="shared" si="236"/>
        <v>3294</v>
      </c>
      <c r="AZ254" s="452">
        <f t="shared" si="237"/>
        <v>270</v>
      </c>
      <c r="BA254" s="452">
        <f t="shared" si="238"/>
        <v>13.176000000000002</v>
      </c>
      <c r="BB254" s="452">
        <f t="shared" si="239"/>
        <v>0.23220432000000002</v>
      </c>
      <c r="BC254" s="452">
        <f t="shared" si="240"/>
        <v>283</v>
      </c>
      <c r="BD254" s="260">
        <f t="shared" si="241"/>
        <v>889380</v>
      </c>
      <c r="BE254" s="260">
        <f t="shared" si="242"/>
        <v>932202</v>
      </c>
      <c r="BF254" s="397">
        <f t="shared" si="243"/>
        <v>142291080</v>
      </c>
      <c r="BG254" s="397">
        <f t="shared" si="244"/>
        <v>149142132</v>
      </c>
    </row>
    <row r="255" spans="1:59" ht="15.75">
      <c r="A255" s="338">
        <v>19</v>
      </c>
      <c r="B255" s="338" t="str">
        <f t="shared" si="196"/>
        <v>FRUTA_19</v>
      </c>
      <c r="C255" s="338" t="str">
        <f t="shared" si="197"/>
        <v>36_19</v>
      </c>
      <c r="D255" s="338" t="s">
        <v>1</v>
      </c>
      <c r="E255" s="258">
        <v>36</v>
      </c>
      <c r="F255" s="328" t="s">
        <v>1340</v>
      </c>
      <c r="G255" s="258" t="s">
        <v>9</v>
      </c>
      <c r="H255" s="431">
        <f t="shared" si="198"/>
        <v>7</v>
      </c>
      <c r="I255" s="431">
        <f t="array" ref="I255">MAX((IF(MNU_CODIGO_ALIMENTO_ENTREGA=CONCATENATE($E255,"_","P_"),MNU_GRAMAJE_REQUERIDO_TIPOA,"")))</f>
        <v>20</v>
      </c>
      <c r="J255" s="259">
        <f t="shared" si="199"/>
        <v>6034</v>
      </c>
      <c r="K255" s="259">
        <f t="shared" si="200"/>
        <v>42238</v>
      </c>
      <c r="L255" s="452">
        <f t="shared" si="201"/>
        <v>126</v>
      </c>
      <c r="M255" s="452">
        <f t="shared" si="202"/>
        <v>6.1488000000000005</v>
      </c>
      <c r="N255" s="452">
        <f t="shared" si="203"/>
        <v>0.10836201599999999</v>
      </c>
      <c r="O255" s="452">
        <f t="shared" si="204"/>
        <v>132</v>
      </c>
      <c r="P255" s="260">
        <f t="shared" si="205"/>
        <v>5321988</v>
      </c>
      <c r="Q255" s="260">
        <f t="shared" si="206"/>
        <v>5575416</v>
      </c>
      <c r="R255" s="432">
        <f t="shared" si="207"/>
        <v>7</v>
      </c>
      <c r="S255" s="432">
        <f t="array" ref="S255">MAX((IF(MNU_CODIGO_ALIMENTO_ENTREGA=CONCATENATE($E255,"_","P_"),MNU_GRAMAJE_REQUERIDO_TIPOB,"")))</f>
        <v>40</v>
      </c>
      <c r="T255" s="261">
        <f t="shared" si="208"/>
        <v>8795</v>
      </c>
      <c r="U255" s="261">
        <f t="shared" si="209"/>
        <v>61565</v>
      </c>
      <c r="V255" s="452">
        <f t="shared" si="210"/>
        <v>252</v>
      </c>
      <c r="W255" s="452">
        <f t="shared" si="211"/>
        <v>12.297600000000001</v>
      </c>
      <c r="X255" s="452">
        <f t="shared" si="212"/>
        <v>0.21672403199999998</v>
      </c>
      <c r="Y255" s="452">
        <f t="shared" si="213"/>
        <v>265</v>
      </c>
      <c r="Z255" s="262">
        <f t="shared" si="214"/>
        <v>15514380</v>
      </c>
      <c r="AA255" s="262">
        <f t="shared" si="215"/>
        <v>16314725</v>
      </c>
      <c r="AB255" s="431">
        <f t="shared" si="216"/>
        <v>7</v>
      </c>
      <c r="AC255" s="431">
        <f t="array" ref="AC255">MAX((IF(MNU_CODIGO_ALIMENTO_ENTREGA=CONCATENATE($E255,"_","P_"),MNU_GRAMAJE_REQUERIDO_TIPOC,"")))</f>
        <v>40</v>
      </c>
      <c r="AD255" s="259">
        <f t="shared" si="217"/>
        <v>11061</v>
      </c>
      <c r="AE255" s="259">
        <f t="shared" si="218"/>
        <v>77427</v>
      </c>
      <c r="AF255" s="452">
        <f t="shared" si="219"/>
        <v>252</v>
      </c>
      <c r="AG255" s="452">
        <f t="shared" si="220"/>
        <v>12.297600000000001</v>
      </c>
      <c r="AH255" s="452">
        <f t="shared" si="221"/>
        <v>0.21672403199999998</v>
      </c>
      <c r="AI255" s="452">
        <f t="shared" si="222"/>
        <v>265</v>
      </c>
      <c r="AJ255" s="260">
        <f t="shared" si="223"/>
        <v>19511604</v>
      </c>
      <c r="AK255" s="260">
        <f t="shared" si="224"/>
        <v>20518155</v>
      </c>
      <c r="AL255" s="432">
        <f t="shared" si="225"/>
        <v>7</v>
      </c>
      <c r="AM255" s="432">
        <f t="array" ref="AM255">MAX((IF(MNU_CODIGO_ALIMENTO_ENTREGA=CONCATENATE($E255,"_","P_"),MNU_GRAMAJE_REQUERIDO_TIPOM,"")))</f>
        <v>40</v>
      </c>
      <c r="AN255" s="261">
        <f t="shared" si="226"/>
        <v>188</v>
      </c>
      <c r="AO255" s="261">
        <f t="shared" si="227"/>
        <v>1316</v>
      </c>
      <c r="AP255" s="452">
        <f t="shared" si="228"/>
        <v>252</v>
      </c>
      <c r="AQ255" s="452">
        <f t="shared" si="229"/>
        <v>12.297600000000001</v>
      </c>
      <c r="AR255" s="452">
        <f t="shared" si="230"/>
        <v>0.21672403199999998</v>
      </c>
      <c r="AS255" s="452">
        <f t="shared" si="231"/>
        <v>265</v>
      </c>
      <c r="AT255" s="262">
        <f t="shared" si="232"/>
        <v>331632</v>
      </c>
      <c r="AU255" s="262">
        <f t="shared" si="233"/>
        <v>348740</v>
      </c>
      <c r="AV255" s="431">
        <f t="shared" si="234"/>
        <v>7</v>
      </c>
      <c r="AW255" s="431">
        <f t="array" ref="AW255">MAX((IF(MNU_CODIGO_ALIMENTO_ENTREGA=CONCATENATE($E255,"_","P_"),MNU_GRAMAJE_REQUERIDO_TIPOH,"")))</f>
        <v>40</v>
      </c>
      <c r="AX255" s="259">
        <f t="shared" si="235"/>
        <v>183</v>
      </c>
      <c r="AY255" s="259">
        <f t="shared" si="236"/>
        <v>1281</v>
      </c>
      <c r="AZ255" s="452">
        <f t="shared" si="237"/>
        <v>252</v>
      </c>
      <c r="BA255" s="452">
        <f t="shared" si="238"/>
        <v>12.297600000000001</v>
      </c>
      <c r="BB255" s="452">
        <f t="shared" si="239"/>
        <v>0.21672403199999998</v>
      </c>
      <c r="BC255" s="452">
        <f t="shared" si="240"/>
        <v>265</v>
      </c>
      <c r="BD255" s="260">
        <f t="shared" si="241"/>
        <v>322812</v>
      </c>
      <c r="BE255" s="260">
        <f t="shared" si="242"/>
        <v>339465</v>
      </c>
      <c r="BF255" s="397">
        <f t="shared" si="243"/>
        <v>41002416</v>
      </c>
      <c r="BG255" s="397">
        <f t="shared" si="244"/>
        <v>43096501</v>
      </c>
    </row>
    <row r="256" spans="1:59" ht="15.75">
      <c r="A256" s="338">
        <v>19</v>
      </c>
      <c r="B256" s="338" t="str">
        <f t="shared" si="196"/>
        <v>FRUTA_19</v>
      </c>
      <c r="C256" s="338" t="str">
        <f t="shared" si="197"/>
        <v>42_19</v>
      </c>
      <c r="D256" s="338" t="s">
        <v>1</v>
      </c>
      <c r="E256" s="258">
        <v>42</v>
      </c>
      <c r="F256" s="328" t="s">
        <v>61</v>
      </c>
      <c r="G256" s="258" t="s">
        <v>9</v>
      </c>
      <c r="H256" s="431">
        <f t="shared" si="198"/>
        <v>23</v>
      </c>
      <c r="I256" s="431">
        <f t="array" ref="I256">MAX((IF(MNU_CODIGO_ALIMENTO_ENTREGA=CONCATENATE($E256,"_","P_"),MNU_GRAMAJE_REQUERIDO_TIPOA,"")))</f>
        <v>100</v>
      </c>
      <c r="J256" s="259">
        <f t="shared" si="199"/>
        <v>6034</v>
      </c>
      <c r="K256" s="259">
        <f t="shared" si="200"/>
        <v>138782</v>
      </c>
      <c r="L256" s="452">
        <f t="shared" si="201"/>
        <v>194</v>
      </c>
      <c r="M256" s="452">
        <f t="shared" si="202"/>
        <v>9.4672000000000001</v>
      </c>
      <c r="N256" s="452">
        <f t="shared" si="203"/>
        <v>0.16684310399999999</v>
      </c>
      <c r="O256" s="452">
        <f t="shared" si="204"/>
        <v>204</v>
      </c>
      <c r="P256" s="260">
        <f t="shared" si="205"/>
        <v>26923708</v>
      </c>
      <c r="Q256" s="260">
        <f t="shared" si="206"/>
        <v>28311528</v>
      </c>
      <c r="R256" s="432">
        <f t="shared" si="207"/>
        <v>19</v>
      </c>
      <c r="S256" s="432">
        <f t="array" ref="S256">MAX((IF(MNU_CODIGO_ALIMENTO_ENTREGA=CONCATENATE($E256,"_","P_"),MNU_GRAMAJE_REQUERIDO_TIPOB,"")))</f>
        <v>100</v>
      </c>
      <c r="T256" s="261">
        <f t="shared" si="208"/>
        <v>8795</v>
      </c>
      <c r="U256" s="261">
        <f t="shared" si="209"/>
        <v>167105</v>
      </c>
      <c r="V256" s="452">
        <f t="shared" si="210"/>
        <v>194</v>
      </c>
      <c r="W256" s="452">
        <f t="shared" si="211"/>
        <v>9.4672000000000001</v>
      </c>
      <c r="X256" s="452">
        <f t="shared" si="212"/>
        <v>0.16684310399999999</v>
      </c>
      <c r="Y256" s="452">
        <f t="shared" si="213"/>
        <v>204</v>
      </c>
      <c r="Z256" s="262">
        <f t="shared" si="214"/>
        <v>32418370</v>
      </c>
      <c r="AA256" s="262">
        <f t="shared" si="215"/>
        <v>34089420</v>
      </c>
      <c r="AB256" s="431">
        <f t="shared" si="216"/>
        <v>19</v>
      </c>
      <c r="AC256" s="431">
        <f t="array" ref="AC256">MAX((IF(MNU_CODIGO_ALIMENTO_ENTREGA=CONCATENATE($E256,"_","P_"),MNU_GRAMAJE_REQUERIDO_TIPOC,"")))</f>
        <v>100</v>
      </c>
      <c r="AD256" s="259">
        <f t="shared" si="217"/>
        <v>11061</v>
      </c>
      <c r="AE256" s="259">
        <f t="shared" si="218"/>
        <v>210159</v>
      </c>
      <c r="AF256" s="452">
        <f t="shared" si="219"/>
        <v>194</v>
      </c>
      <c r="AG256" s="452">
        <f t="shared" si="220"/>
        <v>9.4672000000000001</v>
      </c>
      <c r="AH256" s="452">
        <f t="shared" si="221"/>
        <v>0.16684310399999999</v>
      </c>
      <c r="AI256" s="452">
        <f t="shared" si="222"/>
        <v>204</v>
      </c>
      <c r="AJ256" s="260">
        <f t="shared" si="223"/>
        <v>40770846</v>
      </c>
      <c r="AK256" s="260">
        <f t="shared" si="224"/>
        <v>42872436</v>
      </c>
      <c r="AL256" s="432">
        <f t="shared" si="225"/>
        <v>19</v>
      </c>
      <c r="AM256" s="432">
        <f t="array" ref="AM256">MAX((IF(MNU_CODIGO_ALIMENTO_ENTREGA=CONCATENATE($E256,"_","P_"),MNU_GRAMAJE_REQUERIDO_TIPOM,"")))</f>
        <v>100</v>
      </c>
      <c r="AN256" s="261">
        <f t="shared" si="226"/>
        <v>188</v>
      </c>
      <c r="AO256" s="261">
        <f t="shared" si="227"/>
        <v>3572</v>
      </c>
      <c r="AP256" s="452">
        <f t="shared" si="228"/>
        <v>194</v>
      </c>
      <c r="AQ256" s="452">
        <f t="shared" si="229"/>
        <v>9.4672000000000001</v>
      </c>
      <c r="AR256" s="452">
        <f t="shared" si="230"/>
        <v>0.16684310399999999</v>
      </c>
      <c r="AS256" s="452">
        <f t="shared" si="231"/>
        <v>204</v>
      </c>
      <c r="AT256" s="262">
        <f t="shared" si="232"/>
        <v>692968</v>
      </c>
      <c r="AU256" s="262">
        <f t="shared" si="233"/>
        <v>728688</v>
      </c>
      <c r="AV256" s="431">
        <f t="shared" si="234"/>
        <v>19</v>
      </c>
      <c r="AW256" s="431">
        <f t="array" ref="AW256">MAX((IF(MNU_CODIGO_ALIMENTO_ENTREGA=CONCATENATE($E256,"_","P_"),MNU_GRAMAJE_REQUERIDO_TIPOH,"")))</f>
        <v>100</v>
      </c>
      <c r="AX256" s="259">
        <f t="shared" si="235"/>
        <v>183</v>
      </c>
      <c r="AY256" s="259">
        <f t="shared" si="236"/>
        <v>3477</v>
      </c>
      <c r="AZ256" s="452">
        <f t="shared" si="237"/>
        <v>194</v>
      </c>
      <c r="BA256" s="452">
        <f t="shared" si="238"/>
        <v>9.4672000000000001</v>
      </c>
      <c r="BB256" s="452">
        <f t="shared" si="239"/>
        <v>0.16684310399999999</v>
      </c>
      <c r="BC256" s="452">
        <f t="shared" si="240"/>
        <v>204</v>
      </c>
      <c r="BD256" s="260">
        <f t="shared" si="241"/>
        <v>674538</v>
      </c>
      <c r="BE256" s="260">
        <f t="shared" si="242"/>
        <v>709308</v>
      </c>
      <c r="BF256" s="397">
        <f t="shared" si="243"/>
        <v>101480430</v>
      </c>
      <c r="BG256" s="397">
        <f t="shared" si="244"/>
        <v>106711380</v>
      </c>
    </row>
    <row r="257" spans="1:59" ht="15.75">
      <c r="A257" s="338">
        <v>19</v>
      </c>
      <c r="B257" s="338" t="str">
        <f t="shared" si="196"/>
        <v>FRUTA_19</v>
      </c>
      <c r="C257" s="338" t="str">
        <f t="shared" si="197"/>
        <v>43_19</v>
      </c>
      <c r="D257" s="338" t="s">
        <v>1</v>
      </c>
      <c r="E257" s="258">
        <v>43</v>
      </c>
      <c r="F257" s="328" t="s">
        <v>62</v>
      </c>
      <c r="G257" s="258" t="s">
        <v>9</v>
      </c>
      <c r="H257" s="431">
        <f t="shared" si="198"/>
        <v>24</v>
      </c>
      <c r="I257" s="431">
        <f t="array" ref="I257">MAX((IF(MNU_CODIGO_ALIMENTO_ENTREGA=CONCATENATE($E257,"_","P_"),MNU_GRAMAJE_REQUERIDO_TIPOA,"")))</f>
        <v>100</v>
      </c>
      <c r="J257" s="259">
        <f t="shared" si="199"/>
        <v>6034</v>
      </c>
      <c r="K257" s="259">
        <f t="shared" si="200"/>
        <v>144816</v>
      </c>
      <c r="L257" s="452">
        <f t="shared" si="201"/>
        <v>170</v>
      </c>
      <c r="M257" s="452">
        <f t="shared" si="202"/>
        <v>8.2959999999999994</v>
      </c>
      <c r="N257" s="452">
        <f t="shared" si="203"/>
        <v>0.14620272000000001</v>
      </c>
      <c r="O257" s="452">
        <f t="shared" si="204"/>
        <v>178</v>
      </c>
      <c r="P257" s="260">
        <f t="shared" si="205"/>
        <v>24618720</v>
      </c>
      <c r="Q257" s="260">
        <f t="shared" si="206"/>
        <v>25777248</v>
      </c>
      <c r="R257" s="432">
        <f t="shared" si="207"/>
        <v>17</v>
      </c>
      <c r="S257" s="432">
        <f t="array" ref="S257">MAX((IF(MNU_CODIGO_ALIMENTO_ENTREGA=CONCATENATE($E257,"_","P_"),MNU_GRAMAJE_REQUERIDO_TIPOB,"")))</f>
        <v>100</v>
      </c>
      <c r="T257" s="261">
        <f t="shared" si="208"/>
        <v>8795</v>
      </c>
      <c r="U257" s="261">
        <f t="shared" si="209"/>
        <v>149515</v>
      </c>
      <c r="V257" s="452">
        <f t="shared" si="210"/>
        <v>170</v>
      </c>
      <c r="W257" s="452">
        <f t="shared" si="211"/>
        <v>8.2959999999999994</v>
      </c>
      <c r="X257" s="452">
        <f t="shared" si="212"/>
        <v>0.14620272000000001</v>
      </c>
      <c r="Y257" s="452">
        <f t="shared" si="213"/>
        <v>178</v>
      </c>
      <c r="Z257" s="262">
        <f t="shared" si="214"/>
        <v>25417550</v>
      </c>
      <c r="AA257" s="262">
        <f t="shared" si="215"/>
        <v>26613670</v>
      </c>
      <c r="AB257" s="431">
        <f t="shared" si="216"/>
        <v>17</v>
      </c>
      <c r="AC257" s="431">
        <f t="array" ref="AC257">MAX((IF(MNU_CODIGO_ALIMENTO_ENTREGA=CONCATENATE($E257,"_","P_"),MNU_GRAMAJE_REQUERIDO_TIPOC,"")))</f>
        <v>100</v>
      </c>
      <c r="AD257" s="259">
        <f t="shared" si="217"/>
        <v>11061</v>
      </c>
      <c r="AE257" s="259">
        <f t="shared" si="218"/>
        <v>188037</v>
      </c>
      <c r="AF257" s="452">
        <f t="shared" si="219"/>
        <v>170</v>
      </c>
      <c r="AG257" s="452">
        <f t="shared" si="220"/>
        <v>8.2959999999999994</v>
      </c>
      <c r="AH257" s="452">
        <f t="shared" si="221"/>
        <v>0.14620272000000001</v>
      </c>
      <c r="AI257" s="452">
        <f t="shared" si="222"/>
        <v>178</v>
      </c>
      <c r="AJ257" s="260">
        <f t="shared" si="223"/>
        <v>31966290</v>
      </c>
      <c r="AK257" s="260">
        <f t="shared" si="224"/>
        <v>33470586</v>
      </c>
      <c r="AL257" s="432">
        <f t="shared" si="225"/>
        <v>17</v>
      </c>
      <c r="AM257" s="432">
        <f t="array" ref="AM257">MAX((IF(MNU_CODIGO_ALIMENTO_ENTREGA=CONCATENATE($E257,"_","P_"),MNU_GRAMAJE_REQUERIDO_TIPOM,"")))</f>
        <v>100</v>
      </c>
      <c r="AN257" s="261">
        <f t="shared" si="226"/>
        <v>188</v>
      </c>
      <c r="AO257" s="261">
        <f t="shared" si="227"/>
        <v>3196</v>
      </c>
      <c r="AP257" s="452">
        <f t="shared" si="228"/>
        <v>170</v>
      </c>
      <c r="AQ257" s="452">
        <f t="shared" si="229"/>
        <v>8.2959999999999994</v>
      </c>
      <c r="AR257" s="452">
        <f t="shared" si="230"/>
        <v>0.14620272000000001</v>
      </c>
      <c r="AS257" s="452">
        <f t="shared" si="231"/>
        <v>178</v>
      </c>
      <c r="AT257" s="262">
        <f t="shared" si="232"/>
        <v>543320</v>
      </c>
      <c r="AU257" s="262">
        <f t="shared" si="233"/>
        <v>568888</v>
      </c>
      <c r="AV257" s="431">
        <f t="shared" si="234"/>
        <v>17</v>
      </c>
      <c r="AW257" s="431">
        <f t="array" ref="AW257">MAX((IF(MNU_CODIGO_ALIMENTO_ENTREGA=CONCATENATE($E257,"_","P_"),MNU_GRAMAJE_REQUERIDO_TIPOH,"")))</f>
        <v>100</v>
      </c>
      <c r="AX257" s="259">
        <f t="shared" si="235"/>
        <v>183</v>
      </c>
      <c r="AY257" s="259">
        <f t="shared" si="236"/>
        <v>3111</v>
      </c>
      <c r="AZ257" s="452">
        <f t="shared" si="237"/>
        <v>170</v>
      </c>
      <c r="BA257" s="452">
        <f t="shared" si="238"/>
        <v>8.2959999999999994</v>
      </c>
      <c r="BB257" s="452">
        <f t="shared" si="239"/>
        <v>0.14620272000000001</v>
      </c>
      <c r="BC257" s="452">
        <f t="shared" si="240"/>
        <v>178</v>
      </c>
      <c r="BD257" s="260">
        <f t="shared" si="241"/>
        <v>528870</v>
      </c>
      <c r="BE257" s="260">
        <f t="shared" si="242"/>
        <v>553758</v>
      </c>
      <c r="BF257" s="397">
        <f t="shared" si="243"/>
        <v>83074750</v>
      </c>
      <c r="BG257" s="397">
        <f t="shared" si="244"/>
        <v>86984150</v>
      </c>
    </row>
    <row r="258" spans="1:59" ht="15.75">
      <c r="A258" s="338">
        <v>19</v>
      </c>
      <c r="B258" s="338" t="str">
        <f t="shared" si="196"/>
        <v>FRUTA_19</v>
      </c>
      <c r="C258" s="338" t="str">
        <f t="shared" si="197"/>
        <v>46_19</v>
      </c>
      <c r="D258" s="338" t="s">
        <v>1</v>
      </c>
      <c r="E258" s="258">
        <v>46</v>
      </c>
      <c r="F258" s="328" t="s">
        <v>64</v>
      </c>
      <c r="G258" s="258" t="s">
        <v>9</v>
      </c>
      <c r="H258" s="431">
        <f t="shared" si="198"/>
        <v>30</v>
      </c>
      <c r="I258" s="431">
        <f t="array" ref="I258">MAX((IF(MNU_CODIGO_ALIMENTO_ENTREGA=CONCATENATE($E258,"_","P_"),MNU_GRAMAJE_REQUERIDO_TIPOA,"")))</f>
        <v>100</v>
      </c>
      <c r="J258" s="259">
        <f t="shared" si="199"/>
        <v>6034</v>
      </c>
      <c r="K258" s="259">
        <f t="shared" si="200"/>
        <v>181020</v>
      </c>
      <c r="L258" s="452">
        <f t="shared" si="201"/>
        <v>398</v>
      </c>
      <c r="M258" s="452">
        <f t="shared" si="202"/>
        <v>19.4224</v>
      </c>
      <c r="N258" s="452">
        <f t="shared" si="203"/>
        <v>0.34228636800000001</v>
      </c>
      <c r="O258" s="452">
        <f t="shared" si="204"/>
        <v>418</v>
      </c>
      <c r="P258" s="260">
        <f t="shared" si="205"/>
        <v>72045960</v>
      </c>
      <c r="Q258" s="260">
        <f t="shared" si="206"/>
        <v>75666360</v>
      </c>
      <c r="R258" s="432">
        <f t="shared" si="207"/>
        <v>21</v>
      </c>
      <c r="S258" s="432">
        <f t="array" ref="S258">MAX((IF(MNU_CODIGO_ALIMENTO_ENTREGA=CONCATENATE($E258,"_","P_"),MNU_GRAMAJE_REQUERIDO_TIPOB,"")))</f>
        <v>100</v>
      </c>
      <c r="T258" s="261">
        <f t="shared" si="208"/>
        <v>8795</v>
      </c>
      <c r="U258" s="261">
        <f t="shared" si="209"/>
        <v>184695</v>
      </c>
      <c r="V258" s="452">
        <f t="shared" si="210"/>
        <v>398</v>
      </c>
      <c r="W258" s="452">
        <f t="shared" si="211"/>
        <v>19.4224</v>
      </c>
      <c r="X258" s="452">
        <f t="shared" si="212"/>
        <v>0.34228636800000001</v>
      </c>
      <c r="Y258" s="452">
        <f t="shared" si="213"/>
        <v>418</v>
      </c>
      <c r="Z258" s="262">
        <f t="shared" si="214"/>
        <v>73508610</v>
      </c>
      <c r="AA258" s="262">
        <f t="shared" si="215"/>
        <v>77202510</v>
      </c>
      <c r="AB258" s="431">
        <f t="shared" si="216"/>
        <v>21</v>
      </c>
      <c r="AC258" s="431">
        <f t="array" ref="AC258">MAX((IF(MNU_CODIGO_ALIMENTO_ENTREGA=CONCATENATE($E258,"_","P_"),MNU_GRAMAJE_REQUERIDO_TIPOC,"")))</f>
        <v>100</v>
      </c>
      <c r="AD258" s="259">
        <f t="shared" si="217"/>
        <v>11061</v>
      </c>
      <c r="AE258" s="259">
        <f t="shared" si="218"/>
        <v>232281</v>
      </c>
      <c r="AF258" s="452">
        <f t="shared" si="219"/>
        <v>398</v>
      </c>
      <c r="AG258" s="452">
        <f t="shared" si="220"/>
        <v>19.4224</v>
      </c>
      <c r="AH258" s="452">
        <f t="shared" si="221"/>
        <v>0.34228636800000001</v>
      </c>
      <c r="AI258" s="452">
        <f t="shared" si="222"/>
        <v>418</v>
      </c>
      <c r="AJ258" s="260">
        <f t="shared" si="223"/>
        <v>92447838</v>
      </c>
      <c r="AK258" s="260">
        <f t="shared" si="224"/>
        <v>97093458</v>
      </c>
      <c r="AL258" s="432">
        <f t="shared" si="225"/>
        <v>21</v>
      </c>
      <c r="AM258" s="432">
        <f t="array" ref="AM258">MAX((IF(MNU_CODIGO_ALIMENTO_ENTREGA=CONCATENATE($E258,"_","P_"),MNU_GRAMAJE_REQUERIDO_TIPOM,"")))</f>
        <v>100</v>
      </c>
      <c r="AN258" s="261">
        <f t="shared" si="226"/>
        <v>188</v>
      </c>
      <c r="AO258" s="261">
        <f t="shared" si="227"/>
        <v>3948</v>
      </c>
      <c r="AP258" s="452">
        <f t="shared" si="228"/>
        <v>398</v>
      </c>
      <c r="AQ258" s="452">
        <f t="shared" si="229"/>
        <v>19.4224</v>
      </c>
      <c r="AR258" s="452">
        <f t="shared" si="230"/>
        <v>0.34228636800000001</v>
      </c>
      <c r="AS258" s="452">
        <f t="shared" si="231"/>
        <v>418</v>
      </c>
      <c r="AT258" s="262">
        <f t="shared" si="232"/>
        <v>1571304</v>
      </c>
      <c r="AU258" s="262">
        <f t="shared" si="233"/>
        <v>1650264</v>
      </c>
      <c r="AV258" s="431">
        <f t="shared" si="234"/>
        <v>21</v>
      </c>
      <c r="AW258" s="431">
        <f t="array" ref="AW258">MAX((IF(MNU_CODIGO_ALIMENTO_ENTREGA=CONCATENATE($E258,"_","P_"),MNU_GRAMAJE_REQUERIDO_TIPOH,"")))</f>
        <v>100</v>
      </c>
      <c r="AX258" s="259">
        <f t="shared" si="235"/>
        <v>183</v>
      </c>
      <c r="AY258" s="259">
        <f t="shared" si="236"/>
        <v>3843</v>
      </c>
      <c r="AZ258" s="452">
        <f t="shared" si="237"/>
        <v>398</v>
      </c>
      <c r="BA258" s="452">
        <f t="shared" si="238"/>
        <v>19.4224</v>
      </c>
      <c r="BB258" s="452">
        <f t="shared" si="239"/>
        <v>0.34228636800000001</v>
      </c>
      <c r="BC258" s="452">
        <f t="shared" si="240"/>
        <v>418</v>
      </c>
      <c r="BD258" s="260">
        <f t="shared" si="241"/>
        <v>1529514</v>
      </c>
      <c r="BE258" s="260">
        <f t="shared" si="242"/>
        <v>1606374</v>
      </c>
      <c r="BF258" s="397">
        <f t="shared" si="243"/>
        <v>241103226</v>
      </c>
      <c r="BG258" s="397">
        <f t="shared" si="244"/>
        <v>253218966</v>
      </c>
    </row>
    <row r="259" spans="1:59" ht="15.75">
      <c r="A259" s="338">
        <v>19</v>
      </c>
      <c r="B259" s="338" t="str">
        <f t="shared" si="196"/>
        <v>FRUTA_19</v>
      </c>
      <c r="C259" s="338" t="str">
        <f t="shared" si="197"/>
        <v>58_19</v>
      </c>
      <c r="D259" s="338" t="s">
        <v>1</v>
      </c>
      <c r="E259" s="258">
        <v>58</v>
      </c>
      <c r="F259" s="328" t="s">
        <v>67</v>
      </c>
      <c r="G259" s="258" t="s">
        <v>9</v>
      </c>
      <c r="H259" s="431">
        <f t="shared" si="198"/>
        <v>24</v>
      </c>
      <c r="I259" s="431">
        <f t="array" ref="I259">MAX((IF(MNU_CODIGO_ALIMENTO_ENTREGA=CONCATENATE($E259,"_","P_"),MNU_GRAMAJE_REQUERIDO_TIPOA,"")))</f>
        <v>100</v>
      </c>
      <c r="J259" s="259">
        <f t="shared" si="199"/>
        <v>6034</v>
      </c>
      <c r="K259" s="259">
        <f t="shared" si="200"/>
        <v>144816</v>
      </c>
      <c r="L259" s="452">
        <f t="shared" si="201"/>
        <v>154</v>
      </c>
      <c r="M259" s="452">
        <f t="shared" si="202"/>
        <v>7.515200000000001</v>
      </c>
      <c r="N259" s="452">
        <f t="shared" si="203"/>
        <v>0.13244246400000001</v>
      </c>
      <c r="O259" s="452">
        <f t="shared" si="204"/>
        <v>162</v>
      </c>
      <c r="P259" s="260">
        <f t="shared" si="205"/>
        <v>22301664</v>
      </c>
      <c r="Q259" s="260">
        <f t="shared" si="206"/>
        <v>23460192</v>
      </c>
      <c r="R259" s="432">
        <f t="shared" si="207"/>
        <v>23</v>
      </c>
      <c r="S259" s="432">
        <f t="array" ref="S259">MAX((IF(MNU_CODIGO_ALIMENTO_ENTREGA=CONCATENATE($E259,"_","P_"),MNU_GRAMAJE_REQUERIDO_TIPOB,"")))</f>
        <v>100</v>
      </c>
      <c r="T259" s="261">
        <f t="shared" si="208"/>
        <v>8795</v>
      </c>
      <c r="U259" s="261">
        <f t="shared" si="209"/>
        <v>202285</v>
      </c>
      <c r="V259" s="452">
        <f t="shared" si="210"/>
        <v>154</v>
      </c>
      <c r="W259" s="452">
        <f t="shared" si="211"/>
        <v>7.515200000000001</v>
      </c>
      <c r="X259" s="452">
        <f t="shared" si="212"/>
        <v>0.13244246400000001</v>
      </c>
      <c r="Y259" s="452">
        <f t="shared" si="213"/>
        <v>162</v>
      </c>
      <c r="Z259" s="262">
        <f t="shared" si="214"/>
        <v>31151890</v>
      </c>
      <c r="AA259" s="262">
        <f t="shared" si="215"/>
        <v>32770170</v>
      </c>
      <c r="AB259" s="431">
        <f t="shared" si="216"/>
        <v>23</v>
      </c>
      <c r="AC259" s="431">
        <f t="array" ref="AC259">MAX((IF(MNU_CODIGO_ALIMENTO_ENTREGA=CONCATENATE($E259,"_","P_"),MNU_GRAMAJE_REQUERIDO_TIPOC,"")))</f>
        <v>100</v>
      </c>
      <c r="AD259" s="259">
        <f t="shared" si="217"/>
        <v>11061</v>
      </c>
      <c r="AE259" s="259">
        <f t="shared" si="218"/>
        <v>254403</v>
      </c>
      <c r="AF259" s="452">
        <f t="shared" si="219"/>
        <v>154</v>
      </c>
      <c r="AG259" s="452">
        <f t="shared" si="220"/>
        <v>7.515200000000001</v>
      </c>
      <c r="AH259" s="452">
        <f t="shared" si="221"/>
        <v>0.13244246400000001</v>
      </c>
      <c r="AI259" s="452">
        <f t="shared" si="222"/>
        <v>162</v>
      </c>
      <c r="AJ259" s="260">
        <f t="shared" si="223"/>
        <v>39178062</v>
      </c>
      <c r="AK259" s="260">
        <f t="shared" si="224"/>
        <v>41213286</v>
      </c>
      <c r="AL259" s="432">
        <f t="shared" si="225"/>
        <v>23</v>
      </c>
      <c r="AM259" s="432">
        <f t="array" ref="AM259">MAX((IF(MNU_CODIGO_ALIMENTO_ENTREGA=CONCATENATE($E259,"_","P_"),MNU_GRAMAJE_REQUERIDO_TIPOM,"")))</f>
        <v>100</v>
      </c>
      <c r="AN259" s="261">
        <f t="shared" si="226"/>
        <v>188</v>
      </c>
      <c r="AO259" s="261">
        <f t="shared" si="227"/>
        <v>4324</v>
      </c>
      <c r="AP259" s="452">
        <f t="shared" si="228"/>
        <v>154</v>
      </c>
      <c r="AQ259" s="452">
        <f t="shared" si="229"/>
        <v>7.515200000000001</v>
      </c>
      <c r="AR259" s="452">
        <f t="shared" si="230"/>
        <v>0.13244246400000001</v>
      </c>
      <c r="AS259" s="452">
        <f t="shared" si="231"/>
        <v>162</v>
      </c>
      <c r="AT259" s="262">
        <f t="shared" si="232"/>
        <v>665896</v>
      </c>
      <c r="AU259" s="262">
        <f t="shared" si="233"/>
        <v>700488</v>
      </c>
      <c r="AV259" s="431">
        <f t="shared" si="234"/>
        <v>23</v>
      </c>
      <c r="AW259" s="431">
        <f t="array" ref="AW259">MAX((IF(MNU_CODIGO_ALIMENTO_ENTREGA=CONCATENATE($E259,"_","P_"),MNU_GRAMAJE_REQUERIDO_TIPOH,"")))</f>
        <v>100</v>
      </c>
      <c r="AX259" s="259">
        <f t="shared" si="235"/>
        <v>183</v>
      </c>
      <c r="AY259" s="259">
        <f t="shared" si="236"/>
        <v>4209</v>
      </c>
      <c r="AZ259" s="452">
        <f t="shared" si="237"/>
        <v>154</v>
      </c>
      <c r="BA259" s="452">
        <f t="shared" si="238"/>
        <v>7.515200000000001</v>
      </c>
      <c r="BB259" s="452">
        <f t="shared" si="239"/>
        <v>0.13244246400000001</v>
      </c>
      <c r="BC259" s="452">
        <f t="shared" si="240"/>
        <v>162</v>
      </c>
      <c r="BD259" s="260">
        <f t="shared" si="241"/>
        <v>648186</v>
      </c>
      <c r="BE259" s="260">
        <f t="shared" si="242"/>
        <v>681858</v>
      </c>
      <c r="BF259" s="397">
        <f t="shared" si="243"/>
        <v>93945698</v>
      </c>
      <c r="BG259" s="397">
        <f t="shared" si="244"/>
        <v>98825994</v>
      </c>
    </row>
    <row r="260" spans="1:59" ht="15.75">
      <c r="A260" s="338">
        <v>19</v>
      </c>
      <c r="B260" s="338" t="str">
        <f t="shared" si="196"/>
        <v>FRUTA_19</v>
      </c>
      <c r="C260" s="338" t="str">
        <f t="shared" si="197"/>
        <v>59_19</v>
      </c>
      <c r="D260" s="338" t="s">
        <v>1</v>
      </c>
      <c r="E260" s="258">
        <v>59</v>
      </c>
      <c r="F260" s="328" t="s">
        <v>99</v>
      </c>
      <c r="G260" s="258" t="s">
        <v>9</v>
      </c>
      <c r="H260" s="431">
        <f t="shared" si="198"/>
        <v>0</v>
      </c>
      <c r="I260" s="431">
        <f t="array" ref="I260">MAX((IF(MNU_CODIGO_ALIMENTO_ENTREGA=CONCATENATE($E260,"_","P_"),MNU_GRAMAJE_REQUERIDO_TIPOA,"")))</f>
        <v>0</v>
      </c>
      <c r="J260" s="259">
        <f t="shared" si="199"/>
        <v>6034</v>
      </c>
      <c r="K260" s="259">
        <f t="shared" si="200"/>
        <v>0</v>
      </c>
      <c r="L260" s="452">
        <f t="shared" si="201"/>
        <v>0</v>
      </c>
      <c r="M260" s="452">
        <f t="shared" si="202"/>
        <v>0</v>
      </c>
      <c r="N260" s="452">
        <f t="shared" si="203"/>
        <v>0</v>
      </c>
      <c r="O260" s="452">
        <f t="shared" si="204"/>
        <v>0</v>
      </c>
      <c r="P260" s="260">
        <f t="shared" si="205"/>
        <v>0</v>
      </c>
      <c r="Q260" s="260">
        <f t="shared" si="206"/>
        <v>0</v>
      </c>
      <c r="R260" s="432">
        <f t="shared" si="207"/>
        <v>8</v>
      </c>
      <c r="S260" s="432">
        <f t="array" ref="S260">MAX((IF(MNU_CODIGO_ALIMENTO_ENTREGA=CONCATENATE($E260,"_","P_"),MNU_GRAMAJE_REQUERIDO_TIPOB,"")))</f>
        <v>100</v>
      </c>
      <c r="T260" s="261">
        <f t="shared" si="208"/>
        <v>8795</v>
      </c>
      <c r="U260" s="261">
        <f t="shared" si="209"/>
        <v>70360</v>
      </c>
      <c r="V260" s="452">
        <f t="shared" si="210"/>
        <v>286</v>
      </c>
      <c r="W260" s="452">
        <f t="shared" si="211"/>
        <v>13.956800000000001</v>
      </c>
      <c r="X260" s="452">
        <f t="shared" si="212"/>
        <v>0.24596457599999999</v>
      </c>
      <c r="Y260" s="452">
        <f t="shared" si="213"/>
        <v>300</v>
      </c>
      <c r="Z260" s="262">
        <f t="shared" si="214"/>
        <v>20122960</v>
      </c>
      <c r="AA260" s="262">
        <f t="shared" si="215"/>
        <v>21108000</v>
      </c>
      <c r="AB260" s="431">
        <f t="shared" si="216"/>
        <v>8</v>
      </c>
      <c r="AC260" s="431">
        <f t="array" ref="AC260">MAX((IF(MNU_CODIGO_ALIMENTO_ENTREGA=CONCATENATE($E260,"_","P_"),MNU_GRAMAJE_REQUERIDO_TIPOC,"")))</f>
        <v>100</v>
      </c>
      <c r="AD260" s="259">
        <f t="shared" si="217"/>
        <v>11061</v>
      </c>
      <c r="AE260" s="259">
        <f t="shared" si="218"/>
        <v>88488</v>
      </c>
      <c r="AF260" s="452">
        <f t="shared" si="219"/>
        <v>286</v>
      </c>
      <c r="AG260" s="452">
        <f t="shared" si="220"/>
        <v>13.956800000000001</v>
      </c>
      <c r="AH260" s="452">
        <f t="shared" si="221"/>
        <v>0.24596457599999999</v>
      </c>
      <c r="AI260" s="452">
        <f t="shared" si="222"/>
        <v>300</v>
      </c>
      <c r="AJ260" s="260">
        <f t="shared" si="223"/>
        <v>25307568</v>
      </c>
      <c r="AK260" s="260">
        <f t="shared" si="224"/>
        <v>26546400</v>
      </c>
      <c r="AL260" s="432">
        <f t="shared" si="225"/>
        <v>8</v>
      </c>
      <c r="AM260" s="432">
        <f t="array" ref="AM260">MAX((IF(MNU_CODIGO_ALIMENTO_ENTREGA=CONCATENATE($E260,"_","P_"),MNU_GRAMAJE_REQUERIDO_TIPOM,"")))</f>
        <v>100</v>
      </c>
      <c r="AN260" s="261">
        <f t="shared" si="226"/>
        <v>188</v>
      </c>
      <c r="AO260" s="261">
        <f t="shared" si="227"/>
        <v>1504</v>
      </c>
      <c r="AP260" s="452">
        <f t="shared" si="228"/>
        <v>286</v>
      </c>
      <c r="AQ260" s="452">
        <f t="shared" si="229"/>
        <v>13.956800000000001</v>
      </c>
      <c r="AR260" s="452">
        <f t="shared" si="230"/>
        <v>0.24596457599999999</v>
      </c>
      <c r="AS260" s="452">
        <f t="shared" si="231"/>
        <v>300</v>
      </c>
      <c r="AT260" s="262">
        <f t="shared" si="232"/>
        <v>430144</v>
      </c>
      <c r="AU260" s="262">
        <f t="shared" si="233"/>
        <v>451200</v>
      </c>
      <c r="AV260" s="431">
        <f t="shared" si="234"/>
        <v>8</v>
      </c>
      <c r="AW260" s="431">
        <f t="array" ref="AW260">MAX((IF(MNU_CODIGO_ALIMENTO_ENTREGA=CONCATENATE($E260,"_","P_"),MNU_GRAMAJE_REQUERIDO_TIPOH,"")))</f>
        <v>100</v>
      </c>
      <c r="AX260" s="259">
        <f t="shared" si="235"/>
        <v>183</v>
      </c>
      <c r="AY260" s="259">
        <f t="shared" si="236"/>
        <v>1464</v>
      </c>
      <c r="AZ260" s="452">
        <f t="shared" si="237"/>
        <v>286</v>
      </c>
      <c r="BA260" s="452">
        <f t="shared" si="238"/>
        <v>13.956800000000001</v>
      </c>
      <c r="BB260" s="452">
        <f t="shared" si="239"/>
        <v>0.24596457599999999</v>
      </c>
      <c r="BC260" s="452">
        <f t="shared" si="240"/>
        <v>300</v>
      </c>
      <c r="BD260" s="260">
        <f t="shared" si="241"/>
        <v>418704</v>
      </c>
      <c r="BE260" s="260">
        <f t="shared" si="242"/>
        <v>439200</v>
      </c>
      <c r="BF260" s="397">
        <f t="shared" si="243"/>
        <v>46279376</v>
      </c>
      <c r="BG260" s="397">
        <f t="shared" si="244"/>
        <v>48544800</v>
      </c>
    </row>
    <row r="261" spans="1:59" ht="15.75">
      <c r="A261" s="338">
        <v>19</v>
      </c>
      <c r="B261" s="338" t="str">
        <f t="shared" si="196"/>
        <v>FRUTA_19</v>
      </c>
      <c r="C261" s="338" t="str">
        <f t="shared" si="197"/>
        <v>69_19</v>
      </c>
      <c r="D261" s="338" t="s">
        <v>1</v>
      </c>
      <c r="E261" s="258">
        <v>69</v>
      </c>
      <c r="F261" s="328" t="s">
        <v>70</v>
      </c>
      <c r="G261" s="258" t="s">
        <v>9</v>
      </c>
      <c r="H261" s="431">
        <f t="shared" si="198"/>
        <v>30</v>
      </c>
      <c r="I261" s="431">
        <f t="array" ref="I261">MAX((IF(MNU_CODIGO_ALIMENTO_ENTREGA=CONCATENATE($E261,"_","P_"),MNU_GRAMAJE_REQUERIDO_TIPOA,"")))</f>
        <v>100</v>
      </c>
      <c r="J261" s="259">
        <f t="shared" si="199"/>
        <v>6034</v>
      </c>
      <c r="K261" s="259">
        <f t="shared" si="200"/>
        <v>181020</v>
      </c>
      <c r="L261" s="452">
        <f t="shared" si="201"/>
        <v>305</v>
      </c>
      <c r="M261" s="452">
        <f t="shared" si="202"/>
        <v>14.884</v>
      </c>
      <c r="N261" s="452">
        <f t="shared" si="203"/>
        <v>0.26230488000000002</v>
      </c>
      <c r="O261" s="452">
        <f t="shared" si="204"/>
        <v>320</v>
      </c>
      <c r="P261" s="260">
        <f t="shared" si="205"/>
        <v>55211100</v>
      </c>
      <c r="Q261" s="260">
        <f t="shared" si="206"/>
        <v>57926400</v>
      </c>
      <c r="R261" s="432">
        <f t="shared" si="207"/>
        <v>16</v>
      </c>
      <c r="S261" s="432">
        <f t="array" ref="S261">MAX((IF(MNU_CODIGO_ALIMENTO_ENTREGA=CONCATENATE($E261,"_","P_"),MNU_GRAMAJE_REQUERIDO_TIPOB,"")))</f>
        <v>100</v>
      </c>
      <c r="T261" s="261">
        <f t="shared" si="208"/>
        <v>8795</v>
      </c>
      <c r="U261" s="261">
        <f t="shared" si="209"/>
        <v>140720</v>
      </c>
      <c r="V261" s="452">
        <f t="shared" si="210"/>
        <v>305</v>
      </c>
      <c r="W261" s="452">
        <f t="shared" si="211"/>
        <v>14.884</v>
      </c>
      <c r="X261" s="452">
        <f t="shared" si="212"/>
        <v>0.26230488000000002</v>
      </c>
      <c r="Y261" s="452">
        <f t="shared" si="213"/>
        <v>320</v>
      </c>
      <c r="Z261" s="262">
        <f t="shared" si="214"/>
        <v>42919600</v>
      </c>
      <c r="AA261" s="262">
        <f t="shared" si="215"/>
        <v>45030400</v>
      </c>
      <c r="AB261" s="431">
        <f t="shared" si="216"/>
        <v>16</v>
      </c>
      <c r="AC261" s="431">
        <f t="array" ref="AC261">MAX((IF(MNU_CODIGO_ALIMENTO_ENTREGA=CONCATENATE($E261,"_","P_"),MNU_GRAMAJE_REQUERIDO_TIPOC,"")))</f>
        <v>100</v>
      </c>
      <c r="AD261" s="259">
        <f t="shared" si="217"/>
        <v>11061</v>
      </c>
      <c r="AE261" s="259">
        <f t="shared" si="218"/>
        <v>176976</v>
      </c>
      <c r="AF261" s="452">
        <f t="shared" si="219"/>
        <v>305</v>
      </c>
      <c r="AG261" s="452">
        <f t="shared" si="220"/>
        <v>14.884</v>
      </c>
      <c r="AH261" s="452">
        <f t="shared" si="221"/>
        <v>0.26230488000000002</v>
      </c>
      <c r="AI261" s="452">
        <f t="shared" si="222"/>
        <v>320</v>
      </c>
      <c r="AJ261" s="260">
        <f t="shared" si="223"/>
        <v>53977680</v>
      </c>
      <c r="AK261" s="260">
        <f t="shared" si="224"/>
        <v>56632320</v>
      </c>
      <c r="AL261" s="432">
        <f t="shared" si="225"/>
        <v>16</v>
      </c>
      <c r="AM261" s="432">
        <f t="array" ref="AM261">MAX((IF(MNU_CODIGO_ALIMENTO_ENTREGA=CONCATENATE($E261,"_","P_"),MNU_GRAMAJE_REQUERIDO_TIPOM,"")))</f>
        <v>100</v>
      </c>
      <c r="AN261" s="261">
        <f t="shared" si="226"/>
        <v>188</v>
      </c>
      <c r="AO261" s="261">
        <f t="shared" si="227"/>
        <v>3008</v>
      </c>
      <c r="AP261" s="452">
        <f t="shared" si="228"/>
        <v>305</v>
      </c>
      <c r="AQ261" s="452">
        <f t="shared" si="229"/>
        <v>14.884</v>
      </c>
      <c r="AR261" s="452">
        <f t="shared" si="230"/>
        <v>0.26230488000000002</v>
      </c>
      <c r="AS261" s="452">
        <f t="shared" si="231"/>
        <v>320</v>
      </c>
      <c r="AT261" s="262">
        <f t="shared" si="232"/>
        <v>917440</v>
      </c>
      <c r="AU261" s="262">
        <f t="shared" si="233"/>
        <v>962560</v>
      </c>
      <c r="AV261" s="431">
        <f t="shared" si="234"/>
        <v>16</v>
      </c>
      <c r="AW261" s="431">
        <f t="array" ref="AW261">MAX((IF(MNU_CODIGO_ALIMENTO_ENTREGA=CONCATENATE($E261,"_","P_"),MNU_GRAMAJE_REQUERIDO_TIPOH,"")))</f>
        <v>100</v>
      </c>
      <c r="AX261" s="259">
        <f t="shared" si="235"/>
        <v>183</v>
      </c>
      <c r="AY261" s="259">
        <f t="shared" si="236"/>
        <v>2928</v>
      </c>
      <c r="AZ261" s="452">
        <f t="shared" si="237"/>
        <v>305</v>
      </c>
      <c r="BA261" s="452">
        <f t="shared" si="238"/>
        <v>14.884</v>
      </c>
      <c r="BB261" s="452">
        <f t="shared" si="239"/>
        <v>0.26230488000000002</v>
      </c>
      <c r="BC261" s="452">
        <f t="shared" si="240"/>
        <v>320</v>
      </c>
      <c r="BD261" s="260">
        <f t="shared" si="241"/>
        <v>893040</v>
      </c>
      <c r="BE261" s="260">
        <f t="shared" si="242"/>
        <v>936960</v>
      </c>
      <c r="BF261" s="397">
        <f t="shared" si="243"/>
        <v>153918860</v>
      </c>
      <c r="BG261" s="397">
        <f t="shared" si="244"/>
        <v>161488640</v>
      </c>
    </row>
    <row r="262" spans="1:59" ht="15.75">
      <c r="A262" s="338">
        <v>19</v>
      </c>
      <c r="B262" s="338" t="str">
        <f t="shared" si="196"/>
        <v>FRUTA_19</v>
      </c>
      <c r="C262" s="338" t="str">
        <f t="shared" si="197"/>
        <v>70_19</v>
      </c>
      <c r="D262" s="338" t="s">
        <v>1</v>
      </c>
      <c r="E262" s="258">
        <v>70</v>
      </c>
      <c r="F262" s="328" t="s">
        <v>71</v>
      </c>
      <c r="G262" s="258" t="s">
        <v>9</v>
      </c>
      <c r="H262" s="431">
        <f t="shared" si="198"/>
        <v>0</v>
      </c>
      <c r="I262" s="431">
        <f t="array" ref="I262">MAX((IF(MNU_CODIGO_ALIMENTO_ENTREGA=CONCATENATE($E262,"_","P_"),MNU_GRAMAJE_REQUERIDO_TIPOA,"")))</f>
        <v>0</v>
      </c>
      <c r="J262" s="259">
        <f t="shared" si="199"/>
        <v>6034</v>
      </c>
      <c r="K262" s="259">
        <f t="shared" si="200"/>
        <v>0</v>
      </c>
      <c r="L262" s="452">
        <f t="shared" si="201"/>
        <v>0</v>
      </c>
      <c r="M262" s="452">
        <f t="shared" si="202"/>
        <v>0</v>
      </c>
      <c r="N262" s="452">
        <f t="shared" si="203"/>
        <v>0</v>
      </c>
      <c r="O262" s="452">
        <f t="shared" si="204"/>
        <v>0</v>
      </c>
      <c r="P262" s="260">
        <f t="shared" si="205"/>
        <v>0</v>
      </c>
      <c r="Q262" s="260">
        <f t="shared" si="206"/>
        <v>0</v>
      </c>
      <c r="R262" s="432">
        <f t="shared" si="207"/>
        <v>10</v>
      </c>
      <c r="S262" s="432">
        <f t="array" ref="S262">MAX((IF(MNU_CODIGO_ALIMENTO_ENTREGA=CONCATENATE($E262,"_","P_"),MNU_GRAMAJE_REQUERIDO_TIPOB,"")))</f>
        <v>100</v>
      </c>
      <c r="T262" s="261">
        <f t="shared" si="208"/>
        <v>8795</v>
      </c>
      <c r="U262" s="261">
        <f t="shared" si="209"/>
        <v>87950</v>
      </c>
      <c r="V262" s="452">
        <f t="shared" si="210"/>
        <v>434</v>
      </c>
      <c r="W262" s="452">
        <f t="shared" si="211"/>
        <v>21.179200000000002</v>
      </c>
      <c r="X262" s="452">
        <f t="shared" si="212"/>
        <v>0.37324694399999997</v>
      </c>
      <c r="Y262" s="452">
        <f t="shared" si="213"/>
        <v>456</v>
      </c>
      <c r="Z262" s="262">
        <f t="shared" si="214"/>
        <v>38170300</v>
      </c>
      <c r="AA262" s="262">
        <f t="shared" si="215"/>
        <v>40105200</v>
      </c>
      <c r="AB262" s="431">
        <f t="shared" si="216"/>
        <v>10</v>
      </c>
      <c r="AC262" s="431">
        <f t="array" ref="AC262">MAX((IF(MNU_CODIGO_ALIMENTO_ENTREGA=CONCATENATE($E262,"_","P_"),MNU_GRAMAJE_REQUERIDO_TIPOC,"")))</f>
        <v>100</v>
      </c>
      <c r="AD262" s="259">
        <f t="shared" si="217"/>
        <v>11061</v>
      </c>
      <c r="AE262" s="259">
        <f t="shared" si="218"/>
        <v>110610</v>
      </c>
      <c r="AF262" s="452">
        <f t="shared" si="219"/>
        <v>434</v>
      </c>
      <c r="AG262" s="452">
        <f t="shared" si="220"/>
        <v>21.179200000000002</v>
      </c>
      <c r="AH262" s="452">
        <f t="shared" si="221"/>
        <v>0.37324694399999997</v>
      </c>
      <c r="AI262" s="452">
        <f t="shared" si="222"/>
        <v>456</v>
      </c>
      <c r="AJ262" s="260">
        <f t="shared" si="223"/>
        <v>48004740</v>
      </c>
      <c r="AK262" s="260">
        <f t="shared" si="224"/>
        <v>50438160</v>
      </c>
      <c r="AL262" s="432">
        <f t="shared" si="225"/>
        <v>10</v>
      </c>
      <c r="AM262" s="432">
        <f t="array" ref="AM262">MAX((IF(MNU_CODIGO_ALIMENTO_ENTREGA=CONCATENATE($E262,"_","P_"),MNU_GRAMAJE_REQUERIDO_TIPOM,"")))</f>
        <v>100</v>
      </c>
      <c r="AN262" s="261">
        <f t="shared" si="226"/>
        <v>188</v>
      </c>
      <c r="AO262" s="261">
        <f t="shared" si="227"/>
        <v>1880</v>
      </c>
      <c r="AP262" s="452">
        <f t="shared" si="228"/>
        <v>434</v>
      </c>
      <c r="AQ262" s="452">
        <f t="shared" si="229"/>
        <v>21.179200000000002</v>
      </c>
      <c r="AR262" s="452">
        <f t="shared" si="230"/>
        <v>0.37324694399999997</v>
      </c>
      <c r="AS262" s="452">
        <f t="shared" si="231"/>
        <v>456</v>
      </c>
      <c r="AT262" s="262">
        <f t="shared" si="232"/>
        <v>815920</v>
      </c>
      <c r="AU262" s="262">
        <f t="shared" si="233"/>
        <v>857280</v>
      </c>
      <c r="AV262" s="431">
        <f t="shared" si="234"/>
        <v>10</v>
      </c>
      <c r="AW262" s="431">
        <f t="array" ref="AW262">MAX((IF(MNU_CODIGO_ALIMENTO_ENTREGA=CONCATENATE($E262,"_","P_"),MNU_GRAMAJE_REQUERIDO_TIPOH,"")))</f>
        <v>100</v>
      </c>
      <c r="AX262" s="259">
        <f t="shared" si="235"/>
        <v>183</v>
      </c>
      <c r="AY262" s="259">
        <f t="shared" si="236"/>
        <v>1830</v>
      </c>
      <c r="AZ262" s="452">
        <f t="shared" si="237"/>
        <v>434</v>
      </c>
      <c r="BA262" s="452">
        <f t="shared" si="238"/>
        <v>21.179200000000002</v>
      </c>
      <c r="BB262" s="452">
        <f t="shared" si="239"/>
        <v>0.37324694399999997</v>
      </c>
      <c r="BC262" s="452">
        <f t="shared" si="240"/>
        <v>456</v>
      </c>
      <c r="BD262" s="260">
        <f t="shared" si="241"/>
        <v>794220</v>
      </c>
      <c r="BE262" s="260">
        <f t="shared" si="242"/>
        <v>834480</v>
      </c>
      <c r="BF262" s="397">
        <f t="shared" si="243"/>
        <v>87785180</v>
      </c>
      <c r="BG262" s="397">
        <f t="shared" si="244"/>
        <v>92235120</v>
      </c>
    </row>
    <row r="263" spans="1:59" ht="15.75">
      <c r="A263" s="338">
        <v>20</v>
      </c>
      <c r="B263" s="338" t="str">
        <f t="shared" si="196"/>
        <v>FRUTA_20</v>
      </c>
      <c r="C263" s="338" t="str">
        <f t="shared" si="197"/>
        <v>7_20</v>
      </c>
      <c r="D263" s="338" t="s">
        <v>1</v>
      </c>
      <c r="E263" s="258">
        <v>7</v>
      </c>
      <c r="F263" s="328" t="s">
        <v>57</v>
      </c>
      <c r="G263" s="258" t="s">
        <v>9</v>
      </c>
      <c r="H263" s="431">
        <f t="shared" si="198"/>
        <v>22</v>
      </c>
      <c r="I263" s="431">
        <f t="array" ref="I263">MAX((IF(MNU_CODIGO_ALIMENTO_ENTREGA=CONCATENATE($E263,"_","P_"),MNU_GRAMAJE_REQUERIDO_TIPOA,"")))</f>
        <v>100</v>
      </c>
      <c r="J263" s="259">
        <f t="shared" si="199"/>
        <v>5679</v>
      </c>
      <c r="K263" s="259">
        <f t="shared" si="200"/>
        <v>124938</v>
      </c>
      <c r="L263" s="452">
        <f t="shared" si="201"/>
        <v>107</v>
      </c>
      <c r="M263" s="452">
        <f t="shared" si="202"/>
        <v>5.2216000000000005</v>
      </c>
      <c r="N263" s="452">
        <f t="shared" si="203"/>
        <v>9.2021712000000006E-2</v>
      </c>
      <c r="O263" s="452">
        <f t="shared" si="204"/>
        <v>112</v>
      </c>
      <c r="P263" s="260">
        <f t="shared" si="205"/>
        <v>13368366</v>
      </c>
      <c r="Q263" s="260">
        <f t="shared" si="206"/>
        <v>13993056</v>
      </c>
      <c r="R263" s="432">
        <f t="shared" si="207"/>
        <v>9</v>
      </c>
      <c r="S263" s="432">
        <f t="array" ref="S263">MAX((IF(MNU_CODIGO_ALIMENTO_ENTREGA=CONCATENATE($E263,"_","P_"),MNU_GRAMAJE_REQUERIDO_TIPOB,"")))</f>
        <v>100</v>
      </c>
      <c r="T263" s="261">
        <f t="shared" si="208"/>
        <v>8921</v>
      </c>
      <c r="U263" s="261">
        <f t="shared" si="209"/>
        <v>80289</v>
      </c>
      <c r="V263" s="452">
        <f t="shared" si="210"/>
        <v>107</v>
      </c>
      <c r="W263" s="452">
        <f t="shared" si="211"/>
        <v>5.2216000000000005</v>
      </c>
      <c r="X263" s="452">
        <f t="shared" si="212"/>
        <v>9.2021712000000006E-2</v>
      </c>
      <c r="Y263" s="452">
        <f t="shared" si="213"/>
        <v>112</v>
      </c>
      <c r="Z263" s="262">
        <f t="shared" si="214"/>
        <v>8590923</v>
      </c>
      <c r="AA263" s="262">
        <f t="shared" si="215"/>
        <v>8992368</v>
      </c>
      <c r="AB263" s="431">
        <f t="shared" si="216"/>
        <v>9</v>
      </c>
      <c r="AC263" s="431">
        <f t="array" ref="AC263">MAX((IF(MNU_CODIGO_ALIMENTO_ENTREGA=CONCATENATE($E263,"_","P_"),MNU_GRAMAJE_REQUERIDO_TIPOC,"")))</f>
        <v>100</v>
      </c>
      <c r="AD263" s="259">
        <f t="shared" si="217"/>
        <v>10882</v>
      </c>
      <c r="AE263" s="259">
        <f t="shared" si="218"/>
        <v>97938</v>
      </c>
      <c r="AF263" s="452">
        <f t="shared" si="219"/>
        <v>107</v>
      </c>
      <c r="AG263" s="452">
        <f t="shared" si="220"/>
        <v>5.2216000000000005</v>
      </c>
      <c r="AH263" s="452">
        <f t="shared" si="221"/>
        <v>9.2021712000000006E-2</v>
      </c>
      <c r="AI263" s="452">
        <f t="shared" si="222"/>
        <v>112</v>
      </c>
      <c r="AJ263" s="260">
        <f t="shared" si="223"/>
        <v>10479366</v>
      </c>
      <c r="AK263" s="260">
        <f t="shared" si="224"/>
        <v>10969056</v>
      </c>
      <c r="AL263" s="432">
        <f t="shared" si="225"/>
        <v>9</v>
      </c>
      <c r="AM263" s="432">
        <f t="array" ref="AM263">MAX((IF(MNU_CODIGO_ALIMENTO_ENTREGA=CONCATENATE($E263,"_","P_"),MNU_GRAMAJE_REQUERIDO_TIPOM,"")))</f>
        <v>100</v>
      </c>
      <c r="AN263" s="261">
        <f t="shared" si="226"/>
        <v>146</v>
      </c>
      <c r="AO263" s="261">
        <f t="shared" si="227"/>
        <v>1314</v>
      </c>
      <c r="AP263" s="452">
        <f t="shared" si="228"/>
        <v>107</v>
      </c>
      <c r="AQ263" s="452">
        <f t="shared" si="229"/>
        <v>5.2216000000000005</v>
      </c>
      <c r="AR263" s="452">
        <f t="shared" si="230"/>
        <v>9.2021712000000006E-2</v>
      </c>
      <c r="AS263" s="452">
        <f t="shared" si="231"/>
        <v>112</v>
      </c>
      <c r="AT263" s="262">
        <f t="shared" si="232"/>
        <v>140598</v>
      </c>
      <c r="AU263" s="262">
        <f t="shared" si="233"/>
        <v>147168</v>
      </c>
      <c r="AV263" s="431">
        <f t="shared" si="234"/>
        <v>9</v>
      </c>
      <c r="AW263" s="431">
        <f t="array" ref="AW263">MAX((IF(MNU_CODIGO_ALIMENTO_ENTREGA=CONCATENATE($E263,"_","P_"),MNU_GRAMAJE_REQUERIDO_TIPOH,"")))</f>
        <v>100</v>
      </c>
      <c r="AX263" s="259">
        <f t="shared" si="235"/>
        <v>151</v>
      </c>
      <c r="AY263" s="259">
        <f t="shared" si="236"/>
        <v>1359</v>
      </c>
      <c r="AZ263" s="452">
        <f t="shared" si="237"/>
        <v>107</v>
      </c>
      <c r="BA263" s="452">
        <f t="shared" si="238"/>
        <v>5.2216000000000005</v>
      </c>
      <c r="BB263" s="452">
        <f t="shared" si="239"/>
        <v>9.2021712000000006E-2</v>
      </c>
      <c r="BC263" s="452">
        <f t="shared" si="240"/>
        <v>112</v>
      </c>
      <c r="BD263" s="260">
        <f t="shared" si="241"/>
        <v>145413</v>
      </c>
      <c r="BE263" s="260">
        <f t="shared" si="242"/>
        <v>152208</v>
      </c>
      <c r="BF263" s="397">
        <f t="shared" si="243"/>
        <v>32724666</v>
      </c>
      <c r="BG263" s="397">
        <f t="shared" si="244"/>
        <v>34253856</v>
      </c>
    </row>
    <row r="264" spans="1:59" ht="15.75">
      <c r="A264" s="338">
        <v>20</v>
      </c>
      <c r="B264" s="338" t="str">
        <f t="shared" si="196"/>
        <v>FRUTA_20</v>
      </c>
      <c r="C264" s="338" t="str">
        <f t="shared" si="197"/>
        <v>8_20</v>
      </c>
      <c r="D264" s="338" t="s">
        <v>1</v>
      </c>
      <c r="E264" s="258">
        <v>8</v>
      </c>
      <c r="F264" s="328" t="s">
        <v>55</v>
      </c>
      <c r="G264" s="258" t="s">
        <v>9</v>
      </c>
      <c r="H264" s="431">
        <f t="shared" si="198"/>
        <v>10</v>
      </c>
      <c r="I264" s="431">
        <f t="array" ref="I264">MAX((IF(MNU_CODIGO_ALIMENTO_ENTREGA=CONCATENATE($E264,"_","P_"),MNU_GRAMAJE_REQUERIDO_TIPOA,"")))</f>
        <v>100</v>
      </c>
      <c r="J264" s="259">
        <f t="shared" si="199"/>
        <v>5679</v>
      </c>
      <c r="K264" s="259">
        <f t="shared" si="200"/>
        <v>56790</v>
      </c>
      <c r="L264" s="452">
        <f t="shared" si="201"/>
        <v>134</v>
      </c>
      <c r="M264" s="452">
        <f t="shared" si="202"/>
        <v>6.539200000000001</v>
      </c>
      <c r="N264" s="452">
        <f t="shared" si="203"/>
        <v>0.115242144</v>
      </c>
      <c r="O264" s="452">
        <f t="shared" si="204"/>
        <v>141</v>
      </c>
      <c r="P264" s="260">
        <f t="shared" si="205"/>
        <v>7609860</v>
      </c>
      <c r="Q264" s="260">
        <f t="shared" si="206"/>
        <v>8007390</v>
      </c>
      <c r="R264" s="432">
        <f t="shared" si="207"/>
        <v>8</v>
      </c>
      <c r="S264" s="432">
        <f t="array" ref="S264">MAX((IF(MNU_CODIGO_ALIMENTO_ENTREGA=CONCATENATE($E264,"_","P_"),MNU_GRAMAJE_REQUERIDO_TIPOB,"")))</f>
        <v>100</v>
      </c>
      <c r="T264" s="261">
        <f t="shared" si="208"/>
        <v>8921</v>
      </c>
      <c r="U264" s="261">
        <f t="shared" si="209"/>
        <v>71368</v>
      </c>
      <c r="V264" s="452">
        <f t="shared" si="210"/>
        <v>134</v>
      </c>
      <c r="W264" s="452">
        <f t="shared" si="211"/>
        <v>6.539200000000001</v>
      </c>
      <c r="X264" s="452">
        <f t="shared" si="212"/>
        <v>0.115242144</v>
      </c>
      <c r="Y264" s="452">
        <f t="shared" si="213"/>
        <v>141</v>
      </c>
      <c r="Z264" s="262">
        <f t="shared" si="214"/>
        <v>9563312</v>
      </c>
      <c r="AA264" s="262">
        <f t="shared" si="215"/>
        <v>10062888</v>
      </c>
      <c r="AB264" s="431">
        <f t="shared" si="216"/>
        <v>8</v>
      </c>
      <c r="AC264" s="431">
        <f t="array" ref="AC264">MAX((IF(MNU_CODIGO_ALIMENTO_ENTREGA=CONCATENATE($E264,"_","P_"),MNU_GRAMAJE_REQUERIDO_TIPOC,"")))</f>
        <v>100</v>
      </c>
      <c r="AD264" s="259">
        <f t="shared" si="217"/>
        <v>10882</v>
      </c>
      <c r="AE264" s="259">
        <f t="shared" si="218"/>
        <v>87056</v>
      </c>
      <c r="AF264" s="452">
        <f t="shared" si="219"/>
        <v>134</v>
      </c>
      <c r="AG264" s="452">
        <f t="shared" si="220"/>
        <v>6.539200000000001</v>
      </c>
      <c r="AH264" s="452">
        <f t="shared" si="221"/>
        <v>0.115242144</v>
      </c>
      <c r="AI264" s="452">
        <f t="shared" si="222"/>
        <v>141</v>
      </c>
      <c r="AJ264" s="260">
        <f t="shared" si="223"/>
        <v>11665504</v>
      </c>
      <c r="AK264" s="260">
        <f t="shared" si="224"/>
        <v>12274896</v>
      </c>
      <c r="AL264" s="432">
        <f t="shared" si="225"/>
        <v>8</v>
      </c>
      <c r="AM264" s="432">
        <f t="array" ref="AM264">MAX((IF(MNU_CODIGO_ALIMENTO_ENTREGA=CONCATENATE($E264,"_","P_"),MNU_GRAMAJE_REQUERIDO_TIPOM,"")))</f>
        <v>100</v>
      </c>
      <c r="AN264" s="261">
        <f t="shared" si="226"/>
        <v>146</v>
      </c>
      <c r="AO264" s="261">
        <f t="shared" si="227"/>
        <v>1168</v>
      </c>
      <c r="AP264" s="452">
        <f t="shared" si="228"/>
        <v>134</v>
      </c>
      <c r="AQ264" s="452">
        <f t="shared" si="229"/>
        <v>6.539200000000001</v>
      </c>
      <c r="AR264" s="452">
        <f t="shared" si="230"/>
        <v>0.115242144</v>
      </c>
      <c r="AS264" s="452">
        <f t="shared" si="231"/>
        <v>141</v>
      </c>
      <c r="AT264" s="262">
        <f t="shared" si="232"/>
        <v>156512</v>
      </c>
      <c r="AU264" s="262">
        <f t="shared" si="233"/>
        <v>164688</v>
      </c>
      <c r="AV264" s="431">
        <f t="shared" si="234"/>
        <v>8</v>
      </c>
      <c r="AW264" s="431">
        <f t="array" ref="AW264">MAX((IF(MNU_CODIGO_ALIMENTO_ENTREGA=CONCATENATE($E264,"_","P_"),MNU_GRAMAJE_REQUERIDO_TIPOH,"")))</f>
        <v>100</v>
      </c>
      <c r="AX264" s="259">
        <f t="shared" si="235"/>
        <v>151</v>
      </c>
      <c r="AY264" s="259">
        <f t="shared" si="236"/>
        <v>1208</v>
      </c>
      <c r="AZ264" s="452">
        <f t="shared" si="237"/>
        <v>134</v>
      </c>
      <c r="BA264" s="452">
        <f t="shared" si="238"/>
        <v>6.539200000000001</v>
      </c>
      <c r="BB264" s="452">
        <f t="shared" si="239"/>
        <v>0.115242144</v>
      </c>
      <c r="BC264" s="452">
        <f t="shared" si="240"/>
        <v>141</v>
      </c>
      <c r="BD264" s="260">
        <f t="shared" si="241"/>
        <v>161872</v>
      </c>
      <c r="BE264" s="260">
        <f t="shared" si="242"/>
        <v>170328</v>
      </c>
      <c r="BF264" s="397">
        <f t="shared" si="243"/>
        <v>29157060</v>
      </c>
      <c r="BG264" s="397">
        <f t="shared" si="244"/>
        <v>30680190</v>
      </c>
    </row>
    <row r="265" spans="1:59" ht="15.75">
      <c r="A265" s="338">
        <v>20</v>
      </c>
      <c r="B265" s="338" t="str">
        <f t="shared" si="196"/>
        <v>FRUTA_20</v>
      </c>
      <c r="C265" s="338" t="str">
        <f t="shared" si="197"/>
        <v>17_20</v>
      </c>
      <c r="D265" s="338" t="s">
        <v>1</v>
      </c>
      <c r="E265" s="258">
        <v>17</v>
      </c>
      <c r="F265" s="328" t="s">
        <v>53</v>
      </c>
      <c r="G265" s="258" t="s">
        <v>9</v>
      </c>
      <c r="H265" s="431">
        <f t="shared" si="198"/>
        <v>0</v>
      </c>
      <c r="I265" s="431">
        <f t="array" ref="I265">MAX((IF(MNU_CODIGO_ALIMENTO_ENTREGA=CONCATENATE($E265,"_","P_"),MNU_GRAMAJE_REQUERIDO_TIPOA,"")))</f>
        <v>0</v>
      </c>
      <c r="J265" s="259">
        <f t="shared" si="199"/>
        <v>5679</v>
      </c>
      <c r="K265" s="259">
        <f t="shared" si="200"/>
        <v>0</v>
      </c>
      <c r="L265" s="452">
        <f t="shared" si="201"/>
        <v>0</v>
      </c>
      <c r="M265" s="452">
        <f t="shared" si="202"/>
        <v>0</v>
      </c>
      <c r="N265" s="452">
        <f t="shared" si="203"/>
        <v>0</v>
      </c>
      <c r="O265" s="452">
        <f t="shared" si="204"/>
        <v>0</v>
      </c>
      <c r="P265" s="260">
        <f t="shared" si="205"/>
        <v>0</v>
      </c>
      <c r="Q265" s="260">
        <f t="shared" si="206"/>
        <v>0</v>
      </c>
      <c r="R265" s="432">
        <f t="shared" si="207"/>
        <v>21</v>
      </c>
      <c r="S265" s="432">
        <f t="array" ref="S265">MAX((IF(MNU_CODIGO_ALIMENTO_ENTREGA=CONCATENATE($E265,"_","P_"),MNU_GRAMAJE_REQUERIDO_TIPOB,"")))</f>
        <v>100</v>
      </c>
      <c r="T265" s="261">
        <f t="shared" si="208"/>
        <v>8921</v>
      </c>
      <c r="U265" s="261">
        <f t="shared" si="209"/>
        <v>187341</v>
      </c>
      <c r="V265" s="452">
        <f t="shared" si="210"/>
        <v>226</v>
      </c>
      <c r="W265" s="452">
        <f t="shared" si="211"/>
        <v>11.0288</v>
      </c>
      <c r="X265" s="452">
        <f t="shared" si="212"/>
        <v>0.19436361600000002</v>
      </c>
      <c r="Y265" s="452">
        <f t="shared" si="213"/>
        <v>237</v>
      </c>
      <c r="Z265" s="262">
        <f t="shared" si="214"/>
        <v>42339066</v>
      </c>
      <c r="AA265" s="262">
        <f t="shared" si="215"/>
        <v>44399817</v>
      </c>
      <c r="AB265" s="431">
        <f t="shared" si="216"/>
        <v>21</v>
      </c>
      <c r="AC265" s="431">
        <f t="array" ref="AC265">MAX((IF(MNU_CODIGO_ALIMENTO_ENTREGA=CONCATENATE($E265,"_","P_"),MNU_GRAMAJE_REQUERIDO_TIPOC,"")))</f>
        <v>100</v>
      </c>
      <c r="AD265" s="259">
        <f t="shared" si="217"/>
        <v>10882</v>
      </c>
      <c r="AE265" s="259">
        <f t="shared" si="218"/>
        <v>228522</v>
      </c>
      <c r="AF265" s="452">
        <f t="shared" si="219"/>
        <v>226</v>
      </c>
      <c r="AG265" s="452">
        <f t="shared" si="220"/>
        <v>11.0288</v>
      </c>
      <c r="AH265" s="452">
        <f t="shared" si="221"/>
        <v>0.19436361600000002</v>
      </c>
      <c r="AI265" s="452">
        <f t="shared" si="222"/>
        <v>237</v>
      </c>
      <c r="AJ265" s="260">
        <f t="shared" si="223"/>
        <v>51645972</v>
      </c>
      <c r="AK265" s="260">
        <f t="shared" si="224"/>
        <v>54159714</v>
      </c>
      <c r="AL265" s="432">
        <f t="shared" si="225"/>
        <v>21</v>
      </c>
      <c r="AM265" s="432">
        <f t="array" ref="AM265">MAX((IF(MNU_CODIGO_ALIMENTO_ENTREGA=CONCATENATE($E265,"_","P_"),MNU_GRAMAJE_REQUERIDO_TIPOM,"")))</f>
        <v>100</v>
      </c>
      <c r="AN265" s="261">
        <f t="shared" si="226"/>
        <v>146</v>
      </c>
      <c r="AO265" s="261">
        <f t="shared" si="227"/>
        <v>3066</v>
      </c>
      <c r="AP265" s="452">
        <f t="shared" si="228"/>
        <v>226</v>
      </c>
      <c r="AQ265" s="452">
        <f t="shared" si="229"/>
        <v>11.0288</v>
      </c>
      <c r="AR265" s="452">
        <f t="shared" si="230"/>
        <v>0.19436361600000002</v>
      </c>
      <c r="AS265" s="452">
        <f t="shared" si="231"/>
        <v>237</v>
      </c>
      <c r="AT265" s="262">
        <f t="shared" si="232"/>
        <v>692916</v>
      </c>
      <c r="AU265" s="262">
        <f t="shared" si="233"/>
        <v>726642</v>
      </c>
      <c r="AV265" s="431">
        <f t="shared" si="234"/>
        <v>21</v>
      </c>
      <c r="AW265" s="431">
        <f t="array" ref="AW265">MAX((IF(MNU_CODIGO_ALIMENTO_ENTREGA=CONCATENATE($E265,"_","P_"),MNU_GRAMAJE_REQUERIDO_TIPOH,"")))</f>
        <v>100</v>
      </c>
      <c r="AX265" s="259">
        <f t="shared" si="235"/>
        <v>151</v>
      </c>
      <c r="AY265" s="259">
        <f t="shared" si="236"/>
        <v>3171</v>
      </c>
      <c r="AZ265" s="452">
        <f t="shared" si="237"/>
        <v>226</v>
      </c>
      <c r="BA265" s="452">
        <f t="shared" si="238"/>
        <v>11.0288</v>
      </c>
      <c r="BB265" s="452">
        <f t="shared" si="239"/>
        <v>0.19436361600000002</v>
      </c>
      <c r="BC265" s="452">
        <f t="shared" si="240"/>
        <v>237</v>
      </c>
      <c r="BD265" s="260">
        <f t="shared" si="241"/>
        <v>716646</v>
      </c>
      <c r="BE265" s="260">
        <f t="shared" si="242"/>
        <v>751527</v>
      </c>
      <c r="BF265" s="397">
        <f t="shared" si="243"/>
        <v>95394600</v>
      </c>
      <c r="BG265" s="397">
        <f t="shared" si="244"/>
        <v>100037700</v>
      </c>
    </row>
    <row r="266" spans="1:59" ht="15.75">
      <c r="A266" s="338">
        <v>20</v>
      </c>
      <c r="B266" s="338" t="str">
        <f t="shared" si="196"/>
        <v>FRUTA_20</v>
      </c>
      <c r="C266" s="338" t="str">
        <f t="shared" si="197"/>
        <v>22_20</v>
      </c>
      <c r="D266" s="338" t="s">
        <v>1</v>
      </c>
      <c r="E266" s="258">
        <v>22</v>
      </c>
      <c r="F266" s="328" t="s">
        <v>51</v>
      </c>
      <c r="G266" s="258" t="s">
        <v>9</v>
      </c>
      <c r="H266" s="431">
        <f t="shared" si="198"/>
        <v>0</v>
      </c>
      <c r="I266" s="431">
        <f t="array" ref="I266">MAX((IF(MNU_CODIGO_ALIMENTO_ENTREGA=CONCATENATE($E266,"_","P_"),MNU_GRAMAJE_REQUERIDO_TIPOA,"")))</f>
        <v>0</v>
      </c>
      <c r="J266" s="259">
        <f t="shared" si="199"/>
        <v>5679</v>
      </c>
      <c r="K266" s="259">
        <f t="shared" si="200"/>
        <v>0</v>
      </c>
      <c r="L266" s="452">
        <f t="shared" si="201"/>
        <v>0</v>
      </c>
      <c r="M266" s="452">
        <f t="shared" si="202"/>
        <v>0</v>
      </c>
      <c r="N266" s="452">
        <f t="shared" si="203"/>
        <v>0</v>
      </c>
      <c r="O266" s="452">
        <f t="shared" si="204"/>
        <v>0</v>
      </c>
      <c r="P266" s="260">
        <f t="shared" si="205"/>
        <v>0</v>
      </c>
      <c r="Q266" s="260">
        <f t="shared" si="206"/>
        <v>0</v>
      </c>
      <c r="R266" s="432">
        <f t="shared" si="207"/>
        <v>20</v>
      </c>
      <c r="S266" s="432">
        <f t="array" ref="S266">MAX((IF(MNU_CODIGO_ALIMENTO_ENTREGA=CONCATENATE($E266,"_","P_"),MNU_GRAMAJE_REQUERIDO_TIPOB,"")))</f>
        <v>100</v>
      </c>
      <c r="T266" s="261">
        <f t="shared" si="208"/>
        <v>8921</v>
      </c>
      <c r="U266" s="261">
        <f t="shared" si="209"/>
        <v>178420</v>
      </c>
      <c r="V266" s="452">
        <f t="shared" si="210"/>
        <v>525</v>
      </c>
      <c r="W266" s="452">
        <f t="shared" si="211"/>
        <v>25.62</v>
      </c>
      <c r="X266" s="452">
        <f t="shared" si="212"/>
        <v>0.45150840000000003</v>
      </c>
      <c r="Y266" s="452">
        <f t="shared" si="213"/>
        <v>551</v>
      </c>
      <c r="Z266" s="262">
        <f t="shared" si="214"/>
        <v>93670500</v>
      </c>
      <c r="AA266" s="262">
        <f t="shared" si="215"/>
        <v>98309420</v>
      </c>
      <c r="AB266" s="431">
        <f t="shared" si="216"/>
        <v>20</v>
      </c>
      <c r="AC266" s="431">
        <f t="array" ref="AC266">MAX((IF(MNU_CODIGO_ALIMENTO_ENTREGA=CONCATENATE($E266,"_","P_"),MNU_GRAMAJE_REQUERIDO_TIPOC,"")))</f>
        <v>100</v>
      </c>
      <c r="AD266" s="259">
        <f t="shared" si="217"/>
        <v>10882</v>
      </c>
      <c r="AE266" s="259">
        <f t="shared" si="218"/>
        <v>217640</v>
      </c>
      <c r="AF266" s="452">
        <f t="shared" si="219"/>
        <v>525</v>
      </c>
      <c r="AG266" s="452">
        <f t="shared" si="220"/>
        <v>25.62</v>
      </c>
      <c r="AH266" s="452">
        <f t="shared" si="221"/>
        <v>0.45150840000000003</v>
      </c>
      <c r="AI266" s="452">
        <f t="shared" si="222"/>
        <v>551</v>
      </c>
      <c r="AJ266" s="260">
        <f t="shared" si="223"/>
        <v>114261000</v>
      </c>
      <c r="AK266" s="260">
        <f t="shared" si="224"/>
        <v>119919640</v>
      </c>
      <c r="AL266" s="432">
        <f t="shared" si="225"/>
        <v>20</v>
      </c>
      <c r="AM266" s="432">
        <f t="array" ref="AM266">MAX((IF(MNU_CODIGO_ALIMENTO_ENTREGA=CONCATENATE($E266,"_","P_"),MNU_GRAMAJE_REQUERIDO_TIPOM,"")))</f>
        <v>100</v>
      </c>
      <c r="AN266" s="261">
        <f t="shared" si="226"/>
        <v>146</v>
      </c>
      <c r="AO266" s="261">
        <f t="shared" si="227"/>
        <v>2920</v>
      </c>
      <c r="AP266" s="452">
        <f t="shared" si="228"/>
        <v>525</v>
      </c>
      <c r="AQ266" s="452">
        <f t="shared" si="229"/>
        <v>25.62</v>
      </c>
      <c r="AR266" s="452">
        <f t="shared" si="230"/>
        <v>0.45150840000000003</v>
      </c>
      <c r="AS266" s="452">
        <f t="shared" si="231"/>
        <v>551</v>
      </c>
      <c r="AT266" s="262">
        <f t="shared" si="232"/>
        <v>1533000</v>
      </c>
      <c r="AU266" s="262">
        <f t="shared" si="233"/>
        <v>1608920</v>
      </c>
      <c r="AV266" s="431">
        <f t="shared" si="234"/>
        <v>20</v>
      </c>
      <c r="AW266" s="431">
        <f t="array" ref="AW266">MAX((IF(MNU_CODIGO_ALIMENTO_ENTREGA=CONCATENATE($E266,"_","P_"),MNU_GRAMAJE_REQUERIDO_TIPOH,"")))</f>
        <v>100</v>
      </c>
      <c r="AX266" s="259">
        <f t="shared" si="235"/>
        <v>151</v>
      </c>
      <c r="AY266" s="259">
        <f t="shared" si="236"/>
        <v>3020</v>
      </c>
      <c r="AZ266" s="452">
        <f t="shared" si="237"/>
        <v>525</v>
      </c>
      <c r="BA266" s="452">
        <f t="shared" si="238"/>
        <v>25.62</v>
      </c>
      <c r="BB266" s="452">
        <f t="shared" si="239"/>
        <v>0.45150840000000003</v>
      </c>
      <c r="BC266" s="452">
        <f t="shared" si="240"/>
        <v>551</v>
      </c>
      <c r="BD266" s="260">
        <f t="shared" si="241"/>
        <v>1585500</v>
      </c>
      <c r="BE266" s="260">
        <f t="shared" si="242"/>
        <v>1664020</v>
      </c>
      <c r="BF266" s="397">
        <f t="shared" si="243"/>
        <v>211050000</v>
      </c>
      <c r="BG266" s="397">
        <f t="shared" si="244"/>
        <v>221502000</v>
      </c>
    </row>
    <row r="267" spans="1:59" ht="15.75">
      <c r="A267" s="338">
        <v>20</v>
      </c>
      <c r="B267" s="338" t="str">
        <f t="shared" si="196"/>
        <v>FRUTA_20</v>
      </c>
      <c r="C267" s="338" t="str">
        <f t="shared" si="197"/>
        <v>33_20</v>
      </c>
      <c r="D267" s="338" t="s">
        <v>1</v>
      </c>
      <c r="E267" s="258">
        <v>33</v>
      </c>
      <c r="F267" s="328" t="s">
        <v>59</v>
      </c>
      <c r="G267" s="258" t="s">
        <v>48</v>
      </c>
      <c r="H267" s="431">
        <f t="shared" si="198"/>
        <v>27</v>
      </c>
      <c r="I267" s="431">
        <v>1</v>
      </c>
      <c r="J267" s="259">
        <f t="shared" si="199"/>
        <v>5679</v>
      </c>
      <c r="K267" s="259">
        <f t="shared" si="200"/>
        <v>153333</v>
      </c>
      <c r="L267" s="452">
        <f t="shared" si="201"/>
        <v>270</v>
      </c>
      <c r="M267" s="452">
        <f t="shared" si="202"/>
        <v>13.176000000000002</v>
      </c>
      <c r="N267" s="452">
        <f t="shared" si="203"/>
        <v>0.23220432000000002</v>
      </c>
      <c r="O267" s="452">
        <f t="shared" si="204"/>
        <v>283</v>
      </c>
      <c r="P267" s="260">
        <f t="shared" si="205"/>
        <v>41399910</v>
      </c>
      <c r="Q267" s="260">
        <f t="shared" si="206"/>
        <v>43393239</v>
      </c>
      <c r="R267" s="432">
        <f t="shared" si="207"/>
        <v>18</v>
      </c>
      <c r="S267" s="432">
        <v>1</v>
      </c>
      <c r="T267" s="261">
        <f t="shared" si="208"/>
        <v>8921</v>
      </c>
      <c r="U267" s="261">
        <f t="shared" si="209"/>
        <v>160578</v>
      </c>
      <c r="V267" s="452">
        <f t="shared" si="210"/>
        <v>270</v>
      </c>
      <c r="W267" s="452">
        <f t="shared" si="211"/>
        <v>13.176000000000002</v>
      </c>
      <c r="X267" s="452">
        <f t="shared" si="212"/>
        <v>0.23220432000000002</v>
      </c>
      <c r="Y267" s="452">
        <f t="shared" si="213"/>
        <v>283</v>
      </c>
      <c r="Z267" s="262">
        <f t="shared" si="214"/>
        <v>43356060</v>
      </c>
      <c r="AA267" s="262">
        <f t="shared" si="215"/>
        <v>45443574</v>
      </c>
      <c r="AB267" s="431">
        <f t="shared" si="216"/>
        <v>18</v>
      </c>
      <c r="AC267" s="431">
        <v>1</v>
      </c>
      <c r="AD267" s="259">
        <f t="shared" si="217"/>
        <v>10882</v>
      </c>
      <c r="AE267" s="259">
        <f t="shared" si="218"/>
        <v>195876</v>
      </c>
      <c r="AF267" s="452">
        <f t="shared" si="219"/>
        <v>270</v>
      </c>
      <c r="AG267" s="452">
        <f t="shared" si="220"/>
        <v>13.176000000000002</v>
      </c>
      <c r="AH267" s="452">
        <f t="shared" si="221"/>
        <v>0.23220432000000002</v>
      </c>
      <c r="AI267" s="452">
        <f t="shared" si="222"/>
        <v>283</v>
      </c>
      <c r="AJ267" s="260">
        <f t="shared" si="223"/>
        <v>52886520</v>
      </c>
      <c r="AK267" s="260">
        <f t="shared" si="224"/>
        <v>55432908</v>
      </c>
      <c r="AL267" s="432">
        <f t="shared" si="225"/>
        <v>18</v>
      </c>
      <c r="AM267" s="432">
        <v>1</v>
      </c>
      <c r="AN267" s="261">
        <f t="shared" si="226"/>
        <v>146</v>
      </c>
      <c r="AO267" s="261">
        <f t="shared" si="227"/>
        <v>2628</v>
      </c>
      <c r="AP267" s="452">
        <f t="shared" si="228"/>
        <v>270</v>
      </c>
      <c r="AQ267" s="452">
        <f t="shared" si="229"/>
        <v>13.176000000000002</v>
      </c>
      <c r="AR267" s="452">
        <f t="shared" si="230"/>
        <v>0.23220432000000002</v>
      </c>
      <c r="AS267" s="452">
        <f t="shared" si="231"/>
        <v>283</v>
      </c>
      <c r="AT267" s="262">
        <f t="shared" si="232"/>
        <v>709560</v>
      </c>
      <c r="AU267" s="262">
        <f t="shared" si="233"/>
        <v>743724</v>
      </c>
      <c r="AV267" s="431">
        <f t="shared" si="234"/>
        <v>18</v>
      </c>
      <c r="AW267" s="431">
        <v>1</v>
      </c>
      <c r="AX267" s="259">
        <f t="shared" si="235"/>
        <v>151</v>
      </c>
      <c r="AY267" s="259">
        <f t="shared" si="236"/>
        <v>2718</v>
      </c>
      <c r="AZ267" s="452">
        <f t="shared" si="237"/>
        <v>270</v>
      </c>
      <c r="BA267" s="452">
        <f t="shared" si="238"/>
        <v>13.176000000000002</v>
      </c>
      <c r="BB267" s="452">
        <f t="shared" si="239"/>
        <v>0.23220432000000002</v>
      </c>
      <c r="BC267" s="452">
        <f t="shared" si="240"/>
        <v>283</v>
      </c>
      <c r="BD267" s="260">
        <f t="shared" si="241"/>
        <v>733860</v>
      </c>
      <c r="BE267" s="260">
        <f t="shared" si="242"/>
        <v>769194</v>
      </c>
      <c r="BF267" s="397">
        <f t="shared" si="243"/>
        <v>139085910</v>
      </c>
      <c r="BG267" s="397">
        <f t="shared" si="244"/>
        <v>145782639</v>
      </c>
    </row>
    <row r="268" spans="1:59" ht="15.75">
      <c r="A268" s="338">
        <v>20</v>
      </c>
      <c r="B268" s="338" t="str">
        <f t="shared" si="196"/>
        <v>FRUTA_20</v>
      </c>
      <c r="C268" s="338" t="str">
        <f t="shared" si="197"/>
        <v>36_20</v>
      </c>
      <c r="D268" s="338" t="s">
        <v>1</v>
      </c>
      <c r="E268" s="258">
        <v>36</v>
      </c>
      <c r="F268" s="328" t="s">
        <v>1340</v>
      </c>
      <c r="G268" s="258" t="s">
        <v>9</v>
      </c>
      <c r="H268" s="431">
        <f t="shared" si="198"/>
        <v>7</v>
      </c>
      <c r="I268" s="431">
        <f t="array" ref="I268">MAX((IF(MNU_CODIGO_ALIMENTO_ENTREGA=CONCATENATE($E268,"_","P_"),MNU_GRAMAJE_REQUERIDO_TIPOA,"")))</f>
        <v>20</v>
      </c>
      <c r="J268" s="259">
        <f t="shared" si="199"/>
        <v>5679</v>
      </c>
      <c r="K268" s="259">
        <f t="shared" si="200"/>
        <v>39753</v>
      </c>
      <c r="L268" s="452">
        <f t="shared" si="201"/>
        <v>126</v>
      </c>
      <c r="M268" s="452">
        <f t="shared" si="202"/>
        <v>6.1488000000000005</v>
      </c>
      <c r="N268" s="452">
        <f t="shared" si="203"/>
        <v>0.10836201599999999</v>
      </c>
      <c r="O268" s="452">
        <f t="shared" si="204"/>
        <v>132</v>
      </c>
      <c r="P268" s="260">
        <f t="shared" si="205"/>
        <v>5008878</v>
      </c>
      <c r="Q268" s="260">
        <f t="shared" si="206"/>
        <v>5247396</v>
      </c>
      <c r="R268" s="432">
        <f t="shared" si="207"/>
        <v>7</v>
      </c>
      <c r="S268" s="432">
        <f t="array" ref="S268">MAX((IF(MNU_CODIGO_ALIMENTO_ENTREGA=CONCATENATE($E268,"_","P_"),MNU_GRAMAJE_REQUERIDO_TIPOB,"")))</f>
        <v>40</v>
      </c>
      <c r="T268" s="261">
        <f t="shared" si="208"/>
        <v>8921</v>
      </c>
      <c r="U268" s="261">
        <f t="shared" si="209"/>
        <v>62447</v>
      </c>
      <c r="V268" s="452">
        <f t="shared" si="210"/>
        <v>252</v>
      </c>
      <c r="W268" s="452">
        <f t="shared" si="211"/>
        <v>12.297600000000001</v>
      </c>
      <c r="X268" s="452">
        <f t="shared" si="212"/>
        <v>0.21672403199999998</v>
      </c>
      <c r="Y268" s="452">
        <f t="shared" si="213"/>
        <v>265</v>
      </c>
      <c r="Z268" s="262">
        <f t="shared" si="214"/>
        <v>15736644</v>
      </c>
      <c r="AA268" s="262">
        <f t="shared" si="215"/>
        <v>16548455</v>
      </c>
      <c r="AB268" s="431">
        <f t="shared" si="216"/>
        <v>7</v>
      </c>
      <c r="AC268" s="431">
        <f t="array" ref="AC268">MAX((IF(MNU_CODIGO_ALIMENTO_ENTREGA=CONCATENATE($E268,"_","P_"),MNU_GRAMAJE_REQUERIDO_TIPOC,"")))</f>
        <v>40</v>
      </c>
      <c r="AD268" s="259">
        <f t="shared" si="217"/>
        <v>10882</v>
      </c>
      <c r="AE268" s="259">
        <f t="shared" si="218"/>
        <v>76174</v>
      </c>
      <c r="AF268" s="452">
        <f t="shared" si="219"/>
        <v>252</v>
      </c>
      <c r="AG268" s="452">
        <f t="shared" si="220"/>
        <v>12.297600000000001</v>
      </c>
      <c r="AH268" s="452">
        <f t="shared" si="221"/>
        <v>0.21672403199999998</v>
      </c>
      <c r="AI268" s="452">
        <f t="shared" si="222"/>
        <v>265</v>
      </c>
      <c r="AJ268" s="260">
        <f t="shared" si="223"/>
        <v>19195848</v>
      </c>
      <c r="AK268" s="260">
        <f t="shared" si="224"/>
        <v>20186110</v>
      </c>
      <c r="AL268" s="432">
        <f t="shared" si="225"/>
        <v>7</v>
      </c>
      <c r="AM268" s="432">
        <f t="array" ref="AM268">MAX((IF(MNU_CODIGO_ALIMENTO_ENTREGA=CONCATENATE($E268,"_","P_"),MNU_GRAMAJE_REQUERIDO_TIPOM,"")))</f>
        <v>40</v>
      </c>
      <c r="AN268" s="261">
        <f t="shared" si="226"/>
        <v>146</v>
      </c>
      <c r="AO268" s="261">
        <f t="shared" si="227"/>
        <v>1022</v>
      </c>
      <c r="AP268" s="452">
        <f t="shared" si="228"/>
        <v>252</v>
      </c>
      <c r="AQ268" s="452">
        <f t="shared" si="229"/>
        <v>12.297600000000001</v>
      </c>
      <c r="AR268" s="452">
        <f t="shared" si="230"/>
        <v>0.21672403199999998</v>
      </c>
      <c r="AS268" s="452">
        <f t="shared" si="231"/>
        <v>265</v>
      </c>
      <c r="AT268" s="262">
        <f t="shared" si="232"/>
        <v>257544</v>
      </c>
      <c r="AU268" s="262">
        <f t="shared" si="233"/>
        <v>270830</v>
      </c>
      <c r="AV268" s="431">
        <f t="shared" si="234"/>
        <v>7</v>
      </c>
      <c r="AW268" s="431">
        <f t="array" ref="AW268">MAX((IF(MNU_CODIGO_ALIMENTO_ENTREGA=CONCATENATE($E268,"_","P_"),MNU_GRAMAJE_REQUERIDO_TIPOH,"")))</f>
        <v>40</v>
      </c>
      <c r="AX268" s="259">
        <f t="shared" si="235"/>
        <v>151</v>
      </c>
      <c r="AY268" s="259">
        <f t="shared" si="236"/>
        <v>1057</v>
      </c>
      <c r="AZ268" s="452">
        <f t="shared" si="237"/>
        <v>252</v>
      </c>
      <c r="BA268" s="452">
        <f t="shared" si="238"/>
        <v>12.297600000000001</v>
      </c>
      <c r="BB268" s="452">
        <f t="shared" si="239"/>
        <v>0.21672403199999998</v>
      </c>
      <c r="BC268" s="452">
        <f t="shared" si="240"/>
        <v>265</v>
      </c>
      <c r="BD268" s="260">
        <f t="shared" si="241"/>
        <v>266364</v>
      </c>
      <c r="BE268" s="260">
        <f t="shared" si="242"/>
        <v>280105</v>
      </c>
      <c r="BF268" s="397">
        <f t="shared" si="243"/>
        <v>40465278</v>
      </c>
      <c r="BG268" s="397">
        <f t="shared" si="244"/>
        <v>42532896</v>
      </c>
    </row>
    <row r="269" spans="1:59" ht="15.75">
      <c r="A269" s="338">
        <v>20</v>
      </c>
      <c r="B269" s="338" t="str">
        <f t="shared" si="196"/>
        <v>FRUTA_20</v>
      </c>
      <c r="C269" s="338" t="str">
        <f t="shared" si="197"/>
        <v>42_20</v>
      </c>
      <c r="D269" s="338" t="s">
        <v>1</v>
      </c>
      <c r="E269" s="258">
        <v>42</v>
      </c>
      <c r="F269" s="328" t="s">
        <v>61</v>
      </c>
      <c r="G269" s="258" t="s">
        <v>9</v>
      </c>
      <c r="H269" s="431">
        <f t="shared" si="198"/>
        <v>23</v>
      </c>
      <c r="I269" s="431">
        <f t="array" ref="I269">MAX((IF(MNU_CODIGO_ALIMENTO_ENTREGA=CONCATENATE($E269,"_","P_"),MNU_GRAMAJE_REQUERIDO_TIPOA,"")))</f>
        <v>100</v>
      </c>
      <c r="J269" s="259">
        <f t="shared" si="199"/>
        <v>5679</v>
      </c>
      <c r="K269" s="259">
        <f t="shared" si="200"/>
        <v>130617</v>
      </c>
      <c r="L269" s="452">
        <f t="shared" si="201"/>
        <v>194</v>
      </c>
      <c r="M269" s="452">
        <f t="shared" si="202"/>
        <v>9.4672000000000001</v>
      </c>
      <c r="N269" s="452">
        <f t="shared" si="203"/>
        <v>0.16684310399999999</v>
      </c>
      <c r="O269" s="452">
        <f t="shared" si="204"/>
        <v>204</v>
      </c>
      <c r="P269" s="260">
        <f t="shared" si="205"/>
        <v>25339698</v>
      </c>
      <c r="Q269" s="260">
        <f t="shared" si="206"/>
        <v>26645868</v>
      </c>
      <c r="R269" s="432">
        <f t="shared" si="207"/>
        <v>19</v>
      </c>
      <c r="S269" s="432">
        <f t="array" ref="S269">MAX((IF(MNU_CODIGO_ALIMENTO_ENTREGA=CONCATENATE($E269,"_","P_"),MNU_GRAMAJE_REQUERIDO_TIPOB,"")))</f>
        <v>100</v>
      </c>
      <c r="T269" s="261">
        <f t="shared" si="208"/>
        <v>8921</v>
      </c>
      <c r="U269" s="261">
        <f t="shared" si="209"/>
        <v>169499</v>
      </c>
      <c r="V269" s="452">
        <f t="shared" si="210"/>
        <v>194</v>
      </c>
      <c r="W269" s="452">
        <f t="shared" si="211"/>
        <v>9.4672000000000001</v>
      </c>
      <c r="X269" s="452">
        <f t="shared" si="212"/>
        <v>0.16684310399999999</v>
      </c>
      <c r="Y269" s="452">
        <f t="shared" si="213"/>
        <v>204</v>
      </c>
      <c r="Z269" s="262">
        <f t="shared" si="214"/>
        <v>32882806</v>
      </c>
      <c r="AA269" s="262">
        <f t="shared" si="215"/>
        <v>34577796</v>
      </c>
      <c r="AB269" s="431">
        <f t="shared" si="216"/>
        <v>19</v>
      </c>
      <c r="AC269" s="431">
        <f t="array" ref="AC269">MAX((IF(MNU_CODIGO_ALIMENTO_ENTREGA=CONCATENATE($E269,"_","P_"),MNU_GRAMAJE_REQUERIDO_TIPOC,"")))</f>
        <v>100</v>
      </c>
      <c r="AD269" s="259">
        <f t="shared" si="217"/>
        <v>10882</v>
      </c>
      <c r="AE269" s="259">
        <f t="shared" si="218"/>
        <v>206758</v>
      </c>
      <c r="AF269" s="452">
        <f t="shared" si="219"/>
        <v>194</v>
      </c>
      <c r="AG269" s="452">
        <f t="shared" si="220"/>
        <v>9.4672000000000001</v>
      </c>
      <c r="AH269" s="452">
        <f t="shared" si="221"/>
        <v>0.16684310399999999</v>
      </c>
      <c r="AI269" s="452">
        <f t="shared" si="222"/>
        <v>204</v>
      </c>
      <c r="AJ269" s="260">
        <f t="shared" si="223"/>
        <v>40111052</v>
      </c>
      <c r="AK269" s="260">
        <f t="shared" si="224"/>
        <v>42178632</v>
      </c>
      <c r="AL269" s="432">
        <f t="shared" si="225"/>
        <v>19</v>
      </c>
      <c r="AM269" s="432">
        <f t="array" ref="AM269">MAX((IF(MNU_CODIGO_ALIMENTO_ENTREGA=CONCATENATE($E269,"_","P_"),MNU_GRAMAJE_REQUERIDO_TIPOM,"")))</f>
        <v>100</v>
      </c>
      <c r="AN269" s="261">
        <f t="shared" si="226"/>
        <v>146</v>
      </c>
      <c r="AO269" s="261">
        <f t="shared" si="227"/>
        <v>2774</v>
      </c>
      <c r="AP269" s="452">
        <f t="shared" si="228"/>
        <v>194</v>
      </c>
      <c r="AQ269" s="452">
        <f t="shared" si="229"/>
        <v>9.4672000000000001</v>
      </c>
      <c r="AR269" s="452">
        <f t="shared" si="230"/>
        <v>0.16684310399999999</v>
      </c>
      <c r="AS269" s="452">
        <f t="shared" si="231"/>
        <v>204</v>
      </c>
      <c r="AT269" s="262">
        <f t="shared" si="232"/>
        <v>538156</v>
      </c>
      <c r="AU269" s="262">
        <f t="shared" si="233"/>
        <v>565896</v>
      </c>
      <c r="AV269" s="431">
        <f t="shared" si="234"/>
        <v>19</v>
      </c>
      <c r="AW269" s="431">
        <f t="array" ref="AW269">MAX((IF(MNU_CODIGO_ALIMENTO_ENTREGA=CONCATENATE($E269,"_","P_"),MNU_GRAMAJE_REQUERIDO_TIPOH,"")))</f>
        <v>100</v>
      </c>
      <c r="AX269" s="259">
        <f t="shared" si="235"/>
        <v>151</v>
      </c>
      <c r="AY269" s="259">
        <f t="shared" si="236"/>
        <v>2869</v>
      </c>
      <c r="AZ269" s="452">
        <f t="shared" si="237"/>
        <v>194</v>
      </c>
      <c r="BA269" s="452">
        <f t="shared" si="238"/>
        <v>9.4672000000000001</v>
      </c>
      <c r="BB269" s="452">
        <f t="shared" si="239"/>
        <v>0.16684310399999999</v>
      </c>
      <c r="BC269" s="452">
        <f t="shared" si="240"/>
        <v>204</v>
      </c>
      <c r="BD269" s="260">
        <f t="shared" si="241"/>
        <v>556586</v>
      </c>
      <c r="BE269" s="260">
        <f t="shared" si="242"/>
        <v>585276</v>
      </c>
      <c r="BF269" s="397">
        <f t="shared" si="243"/>
        <v>99428298</v>
      </c>
      <c r="BG269" s="397">
        <f t="shared" si="244"/>
        <v>104553468</v>
      </c>
    </row>
    <row r="270" spans="1:59" ht="15.75">
      <c r="A270" s="338">
        <v>20</v>
      </c>
      <c r="B270" s="338" t="str">
        <f t="shared" si="196"/>
        <v>FRUTA_20</v>
      </c>
      <c r="C270" s="338" t="str">
        <f t="shared" si="197"/>
        <v>43_20</v>
      </c>
      <c r="D270" s="338" t="s">
        <v>1</v>
      </c>
      <c r="E270" s="258">
        <v>43</v>
      </c>
      <c r="F270" s="328" t="s">
        <v>62</v>
      </c>
      <c r="G270" s="258" t="s">
        <v>9</v>
      </c>
      <c r="H270" s="431">
        <f t="shared" si="198"/>
        <v>24</v>
      </c>
      <c r="I270" s="431">
        <f t="array" ref="I270">MAX((IF(MNU_CODIGO_ALIMENTO_ENTREGA=CONCATENATE($E270,"_","P_"),MNU_GRAMAJE_REQUERIDO_TIPOA,"")))</f>
        <v>100</v>
      </c>
      <c r="J270" s="259">
        <f t="shared" si="199"/>
        <v>5679</v>
      </c>
      <c r="K270" s="259">
        <f t="shared" si="200"/>
        <v>136296</v>
      </c>
      <c r="L270" s="452">
        <f t="shared" si="201"/>
        <v>170</v>
      </c>
      <c r="M270" s="452">
        <f t="shared" si="202"/>
        <v>8.2959999999999994</v>
      </c>
      <c r="N270" s="452">
        <f t="shared" si="203"/>
        <v>0.14620272000000001</v>
      </c>
      <c r="O270" s="452">
        <f t="shared" si="204"/>
        <v>178</v>
      </c>
      <c r="P270" s="260">
        <f t="shared" si="205"/>
        <v>23170320</v>
      </c>
      <c r="Q270" s="260">
        <f t="shared" si="206"/>
        <v>24260688</v>
      </c>
      <c r="R270" s="432">
        <f t="shared" si="207"/>
        <v>17</v>
      </c>
      <c r="S270" s="432">
        <f t="array" ref="S270">MAX((IF(MNU_CODIGO_ALIMENTO_ENTREGA=CONCATENATE($E270,"_","P_"),MNU_GRAMAJE_REQUERIDO_TIPOB,"")))</f>
        <v>100</v>
      </c>
      <c r="T270" s="261">
        <f t="shared" si="208"/>
        <v>8921</v>
      </c>
      <c r="U270" s="261">
        <f t="shared" si="209"/>
        <v>151657</v>
      </c>
      <c r="V270" s="452">
        <f t="shared" si="210"/>
        <v>170</v>
      </c>
      <c r="W270" s="452">
        <f t="shared" si="211"/>
        <v>8.2959999999999994</v>
      </c>
      <c r="X270" s="452">
        <f t="shared" si="212"/>
        <v>0.14620272000000001</v>
      </c>
      <c r="Y270" s="452">
        <f t="shared" si="213"/>
        <v>178</v>
      </c>
      <c r="Z270" s="262">
        <f t="shared" si="214"/>
        <v>25781690</v>
      </c>
      <c r="AA270" s="262">
        <f t="shared" si="215"/>
        <v>26994946</v>
      </c>
      <c r="AB270" s="431">
        <f t="shared" si="216"/>
        <v>17</v>
      </c>
      <c r="AC270" s="431">
        <f t="array" ref="AC270">MAX((IF(MNU_CODIGO_ALIMENTO_ENTREGA=CONCATENATE($E270,"_","P_"),MNU_GRAMAJE_REQUERIDO_TIPOC,"")))</f>
        <v>100</v>
      </c>
      <c r="AD270" s="259">
        <f t="shared" si="217"/>
        <v>10882</v>
      </c>
      <c r="AE270" s="259">
        <f t="shared" si="218"/>
        <v>184994</v>
      </c>
      <c r="AF270" s="452">
        <f t="shared" si="219"/>
        <v>170</v>
      </c>
      <c r="AG270" s="452">
        <f t="shared" si="220"/>
        <v>8.2959999999999994</v>
      </c>
      <c r="AH270" s="452">
        <f t="shared" si="221"/>
        <v>0.14620272000000001</v>
      </c>
      <c r="AI270" s="452">
        <f t="shared" si="222"/>
        <v>178</v>
      </c>
      <c r="AJ270" s="260">
        <f t="shared" si="223"/>
        <v>31448980</v>
      </c>
      <c r="AK270" s="260">
        <f t="shared" si="224"/>
        <v>32928932</v>
      </c>
      <c r="AL270" s="432">
        <f t="shared" si="225"/>
        <v>17</v>
      </c>
      <c r="AM270" s="432">
        <f t="array" ref="AM270">MAX((IF(MNU_CODIGO_ALIMENTO_ENTREGA=CONCATENATE($E270,"_","P_"),MNU_GRAMAJE_REQUERIDO_TIPOM,"")))</f>
        <v>100</v>
      </c>
      <c r="AN270" s="261">
        <f t="shared" si="226"/>
        <v>146</v>
      </c>
      <c r="AO270" s="261">
        <f t="shared" si="227"/>
        <v>2482</v>
      </c>
      <c r="AP270" s="452">
        <f t="shared" si="228"/>
        <v>170</v>
      </c>
      <c r="AQ270" s="452">
        <f t="shared" si="229"/>
        <v>8.2959999999999994</v>
      </c>
      <c r="AR270" s="452">
        <f t="shared" si="230"/>
        <v>0.14620272000000001</v>
      </c>
      <c r="AS270" s="452">
        <f t="shared" si="231"/>
        <v>178</v>
      </c>
      <c r="AT270" s="262">
        <f t="shared" si="232"/>
        <v>421940</v>
      </c>
      <c r="AU270" s="262">
        <f t="shared" si="233"/>
        <v>441796</v>
      </c>
      <c r="AV270" s="431">
        <f t="shared" si="234"/>
        <v>17</v>
      </c>
      <c r="AW270" s="431">
        <f t="array" ref="AW270">MAX((IF(MNU_CODIGO_ALIMENTO_ENTREGA=CONCATENATE($E270,"_","P_"),MNU_GRAMAJE_REQUERIDO_TIPOH,"")))</f>
        <v>100</v>
      </c>
      <c r="AX270" s="259">
        <f t="shared" si="235"/>
        <v>151</v>
      </c>
      <c r="AY270" s="259">
        <f t="shared" si="236"/>
        <v>2567</v>
      </c>
      <c r="AZ270" s="452">
        <f t="shared" si="237"/>
        <v>170</v>
      </c>
      <c r="BA270" s="452">
        <f t="shared" si="238"/>
        <v>8.2959999999999994</v>
      </c>
      <c r="BB270" s="452">
        <f t="shared" si="239"/>
        <v>0.14620272000000001</v>
      </c>
      <c r="BC270" s="452">
        <f t="shared" si="240"/>
        <v>178</v>
      </c>
      <c r="BD270" s="260">
        <f t="shared" si="241"/>
        <v>436390</v>
      </c>
      <c r="BE270" s="260">
        <f t="shared" si="242"/>
        <v>456926</v>
      </c>
      <c r="BF270" s="397">
        <f t="shared" si="243"/>
        <v>81259320</v>
      </c>
      <c r="BG270" s="397">
        <f t="shared" si="244"/>
        <v>85083288</v>
      </c>
    </row>
    <row r="271" spans="1:59" ht="15.75">
      <c r="A271" s="338">
        <v>20</v>
      </c>
      <c r="B271" s="338" t="str">
        <f t="shared" si="196"/>
        <v>FRUTA_20</v>
      </c>
      <c r="C271" s="338" t="str">
        <f t="shared" si="197"/>
        <v>46_20</v>
      </c>
      <c r="D271" s="338" t="s">
        <v>1</v>
      </c>
      <c r="E271" s="258">
        <v>46</v>
      </c>
      <c r="F271" s="328" t="s">
        <v>64</v>
      </c>
      <c r="G271" s="258" t="s">
        <v>9</v>
      </c>
      <c r="H271" s="431">
        <f t="shared" si="198"/>
        <v>30</v>
      </c>
      <c r="I271" s="431">
        <f t="array" ref="I271">MAX((IF(MNU_CODIGO_ALIMENTO_ENTREGA=CONCATENATE($E271,"_","P_"),MNU_GRAMAJE_REQUERIDO_TIPOA,"")))</f>
        <v>100</v>
      </c>
      <c r="J271" s="259">
        <f t="shared" si="199"/>
        <v>5679</v>
      </c>
      <c r="K271" s="259">
        <f t="shared" si="200"/>
        <v>170370</v>
      </c>
      <c r="L271" s="452">
        <f t="shared" si="201"/>
        <v>398</v>
      </c>
      <c r="M271" s="452">
        <f t="shared" si="202"/>
        <v>19.4224</v>
      </c>
      <c r="N271" s="452">
        <f t="shared" si="203"/>
        <v>0.34228636800000001</v>
      </c>
      <c r="O271" s="452">
        <f t="shared" si="204"/>
        <v>418</v>
      </c>
      <c r="P271" s="260">
        <f t="shared" si="205"/>
        <v>67807260</v>
      </c>
      <c r="Q271" s="260">
        <f t="shared" si="206"/>
        <v>71214660</v>
      </c>
      <c r="R271" s="432">
        <f t="shared" si="207"/>
        <v>21</v>
      </c>
      <c r="S271" s="432">
        <f t="array" ref="S271">MAX((IF(MNU_CODIGO_ALIMENTO_ENTREGA=CONCATENATE($E271,"_","P_"),MNU_GRAMAJE_REQUERIDO_TIPOB,"")))</f>
        <v>100</v>
      </c>
      <c r="T271" s="261">
        <f t="shared" si="208"/>
        <v>8921</v>
      </c>
      <c r="U271" s="261">
        <f t="shared" si="209"/>
        <v>187341</v>
      </c>
      <c r="V271" s="452">
        <f t="shared" si="210"/>
        <v>398</v>
      </c>
      <c r="W271" s="452">
        <f t="shared" si="211"/>
        <v>19.4224</v>
      </c>
      <c r="X271" s="452">
        <f t="shared" si="212"/>
        <v>0.34228636800000001</v>
      </c>
      <c r="Y271" s="452">
        <f t="shared" si="213"/>
        <v>418</v>
      </c>
      <c r="Z271" s="262">
        <f t="shared" si="214"/>
        <v>74561718</v>
      </c>
      <c r="AA271" s="262">
        <f t="shared" si="215"/>
        <v>78308538</v>
      </c>
      <c r="AB271" s="431">
        <f t="shared" si="216"/>
        <v>21</v>
      </c>
      <c r="AC271" s="431">
        <f t="array" ref="AC271">MAX((IF(MNU_CODIGO_ALIMENTO_ENTREGA=CONCATENATE($E271,"_","P_"),MNU_GRAMAJE_REQUERIDO_TIPOC,"")))</f>
        <v>100</v>
      </c>
      <c r="AD271" s="259">
        <f t="shared" si="217"/>
        <v>10882</v>
      </c>
      <c r="AE271" s="259">
        <f t="shared" si="218"/>
        <v>228522</v>
      </c>
      <c r="AF271" s="452">
        <f t="shared" si="219"/>
        <v>398</v>
      </c>
      <c r="AG271" s="452">
        <f t="shared" si="220"/>
        <v>19.4224</v>
      </c>
      <c r="AH271" s="452">
        <f t="shared" si="221"/>
        <v>0.34228636800000001</v>
      </c>
      <c r="AI271" s="452">
        <f t="shared" si="222"/>
        <v>418</v>
      </c>
      <c r="AJ271" s="260">
        <f t="shared" si="223"/>
        <v>90951756</v>
      </c>
      <c r="AK271" s="260">
        <f t="shared" si="224"/>
        <v>95522196</v>
      </c>
      <c r="AL271" s="432">
        <f t="shared" si="225"/>
        <v>21</v>
      </c>
      <c r="AM271" s="432">
        <f t="array" ref="AM271">MAX((IF(MNU_CODIGO_ALIMENTO_ENTREGA=CONCATENATE($E271,"_","P_"),MNU_GRAMAJE_REQUERIDO_TIPOM,"")))</f>
        <v>100</v>
      </c>
      <c r="AN271" s="261">
        <f t="shared" si="226"/>
        <v>146</v>
      </c>
      <c r="AO271" s="261">
        <f t="shared" si="227"/>
        <v>3066</v>
      </c>
      <c r="AP271" s="452">
        <f t="shared" si="228"/>
        <v>398</v>
      </c>
      <c r="AQ271" s="452">
        <f t="shared" si="229"/>
        <v>19.4224</v>
      </c>
      <c r="AR271" s="452">
        <f t="shared" si="230"/>
        <v>0.34228636800000001</v>
      </c>
      <c r="AS271" s="452">
        <f t="shared" si="231"/>
        <v>418</v>
      </c>
      <c r="AT271" s="262">
        <f t="shared" si="232"/>
        <v>1220268</v>
      </c>
      <c r="AU271" s="262">
        <f t="shared" si="233"/>
        <v>1281588</v>
      </c>
      <c r="AV271" s="431">
        <f t="shared" si="234"/>
        <v>21</v>
      </c>
      <c r="AW271" s="431">
        <f t="array" ref="AW271">MAX((IF(MNU_CODIGO_ALIMENTO_ENTREGA=CONCATENATE($E271,"_","P_"),MNU_GRAMAJE_REQUERIDO_TIPOH,"")))</f>
        <v>100</v>
      </c>
      <c r="AX271" s="259">
        <f t="shared" si="235"/>
        <v>151</v>
      </c>
      <c r="AY271" s="259">
        <f t="shared" si="236"/>
        <v>3171</v>
      </c>
      <c r="AZ271" s="452">
        <f t="shared" si="237"/>
        <v>398</v>
      </c>
      <c r="BA271" s="452">
        <f t="shared" si="238"/>
        <v>19.4224</v>
      </c>
      <c r="BB271" s="452">
        <f t="shared" si="239"/>
        <v>0.34228636800000001</v>
      </c>
      <c r="BC271" s="452">
        <f t="shared" si="240"/>
        <v>418</v>
      </c>
      <c r="BD271" s="260">
        <f t="shared" si="241"/>
        <v>1262058</v>
      </c>
      <c r="BE271" s="260">
        <f t="shared" si="242"/>
        <v>1325478</v>
      </c>
      <c r="BF271" s="397">
        <f t="shared" si="243"/>
        <v>235803060</v>
      </c>
      <c r="BG271" s="397">
        <f t="shared" si="244"/>
        <v>247652460</v>
      </c>
    </row>
    <row r="272" spans="1:59" ht="15.75">
      <c r="A272" s="338">
        <v>20</v>
      </c>
      <c r="B272" s="338" t="str">
        <f t="shared" si="196"/>
        <v>FRUTA_20</v>
      </c>
      <c r="C272" s="338" t="str">
        <f t="shared" si="197"/>
        <v>58_20</v>
      </c>
      <c r="D272" s="338" t="s">
        <v>1</v>
      </c>
      <c r="E272" s="258">
        <v>58</v>
      </c>
      <c r="F272" s="328" t="s">
        <v>67</v>
      </c>
      <c r="G272" s="258" t="s">
        <v>9</v>
      </c>
      <c r="H272" s="431">
        <f t="shared" si="198"/>
        <v>24</v>
      </c>
      <c r="I272" s="431">
        <f t="array" ref="I272">MAX((IF(MNU_CODIGO_ALIMENTO_ENTREGA=CONCATENATE($E272,"_","P_"),MNU_GRAMAJE_REQUERIDO_TIPOA,"")))</f>
        <v>100</v>
      </c>
      <c r="J272" s="259">
        <f t="shared" si="199"/>
        <v>5679</v>
      </c>
      <c r="K272" s="259">
        <f t="shared" si="200"/>
        <v>136296</v>
      </c>
      <c r="L272" s="452">
        <f t="shared" si="201"/>
        <v>154</v>
      </c>
      <c r="M272" s="452">
        <f t="shared" si="202"/>
        <v>7.515200000000001</v>
      </c>
      <c r="N272" s="452">
        <f t="shared" si="203"/>
        <v>0.13244246400000001</v>
      </c>
      <c r="O272" s="452">
        <f t="shared" si="204"/>
        <v>162</v>
      </c>
      <c r="P272" s="260">
        <f t="shared" si="205"/>
        <v>20989584</v>
      </c>
      <c r="Q272" s="260">
        <f t="shared" si="206"/>
        <v>22079952</v>
      </c>
      <c r="R272" s="432">
        <f t="shared" si="207"/>
        <v>23</v>
      </c>
      <c r="S272" s="432">
        <f t="array" ref="S272">MAX((IF(MNU_CODIGO_ALIMENTO_ENTREGA=CONCATENATE($E272,"_","P_"),MNU_GRAMAJE_REQUERIDO_TIPOB,"")))</f>
        <v>100</v>
      </c>
      <c r="T272" s="261">
        <f t="shared" si="208"/>
        <v>8921</v>
      </c>
      <c r="U272" s="261">
        <f t="shared" si="209"/>
        <v>205183</v>
      </c>
      <c r="V272" s="452">
        <f t="shared" si="210"/>
        <v>154</v>
      </c>
      <c r="W272" s="452">
        <f t="shared" si="211"/>
        <v>7.515200000000001</v>
      </c>
      <c r="X272" s="452">
        <f t="shared" si="212"/>
        <v>0.13244246400000001</v>
      </c>
      <c r="Y272" s="452">
        <f t="shared" si="213"/>
        <v>162</v>
      </c>
      <c r="Z272" s="262">
        <f t="shared" si="214"/>
        <v>31598182</v>
      </c>
      <c r="AA272" s="262">
        <f t="shared" si="215"/>
        <v>33239646</v>
      </c>
      <c r="AB272" s="431">
        <f t="shared" si="216"/>
        <v>23</v>
      </c>
      <c r="AC272" s="431">
        <f t="array" ref="AC272">MAX((IF(MNU_CODIGO_ALIMENTO_ENTREGA=CONCATENATE($E272,"_","P_"),MNU_GRAMAJE_REQUERIDO_TIPOC,"")))</f>
        <v>100</v>
      </c>
      <c r="AD272" s="259">
        <f t="shared" si="217"/>
        <v>10882</v>
      </c>
      <c r="AE272" s="259">
        <f t="shared" si="218"/>
        <v>250286</v>
      </c>
      <c r="AF272" s="452">
        <f t="shared" si="219"/>
        <v>154</v>
      </c>
      <c r="AG272" s="452">
        <f t="shared" si="220"/>
        <v>7.515200000000001</v>
      </c>
      <c r="AH272" s="452">
        <f t="shared" si="221"/>
        <v>0.13244246400000001</v>
      </c>
      <c r="AI272" s="452">
        <f t="shared" si="222"/>
        <v>162</v>
      </c>
      <c r="AJ272" s="260">
        <f t="shared" si="223"/>
        <v>38544044</v>
      </c>
      <c r="AK272" s="260">
        <f t="shared" si="224"/>
        <v>40546332</v>
      </c>
      <c r="AL272" s="432">
        <f t="shared" si="225"/>
        <v>23</v>
      </c>
      <c r="AM272" s="432">
        <f t="array" ref="AM272">MAX((IF(MNU_CODIGO_ALIMENTO_ENTREGA=CONCATENATE($E272,"_","P_"),MNU_GRAMAJE_REQUERIDO_TIPOM,"")))</f>
        <v>100</v>
      </c>
      <c r="AN272" s="261">
        <f t="shared" si="226"/>
        <v>146</v>
      </c>
      <c r="AO272" s="261">
        <f t="shared" si="227"/>
        <v>3358</v>
      </c>
      <c r="AP272" s="452">
        <f t="shared" si="228"/>
        <v>154</v>
      </c>
      <c r="AQ272" s="452">
        <f t="shared" si="229"/>
        <v>7.515200000000001</v>
      </c>
      <c r="AR272" s="452">
        <f t="shared" si="230"/>
        <v>0.13244246400000001</v>
      </c>
      <c r="AS272" s="452">
        <f t="shared" si="231"/>
        <v>162</v>
      </c>
      <c r="AT272" s="262">
        <f t="shared" si="232"/>
        <v>517132</v>
      </c>
      <c r="AU272" s="262">
        <f t="shared" si="233"/>
        <v>543996</v>
      </c>
      <c r="AV272" s="431">
        <f t="shared" si="234"/>
        <v>23</v>
      </c>
      <c r="AW272" s="431">
        <f t="array" ref="AW272">MAX((IF(MNU_CODIGO_ALIMENTO_ENTREGA=CONCATENATE($E272,"_","P_"),MNU_GRAMAJE_REQUERIDO_TIPOH,"")))</f>
        <v>100</v>
      </c>
      <c r="AX272" s="259">
        <f t="shared" si="235"/>
        <v>151</v>
      </c>
      <c r="AY272" s="259">
        <f t="shared" si="236"/>
        <v>3473</v>
      </c>
      <c r="AZ272" s="452">
        <f t="shared" si="237"/>
        <v>154</v>
      </c>
      <c r="BA272" s="452">
        <f t="shared" si="238"/>
        <v>7.515200000000001</v>
      </c>
      <c r="BB272" s="452">
        <f t="shared" si="239"/>
        <v>0.13244246400000001</v>
      </c>
      <c r="BC272" s="452">
        <f t="shared" si="240"/>
        <v>162</v>
      </c>
      <c r="BD272" s="260">
        <f t="shared" si="241"/>
        <v>534842</v>
      </c>
      <c r="BE272" s="260">
        <f t="shared" si="242"/>
        <v>562626</v>
      </c>
      <c r="BF272" s="397">
        <f t="shared" si="243"/>
        <v>92183784</v>
      </c>
      <c r="BG272" s="397">
        <f t="shared" si="244"/>
        <v>96972552</v>
      </c>
    </row>
    <row r="273" spans="1:59" ht="15.75">
      <c r="A273" s="338">
        <v>20</v>
      </c>
      <c r="B273" s="338" t="str">
        <f t="shared" si="196"/>
        <v>FRUTA_20</v>
      </c>
      <c r="C273" s="338" t="str">
        <f t="shared" si="197"/>
        <v>59_20</v>
      </c>
      <c r="D273" s="338" t="s">
        <v>1</v>
      </c>
      <c r="E273" s="258">
        <v>59</v>
      </c>
      <c r="F273" s="328" t="s">
        <v>99</v>
      </c>
      <c r="G273" s="258" t="s">
        <v>9</v>
      </c>
      <c r="H273" s="431">
        <f t="shared" si="198"/>
        <v>0</v>
      </c>
      <c r="I273" s="431">
        <f t="array" ref="I273">MAX((IF(MNU_CODIGO_ALIMENTO_ENTREGA=CONCATENATE($E273,"_","P_"),MNU_GRAMAJE_REQUERIDO_TIPOA,"")))</f>
        <v>0</v>
      </c>
      <c r="J273" s="259">
        <f t="shared" si="199"/>
        <v>5679</v>
      </c>
      <c r="K273" s="259">
        <f t="shared" si="200"/>
        <v>0</v>
      </c>
      <c r="L273" s="452">
        <f t="shared" si="201"/>
        <v>0</v>
      </c>
      <c r="M273" s="452">
        <f t="shared" si="202"/>
        <v>0</v>
      </c>
      <c r="N273" s="452">
        <f t="shared" si="203"/>
        <v>0</v>
      </c>
      <c r="O273" s="452">
        <f t="shared" si="204"/>
        <v>0</v>
      </c>
      <c r="P273" s="260">
        <f t="shared" si="205"/>
        <v>0</v>
      </c>
      <c r="Q273" s="260">
        <f t="shared" si="206"/>
        <v>0</v>
      </c>
      <c r="R273" s="432">
        <f t="shared" si="207"/>
        <v>8</v>
      </c>
      <c r="S273" s="432">
        <f t="array" ref="S273">MAX((IF(MNU_CODIGO_ALIMENTO_ENTREGA=CONCATENATE($E273,"_","P_"),MNU_GRAMAJE_REQUERIDO_TIPOB,"")))</f>
        <v>100</v>
      </c>
      <c r="T273" s="261">
        <f t="shared" si="208"/>
        <v>8921</v>
      </c>
      <c r="U273" s="261">
        <f t="shared" si="209"/>
        <v>71368</v>
      </c>
      <c r="V273" s="452">
        <f t="shared" si="210"/>
        <v>286</v>
      </c>
      <c r="W273" s="452">
        <f t="shared" si="211"/>
        <v>13.956800000000001</v>
      </c>
      <c r="X273" s="452">
        <f t="shared" si="212"/>
        <v>0.24596457599999999</v>
      </c>
      <c r="Y273" s="452">
        <f t="shared" si="213"/>
        <v>300</v>
      </c>
      <c r="Z273" s="262">
        <f t="shared" si="214"/>
        <v>20411248</v>
      </c>
      <c r="AA273" s="262">
        <f t="shared" si="215"/>
        <v>21410400</v>
      </c>
      <c r="AB273" s="431">
        <f t="shared" si="216"/>
        <v>8</v>
      </c>
      <c r="AC273" s="431">
        <f t="array" ref="AC273">MAX((IF(MNU_CODIGO_ALIMENTO_ENTREGA=CONCATENATE($E273,"_","P_"),MNU_GRAMAJE_REQUERIDO_TIPOC,"")))</f>
        <v>100</v>
      </c>
      <c r="AD273" s="259">
        <f t="shared" si="217"/>
        <v>10882</v>
      </c>
      <c r="AE273" s="259">
        <f t="shared" si="218"/>
        <v>87056</v>
      </c>
      <c r="AF273" s="452">
        <f t="shared" si="219"/>
        <v>286</v>
      </c>
      <c r="AG273" s="452">
        <f t="shared" si="220"/>
        <v>13.956800000000001</v>
      </c>
      <c r="AH273" s="452">
        <f t="shared" si="221"/>
        <v>0.24596457599999999</v>
      </c>
      <c r="AI273" s="452">
        <f t="shared" si="222"/>
        <v>300</v>
      </c>
      <c r="AJ273" s="260">
        <f t="shared" si="223"/>
        <v>24898016</v>
      </c>
      <c r="AK273" s="260">
        <f t="shared" si="224"/>
        <v>26116800</v>
      </c>
      <c r="AL273" s="432">
        <f t="shared" si="225"/>
        <v>8</v>
      </c>
      <c r="AM273" s="432">
        <f t="array" ref="AM273">MAX((IF(MNU_CODIGO_ALIMENTO_ENTREGA=CONCATENATE($E273,"_","P_"),MNU_GRAMAJE_REQUERIDO_TIPOM,"")))</f>
        <v>100</v>
      </c>
      <c r="AN273" s="261">
        <f t="shared" si="226"/>
        <v>146</v>
      </c>
      <c r="AO273" s="261">
        <f t="shared" si="227"/>
        <v>1168</v>
      </c>
      <c r="AP273" s="452">
        <f t="shared" si="228"/>
        <v>286</v>
      </c>
      <c r="AQ273" s="452">
        <f t="shared" si="229"/>
        <v>13.956800000000001</v>
      </c>
      <c r="AR273" s="452">
        <f t="shared" si="230"/>
        <v>0.24596457599999999</v>
      </c>
      <c r="AS273" s="452">
        <f t="shared" si="231"/>
        <v>300</v>
      </c>
      <c r="AT273" s="262">
        <f t="shared" si="232"/>
        <v>334048</v>
      </c>
      <c r="AU273" s="262">
        <f t="shared" si="233"/>
        <v>350400</v>
      </c>
      <c r="AV273" s="431">
        <f t="shared" si="234"/>
        <v>8</v>
      </c>
      <c r="AW273" s="431">
        <f t="array" ref="AW273">MAX((IF(MNU_CODIGO_ALIMENTO_ENTREGA=CONCATENATE($E273,"_","P_"),MNU_GRAMAJE_REQUERIDO_TIPOH,"")))</f>
        <v>100</v>
      </c>
      <c r="AX273" s="259">
        <f t="shared" si="235"/>
        <v>151</v>
      </c>
      <c r="AY273" s="259">
        <f t="shared" si="236"/>
        <v>1208</v>
      </c>
      <c r="AZ273" s="452">
        <f t="shared" si="237"/>
        <v>286</v>
      </c>
      <c r="BA273" s="452">
        <f t="shared" si="238"/>
        <v>13.956800000000001</v>
      </c>
      <c r="BB273" s="452">
        <f t="shared" si="239"/>
        <v>0.24596457599999999</v>
      </c>
      <c r="BC273" s="452">
        <f t="shared" si="240"/>
        <v>300</v>
      </c>
      <c r="BD273" s="260">
        <f t="shared" si="241"/>
        <v>345488</v>
      </c>
      <c r="BE273" s="260">
        <f t="shared" si="242"/>
        <v>362400</v>
      </c>
      <c r="BF273" s="397">
        <f t="shared" si="243"/>
        <v>45988800</v>
      </c>
      <c r="BG273" s="397">
        <f t="shared" si="244"/>
        <v>48240000</v>
      </c>
    </row>
    <row r="274" spans="1:59" ht="15.75">
      <c r="A274" s="338">
        <v>20</v>
      </c>
      <c r="B274" s="338" t="str">
        <f t="shared" si="196"/>
        <v>FRUTA_20</v>
      </c>
      <c r="C274" s="338" t="str">
        <f t="shared" si="197"/>
        <v>69_20</v>
      </c>
      <c r="D274" s="338" t="s">
        <v>1</v>
      </c>
      <c r="E274" s="258">
        <v>69</v>
      </c>
      <c r="F274" s="328" t="s">
        <v>70</v>
      </c>
      <c r="G274" s="258" t="s">
        <v>9</v>
      </c>
      <c r="H274" s="431">
        <f t="shared" si="198"/>
        <v>30</v>
      </c>
      <c r="I274" s="431">
        <f t="array" ref="I274">MAX((IF(MNU_CODIGO_ALIMENTO_ENTREGA=CONCATENATE($E274,"_","P_"),MNU_GRAMAJE_REQUERIDO_TIPOA,"")))</f>
        <v>100</v>
      </c>
      <c r="J274" s="259">
        <f t="shared" si="199"/>
        <v>5679</v>
      </c>
      <c r="K274" s="259">
        <f t="shared" si="200"/>
        <v>170370</v>
      </c>
      <c r="L274" s="452">
        <f t="shared" si="201"/>
        <v>305</v>
      </c>
      <c r="M274" s="452">
        <f t="shared" si="202"/>
        <v>14.884</v>
      </c>
      <c r="N274" s="452">
        <f t="shared" si="203"/>
        <v>0.26230488000000002</v>
      </c>
      <c r="O274" s="452">
        <f t="shared" si="204"/>
        <v>320</v>
      </c>
      <c r="P274" s="260">
        <f t="shared" si="205"/>
        <v>51962850</v>
      </c>
      <c r="Q274" s="260">
        <f t="shared" si="206"/>
        <v>54518400</v>
      </c>
      <c r="R274" s="432">
        <f t="shared" si="207"/>
        <v>16</v>
      </c>
      <c r="S274" s="432">
        <f t="array" ref="S274">MAX((IF(MNU_CODIGO_ALIMENTO_ENTREGA=CONCATENATE($E274,"_","P_"),MNU_GRAMAJE_REQUERIDO_TIPOB,"")))</f>
        <v>100</v>
      </c>
      <c r="T274" s="261">
        <f t="shared" si="208"/>
        <v>8921</v>
      </c>
      <c r="U274" s="261">
        <f t="shared" si="209"/>
        <v>142736</v>
      </c>
      <c r="V274" s="452">
        <f t="shared" si="210"/>
        <v>305</v>
      </c>
      <c r="W274" s="452">
        <f t="shared" si="211"/>
        <v>14.884</v>
      </c>
      <c r="X274" s="452">
        <f t="shared" si="212"/>
        <v>0.26230488000000002</v>
      </c>
      <c r="Y274" s="452">
        <f t="shared" si="213"/>
        <v>320</v>
      </c>
      <c r="Z274" s="262">
        <f t="shared" si="214"/>
        <v>43534480</v>
      </c>
      <c r="AA274" s="262">
        <f t="shared" si="215"/>
        <v>45675520</v>
      </c>
      <c r="AB274" s="431">
        <f t="shared" si="216"/>
        <v>16</v>
      </c>
      <c r="AC274" s="431">
        <f t="array" ref="AC274">MAX((IF(MNU_CODIGO_ALIMENTO_ENTREGA=CONCATENATE($E274,"_","P_"),MNU_GRAMAJE_REQUERIDO_TIPOC,"")))</f>
        <v>100</v>
      </c>
      <c r="AD274" s="259">
        <f t="shared" si="217"/>
        <v>10882</v>
      </c>
      <c r="AE274" s="259">
        <f t="shared" si="218"/>
        <v>174112</v>
      </c>
      <c r="AF274" s="452">
        <f t="shared" si="219"/>
        <v>305</v>
      </c>
      <c r="AG274" s="452">
        <f t="shared" si="220"/>
        <v>14.884</v>
      </c>
      <c r="AH274" s="452">
        <f t="shared" si="221"/>
        <v>0.26230488000000002</v>
      </c>
      <c r="AI274" s="452">
        <f t="shared" si="222"/>
        <v>320</v>
      </c>
      <c r="AJ274" s="260">
        <f t="shared" si="223"/>
        <v>53104160</v>
      </c>
      <c r="AK274" s="260">
        <f t="shared" si="224"/>
        <v>55715840</v>
      </c>
      <c r="AL274" s="432">
        <f t="shared" si="225"/>
        <v>16</v>
      </c>
      <c r="AM274" s="432">
        <f t="array" ref="AM274">MAX((IF(MNU_CODIGO_ALIMENTO_ENTREGA=CONCATENATE($E274,"_","P_"),MNU_GRAMAJE_REQUERIDO_TIPOM,"")))</f>
        <v>100</v>
      </c>
      <c r="AN274" s="261">
        <f t="shared" si="226"/>
        <v>146</v>
      </c>
      <c r="AO274" s="261">
        <f t="shared" si="227"/>
        <v>2336</v>
      </c>
      <c r="AP274" s="452">
        <f t="shared" si="228"/>
        <v>305</v>
      </c>
      <c r="AQ274" s="452">
        <f t="shared" si="229"/>
        <v>14.884</v>
      </c>
      <c r="AR274" s="452">
        <f t="shared" si="230"/>
        <v>0.26230488000000002</v>
      </c>
      <c r="AS274" s="452">
        <f t="shared" si="231"/>
        <v>320</v>
      </c>
      <c r="AT274" s="262">
        <f t="shared" si="232"/>
        <v>712480</v>
      </c>
      <c r="AU274" s="262">
        <f t="shared" si="233"/>
        <v>747520</v>
      </c>
      <c r="AV274" s="431">
        <f t="shared" si="234"/>
        <v>16</v>
      </c>
      <c r="AW274" s="431">
        <f t="array" ref="AW274">MAX((IF(MNU_CODIGO_ALIMENTO_ENTREGA=CONCATENATE($E274,"_","P_"),MNU_GRAMAJE_REQUERIDO_TIPOH,"")))</f>
        <v>100</v>
      </c>
      <c r="AX274" s="259">
        <f t="shared" si="235"/>
        <v>151</v>
      </c>
      <c r="AY274" s="259">
        <f t="shared" si="236"/>
        <v>2416</v>
      </c>
      <c r="AZ274" s="452">
        <f t="shared" si="237"/>
        <v>305</v>
      </c>
      <c r="BA274" s="452">
        <f t="shared" si="238"/>
        <v>14.884</v>
      </c>
      <c r="BB274" s="452">
        <f t="shared" si="239"/>
        <v>0.26230488000000002</v>
      </c>
      <c r="BC274" s="452">
        <f t="shared" si="240"/>
        <v>320</v>
      </c>
      <c r="BD274" s="260">
        <f t="shared" si="241"/>
        <v>736880</v>
      </c>
      <c r="BE274" s="260">
        <f t="shared" si="242"/>
        <v>773120</v>
      </c>
      <c r="BF274" s="397">
        <f t="shared" si="243"/>
        <v>150050850</v>
      </c>
      <c r="BG274" s="397">
        <f t="shared" si="244"/>
        <v>157430400</v>
      </c>
    </row>
    <row r="275" spans="1:59" ht="15.75">
      <c r="A275" s="338">
        <v>20</v>
      </c>
      <c r="B275" s="338" t="str">
        <f t="shared" si="196"/>
        <v>FRUTA_20</v>
      </c>
      <c r="C275" s="338" t="str">
        <f t="shared" si="197"/>
        <v>70_20</v>
      </c>
      <c r="D275" s="338" t="s">
        <v>1</v>
      </c>
      <c r="E275" s="258">
        <v>70</v>
      </c>
      <c r="F275" s="328" t="s">
        <v>71</v>
      </c>
      <c r="G275" s="258" t="s">
        <v>9</v>
      </c>
      <c r="H275" s="431">
        <f t="shared" si="198"/>
        <v>0</v>
      </c>
      <c r="I275" s="431">
        <f t="array" ref="I275">MAX((IF(MNU_CODIGO_ALIMENTO_ENTREGA=CONCATENATE($E275,"_","P_"),MNU_GRAMAJE_REQUERIDO_TIPOA,"")))</f>
        <v>0</v>
      </c>
      <c r="J275" s="259">
        <f t="shared" si="199"/>
        <v>5679</v>
      </c>
      <c r="K275" s="259">
        <f t="shared" si="200"/>
        <v>0</v>
      </c>
      <c r="L275" s="452">
        <f t="shared" si="201"/>
        <v>0</v>
      </c>
      <c r="M275" s="452">
        <f t="shared" si="202"/>
        <v>0</v>
      </c>
      <c r="N275" s="452">
        <f t="shared" si="203"/>
        <v>0</v>
      </c>
      <c r="O275" s="452">
        <f t="shared" si="204"/>
        <v>0</v>
      </c>
      <c r="P275" s="260">
        <f t="shared" si="205"/>
        <v>0</v>
      </c>
      <c r="Q275" s="260">
        <f t="shared" si="206"/>
        <v>0</v>
      </c>
      <c r="R275" s="432">
        <f t="shared" si="207"/>
        <v>10</v>
      </c>
      <c r="S275" s="432">
        <f t="array" ref="S275">MAX((IF(MNU_CODIGO_ALIMENTO_ENTREGA=CONCATENATE($E275,"_","P_"),MNU_GRAMAJE_REQUERIDO_TIPOB,"")))</f>
        <v>100</v>
      </c>
      <c r="T275" s="261">
        <f t="shared" si="208"/>
        <v>8921</v>
      </c>
      <c r="U275" s="261">
        <f t="shared" si="209"/>
        <v>89210</v>
      </c>
      <c r="V275" s="452">
        <f t="shared" si="210"/>
        <v>434</v>
      </c>
      <c r="W275" s="452">
        <f t="shared" si="211"/>
        <v>21.179200000000002</v>
      </c>
      <c r="X275" s="452">
        <f t="shared" si="212"/>
        <v>0.37324694399999997</v>
      </c>
      <c r="Y275" s="452">
        <f t="shared" si="213"/>
        <v>456</v>
      </c>
      <c r="Z275" s="262">
        <f t="shared" si="214"/>
        <v>38717140</v>
      </c>
      <c r="AA275" s="262">
        <f t="shared" si="215"/>
        <v>40679760</v>
      </c>
      <c r="AB275" s="431">
        <f t="shared" si="216"/>
        <v>10</v>
      </c>
      <c r="AC275" s="431">
        <f t="array" ref="AC275">MAX((IF(MNU_CODIGO_ALIMENTO_ENTREGA=CONCATENATE($E275,"_","P_"),MNU_GRAMAJE_REQUERIDO_TIPOC,"")))</f>
        <v>100</v>
      </c>
      <c r="AD275" s="259">
        <f t="shared" si="217"/>
        <v>10882</v>
      </c>
      <c r="AE275" s="259">
        <f t="shared" si="218"/>
        <v>108820</v>
      </c>
      <c r="AF275" s="452">
        <f t="shared" si="219"/>
        <v>434</v>
      </c>
      <c r="AG275" s="452">
        <f t="shared" si="220"/>
        <v>21.179200000000002</v>
      </c>
      <c r="AH275" s="452">
        <f t="shared" si="221"/>
        <v>0.37324694399999997</v>
      </c>
      <c r="AI275" s="452">
        <f t="shared" si="222"/>
        <v>456</v>
      </c>
      <c r="AJ275" s="260">
        <f t="shared" si="223"/>
        <v>47227880</v>
      </c>
      <c r="AK275" s="260">
        <f t="shared" si="224"/>
        <v>49621920</v>
      </c>
      <c r="AL275" s="432">
        <f t="shared" si="225"/>
        <v>10</v>
      </c>
      <c r="AM275" s="432">
        <f t="array" ref="AM275">MAX((IF(MNU_CODIGO_ALIMENTO_ENTREGA=CONCATENATE($E275,"_","P_"),MNU_GRAMAJE_REQUERIDO_TIPOM,"")))</f>
        <v>100</v>
      </c>
      <c r="AN275" s="261">
        <f t="shared" si="226"/>
        <v>146</v>
      </c>
      <c r="AO275" s="261">
        <f t="shared" si="227"/>
        <v>1460</v>
      </c>
      <c r="AP275" s="452">
        <f t="shared" si="228"/>
        <v>434</v>
      </c>
      <c r="AQ275" s="452">
        <f t="shared" si="229"/>
        <v>21.179200000000002</v>
      </c>
      <c r="AR275" s="452">
        <f t="shared" si="230"/>
        <v>0.37324694399999997</v>
      </c>
      <c r="AS275" s="452">
        <f t="shared" si="231"/>
        <v>456</v>
      </c>
      <c r="AT275" s="262">
        <f t="shared" si="232"/>
        <v>633640</v>
      </c>
      <c r="AU275" s="262">
        <f t="shared" si="233"/>
        <v>665760</v>
      </c>
      <c r="AV275" s="431">
        <f t="shared" si="234"/>
        <v>10</v>
      </c>
      <c r="AW275" s="431">
        <f t="array" ref="AW275">MAX((IF(MNU_CODIGO_ALIMENTO_ENTREGA=CONCATENATE($E275,"_","P_"),MNU_GRAMAJE_REQUERIDO_TIPOH,"")))</f>
        <v>100</v>
      </c>
      <c r="AX275" s="259">
        <f t="shared" si="235"/>
        <v>151</v>
      </c>
      <c r="AY275" s="259">
        <f t="shared" si="236"/>
        <v>1510</v>
      </c>
      <c r="AZ275" s="452">
        <f t="shared" si="237"/>
        <v>434</v>
      </c>
      <c r="BA275" s="452">
        <f t="shared" si="238"/>
        <v>21.179200000000002</v>
      </c>
      <c r="BB275" s="452">
        <f t="shared" si="239"/>
        <v>0.37324694399999997</v>
      </c>
      <c r="BC275" s="452">
        <f t="shared" si="240"/>
        <v>456</v>
      </c>
      <c r="BD275" s="260">
        <f t="shared" si="241"/>
        <v>655340</v>
      </c>
      <c r="BE275" s="260">
        <f t="shared" si="242"/>
        <v>688560</v>
      </c>
      <c r="BF275" s="397">
        <f t="shared" si="243"/>
        <v>87234000</v>
      </c>
      <c r="BG275" s="397">
        <f t="shared" si="244"/>
        <v>91656000</v>
      </c>
    </row>
    <row r="276" spans="1:59" ht="15.75">
      <c r="A276" s="338">
        <v>21</v>
      </c>
      <c r="B276" s="338" t="str">
        <f t="shared" si="196"/>
        <v>FRUTA_21</v>
      </c>
      <c r="C276" s="338" t="str">
        <f t="shared" si="197"/>
        <v>7_21</v>
      </c>
      <c r="D276" s="338" t="s">
        <v>1</v>
      </c>
      <c r="E276" s="258">
        <v>7</v>
      </c>
      <c r="F276" s="328" t="s">
        <v>57</v>
      </c>
      <c r="G276" s="258" t="s">
        <v>9</v>
      </c>
      <c r="H276" s="431">
        <f t="shared" si="198"/>
        <v>22</v>
      </c>
      <c r="I276" s="431">
        <f t="array" ref="I276">MAX((IF(MNU_CODIGO_ALIMENTO_ENTREGA=CONCATENATE($E276,"_","P_"),MNU_GRAMAJE_REQUERIDO_TIPOA,"")))</f>
        <v>100</v>
      </c>
      <c r="J276" s="259">
        <f t="shared" si="199"/>
        <v>4488</v>
      </c>
      <c r="K276" s="259">
        <f t="shared" si="200"/>
        <v>98736</v>
      </c>
      <c r="L276" s="452">
        <f t="shared" si="201"/>
        <v>107</v>
      </c>
      <c r="M276" s="452">
        <f t="shared" si="202"/>
        <v>5.2216000000000005</v>
      </c>
      <c r="N276" s="452">
        <f t="shared" si="203"/>
        <v>9.2021712000000006E-2</v>
      </c>
      <c r="O276" s="452">
        <f t="shared" si="204"/>
        <v>112</v>
      </c>
      <c r="P276" s="260">
        <f t="shared" si="205"/>
        <v>10564752</v>
      </c>
      <c r="Q276" s="260">
        <f t="shared" si="206"/>
        <v>11058432</v>
      </c>
      <c r="R276" s="432">
        <f t="shared" si="207"/>
        <v>9</v>
      </c>
      <c r="S276" s="432">
        <f t="array" ref="S276">MAX((IF(MNU_CODIGO_ALIMENTO_ENTREGA=CONCATENATE($E276,"_","P_"),MNU_GRAMAJE_REQUERIDO_TIPOB,"")))</f>
        <v>100</v>
      </c>
      <c r="T276" s="261">
        <f t="shared" si="208"/>
        <v>5854</v>
      </c>
      <c r="U276" s="261">
        <f t="shared" si="209"/>
        <v>52686</v>
      </c>
      <c r="V276" s="452">
        <f t="shared" si="210"/>
        <v>107</v>
      </c>
      <c r="W276" s="452">
        <f t="shared" si="211"/>
        <v>5.2216000000000005</v>
      </c>
      <c r="X276" s="452">
        <f t="shared" si="212"/>
        <v>9.2021712000000006E-2</v>
      </c>
      <c r="Y276" s="452">
        <f t="shared" si="213"/>
        <v>112</v>
      </c>
      <c r="Z276" s="262">
        <f t="shared" si="214"/>
        <v>5637402</v>
      </c>
      <c r="AA276" s="262">
        <f t="shared" si="215"/>
        <v>5900832</v>
      </c>
      <c r="AB276" s="431">
        <f t="shared" si="216"/>
        <v>9</v>
      </c>
      <c r="AC276" s="431">
        <f t="array" ref="AC276">MAX((IF(MNU_CODIGO_ALIMENTO_ENTREGA=CONCATENATE($E276,"_","P_"),MNU_GRAMAJE_REQUERIDO_TIPOC,"")))</f>
        <v>100</v>
      </c>
      <c r="AD276" s="259">
        <f t="shared" si="217"/>
        <v>5749</v>
      </c>
      <c r="AE276" s="259">
        <f t="shared" si="218"/>
        <v>51741</v>
      </c>
      <c r="AF276" s="452">
        <f t="shared" si="219"/>
        <v>107</v>
      </c>
      <c r="AG276" s="452">
        <f t="shared" si="220"/>
        <v>5.2216000000000005</v>
      </c>
      <c r="AH276" s="452">
        <f t="shared" si="221"/>
        <v>9.2021712000000006E-2</v>
      </c>
      <c r="AI276" s="452">
        <f t="shared" si="222"/>
        <v>112</v>
      </c>
      <c r="AJ276" s="260">
        <f t="shared" si="223"/>
        <v>5536287</v>
      </c>
      <c r="AK276" s="260">
        <f t="shared" si="224"/>
        <v>5794992</v>
      </c>
      <c r="AL276" s="432">
        <f t="shared" si="225"/>
        <v>9</v>
      </c>
      <c r="AM276" s="432">
        <f t="array" ref="AM276">MAX((IF(MNU_CODIGO_ALIMENTO_ENTREGA=CONCATENATE($E276,"_","P_"),MNU_GRAMAJE_REQUERIDO_TIPOM,"")))</f>
        <v>100</v>
      </c>
      <c r="AN276" s="261">
        <f t="shared" si="226"/>
        <v>113</v>
      </c>
      <c r="AO276" s="261">
        <f t="shared" si="227"/>
        <v>1017</v>
      </c>
      <c r="AP276" s="452">
        <f t="shared" si="228"/>
        <v>107</v>
      </c>
      <c r="AQ276" s="452">
        <f t="shared" si="229"/>
        <v>5.2216000000000005</v>
      </c>
      <c r="AR276" s="452">
        <f t="shared" si="230"/>
        <v>9.2021712000000006E-2</v>
      </c>
      <c r="AS276" s="452">
        <f t="shared" si="231"/>
        <v>112</v>
      </c>
      <c r="AT276" s="262">
        <f t="shared" si="232"/>
        <v>108819</v>
      </c>
      <c r="AU276" s="262">
        <f t="shared" si="233"/>
        <v>113904</v>
      </c>
      <c r="AV276" s="431">
        <f t="shared" si="234"/>
        <v>9</v>
      </c>
      <c r="AW276" s="431">
        <f t="array" ref="AW276">MAX((IF(MNU_CODIGO_ALIMENTO_ENTREGA=CONCATENATE($E276,"_","P_"),MNU_GRAMAJE_REQUERIDO_TIPOH,"")))</f>
        <v>100</v>
      </c>
      <c r="AX276" s="259">
        <f t="shared" si="235"/>
        <v>111</v>
      </c>
      <c r="AY276" s="259">
        <f t="shared" si="236"/>
        <v>999</v>
      </c>
      <c r="AZ276" s="452">
        <f t="shared" si="237"/>
        <v>107</v>
      </c>
      <c r="BA276" s="452">
        <f t="shared" si="238"/>
        <v>5.2216000000000005</v>
      </c>
      <c r="BB276" s="452">
        <f t="shared" si="239"/>
        <v>9.2021712000000006E-2</v>
      </c>
      <c r="BC276" s="452">
        <f t="shared" si="240"/>
        <v>112</v>
      </c>
      <c r="BD276" s="260">
        <f t="shared" si="241"/>
        <v>106893</v>
      </c>
      <c r="BE276" s="260">
        <f t="shared" si="242"/>
        <v>111888</v>
      </c>
      <c r="BF276" s="397">
        <f t="shared" si="243"/>
        <v>21954153</v>
      </c>
      <c r="BG276" s="397">
        <f t="shared" si="244"/>
        <v>22980048</v>
      </c>
    </row>
    <row r="277" spans="1:59" ht="15.75">
      <c r="A277" s="338">
        <v>21</v>
      </c>
      <c r="B277" s="338" t="str">
        <f t="shared" si="196"/>
        <v>FRUTA_21</v>
      </c>
      <c r="C277" s="338" t="str">
        <f t="shared" si="197"/>
        <v>8_21</v>
      </c>
      <c r="D277" s="338" t="s">
        <v>1</v>
      </c>
      <c r="E277" s="258">
        <v>8</v>
      </c>
      <c r="F277" s="328" t="s">
        <v>55</v>
      </c>
      <c r="G277" s="258" t="s">
        <v>9</v>
      </c>
      <c r="H277" s="431">
        <f t="shared" si="198"/>
        <v>10</v>
      </c>
      <c r="I277" s="431">
        <f t="array" ref="I277">MAX((IF(MNU_CODIGO_ALIMENTO_ENTREGA=CONCATENATE($E277,"_","P_"),MNU_GRAMAJE_REQUERIDO_TIPOA,"")))</f>
        <v>100</v>
      </c>
      <c r="J277" s="259">
        <f t="shared" si="199"/>
        <v>4488</v>
      </c>
      <c r="K277" s="259">
        <f t="shared" si="200"/>
        <v>44880</v>
      </c>
      <c r="L277" s="452">
        <f t="shared" si="201"/>
        <v>134</v>
      </c>
      <c r="M277" s="452">
        <f t="shared" si="202"/>
        <v>6.539200000000001</v>
      </c>
      <c r="N277" s="452">
        <f t="shared" si="203"/>
        <v>0.115242144</v>
      </c>
      <c r="O277" s="452">
        <f t="shared" si="204"/>
        <v>141</v>
      </c>
      <c r="P277" s="260">
        <f t="shared" si="205"/>
        <v>6013920</v>
      </c>
      <c r="Q277" s="260">
        <f t="shared" si="206"/>
        <v>6328080</v>
      </c>
      <c r="R277" s="432">
        <f t="shared" si="207"/>
        <v>8</v>
      </c>
      <c r="S277" s="432">
        <f t="array" ref="S277">MAX((IF(MNU_CODIGO_ALIMENTO_ENTREGA=CONCATENATE($E277,"_","P_"),MNU_GRAMAJE_REQUERIDO_TIPOB,"")))</f>
        <v>100</v>
      </c>
      <c r="T277" s="261">
        <f t="shared" si="208"/>
        <v>5854</v>
      </c>
      <c r="U277" s="261">
        <f t="shared" si="209"/>
        <v>46832</v>
      </c>
      <c r="V277" s="452">
        <f t="shared" si="210"/>
        <v>134</v>
      </c>
      <c r="W277" s="452">
        <f t="shared" si="211"/>
        <v>6.539200000000001</v>
      </c>
      <c r="X277" s="452">
        <f t="shared" si="212"/>
        <v>0.115242144</v>
      </c>
      <c r="Y277" s="452">
        <f t="shared" si="213"/>
        <v>141</v>
      </c>
      <c r="Z277" s="262">
        <f t="shared" si="214"/>
        <v>6275488</v>
      </c>
      <c r="AA277" s="262">
        <f t="shared" si="215"/>
        <v>6603312</v>
      </c>
      <c r="AB277" s="431">
        <f t="shared" si="216"/>
        <v>8</v>
      </c>
      <c r="AC277" s="431">
        <f t="array" ref="AC277">MAX((IF(MNU_CODIGO_ALIMENTO_ENTREGA=CONCATENATE($E277,"_","P_"),MNU_GRAMAJE_REQUERIDO_TIPOC,"")))</f>
        <v>100</v>
      </c>
      <c r="AD277" s="259">
        <f t="shared" si="217"/>
        <v>5749</v>
      </c>
      <c r="AE277" s="259">
        <f t="shared" si="218"/>
        <v>45992</v>
      </c>
      <c r="AF277" s="452">
        <f t="shared" si="219"/>
        <v>134</v>
      </c>
      <c r="AG277" s="452">
        <f t="shared" si="220"/>
        <v>6.539200000000001</v>
      </c>
      <c r="AH277" s="452">
        <f t="shared" si="221"/>
        <v>0.115242144</v>
      </c>
      <c r="AI277" s="452">
        <f t="shared" si="222"/>
        <v>141</v>
      </c>
      <c r="AJ277" s="260">
        <f t="shared" si="223"/>
        <v>6162928</v>
      </c>
      <c r="AK277" s="260">
        <f t="shared" si="224"/>
        <v>6484872</v>
      </c>
      <c r="AL277" s="432">
        <f t="shared" si="225"/>
        <v>8</v>
      </c>
      <c r="AM277" s="432">
        <f t="array" ref="AM277">MAX((IF(MNU_CODIGO_ALIMENTO_ENTREGA=CONCATENATE($E277,"_","P_"),MNU_GRAMAJE_REQUERIDO_TIPOM,"")))</f>
        <v>100</v>
      </c>
      <c r="AN277" s="261">
        <f t="shared" si="226"/>
        <v>113</v>
      </c>
      <c r="AO277" s="261">
        <f t="shared" si="227"/>
        <v>904</v>
      </c>
      <c r="AP277" s="452">
        <f t="shared" si="228"/>
        <v>134</v>
      </c>
      <c r="AQ277" s="452">
        <f t="shared" si="229"/>
        <v>6.539200000000001</v>
      </c>
      <c r="AR277" s="452">
        <f t="shared" si="230"/>
        <v>0.115242144</v>
      </c>
      <c r="AS277" s="452">
        <f t="shared" si="231"/>
        <v>141</v>
      </c>
      <c r="AT277" s="262">
        <f t="shared" si="232"/>
        <v>121136</v>
      </c>
      <c r="AU277" s="262">
        <f t="shared" si="233"/>
        <v>127464</v>
      </c>
      <c r="AV277" s="431">
        <f t="shared" si="234"/>
        <v>8</v>
      </c>
      <c r="AW277" s="431">
        <f t="array" ref="AW277">MAX((IF(MNU_CODIGO_ALIMENTO_ENTREGA=CONCATENATE($E277,"_","P_"),MNU_GRAMAJE_REQUERIDO_TIPOH,"")))</f>
        <v>100</v>
      </c>
      <c r="AX277" s="259">
        <f t="shared" si="235"/>
        <v>111</v>
      </c>
      <c r="AY277" s="259">
        <f t="shared" si="236"/>
        <v>888</v>
      </c>
      <c r="AZ277" s="452">
        <f t="shared" si="237"/>
        <v>134</v>
      </c>
      <c r="BA277" s="452">
        <f t="shared" si="238"/>
        <v>6.539200000000001</v>
      </c>
      <c r="BB277" s="452">
        <f t="shared" si="239"/>
        <v>0.115242144</v>
      </c>
      <c r="BC277" s="452">
        <f t="shared" si="240"/>
        <v>141</v>
      </c>
      <c r="BD277" s="260">
        <f t="shared" si="241"/>
        <v>118992</v>
      </c>
      <c r="BE277" s="260">
        <f t="shared" si="242"/>
        <v>125208</v>
      </c>
      <c r="BF277" s="397">
        <f t="shared" si="243"/>
        <v>18692464</v>
      </c>
      <c r="BG277" s="397">
        <f t="shared" si="244"/>
        <v>19668936</v>
      </c>
    </row>
    <row r="278" spans="1:59" ht="15.75">
      <c r="A278" s="338">
        <v>21</v>
      </c>
      <c r="B278" s="338" t="str">
        <f t="shared" si="196"/>
        <v>FRUTA_21</v>
      </c>
      <c r="C278" s="338" t="str">
        <f t="shared" si="197"/>
        <v>17_21</v>
      </c>
      <c r="D278" s="338" t="s">
        <v>1</v>
      </c>
      <c r="E278" s="258">
        <v>17</v>
      </c>
      <c r="F278" s="465" t="s">
        <v>53</v>
      </c>
      <c r="G278" s="258" t="s">
        <v>9</v>
      </c>
      <c r="H278" s="431">
        <f t="shared" si="198"/>
        <v>0</v>
      </c>
      <c r="I278" s="431">
        <f t="array" ref="I278">MAX((IF(MNU_CODIGO_ALIMENTO_ENTREGA=CONCATENATE($E278,"_","P_"),MNU_GRAMAJE_REQUERIDO_TIPOA,"")))</f>
        <v>0</v>
      </c>
      <c r="J278" s="259">
        <f t="shared" si="199"/>
        <v>4488</v>
      </c>
      <c r="K278" s="259">
        <f t="shared" si="200"/>
        <v>0</v>
      </c>
      <c r="L278" s="452">
        <f t="shared" si="201"/>
        <v>0</v>
      </c>
      <c r="M278" s="452">
        <f t="shared" si="202"/>
        <v>0</v>
      </c>
      <c r="N278" s="452">
        <f t="shared" si="203"/>
        <v>0</v>
      </c>
      <c r="O278" s="452">
        <f t="shared" si="204"/>
        <v>0</v>
      </c>
      <c r="P278" s="260">
        <f t="shared" si="205"/>
        <v>0</v>
      </c>
      <c r="Q278" s="260">
        <f t="shared" si="206"/>
        <v>0</v>
      </c>
      <c r="R278" s="432">
        <f t="shared" si="207"/>
        <v>21</v>
      </c>
      <c r="S278" s="432">
        <f t="array" ref="S278">MAX((IF(MNU_CODIGO_ALIMENTO_ENTREGA=CONCATENATE($E278,"_","P_"),MNU_GRAMAJE_REQUERIDO_TIPOB,"")))</f>
        <v>100</v>
      </c>
      <c r="T278" s="261">
        <f t="shared" si="208"/>
        <v>5854</v>
      </c>
      <c r="U278" s="261">
        <f t="shared" si="209"/>
        <v>122934</v>
      </c>
      <c r="V278" s="452">
        <f t="shared" si="210"/>
        <v>226</v>
      </c>
      <c r="W278" s="452">
        <f t="shared" si="211"/>
        <v>11.0288</v>
      </c>
      <c r="X278" s="452">
        <f t="shared" si="212"/>
        <v>0.19436361600000002</v>
      </c>
      <c r="Y278" s="452">
        <f t="shared" si="213"/>
        <v>237</v>
      </c>
      <c r="Z278" s="262">
        <f t="shared" si="214"/>
        <v>27783084</v>
      </c>
      <c r="AA278" s="262">
        <f t="shared" si="215"/>
        <v>29135358</v>
      </c>
      <c r="AB278" s="431">
        <f t="shared" si="216"/>
        <v>21</v>
      </c>
      <c r="AC278" s="431">
        <f t="array" ref="AC278">MAX((IF(MNU_CODIGO_ALIMENTO_ENTREGA=CONCATENATE($E278,"_","P_"),MNU_GRAMAJE_REQUERIDO_TIPOC,"")))</f>
        <v>100</v>
      </c>
      <c r="AD278" s="259">
        <f t="shared" si="217"/>
        <v>5749</v>
      </c>
      <c r="AE278" s="259">
        <f t="shared" si="218"/>
        <v>120729</v>
      </c>
      <c r="AF278" s="452">
        <f t="shared" si="219"/>
        <v>226</v>
      </c>
      <c r="AG278" s="452">
        <f t="shared" si="220"/>
        <v>11.0288</v>
      </c>
      <c r="AH278" s="452">
        <f t="shared" si="221"/>
        <v>0.19436361600000002</v>
      </c>
      <c r="AI278" s="452">
        <f t="shared" si="222"/>
        <v>237</v>
      </c>
      <c r="AJ278" s="260">
        <f t="shared" si="223"/>
        <v>27284754</v>
      </c>
      <c r="AK278" s="260">
        <f t="shared" si="224"/>
        <v>28612773</v>
      </c>
      <c r="AL278" s="432">
        <f t="shared" si="225"/>
        <v>21</v>
      </c>
      <c r="AM278" s="432">
        <f t="array" ref="AM278">MAX((IF(MNU_CODIGO_ALIMENTO_ENTREGA=CONCATENATE($E278,"_","P_"),MNU_GRAMAJE_REQUERIDO_TIPOM,"")))</f>
        <v>100</v>
      </c>
      <c r="AN278" s="261">
        <f t="shared" si="226"/>
        <v>113</v>
      </c>
      <c r="AO278" s="261">
        <f t="shared" si="227"/>
        <v>2373</v>
      </c>
      <c r="AP278" s="452">
        <f t="shared" si="228"/>
        <v>226</v>
      </c>
      <c r="AQ278" s="452">
        <f t="shared" si="229"/>
        <v>11.0288</v>
      </c>
      <c r="AR278" s="452">
        <f t="shared" si="230"/>
        <v>0.19436361600000002</v>
      </c>
      <c r="AS278" s="452">
        <f t="shared" si="231"/>
        <v>237</v>
      </c>
      <c r="AT278" s="262">
        <f t="shared" si="232"/>
        <v>536298</v>
      </c>
      <c r="AU278" s="262">
        <f t="shared" si="233"/>
        <v>562401</v>
      </c>
      <c r="AV278" s="431">
        <f t="shared" si="234"/>
        <v>21</v>
      </c>
      <c r="AW278" s="431">
        <f t="array" ref="AW278">MAX((IF(MNU_CODIGO_ALIMENTO_ENTREGA=CONCATENATE($E278,"_","P_"),MNU_GRAMAJE_REQUERIDO_TIPOH,"")))</f>
        <v>100</v>
      </c>
      <c r="AX278" s="259">
        <f t="shared" si="235"/>
        <v>111</v>
      </c>
      <c r="AY278" s="259">
        <f t="shared" si="236"/>
        <v>2331</v>
      </c>
      <c r="AZ278" s="452">
        <f t="shared" si="237"/>
        <v>226</v>
      </c>
      <c r="BA278" s="452">
        <f t="shared" si="238"/>
        <v>11.0288</v>
      </c>
      <c r="BB278" s="452">
        <f t="shared" si="239"/>
        <v>0.19436361600000002</v>
      </c>
      <c r="BC278" s="452">
        <f t="shared" si="240"/>
        <v>237</v>
      </c>
      <c r="BD278" s="260">
        <f t="shared" si="241"/>
        <v>526806</v>
      </c>
      <c r="BE278" s="260">
        <f t="shared" si="242"/>
        <v>552447</v>
      </c>
      <c r="BF278" s="397">
        <f t="shared" si="243"/>
        <v>56130942</v>
      </c>
      <c r="BG278" s="397">
        <f t="shared" si="244"/>
        <v>58862979</v>
      </c>
    </row>
    <row r="279" spans="1:59" ht="15.75">
      <c r="A279" s="338">
        <v>21</v>
      </c>
      <c r="B279" s="338" t="str">
        <f t="shared" si="196"/>
        <v>FRUTA_21</v>
      </c>
      <c r="C279" s="338" t="str">
        <f t="shared" si="197"/>
        <v>22_21</v>
      </c>
      <c r="D279" s="338" t="s">
        <v>1</v>
      </c>
      <c r="E279" s="258">
        <v>22</v>
      </c>
      <c r="F279" s="328" t="s">
        <v>51</v>
      </c>
      <c r="G279" s="258" t="s">
        <v>9</v>
      </c>
      <c r="H279" s="431">
        <f t="shared" si="198"/>
        <v>0</v>
      </c>
      <c r="I279" s="431">
        <f t="array" ref="I279">MAX((IF(MNU_CODIGO_ALIMENTO_ENTREGA=CONCATENATE($E279,"_","P_"),MNU_GRAMAJE_REQUERIDO_TIPOA,"")))</f>
        <v>0</v>
      </c>
      <c r="J279" s="259">
        <f t="shared" si="199"/>
        <v>4488</v>
      </c>
      <c r="K279" s="259">
        <f t="shared" si="200"/>
        <v>0</v>
      </c>
      <c r="L279" s="452">
        <f t="shared" si="201"/>
        <v>0</v>
      </c>
      <c r="M279" s="452">
        <f t="shared" si="202"/>
        <v>0</v>
      </c>
      <c r="N279" s="452">
        <f t="shared" si="203"/>
        <v>0</v>
      </c>
      <c r="O279" s="452">
        <f t="shared" si="204"/>
        <v>0</v>
      </c>
      <c r="P279" s="260">
        <f t="shared" si="205"/>
        <v>0</v>
      </c>
      <c r="Q279" s="260">
        <f t="shared" si="206"/>
        <v>0</v>
      </c>
      <c r="R279" s="432">
        <f t="shared" si="207"/>
        <v>20</v>
      </c>
      <c r="S279" s="432">
        <f t="array" ref="S279">MAX((IF(MNU_CODIGO_ALIMENTO_ENTREGA=CONCATENATE($E279,"_","P_"),MNU_GRAMAJE_REQUERIDO_TIPOB,"")))</f>
        <v>100</v>
      </c>
      <c r="T279" s="261">
        <f t="shared" si="208"/>
        <v>5854</v>
      </c>
      <c r="U279" s="261">
        <f t="shared" si="209"/>
        <v>117080</v>
      </c>
      <c r="V279" s="452">
        <f t="shared" si="210"/>
        <v>525</v>
      </c>
      <c r="W279" s="452">
        <f t="shared" si="211"/>
        <v>25.62</v>
      </c>
      <c r="X279" s="452">
        <f t="shared" si="212"/>
        <v>0.45150840000000003</v>
      </c>
      <c r="Y279" s="452">
        <f t="shared" si="213"/>
        <v>551</v>
      </c>
      <c r="Z279" s="262">
        <f t="shared" si="214"/>
        <v>61467000</v>
      </c>
      <c r="AA279" s="262">
        <f t="shared" si="215"/>
        <v>64511080</v>
      </c>
      <c r="AB279" s="431">
        <f t="shared" si="216"/>
        <v>20</v>
      </c>
      <c r="AC279" s="431">
        <f t="array" ref="AC279">MAX((IF(MNU_CODIGO_ALIMENTO_ENTREGA=CONCATENATE($E279,"_","P_"),MNU_GRAMAJE_REQUERIDO_TIPOC,"")))</f>
        <v>100</v>
      </c>
      <c r="AD279" s="259">
        <f t="shared" si="217"/>
        <v>5749</v>
      </c>
      <c r="AE279" s="259">
        <f t="shared" si="218"/>
        <v>114980</v>
      </c>
      <c r="AF279" s="452">
        <f t="shared" si="219"/>
        <v>525</v>
      </c>
      <c r="AG279" s="452">
        <f t="shared" si="220"/>
        <v>25.62</v>
      </c>
      <c r="AH279" s="452">
        <f t="shared" si="221"/>
        <v>0.45150840000000003</v>
      </c>
      <c r="AI279" s="452">
        <f t="shared" si="222"/>
        <v>551</v>
      </c>
      <c r="AJ279" s="260">
        <f t="shared" si="223"/>
        <v>60364500</v>
      </c>
      <c r="AK279" s="260">
        <f t="shared" si="224"/>
        <v>63353980</v>
      </c>
      <c r="AL279" s="432">
        <f t="shared" si="225"/>
        <v>20</v>
      </c>
      <c r="AM279" s="432">
        <f t="array" ref="AM279">MAX((IF(MNU_CODIGO_ALIMENTO_ENTREGA=CONCATENATE($E279,"_","P_"),MNU_GRAMAJE_REQUERIDO_TIPOM,"")))</f>
        <v>100</v>
      </c>
      <c r="AN279" s="261">
        <f t="shared" si="226"/>
        <v>113</v>
      </c>
      <c r="AO279" s="261">
        <f t="shared" si="227"/>
        <v>2260</v>
      </c>
      <c r="AP279" s="452">
        <f t="shared" si="228"/>
        <v>525</v>
      </c>
      <c r="AQ279" s="452">
        <f t="shared" si="229"/>
        <v>25.62</v>
      </c>
      <c r="AR279" s="452">
        <f t="shared" si="230"/>
        <v>0.45150840000000003</v>
      </c>
      <c r="AS279" s="452">
        <f t="shared" si="231"/>
        <v>551</v>
      </c>
      <c r="AT279" s="262">
        <f t="shared" si="232"/>
        <v>1186500</v>
      </c>
      <c r="AU279" s="262">
        <f t="shared" si="233"/>
        <v>1245260</v>
      </c>
      <c r="AV279" s="431">
        <f t="shared" si="234"/>
        <v>20</v>
      </c>
      <c r="AW279" s="431">
        <f t="array" ref="AW279">MAX((IF(MNU_CODIGO_ALIMENTO_ENTREGA=CONCATENATE($E279,"_","P_"),MNU_GRAMAJE_REQUERIDO_TIPOH,"")))</f>
        <v>100</v>
      </c>
      <c r="AX279" s="259">
        <f t="shared" si="235"/>
        <v>111</v>
      </c>
      <c r="AY279" s="259">
        <f t="shared" si="236"/>
        <v>2220</v>
      </c>
      <c r="AZ279" s="452">
        <f t="shared" si="237"/>
        <v>525</v>
      </c>
      <c r="BA279" s="452">
        <f t="shared" si="238"/>
        <v>25.62</v>
      </c>
      <c r="BB279" s="452">
        <f t="shared" si="239"/>
        <v>0.45150840000000003</v>
      </c>
      <c r="BC279" s="452">
        <f t="shared" si="240"/>
        <v>551</v>
      </c>
      <c r="BD279" s="260">
        <f t="shared" si="241"/>
        <v>1165500</v>
      </c>
      <c r="BE279" s="260">
        <f t="shared" si="242"/>
        <v>1223220</v>
      </c>
      <c r="BF279" s="397">
        <f t="shared" si="243"/>
        <v>124183500</v>
      </c>
      <c r="BG279" s="397">
        <f t="shared" si="244"/>
        <v>130333540</v>
      </c>
    </row>
    <row r="280" spans="1:59" ht="15.75">
      <c r="A280" s="338">
        <v>21</v>
      </c>
      <c r="B280" s="338" t="str">
        <f t="shared" si="196"/>
        <v>FRUTA_21</v>
      </c>
      <c r="C280" s="338" t="str">
        <f t="shared" si="197"/>
        <v>33_21</v>
      </c>
      <c r="D280" s="338" t="s">
        <v>1</v>
      </c>
      <c r="E280" s="258">
        <v>33</v>
      </c>
      <c r="F280" s="328" t="s">
        <v>59</v>
      </c>
      <c r="G280" s="258" t="s">
        <v>48</v>
      </c>
      <c r="H280" s="431">
        <f t="shared" si="198"/>
        <v>27</v>
      </c>
      <c r="I280" s="431">
        <v>1</v>
      </c>
      <c r="J280" s="259">
        <f t="shared" si="199"/>
        <v>4488</v>
      </c>
      <c r="K280" s="259">
        <f t="shared" si="200"/>
        <v>121176</v>
      </c>
      <c r="L280" s="452">
        <f t="shared" si="201"/>
        <v>270</v>
      </c>
      <c r="M280" s="452">
        <f t="shared" si="202"/>
        <v>13.176000000000002</v>
      </c>
      <c r="N280" s="452">
        <f t="shared" si="203"/>
        <v>0.23220432000000002</v>
      </c>
      <c r="O280" s="452">
        <f t="shared" si="204"/>
        <v>283</v>
      </c>
      <c r="P280" s="260">
        <f t="shared" si="205"/>
        <v>32717520</v>
      </c>
      <c r="Q280" s="260">
        <f t="shared" si="206"/>
        <v>34292808</v>
      </c>
      <c r="R280" s="432">
        <f t="shared" si="207"/>
        <v>18</v>
      </c>
      <c r="S280" s="432">
        <v>1</v>
      </c>
      <c r="T280" s="261">
        <f t="shared" si="208"/>
        <v>5854</v>
      </c>
      <c r="U280" s="261">
        <f t="shared" si="209"/>
        <v>105372</v>
      </c>
      <c r="V280" s="452">
        <f t="shared" si="210"/>
        <v>270</v>
      </c>
      <c r="W280" s="452">
        <f t="shared" si="211"/>
        <v>13.176000000000002</v>
      </c>
      <c r="X280" s="452">
        <f t="shared" si="212"/>
        <v>0.23220432000000002</v>
      </c>
      <c r="Y280" s="452">
        <f t="shared" si="213"/>
        <v>283</v>
      </c>
      <c r="Z280" s="262">
        <f t="shared" si="214"/>
        <v>28450440</v>
      </c>
      <c r="AA280" s="262">
        <f t="shared" si="215"/>
        <v>29820276</v>
      </c>
      <c r="AB280" s="431">
        <f t="shared" si="216"/>
        <v>18</v>
      </c>
      <c r="AC280" s="431">
        <v>1</v>
      </c>
      <c r="AD280" s="259">
        <f t="shared" si="217"/>
        <v>5749</v>
      </c>
      <c r="AE280" s="259">
        <f t="shared" si="218"/>
        <v>103482</v>
      </c>
      <c r="AF280" s="452">
        <f t="shared" si="219"/>
        <v>270</v>
      </c>
      <c r="AG280" s="452">
        <f t="shared" si="220"/>
        <v>13.176000000000002</v>
      </c>
      <c r="AH280" s="452">
        <f t="shared" si="221"/>
        <v>0.23220432000000002</v>
      </c>
      <c r="AI280" s="452">
        <f t="shared" si="222"/>
        <v>283</v>
      </c>
      <c r="AJ280" s="260">
        <f t="shared" si="223"/>
        <v>27940140</v>
      </c>
      <c r="AK280" s="260">
        <f t="shared" si="224"/>
        <v>29285406</v>
      </c>
      <c r="AL280" s="432">
        <f t="shared" si="225"/>
        <v>18</v>
      </c>
      <c r="AM280" s="432">
        <v>1</v>
      </c>
      <c r="AN280" s="261">
        <f t="shared" si="226"/>
        <v>113</v>
      </c>
      <c r="AO280" s="261">
        <f t="shared" si="227"/>
        <v>2034</v>
      </c>
      <c r="AP280" s="452">
        <f t="shared" si="228"/>
        <v>270</v>
      </c>
      <c r="AQ280" s="452">
        <f t="shared" si="229"/>
        <v>13.176000000000002</v>
      </c>
      <c r="AR280" s="452">
        <f t="shared" si="230"/>
        <v>0.23220432000000002</v>
      </c>
      <c r="AS280" s="452">
        <f t="shared" si="231"/>
        <v>283</v>
      </c>
      <c r="AT280" s="262">
        <f t="shared" si="232"/>
        <v>549180</v>
      </c>
      <c r="AU280" s="262">
        <f t="shared" si="233"/>
        <v>575622</v>
      </c>
      <c r="AV280" s="431">
        <f t="shared" si="234"/>
        <v>18</v>
      </c>
      <c r="AW280" s="431">
        <v>1</v>
      </c>
      <c r="AX280" s="259">
        <f t="shared" si="235"/>
        <v>111</v>
      </c>
      <c r="AY280" s="259">
        <f t="shared" si="236"/>
        <v>1998</v>
      </c>
      <c r="AZ280" s="452">
        <f t="shared" si="237"/>
        <v>270</v>
      </c>
      <c r="BA280" s="452">
        <f t="shared" si="238"/>
        <v>13.176000000000002</v>
      </c>
      <c r="BB280" s="452">
        <f t="shared" si="239"/>
        <v>0.23220432000000002</v>
      </c>
      <c r="BC280" s="452">
        <f t="shared" si="240"/>
        <v>283</v>
      </c>
      <c r="BD280" s="260">
        <f t="shared" si="241"/>
        <v>539460</v>
      </c>
      <c r="BE280" s="260">
        <f t="shared" si="242"/>
        <v>565434</v>
      </c>
      <c r="BF280" s="397">
        <f t="shared" si="243"/>
        <v>90196740</v>
      </c>
      <c r="BG280" s="397">
        <f t="shared" si="244"/>
        <v>94539546</v>
      </c>
    </row>
    <row r="281" spans="1:59" ht="15.75">
      <c r="A281" s="338">
        <v>21</v>
      </c>
      <c r="B281" s="338" t="str">
        <f t="shared" si="196"/>
        <v>FRUTA_21</v>
      </c>
      <c r="C281" s="338" t="str">
        <f t="shared" si="197"/>
        <v>36_21</v>
      </c>
      <c r="D281" s="338" t="s">
        <v>1</v>
      </c>
      <c r="E281" s="258">
        <v>36</v>
      </c>
      <c r="F281" s="328" t="s">
        <v>1340</v>
      </c>
      <c r="G281" s="258" t="s">
        <v>9</v>
      </c>
      <c r="H281" s="431">
        <f t="shared" si="198"/>
        <v>7</v>
      </c>
      <c r="I281" s="431">
        <f t="array" ref="I281">MAX((IF(MNU_CODIGO_ALIMENTO_ENTREGA=CONCATENATE($E281,"_","P_"),MNU_GRAMAJE_REQUERIDO_TIPOA,"")))</f>
        <v>20</v>
      </c>
      <c r="J281" s="259">
        <f t="shared" si="199"/>
        <v>4488</v>
      </c>
      <c r="K281" s="259">
        <f t="shared" si="200"/>
        <v>31416</v>
      </c>
      <c r="L281" s="452">
        <f t="shared" si="201"/>
        <v>126</v>
      </c>
      <c r="M281" s="452">
        <f t="shared" si="202"/>
        <v>6.1488000000000005</v>
      </c>
      <c r="N281" s="452">
        <f t="shared" si="203"/>
        <v>0.10836201599999999</v>
      </c>
      <c r="O281" s="452">
        <f t="shared" si="204"/>
        <v>132</v>
      </c>
      <c r="P281" s="260">
        <f t="shared" si="205"/>
        <v>3958416</v>
      </c>
      <c r="Q281" s="260">
        <f t="shared" si="206"/>
        <v>4146912</v>
      </c>
      <c r="R281" s="432">
        <f t="shared" si="207"/>
        <v>7</v>
      </c>
      <c r="S281" s="432">
        <f t="array" ref="S281">MAX((IF(MNU_CODIGO_ALIMENTO_ENTREGA=CONCATENATE($E281,"_","P_"),MNU_GRAMAJE_REQUERIDO_TIPOB,"")))</f>
        <v>40</v>
      </c>
      <c r="T281" s="261">
        <f t="shared" si="208"/>
        <v>5854</v>
      </c>
      <c r="U281" s="261">
        <f t="shared" si="209"/>
        <v>40978</v>
      </c>
      <c r="V281" s="452">
        <f t="shared" si="210"/>
        <v>252</v>
      </c>
      <c r="W281" s="452">
        <f t="shared" si="211"/>
        <v>12.297600000000001</v>
      </c>
      <c r="X281" s="452">
        <f t="shared" si="212"/>
        <v>0.21672403199999998</v>
      </c>
      <c r="Y281" s="452">
        <f t="shared" si="213"/>
        <v>265</v>
      </c>
      <c r="Z281" s="262">
        <f t="shared" si="214"/>
        <v>10326456</v>
      </c>
      <c r="AA281" s="262">
        <f t="shared" si="215"/>
        <v>10859170</v>
      </c>
      <c r="AB281" s="431">
        <f t="shared" si="216"/>
        <v>7</v>
      </c>
      <c r="AC281" s="431">
        <f t="array" ref="AC281">MAX((IF(MNU_CODIGO_ALIMENTO_ENTREGA=CONCATENATE($E281,"_","P_"),MNU_GRAMAJE_REQUERIDO_TIPOC,"")))</f>
        <v>40</v>
      </c>
      <c r="AD281" s="259">
        <f t="shared" si="217"/>
        <v>5749</v>
      </c>
      <c r="AE281" s="259">
        <f t="shared" si="218"/>
        <v>40243</v>
      </c>
      <c r="AF281" s="452">
        <f t="shared" si="219"/>
        <v>252</v>
      </c>
      <c r="AG281" s="452">
        <f t="shared" si="220"/>
        <v>12.297600000000001</v>
      </c>
      <c r="AH281" s="452">
        <f t="shared" si="221"/>
        <v>0.21672403199999998</v>
      </c>
      <c r="AI281" s="452">
        <f t="shared" si="222"/>
        <v>265</v>
      </c>
      <c r="AJ281" s="260">
        <f t="shared" si="223"/>
        <v>10141236</v>
      </c>
      <c r="AK281" s="260">
        <f t="shared" si="224"/>
        <v>10664395</v>
      </c>
      <c r="AL281" s="432">
        <f t="shared" si="225"/>
        <v>7</v>
      </c>
      <c r="AM281" s="432">
        <f t="array" ref="AM281">MAX((IF(MNU_CODIGO_ALIMENTO_ENTREGA=CONCATENATE($E281,"_","P_"),MNU_GRAMAJE_REQUERIDO_TIPOM,"")))</f>
        <v>40</v>
      </c>
      <c r="AN281" s="261">
        <f t="shared" si="226"/>
        <v>113</v>
      </c>
      <c r="AO281" s="261">
        <f t="shared" si="227"/>
        <v>791</v>
      </c>
      <c r="AP281" s="452">
        <f t="shared" si="228"/>
        <v>252</v>
      </c>
      <c r="AQ281" s="452">
        <f t="shared" si="229"/>
        <v>12.297600000000001</v>
      </c>
      <c r="AR281" s="452">
        <f t="shared" si="230"/>
        <v>0.21672403199999998</v>
      </c>
      <c r="AS281" s="452">
        <f t="shared" si="231"/>
        <v>265</v>
      </c>
      <c r="AT281" s="262">
        <f t="shared" si="232"/>
        <v>199332</v>
      </c>
      <c r="AU281" s="262">
        <f t="shared" si="233"/>
        <v>209615</v>
      </c>
      <c r="AV281" s="431">
        <f t="shared" si="234"/>
        <v>7</v>
      </c>
      <c r="AW281" s="431">
        <f t="array" ref="AW281">MAX((IF(MNU_CODIGO_ALIMENTO_ENTREGA=CONCATENATE($E281,"_","P_"),MNU_GRAMAJE_REQUERIDO_TIPOH,"")))</f>
        <v>40</v>
      </c>
      <c r="AX281" s="259">
        <f t="shared" si="235"/>
        <v>111</v>
      </c>
      <c r="AY281" s="259">
        <f t="shared" si="236"/>
        <v>777</v>
      </c>
      <c r="AZ281" s="452">
        <f t="shared" si="237"/>
        <v>252</v>
      </c>
      <c r="BA281" s="452">
        <f t="shared" si="238"/>
        <v>12.297600000000001</v>
      </c>
      <c r="BB281" s="452">
        <f t="shared" si="239"/>
        <v>0.21672403199999998</v>
      </c>
      <c r="BC281" s="452">
        <f t="shared" si="240"/>
        <v>265</v>
      </c>
      <c r="BD281" s="260">
        <f t="shared" si="241"/>
        <v>195804</v>
      </c>
      <c r="BE281" s="260">
        <f t="shared" si="242"/>
        <v>205905</v>
      </c>
      <c r="BF281" s="397">
        <f t="shared" si="243"/>
        <v>24821244</v>
      </c>
      <c r="BG281" s="397">
        <f t="shared" si="244"/>
        <v>26085997</v>
      </c>
    </row>
    <row r="282" spans="1:59" ht="15.75">
      <c r="A282" s="338">
        <v>21</v>
      </c>
      <c r="B282" s="338" t="str">
        <f t="shared" si="196"/>
        <v>FRUTA_21</v>
      </c>
      <c r="C282" s="338" t="str">
        <f t="shared" si="197"/>
        <v>42_21</v>
      </c>
      <c r="D282" s="338" t="s">
        <v>1</v>
      </c>
      <c r="E282" s="258">
        <v>42</v>
      </c>
      <c r="F282" s="328" t="s">
        <v>61</v>
      </c>
      <c r="G282" s="258" t="s">
        <v>9</v>
      </c>
      <c r="H282" s="431">
        <f t="shared" si="198"/>
        <v>23</v>
      </c>
      <c r="I282" s="431">
        <f t="array" ref="I282">MAX((IF(MNU_CODIGO_ALIMENTO_ENTREGA=CONCATENATE($E282,"_","P_"),MNU_GRAMAJE_REQUERIDO_TIPOA,"")))</f>
        <v>100</v>
      </c>
      <c r="J282" s="259">
        <f t="shared" si="199"/>
        <v>4488</v>
      </c>
      <c r="K282" s="259">
        <f t="shared" si="200"/>
        <v>103224</v>
      </c>
      <c r="L282" s="452">
        <f t="shared" si="201"/>
        <v>194</v>
      </c>
      <c r="M282" s="452">
        <f t="shared" si="202"/>
        <v>9.4672000000000001</v>
      </c>
      <c r="N282" s="452">
        <f t="shared" si="203"/>
        <v>0.16684310399999999</v>
      </c>
      <c r="O282" s="452">
        <f t="shared" si="204"/>
        <v>204</v>
      </c>
      <c r="P282" s="260">
        <f t="shared" si="205"/>
        <v>20025456</v>
      </c>
      <c r="Q282" s="260">
        <f t="shared" si="206"/>
        <v>21057696</v>
      </c>
      <c r="R282" s="432">
        <f t="shared" si="207"/>
        <v>19</v>
      </c>
      <c r="S282" s="432">
        <f t="array" ref="S282">MAX((IF(MNU_CODIGO_ALIMENTO_ENTREGA=CONCATENATE($E282,"_","P_"),MNU_GRAMAJE_REQUERIDO_TIPOB,"")))</f>
        <v>100</v>
      </c>
      <c r="T282" s="261">
        <f t="shared" si="208"/>
        <v>5854</v>
      </c>
      <c r="U282" s="261">
        <f t="shared" si="209"/>
        <v>111226</v>
      </c>
      <c r="V282" s="452">
        <f t="shared" si="210"/>
        <v>194</v>
      </c>
      <c r="W282" s="452">
        <f t="shared" si="211"/>
        <v>9.4672000000000001</v>
      </c>
      <c r="X282" s="452">
        <f t="shared" si="212"/>
        <v>0.16684310399999999</v>
      </c>
      <c r="Y282" s="452">
        <f t="shared" si="213"/>
        <v>204</v>
      </c>
      <c r="Z282" s="262">
        <f t="shared" si="214"/>
        <v>21577844</v>
      </c>
      <c r="AA282" s="262">
        <f t="shared" si="215"/>
        <v>22690104</v>
      </c>
      <c r="AB282" s="431">
        <f t="shared" si="216"/>
        <v>19</v>
      </c>
      <c r="AC282" s="431">
        <f t="array" ref="AC282">MAX((IF(MNU_CODIGO_ALIMENTO_ENTREGA=CONCATENATE($E282,"_","P_"),MNU_GRAMAJE_REQUERIDO_TIPOC,"")))</f>
        <v>100</v>
      </c>
      <c r="AD282" s="259">
        <f t="shared" si="217"/>
        <v>5749</v>
      </c>
      <c r="AE282" s="259">
        <f t="shared" si="218"/>
        <v>109231</v>
      </c>
      <c r="AF282" s="452">
        <f t="shared" si="219"/>
        <v>194</v>
      </c>
      <c r="AG282" s="452">
        <f t="shared" si="220"/>
        <v>9.4672000000000001</v>
      </c>
      <c r="AH282" s="452">
        <f t="shared" si="221"/>
        <v>0.16684310399999999</v>
      </c>
      <c r="AI282" s="452">
        <f t="shared" si="222"/>
        <v>204</v>
      </c>
      <c r="AJ282" s="260">
        <f t="shared" si="223"/>
        <v>21190814</v>
      </c>
      <c r="AK282" s="260">
        <f t="shared" si="224"/>
        <v>22283124</v>
      </c>
      <c r="AL282" s="432">
        <f t="shared" si="225"/>
        <v>19</v>
      </c>
      <c r="AM282" s="432">
        <f t="array" ref="AM282">MAX((IF(MNU_CODIGO_ALIMENTO_ENTREGA=CONCATENATE($E282,"_","P_"),MNU_GRAMAJE_REQUERIDO_TIPOM,"")))</f>
        <v>100</v>
      </c>
      <c r="AN282" s="261">
        <f t="shared" si="226"/>
        <v>113</v>
      </c>
      <c r="AO282" s="261">
        <f t="shared" si="227"/>
        <v>2147</v>
      </c>
      <c r="AP282" s="452">
        <f t="shared" si="228"/>
        <v>194</v>
      </c>
      <c r="AQ282" s="452">
        <f t="shared" si="229"/>
        <v>9.4672000000000001</v>
      </c>
      <c r="AR282" s="452">
        <f t="shared" si="230"/>
        <v>0.16684310399999999</v>
      </c>
      <c r="AS282" s="452">
        <f t="shared" si="231"/>
        <v>204</v>
      </c>
      <c r="AT282" s="262">
        <f t="shared" si="232"/>
        <v>416518</v>
      </c>
      <c r="AU282" s="262">
        <f t="shared" si="233"/>
        <v>437988</v>
      </c>
      <c r="AV282" s="431">
        <f t="shared" si="234"/>
        <v>19</v>
      </c>
      <c r="AW282" s="431">
        <f t="array" ref="AW282">MAX((IF(MNU_CODIGO_ALIMENTO_ENTREGA=CONCATENATE($E282,"_","P_"),MNU_GRAMAJE_REQUERIDO_TIPOH,"")))</f>
        <v>100</v>
      </c>
      <c r="AX282" s="259">
        <f t="shared" si="235"/>
        <v>111</v>
      </c>
      <c r="AY282" s="259">
        <f t="shared" si="236"/>
        <v>2109</v>
      </c>
      <c r="AZ282" s="452">
        <f t="shared" si="237"/>
        <v>194</v>
      </c>
      <c r="BA282" s="452">
        <f t="shared" si="238"/>
        <v>9.4672000000000001</v>
      </c>
      <c r="BB282" s="452">
        <f t="shared" si="239"/>
        <v>0.16684310399999999</v>
      </c>
      <c r="BC282" s="452">
        <f t="shared" si="240"/>
        <v>204</v>
      </c>
      <c r="BD282" s="260">
        <f t="shared" si="241"/>
        <v>409146</v>
      </c>
      <c r="BE282" s="260">
        <f t="shared" si="242"/>
        <v>430236</v>
      </c>
      <c r="BF282" s="397">
        <f t="shared" si="243"/>
        <v>63619778</v>
      </c>
      <c r="BG282" s="397">
        <f t="shared" si="244"/>
        <v>66899148</v>
      </c>
    </row>
    <row r="283" spans="1:59" ht="15.75">
      <c r="A283" s="338">
        <v>21</v>
      </c>
      <c r="B283" s="338" t="str">
        <f t="shared" si="196"/>
        <v>FRUTA_21</v>
      </c>
      <c r="C283" s="338" t="str">
        <f t="shared" si="197"/>
        <v>43_21</v>
      </c>
      <c r="D283" s="338" t="s">
        <v>1</v>
      </c>
      <c r="E283" s="258">
        <v>43</v>
      </c>
      <c r="F283" s="328" t="s">
        <v>62</v>
      </c>
      <c r="G283" s="258" t="s">
        <v>9</v>
      </c>
      <c r="H283" s="431">
        <f t="shared" si="198"/>
        <v>24</v>
      </c>
      <c r="I283" s="431">
        <f t="array" ref="I283">MAX((IF(MNU_CODIGO_ALIMENTO_ENTREGA=CONCATENATE($E283,"_","P_"),MNU_GRAMAJE_REQUERIDO_TIPOA,"")))</f>
        <v>100</v>
      </c>
      <c r="J283" s="259">
        <f t="shared" si="199"/>
        <v>4488</v>
      </c>
      <c r="K283" s="259">
        <f t="shared" si="200"/>
        <v>107712</v>
      </c>
      <c r="L283" s="452">
        <f t="shared" si="201"/>
        <v>170</v>
      </c>
      <c r="M283" s="452">
        <f t="shared" si="202"/>
        <v>8.2959999999999994</v>
      </c>
      <c r="N283" s="452">
        <f t="shared" si="203"/>
        <v>0.14620272000000001</v>
      </c>
      <c r="O283" s="452">
        <f t="shared" si="204"/>
        <v>178</v>
      </c>
      <c r="P283" s="260">
        <f t="shared" si="205"/>
        <v>18311040</v>
      </c>
      <c r="Q283" s="260">
        <f t="shared" si="206"/>
        <v>19172736</v>
      </c>
      <c r="R283" s="432">
        <f t="shared" si="207"/>
        <v>17</v>
      </c>
      <c r="S283" s="432">
        <f t="array" ref="S283">MAX((IF(MNU_CODIGO_ALIMENTO_ENTREGA=CONCATENATE($E283,"_","P_"),MNU_GRAMAJE_REQUERIDO_TIPOB,"")))</f>
        <v>100</v>
      </c>
      <c r="T283" s="261">
        <f t="shared" si="208"/>
        <v>5854</v>
      </c>
      <c r="U283" s="261">
        <f t="shared" si="209"/>
        <v>99518</v>
      </c>
      <c r="V283" s="452">
        <f t="shared" si="210"/>
        <v>170</v>
      </c>
      <c r="W283" s="452">
        <f t="shared" si="211"/>
        <v>8.2959999999999994</v>
      </c>
      <c r="X283" s="452">
        <f t="shared" si="212"/>
        <v>0.14620272000000001</v>
      </c>
      <c r="Y283" s="452">
        <f t="shared" si="213"/>
        <v>178</v>
      </c>
      <c r="Z283" s="262">
        <f t="shared" si="214"/>
        <v>16918060</v>
      </c>
      <c r="AA283" s="262">
        <f t="shared" si="215"/>
        <v>17714204</v>
      </c>
      <c r="AB283" s="431">
        <f t="shared" si="216"/>
        <v>17</v>
      </c>
      <c r="AC283" s="431">
        <f t="array" ref="AC283">MAX((IF(MNU_CODIGO_ALIMENTO_ENTREGA=CONCATENATE($E283,"_","P_"),MNU_GRAMAJE_REQUERIDO_TIPOC,"")))</f>
        <v>100</v>
      </c>
      <c r="AD283" s="259">
        <f t="shared" si="217"/>
        <v>5749</v>
      </c>
      <c r="AE283" s="259">
        <f t="shared" si="218"/>
        <v>97733</v>
      </c>
      <c r="AF283" s="452">
        <f t="shared" si="219"/>
        <v>170</v>
      </c>
      <c r="AG283" s="452">
        <f t="shared" si="220"/>
        <v>8.2959999999999994</v>
      </c>
      <c r="AH283" s="452">
        <f t="shared" si="221"/>
        <v>0.14620272000000001</v>
      </c>
      <c r="AI283" s="452">
        <f t="shared" si="222"/>
        <v>178</v>
      </c>
      <c r="AJ283" s="260">
        <f t="shared" si="223"/>
        <v>16614610</v>
      </c>
      <c r="AK283" s="260">
        <f t="shared" si="224"/>
        <v>17396474</v>
      </c>
      <c r="AL283" s="432">
        <f t="shared" si="225"/>
        <v>17</v>
      </c>
      <c r="AM283" s="432">
        <f t="array" ref="AM283">MAX((IF(MNU_CODIGO_ALIMENTO_ENTREGA=CONCATENATE($E283,"_","P_"),MNU_GRAMAJE_REQUERIDO_TIPOM,"")))</f>
        <v>100</v>
      </c>
      <c r="AN283" s="261">
        <f t="shared" si="226"/>
        <v>113</v>
      </c>
      <c r="AO283" s="261">
        <f t="shared" si="227"/>
        <v>1921</v>
      </c>
      <c r="AP283" s="452">
        <f t="shared" si="228"/>
        <v>170</v>
      </c>
      <c r="AQ283" s="452">
        <f t="shared" si="229"/>
        <v>8.2959999999999994</v>
      </c>
      <c r="AR283" s="452">
        <f t="shared" si="230"/>
        <v>0.14620272000000001</v>
      </c>
      <c r="AS283" s="452">
        <f t="shared" si="231"/>
        <v>178</v>
      </c>
      <c r="AT283" s="262">
        <f t="shared" si="232"/>
        <v>326570</v>
      </c>
      <c r="AU283" s="262">
        <f t="shared" si="233"/>
        <v>341938</v>
      </c>
      <c r="AV283" s="431">
        <f t="shared" si="234"/>
        <v>17</v>
      </c>
      <c r="AW283" s="431">
        <f t="array" ref="AW283">MAX((IF(MNU_CODIGO_ALIMENTO_ENTREGA=CONCATENATE($E283,"_","P_"),MNU_GRAMAJE_REQUERIDO_TIPOH,"")))</f>
        <v>100</v>
      </c>
      <c r="AX283" s="259">
        <f t="shared" si="235"/>
        <v>111</v>
      </c>
      <c r="AY283" s="259">
        <f t="shared" si="236"/>
        <v>1887</v>
      </c>
      <c r="AZ283" s="452">
        <f t="shared" si="237"/>
        <v>170</v>
      </c>
      <c r="BA283" s="452">
        <f t="shared" si="238"/>
        <v>8.2959999999999994</v>
      </c>
      <c r="BB283" s="452">
        <f t="shared" si="239"/>
        <v>0.14620272000000001</v>
      </c>
      <c r="BC283" s="452">
        <f t="shared" si="240"/>
        <v>178</v>
      </c>
      <c r="BD283" s="260">
        <f t="shared" si="241"/>
        <v>320790</v>
      </c>
      <c r="BE283" s="260">
        <f t="shared" si="242"/>
        <v>335886</v>
      </c>
      <c r="BF283" s="397">
        <f t="shared" si="243"/>
        <v>52491070</v>
      </c>
      <c r="BG283" s="397">
        <f t="shared" si="244"/>
        <v>54961238</v>
      </c>
    </row>
    <row r="284" spans="1:59" ht="15.75">
      <c r="A284" s="338">
        <v>21</v>
      </c>
      <c r="B284" s="338" t="str">
        <f t="shared" si="196"/>
        <v>FRUTA_21</v>
      </c>
      <c r="C284" s="338" t="str">
        <f t="shared" si="197"/>
        <v>46_21</v>
      </c>
      <c r="D284" s="338" t="s">
        <v>1</v>
      </c>
      <c r="E284" s="258">
        <v>46</v>
      </c>
      <c r="F284" s="328" t="s">
        <v>64</v>
      </c>
      <c r="G284" s="258" t="s">
        <v>9</v>
      </c>
      <c r="H284" s="431">
        <f t="shared" si="198"/>
        <v>30</v>
      </c>
      <c r="I284" s="431">
        <f t="array" ref="I284">MAX((IF(MNU_CODIGO_ALIMENTO_ENTREGA=CONCATENATE($E284,"_","P_"),MNU_GRAMAJE_REQUERIDO_TIPOA,"")))</f>
        <v>100</v>
      </c>
      <c r="J284" s="259">
        <f t="shared" si="199"/>
        <v>4488</v>
      </c>
      <c r="K284" s="259">
        <f t="shared" si="200"/>
        <v>134640</v>
      </c>
      <c r="L284" s="452">
        <f t="shared" si="201"/>
        <v>398</v>
      </c>
      <c r="M284" s="452">
        <f t="shared" si="202"/>
        <v>19.4224</v>
      </c>
      <c r="N284" s="452">
        <f t="shared" si="203"/>
        <v>0.34228636800000001</v>
      </c>
      <c r="O284" s="452">
        <f t="shared" si="204"/>
        <v>418</v>
      </c>
      <c r="P284" s="260">
        <f t="shared" si="205"/>
        <v>53586720</v>
      </c>
      <c r="Q284" s="260">
        <f t="shared" si="206"/>
        <v>56279520</v>
      </c>
      <c r="R284" s="432">
        <f t="shared" si="207"/>
        <v>21</v>
      </c>
      <c r="S284" s="432">
        <f t="array" ref="S284">MAX((IF(MNU_CODIGO_ALIMENTO_ENTREGA=CONCATENATE($E284,"_","P_"),MNU_GRAMAJE_REQUERIDO_TIPOB,"")))</f>
        <v>100</v>
      </c>
      <c r="T284" s="261">
        <f t="shared" si="208"/>
        <v>5854</v>
      </c>
      <c r="U284" s="261">
        <f t="shared" si="209"/>
        <v>122934</v>
      </c>
      <c r="V284" s="452">
        <f t="shared" si="210"/>
        <v>398</v>
      </c>
      <c r="W284" s="452">
        <f t="shared" si="211"/>
        <v>19.4224</v>
      </c>
      <c r="X284" s="452">
        <f t="shared" si="212"/>
        <v>0.34228636800000001</v>
      </c>
      <c r="Y284" s="452">
        <f t="shared" si="213"/>
        <v>418</v>
      </c>
      <c r="Z284" s="262">
        <f t="shared" si="214"/>
        <v>48927732</v>
      </c>
      <c r="AA284" s="262">
        <f t="shared" si="215"/>
        <v>51386412</v>
      </c>
      <c r="AB284" s="431">
        <f t="shared" si="216"/>
        <v>21</v>
      </c>
      <c r="AC284" s="431">
        <f t="array" ref="AC284">MAX((IF(MNU_CODIGO_ALIMENTO_ENTREGA=CONCATENATE($E284,"_","P_"),MNU_GRAMAJE_REQUERIDO_TIPOC,"")))</f>
        <v>100</v>
      </c>
      <c r="AD284" s="259">
        <f t="shared" si="217"/>
        <v>5749</v>
      </c>
      <c r="AE284" s="259">
        <f t="shared" si="218"/>
        <v>120729</v>
      </c>
      <c r="AF284" s="452">
        <f t="shared" si="219"/>
        <v>398</v>
      </c>
      <c r="AG284" s="452">
        <f t="shared" si="220"/>
        <v>19.4224</v>
      </c>
      <c r="AH284" s="452">
        <f t="shared" si="221"/>
        <v>0.34228636800000001</v>
      </c>
      <c r="AI284" s="452">
        <f t="shared" si="222"/>
        <v>418</v>
      </c>
      <c r="AJ284" s="260">
        <f t="shared" si="223"/>
        <v>48050142</v>
      </c>
      <c r="AK284" s="260">
        <f t="shared" si="224"/>
        <v>50464722</v>
      </c>
      <c r="AL284" s="432">
        <f t="shared" si="225"/>
        <v>21</v>
      </c>
      <c r="AM284" s="432">
        <f t="array" ref="AM284">MAX((IF(MNU_CODIGO_ALIMENTO_ENTREGA=CONCATENATE($E284,"_","P_"),MNU_GRAMAJE_REQUERIDO_TIPOM,"")))</f>
        <v>100</v>
      </c>
      <c r="AN284" s="261">
        <f t="shared" si="226"/>
        <v>113</v>
      </c>
      <c r="AO284" s="261">
        <f t="shared" si="227"/>
        <v>2373</v>
      </c>
      <c r="AP284" s="452">
        <f t="shared" si="228"/>
        <v>398</v>
      </c>
      <c r="AQ284" s="452">
        <f t="shared" si="229"/>
        <v>19.4224</v>
      </c>
      <c r="AR284" s="452">
        <f t="shared" si="230"/>
        <v>0.34228636800000001</v>
      </c>
      <c r="AS284" s="452">
        <f t="shared" si="231"/>
        <v>418</v>
      </c>
      <c r="AT284" s="262">
        <f t="shared" si="232"/>
        <v>944454</v>
      </c>
      <c r="AU284" s="262">
        <f t="shared" si="233"/>
        <v>991914</v>
      </c>
      <c r="AV284" s="431">
        <f t="shared" si="234"/>
        <v>21</v>
      </c>
      <c r="AW284" s="431">
        <f t="array" ref="AW284">MAX((IF(MNU_CODIGO_ALIMENTO_ENTREGA=CONCATENATE($E284,"_","P_"),MNU_GRAMAJE_REQUERIDO_TIPOH,"")))</f>
        <v>100</v>
      </c>
      <c r="AX284" s="259">
        <f t="shared" si="235"/>
        <v>111</v>
      </c>
      <c r="AY284" s="259">
        <f t="shared" si="236"/>
        <v>2331</v>
      </c>
      <c r="AZ284" s="452">
        <f t="shared" si="237"/>
        <v>398</v>
      </c>
      <c r="BA284" s="452">
        <f t="shared" si="238"/>
        <v>19.4224</v>
      </c>
      <c r="BB284" s="452">
        <f t="shared" si="239"/>
        <v>0.34228636800000001</v>
      </c>
      <c r="BC284" s="452">
        <f t="shared" si="240"/>
        <v>418</v>
      </c>
      <c r="BD284" s="260">
        <f t="shared" si="241"/>
        <v>927738</v>
      </c>
      <c r="BE284" s="260">
        <f t="shared" si="242"/>
        <v>974358</v>
      </c>
      <c r="BF284" s="397">
        <f t="shared" si="243"/>
        <v>152436786</v>
      </c>
      <c r="BG284" s="397">
        <f t="shared" si="244"/>
        <v>160096926</v>
      </c>
    </row>
    <row r="285" spans="1:59" ht="15.75">
      <c r="A285" s="338">
        <v>21</v>
      </c>
      <c r="B285" s="338" t="str">
        <f t="shared" si="196"/>
        <v>FRUTA_21</v>
      </c>
      <c r="C285" s="338" t="str">
        <f t="shared" si="197"/>
        <v>58_21</v>
      </c>
      <c r="D285" s="338" t="s">
        <v>1</v>
      </c>
      <c r="E285" s="258">
        <v>58</v>
      </c>
      <c r="F285" s="328" t="s">
        <v>67</v>
      </c>
      <c r="G285" s="258" t="s">
        <v>9</v>
      </c>
      <c r="H285" s="431">
        <f t="shared" si="198"/>
        <v>24</v>
      </c>
      <c r="I285" s="431">
        <f t="array" ref="I285">MAX((IF(MNU_CODIGO_ALIMENTO_ENTREGA=CONCATENATE($E285,"_","P_"),MNU_GRAMAJE_REQUERIDO_TIPOA,"")))</f>
        <v>100</v>
      </c>
      <c r="J285" s="259">
        <f t="shared" si="199"/>
        <v>4488</v>
      </c>
      <c r="K285" s="259">
        <f t="shared" si="200"/>
        <v>107712</v>
      </c>
      <c r="L285" s="452">
        <f t="shared" si="201"/>
        <v>154</v>
      </c>
      <c r="M285" s="452">
        <f t="shared" si="202"/>
        <v>7.515200000000001</v>
      </c>
      <c r="N285" s="452">
        <f t="shared" si="203"/>
        <v>0.13244246400000001</v>
      </c>
      <c r="O285" s="452">
        <f t="shared" si="204"/>
        <v>162</v>
      </c>
      <c r="P285" s="260">
        <f t="shared" si="205"/>
        <v>16587648</v>
      </c>
      <c r="Q285" s="260">
        <f t="shared" si="206"/>
        <v>17449344</v>
      </c>
      <c r="R285" s="432">
        <f t="shared" si="207"/>
        <v>23</v>
      </c>
      <c r="S285" s="432">
        <f t="array" ref="S285">MAX((IF(MNU_CODIGO_ALIMENTO_ENTREGA=CONCATENATE($E285,"_","P_"),MNU_GRAMAJE_REQUERIDO_TIPOB,"")))</f>
        <v>100</v>
      </c>
      <c r="T285" s="261">
        <f t="shared" si="208"/>
        <v>5854</v>
      </c>
      <c r="U285" s="261">
        <f t="shared" si="209"/>
        <v>134642</v>
      </c>
      <c r="V285" s="452">
        <f t="shared" si="210"/>
        <v>154</v>
      </c>
      <c r="W285" s="452">
        <f t="shared" si="211"/>
        <v>7.515200000000001</v>
      </c>
      <c r="X285" s="452">
        <f t="shared" si="212"/>
        <v>0.13244246400000001</v>
      </c>
      <c r="Y285" s="452">
        <f t="shared" si="213"/>
        <v>162</v>
      </c>
      <c r="Z285" s="262">
        <f t="shared" si="214"/>
        <v>20734868</v>
      </c>
      <c r="AA285" s="262">
        <f t="shared" si="215"/>
        <v>21812004</v>
      </c>
      <c r="AB285" s="431">
        <f t="shared" si="216"/>
        <v>23</v>
      </c>
      <c r="AC285" s="431">
        <f t="array" ref="AC285">MAX((IF(MNU_CODIGO_ALIMENTO_ENTREGA=CONCATENATE($E285,"_","P_"),MNU_GRAMAJE_REQUERIDO_TIPOC,"")))</f>
        <v>100</v>
      </c>
      <c r="AD285" s="259">
        <f t="shared" si="217"/>
        <v>5749</v>
      </c>
      <c r="AE285" s="259">
        <f t="shared" si="218"/>
        <v>132227</v>
      </c>
      <c r="AF285" s="452">
        <f t="shared" si="219"/>
        <v>154</v>
      </c>
      <c r="AG285" s="452">
        <f t="shared" si="220"/>
        <v>7.515200000000001</v>
      </c>
      <c r="AH285" s="452">
        <f t="shared" si="221"/>
        <v>0.13244246400000001</v>
      </c>
      <c r="AI285" s="452">
        <f t="shared" si="222"/>
        <v>162</v>
      </c>
      <c r="AJ285" s="260">
        <f t="shared" si="223"/>
        <v>20362958</v>
      </c>
      <c r="AK285" s="260">
        <f t="shared" si="224"/>
        <v>21420774</v>
      </c>
      <c r="AL285" s="432">
        <f t="shared" si="225"/>
        <v>23</v>
      </c>
      <c r="AM285" s="432">
        <f t="array" ref="AM285">MAX((IF(MNU_CODIGO_ALIMENTO_ENTREGA=CONCATENATE($E285,"_","P_"),MNU_GRAMAJE_REQUERIDO_TIPOM,"")))</f>
        <v>100</v>
      </c>
      <c r="AN285" s="261">
        <f t="shared" si="226"/>
        <v>113</v>
      </c>
      <c r="AO285" s="261">
        <f t="shared" si="227"/>
        <v>2599</v>
      </c>
      <c r="AP285" s="452">
        <f t="shared" si="228"/>
        <v>154</v>
      </c>
      <c r="AQ285" s="452">
        <f t="shared" si="229"/>
        <v>7.515200000000001</v>
      </c>
      <c r="AR285" s="452">
        <f t="shared" si="230"/>
        <v>0.13244246400000001</v>
      </c>
      <c r="AS285" s="452">
        <f t="shared" si="231"/>
        <v>162</v>
      </c>
      <c r="AT285" s="262">
        <f t="shared" si="232"/>
        <v>400246</v>
      </c>
      <c r="AU285" s="262">
        <f t="shared" si="233"/>
        <v>421038</v>
      </c>
      <c r="AV285" s="431">
        <f t="shared" si="234"/>
        <v>23</v>
      </c>
      <c r="AW285" s="431">
        <f t="array" ref="AW285">MAX((IF(MNU_CODIGO_ALIMENTO_ENTREGA=CONCATENATE($E285,"_","P_"),MNU_GRAMAJE_REQUERIDO_TIPOH,"")))</f>
        <v>100</v>
      </c>
      <c r="AX285" s="259">
        <f t="shared" si="235"/>
        <v>111</v>
      </c>
      <c r="AY285" s="259">
        <f t="shared" si="236"/>
        <v>2553</v>
      </c>
      <c r="AZ285" s="452">
        <f t="shared" si="237"/>
        <v>154</v>
      </c>
      <c r="BA285" s="452">
        <f t="shared" si="238"/>
        <v>7.515200000000001</v>
      </c>
      <c r="BB285" s="452">
        <f t="shared" si="239"/>
        <v>0.13244246400000001</v>
      </c>
      <c r="BC285" s="452">
        <f t="shared" si="240"/>
        <v>162</v>
      </c>
      <c r="BD285" s="260">
        <f t="shared" si="241"/>
        <v>393162</v>
      </c>
      <c r="BE285" s="260">
        <f t="shared" si="242"/>
        <v>413586</v>
      </c>
      <c r="BF285" s="397">
        <f t="shared" si="243"/>
        <v>58478882</v>
      </c>
      <c r="BG285" s="397">
        <f t="shared" si="244"/>
        <v>61516746</v>
      </c>
    </row>
    <row r="286" spans="1:59" ht="15.75">
      <c r="A286" s="338">
        <v>21</v>
      </c>
      <c r="B286" s="338" t="str">
        <f t="shared" si="196"/>
        <v>FRUTA_21</v>
      </c>
      <c r="C286" s="338" t="str">
        <f t="shared" si="197"/>
        <v>59_21</v>
      </c>
      <c r="D286" s="338" t="s">
        <v>1</v>
      </c>
      <c r="E286" s="258">
        <v>59</v>
      </c>
      <c r="F286" s="328" t="s">
        <v>99</v>
      </c>
      <c r="G286" s="258" t="s">
        <v>9</v>
      </c>
      <c r="H286" s="431">
        <f t="shared" si="198"/>
        <v>0</v>
      </c>
      <c r="I286" s="431">
        <f t="array" ref="I286">MAX((IF(MNU_CODIGO_ALIMENTO_ENTREGA=CONCATENATE($E286,"_","P_"),MNU_GRAMAJE_REQUERIDO_TIPOA,"")))</f>
        <v>0</v>
      </c>
      <c r="J286" s="259">
        <f t="shared" si="199"/>
        <v>4488</v>
      </c>
      <c r="K286" s="259">
        <f t="shared" si="200"/>
        <v>0</v>
      </c>
      <c r="L286" s="452">
        <f t="shared" si="201"/>
        <v>0</v>
      </c>
      <c r="M286" s="452">
        <f t="shared" si="202"/>
        <v>0</v>
      </c>
      <c r="N286" s="452">
        <f t="shared" si="203"/>
        <v>0</v>
      </c>
      <c r="O286" s="452">
        <f t="shared" si="204"/>
        <v>0</v>
      </c>
      <c r="P286" s="260">
        <f t="shared" si="205"/>
        <v>0</v>
      </c>
      <c r="Q286" s="260">
        <f t="shared" si="206"/>
        <v>0</v>
      </c>
      <c r="R286" s="432">
        <f t="shared" si="207"/>
        <v>8</v>
      </c>
      <c r="S286" s="432">
        <f t="array" ref="S286">MAX((IF(MNU_CODIGO_ALIMENTO_ENTREGA=CONCATENATE($E286,"_","P_"),MNU_GRAMAJE_REQUERIDO_TIPOB,"")))</f>
        <v>100</v>
      </c>
      <c r="T286" s="261">
        <f t="shared" si="208"/>
        <v>5854</v>
      </c>
      <c r="U286" s="261">
        <f t="shared" si="209"/>
        <v>46832</v>
      </c>
      <c r="V286" s="452">
        <f t="shared" si="210"/>
        <v>286</v>
      </c>
      <c r="W286" s="452">
        <f t="shared" si="211"/>
        <v>13.956800000000001</v>
      </c>
      <c r="X286" s="452">
        <f t="shared" si="212"/>
        <v>0.24596457599999999</v>
      </c>
      <c r="Y286" s="452">
        <f t="shared" si="213"/>
        <v>300</v>
      </c>
      <c r="Z286" s="262">
        <f t="shared" si="214"/>
        <v>13393952</v>
      </c>
      <c r="AA286" s="262">
        <f t="shared" si="215"/>
        <v>14049600</v>
      </c>
      <c r="AB286" s="431">
        <f t="shared" si="216"/>
        <v>8</v>
      </c>
      <c r="AC286" s="431">
        <f t="array" ref="AC286">MAX((IF(MNU_CODIGO_ALIMENTO_ENTREGA=CONCATENATE($E286,"_","P_"),MNU_GRAMAJE_REQUERIDO_TIPOC,"")))</f>
        <v>100</v>
      </c>
      <c r="AD286" s="259">
        <f t="shared" si="217"/>
        <v>5749</v>
      </c>
      <c r="AE286" s="259">
        <f t="shared" si="218"/>
        <v>45992</v>
      </c>
      <c r="AF286" s="452">
        <f t="shared" si="219"/>
        <v>286</v>
      </c>
      <c r="AG286" s="452">
        <f t="shared" si="220"/>
        <v>13.956800000000001</v>
      </c>
      <c r="AH286" s="452">
        <f t="shared" si="221"/>
        <v>0.24596457599999999</v>
      </c>
      <c r="AI286" s="452">
        <f t="shared" si="222"/>
        <v>300</v>
      </c>
      <c r="AJ286" s="260">
        <f t="shared" si="223"/>
        <v>13153712</v>
      </c>
      <c r="AK286" s="260">
        <f t="shared" si="224"/>
        <v>13797600</v>
      </c>
      <c r="AL286" s="432">
        <f t="shared" si="225"/>
        <v>8</v>
      </c>
      <c r="AM286" s="432">
        <f t="array" ref="AM286">MAX((IF(MNU_CODIGO_ALIMENTO_ENTREGA=CONCATENATE($E286,"_","P_"),MNU_GRAMAJE_REQUERIDO_TIPOM,"")))</f>
        <v>100</v>
      </c>
      <c r="AN286" s="261">
        <f t="shared" si="226"/>
        <v>113</v>
      </c>
      <c r="AO286" s="261">
        <f t="shared" si="227"/>
        <v>904</v>
      </c>
      <c r="AP286" s="452">
        <f t="shared" si="228"/>
        <v>286</v>
      </c>
      <c r="AQ286" s="452">
        <f t="shared" si="229"/>
        <v>13.956800000000001</v>
      </c>
      <c r="AR286" s="452">
        <f t="shared" si="230"/>
        <v>0.24596457599999999</v>
      </c>
      <c r="AS286" s="452">
        <f t="shared" si="231"/>
        <v>300</v>
      </c>
      <c r="AT286" s="262">
        <f t="shared" si="232"/>
        <v>258544</v>
      </c>
      <c r="AU286" s="262">
        <f t="shared" si="233"/>
        <v>271200</v>
      </c>
      <c r="AV286" s="431">
        <f t="shared" si="234"/>
        <v>8</v>
      </c>
      <c r="AW286" s="431">
        <f t="array" ref="AW286">MAX((IF(MNU_CODIGO_ALIMENTO_ENTREGA=CONCATENATE($E286,"_","P_"),MNU_GRAMAJE_REQUERIDO_TIPOH,"")))</f>
        <v>100</v>
      </c>
      <c r="AX286" s="259">
        <f t="shared" si="235"/>
        <v>111</v>
      </c>
      <c r="AY286" s="259">
        <f t="shared" si="236"/>
        <v>888</v>
      </c>
      <c r="AZ286" s="452">
        <f t="shared" si="237"/>
        <v>286</v>
      </c>
      <c r="BA286" s="452">
        <f t="shared" si="238"/>
        <v>13.956800000000001</v>
      </c>
      <c r="BB286" s="452">
        <f t="shared" si="239"/>
        <v>0.24596457599999999</v>
      </c>
      <c r="BC286" s="452">
        <f t="shared" si="240"/>
        <v>300</v>
      </c>
      <c r="BD286" s="260">
        <f t="shared" si="241"/>
        <v>253968</v>
      </c>
      <c r="BE286" s="260">
        <f t="shared" si="242"/>
        <v>266400</v>
      </c>
      <c r="BF286" s="397">
        <f t="shared" si="243"/>
        <v>27060176</v>
      </c>
      <c r="BG286" s="397">
        <f t="shared" si="244"/>
        <v>28384800</v>
      </c>
    </row>
    <row r="287" spans="1:59" ht="15.75">
      <c r="A287" s="338">
        <v>21</v>
      </c>
      <c r="B287" s="338" t="str">
        <f t="shared" si="196"/>
        <v>FRUTA_21</v>
      </c>
      <c r="C287" s="338" t="str">
        <f t="shared" si="197"/>
        <v>69_21</v>
      </c>
      <c r="D287" s="338" t="s">
        <v>1</v>
      </c>
      <c r="E287" s="258">
        <v>69</v>
      </c>
      <c r="F287" s="328" t="s">
        <v>70</v>
      </c>
      <c r="G287" s="258" t="s">
        <v>9</v>
      </c>
      <c r="H287" s="431">
        <f t="shared" si="198"/>
        <v>30</v>
      </c>
      <c r="I287" s="431">
        <f t="array" ref="I287">MAX((IF(MNU_CODIGO_ALIMENTO_ENTREGA=CONCATENATE($E287,"_","P_"),MNU_GRAMAJE_REQUERIDO_TIPOA,"")))</f>
        <v>100</v>
      </c>
      <c r="J287" s="259">
        <f t="shared" si="199"/>
        <v>4488</v>
      </c>
      <c r="K287" s="259">
        <f t="shared" si="200"/>
        <v>134640</v>
      </c>
      <c r="L287" s="452">
        <f t="shared" si="201"/>
        <v>305</v>
      </c>
      <c r="M287" s="452">
        <f t="shared" si="202"/>
        <v>14.884</v>
      </c>
      <c r="N287" s="452">
        <f t="shared" si="203"/>
        <v>0.26230488000000002</v>
      </c>
      <c r="O287" s="452">
        <f t="shared" si="204"/>
        <v>320</v>
      </c>
      <c r="P287" s="260">
        <f t="shared" si="205"/>
        <v>41065200</v>
      </c>
      <c r="Q287" s="260">
        <f t="shared" si="206"/>
        <v>43084800</v>
      </c>
      <c r="R287" s="432">
        <f t="shared" si="207"/>
        <v>16</v>
      </c>
      <c r="S287" s="432">
        <f t="array" ref="S287">MAX((IF(MNU_CODIGO_ALIMENTO_ENTREGA=CONCATENATE($E287,"_","P_"),MNU_GRAMAJE_REQUERIDO_TIPOB,"")))</f>
        <v>100</v>
      </c>
      <c r="T287" s="261">
        <f t="shared" si="208"/>
        <v>5854</v>
      </c>
      <c r="U287" s="261">
        <f t="shared" si="209"/>
        <v>93664</v>
      </c>
      <c r="V287" s="452">
        <f t="shared" si="210"/>
        <v>305</v>
      </c>
      <c r="W287" s="452">
        <f t="shared" si="211"/>
        <v>14.884</v>
      </c>
      <c r="X287" s="452">
        <f t="shared" si="212"/>
        <v>0.26230488000000002</v>
      </c>
      <c r="Y287" s="452">
        <f t="shared" si="213"/>
        <v>320</v>
      </c>
      <c r="Z287" s="262">
        <f t="shared" si="214"/>
        <v>28567520</v>
      </c>
      <c r="AA287" s="262">
        <f t="shared" si="215"/>
        <v>29972480</v>
      </c>
      <c r="AB287" s="431">
        <f t="shared" si="216"/>
        <v>16</v>
      </c>
      <c r="AC287" s="431">
        <f t="array" ref="AC287">MAX((IF(MNU_CODIGO_ALIMENTO_ENTREGA=CONCATENATE($E287,"_","P_"),MNU_GRAMAJE_REQUERIDO_TIPOC,"")))</f>
        <v>100</v>
      </c>
      <c r="AD287" s="259">
        <f t="shared" si="217"/>
        <v>5749</v>
      </c>
      <c r="AE287" s="259">
        <f t="shared" si="218"/>
        <v>91984</v>
      </c>
      <c r="AF287" s="452">
        <f t="shared" si="219"/>
        <v>305</v>
      </c>
      <c r="AG287" s="452">
        <f t="shared" si="220"/>
        <v>14.884</v>
      </c>
      <c r="AH287" s="452">
        <f t="shared" si="221"/>
        <v>0.26230488000000002</v>
      </c>
      <c r="AI287" s="452">
        <f t="shared" si="222"/>
        <v>320</v>
      </c>
      <c r="AJ287" s="260">
        <f t="shared" si="223"/>
        <v>28055120</v>
      </c>
      <c r="AK287" s="260">
        <f t="shared" si="224"/>
        <v>29434880</v>
      </c>
      <c r="AL287" s="432">
        <f t="shared" si="225"/>
        <v>16</v>
      </c>
      <c r="AM287" s="432">
        <f t="array" ref="AM287">MAX((IF(MNU_CODIGO_ALIMENTO_ENTREGA=CONCATENATE($E287,"_","P_"),MNU_GRAMAJE_REQUERIDO_TIPOM,"")))</f>
        <v>100</v>
      </c>
      <c r="AN287" s="261">
        <f t="shared" si="226"/>
        <v>113</v>
      </c>
      <c r="AO287" s="261">
        <f t="shared" si="227"/>
        <v>1808</v>
      </c>
      <c r="AP287" s="452">
        <f t="shared" si="228"/>
        <v>305</v>
      </c>
      <c r="AQ287" s="452">
        <f t="shared" si="229"/>
        <v>14.884</v>
      </c>
      <c r="AR287" s="452">
        <f t="shared" si="230"/>
        <v>0.26230488000000002</v>
      </c>
      <c r="AS287" s="452">
        <f t="shared" si="231"/>
        <v>320</v>
      </c>
      <c r="AT287" s="262">
        <f t="shared" si="232"/>
        <v>551440</v>
      </c>
      <c r="AU287" s="262">
        <f t="shared" si="233"/>
        <v>578560</v>
      </c>
      <c r="AV287" s="431">
        <f t="shared" si="234"/>
        <v>16</v>
      </c>
      <c r="AW287" s="431">
        <f t="array" ref="AW287">MAX((IF(MNU_CODIGO_ALIMENTO_ENTREGA=CONCATENATE($E287,"_","P_"),MNU_GRAMAJE_REQUERIDO_TIPOH,"")))</f>
        <v>100</v>
      </c>
      <c r="AX287" s="259">
        <f t="shared" si="235"/>
        <v>111</v>
      </c>
      <c r="AY287" s="259">
        <f t="shared" si="236"/>
        <v>1776</v>
      </c>
      <c r="AZ287" s="452">
        <f t="shared" si="237"/>
        <v>305</v>
      </c>
      <c r="BA287" s="452">
        <f t="shared" si="238"/>
        <v>14.884</v>
      </c>
      <c r="BB287" s="452">
        <f t="shared" si="239"/>
        <v>0.26230488000000002</v>
      </c>
      <c r="BC287" s="452">
        <f t="shared" si="240"/>
        <v>320</v>
      </c>
      <c r="BD287" s="260">
        <f t="shared" si="241"/>
        <v>541680</v>
      </c>
      <c r="BE287" s="260">
        <f t="shared" si="242"/>
        <v>568320</v>
      </c>
      <c r="BF287" s="397">
        <f t="shared" si="243"/>
        <v>98780960</v>
      </c>
      <c r="BG287" s="397">
        <f t="shared" si="244"/>
        <v>103639040</v>
      </c>
    </row>
    <row r="288" spans="1:59" ht="15.75">
      <c r="A288" s="338">
        <v>21</v>
      </c>
      <c r="B288" s="338" t="str">
        <f t="shared" si="196"/>
        <v>FRUTA_21</v>
      </c>
      <c r="C288" s="338" t="str">
        <f t="shared" si="197"/>
        <v>70_21</v>
      </c>
      <c r="D288" s="338" t="s">
        <v>1</v>
      </c>
      <c r="E288" s="258">
        <v>70</v>
      </c>
      <c r="F288" s="328" t="s">
        <v>71</v>
      </c>
      <c r="G288" s="258" t="s">
        <v>9</v>
      </c>
      <c r="H288" s="431">
        <f t="shared" si="198"/>
        <v>0</v>
      </c>
      <c r="I288" s="431">
        <f t="array" ref="I288">MAX((IF(MNU_CODIGO_ALIMENTO_ENTREGA=CONCATENATE($E288,"_","P_"),MNU_GRAMAJE_REQUERIDO_TIPOA,"")))</f>
        <v>0</v>
      </c>
      <c r="J288" s="259">
        <f t="shared" si="199"/>
        <v>4488</v>
      </c>
      <c r="K288" s="259">
        <f t="shared" si="200"/>
        <v>0</v>
      </c>
      <c r="L288" s="452">
        <f t="shared" si="201"/>
        <v>0</v>
      </c>
      <c r="M288" s="452">
        <f t="shared" si="202"/>
        <v>0</v>
      </c>
      <c r="N288" s="452">
        <f t="shared" si="203"/>
        <v>0</v>
      </c>
      <c r="O288" s="452">
        <f t="shared" si="204"/>
        <v>0</v>
      </c>
      <c r="P288" s="260">
        <f t="shared" si="205"/>
        <v>0</v>
      </c>
      <c r="Q288" s="260">
        <f t="shared" si="206"/>
        <v>0</v>
      </c>
      <c r="R288" s="432">
        <f t="shared" si="207"/>
        <v>10</v>
      </c>
      <c r="S288" s="432">
        <f t="array" ref="S288">MAX((IF(MNU_CODIGO_ALIMENTO_ENTREGA=CONCATENATE($E288,"_","P_"),MNU_GRAMAJE_REQUERIDO_TIPOB,"")))</f>
        <v>100</v>
      </c>
      <c r="T288" s="261">
        <f t="shared" si="208"/>
        <v>5854</v>
      </c>
      <c r="U288" s="261">
        <f t="shared" si="209"/>
        <v>58540</v>
      </c>
      <c r="V288" s="452">
        <f t="shared" si="210"/>
        <v>434</v>
      </c>
      <c r="W288" s="452">
        <f t="shared" si="211"/>
        <v>21.179200000000002</v>
      </c>
      <c r="X288" s="452">
        <f t="shared" si="212"/>
        <v>0.37324694399999997</v>
      </c>
      <c r="Y288" s="452">
        <f t="shared" si="213"/>
        <v>456</v>
      </c>
      <c r="Z288" s="262">
        <f t="shared" si="214"/>
        <v>25406360</v>
      </c>
      <c r="AA288" s="262">
        <f t="shared" si="215"/>
        <v>26694240</v>
      </c>
      <c r="AB288" s="431">
        <f t="shared" si="216"/>
        <v>10</v>
      </c>
      <c r="AC288" s="431">
        <f t="array" ref="AC288">MAX((IF(MNU_CODIGO_ALIMENTO_ENTREGA=CONCATENATE($E288,"_","P_"),MNU_GRAMAJE_REQUERIDO_TIPOC,"")))</f>
        <v>100</v>
      </c>
      <c r="AD288" s="259">
        <f t="shared" si="217"/>
        <v>5749</v>
      </c>
      <c r="AE288" s="259">
        <f t="shared" si="218"/>
        <v>57490</v>
      </c>
      <c r="AF288" s="452">
        <f t="shared" si="219"/>
        <v>434</v>
      </c>
      <c r="AG288" s="452">
        <f t="shared" si="220"/>
        <v>21.179200000000002</v>
      </c>
      <c r="AH288" s="452">
        <f t="shared" si="221"/>
        <v>0.37324694399999997</v>
      </c>
      <c r="AI288" s="452">
        <f t="shared" si="222"/>
        <v>456</v>
      </c>
      <c r="AJ288" s="260">
        <f t="shared" si="223"/>
        <v>24950660</v>
      </c>
      <c r="AK288" s="260">
        <f t="shared" si="224"/>
        <v>26215440</v>
      </c>
      <c r="AL288" s="432">
        <f t="shared" si="225"/>
        <v>10</v>
      </c>
      <c r="AM288" s="432">
        <f t="array" ref="AM288">MAX((IF(MNU_CODIGO_ALIMENTO_ENTREGA=CONCATENATE($E288,"_","P_"),MNU_GRAMAJE_REQUERIDO_TIPOM,"")))</f>
        <v>100</v>
      </c>
      <c r="AN288" s="261">
        <f t="shared" si="226"/>
        <v>113</v>
      </c>
      <c r="AO288" s="261">
        <f t="shared" si="227"/>
        <v>1130</v>
      </c>
      <c r="AP288" s="452">
        <f t="shared" si="228"/>
        <v>434</v>
      </c>
      <c r="AQ288" s="452">
        <f t="shared" si="229"/>
        <v>21.179200000000002</v>
      </c>
      <c r="AR288" s="452">
        <f t="shared" si="230"/>
        <v>0.37324694399999997</v>
      </c>
      <c r="AS288" s="452">
        <f t="shared" si="231"/>
        <v>456</v>
      </c>
      <c r="AT288" s="262">
        <f t="shared" si="232"/>
        <v>490420</v>
      </c>
      <c r="AU288" s="262">
        <f t="shared" si="233"/>
        <v>515280</v>
      </c>
      <c r="AV288" s="431">
        <f t="shared" si="234"/>
        <v>10</v>
      </c>
      <c r="AW288" s="431">
        <f t="array" ref="AW288">MAX((IF(MNU_CODIGO_ALIMENTO_ENTREGA=CONCATENATE($E288,"_","P_"),MNU_GRAMAJE_REQUERIDO_TIPOH,"")))</f>
        <v>100</v>
      </c>
      <c r="AX288" s="259">
        <f t="shared" si="235"/>
        <v>111</v>
      </c>
      <c r="AY288" s="259">
        <f t="shared" si="236"/>
        <v>1110</v>
      </c>
      <c r="AZ288" s="452">
        <f t="shared" si="237"/>
        <v>434</v>
      </c>
      <c r="BA288" s="452">
        <f t="shared" si="238"/>
        <v>21.179200000000002</v>
      </c>
      <c r="BB288" s="452">
        <f t="shared" si="239"/>
        <v>0.37324694399999997</v>
      </c>
      <c r="BC288" s="452">
        <f t="shared" si="240"/>
        <v>456</v>
      </c>
      <c r="BD288" s="260">
        <f t="shared" si="241"/>
        <v>481740</v>
      </c>
      <c r="BE288" s="260">
        <f t="shared" si="242"/>
        <v>506160</v>
      </c>
      <c r="BF288" s="397">
        <f t="shared" si="243"/>
        <v>51329180</v>
      </c>
      <c r="BG288" s="397">
        <f t="shared" si="244"/>
        <v>53931120</v>
      </c>
    </row>
    <row r="289" spans="1:59" ht="15.75">
      <c r="A289" s="338">
        <v>22</v>
      </c>
      <c r="B289" s="338" t="str">
        <f t="shared" si="196"/>
        <v>FRUTA_22</v>
      </c>
      <c r="C289" s="338" t="str">
        <f t="shared" si="197"/>
        <v>7_22</v>
      </c>
      <c r="D289" s="338" t="s">
        <v>1</v>
      </c>
      <c r="E289" s="258">
        <v>7</v>
      </c>
      <c r="F289" s="328" t="s">
        <v>57</v>
      </c>
      <c r="G289" s="258" t="s">
        <v>9</v>
      </c>
      <c r="H289" s="431">
        <f t="shared" si="198"/>
        <v>22</v>
      </c>
      <c r="I289" s="431">
        <f t="array" ref="I289">MAX((IF(MNU_CODIGO_ALIMENTO_ENTREGA=CONCATENATE($E289,"_","P_"),MNU_GRAMAJE_REQUERIDO_TIPOA,"")))</f>
        <v>100</v>
      </c>
      <c r="J289" s="259">
        <f t="shared" si="199"/>
        <v>5114</v>
      </c>
      <c r="K289" s="259">
        <f t="shared" si="200"/>
        <v>112508</v>
      </c>
      <c r="L289" s="452">
        <f t="shared" si="201"/>
        <v>107</v>
      </c>
      <c r="M289" s="452">
        <f t="shared" si="202"/>
        <v>5.2216000000000005</v>
      </c>
      <c r="N289" s="452">
        <f t="shared" si="203"/>
        <v>9.2021712000000006E-2</v>
      </c>
      <c r="O289" s="452">
        <f t="shared" si="204"/>
        <v>112</v>
      </c>
      <c r="P289" s="260">
        <f t="shared" si="205"/>
        <v>12038356</v>
      </c>
      <c r="Q289" s="260">
        <f t="shared" si="206"/>
        <v>12600896</v>
      </c>
      <c r="R289" s="432">
        <f t="shared" si="207"/>
        <v>9</v>
      </c>
      <c r="S289" s="432">
        <f t="array" ref="S289">MAX((IF(MNU_CODIGO_ALIMENTO_ENTREGA=CONCATENATE($E289,"_","P_"),MNU_GRAMAJE_REQUERIDO_TIPOB,"")))</f>
        <v>100</v>
      </c>
      <c r="T289" s="261">
        <f t="shared" si="208"/>
        <v>5775</v>
      </c>
      <c r="U289" s="261">
        <f t="shared" si="209"/>
        <v>51975</v>
      </c>
      <c r="V289" s="452">
        <f t="shared" si="210"/>
        <v>107</v>
      </c>
      <c r="W289" s="452">
        <f t="shared" si="211"/>
        <v>5.2216000000000005</v>
      </c>
      <c r="X289" s="452">
        <f t="shared" si="212"/>
        <v>9.2021712000000006E-2</v>
      </c>
      <c r="Y289" s="452">
        <f t="shared" si="213"/>
        <v>112</v>
      </c>
      <c r="Z289" s="262">
        <f t="shared" si="214"/>
        <v>5561325</v>
      </c>
      <c r="AA289" s="262">
        <f t="shared" si="215"/>
        <v>5821200</v>
      </c>
      <c r="AB289" s="431">
        <f t="shared" si="216"/>
        <v>9</v>
      </c>
      <c r="AC289" s="431">
        <f t="array" ref="AC289">MAX((IF(MNU_CODIGO_ALIMENTO_ENTREGA=CONCATENATE($E289,"_","P_"),MNU_GRAMAJE_REQUERIDO_TIPOC,"")))</f>
        <v>100</v>
      </c>
      <c r="AD289" s="259">
        <f t="shared" si="217"/>
        <v>5688</v>
      </c>
      <c r="AE289" s="259">
        <f t="shared" si="218"/>
        <v>51192</v>
      </c>
      <c r="AF289" s="452">
        <f t="shared" si="219"/>
        <v>107</v>
      </c>
      <c r="AG289" s="452">
        <f t="shared" si="220"/>
        <v>5.2216000000000005</v>
      </c>
      <c r="AH289" s="452">
        <f t="shared" si="221"/>
        <v>9.2021712000000006E-2</v>
      </c>
      <c r="AI289" s="452">
        <f t="shared" si="222"/>
        <v>112</v>
      </c>
      <c r="AJ289" s="260">
        <f t="shared" si="223"/>
        <v>5477544</v>
      </c>
      <c r="AK289" s="260">
        <f t="shared" si="224"/>
        <v>5733504</v>
      </c>
      <c r="AL289" s="432">
        <f t="shared" si="225"/>
        <v>9</v>
      </c>
      <c r="AM289" s="432">
        <f t="array" ref="AM289">MAX((IF(MNU_CODIGO_ALIMENTO_ENTREGA=CONCATENATE($E289,"_","P_"),MNU_GRAMAJE_REQUERIDO_TIPOM,"")))</f>
        <v>100</v>
      </c>
      <c r="AN289" s="261">
        <f t="shared" si="226"/>
        <v>745</v>
      </c>
      <c r="AO289" s="261">
        <f t="shared" si="227"/>
        <v>6705</v>
      </c>
      <c r="AP289" s="452">
        <f t="shared" si="228"/>
        <v>107</v>
      </c>
      <c r="AQ289" s="452">
        <f t="shared" si="229"/>
        <v>5.2216000000000005</v>
      </c>
      <c r="AR289" s="452">
        <f t="shared" si="230"/>
        <v>9.2021712000000006E-2</v>
      </c>
      <c r="AS289" s="452">
        <f t="shared" si="231"/>
        <v>112</v>
      </c>
      <c r="AT289" s="262">
        <f t="shared" si="232"/>
        <v>717435</v>
      </c>
      <c r="AU289" s="262">
        <f t="shared" si="233"/>
        <v>750960</v>
      </c>
      <c r="AV289" s="431">
        <f t="shared" si="234"/>
        <v>9</v>
      </c>
      <c r="AW289" s="431">
        <f t="array" ref="AW289">MAX((IF(MNU_CODIGO_ALIMENTO_ENTREGA=CONCATENATE($E289,"_","P_"),MNU_GRAMAJE_REQUERIDO_TIPOH,"")))</f>
        <v>100</v>
      </c>
      <c r="AX289" s="259">
        <f t="shared" si="235"/>
        <v>697</v>
      </c>
      <c r="AY289" s="259">
        <f t="shared" si="236"/>
        <v>6273</v>
      </c>
      <c r="AZ289" s="452">
        <f t="shared" si="237"/>
        <v>107</v>
      </c>
      <c r="BA289" s="452">
        <f t="shared" si="238"/>
        <v>5.2216000000000005</v>
      </c>
      <c r="BB289" s="452">
        <f t="shared" si="239"/>
        <v>9.2021712000000006E-2</v>
      </c>
      <c r="BC289" s="452">
        <f t="shared" si="240"/>
        <v>112</v>
      </c>
      <c r="BD289" s="260">
        <f t="shared" si="241"/>
        <v>671211</v>
      </c>
      <c r="BE289" s="260">
        <f t="shared" si="242"/>
        <v>702576</v>
      </c>
      <c r="BF289" s="397">
        <f t="shared" si="243"/>
        <v>24465871</v>
      </c>
      <c r="BG289" s="397">
        <f t="shared" si="244"/>
        <v>25609136</v>
      </c>
    </row>
    <row r="290" spans="1:59" ht="15.75">
      <c r="A290" s="338">
        <v>22</v>
      </c>
      <c r="B290" s="338" t="str">
        <f t="shared" si="196"/>
        <v>FRUTA_22</v>
      </c>
      <c r="C290" s="338" t="str">
        <f t="shared" si="197"/>
        <v>8_22</v>
      </c>
      <c r="D290" s="338" t="s">
        <v>1</v>
      </c>
      <c r="E290" s="258">
        <v>8</v>
      </c>
      <c r="F290" s="328" t="s">
        <v>55</v>
      </c>
      <c r="G290" s="258" t="s">
        <v>9</v>
      </c>
      <c r="H290" s="431">
        <f t="shared" si="198"/>
        <v>10</v>
      </c>
      <c r="I290" s="431">
        <f t="array" ref="I290">MAX((IF(MNU_CODIGO_ALIMENTO_ENTREGA=CONCATENATE($E290,"_","P_"),MNU_GRAMAJE_REQUERIDO_TIPOA,"")))</f>
        <v>100</v>
      </c>
      <c r="J290" s="259">
        <f t="shared" si="199"/>
        <v>5114</v>
      </c>
      <c r="K290" s="259">
        <f t="shared" si="200"/>
        <v>51140</v>
      </c>
      <c r="L290" s="452">
        <f t="shared" si="201"/>
        <v>134</v>
      </c>
      <c r="M290" s="452">
        <f t="shared" si="202"/>
        <v>6.539200000000001</v>
      </c>
      <c r="N290" s="452">
        <f t="shared" si="203"/>
        <v>0.115242144</v>
      </c>
      <c r="O290" s="452">
        <f t="shared" si="204"/>
        <v>141</v>
      </c>
      <c r="P290" s="260">
        <f t="shared" si="205"/>
        <v>6852760</v>
      </c>
      <c r="Q290" s="260">
        <f t="shared" si="206"/>
        <v>7210740</v>
      </c>
      <c r="R290" s="432">
        <f t="shared" si="207"/>
        <v>8</v>
      </c>
      <c r="S290" s="432">
        <f t="array" ref="S290">MAX((IF(MNU_CODIGO_ALIMENTO_ENTREGA=CONCATENATE($E290,"_","P_"),MNU_GRAMAJE_REQUERIDO_TIPOB,"")))</f>
        <v>100</v>
      </c>
      <c r="T290" s="261">
        <f t="shared" si="208"/>
        <v>5775</v>
      </c>
      <c r="U290" s="261">
        <f t="shared" si="209"/>
        <v>46200</v>
      </c>
      <c r="V290" s="452">
        <f t="shared" si="210"/>
        <v>134</v>
      </c>
      <c r="W290" s="452">
        <f t="shared" si="211"/>
        <v>6.539200000000001</v>
      </c>
      <c r="X290" s="452">
        <f t="shared" si="212"/>
        <v>0.115242144</v>
      </c>
      <c r="Y290" s="452">
        <f t="shared" si="213"/>
        <v>141</v>
      </c>
      <c r="Z290" s="262">
        <f t="shared" si="214"/>
        <v>6190800</v>
      </c>
      <c r="AA290" s="262">
        <f t="shared" si="215"/>
        <v>6514200</v>
      </c>
      <c r="AB290" s="431">
        <f t="shared" si="216"/>
        <v>8</v>
      </c>
      <c r="AC290" s="431">
        <f t="array" ref="AC290">MAX((IF(MNU_CODIGO_ALIMENTO_ENTREGA=CONCATENATE($E290,"_","P_"),MNU_GRAMAJE_REQUERIDO_TIPOC,"")))</f>
        <v>100</v>
      </c>
      <c r="AD290" s="259">
        <f t="shared" si="217"/>
        <v>5688</v>
      </c>
      <c r="AE290" s="259">
        <f t="shared" si="218"/>
        <v>45504</v>
      </c>
      <c r="AF290" s="452">
        <f t="shared" si="219"/>
        <v>134</v>
      </c>
      <c r="AG290" s="452">
        <f t="shared" si="220"/>
        <v>6.539200000000001</v>
      </c>
      <c r="AH290" s="452">
        <f t="shared" si="221"/>
        <v>0.115242144</v>
      </c>
      <c r="AI290" s="452">
        <f t="shared" si="222"/>
        <v>141</v>
      </c>
      <c r="AJ290" s="260">
        <f t="shared" si="223"/>
        <v>6097536</v>
      </c>
      <c r="AK290" s="260">
        <f t="shared" si="224"/>
        <v>6416064</v>
      </c>
      <c r="AL290" s="432">
        <f t="shared" si="225"/>
        <v>8</v>
      </c>
      <c r="AM290" s="432">
        <f t="array" ref="AM290">MAX((IF(MNU_CODIGO_ALIMENTO_ENTREGA=CONCATENATE($E290,"_","P_"),MNU_GRAMAJE_REQUERIDO_TIPOM,"")))</f>
        <v>100</v>
      </c>
      <c r="AN290" s="261">
        <f t="shared" si="226"/>
        <v>745</v>
      </c>
      <c r="AO290" s="261">
        <f t="shared" si="227"/>
        <v>5960</v>
      </c>
      <c r="AP290" s="452">
        <f t="shared" si="228"/>
        <v>134</v>
      </c>
      <c r="AQ290" s="452">
        <f t="shared" si="229"/>
        <v>6.539200000000001</v>
      </c>
      <c r="AR290" s="452">
        <f t="shared" si="230"/>
        <v>0.115242144</v>
      </c>
      <c r="AS290" s="452">
        <f t="shared" si="231"/>
        <v>141</v>
      </c>
      <c r="AT290" s="262">
        <f t="shared" si="232"/>
        <v>798640</v>
      </c>
      <c r="AU290" s="262">
        <f t="shared" si="233"/>
        <v>840360</v>
      </c>
      <c r="AV290" s="431">
        <f t="shared" si="234"/>
        <v>8</v>
      </c>
      <c r="AW290" s="431">
        <f t="array" ref="AW290">MAX((IF(MNU_CODIGO_ALIMENTO_ENTREGA=CONCATENATE($E290,"_","P_"),MNU_GRAMAJE_REQUERIDO_TIPOH,"")))</f>
        <v>100</v>
      </c>
      <c r="AX290" s="259">
        <f t="shared" si="235"/>
        <v>697</v>
      </c>
      <c r="AY290" s="259">
        <f t="shared" si="236"/>
        <v>5576</v>
      </c>
      <c r="AZ290" s="452">
        <f t="shared" si="237"/>
        <v>134</v>
      </c>
      <c r="BA290" s="452">
        <f t="shared" si="238"/>
        <v>6.539200000000001</v>
      </c>
      <c r="BB290" s="452">
        <f t="shared" si="239"/>
        <v>0.115242144</v>
      </c>
      <c r="BC290" s="452">
        <f t="shared" si="240"/>
        <v>141</v>
      </c>
      <c r="BD290" s="260">
        <f t="shared" si="241"/>
        <v>747184</v>
      </c>
      <c r="BE290" s="260">
        <f t="shared" si="242"/>
        <v>786216</v>
      </c>
      <c r="BF290" s="397">
        <f t="shared" si="243"/>
        <v>20686920</v>
      </c>
      <c r="BG290" s="397">
        <f t="shared" si="244"/>
        <v>21767580</v>
      </c>
    </row>
    <row r="291" spans="1:59" ht="15.75">
      <c r="A291" s="338">
        <v>22</v>
      </c>
      <c r="B291" s="338" t="str">
        <f t="shared" si="196"/>
        <v>FRUTA_22</v>
      </c>
      <c r="C291" s="338" t="str">
        <f t="shared" si="197"/>
        <v>17_22</v>
      </c>
      <c r="D291" s="338" t="s">
        <v>1</v>
      </c>
      <c r="E291" s="258">
        <v>17</v>
      </c>
      <c r="F291" s="328" t="s">
        <v>53</v>
      </c>
      <c r="G291" s="258" t="s">
        <v>9</v>
      </c>
      <c r="H291" s="431">
        <f t="shared" si="198"/>
        <v>0</v>
      </c>
      <c r="I291" s="431">
        <f t="array" ref="I291">MAX((IF(MNU_CODIGO_ALIMENTO_ENTREGA=CONCATENATE($E291,"_","P_"),MNU_GRAMAJE_REQUERIDO_TIPOA,"")))</f>
        <v>0</v>
      </c>
      <c r="J291" s="259">
        <f t="shared" si="199"/>
        <v>5114</v>
      </c>
      <c r="K291" s="259">
        <f t="shared" si="200"/>
        <v>0</v>
      </c>
      <c r="L291" s="452">
        <f t="shared" si="201"/>
        <v>0</v>
      </c>
      <c r="M291" s="452">
        <f t="shared" si="202"/>
        <v>0</v>
      </c>
      <c r="N291" s="452">
        <f t="shared" si="203"/>
        <v>0</v>
      </c>
      <c r="O291" s="452">
        <f t="shared" si="204"/>
        <v>0</v>
      </c>
      <c r="P291" s="260">
        <f t="shared" si="205"/>
        <v>0</v>
      </c>
      <c r="Q291" s="260">
        <f t="shared" si="206"/>
        <v>0</v>
      </c>
      <c r="R291" s="432">
        <f t="shared" si="207"/>
        <v>21</v>
      </c>
      <c r="S291" s="432">
        <f t="array" ref="S291">MAX((IF(MNU_CODIGO_ALIMENTO_ENTREGA=CONCATENATE($E291,"_","P_"),MNU_GRAMAJE_REQUERIDO_TIPOB,"")))</f>
        <v>100</v>
      </c>
      <c r="T291" s="261">
        <f t="shared" si="208"/>
        <v>5775</v>
      </c>
      <c r="U291" s="261">
        <f t="shared" si="209"/>
        <v>121275</v>
      </c>
      <c r="V291" s="452">
        <f t="shared" si="210"/>
        <v>226</v>
      </c>
      <c r="W291" s="452">
        <f t="shared" si="211"/>
        <v>11.0288</v>
      </c>
      <c r="X291" s="452">
        <f t="shared" si="212"/>
        <v>0.19436361600000002</v>
      </c>
      <c r="Y291" s="452">
        <f t="shared" si="213"/>
        <v>237</v>
      </c>
      <c r="Z291" s="262">
        <f t="shared" si="214"/>
        <v>27408150</v>
      </c>
      <c r="AA291" s="262">
        <f t="shared" si="215"/>
        <v>28742175</v>
      </c>
      <c r="AB291" s="431">
        <f t="shared" si="216"/>
        <v>21</v>
      </c>
      <c r="AC291" s="431">
        <f t="array" ref="AC291">MAX((IF(MNU_CODIGO_ALIMENTO_ENTREGA=CONCATENATE($E291,"_","P_"),MNU_GRAMAJE_REQUERIDO_TIPOC,"")))</f>
        <v>100</v>
      </c>
      <c r="AD291" s="259">
        <f t="shared" si="217"/>
        <v>5688</v>
      </c>
      <c r="AE291" s="259">
        <f t="shared" si="218"/>
        <v>119448</v>
      </c>
      <c r="AF291" s="452">
        <f t="shared" si="219"/>
        <v>226</v>
      </c>
      <c r="AG291" s="452">
        <f t="shared" si="220"/>
        <v>11.0288</v>
      </c>
      <c r="AH291" s="452">
        <f t="shared" si="221"/>
        <v>0.19436361600000002</v>
      </c>
      <c r="AI291" s="452">
        <f t="shared" si="222"/>
        <v>237</v>
      </c>
      <c r="AJ291" s="260">
        <f t="shared" si="223"/>
        <v>26995248</v>
      </c>
      <c r="AK291" s="260">
        <f t="shared" si="224"/>
        <v>28309176</v>
      </c>
      <c r="AL291" s="432">
        <f t="shared" si="225"/>
        <v>21</v>
      </c>
      <c r="AM291" s="432">
        <f t="array" ref="AM291">MAX((IF(MNU_CODIGO_ALIMENTO_ENTREGA=CONCATENATE($E291,"_","P_"),MNU_GRAMAJE_REQUERIDO_TIPOM,"")))</f>
        <v>100</v>
      </c>
      <c r="AN291" s="261">
        <f t="shared" si="226"/>
        <v>745</v>
      </c>
      <c r="AO291" s="261">
        <f t="shared" si="227"/>
        <v>15645</v>
      </c>
      <c r="AP291" s="452">
        <f t="shared" si="228"/>
        <v>226</v>
      </c>
      <c r="AQ291" s="452">
        <f t="shared" si="229"/>
        <v>11.0288</v>
      </c>
      <c r="AR291" s="452">
        <f t="shared" si="230"/>
        <v>0.19436361600000002</v>
      </c>
      <c r="AS291" s="452">
        <f t="shared" si="231"/>
        <v>237</v>
      </c>
      <c r="AT291" s="262">
        <f t="shared" si="232"/>
        <v>3535770</v>
      </c>
      <c r="AU291" s="262">
        <f t="shared" si="233"/>
        <v>3707865</v>
      </c>
      <c r="AV291" s="431">
        <f t="shared" si="234"/>
        <v>21</v>
      </c>
      <c r="AW291" s="431">
        <f t="array" ref="AW291">MAX((IF(MNU_CODIGO_ALIMENTO_ENTREGA=CONCATENATE($E291,"_","P_"),MNU_GRAMAJE_REQUERIDO_TIPOH,"")))</f>
        <v>100</v>
      </c>
      <c r="AX291" s="259">
        <f t="shared" si="235"/>
        <v>697</v>
      </c>
      <c r="AY291" s="259">
        <f t="shared" si="236"/>
        <v>14637</v>
      </c>
      <c r="AZ291" s="452">
        <f t="shared" si="237"/>
        <v>226</v>
      </c>
      <c r="BA291" s="452">
        <f t="shared" si="238"/>
        <v>11.0288</v>
      </c>
      <c r="BB291" s="452">
        <f t="shared" si="239"/>
        <v>0.19436361600000002</v>
      </c>
      <c r="BC291" s="452">
        <f t="shared" si="240"/>
        <v>237</v>
      </c>
      <c r="BD291" s="260">
        <f t="shared" si="241"/>
        <v>3307962</v>
      </c>
      <c r="BE291" s="260">
        <f t="shared" si="242"/>
        <v>3468969</v>
      </c>
      <c r="BF291" s="397">
        <f t="shared" si="243"/>
        <v>61247130</v>
      </c>
      <c r="BG291" s="397">
        <f t="shared" si="244"/>
        <v>64228185</v>
      </c>
    </row>
    <row r="292" spans="1:59" ht="15.75">
      <c r="A292" s="338">
        <v>22</v>
      </c>
      <c r="B292" s="338" t="str">
        <f t="shared" si="196"/>
        <v>FRUTA_22</v>
      </c>
      <c r="C292" s="338" t="str">
        <f t="shared" si="197"/>
        <v>22_22</v>
      </c>
      <c r="D292" s="338" t="s">
        <v>1</v>
      </c>
      <c r="E292" s="258">
        <v>22</v>
      </c>
      <c r="F292" s="328" t="s">
        <v>51</v>
      </c>
      <c r="G292" s="258" t="s">
        <v>9</v>
      </c>
      <c r="H292" s="431">
        <f t="shared" si="198"/>
        <v>0</v>
      </c>
      <c r="I292" s="431">
        <f t="array" ref="I292">MAX((IF(MNU_CODIGO_ALIMENTO_ENTREGA=CONCATENATE($E292,"_","P_"),MNU_GRAMAJE_REQUERIDO_TIPOA,"")))</f>
        <v>0</v>
      </c>
      <c r="J292" s="259">
        <f t="shared" si="199"/>
        <v>5114</v>
      </c>
      <c r="K292" s="259">
        <f t="shared" si="200"/>
        <v>0</v>
      </c>
      <c r="L292" s="452">
        <f t="shared" si="201"/>
        <v>0</v>
      </c>
      <c r="M292" s="452">
        <f t="shared" si="202"/>
        <v>0</v>
      </c>
      <c r="N292" s="452">
        <f t="shared" si="203"/>
        <v>0</v>
      </c>
      <c r="O292" s="452">
        <f t="shared" si="204"/>
        <v>0</v>
      </c>
      <c r="P292" s="260">
        <f t="shared" si="205"/>
        <v>0</v>
      </c>
      <c r="Q292" s="260">
        <f t="shared" si="206"/>
        <v>0</v>
      </c>
      <c r="R292" s="432">
        <f t="shared" si="207"/>
        <v>20</v>
      </c>
      <c r="S292" s="432">
        <f t="array" ref="S292">MAX((IF(MNU_CODIGO_ALIMENTO_ENTREGA=CONCATENATE($E292,"_","P_"),MNU_GRAMAJE_REQUERIDO_TIPOB,"")))</f>
        <v>100</v>
      </c>
      <c r="T292" s="261">
        <f t="shared" si="208"/>
        <v>5775</v>
      </c>
      <c r="U292" s="261">
        <f t="shared" si="209"/>
        <v>115500</v>
      </c>
      <c r="V292" s="452">
        <f t="shared" si="210"/>
        <v>525</v>
      </c>
      <c r="W292" s="452">
        <f t="shared" si="211"/>
        <v>25.62</v>
      </c>
      <c r="X292" s="452">
        <f t="shared" si="212"/>
        <v>0.45150840000000003</v>
      </c>
      <c r="Y292" s="452">
        <f t="shared" si="213"/>
        <v>551</v>
      </c>
      <c r="Z292" s="262">
        <f t="shared" si="214"/>
        <v>60637500</v>
      </c>
      <c r="AA292" s="262">
        <f t="shared" si="215"/>
        <v>63640500</v>
      </c>
      <c r="AB292" s="431">
        <f t="shared" si="216"/>
        <v>20</v>
      </c>
      <c r="AC292" s="431">
        <f t="array" ref="AC292">MAX((IF(MNU_CODIGO_ALIMENTO_ENTREGA=CONCATENATE($E292,"_","P_"),MNU_GRAMAJE_REQUERIDO_TIPOC,"")))</f>
        <v>100</v>
      </c>
      <c r="AD292" s="259">
        <f t="shared" si="217"/>
        <v>5688</v>
      </c>
      <c r="AE292" s="259">
        <f t="shared" si="218"/>
        <v>113760</v>
      </c>
      <c r="AF292" s="452">
        <f t="shared" si="219"/>
        <v>525</v>
      </c>
      <c r="AG292" s="452">
        <f t="shared" si="220"/>
        <v>25.62</v>
      </c>
      <c r="AH292" s="452">
        <f t="shared" si="221"/>
        <v>0.45150840000000003</v>
      </c>
      <c r="AI292" s="452">
        <f t="shared" si="222"/>
        <v>551</v>
      </c>
      <c r="AJ292" s="260">
        <f t="shared" si="223"/>
        <v>59724000</v>
      </c>
      <c r="AK292" s="260">
        <f t="shared" si="224"/>
        <v>62681760</v>
      </c>
      <c r="AL292" s="432">
        <f t="shared" si="225"/>
        <v>20</v>
      </c>
      <c r="AM292" s="432">
        <f t="array" ref="AM292">MAX((IF(MNU_CODIGO_ALIMENTO_ENTREGA=CONCATENATE($E292,"_","P_"),MNU_GRAMAJE_REQUERIDO_TIPOM,"")))</f>
        <v>100</v>
      </c>
      <c r="AN292" s="261">
        <f t="shared" si="226"/>
        <v>745</v>
      </c>
      <c r="AO292" s="261">
        <f t="shared" si="227"/>
        <v>14900</v>
      </c>
      <c r="AP292" s="452">
        <f t="shared" si="228"/>
        <v>525</v>
      </c>
      <c r="AQ292" s="452">
        <f t="shared" si="229"/>
        <v>25.62</v>
      </c>
      <c r="AR292" s="452">
        <f t="shared" si="230"/>
        <v>0.45150840000000003</v>
      </c>
      <c r="AS292" s="452">
        <f t="shared" si="231"/>
        <v>551</v>
      </c>
      <c r="AT292" s="262">
        <f t="shared" si="232"/>
        <v>7822500</v>
      </c>
      <c r="AU292" s="262">
        <f t="shared" si="233"/>
        <v>8209900</v>
      </c>
      <c r="AV292" s="431">
        <f t="shared" si="234"/>
        <v>20</v>
      </c>
      <c r="AW292" s="431">
        <f t="array" ref="AW292">MAX((IF(MNU_CODIGO_ALIMENTO_ENTREGA=CONCATENATE($E292,"_","P_"),MNU_GRAMAJE_REQUERIDO_TIPOH,"")))</f>
        <v>100</v>
      </c>
      <c r="AX292" s="259">
        <f t="shared" si="235"/>
        <v>697</v>
      </c>
      <c r="AY292" s="259">
        <f t="shared" si="236"/>
        <v>13940</v>
      </c>
      <c r="AZ292" s="452">
        <f t="shared" si="237"/>
        <v>525</v>
      </c>
      <c r="BA292" s="452">
        <f t="shared" si="238"/>
        <v>25.62</v>
      </c>
      <c r="BB292" s="452">
        <f t="shared" si="239"/>
        <v>0.45150840000000003</v>
      </c>
      <c r="BC292" s="452">
        <f t="shared" si="240"/>
        <v>551</v>
      </c>
      <c r="BD292" s="260">
        <f t="shared" si="241"/>
        <v>7318500</v>
      </c>
      <c r="BE292" s="260">
        <f t="shared" si="242"/>
        <v>7680940</v>
      </c>
      <c r="BF292" s="397">
        <f t="shared" si="243"/>
        <v>135502500</v>
      </c>
      <c r="BG292" s="397">
        <f t="shared" si="244"/>
        <v>142213100</v>
      </c>
    </row>
    <row r="293" spans="1:59" ht="15.75">
      <c r="A293" s="338">
        <v>22</v>
      </c>
      <c r="B293" s="338" t="str">
        <f t="shared" si="196"/>
        <v>FRUTA_22</v>
      </c>
      <c r="C293" s="338" t="str">
        <f t="shared" si="197"/>
        <v>33_22</v>
      </c>
      <c r="D293" s="338" t="s">
        <v>1</v>
      </c>
      <c r="E293" s="258">
        <v>33</v>
      </c>
      <c r="F293" s="328" t="s">
        <v>59</v>
      </c>
      <c r="G293" s="258" t="s">
        <v>48</v>
      </c>
      <c r="H293" s="431">
        <f t="shared" si="198"/>
        <v>27</v>
      </c>
      <c r="I293" s="431">
        <v>1</v>
      </c>
      <c r="J293" s="259">
        <f t="shared" si="199"/>
        <v>5114</v>
      </c>
      <c r="K293" s="259">
        <f t="shared" si="200"/>
        <v>138078</v>
      </c>
      <c r="L293" s="452">
        <f t="shared" si="201"/>
        <v>270</v>
      </c>
      <c r="M293" s="452">
        <f t="shared" si="202"/>
        <v>13.176000000000002</v>
      </c>
      <c r="N293" s="452">
        <f t="shared" si="203"/>
        <v>0.23220432000000002</v>
      </c>
      <c r="O293" s="452">
        <f t="shared" si="204"/>
        <v>283</v>
      </c>
      <c r="P293" s="260">
        <f t="shared" si="205"/>
        <v>37281060</v>
      </c>
      <c r="Q293" s="260">
        <f t="shared" si="206"/>
        <v>39076074</v>
      </c>
      <c r="R293" s="432">
        <f t="shared" si="207"/>
        <v>18</v>
      </c>
      <c r="S293" s="432">
        <v>1</v>
      </c>
      <c r="T293" s="261">
        <f t="shared" si="208"/>
        <v>5775</v>
      </c>
      <c r="U293" s="261">
        <f t="shared" si="209"/>
        <v>103950</v>
      </c>
      <c r="V293" s="452">
        <f t="shared" si="210"/>
        <v>270</v>
      </c>
      <c r="W293" s="452">
        <f t="shared" si="211"/>
        <v>13.176000000000002</v>
      </c>
      <c r="X293" s="452">
        <f t="shared" si="212"/>
        <v>0.23220432000000002</v>
      </c>
      <c r="Y293" s="452">
        <f t="shared" si="213"/>
        <v>283</v>
      </c>
      <c r="Z293" s="262">
        <f t="shared" si="214"/>
        <v>28066500</v>
      </c>
      <c r="AA293" s="262">
        <f t="shared" si="215"/>
        <v>29417850</v>
      </c>
      <c r="AB293" s="431">
        <f t="shared" si="216"/>
        <v>18</v>
      </c>
      <c r="AC293" s="431">
        <v>1</v>
      </c>
      <c r="AD293" s="259">
        <f t="shared" si="217"/>
        <v>5688</v>
      </c>
      <c r="AE293" s="259">
        <f t="shared" si="218"/>
        <v>102384</v>
      </c>
      <c r="AF293" s="452">
        <f t="shared" si="219"/>
        <v>270</v>
      </c>
      <c r="AG293" s="452">
        <f t="shared" si="220"/>
        <v>13.176000000000002</v>
      </c>
      <c r="AH293" s="452">
        <f t="shared" si="221"/>
        <v>0.23220432000000002</v>
      </c>
      <c r="AI293" s="452">
        <f t="shared" si="222"/>
        <v>283</v>
      </c>
      <c r="AJ293" s="260">
        <f t="shared" si="223"/>
        <v>27643680</v>
      </c>
      <c r="AK293" s="260">
        <f t="shared" si="224"/>
        <v>28974672</v>
      </c>
      <c r="AL293" s="432">
        <f t="shared" si="225"/>
        <v>18</v>
      </c>
      <c r="AM293" s="432">
        <v>1</v>
      </c>
      <c r="AN293" s="261">
        <f t="shared" si="226"/>
        <v>745</v>
      </c>
      <c r="AO293" s="261">
        <f t="shared" si="227"/>
        <v>13410</v>
      </c>
      <c r="AP293" s="452">
        <f t="shared" si="228"/>
        <v>270</v>
      </c>
      <c r="AQ293" s="452">
        <f t="shared" si="229"/>
        <v>13.176000000000002</v>
      </c>
      <c r="AR293" s="452">
        <f t="shared" si="230"/>
        <v>0.23220432000000002</v>
      </c>
      <c r="AS293" s="452">
        <f t="shared" si="231"/>
        <v>283</v>
      </c>
      <c r="AT293" s="262">
        <f t="shared" si="232"/>
        <v>3620700</v>
      </c>
      <c r="AU293" s="262">
        <f t="shared" si="233"/>
        <v>3795030</v>
      </c>
      <c r="AV293" s="431">
        <f t="shared" si="234"/>
        <v>18</v>
      </c>
      <c r="AW293" s="431">
        <v>1</v>
      </c>
      <c r="AX293" s="259">
        <f t="shared" si="235"/>
        <v>697</v>
      </c>
      <c r="AY293" s="259">
        <f t="shared" si="236"/>
        <v>12546</v>
      </c>
      <c r="AZ293" s="452">
        <f t="shared" si="237"/>
        <v>270</v>
      </c>
      <c r="BA293" s="452">
        <f t="shared" si="238"/>
        <v>13.176000000000002</v>
      </c>
      <c r="BB293" s="452">
        <f t="shared" si="239"/>
        <v>0.23220432000000002</v>
      </c>
      <c r="BC293" s="452">
        <f t="shared" si="240"/>
        <v>283</v>
      </c>
      <c r="BD293" s="260">
        <f t="shared" si="241"/>
        <v>3387420</v>
      </c>
      <c r="BE293" s="260">
        <f t="shared" si="242"/>
        <v>3550518</v>
      </c>
      <c r="BF293" s="397">
        <f t="shared" si="243"/>
        <v>99999360</v>
      </c>
      <c r="BG293" s="397">
        <f t="shared" si="244"/>
        <v>104814144</v>
      </c>
    </row>
    <row r="294" spans="1:59" ht="15.75">
      <c r="A294" s="338">
        <v>22</v>
      </c>
      <c r="B294" s="338" t="str">
        <f t="shared" si="196"/>
        <v>FRUTA_22</v>
      </c>
      <c r="C294" s="338" t="str">
        <f t="shared" si="197"/>
        <v>36_22</v>
      </c>
      <c r="D294" s="338" t="s">
        <v>1</v>
      </c>
      <c r="E294" s="258">
        <v>36</v>
      </c>
      <c r="F294" s="328" t="s">
        <v>1340</v>
      </c>
      <c r="G294" s="258" t="s">
        <v>9</v>
      </c>
      <c r="H294" s="431">
        <f t="shared" si="198"/>
        <v>7</v>
      </c>
      <c r="I294" s="431">
        <f t="array" ref="I294">MAX((IF(MNU_CODIGO_ALIMENTO_ENTREGA=CONCATENATE($E294,"_","P_"),MNU_GRAMAJE_REQUERIDO_TIPOA,"")))</f>
        <v>20</v>
      </c>
      <c r="J294" s="259">
        <f t="shared" si="199"/>
        <v>5114</v>
      </c>
      <c r="K294" s="259">
        <f t="shared" si="200"/>
        <v>35798</v>
      </c>
      <c r="L294" s="452">
        <f t="shared" si="201"/>
        <v>126</v>
      </c>
      <c r="M294" s="452">
        <f t="shared" si="202"/>
        <v>6.1488000000000005</v>
      </c>
      <c r="N294" s="452">
        <f t="shared" si="203"/>
        <v>0.10836201599999999</v>
      </c>
      <c r="O294" s="452">
        <f t="shared" si="204"/>
        <v>132</v>
      </c>
      <c r="P294" s="260">
        <f t="shared" si="205"/>
        <v>4510548</v>
      </c>
      <c r="Q294" s="260">
        <f t="shared" si="206"/>
        <v>4725336</v>
      </c>
      <c r="R294" s="432">
        <f t="shared" si="207"/>
        <v>7</v>
      </c>
      <c r="S294" s="432">
        <f t="array" ref="S294">MAX((IF(MNU_CODIGO_ALIMENTO_ENTREGA=CONCATENATE($E294,"_","P_"),MNU_GRAMAJE_REQUERIDO_TIPOB,"")))</f>
        <v>40</v>
      </c>
      <c r="T294" s="261">
        <f t="shared" si="208"/>
        <v>5775</v>
      </c>
      <c r="U294" s="261">
        <f t="shared" si="209"/>
        <v>40425</v>
      </c>
      <c r="V294" s="452">
        <f t="shared" si="210"/>
        <v>252</v>
      </c>
      <c r="W294" s="452">
        <f t="shared" si="211"/>
        <v>12.297600000000001</v>
      </c>
      <c r="X294" s="452">
        <f t="shared" si="212"/>
        <v>0.21672403199999998</v>
      </c>
      <c r="Y294" s="452">
        <f t="shared" si="213"/>
        <v>265</v>
      </c>
      <c r="Z294" s="262">
        <f t="shared" si="214"/>
        <v>10187100</v>
      </c>
      <c r="AA294" s="262">
        <f t="shared" si="215"/>
        <v>10712625</v>
      </c>
      <c r="AB294" s="431">
        <f t="shared" si="216"/>
        <v>7</v>
      </c>
      <c r="AC294" s="431">
        <f t="array" ref="AC294">MAX((IF(MNU_CODIGO_ALIMENTO_ENTREGA=CONCATENATE($E294,"_","P_"),MNU_GRAMAJE_REQUERIDO_TIPOC,"")))</f>
        <v>40</v>
      </c>
      <c r="AD294" s="259">
        <f t="shared" si="217"/>
        <v>5688</v>
      </c>
      <c r="AE294" s="259">
        <f t="shared" si="218"/>
        <v>39816</v>
      </c>
      <c r="AF294" s="452">
        <f t="shared" si="219"/>
        <v>252</v>
      </c>
      <c r="AG294" s="452">
        <f t="shared" si="220"/>
        <v>12.297600000000001</v>
      </c>
      <c r="AH294" s="452">
        <f t="shared" si="221"/>
        <v>0.21672403199999998</v>
      </c>
      <c r="AI294" s="452">
        <f t="shared" si="222"/>
        <v>265</v>
      </c>
      <c r="AJ294" s="260">
        <f t="shared" si="223"/>
        <v>10033632</v>
      </c>
      <c r="AK294" s="260">
        <f t="shared" si="224"/>
        <v>10551240</v>
      </c>
      <c r="AL294" s="432">
        <f t="shared" si="225"/>
        <v>7</v>
      </c>
      <c r="AM294" s="432">
        <f t="array" ref="AM294">MAX((IF(MNU_CODIGO_ALIMENTO_ENTREGA=CONCATENATE($E294,"_","P_"),MNU_GRAMAJE_REQUERIDO_TIPOM,"")))</f>
        <v>40</v>
      </c>
      <c r="AN294" s="261">
        <f t="shared" si="226"/>
        <v>745</v>
      </c>
      <c r="AO294" s="261">
        <f t="shared" si="227"/>
        <v>5215</v>
      </c>
      <c r="AP294" s="452">
        <f t="shared" si="228"/>
        <v>252</v>
      </c>
      <c r="AQ294" s="452">
        <f t="shared" si="229"/>
        <v>12.297600000000001</v>
      </c>
      <c r="AR294" s="452">
        <f t="shared" si="230"/>
        <v>0.21672403199999998</v>
      </c>
      <c r="AS294" s="452">
        <f t="shared" si="231"/>
        <v>265</v>
      </c>
      <c r="AT294" s="262">
        <f t="shared" si="232"/>
        <v>1314180</v>
      </c>
      <c r="AU294" s="262">
        <f t="shared" si="233"/>
        <v>1381975</v>
      </c>
      <c r="AV294" s="431">
        <f t="shared" si="234"/>
        <v>7</v>
      </c>
      <c r="AW294" s="431">
        <f t="array" ref="AW294">MAX((IF(MNU_CODIGO_ALIMENTO_ENTREGA=CONCATENATE($E294,"_","P_"),MNU_GRAMAJE_REQUERIDO_TIPOH,"")))</f>
        <v>40</v>
      </c>
      <c r="AX294" s="259">
        <f t="shared" si="235"/>
        <v>697</v>
      </c>
      <c r="AY294" s="259">
        <f t="shared" si="236"/>
        <v>4879</v>
      </c>
      <c r="AZ294" s="452">
        <f t="shared" si="237"/>
        <v>252</v>
      </c>
      <c r="BA294" s="452">
        <f t="shared" si="238"/>
        <v>12.297600000000001</v>
      </c>
      <c r="BB294" s="452">
        <f t="shared" si="239"/>
        <v>0.21672403199999998</v>
      </c>
      <c r="BC294" s="452">
        <f t="shared" si="240"/>
        <v>265</v>
      </c>
      <c r="BD294" s="260">
        <f t="shared" si="241"/>
        <v>1229508</v>
      </c>
      <c r="BE294" s="260">
        <f t="shared" si="242"/>
        <v>1292935</v>
      </c>
      <c r="BF294" s="397">
        <f t="shared" si="243"/>
        <v>27274968</v>
      </c>
      <c r="BG294" s="397">
        <f t="shared" si="244"/>
        <v>28664111</v>
      </c>
    </row>
    <row r="295" spans="1:59" ht="15.75">
      <c r="A295" s="338">
        <v>22</v>
      </c>
      <c r="B295" s="338" t="str">
        <f t="shared" si="196"/>
        <v>FRUTA_22</v>
      </c>
      <c r="C295" s="338" t="str">
        <f t="shared" si="197"/>
        <v>42_22</v>
      </c>
      <c r="D295" s="338" t="s">
        <v>1</v>
      </c>
      <c r="E295" s="258">
        <v>42</v>
      </c>
      <c r="F295" s="328" t="s">
        <v>61</v>
      </c>
      <c r="G295" s="258" t="s">
        <v>9</v>
      </c>
      <c r="H295" s="431">
        <f t="shared" si="198"/>
        <v>23</v>
      </c>
      <c r="I295" s="431">
        <f t="array" ref="I295">MAX((IF(MNU_CODIGO_ALIMENTO_ENTREGA=CONCATENATE($E295,"_","P_"),MNU_GRAMAJE_REQUERIDO_TIPOA,"")))</f>
        <v>100</v>
      </c>
      <c r="J295" s="259">
        <f t="shared" si="199"/>
        <v>5114</v>
      </c>
      <c r="K295" s="259">
        <f t="shared" si="200"/>
        <v>117622</v>
      </c>
      <c r="L295" s="452">
        <f t="shared" si="201"/>
        <v>194</v>
      </c>
      <c r="M295" s="452">
        <f t="shared" si="202"/>
        <v>9.4672000000000001</v>
      </c>
      <c r="N295" s="452">
        <f t="shared" si="203"/>
        <v>0.16684310399999999</v>
      </c>
      <c r="O295" s="452">
        <f t="shared" si="204"/>
        <v>204</v>
      </c>
      <c r="P295" s="260">
        <f t="shared" si="205"/>
        <v>22818668</v>
      </c>
      <c r="Q295" s="260">
        <f t="shared" si="206"/>
        <v>23994888</v>
      </c>
      <c r="R295" s="432">
        <f t="shared" si="207"/>
        <v>19</v>
      </c>
      <c r="S295" s="432">
        <f t="array" ref="S295">MAX((IF(MNU_CODIGO_ALIMENTO_ENTREGA=CONCATENATE($E295,"_","P_"),MNU_GRAMAJE_REQUERIDO_TIPOB,"")))</f>
        <v>100</v>
      </c>
      <c r="T295" s="261">
        <f t="shared" si="208"/>
        <v>5775</v>
      </c>
      <c r="U295" s="261">
        <f t="shared" si="209"/>
        <v>109725</v>
      </c>
      <c r="V295" s="452">
        <f t="shared" si="210"/>
        <v>194</v>
      </c>
      <c r="W295" s="452">
        <f t="shared" si="211"/>
        <v>9.4672000000000001</v>
      </c>
      <c r="X295" s="452">
        <f t="shared" si="212"/>
        <v>0.16684310399999999</v>
      </c>
      <c r="Y295" s="452">
        <f t="shared" si="213"/>
        <v>204</v>
      </c>
      <c r="Z295" s="262">
        <f t="shared" si="214"/>
        <v>21286650</v>
      </c>
      <c r="AA295" s="262">
        <f t="shared" si="215"/>
        <v>22383900</v>
      </c>
      <c r="AB295" s="431">
        <f t="shared" si="216"/>
        <v>19</v>
      </c>
      <c r="AC295" s="431">
        <f t="array" ref="AC295">MAX((IF(MNU_CODIGO_ALIMENTO_ENTREGA=CONCATENATE($E295,"_","P_"),MNU_GRAMAJE_REQUERIDO_TIPOC,"")))</f>
        <v>100</v>
      </c>
      <c r="AD295" s="259">
        <f t="shared" si="217"/>
        <v>5688</v>
      </c>
      <c r="AE295" s="259">
        <f t="shared" si="218"/>
        <v>108072</v>
      </c>
      <c r="AF295" s="452">
        <f t="shared" si="219"/>
        <v>194</v>
      </c>
      <c r="AG295" s="452">
        <f t="shared" si="220"/>
        <v>9.4672000000000001</v>
      </c>
      <c r="AH295" s="452">
        <f t="shared" si="221"/>
        <v>0.16684310399999999</v>
      </c>
      <c r="AI295" s="452">
        <f t="shared" si="222"/>
        <v>204</v>
      </c>
      <c r="AJ295" s="260">
        <f t="shared" si="223"/>
        <v>20965968</v>
      </c>
      <c r="AK295" s="260">
        <f t="shared" si="224"/>
        <v>22046688</v>
      </c>
      <c r="AL295" s="432">
        <f t="shared" si="225"/>
        <v>19</v>
      </c>
      <c r="AM295" s="432">
        <f t="array" ref="AM295">MAX((IF(MNU_CODIGO_ALIMENTO_ENTREGA=CONCATENATE($E295,"_","P_"),MNU_GRAMAJE_REQUERIDO_TIPOM,"")))</f>
        <v>100</v>
      </c>
      <c r="AN295" s="261">
        <f t="shared" si="226"/>
        <v>745</v>
      </c>
      <c r="AO295" s="261">
        <f t="shared" si="227"/>
        <v>14155</v>
      </c>
      <c r="AP295" s="452">
        <f t="shared" si="228"/>
        <v>194</v>
      </c>
      <c r="AQ295" s="452">
        <f t="shared" si="229"/>
        <v>9.4672000000000001</v>
      </c>
      <c r="AR295" s="452">
        <f t="shared" si="230"/>
        <v>0.16684310399999999</v>
      </c>
      <c r="AS295" s="452">
        <f t="shared" si="231"/>
        <v>204</v>
      </c>
      <c r="AT295" s="262">
        <f t="shared" si="232"/>
        <v>2746070</v>
      </c>
      <c r="AU295" s="262">
        <f t="shared" si="233"/>
        <v>2887620</v>
      </c>
      <c r="AV295" s="431">
        <f t="shared" si="234"/>
        <v>19</v>
      </c>
      <c r="AW295" s="431">
        <f t="array" ref="AW295">MAX((IF(MNU_CODIGO_ALIMENTO_ENTREGA=CONCATENATE($E295,"_","P_"),MNU_GRAMAJE_REQUERIDO_TIPOH,"")))</f>
        <v>100</v>
      </c>
      <c r="AX295" s="259">
        <f t="shared" si="235"/>
        <v>697</v>
      </c>
      <c r="AY295" s="259">
        <f t="shared" si="236"/>
        <v>13243</v>
      </c>
      <c r="AZ295" s="452">
        <f t="shared" si="237"/>
        <v>194</v>
      </c>
      <c r="BA295" s="452">
        <f t="shared" si="238"/>
        <v>9.4672000000000001</v>
      </c>
      <c r="BB295" s="452">
        <f t="shared" si="239"/>
        <v>0.16684310399999999</v>
      </c>
      <c r="BC295" s="452">
        <f t="shared" si="240"/>
        <v>204</v>
      </c>
      <c r="BD295" s="260">
        <f t="shared" si="241"/>
        <v>2569142</v>
      </c>
      <c r="BE295" s="260">
        <f t="shared" si="242"/>
        <v>2701572</v>
      </c>
      <c r="BF295" s="397">
        <f t="shared" si="243"/>
        <v>70386498</v>
      </c>
      <c r="BG295" s="397">
        <f t="shared" si="244"/>
        <v>74014668</v>
      </c>
    </row>
    <row r="296" spans="1:59" ht="15.75">
      <c r="A296" s="338">
        <v>22</v>
      </c>
      <c r="B296" s="338" t="str">
        <f t="shared" si="196"/>
        <v>FRUTA_22</v>
      </c>
      <c r="C296" s="338" t="str">
        <f t="shared" si="197"/>
        <v>43_22</v>
      </c>
      <c r="D296" s="338" t="s">
        <v>1</v>
      </c>
      <c r="E296" s="258">
        <v>43</v>
      </c>
      <c r="F296" s="328" t="s">
        <v>62</v>
      </c>
      <c r="G296" s="258" t="s">
        <v>9</v>
      </c>
      <c r="H296" s="431">
        <f t="shared" si="198"/>
        <v>24</v>
      </c>
      <c r="I296" s="431">
        <f t="array" ref="I296">MAX((IF(MNU_CODIGO_ALIMENTO_ENTREGA=CONCATENATE($E296,"_","P_"),MNU_GRAMAJE_REQUERIDO_TIPOA,"")))</f>
        <v>100</v>
      </c>
      <c r="J296" s="259">
        <f t="shared" si="199"/>
        <v>5114</v>
      </c>
      <c r="K296" s="259">
        <f t="shared" si="200"/>
        <v>122736</v>
      </c>
      <c r="L296" s="452">
        <f t="shared" si="201"/>
        <v>170</v>
      </c>
      <c r="M296" s="452">
        <f t="shared" si="202"/>
        <v>8.2959999999999994</v>
      </c>
      <c r="N296" s="452">
        <f t="shared" si="203"/>
        <v>0.14620272000000001</v>
      </c>
      <c r="O296" s="452">
        <f t="shared" si="204"/>
        <v>178</v>
      </c>
      <c r="P296" s="260">
        <f t="shared" si="205"/>
        <v>20865120</v>
      </c>
      <c r="Q296" s="260">
        <f t="shared" si="206"/>
        <v>21847008</v>
      </c>
      <c r="R296" s="432">
        <f t="shared" si="207"/>
        <v>17</v>
      </c>
      <c r="S296" s="432">
        <f t="array" ref="S296">MAX((IF(MNU_CODIGO_ALIMENTO_ENTREGA=CONCATENATE($E296,"_","P_"),MNU_GRAMAJE_REQUERIDO_TIPOB,"")))</f>
        <v>100</v>
      </c>
      <c r="T296" s="261">
        <f t="shared" si="208"/>
        <v>5775</v>
      </c>
      <c r="U296" s="261">
        <f t="shared" si="209"/>
        <v>98175</v>
      </c>
      <c r="V296" s="452">
        <f t="shared" si="210"/>
        <v>170</v>
      </c>
      <c r="W296" s="452">
        <f t="shared" si="211"/>
        <v>8.2959999999999994</v>
      </c>
      <c r="X296" s="452">
        <f t="shared" si="212"/>
        <v>0.14620272000000001</v>
      </c>
      <c r="Y296" s="452">
        <f t="shared" si="213"/>
        <v>178</v>
      </c>
      <c r="Z296" s="262">
        <f t="shared" si="214"/>
        <v>16689750</v>
      </c>
      <c r="AA296" s="262">
        <f t="shared" si="215"/>
        <v>17475150</v>
      </c>
      <c r="AB296" s="431">
        <f t="shared" si="216"/>
        <v>17</v>
      </c>
      <c r="AC296" s="431">
        <f t="array" ref="AC296">MAX((IF(MNU_CODIGO_ALIMENTO_ENTREGA=CONCATENATE($E296,"_","P_"),MNU_GRAMAJE_REQUERIDO_TIPOC,"")))</f>
        <v>100</v>
      </c>
      <c r="AD296" s="259">
        <f t="shared" si="217"/>
        <v>5688</v>
      </c>
      <c r="AE296" s="259">
        <f t="shared" si="218"/>
        <v>96696</v>
      </c>
      <c r="AF296" s="452">
        <f t="shared" si="219"/>
        <v>170</v>
      </c>
      <c r="AG296" s="452">
        <f t="shared" si="220"/>
        <v>8.2959999999999994</v>
      </c>
      <c r="AH296" s="452">
        <f t="shared" si="221"/>
        <v>0.14620272000000001</v>
      </c>
      <c r="AI296" s="452">
        <f t="shared" si="222"/>
        <v>178</v>
      </c>
      <c r="AJ296" s="260">
        <f t="shared" si="223"/>
        <v>16438320</v>
      </c>
      <c r="AK296" s="260">
        <f t="shared" si="224"/>
        <v>17211888</v>
      </c>
      <c r="AL296" s="432">
        <f t="shared" si="225"/>
        <v>17</v>
      </c>
      <c r="AM296" s="432">
        <f t="array" ref="AM296">MAX((IF(MNU_CODIGO_ALIMENTO_ENTREGA=CONCATENATE($E296,"_","P_"),MNU_GRAMAJE_REQUERIDO_TIPOM,"")))</f>
        <v>100</v>
      </c>
      <c r="AN296" s="261">
        <f t="shared" si="226"/>
        <v>745</v>
      </c>
      <c r="AO296" s="261">
        <f t="shared" si="227"/>
        <v>12665</v>
      </c>
      <c r="AP296" s="452">
        <f t="shared" si="228"/>
        <v>170</v>
      </c>
      <c r="AQ296" s="452">
        <f t="shared" si="229"/>
        <v>8.2959999999999994</v>
      </c>
      <c r="AR296" s="452">
        <f t="shared" si="230"/>
        <v>0.14620272000000001</v>
      </c>
      <c r="AS296" s="452">
        <f t="shared" si="231"/>
        <v>178</v>
      </c>
      <c r="AT296" s="262">
        <f t="shared" si="232"/>
        <v>2153050</v>
      </c>
      <c r="AU296" s="262">
        <f t="shared" si="233"/>
        <v>2254370</v>
      </c>
      <c r="AV296" s="431">
        <f t="shared" si="234"/>
        <v>17</v>
      </c>
      <c r="AW296" s="431">
        <f t="array" ref="AW296">MAX((IF(MNU_CODIGO_ALIMENTO_ENTREGA=CONCATENATE($E296,"_","P_"),MNU_GRAMAJE_REQUERIDO_TIPOH,"")))</f>
        <v>100</v>
      </c>
      <c r="AX296" s="259">
        <f t="shared" si="235"/>
        <v>697</v>
      </c>
      <c r="AY296" s="259">
        <f t="shared" si="236"/>
        <v>11849</v>
      </c>
      <c r="AZ296" s="452">
        <f t="shared" si="237"/>
        <v>170</v>
      </c>
      <c r="BA296" s="452">
        <f t="shared" si="238"/>
        <v>8.2959999999999994</v>
      </c>
      <c r="BB296" s="452">
        <f t="shared" si="239"/>
        <v>0.14620272000000001</v>
      </c>
      <c r="BC296" s="452">
        <f t="shared" si="240"/>
        <v>178</v>
      </c>
      <c r="BD296" s="260">
        <f t="shared" si="241"/>
        <v>2014330</v>
      </c>
      <c r="BE296" s="260">
        <f t="shared" si="242"/>
        <v>2109122</v>
      </c>
      <c r="BF296" s="397">
        <f t="shared" si="243"/>
        <v>58160570</v>
      </c>
      <c r="BG296" s="397">
        <f t="shared" si="244"/>
        <v>60897538</v>
      </c>
    </row>
    <row r="297" spans="1:59" ht="15.75">
      <c r="A297" s="338">
        <v>22</v>
      </c>
      <c r="B297" s="338" t="str">
        <f t="shared" si="196"/>
        <v>FRUTA_22</v>
      </c>
      <c r="C297" s="338" t="str">
        <f t="shared" si="197"/>
        <v>46_22</v>
      </c>
      <c r="D297" s="338" t="s">
        <v>1</v>
      </c>
      <c r="E297" s="258">
        <v>46</v>
      </c>
      <c r="F297" s="328" t="s">
        <v>64</v>
      </c>
      <c r="G297" s="258" t="s">
        <v>9</v>
      </c>
      <c r="H297" s="431">
        <f t="shared" si="198"/>
        <v>30</v>
      </c>
      <c r="I297" s="431">
        <f t="array" ref="I297">MAX((IF(MNU_CODIGO_ALIMENTO_ENTREGA=CONCATENATE($E297,"_","P_"),MNU_GRAMAJE_REQUERIDO_TIPOA,"")))</f>
        <v>100</v>
      </c>
      <c r="J297" s="259">
        <f t="shared" si="199"/>
        <v>5114</v>
      </c>
      <c r="K297" s="259">
        <f t="shared" si="200"/>
        <v>153420</v>
      </c>
      <c r="L297" s="452">
        <f t="shared" si="201"/>
        <v>398</v>
      </c>
      <c r="M297" s="452">
        <f t="shared" si="202"/>
        <v>19.4224</v>
      </c>
      <c r="N297" s="452">
        <f t="shared" si="203"/>
        <v>0.34228636800000001</v>
      </c>
      <c r="O297" s="452">
        <f t="shared" si="204"/>
        <v>418</v>
      </c>
      <c r="P297" s="260">
        <f t="shared" si="205"/>
        <v>61061160</v>
      </c>
      <c r="Q297" s="260">
        <f t="shared" si="206"/>
        <v>64129560</v>
      </c>
      <c r="R297" s="432">
        <f t="shared" si="207"/>
        <v>21</v>
      </c>
      <c r="S297" s="432">
        <f t="array" ref="S297">MAX((IF(MNU_CODIGO_ALIMENTO_ENTREGA=CONCATENATE($E297,"_","P_"),MNU_GRAMAJE_REQUERIDO_TIPOB,"")))</f>
        <v>100</v>
      </c>
      <c r="T297" s="261">
        <f t="shared" si="208"/>
        <v>5775</v>
      </c>
      <c r="U297" s="261">
        <f t="shared" si="209"/>
        <v>121275</v>
      </c>
      <c r="V297" s="452">
        <f t="shared" si="210"/>
        <v>398</v>
      </c>
      <c r="W297" s="452">
        <f t="shared" si="211"/>
        <v>19.4224</v>
      </c>
      <c r="X297" s="452">
        <f t="shared" si="212"/>
        <v>0.34228636800000001</v>
      </c>
      <c r="Y297" s="452">
        <f t="shared" si="213"/>
        <v>418</v>
      </c>
      <c r="Z297" s="262">
        <f t="shared" si="214"/>
        <v>48267450</v>
      </c>
      <c r="AA297" s="262">
        <f t="shared" si="215"/>
        <v>50692950</v>
      </c>
      <c r="AB297" s="431">
        <f t="shared" si="216"/>
        <v>21</v>
      </c>
      <c r="AC297" s="431">
        <f t="array" ref="AC297">MAX((IF(MNU_CODIGO_ALIMENTO_ENTREGA=CONCATENATE($E297,"_","P_"),MNU_GRAMAJE_REQUERIDO_TIPOC,"")))</f>
        <v>100</v>
      </c>
      <c r="AD297" s="259">
        <f t="shared" si="217"/>
        <v>5688</v>
      </c>
      <c r="AE297" s="259">
        <f t="shared" si="218"/>
        <v>119448</v>
      </c>
      <c r="AF297" s="452">
        <f t="shared" si="219"/>
        <v>398</v>
      </c>
      <c r="AG297" s="452">
        <f t="shared" si="220"/>
        <v>19.4224</v>
      </c>
      <c r="AH297" s="452">
        <f t="shared" si="221"/>
        <v>0.34228636800000001</v>
      </c>
      <c r="AI297" s="452">
        <f t="shared" si="222"/>
        <v>418</v>
      </c>
      <c r="AJ297" s="260">
        <f t="shared" si="223"/>
        <v>47540304</v>
      </c>
      <c r="AK297" s="260">
        <f t="shared" si="224"/>
        <v>49929264</v>
      </c>
      <c r="AL297" s="432">
        <f t="shared" si="225"/>
        <v>21</v>
      </c>
      <c r="AM297" s="432">
        <f t="array" ref="AM297">MAX((IF(MNU_CODIGO_ALIMENTO_ENTREGA=CONCATENATE($E297,"_","P_"),MNU_GRAMAJE_REQUERIDO_TIPOM,"")))</f>
        <v>100</v>
      </c>
      <c r="AN297" s="261">
        <f t="shared" si="226"/>
        <v>745</v>
      </c>
      <c r="AO297" s="261">
        <f t="shared" si="227"/>
        <v>15645</v>
      </c>
      <c r="AP297" s="452">
        <f t="shared" si="228"/>
        <v>398</v>
      </c>
      <c r="AQ297" s="452">
        <f t="shared" si="229"/>
        <v>19.4224</v>
      </c>
      <c r="AR297" s="452">
        <f t="shared" si="230"/>
        <v>0.34228636800000001</v>
      </c>
      <c r="AS297" s="452">
        <f t="shared" si="231"/>
        <v>418</v>
      </c>
      <c r="AT297" s="262">
        <f t="shared" si="232"/>
        <v>6226710</v>
      </c>
      <c r="AU297" s="262">
        <f t="shared" si="233"/>
        <v>6539610</v>
      </c>
      <c r="AV297" s="431">
        <f t="shared" si="234"/>
        <v>21</v>
      </c>
      <c r="AW297" s="431">
        <f t="array" ref="AW297">MAX((IF(MNU_CODIGO_ALIMENTO_ENTREGA=CONCATENATE($E297,"_","P_"),MNU_GRAMAJE_REQUERIDO_TIPOH,"")))</f>
        <v>100</v>
      </c>
      <c r="AX297" s="259">
        <f t="shared" si="235"/>
        <v>697</v>
      </c>
      <c r="AY297" s="259">
        <f t="shared" si="236"/>
        <v>14637</v>
      </c>
      <c r="AZ297" s="452">
        <f t="shared" si="237"/>
        <v>398</v>
      </c>
      <c r="BA297" s="452">
        <f t="shared" si="238"/>
        <v>19.4224</v>
      </c>
      <c r="BB297" s="452">
        <f t="shared" si="239"/>
        <v>0.34228636800000001</v>
      </c>
      <c r="BC297" s="452">
        <f t="shared" si="240"/>
        <v>418</v>
      </c>
      <c r="BD297" s="260">
        <f t="shared" si="241"/>
        <v>5825526</v>
      </c>
      <c r="BE297" s="260">
        <f t="shared" si="242"/>
        <v>6118266</v>
      </c>
      <c r="BF297" s="397">
        <f t="shared" si="243"/>
        <v>168921150</v>
      </c>
      <c r="BG297" s="397">
        <f t="shared" si="244"/>
        <v>177409650</v>
      </c>
    </row>
    <row r="298" spans="1:59" ht="15.75">
      <c r="A298" s="338">
        <v>22</v>
      </c>
      <c r="B298" s="338" t="str">
        <f t="shared" si="196"/>
        <v>FRUTA_22</v>
      </c>
      <c r="C298" s="338" t="str">
        <f t="shared" si="197"/>
        <v>58_22</v>
      </c>
      <c r="D298" s="338" t="s">
        <v>1</v>
      </c>
      <c r="E298" s="258">
        <v>58</v>
      </c>
      <c r="F298" s="328" t="s">
        <v>67</v>
      </c>
      <c r="G298" s="258" t="s">
        <v>9</v>
      </c>
      <c r="H298" s="431">
        <f t="shared" si="198"/>
        <v>24</v>
      </c>
      <c r="I298" s="431">
        <f t="array" ref="I298">MAX((IF(MNU_CODIGO_ALIMENTO_ENTREGA=CONCATENATE($E298,"_","P_"),MNU_GRAMAJE_REQUERIDO_TIPOA,"")))</f>
        <v>100</v>
      </c>
      <c r="J298" s="259">
        <f t="shared" si="199"/>
        <v>5114</v>
      </c>
      <c r="K298" s="259">
        <f t="shared" si="200"/>
        <v>122736</v>
      </c>
      <c r="L298" s="452">
        <f t="shared" si="201"/>
        <v>154</v>
      </c>
      <c r="M298" s="452">
        <f t="shared" si="202"/>
        <v>7.515200000000001</v>
      </c>
      <c r="N298" s="452">
        <f t="shared" si="203"/>
        <v>0.13244246400000001</v>
      </c>
      <c r="O298" s="452">
        <f t="shared" si="204"/>
        <v>162</v>
      </c>
      <c r="P298" s="260">
        <f t="shared" si="205"/>
        <v>18901344</v>
      </c>
      <c r="Q298" s="260">
        <f t="shared" si="206"/>
        <v>19883232</v>
      </c>
      <c r="R298" s="432">
        <f t="shared" si="207"/>
        <v>23</v>
      </c>
      <c r="S298" s="432">
        <f t="array" ref="S298">MAX((IF(MNU_CODIGO_ALIMENTO_ENTREGA=CONCATENATE($E298,"_","P_"),MNU_GRAMAJE_REQUERIDO_TIPOB,"")))</f>
        <v>100</v>
      </c>
      <c r="T298" s="261">
        <f t="shared" si="208"/>
        <v>5775</v>
      </c>
      <c r="U298" s="261">
        <f t="shared" si="209"/>
        <v>132825</v>
      </c>
      <c r="V298" s="452">
        <f t="shared" si="210"/>
        <v>154</v>
      </c>
      <c r="W298" s="452">
        <f t="shared" si="211"/>
        <v>7.515200000000001</v>
      </c>
      <c r="X298" s="452">
        <f t="shared" si="212"/>
        <v>0.13244246400000001</v>
      </c>
      <c r="Y298" s="452">
        <f t="shared" si="213"/>
        <v>162</v>
      </c>
      <c r="Z298" s="262">
        <f t="shared" si="214"/>
        <v>20455050</v>
      </c>
      <c r="AA298" s="262">
        <f t="shared" si="215"/>
        <v>21517650</v>
      </c>
      <c r="AB298" s="431">
        <f t="shared" si="216"/>
        <v>23</v>
      </c>
      <c r="AC298" s="431">
        <f t="array" ref="AC298">MAX((IF(MNU_CODIGO_ALIMENTO_ENTREGA=CONCATENATE($E298,"_","P_"),MNU_GRAMAJE_REQUERIDO_TIPOC,"")))</f>
        <v>100</v>
      </c>
      <c r="AD298" s="259">
        <f t="shared" si="217"/>
        <v>5688</v>
      </c>
      <c r="AE298" s="259">
        <f t="shared" si="218"/>
        <v>130824</v>
      </c>
      <c r="AF298" s="452">
        <f t="shared" si="219"/>
        <v>154</v>
      </c>
      <c r="AG298" s="452">
        <f t="shared" si="220"/>
        <v>7.515200000000001</v>
      </c>
      <c r="AH298" s="452">
        <f t="shared" si="221"/>
        <v>0.13244246400000001</v>
      </c>
      <c r="AI298" s="452">
        <f t="shared" si="222"/>
        <v>162</v>
      </c>
      <c r="AJ298" s="260">
        <f t="shared" si="223"/>
        <v>20146896</v>
      </c>
      <c r="AK298" s="260">
        <f t="shared" si="224"/>
        <v>21193488</v>
      </c>
      <c r="AL298" s="432">
        <f t="shared" si="225"/>
        <v>23</v>
      </c>
      <c r="AM298" s="432">
        <f t="array" ref="AM298">MAX((IF(MNU_CODIGO_ALIMENTO_ENTREGA=CONCATENATE($E298,"_","P_"),MNU_GRAMAJE_REQUERIDO_TIPOM,"")))</f>
        <v>100</v>
      </c>
      <c r="AN298" s="261">
        <f t="shared" si="226"/>
        <v>745</v>
      </c>
      <c r="AO298" s="261">
        <f t="shared" si="227"/>
        <v>17135</v>
      </c>
      <c r="AP298" s="452">
        <f t="shared" si="228"/>
        <v>154</v>
      </c>
      <c r="AQ298" s="452">
        <f t="shared" si="229"/>
        <v>7.515200000000001</v>
      </c>
      <c r="AR298" s="452">
        <f t="shared" si="230"/>
        <v>0.13244246400000001</v>
      </c>
      <c r="AS298" s="452">
        <f t="shared" si="231"/>
        <v>162</v>
      </c>
      <c r="AT298" s="262">
        <f t="shared" si="232"/>
        <v>2638790</v>
      </c>
      <c r="AU298" s="262">
        <f t="shared" si="233"/>
        <v>2775870</v>
      </c>
      <c r="AV298" s="431">
        <f t="shared" si="234"/>
        <v>23</v>
      </c>
      <c r="AW298" s="431">
        <f t="array" ref="AW298">MAX((IF(MNU_CODIGO_ALIMENTO_ENTREGA=CONCATENATE($E298,"_","P_"),MNU_GRAMAJE_REQUERIDO_TIPOH,"")))</f>
        <v>100</v>
      </c>
      <c r="AX298" s="259">
        <f t="shared" si="235"/>
        <v>697</v>
      </c>
      <c r="AY298" s="259">
        <f t="shared" si="236"/>
        <v>16031</v>
      </c>
      <c r="AZ298" s="452">
        <f t="shared" si="237"/>
        <v>154</v>
      </c>
      <c r="BA298" s="452">
        <f t="shared" si="238"/>
        <v>7.515200000000001</v>
      </c>
      <c r="BB298" s="452">
        <f t="shared" si="239"/>
        <v>0.13244246400000001</v>
      </c>
      <c r="BC298" s="452">
        <f t="shared" si="240"/>
        <v>162</v>
      </c>
      <c r="BD298" s="260">
        <f t="shared" si="241"/>
        <v>2468774</v>
      </c>
      <c r="BE298" s="260">
        <f t="shared" si="242"/>
        <v>2597022</v>
      </c>
      <c r="BF298" s="397">
        <f t="shared" si="243"/>
        <v>64610854</v>
      </c>
      <c r="BG298" s="397">
        <f t="shared" si="244"/>
        <v>67967262</v>
      </c>
    </row>
    <row r="299" spans="1:59" ht="15.75">
      <c r="A299" s="338">
        <v>22</v>
      </c>
      <c r="B299" s="338" t="str">
        <f t="shared" si="196"/>
        <v>FRUTA_22</v>
      </c>
      <c r="C299" s="338" t="str">
        <f t="shared" si="197"/>
        <v>59_22</v>
      </c>
      <c r="D299" s="338" t="s">
        <v>1</v>
      </c>
      <c r="E299" s="258">
        <v>59</v>
      </c>
      <c r="F299" s="328" t="s">
        <v>99</v>
      </c>
      <c r="G299" s="258" t="s">
        <v>9</v>
      </c>
      <c r="H299" s="431">
        <f t="shared" si="198"/>
        <v>0</v>
      </c>
      <c r="I299" s="431">
        <f t="array" ref="I299">MAX((IF(MNU_CODIGO_ALIMENTO_ENTREGA=CONCATENATE($E299,"_","P_"),MNU_GRAMAJE_REQUERIDO_TIPOA,"")))</f>
        <v>0</v>
      </c>
      <c r="J299" s="259">
        <f t="shared" si="199"/>
        <v>5114</v>
      </c>
      <c r="K299" s="259">
        <f t="shared" si="200"/>
        <v>0</v>
      </c>
      <c r="L299" s="452">
        <f t="shared" si="201"/>
        <v>0</v>
      </c>
      <c r="M299" s="452">
        <f t="shared" si="202"/>
        <v>0</v>
      </c>
      <c r="N299" s="452">
        <f t="shared" si="203"/>
        <v>0</v>
      </c>
      <c r="O299" s="452">
        <f t="shared" si="204"/>
        <v>0</v>
      </c>
      <c r="P299" s="260">
        <f t="shared" si="205"/>
        <v>0</v>
      </c>
      <c r="Q299" s="260">
        <f t="shared" si="206"/>
        <v>0</v>
      </c>
      <c r="R299" s="432">
        <f t="shared" si="207"/>
        <v>8</v>
      </c>
      <c r="S299" s="432">
        <f t="array" ref="S299">MAX((IF(MNU_CODIGO_ALIMENTO_ENTREGA=CONCATENATE($E299,"_","P_"),MNU_GRAMAJE_REQUERIDO_TIPOB,"")))</f>
        <v>100</v>
      </c>
      <c r="T299" s="261">
        <f t="shared" si="208"/>
        <v>5775</v>
      </c>
      <c r="U299" s="261">
        <f t="shared" si="209"/>
        <v>46200</v>
      </c>
      <c r="V299" s="452">
        <f t="shared" si="210"/>
        <v>286</v>
      </c>
      <c r="W299" s="452">
        <f t="shared" si="211"/>
        <v>13.956800000000001</v>
      </c>
      <c r="X299" s="452">
        <f t="shared" si="212"/>
        <v>0.24596457599999999</v>
      </c>
      <c r="Y299" s="452">
        <f t="shared" si="213"/>
        <v>300</v>
      </c>
      <c r="Z299" s="262">
        <f t="shared" si="214"/>
        <v>13213200</v>
      </c>
      <c r="AA299" s="262">
        <f t="shared" si="215"/>
        <v>13860000</v>
      </c>
      <c r="AB299" s="431">
        <f t="shared" si="216"/>
        <v>8</v>
      </c>
      <c r="AC299" s="431">
        <f t="array" ref="AC299">MAX((IF(MNU_CODIGO_ALIMENTO_ENTREGA=CONCATENATE($E299,"_","P_"),MNU_GRAMAJE_REQUERIDO_TIPOC,"")))</f>
        <v>100</v>
      </c>
      <c r="AD299" s="259">
        <f t="shared" si="217"/>
        <v>5688</v>
      </c>
      <c r="AE299" s="259">
        <f t="shared" si="218"/>
        <v>45504</v>
      </c>
      <c r="AF299" s="452">
        <f t="shared" si="219"/>
        <v>286</v>
      </c>
      <c r="AG299" s="452">
        <f t="shared" si="220"/>
        <v>13.956800000000001</v>
      </c>
      <c r="AH299" s="452">
        <f t="shared" si="221"/>
        <v>0.24596457599999999</v>
      </c>
      <c r="AI299" s="452">
        <f t="shared" si="222"/>
        <v>300</v>
      </c>
      <c r="AJ299" s="260">
        <f t="shared" si="223"/>
        <v>13014144</v>
      </c>
      <c r="AK299" s="260">
        <f t="shared" si="224"/>
        <v>13651200</v>
      </c>
      <c r="AL299" s="432">
        <f t="shared" si="225"/>
        <v>8</v>
      </c>
      <c r="AM299" s="432">
        <f t="array" ref="AM299">MAX((IF(MNU_CODIGO_ALIMENTO_ENTREGA=CONCATENATE($E299,"_","P_"),MNU_GRAMAJE_REQUERIDO_TIPOM,"")))</f>
        <v>100</v>
      </c>
      <c r="AN299" s="261">
        <f t="shared" si="226"/>
        <v>745</v>
      </c>
      <c r="AO299" s="261">
        <f t="shared" si="227"/>
        <v>5960</v>
      </c>
      <c r="AP299" s="452">
        <f t="shared" si="228"/>
        <v>286</v>
      </c>
      <c r="AQ299" s="452">
        <f t="shared" si="229"/>
        <v>13.956800000000001</v>
      </c>
      <c r="AR299" s="452">
        <f t="shared" si="230"/>
        <v>0.24596457599999999</v>
      </c>
      <c r="AS299" s="452">
        <f t="shared" si="231"/>
        <v>300</v>
      </c>
      <c r="AT299" s="262">
        <f t="shared" si="232"/>
        <v>1704560</v>
      </c>
      <c r="AU299" s="262">
        <f t="shared" si="233"/>
        <v>1788000</v>
      </c>
      <c r="AV299" s="431">
        <f t="shared" si="234"/>
        <v>8</v>
      </c>
      <c r="AW299" s="431">
        <f t="array" ref="AW299">MAX((IF(MNU_CODIGO_ALIMENTO_ENTREGA=CONCATENATE($E299,"_","P_"),MNU_GRAMAJE_REQUERIDO_TIPOH,"")))</f>
        <v>100</v>
      </c>
      <c r="AX299" s="259">
        <f t="shared" si="235"/>
        <v>697</v>
      </c>
      <c r="AY299" s="259">
        <f t="shared" si="236"/>
        <v>5576</v>
      </c>
      <c r="AZ299" s="452">
        <f t="shared" si="237"/>
        <v>286</v>
      </c>
      <c r="BA299" s="452">
        <f t="shared" si="238"/>
        <v>13.956800000000001</v>
      </c>
      <c r="BB299" s="452">
        <f t="shared" si="239"/>
        <v>0.24596457599999999</v>
      </c>
      <c r="BC299" s="452">
        <f t="shared" si="240"/>
        <v>300</v>
      </c>
      <c r="BD299" s="260">
        <f t="shared" si="241"/>
        <v>1594736</v>
      </c>
      <c r="BE299" s="260">
        <f t="shared" si="242"/>
        <v>1672800</v>
      </c>
      <c r="BF299" s="397">
        <f t="shared" si="243"/>
        <v>29526640</v>
      </c>
      <c r="BG299" s="397">
        <f t="shared" si="244"/>
        <v>30972000</v>
      </c>
    </row>
    <row r="300" spans="1:59" ht="15.75">
      <c r="A300" s="338">
        <v>22</v>
      </c>
      <c r="B300" s="338" t="str">
        <f t="shared" si="196"/>
        <v>FRUTA_22</v>
      </c>
      <c r="C300" s="338" t="str">
        <f t="shared" si="197"/>
        <v>69_22</v>
      </c>
      <c r="D300" s="338" t="s">
        <v>1</v>
      </c>
      <c r="E300" s="258">
        <v>69</v>
      </c>
      <c r="F300" s="328" t="s">
        <v>70</v>
      </c>
      <c r="G300" s="258" t="s">
        <v>9</v>
      </c>
      <c r="H300" s="431">
        <f t="shared" si="198"/>
        <v>30</v>
      </c>
      <c r="I300" s="431">
        <f t="array" ref="I300">MAX((IF(MNU_CODIGO_ALIMENTO_ENTREGA=CONCATENATE($E300,"_","P_"),MNU_GRAMAJE_REQUERIDO_TIPOA,"")))</f>
        <v>100</v>
      </c>
      <c r="J300" s="259">
        <f t="shared" si="199"/>
        <v>5114</v>
      </c>
      <c r="K300" s="259">
        <f t="shared" si="200"/>
        <v>153420</v>
      </c>
      <c r="L300" s="452">
        <f t="shared" si="201"/>
        <v>305</v>
      </c>
      <c r="M300" s="452">
        <f t="shared" si="202"/>
        <v>14.884</v>
      </c>
      <c r="N300" s="452">
        <f t="shared" si="203"/>
        <v>0.26230488000000002</v>
      </c>
      <c r="O300" s="452">
        <f t="shared" si="204"/>
        <v>320</v>
      </c>
      <c r="P300" s="260">
        <f t="shared" si="205"/>
        <v>46793100</v>
      </c>
      <c r="Q300" s="260">
        <f t="shared" si="206"/>
        <v>49094400</v>
      </c>
      <c r="R300" s="432">
        <f t="shared" si="207"/>
        <v>16</v>
      </c>
      <c r="S300" s="432">
        <f t="array" ref="S300">MAX((IF(MNU_CODIGO_ALIMENTO_ENTREGA=CONCATENATE($E300,"_","P_"),MNU_GRAMAJE_REQUERIDO_TIPOB,"")))</f>
        <v>100</v>
      </c>
      <c r="T300" s="261">
        <f t="shared" si="208"/>
        <v>5775</v>
      </c>
      <c r="U300" s="261">
        <f t="shared" si="209"/>
        <v>92400</v>
      </c>
      <c r="V300" s="452">
        <f t="shared" si="210"/>
        <v>305</v>
      </c>
      <c r="W300" s="452">
        <f t="shared" si="211"/>
        <v>14.884</v>
      </c>
      <c r="X300" s="452">
        <f t="shared" si="212"/>
        <v>0.26230488000000002</v>
      </c>
      <c r="Y300" s="452">
        <f t="shared" si="213"/>
        <v>320</v>
      </c>
      <c r="Z300" s="262">
        <f t="shared" si="214"/>
        <v>28182000</v>
      </c>
      <c r="AA300" s="262">
        <f t="shared" si="215"/>
        <v>29568000</v>
      </c>
      <c r="AB300" s="431">
        <f t="shared" si="216"/>
        <v>16</v>
      </c>
      <c r="AC300" s="431">
        <f t="array" ref="AC300">MAX((IF(MNU_CODIGO_ALIMENTO_ENTREGA=CONCATENATE($E300,"_","P_"),MNU_GRAMAJE_REQUERIDO_TIPOC,"")))</f>
        <v>100</v>
      </c>
      <c r="AD300" s="259">
        <f t="shared" si="217"/>
        <v>5688</v>
      </c>
      <c r="AE300" s="259">
        <f t="shared" si="218"/>
        <v>91008</v>
      </c>
      <c r="AF300" s="452">
        <f t="shared" si="219"/>
        <v>305</v>
      </c>
      <c r="AG300" s="452">
        <f t="shared" si="220"/>
        <v>14.884</v>
      </c>
      <c r="AH300" s="452">
        <f t="shared" si="221"/>
        <v>0.26230488000000002</v>
      </c>
      <c r="AI300" s="452">
        <f t="shared" si="222"/>
        <v>320</v>
      </c>
      <c r="AJ300" s="260">
        <f t="shared" si="223"/>
        <v>27757440</v>
      </c>
      <c r="AK300" s="260">
        <f t="shared" si="224"/>
        <v>29122560</v>
      </c>
      <c r="AL300" s="432">
        <f t="shared" si="225"/>
        <v>16</v>
      </c>
      <c r="AM300" s="432">
        <f t="array" ref="AM300">MAX((IF(MNU_CODIGO_ALIMENTO_ENTREGA=CONCATENATE($E300,"_","P_"),MNU_GRAMAJE_REQUERIDO_TIPOM,"")))</f>
        <v>100</v>
      </c>
      <c r="AN300" s="261">
        <f t="shared" si="226"/>
        <v>745</v>
      </c>
      <c r="AO300" s="261">
        <f t="shared" si="227"/>
        <v>11920</v>
      </c>
      <c r="AP300" s="452">
        <f t="shared" si="228"/>
        <v>305</v>
      </c>
      <c r="AQ300" s="452">
        <f t="shared" si="229"/>
        <v>14.884</v>
      </c>
      <c r="AR300" s="452">
        <f t="shared" si="230"/>
        <v>0.26230488000000002</v>
      </c>
      <c r="AS300" s="452">
        <f t="shared" si="231"/>
        <v>320</v>
      </c>
      <c r="AT300" s="262">
        <f t="shared" si="232"/>
        <v>3635600</v>
      </c>
      <c r="AU300" s="262">
        <f t="shared" si="233"/>
        <v>3814400</v>
      </c>
      <c r="AV300" s="431">
        <f t="shared" si="234"/>
        <v>16</v>
      </c>
      <c r="AW300" s="431">
        <f t="array" ref="AW300">MAX((IF(MNU_CODIGO_ALIMENTO_ENTREGA=CONCATENATE($E300,"_","P_"),MNU_GRAMAJE_REQUERIDO_TIPOH,"")))</f>
        <v>100</v>
      </c>
      <c r="AX300" s="259">
        <f t="shared" si="235"/>
        <v>697</v>
      </c>
      <c r="AY300" s="259">
        <f t="shared" si="236"/>
        <v>11152</v>
      </c>
      <c r="AZ300" s="452">
        <f t="shared" si="237"/>
        <v>305</v>
      </c>
      <c r="BA300" s="452">
        <f t="shared" si="238"/>
        <v>14.884</v>
      </c>
      <c r="BB300" s="452">
        <f t="shared" si="239"/>
        <v>0.26230488000000002</v>
      </c>
      <c r="BC300" s="452">
        <f t="shared" si="240"/>
        <v>320</v>
      </c>
      <c r="BD300" s="260">
        <f t="shared" si="241"/>
        <v>3401360</v>
      </c>
      <c r="BE300" s="260">
        <f t="shared" si="242"/>
        <v>3568640</v>
      </c>
      <c r="BF300" s="397">
        <f t="shared" si="243"/>
        <v>109769500</v>
      </c>
      <c r="BG300" s="397">
        <f t="shared" si="244"/>
        <v>115168000</v>
      </c>
    </row>
    <row r="301" spans="1:59" ht="15.75">
      <c r="A301" s="338">
        <v>22</v>
      </c>
      <c r="B301" s="338" t="str">
        <f t="shared" si="196"/>
        <v>FRUTA_22</v>
      </c>
      <c r="C301" s="338" t="str">
        <f t="shared" si="197"/>
        <v>70_22</v>
      </c>
      <c r="D301" s="338" t="s">
        <v>1</v>
      </c>
      <c r="E301" s="258">
        <v>70</v>
      </c>
      <c r="F301" s="328" t="s">
        <v>71</v>
      </c>
      <c r="G301" s="258" t="s">
        <v>9</v>
      </c>
      <c r="H301" s="431">
        <f t="shared" si="198"/>
        <v>0</v>
      </c>
      <c r="I301" s="431">
        <f t="array" ref="I301">MAX((IF(MNU_CODIGO_ALIMENTO_ENTREGA=CONCATENATE($E301,"_","P_"),MNU_GRAMAJE_REQUERIDO_TIPOA,"")))</f>
        <v>0</v>
      </c>
      <c r="J301" s="259">
        <f t="shared" si="199"/>
        <v>5114</v>
      </c>
      <c r="K301" s="259">
        <f t="shared" si="200"/>
        <v>0</v>
      </c>
      <c r="L301" s="452">
        <f t="shared" si="201"/>
        <v>0</v>
      </c>
      <c r="M301" s="452">
        <f t="shared" si="202"/>
        <v>0</v>
      </c>
      <c r="N301" s="452">
        <f t="shared" si="203"/>
        <v>0</v>
      </c>
      <c r="O301" s="452">
        <f t="shared" si="204"/>
        <v>0</v>
      </c>
      <c r="P301" s="260">
        <f t="shared" si="205"/>
        <v>0</v>
      </c>
      <c r="Q301" s="260">
        <f t="shared" si="206"/>
        <v>0</v>
      </c>
      <c r="R301" s="432">
        <f t="shared" si="207"/>
        <v>10</v>
      </c>
      <c r="S301" s="432">
        <f t="array" ref="S301">MAX((IF(MNU_CODIGO_ALIMENTO_ENTREGA=CONCATENATE($E301,"_","P_"),MNU_GRAMAJE_REQUERIDO_TIPOB,"")))</f>
        <v>100</v>
      </c>
      <c r="T301" s="261">
        <f t="shared" si="208"/>
        <v>5775</v>
      </c>
      <c r="U301" s="261">
        <f t="shared" si="209"/>
        <v>57750</v>
      </c>
      <c r="V301" s="452">
        <f t="shared" si="210"/>
        <v>434</v>
      </c>
      <c r="W301" s="452">
        <f t="shared" si="211"/>
        <v>21.179200000000002</v>
      </c>
      <c r="X301" s="452">
        <f t="shared" si="212"/>
        <v>0.37324694399999997</v>
      </c>
      <c r="Y301" s="452">
        <f t="shared" si="213"/>
        <v>456</v>
      </c>
      <c r="Z301" s="262">
        <f t="shared" si="214"/>
        <v>25063500</v>
      </c>
      <c r="AA301" s="262">
        <f t="shared" si="215"/>
        <v>26334000</v>
      </c>
      <c r="AB301" s="431">
        <f t="shared" si="216"/>
        <v>10</v>
      </c>
      <c r="AC301" s="431">
        <f t="array" ref="AC301">MAX((IF(MNU_CODIGO_ALIMENTO_ENTREGA=CONCATENATE($E301,"_","P_"),MNU_GRAMAJE_REQUERIDO_TIPOC,"")))</f>
        <v>100</v>
      </c>
      <c r="AD301" s="259">
        <f t="shared" si="217"/>
        <v>5688</v>
      </c>
      <c r="AE301" s="259">
        <f t="shared" si="218"/>
        <v>56880</v>
      </c>
      <c r="AF301" s="452">
        <f t="shared" si="219"/>
        <v>434</v>
      </c>
      <c r="AG301" s="452">
        <f t="shared" si="220"/>
        <v>21.179200000000002</v>
      </c>
      <c r="AH301" s="452">
        <f t="shared" si="221"/>
        <v>0.37324694399999997</v>
      </c>
      <c r="AI301" s="452">
        <f t="shared" si="222"/>
        <v>456</v>
      </c>
      <c r="AJ301" s="260">
        <f t="shared" si="223"/>
        <v>24685920</v>
      </c>
      <c r="AK301" s="260">
        <f t="shared" si="224"/>
        <v>25937280</v>
      </c>
      <c r="AL301" s="432">
        <f t="shared" si="225"/>
        <v>10</v>
      </c>
      <c r="AM301" s="432">
        <f t="array" ref="AM301">MAX((IF(MNU_CODIGO_ALIMENTO_ENTREGA=CONCATENATE($E301,"_","P_"),MNU_GRAMAJE_REQUERIDO_TIPOM,"")))</f>
        <v>100</v>
      </c>
      <c r="AN301" s="261">
        <f t="shared" si="226"/>
        <v>745</v>
      </c>
      <c r="AO301" s="261">
        <f t="shared" si="227"/>
        <v>7450</v>
      </c>
      <c r="AP301" s="452">
        <f t="shared" si="228"/>
        <v>434</v>
      </c>
      <c r="AQ301" s="452">
        <f t="shared" si="229"/>
        <v>21.179200000000002</v>
      </c>
      <c r="AR301" s="452">
        <f t="shared" si="230"/>
        <v>0.37324694399999997</v>
      </c>
      <c r="AS301" s="452">
        <f t="shared" si="231"/>
        <v>456</v>
      </c>
      <c r="AT301" s="262">
        <f t="shared" si="232"/>
        <v>3233300</v>
      </c>
      <c r="AU301" s="262">
        <f t="shared" si="233"/>
        <v>3397200</v>
      </c>
      <c r="AV301" s="431">
        <f t="shared" si="234"/>
        <v>10</v>
      </c>
      <c r="AW301" s="431">
        <f t="array" ref="AW301">MAX((IF(MNU_CODIGO_ALIMENTO_ENTREGA=CONCATENATE($E301,"_","P_"),MNU_GRAMAJE_REQUERIDO_TIPOH,"")))</f>
        <v>100</v>
      </c>
      <c r="AX301" s="259">
        <f t="shared" si="235"/>
        <v>697</v>
      </c>
      <c r="AY301" s="259">
        <f t="shared" si="236"/>
        <v>6970</v>
      </c>
      <c r="AZ301" s="452">
        <f t="shared" si="237"/>
        <v>434</v>
      </c>
      <c r="BA301" s="452">
        <f t="shared" si="238"/>
        <v>21.179200000000002</v>
      </c>
      <c r="BB301" s="452">
        <f t="shared" si="239"/>
        <v>0.37324694399999997</v>
      </c>
      <c r="BC301" s="452">
        <f t="shared" si="240"/>
        <v>456</v>
      </c>
      <c r="BD301" s="260">
        <f t="shared" si="241"/>
        <v>3024980</v>
      </c>
      <c r="BE301" s="260">
        <f t="shared" si="242"/>
        <v>3178320</v>
      </c>
      <c r="BF301" s="397">
        <f t="shared" si="243"/>
        <v>56007700</v>
      </c>
      <c r="BG301" s="397">
        <f t="shared" si="244"/>
        <v>58846800</v>
      </c>
    </row>
    <row r="302" spans="1:59" ht="15.75">
      <c r="A302" s="338">
        <v>23</v>
      </c>
      <c r="B302" s="338" t="str">
        <f t="shared" si="196"/>
        <v>FRUTA_23</v>
      </c>
      <c r="C302" s="338" t="str">
        <f t="shared" si="197"/>
        <v>7_23</v>
      </c>
      <c r="D302" s="338" t="s">
        <v>1</v>
      </c>
      <c r="E302" s="258">
        <v>7</v>
      </c>
      <c r="F302" s="328" t="s">
        <v>57</v>
      </c>
      <c r="G302" s="258" t="s">
        <v>9</v>
      </c>
      <c r="H302" s="431">
        <f t="shared" si="198"/>
        <v>22</v>
      </c>
      <c r="I302" s="431">
        <f t="array" ref="I302">MAX((IF(MNU_CODIGO_ALIMENTO_ENTREGA=CONCATENATE($E302,"_","P_"),MNU_GRAMAJE_REQUERIDO_TIPOA,"")))</f>
        <v>100</v>
      </c>
      <c r="J302" s="259">
        <f t="shared" si="199"/>
        <v>5500</v>
      </c>
      <c r="K302" s="259">
        <f t="shared" si="200"/>
        <v>121000</v>
      </c>
      <c r="L302" s="452">
        <f t="shared" si="201"/>
        <v>107</v>
      </c>
      <c r="M302" s="452">
        <f t="shared" si="202"/>
        <v>5.2216000000000005</v>
      </c>
      <c r="N302" s="452">
        <f t="shared" si="203"/>
        <v>9.2021712000000006E-2</v>
      </c>
      <c r="O302" s="452">
        <f t="shared" si="204"/>
        <v>112</v>
      </c>
      <c r="P302" s="260">
        <f t="shared" si="205"/>
        <v>12947000</v>
      </c>
      <c r="Q302" s="260">
        <f t="shared" si="206"/>
        <v>13552000</v>
      </c>
      <c r="R302" s="432">
        <f t="shared" si="207"/>
        <v>9</v>
      </c>
      <c r="S302" s="432">
        <f t="array" ref="S302">MAX((IF(MNU_CODIGO_ALIMENTO_ENTREGA=CONCATENATE($E302,"_","P_"),MNU_GRAMAJE_REQUERIDO_TIPOB,"")))</f>
        <v>100</v>
      </c>
      <c r="T302" s="261">
        <f t="shared" si="208"/>
        <v>6924</v>
      </c>
      <c r="U302" s="261">
        <f t="shared" si="209"/>
        <v>62316</v>
      </c>
      <c r="V302" s="452">
        <f t="shared" si="210"/>
        <v>107</v>
      </c>
      <c r="W302" s="452">
        <f t="shared" si="211"/>
        <v>5.2216000000000005</v>
      </c>
      <c r="X302" s="452">
        <f t="shared" si="212"/>
        <v>9.2021712000000006E-2</v>
      </c>
      <c r="Y302" s="452">
        <f t="shared" si="213"/>
        <v>112</v>
      </c>
      <c r="Z302" s="262">
        <f t="shared" si="214"/>
        <v>6667812</v>
      </c>
      <c r="AA302" s="262">
        <f t="shared" si="215"/>
        <v>6979392</v>
      </c>
      <c r="AB302" s="431">
        <f t="shared" si="216"/>
        <v>9</v>
      </c>
      <c r="AC302" s="431">
        <f t="array" ref="AC302">MAX((IF(MNU_CODIGO_ALIMENTO_ENTREGA=CONCATENATE($E302,"_","P_"),MNU_GRAMAJE_REQUERIDO_TIPOC,"")))</f>
        <v>100</v>
      </c>
      <c r="AD302" s="259">
        <f t="shared" si="217"/>
        <v>5626</v>
      </c>
      <c r="AE302" s="259">
        <f t="shared" si="218"/>
        <v>50634</v>
      </c>
      <c r="AF302" s="452">
        <f t="shared" si="219"/>
        <v>107</v>
      </c>
      <c r="AG302" s="452">
        <f t="shared" si="220"/>
        <v>5.2216000000000005</v>
      </c>
      <c r="AH302" s="452">
        <f t="shared" si="221"/>
        <v>9.2021712000000006E-2</v>
      </c>
      <c r="AI302" s="452">
        <f t="shared" si="222"/>
        <v>112</v>
      </c>
      <c r="AJ302" s="260">
        <f t="shared" si="223"/>
        <v>5417838</v>
      </c>
      <c r="AK302" s="260">
        <f t="shared" si="224"/>
        <v>5671008</v>
      </c>
      <c r="AL302" s="432">
        <f t="shared" si="225"/>
        <v>9</v>
      </c>
      <c r="AM302" s="432">
        <f t="array" ref="AM302">MAX((IF(MNU_CODIGO_ALIMENTO_ENTREGA=CONCATENATE($E302,"_","P_"),MNU_GRAMAJE_REQUERIDO_TIPOM,"")))</f>
        <v>100</v>
      </c>
      <c r="AN302" s="261">
        <f t="shared" si="226"/>
        <v>0</v>
      </c>
      <c r="AO302" s="261">
        <f t="shared" si="227"/>
        <v>0</v>
      </c>
      <c r="AP302" s="452">
        <f t="shared" si="228"/>
        <v>107</v>
      </c>
      <c r="AQ302" s="452">
        <f t="shared" si="229"/>
        <v>5.2216000000000005</v>
      </c>
      <c r="AR302" s="452">
        <f t="shared" si="230"/>
        <v>9.2021712000000006E-2</v>
      </c>
      <c r="AS302" s="452">
        <f t="shared" si="231"/>
        <v>112</v>
      </c>
      <c r="AT302" s="262">
        <f t="shared" si="232"/>
        <v>0</v>
      </c>
      <c r="AU302" s="262">
        <f t="shared" si="233"/>
        <v>0</v>
      </c>
      <c r="AV302" s="431">
        <f t="shared" si="234"/>
        <v>9</v>
      </c>
      <c r="AW302" s="431">
        <f t="array" ref="AW302">MAX((IF(MNU_CODIGO_ALIMENTO_ENTREGA=CONCATENATE($E302,"_","P_"),MNU_GRAMAJE_REQUERIDO_TIPOH,"")))</f>
        <v>100</v>
      </c>
      <c r="AX302" s="259">
        <f t="shared" si="235"/>
        <v>0</v>
      </c>
      <c r="AY302" s="259">
        <f t="shared" si="236"/>
        <v>0</v>
      </c>
      <c r="AZ302" s="452">
        <f t="shared" si="237"/>
        <v>107</v>
      </c>
      <c r="BA302" s="452">
        <f t="shared" si="238"/>
        <v>5.2216000000000005</v>
      </c>
      <c r="BB302" s="452">
        <f t="shared" si="239"/>
        <v>9.2021712000000006E-2</v>
      </c>
      <c r="BC302" s="452">
        <f t="shared" si="240"/>
        <v>112</v>
      </c>
      <c r="BD302" s="260">
        <f t="shared" si="241"/>
        <v>0</v>
      </c>
      <c r="BE302" s="260">
        <f t="shared" si="242"/>
        <v>0</v>
      </c>
      <c r="BF302" s="397">
        <f t="shared" si="243"/>
        <v>25032650</v>
      </c>
      <c r="BG302" s="397">
        <f t="shared" si="244"/>
        <v>26202400</v>
      </c>
    </row>
    <row r="303" spans="1:59" ht="15.75">
      <c r="A303" s="338">
        <v>23</v>
      </c>
      <c r="B303" s="338" t="str">
        <f t="shared" si="196"/>
        <v>FRUTA_23</v>
      </c>
      <c r="C303" s="338" t="str">
        <f t="shared" si="197"/>
        <v>8_23</v>
      </c>
      <c r="D303" s="338" t="s">
        <v>1</v>
      </c>
      <c r="E303" s="258">
        <v>8</v>
      </c>
      <c r="F303" s="328" t="s">
        <v>55</v>
      </c>
      <c r="G303" s="258" t="s">
        <v>9</v>
      </c>
      <c r="H303" s="431">
        <f t="shared" si="198"/>
        <v>10</v>
      </c>
      <c r="I303" s="431">
        <f t="array" ref="I303">MAX((IF(MNU_CODIGO_ALIMENTO_ENTREGA=CONCATENATE($E303,"_","P_"),MNU_GRAMAJE_REQUERIDO_TIPOA,"")))</f>
        <v>100</v>
      </c>
      <c r="J303" s="259">
        <f t="shared" si="199"/>
        <v>5500</v>
      </c>
      <c r="K303" s="259">
        <f t="shared" si="200"/>
        <v>55000</v>
      </c>
      <c r="L303" s="452">
        <f t="shared" si="201"/>
        <v>134</v>
      </c>
      <c r="M303" s="452">
        <f t="shared" si="202"/>
        <v>6.539200000000001</v>
      </c>
      <c r="N303" s="452">
        <f t="shared" si="203"/>
        <v>0.115242144</v>
      </c>
      <c r="O303" s="452">
        <f t="shared" si="204"/>
        <v>141</v>
      </c>
      <c r="P303" s="260">
        <f t="shared" si="205"/>
        <v>7370000</v>
      </c>
      <c r="Q303" s="260">
        <f t="shared" si="206"/>
        <v>7755000</v>
      </c>
      <c r="R303" s="432">
        <f t="shared" si="207"/>
        <v>8</v>
      </c>
      <c r="S303" s="432">
        <f t="array" ref="S303">MAX((IF(MNU_CODIGO_ALIMENTO_ENTREGA=CONCATENATE($E303,"_","P_"),MNU_GRAMAJE_REQUERIDO_TIPOB,"")))</f>
        <v>100</v>
      </c>
      <c r="T303" s="261">
        <f t="shared" si="208"/>
        <v>6924</v>
      </c>
      <c r="U303" s="261">
        <f t="shared" si="209"/>
        <v>55392</v>
      </c>
      <c r="V303" s="452">
        <f t="shared" si="210"/>
        <v>134</v>
      </c>
      <c r="W303" s="452">
        <f t="shared" si="211"/>
        <v>6.539200000000001</v>
      </c>
      <c r="X303" s="452">
        <f t="shared" si="212"/>
        <v>0.115242144</v>
      </c>
      <c r="Y303" s="452">
        <f t="shared" si="213"/>
        <v>141</v>
      </c>
      <c r="Z303" s="262">
        <f t="shared" si="214"/>
        <v>7422528</v>
      </c>
      <c r="AA303" s="262">
        <f t="shared" si="215"/>
        <v>7810272</v>
      </c>
      <c r="AB303" s="431">
        <f t="shared" si="216"/>
        <v>8</v>
      </c>
      <c r="AC303" s="431">
        <f t="array" ref="AC303">MAX((IF(MNU_CODIGO_ALIMENTO_ENTREGA=CONCATENATE($E303,"_","P_"),MNU_GRAMAJE_REQUERIDO_TIPOC,"")))</f>
        <v>100</v>
      </c>
      <c r="AD303" s="259">
        <f t="shared" si="217"/>
        <v>5626</v>
      </c>
      <c r="AE303" s="259">
        <f t="shared" si="218"/>
        <v>45008</v>
      </c>
      <c r="AF303" s="452">
        <f t="shared" si="219"/>
        <v>134</v>
      </c>
      <c r="AG303" s="452">
        <f t="shared" si="220"/>
        <v>6.539200000000001</v>
      </c>
      <c r="AH303" s="452">
        <f t="shared" si="221"/>
        <v>0.115242144</v>
      </c>
      <c r="AI303" s="452">
        <f t="shared" si="222"/>
        <v>141</v>
      </c>
      <c r="AJ303" s="260">
        <f t="shared" si="223"/>
        <v>6031072</v>
      </c>
      <c r="AK303" s="260">
        <f t="shared" si="224"/>
        <v>6346128</v>
      </c>
      <c r="AL303" s="432">
        <f t="shared" si="225"/>
        <v>8</v>
      </c>
      <c r="AM303" s="432">
        <f t="array" ref="AM303">MAX((IF(MNU_CODIGO_ALIMENTO_ENTREGA=CONCATENATE($E303,"_","P_"),MNU_GRAMAJE_REQUERIDO_TIPOM,"")))</f>
        <v>100</v>
      </c>
      <c r="AN303" s="261">
        <f t="shared" si="226"/>
        <v>0</v>
      </c>
      <c r="AO303" s="261">
        <f t="shared" si="227"/>
        <v>0</v>
      </c>
      <c r="AP303" s="452">
        <f t="shared" si="228"/>
        <v>134</v>
      </c>
      <c r="AQ303" s="452">
        <f t="shared" si="229"/>
        <v>6.539200000000001</v>
      </c>
      <c r="AR303" s="452">
        <f t="shared" si="230"/>
        <v>0.115242144</v>
      </c>
      <c r="AS303" s="452">
        <f t="shared" si="231"/>
        <v>141</v>
      </c>
      <c r="AT303" s="262">
        <f t="shared" si="232"/>
        <v>0</v>
      </c>
      <c r="AU303" s="262">
        <f t="shared" si="233"/>
        <v>0</v>
      </c>
      <c r="AV303" s="431">
        <f t="shared" si="234"/>
        <v>8</v>
      </c>
      <c r="AW303" s="431">
        <f t="array" ref="AW303">MAX((IF(MNU_CODIGO_ALIMENTO_ENTREGA=CONCATENATE($E303,"_","P_"),MNU_GRAMAJE_REQUERIDO_TIPOH,"")))</f>
        <v>100</v>
      </c>
      <c r="AX303" s="259">
        <f t="shared" si="235"/>
        <v>0</v>
      </c>
      <c r="AY303" s="259">
        <f t="shared" si="236"/>
        <v>0</v>
      </c>
      <c r="AZ303" s="452">
        <f t="shared" si="237"/>
        <v>134</v>
      </c>
      <c r="BA303" s="452">
        <f t="shared" si="238"/>
        <v>6.539200000000001</v>
      </c>
      <c r="BB303" s="452">
        <f t="shared" si="239"/>
        <v>0.115242144</v>
      </c>
      <c r="BC303" s="452">
        <f t="shared" si="240"/>
        <v>141</v>
      </c>
      <c r="BD303" s="260">
        <f t="shared" si="241"/>
        <v>0</v>
      </c>
      <c r="BE303" s="260">
        <f t="shared" si="242"/>
        <v>0</v>
      </c>
      <c r="BF303" s="397">
        <f t="shared" si="243"/>
        <v>20823600</v>
      </c>
      <c r="BG303" s="397">
        <f t="shared" si="244"/>
        <v>21911400</v>
      </c>
    </row>
    <row r="304" spans="1:59" ht="15.75">
      <c r="A304" s="338">
        <v>23</v>
      </c>
      <c r="B304" s="338" t="str">
        <f t="shared" si="196"/>
        <v>FRUTA_23</v>
      </c>
      <c r="C304" s="338" t="str">
        <f t="shared" si="197"/>
        <v>17_23</v>
      </c>
      <c r="D304" s="338" t="s">
        <v>1</v>
      </c>
      <c r="E304" s="258">
        <v>17</v>
      </c>
      <c r="F304" s="328" t="s">
        <v>53</v>
      </c>
      <c r="G304" s="258" t="s">
        <v>9</v>
      </c>
      <c r="H304" s="431">
        <f t="shared" si="198"/>
        <v>0</v>
      </c>
      <c r="I304" s="431">
        <f t="array" ref="I304">MAX((IF(MNU_CODIGO_ALIMENTO_ENTREGA=CONCATENATE($E304,"_","P_"),MNU_GRAMAJE_REQUERIDO_TIPOA,"")))</f>
        <v>0</v>
      </c>
      <c r="J304" s="259">
        <f t="shared" si="199"/>
        <v>5500</v>
      </c>
      <c r="K304" s="259">
        <f t="shared" si="200"/>
        <v>0</v>
      </c>
      <c r="L304" s="452">
        <f t="shared" si="201"/>
        <v>0</v>
      </c>
      <c r="M304" s="452">
        <f t="shared" si="202"/>
        <v>0</v>
      </c>
      <c r="N304" s="452">
        <f t="shared" si="203"/>
        <v>0</v>
      </c>
      <c r="O304" s="452">
        <f t="shared" si="204"/>
        <v>0</v>
      </c>
      <c r="P304" s="260">
        <f t="shared" si="205"/>
        <v>0</v>
      </c>
      <c r="Q304" s="260">
        <f t="shared" si="206"/>
        <v>0</v>
      </c>
      <c r="R304" s="432">
        <f t="shared" si="207"/>
        <v>21</v>
      </c>
      <c r="S304" s="432">
        <f t="array" ref="S304">MAX((IF(MNU_CODIGO_ALIMENTO_ENTREGA=CONCATENATE($E304,"_","P_"),MNU_GRAMAJE_REQUERIDO_TIPOB,"")))</f>
        <v>100</v>
      </c>
      <c r="T304" s="261">
        <f t="shared" si="208"/>
        <v>6924</v>
      </c>
      <c r="U304" s="261">
        <f t="shared" si="209"/>
        <v>145404</v>
      </c>
      <c r="V304" s="452">
        <f t="shared" si="210"/>
        <v>226</v>
      </c>
      <c r="W304" s="452">
        <f t="shared" si="211"/>
        <v>11.0288</v>
      </c>
      <c r="X304" s="452">
        <f t="shared" si="212"/>
        <v>0.19436361600000002</v>
      </c>
      <c r="Y304" s="452">
        <f t="shared" si="213"/>
        <v>237</v>
      </c>
      <c r="Z304" s="262">
        <f t="shared" si="214"/>
        <v>32861304</v>
      </c>
      <c r="AA304" s="262">
        <f t="shared" si="215"/>
        <v>34460748</v>
      </c>
      <c r="AB304" s="431">
        <f t="shared" si="216"/>
        <v>21</v>
      </c>
      <c r="AC304" s="431">
        <f t="array" ref="AC304">MAX((IF(MNU_CODIGO_ALIMENTO_ENTREGA=CONCATENATE($E304,"_","P_"),MNU_GRAMAJE_REQUERIDO_TIPOC,"")))</f>
        <v>100</v>
      </c>
      <c r="AD304" s="259">
        <f t="shared" si="217"/>
        <v>5626</v>
      </c>
      <c r="AE304" s="259">
        <f t="shared" si="218"/>
        <v>118146</v>
      </c>
      <c r="AF304" s="452">
        <f t="shared" si="219"/>
        <v>226</v>
      </c>
      <c r="AG304" s="452">
        <f t="shared" si="220"/>
        <v>11.0288</v>
      </c>
      <c r="AH304" s="452">
        <f t="shared" si="221"/>
        <v>0.19436361600000002</v>
      </c>
      <c r="AI304" s="452">
        <f t="shared" si="222"/>
        <v>237</v>
      </c>
      <c r="AJ304" s="260">
        <f t="shared" si="223"/>
        <v>26700996</v>
      </c>
      <c r="AK304" s="260">
        <f t="shared" si="224"/>
        <v>28000602</v>
      </c>
      <c r="AL304" s="432">
        <f t="shared" si="225"/>
        <v>21</v>
      </c>
      <c r="AM304" s="432">
        <f t="array" ref="AM304">MAX((IF(MNU_CODIGO_ALIMENTO_ENTREGA=CONCATENATE($E304,"_","P_"),MNU_GRAMAJE_REQUERIDO_TIPOM,"")))</f>
        <v>100</v>
      </c>
      <c r="AN304" s="261">
        <f t="shared" si="226"/>
        <v>0</v>
      </c>
      <c r="AO304" s="261">
        <f t="shared" si="227"/>
        <v>0</v>
      </c>
      <c r="AP304" s="452">
        <f t="shared" si="228"/>
        <v>226</v>
      </c>
      <c r="AQ304" s="452">
        <f t="shared" si="229"/>
        <v>11.0288</v>
      </c>
      <c r="AR304" s="452">
        <f t="shared" si="230"/>
        <v>0.19436361600000002</v>
      </c>
      <c r="AS304" s="452">
        <f t="shared" si="231"/>
        <v>237</v>
      </c>
      <c r="AT304" s="262">
        <f t="shared" si="232"/>
        <v>0</v>
      </c>
      <c r="AU304" s="262">
        <f t="shared" si="233"/>
        <v>0</v>
      </c>
      <c r="AV304" s="431">
        <f t="shared" si="234"/>
        <v>21</v>
      </c>
      <c r="AW304" s="431">
        <f t="array" ref="AW304">MAX((IF(MNU_CODIGO_ALIMENTO_ENTREGA=CONCATENATE($E304,"_","P_"),MNU_GRAMAJE_REQUERIDO_TIPOH,"")))</f>
        <v>100</v>
      </c>
      <c r="AX304" s="259">
        <f t="shared" si="235"/>
        <v>0</v>
      </c>
      <c r="AY304" s="259">
        <f t="shared" si="236"/>
        <v>0</v>
      </c>
      <c r="AZ304" s="452">
        <f t="shared" si="237"/>
        <v>226</v>
      </c>
      <c r="BA304" s="452">
        <f t="shared" si="238"/>
        <v>11.0288</v>
      </c>
      <c r="BB304" s="452">
        <f t="shared" si="239"/>
        <v>0.19436361600000002</v>
      </c>
      <c r="BC304" s="452">
        <f t="shared" si="240"/>
        <v>237</v>
      </c>
      <c r="BD304" s="260">
        <f t="shared" si="241"/>
        <v>0</v>
      </c>
      <c r="BE304" s="260">
        <f t="shared" si="242"/>
        <v>0</v>
      </c>
      <c r="BF304" s="397">
        <f t="shared" si="243"/>
        <v>59562300</v>
      </c>
      <c r="BG304" s="397">
        <f t="shared" si="244"/>
        <v>62461350</v>
      </c>
    </row>
    <row r="305" spans="1:59" ht="15.75">
      <c r="A305" s="338">
        <v>23</v>
      </c>
      <c r="B305" s="338" t="str">
        <f t="shared" si="196"/>
        <v>FRUTA_23</v>
      </c>
      <c r="C305" s="338" t="str">
        <f t="shared" si="197"/>
        <v>22_23</v>
      </c>
      <c r="D305" s="338" t="s">
        <v>1</v>
      </c>
      <c r="E305" s="258">
        <v>22</v>
      </c>
      <c r="F305" s="328" t="s">
        <v>51</v>
      </c>
      <c r="G305" s="258" t="s">
        <v>9</v>
      </c>
      <c r="H305" s="431">
        <f t="shared" si="198"/>
        <v>0</v>
      </c>
      <c r="I305" s="431">
        <f t="array" ref="I305">MAX((IF(MNU_CODIGO_ALIMENTO_ENTREGA=CONCATENATE($E305,"_","P_"),MNU_GRAMAJE_REQUERIDO_TIPOA,"")))</f>
        <v>0</v>
      </c>
      <c r="J305" s="259">
        <f t="shared" si="199"/>
        <v>5500</v>
      </c>
      <c r="K305" s="259">
        <f t="shared" si="200"/>
        <v>0</v>
      </c>
      <c r="L305" s="452">
        <f t="shared" si="201"/>
        <v>0</v>
      </c>
      <c r="M305" s="452">
        <f t="shared" si="202"/>
        <v>0</v>
      </c>
      <c r="N305" s="452">
        <f t="shared" si="203"/>
        <v>0</v>
      </c>
      <c r="O305" s="452">
        <f t="shared" si="204"/>
        <v>0</v>
      </c>
      <c r="P305" s="260">
        <f t="shared" si="205"/>
        <v>0</v>
      </c>
      <c r="Q305" s="260">
        <f t="shared" si="206"/>
        <v>0</v>
      </c>
      <c r="R305" s="432">
        <f t="shared" si="207"/>
        <v>20</v>
      </c>
      <c r="S305" s="432">
        <f t="array" ref="S305">MAX((IF(MNU_CODIGO_ALIMENTO_ENTREGA=CONCATENATE($E305,"_","P_"),MNU_GRAMAJE_REQUERIDO_TIPOB,"")))</f>
        <v>100</v>
      </c>
      <c r="T305" s="261">
        <f t="shared" si="208"/>
        <v>6924</v>
      </c>
      <c r="U305" s="261">
        <f t="shared" si="209"/>
        <v>138480</v>
      </c>
      <c r="V305" s="452">
        <f t="shared" si="210"/>
        <v>525</v>
      </c>
      <c r="W305" s="452">
        <f t="shared" si="211"/>
        <v>25.62</v>
      </c>
      <c r="X305" s="452">
        <f t="shared" si="212"/>
        <v>0.45150840000000003</v>
      </c>
      <c r="Y305" s="452">
        <f t="shared" si="213"/>
        <v>551</v>
      </c>
      <c r="Z305" s="262">
        <f t="shared" si="214"/>
        <v>72702000</v>
      </c>
      <c r="AA305" s="262">
        <f t="shared" si="215"/>
        <v>76302480</v>
      </c>
      <c r="AB305" s="431">
        <f t="shared" si="216"/>
        <v>20</v>
      </c>
      <c r="AC305" s="431">
        <f t="array" ref="AC305">MAX((IF(MNU_CODIGO_ALIMENTO_ENTREGA=CONCATENATE($E305,"_","P_"),MNU_GRAMAJE_REQUERIDO_TIPOC,"")))</f>
        <v>100</v>
      </c>
      <c r="AD305" s="259">
        <f t="shared" si="217"/>
        <v>5626</v>
      </c>
      <c r="AE305" s="259">
        <f t="shared" si="218"/>
        <v>112520</v>
      </c>
      <c r="AF305" s="452">
        <f t="shared" si="219"/>
        <v>525</v>
      </c>
      <c r="AG305" s="452">
        <f t="shared" si="220"/>
        <v>25.62</v>
      </c>
      <c r="AH305" s="452">
        <f t="shared" si="221"/>
        <v>0.45150840000000003</v>
      </c>
      <c r="AI305" s="452">
        <f t="shared" si="222"/>
        <v>551</v>
      </c>
      <c r="AJ305" s="260">
        <f t="shared" si="223"/>
        <v>59073000</v>
      </c>
      <c r="AK305" s="260">
        <f t="shared" si="224"/>
        <v>61998520</v>
      </c>
      <c r="AL305" s="432">
        <f t="shared" si="225"/>
        <v>20</v>
      </c>
      <c r="AM305" s="432">
        <f t="array" ref="AM305">MAX((IF(MNU_CODIGO_ALIMENTO_ENTREGA=CONCATENATE($E305,"_","P_"),MNU_GRAMAJE_REQUERIDO_TIPOM,"")))</f>
        <v>100</v>
      </c>
      <c r="AN305" s="261">
        <f t="shared" si="226"/>
        <v>0</v>
      </c>
      <c r="AO305" s="261">
        <f t="shared" si="227"/>
        <v>0</v>
      </c>
      <c r="AP305" s="452">
        <f t="shared" si="228"/>
        <v>525</v>
      </c>
      <c r="AQ305" s="452">
        <f t="shared" si="229"/>
        <v>25.62</v>
      </c>
      <c r="AR305" s="452">
        <f t="shared" si="230"/>
        <v>0.45150840000000003</v>
      </c>
      <c r="AS305" s="452">
        <f t="shared" si="231"/>
        <v>551</v>
      </c>
      <c r="AT305" s="262">
        <f t="shared" si="232"/>
        <v>0</v>
      </c>
      <c r="AU305" s="262">
        <f t="shared" si="233"/>
        <v>0</v>
      </c>
      <c r="AV305" s="431">
        <f t="shared" si="234"/>
        <v>20</v>
      </c>
      <c r="AW305" s="431">
        <f t="array" ref="AW305">MAX((IF(MNU_CODIGO_ALIMENTO_ENTREGA=CONCATENATE($E305,"_","P_"),MNU_GRAMAJE_REQUERIDO_TIPOH,"")))</f>
        <v>100</v>
      </c>
      <c r="AX305" s="259">
        <f t="shared" si="235"/>
        <v>0</v>
      </c>
      <c r="AY305" s="259">
        <f t="shared" si="236"/>
        <v>0</v>
      </c>
      <c r="AZ305" s="452">
        <f t="shared" si="237"/>
        <v>525</v>
      </c>
      <c r="BA305" s="452">
        <f t="shared" si="238"/>
        <v>25.62</v>
      </c>
      <c r="BB305" s="452">
        <f t="shared" si="239"/>
        <v>0.45150840000000003</v>
      </c>
      <c r="BC305" s="452">
        <f t="shared" si="240"/>
        <v>551</v>
      </c>
      <c r="BD305" s="260">
        <f t="shared" si="241"/>
        <v>0</v>
      </c>
      <c r="BE305" s="260">
        <f t="shared" si="242"/>
        <v>0</v>
      </c>
      <c r="BF305" s="397">
        <f t="shared" si="243"/>
        <v>131775000</v>
      </c>
      <c r="BG305" s="397">
        <f t="shared" si="244"/>
        <v>138301000</v>
      </c>
    </row>
    <row r="306" spans="1:59" ht="15.75">
      <c r="A306" s="338">
        <v>23</v>
      </c>
      <c r="B306" s="338" t="str">
        <f t="shared" si="196"/>
        <v>FRUTA_23</v>
      </c>
      <c r="C306" s="338" t="str">
        <f t="shared" si="197"/>
        <v>33_23</v>
      </c>
      <c r="D306" s="338" t="s">
        <v>1</v>
      </c>
      <c r="E306" s="258">
        <v>33</v>
      </c>
      <c r="F306" s="328" t="s">
        <v>59</v>
      </c>
      <c r="G306" s="258" t="s">
        <v>48</v>
      </c>
      <c r="H306" s="431">
        <f t="shared" si="198"/>
        <v>27</v>
      </c>
      <c r="I306" s="431">
        <v>1</v>
      </c>
      <c r="J306" s="259">
        <f t="shared" si="199"/>
        <v>5500</v>
      </c>
      <c r="K306" s="259">
        <f t="shared" si="200"/>
        <v>148500</v>
      </c>
      <c r="L306" s="452">
        <f t="shared" si="201"/>
        <v>270</v>
      </c>
      <c r="M306" s="452">
        <f t="shared" si="202"/>
        <v>13.176000000000002</v>
      </c>
      <c r="N306" s="452">
        <f t="shared" si="203"/>
        <v>0.23220432000000002</v>
      </c>
      <c r="O306" s="452">
        <f t="shared" si="204"/>
        <v>283</v>
      </c>
      <c r="P306" s="260">
        <f t="shared" si="205"/>
        <v>40095000</v>
      </c>
      <c r="Q306" s="260">
        <f t="shared" si="206"/>
        <v>42025500</v>
      </c>
      <c r="R306" s="432">
        <f t="shared" si="207"/>
        <v>18</v>
      </c>
      <c r="S306" s="432">
        <v>1</v>
      </c>
      <c r="T306" s="261">
        <f t="shared" si="208"/>
        <v>6924</v>
      </c>
      <c r="U306" s="261">
        <f t="shared" si="209"/>
        <v>124632</v>
      </c>
      <c r="V306" s="452">
        <f t="shared" si="210"/>
        <v>270</v>
      </c>
      <c r="W306" s="452">
        <f t="shared" si="211"/>
        <v>13.176000000000002</v>
      </c>
      <c r="X306" s="452">
        <f t="shared" si="212"/>
        <v>0.23220432000000002</v>
      </c>
      <c r="Y306" s="452">
        <f t="shared" si="213"/>
        <v>283</v>
      </c>
      <c r="Z306" s="262">
        <f t="shared" si="214"/>
        <v>33650640</v>
      </c>
      <c r="AA306" s="262">
        <f t="shared" si="215"/>
        <v>35270856</v>
      </c>
      <c r="AB306" s="431">
        <f t="shared" si="216"/>
        <v>18</v>
      </c>
      <c r="AC306" s="431">
        <v>1</v>
      </c>
      <c r="AD306" s="259">
        <f t="shared" si="217"/>
        <v>5626</v>
      </c>
      <c r="AE306" s="259">
        <f t="shared" si="218"/>
        <v>101268</v>
      </c>
      <c r="AF306" s="452">
        <f t="shared" si="219"/>
        <v>270</v>
      </c>
      <c r="AG306" s="452">
        <f t="shared" si="220"/>
        <v>13.176000000000002</v>
      </c>
      <c r="AH306" s="452">
        <f t="shared" si="221"/>
        <v>0.23220432000000002</v>
      </c>
      <c r="AI306" s="452">
        <f t="shared" si="222"/>
        <v>283</v>
      </c>
      <c r="AJ306" s="260">
        <f t="shared" si="223"/>
        <v>27342360</v>
      </c>
      <c r="AK306" s="260">
        <f t="shared" si="224"/>
        <v>28658844</v>
      </c>
      <c r="AL306" s="432">
        <f t="shared" si="225"/>
        <v>18</v>
      </c>
      <c r="AM306" s="432">
        <v>1</v>
      </c>
      <c r="AN306" s="261">
        <f t="shared" si="226"/>
        <v>0</v>
      </c>
      <c r="AO306" s="261">
        <f t="shared" si="227"/>
        <v>0</v>
      </c>
      <c r="AP306" s="452">
        <f t="shared" si="228"/>
        <v>270</v>
      </c>
      <c r="AQ306" s="452">
        <f t="shared" si="229"/>
        <v>13.176000000000002</v>
      </c>
      <c r="AR306" s="452">
        <f t="shared" si="230"/>
        <v>0.23220432000000002</v>
      </c>
      <c r="AS306" s="452">
        <f t="shared" si="231"/>
        <v>283</v>
      </c>
      <c r="AT306" s="262">
        <f t="shared" si="232"/>
        <v>0</v>
      </c>
      <c r="AU306" s="262">
        <f t="shared" si="233"/>
        <v>0</v>
      </c>
      <c r="AV306" s="431">
        <f t="shared" si="234"/>
        <v>18</v>
      </c>
      <c r="AW306" s="431">
        <v>1</v>
      </c>
      <c r="AX306" s="259">
        <f t="shared" si="235"/>
        <v>0</v>
      </c>
      <c r="AY306" s="259">
        <f t="shared" si="236"/>
        <v>0</v>
      </c>
      <c r="AZ306" s="452">
        <f t="shared" si="237"/>
        <v>270</v>
      </c>
      <c r="BA306" s="452">
        <f t="shared" si="238"/>
        <v>13.176000000000002</v>
      </c>
      <c r="BB306" s="452">
        <f t="shared" si="239"/>
        <v>0.23220432000000002</v>
      </c>
      <c r="BC306" s="452">
        <f t="shared" si="240"/>
        <v>283</v>
      </c>
      <c r="BD306" s="260">
        <f t="shared" si="241"/>
        <v>0</v>
      </c>
      <c r="BE306" s="260">
        <f t="shared" si="242"/>
        <v>0</v>
      </c>
      <c r="BF306" s="397">
        <f t="shared" si="243"/>
        <v>101088000</v>
      </c>
      <c r="BG306" s="397">
        <f t="shared" si="244"/>
        <v>105955200</v>
      </c>
    </row>
    <row r="307" spans="1:59" ht="15.75">
      <c r="A307" s="338">
        <v>23</v>
      </c>
      <c r="B307" s="338" t="str">
        <f t="shared" si="196"/>
        <v>FRUTA_23</v>
      </c>
      <c r="C307" s="338" t="str">
        <f t="shared" si="197"/>
        <v>36_23</v>
      </c>
      <c r="D307" s="338" t="s">
        <v>1</v>
      </c>
      <c r="E307" s="258">
        <v>36</v>
      </c>
      <c r="F307" s="328" t="s">
        <v>1340</v>
      </c>
      <c r="G307" s="258" t="s">
        <v>9</v>
      </c>
      <c r="H307" s="431">
        <f t="shared" si="198"/>
        <v>7</v>
      </c>
      <c r="I307" s="431">
        <f t="array" ref="I307">MAX((IF(MNU_CODIGO_ALIMENTO_ENTREGA=CONCATENATE($E307,"_","P_"),MNU_GRAMAJE_REQUERIDO_TIPOA,"")))</f>
        <v>20</v>
      </c>
      <c r="J307" s="259">
        <f t="shared" si="199"/>
        <v>5500</v>
      </c>
      <c r="K307" s="259">
        <f t="shared" si="200"/>
        <v>38500</v>
      </c>
      <c r="L307" s="452">
        <f t="shared" si="201"/>
        <v>126</v>
      </c>
      <c r="M307" s="452">
        <f t="shared" si="202"/>
        <v>6.1488000000000005</v>
      </c>
      <c r="N307" s="452">
        <f t="shared" si="203"/>
        <v>0.10836201599999999</v>
      </c>
      <c r="O307" s="452">
        <f t="shared" si="204"/>
        <v>132</v>
      </c>
      <c r="P307" s="260">
        <f t="shared" si="205"/>
        <v>4851000</v>
      </c>
      <c r="Q307" s="260">
        <f t="shared" si="206"/>
        <v>5082000</v>
      </c>
      <c r="R307" s="432">
        <f t="shared" si="207"/>
        <v>7</v>
      </c>
      <c r="S307" s="432">
        <f t="array" ref="S307">MAX((IF(MNU_CODIGO_ALIMENTO_ENTREGA=CONCATENATE($E307,"_","P_"),MNU_GRAMAJE_REQUERIDO_TIPOB,"")))</f>
        <v>40</v>
      </c>
      <c r="T307" s="261">
        <f t="shared" si="208"/>
        <v>6924</v>
      </c>
      <c r="U307" s="261">
        <f t="shared" si="209"/>
        <v>48468</v>
      </c>
      <c r="V307" s="452">
        <f t="shared" si="210"/>
        <v>252</v>
      </c>
      <c r="W307" s="452">
        <f t="shared" si="211"/>
        <v>12.297600000000001</v>
      </c>
      <c r="X307" s="452">
        <f t="shared" si="212"/>
        <v>0.21672403199999998</v>
      </c>
      <c r="Y307" s="452">
        <f t="shared" si="213"/>
        <v>265</v>
      </c>
      <c r="Z307" s="262">
        <f t="shared" si="214"/>
        <v>12213936</v>
      </c>
      <c r="AA307" s="262">
        <f t="shared" si="215"/>
        <v>12844020</v>
      </c>
      <c r="AB307" s="431">
        <f t="shared" si="216"/>
        <v>7</v>
      </c>
      <c r="AC307" s="431">
        <f t="array" ref="AC307">MAX((IF(MNU_CODIGO_ALIMENTO_ENTREGA=CONCATENATE($E307,"_","P_"),MNU_GRAMAJE_REQUERIDO_TIPOC,"")))</f>
        <v>40</v>
      </c>
      <c r="AD307" s="259">
        <f t="shared" si="217"/>
        <v>5626</v>
      </c>
      <c r="AE307" s="259">
        <f t="shared" si="218"/>
        <v>39382</v>
      </c>
      <c r="AF307" s="452">
        <f t="shared" si="219"/>
        <v>252</v>
      </c>
      <c r="AG307" s="452">
        <f t="shared" si="220"/>
        <v>12.297600000000001</v>
      </c>
      <c r="AH307" s="452">
        <f t="shared" si="221"/>
        <v>0.21672403199999998</v>
      </c>
      <c r="AI307" s="452">
        <f t="shared" si="222"/>
        <v>265</v>
      </c>
      <c r="AJ307" s="260">
        <f t="shared" si="223"/>
        <v>9924264</v>
      </c>
      <c r="AK307" s="260">
        <f t="shared" si="224"/>
        <v>10436230</v>
      </c>
      <c r="AL307" s="432">
        <f t="shared" si="225"/>
        <v>7</v>
      </c>
      <c r="AM307" s="432">
        <f t="array" ref="AM307">MAX((IF(MNU_CODIGO_ALIMENTO_ENTREGA=CONCATENATE($E307,"_","P_"),MNU_GRAMAJE_REQUERIDO_TIPOM,"")))</f>
        <v>40</v>
      </c>
      <c r="AN307" s="261">
        <f t="shared" si="226"/>
        <v>0</v>
      </c>
      <c r="AO307" s="261">
        <f t="shared" si="227"/>
        <v>0</v>
      </c>
      <c r="AP307" s="452">
        <f t="shared" si="228"/>
        <v>252</v>
      </c>
      <c r="AQ307" s="452">
        <f t="shared" si="229"/>
        <v>12.297600000000001</v>
      </c>
      <c r="AR307" s="452">
        <f t="shared" si="230"/>
        <v>0.21672403199999998</v>
      </c>
      <c r="AS307" s="452">
        <f t="shared" si="231"/>
        <v>265</v>
      </c>
      <c r="AT307" s="262">
        <f t="shared" si="232"/>
        <v>0</v>
      </c>
      <c r="AU307" s="262">
        <f t="shared" si="233"/>
        <v>0</v>
      </c>
      <c r="AV307" s="431">
        <f t="shared" si="234"/>
        <v>7</v>
      </c>
      <c r="AW307" s="431">
        <f t="array" ref="AW307">MAX((IF(MNU_CODIGO_ALIMENTO_ENTREGA=CONCATENATE($E307,"_","P_"),MNU_GRAMAJE_REQUERIDO_TIPOH,"")))</f>
        <v>40</v>
      </c>
      <c r="AX307" s="259">
        <f t="shared" si="235"/>
        <v>0</v>
      </c>
      <c r="AY307" s="259">
        <f t="shared" si="236"/>
        <v>0</v>
      </c>
      <c r="AZ307" s="452">
        <f t="shared" si="237"/>
        <v>252</v>
      </c>
      <c r="BA307" s="452">
        <f t="shared" si="238"/>
        <v>12.297600000000001</v>
      </c>
      <c r="BB307" s="452">
        <f t="shared" si="239"/>
        <v>0.21672403199999998</v>
      </c>
      <c r="BC307" s="452">
        <f t="shared" si="240"/>
        <v>265</v>
      </c>
      <c r="BD307" s="260">
        <f t="shared" si="241"/>
        <v>0</v>
      </c>
      <c r="BE307" s="260">
        <f t="shared" si="242"/>
        <v>0</v>
      </c>
      <c r="BF307" s="397">
        <f t="shared" si="243"/>
        <v>26989200</v>
      </c>
      <c r="BG307" s="397">
        <f t="shared" si="244"/>
        <v>28362250</v>
      </c>
    </row>
    <row r="308" spans="1:59" ht="15.75">
      <c r="A308" s="338">
        <v>23</v>
      </c>
      <c r="B308" s="338" t="str">
        <f t="shared" si="196"/>
        <v>FRUTA_23</v>
      </c>
      <c r="C308" s="338" t="str">
        <f t="shared" si="197"/>
        <v>42_23</v>
      </c>
      <c r="D308" s="338" t="s">
        <v>1</v>
      </c>
      <c r="E308" s="258">
        <v>42</v>
      </c>
      <c r="F308" s="328" t="s">
        <v>61</v>
      </c>
      <c r="G308" s="258" t="s">
        <v>9</v>
      </c>
      <c r="H308" s="431">
        <f t="shared" si="198"/>
        <v>23</v>
      </c>
      <c r="I308" s="431">
        <f t="array" ref="I308">MAX((IF(MNU_CODIGO_ALIMENTO_ENTREGA=CONCATENATE($E308,"_","P_"),MNU_GRAMAJE_REQUERIDO_TIPOA,"")))</f>
        <v>100</v>
      </c>
      <c r="J308" s="259">
        <f t="shared" si="199"/>
        <v>5500</v>
      </c>
      <c r="K308" s="259">
        <f t="shared" si="200"/>
        <v>126500</v>
      </c>
      <c r="L308" s="452">
        <f t="shared" si="201"/>
        <v>194</v>
      </c>
      <c r="M308" s="452">
        <f t="shared" si="202"/>
        <v>9.4672000000000001</v>
      </c>
      <c r="N308" s="452">
        <f t="shared" si="203"/>
        <v>0.16684310399999999</v>
      </c>
      <c r="O308" s="452">
        <f t="shared" si="204"/>
        <v>204</v>
      </c>
      <c r="P308" s="260">
        <f t="shared" si="205"/>
        <v>24541000</v>
      </c>
      <c r="Q308" s="260">
        <f t="shared" si="206"/>
        <v>25806000</v>
      </c>
      <c r="R308" s="432">
        <f t="shared" si="207"/>
        <v>19</v>
      </c>
      <c r="S308" s="432">
        <f t="array" ref="S308">MAX((IF(MNU_CODIGO_ALIMENTO_ENTREGA=CONCATENATE($E308,"_","P_"),MNU_GRAMAJE_REQUERIDO_TIPOB,"")))</f>
        <v>100</v>
      </c>
      <c r="T308" s="261">
        <f t="shared" si="208"/>
        <v>6924</v>
      </c>
      <c r="U308" s="261">
        <f t="shared" si="209"/>
        <v>131556</v>
      </c>
      <c r="V308" s="452">
        <f t="shared" si="210"/>
        <v>194</v>
      </c>
      <c r="W308" s="452">
        <f t="shared" si="211"/>
        <v>9.4672000000000001</v>
      </c>
      <c r="X308" s="452">
        <f t="shared" si="212"/>
        <v>0.16684310399999999</v>
      </c>
      <c r="Y308" s="452">
        <f t="shared" si="213"/>
        <v>204</v>
      </c>
      <c r="Z308" s="262">
        <f t="shared" si="214"/>
        <v>25521864</v>
      </c>
      <c r="AA308" s="262">
        <f t="shared" si="215"/>
        <v>26837424</v>
      </c>
      <c r="AB308" s="431">
        <f t="shared" si="216"/>
        <v>19</v>
      </c>
      <c r="AC308" s="431">
        <f t="array" ref="AC308">MAX((IF(MNU_CODIGO_ALIMENTO_ENTREGA=CONCATENATE($E308,"_","P_"),MNU_GRAMAJE_REQUERIDO_TIPOC,"")))</f>
        <v>100</v>
      </c>
      <c r="AD308" s="259">
        <f t="shared" si="217"/>
        <v>5626</v>
      </c>
      <c r="AE308" s="259">
        <f t="shared" si="218"/>
        <v>106894</v>
      </c>
      <c r="AF308" s="452">
        <f t="shared" si="219"/>
        <v>194</v>
      </c>
      <c r="AG308" s="452">
        <f t="shared" si="220"/>
        <v>9.4672000000000001</v>
      </c>
      <c r="AH308" s="452">
        <f t="shared" si="221"/>
        <v>0.16684310399999999</v>
      </c>
      <c r="AI308" s="452">
        <f t="shared" si="222"/>
        <v>204</v>
      </c>
      <c r="AJ308" s="260">
        <f t="shared" si="223"/>
        <v>20737436</v>
      </c>
      <c r="AK308" s="260">
        <f t="shared" si="224"/>
        <v>21806376</v>
      </c>
      <c r="AL308" s="432">
        <f t="shared" si="225"/>
        <v>19</v>
      </c>
      <c r="AM308" s="432">
        <f t="array" ref="AM308">MAX((IF(MNU_CODIGO_ALIMENTO_ENTREGA=CONCATENATE($E308,"_","P_"),MNU_GRAMAJE_REQUERIDO_TIPOM,"")))</f>
        <v>100</v>
      </c>
      <c r="AN308" s="261">
        <f t="shared" si="226"/>
        <v>0</v>
      </c>
      <c r="AO308" s="261">
        <f t="shared" si="227"/>
        <v>0</v>
      </c>
      <c r="AP308" s="452">
        <f t="shared" si="228"/>
        <v>194</v>
      </c>
      <c r="AQ308" s="452">
        <f t="shared" si="229"/>
        <v>9.4672000000000001</v>
      </c>
      <c r="AR308" s="452">
        <f t="shared" si="230"/>
        <v>0.16684310399999999</v>
      </c>
      <c r="AS308" s="452">
        <f t="shared" si="231"/>
        <v>204</v>
      </c>
      <c r="AT308" s="262">
        <f t="shared" si="232"/>
        <v>0</v>
      </c>
      <c r="AU308" s="262">
        <f t="shared" si="233"/>
        <v>0</v>
      </c>
      <c r="AV308" s="431">
        <f t="shared" si="234"/>
        <v>19</v>
      </c>
      <c r="AW308" s="431">
        <f t="array" ref="AW308">MAX((IF(MNU_CODIGO_ALIMENTO_ENTREGA=CONCATENATE($E308,"_","P_"),MNU_GRAMAJE_REQUERIDO_TIPOH,"")))</f>
        <v>100</v>
      </c>
      <c r="AX308" s="259">
        <f t="shared" si="235"/>
        <v>0</v>
      </c>
      <c r="AY308" s="259">
        <f t="shared" si="236"/>
        <v>0</v>
      </c>
      <c r="AZ308" s="452">
        <f t="shared" si="237"/>
        <v>194</v>
      </c>
      <c r="BA308" s="452">
        <f t="shared" si="238"/>
        <v>9.4672000000000001</v>
      </c>
      <c r="BB308" s="452">
        <f t="shared" si="239"/>
        <v>0.16684310399999999</v>
      </c>
      <c r="BC308" s="452">
        <f t="shared" si="240"/>
        <v>204</v>
      </c>
      <c r="BD308" s="260">
        <f t="shared" si="241"/>
        <v>0</v>
      </c>
      <c r="BE308" s="260">
        <f t="shared" si="242"/>
        <v>0</v>
      </c>
      <c r="BF308" s="397">
        <f t="shared" si="243"/>
        <v>70800300</v>
      </c>
      <c r="BG308" s="397">
        <f t="shared" si="244"/>
        <v>74449800</v>
      </c>
    </row>
    <row r="309" spans="1:59" ht="15.75">
      <c r="A309" s="338">
        <v>23</v>
      </c>
      <c r="B309" s="338" t="str">
        <f t="shared" si="196"/>
        <v>FRUTA_23</v>
      </c>
      <c r="C309" s="338" t="str">
        <f t="shared" si="197"/>
        <v>43_23</v>
      </c>
      <c r="D309" s="338" t="s">
        <v>1</v>
      </c>
      <c r="E309" s="258">
        <v>43</v>
      </c>
      <c r="F309" s="328" t="s">
        <v>62</v>
      </c>
      <c r="G309" s="258" t="s">
        <v>9</v>
      </c>
      <c r="H309" s="431">
        <f t="shared" si="198"/>
        <v>24</v>
      </c>
      <c r="I309" s="431">
        <f t="array" ref="I309">MAX((IF(MNU_CODIGO_ALIMENTO_ENTREGA=CONCATENATE($E309,"_","P_"),MNU_GRAMAJE_REQUERIDO_TIPOA,"")))</f>
        <v>100</v>
      </c>
      <c r="J309" s="259">
        <f t="shared" si="199"/>
        <v>5500</v>
      </c>
      <c r="K309" s="259">
        <f t="shared" si="200"/>
        <v>132000</v>
      </c>
      <c r="L309" s="452">
        <f t="shared" si="201"/>
        <v>170</v>
      </c>
      <c r="M309" s="452">
        <f t="shared" si="202"/>
        <v>8.2959999999999994</v>
      </c>
      <c r="N309" s="452">
        <f t="shared" si="203"/>
        <v>0.14620272000000001</v>
      </c>
      <c r="O309" s="452">
        <f t="shared" si="204"/>
        <v>178</v>
      </c>
      <c r="P309" s="260">
        <f t="shared" si="205"/>
        <v>22440000</v>
      </c>
      <c r="Q309" s="260">
        <f t="shared" si="206"/>
        <v>23496000</v>
      </c>
      <c r="R309" s="432">
        <f t="shared" si="207"/>
        <v>17</v>
      </c>
      <c r="S309" s="432">
        <f t="array" ref="S309">MAX((IF(MNU_CODIGO_ALIMENTO_ENTREGA=CONCATENATE($E309,"_","P_"),MNU_GRAMAJE_REQUERIDO_TIPOB,"")))</f>
        <v>100</v>
      </c>
      <c r="T309" s="261">
        <f t="shared" si="208"/>
        <v>6924</v>
      </c>
      <c r="U309" s="261">
        <f t="shared" si="209"/>
        <v>117708</v>
      </c>
      <c r="V309" s="452">
        <f t="shared" si="210"/>
        <v>170</v>
      </c>
      <c r="W309" s="452">
        <f t="shared" si="211"/>
        <v>8.2959999999999994</v>
      </c>
      <c r="X309" s="452">
        <f t="shared" si="212"/>
        <v>0.14620272000000001</v>
      </c>
      <c r="Y309" s="452">
        <f t="shared" si="213"/>
        <v>178</v>
      </c>
      <c r="Z309" s="262">
        <f t="shared" si="214"/>
        <v>20010360</v>
      </c>
      <c r="AA309" s="262">
        <f t="shared" si="215"/>
        <v>20952024</v>
      </c>
      <c r="AB309" s="431">
        <f t="shared" si="216"/>
        <v>17</v>
      </c>
      <c r="AC309" s="431">
        <f t="array" ref="AC309">MAX((IF(MNU_CODIGO_ALIMENTO_ENTREGA=CONCATENATE($E309,"_","P_"),MNU_GRAMAJE_REQUERIDO_TIPOC,"")))</f>
        <v>100</v>
      </c>
      <c r="AD309" s="259">
        <f t="shared" si="217"/>
        <v>5626</v>
      </c>
      <c r="AE309" s="259">
        <f t="shared" si="218"/>
        <v>95642</v>
      </c>
      <c r="AF309" s="452">
        <f t="shared" si="219"/>
        <v>170</v>
      </c>
      <c r="AG309" s="452">
        <f t="shared" si="220"/>
        <v>8.2959999999999994</v>
      </c>
      <c r="AH309" s="452">
        <f t="shared" si="221"/>
        <v>0.14620272000000001</v>
      </c>
      <c r="AI309" s="452">
        <f t="shared" si="222"/>
        <v>178</v>
      </c>
      <c r="AJ309" s="260">
        <f t="shared" si="223"/>
        <v>16259140</v>
      </c>
      <c r="AK309" s="260">
        <f t="shared" si="224"/>
        <v>17024276</v>
      </c>
      <c r="AL309" s="432">
        <f t="shared" si="225"/>
        <v>17</v>
      </c>
      <c r="AM309" s="432">
        <f t="array" ref="AM309">MAX((IF(MNU_CODIGO_ALIMENTO_ENTREGA=CONCATENATE($E309,"_","P_"),MNU_GRAMAJE_REQUERIDO_TIPOM,"")))</f>
        <v>100</v>
      </c>
      <c r="AN309" s="261">
        <f t="shared" si="226"/>
        <v>0</v>
      </c>
      <c r="AO309" s="261">
        <f t="shared" si="227"/>
        <v>0</v>
      </c>
      <c r="AP309" s="452">
        <f t="shared" si="228"/>
        <v>170</v>
      </c>
      <c r="AQ309" s="452">
        <f t="shared" si="229"/>
        <v>8.2959999999999994</v>
      </c>
      <c r="AR309" s="452">
        <f t="shared" si="230"/>
        <v>0.14620272000000001</v>
      </c>
      <c r="AS309" s="452">
        <f t="shared" si="231"/>
        <v>178</v>
      </c>
      <c r="AT309" s="262">
        <f t="shared" si="232"/>
        <v>0</v>
      </c>
      <c r="AU309" s="262">
        <f t="shared" si="233"/>
        <v>0</v>
      </c>
      <c r="AV309" s="431">
        <f t="shared" si="234"/>
        <v>17</v>
      </c>
      <c r="AW309" s="431">
        <f t="array" ref="AW309">MAX((IF(MNU_CODIGO_ALIMENTO_ENTREGA=CONCATENATE($E309,"_","P_"),MNU_GRAMAJE_REQUERIDO_TIPOH,"")))</f>
        <v>100</v>
      </c>
      <c r="AX309" s="259">
        <f t="shared" si="235"/>
        <v>0</v>
      </c>
      <c r="AY309" s="259">
        <f t="shared" si="236"/>
        <v>0</v>
      </c>
      <c r="AZ309" s="452">
        <f t="shared" si="237"/>
        <v>170</v>
      </c>
      <c r="BA309" s="452">
        <f t="shared" si="238"/>
        <v>8.2959999999999994</v>
      </c>
      <c r="BB309" s="452">
        <f t="shared" si="239"/>
        <v>0.14620272000000001</v>
      </c>
      <c r="BC309" s="452">
        <f t="shared" si="240"/>
        <v>178</v>
      </c>
      <c r="BD309" s="260">
        <f t="shared" si="241"/>
        <v>0</v>
      </c>
      <c r="BE309" s="260">
        <f t="shared" si="242"/>
        <v>0</v>
      </c>
      <c r="BF309" s="397">
        <f t="shared" si="243"/>
        <v>58709500</v>
      </c>
      <c r="BG309" s="397">
        <f t="shared" si="244"/>
        <v>61472300</v>
      </c>
    </row>
    <row r="310" spans="1:59" ht="15.75">
      <c r="A310" s="338">
        <v>23</v>
      </c>
      <c r="B310" s="338" t="str">
        <f t="shared" si="196"/>
        <v>FRUTA_23</v>
      </c>
      <c r="C310" s="338" t="str">
        <f t="shared" si="197"/>
        <v>46_23</v>
      </c>
      <c r="D310" s="338" t="s">
        <v>1</v>
      </c>
      <c r="E310" s="258">
        <v>46</v>
      </c>
      <c r="F310" s="328" t="s">
        <v>64</v>
      </c>
      <c r="G310" s="258" t="s">
        <v>9</v>
      </c>
      <c r="H310" s="431">
        <f t="shared" si="198"/>
        <v>30</v>
      </c>
      <c r="I310" s="431">
        <f t="array" ref="I310">MAX((IF(MNU_CODIGO_ALIMENTO_ENTREGA=CONCATENATE($E310,"_","P_"),MNU_GRAMAJE_REQUERIDO_TIPOA,"")))</f>
        <v>100</v>
      </c>
      <c r="J310" s="259">
        <f t="shared" si="199"/>
        <v>5500</v>
      </c>
      <c r="K310" s="259">
        <f t="shared" si="200"/>
        <v>165000</v>
      </c>
      <c r="L310" s="452">
        <f t="shared" si="201"/>
        <v>398</v>
      </c>
      <c r="M310" s="452">
        <f t="shared" si="202"/>
        <v>19.4224</v>
      </c>
      <c r="N310" s="452">
        <f t="shared" si="203"/>
        <v>0.34228636800000001</v>
      </c>
      <c r="O310" s="452">
        <f t="shared" si="204"/>
        <v>418</v>
      </c>
      <c r="P310" s="260">
        <f t="shared" si="205"/>
        <v>65670000</v>
      </c>
      <c r="Q310" s="260">
        <f t="shared" si="206"/>
        <v>68970000</v>
      </c>
      <c r="R310" s="432">
        <f t="shared" si="207"/>
        <v>21</v>
      </c>
      <c r="S310" s="432">
        <f t="array" ref="S310">MAX((IF(MNU_CODIGO_ALIMENTO_ENTREGA=CONCATENATE($E310,"_","P_"),MNU_GRAMAJE_REQUERIDO_TIPOB,"")))</f>
        <v>100</v>
      </c>
      <c r="T310" s="261">
        <f t="shared" si="208"/>
        <v>6924</v>
      </c>
      <c r="U310" s="261">
        <f t="shared" si="209"/>
        <v>145404</v>
      </c>
      <c r="V310" s="452">
        <f t="shared" si="210"/>
        <v>398</v>
      </c>
      <c r="W310" s="452">
        <f t="shared" si="211"/>
        <v>19.4224</v>
      </c>
      <c r="X310" s="452">
        <f t="shared" si="212"/>
        <v>0.34228636800000001</v>
      </c>
      <c r="Y310" s="452">
        <f t="shared" si="213"/>
        <v>418</v>
      </c>
      <c r="Z310" s="262">
        <f t="shared" si="214"/>
        <v>57870792</v>
      </c>
      <c r="AA310" s="262">
        <f t="shared" si="215"/>
        <v>60778872</v>
      </c>
      <c r="AB310" s="431">
        <f t="shared" si="216"/>
        <v>21</v>
      </c>
      <c r="AC310" s="431">
        <f t="array" ref="AC310">MAX((IF(MNU_CODIGO_ALIMENTO_ENTREGA=CONCATENATE($E310,"_","P_"),MNU_GRAMAJE_REQUERIDO_TIPOC,"")))</f>
        <v>100</v>
      </c>
      <c r="AD310" s="259">
        <f t="shared" si="217"/>
        <v>5626</v>
      </c>
      <c r="AE310" s="259">
        <f t="shared" si="218"/>
        <v>118146</v>
      </c>
      <c r="AF310" s="452">
        <f t="shared" si="219"/>
        <v>398</v>
      </c>
      <c r="AG310" s="452">
        <f t="shared" si="220"/>
        <v>19.4224</v>
      </c>
      <c r="AH310" s="452">
        <f t="shared" si="221"/>
        <v>0.34228636800000001</v>
      </c>
      <c r="AI310" s="452">
        <f t="shared" si="222"/>
        <v>418</v>
      </c>
      <c r="AJ310" s="260">
        <f t="shared" si="223"/>
        <v>47022108</v>
      </c>
      <c r="AK310" s="260">
        <f t="shared" si="224"/>
        <v>49385028</v>
      </c>
      <c r="AL310" s="432">
        <f t="shared" si="225"/>
        <v>21</v>
      </c>
      <c r="AM310" s="432">
        <f t="array" ref="AM310">MAX((IF(MNU_CODIGO_ALIMENTO_ENTREGA=CONCATENATE($E310,"_","P_"),MNU_GRAMAJE_REQUERIDO_TIPOM,"")))</f>
        <v>100</v>
      </c>
      <c r="AN310" s="261">
        <f t="shared" si="226"/>
        <v>0</v>
      </c>
      <c r="AO310" s="261">
        <f t="shared" si="227"/>
        <v>0</v>
      </c>
      <c r="AP310" s="452">
        <f t="shared" si="228"/>
        <v>398</v>
      </c>
      <c r="AQ310" s="452">
        <f t="shared" si="229"/>
        <v>19.4224</v>
      </c>
      <c r="AR310" s="452">
        <f t="shared" si="230"/>
        <v>0.34228636800000001</v>
      </c>
      <c r="AS310" s="452">
        <f t="shared" si="231"/>
        <v>418</v>
      </c>
      <c r="AT310" s="262">
        <f t="shared" si="232"/>
        <v>0</v>
      </c>
      <c r="AU310" s="262">
        <f t="shared" si="233"/>
        <v>0</v>
      </c>
      <c r="AV310" s="431">
        <f t="shared" si="234"/>
        <v>21</v>
      </c>
      <c r="AW310" s="431">
        <f t="array" ref="AW310">MAX((IF(MNU_CODIGO_ALIMENTO_ENTREGA=CONCATENATE($E310,"_","P_"),MNU_GRAMAJE_REQUERIDO_TIPOH,"")))</f>
        <v>100</v>
      </c>
      <c r="AX310" s="259">
        <f t="shared" si="235"/>
        <v>0</v>
      </c>
      <c r="AY310" s="259">
        <f t="shared" si="236"/>
        <v>0</v>
      </c>
      <c r="AZ310" s="452">
        <f t="shared" si="237"/>
        <v>398</v>
      </c>
      <c r="BA310" s="452">
        <f t="shared" si="238"/>
        <v>19.4224</v>
      </c>
      <c r="BB310" s="452">
        <f t="shared" si="239"/>
        <v>0.34228636800000001</v>
      </c>
      <c r="BC310" s="452">
        <f t="shared" si="240"/>
        <v>418</v>
      </c>
      <c r="BD310" s="260">
        <f t="shared" si="241"/>
        <v>0</v>
      </c>
      <c r="BE310" s="260">
        <f t="shared" si="242"/>
        <v>0</v>
      </c>
      <c r="BF310" s="397">
        <f t="shared" si="243"/>
        <v>170562900</v>
      </c>
      <c r="BG310" s="397">
        <f t="shared" si="244"/>
        <v>179133900</v>
      </c>
    </row>
    <row r="311" spans="1:59" ht="15.75">
      <c r="A311" s="338">
        <v>23</v>
      </c>
      <c r="B311" s="338" t="str">
        <f t="shared" si="196"/>
        <v>FRUTA_23</v>
      </c>
      <c r="C311" s="338" t="str">
        <f t="shared" si="197"/>
        <v>58_23</v>
      </c>
      <c r="D311" s="338" t="s">
        <v>1</v>
      </c>
      <c r="E311" s="258">
        <v>58</v>
      </c>
      <c r="F311" s="328" t="s">
        <v>67</v>
      </c>
      <c r="G311" s="258" t="s">
        <v>9</v>
      </c>
      <c r="H311" s="431">
        <f t="shared" si="198"/>
        <v>24</v>
      </c>
      <c r="I311" s="431">
        <f t="array" ref="I311">MAX((IF(MNU_CODIGO_ALIMENTO_ENTREGA=CONCATENATE($E311,"_","P_"),MNU_GRAMAJE_REQUERIDO_TIPOA,"")))</f>
        <v>100</v>
      </c>
      <c r="J311" s="259">
        <f t="shared" si="199"/>
        <v>5500</v>
      </c>
      <c r="K311" s="259">
        <f t="shared" si="200"/>
        <v>132000</v>
      </c>
      <c r="L311" s="452">
        <f t="shared" si="201"/>
        <v>154</v>
      </c>
      <c r="M311" s="452">
        <f t="shared" si="202"/>
        <v>7.515200000000001</v>
      </c>
      <c r="N311" s="452">
        <f t="shared" si="203"/>
        <v>0.13244246400000001</v>
      </c>
      <c r="O311" s="452">
        <f t="shared" si="204"/>
        <v>162</v>
      </c>
      <c r="P311" s="260">
        <f t="shared" si="205"/>
        <v>20328000</v>
      </c>
      <c r="Q311" s="260">
        <f t="shared" si="206"/>
        <v>21384000</v>
      </c>
      <c r="R311" s="432">
        <f t="shared" si="207"/>
        <v>23</v>
      </c>
      <c r="S311" s="432">
        <f t="array" ref="S311">MAX((IF(MNU_CODIGO_ALIMENTO_ENTREGA=CONCATENATE($E311,"_","P_"),MNU_GRAMAJE_REQUERIDO_TIPOB,"")))</f>
        <v>100</v>
      </c>
      <c r="T311" s="261">
        <f t="shared" si="208"/>
        <v>6924</v>
      </c>
      <c r="U311" s="261">
        <f t="shared" si="209"/>
        <v>159252</v>
      </c>
      <c r="V311" s="452">
        <f t="shared" si="210"/>
        <v>154</v>
      </c>
      <c r="W311" s="452">
        <f t="shared" si="211"/>
        <v>7.515200000000001</v>
      </c>
      <c r="X311" s="452">
        <f t="shared" si="212"/>
        <v>0.13244246400000001</v>
      </c>
      <c r="Y311" s="452">
        <f t="shared" si="213"/>
        <v>162</v>
      </c>
      <c r="Z311" s="262">
        <f t="shared" si="214"/>
        <v>24524808</v>
      </c>
      <c r="AA311" s="262">
        <f t="shared" si="215"/>
        <v>25798824</v>
      </c>
      <c r="AB311" s="431">
        <f t="shared" si="216"/>
        <v>23</v>
      </c>
      <c r="AC311" s="431">
        <f t="array" ref="AC311">MAX((IF(MNU_CODIGO_ALIMENTO_ENTREGA=CONCATENATE($E311,"_","P_"),MNU_GRAMAJE_REQUERIDO_TIPOC,"")))</f>
        <v>100</v>
      </c>
      <c r="AD311" s="259">
        <f t="shared" si="217"/>
        <v>5626</v>
      </c>
      <c r="AE311" s="259">
        <f t="shared" si="218"/>
        <v>129398</v>
      </c>
      <c r="AF311" s="452">
        <f t="shared" si="219"/>
        <v>154</v>
      </c>
      <c r="AG311" s="452">
        <f t="shared" si="220"/>
        <v>7.515200000000001</v>
      </c>
      <c r="AH311" s="452">
        <f t="shared" si="221"/>
        <v>0.13244246400000001</v>
      </c>
      <c r="AI311" s="452">
        <f t="shared" si="222"/>
        <v>162</v>
      </c>
      <c r="AJ311" s="260">
        <f t="shared" si="223"/>
        <v>19927292</v>
      </c>
      <c r="AK311" s="260">
        <f t="shared" si="224"/>
        <v>20962476</v>
      </c>
      <c r="AL311" s="432">
        <f t="shared" si="225"/>
        <v>23</v>
      </c>
      <c r="AM311" s="432">
        <f t="array" ref="AM311">MAX((IF(MNU_CODIGO_ALIMENTO_ENTREGA=CONCATENATE($E311,"_","P_"),MNU_GRAMAJE_REQUERIDO_TIPOM,"")))</f>
        <v>100</v>
      </c>
      <c r="AN311" s="261">
        <f t="shared" si="226"/>
        <v>0</v>
      </c>
      <c r="AO311" s="261">
        <f t="shared" si="227"/>
        <v>0</v>
      </c>
      <c r="AP311" s="452">
        <f t="shared" si="228"/>
        <v>154</v>
      </c>
      <c r="AQ311" s="452">
        <f t="shared" si="229"/>
        <v>7.515200000000001</v>
      </c>
      <c r="AR311" s="452">
        <f t="shared" si="230"/>
        <v>0.13244246400000001</v>
      </c>
      <c r="AS311" s="452">
        <f t="shared" si="231"/>
        <v>162</v>
      </c>
      <c r="AT311" s="262">
        <f t="shared" si="232"/>
        <v>0</v>
      </c>
      <c r="AU311" s="262">
        <f t="shared" si="233"/>
        <v>0</v>
      </c>
      <c r="AV311" s="431">
        <f t="shared" si="234"/>
        <v>23</v>
      </c>
      <c r="AW311" s="431">
        <f t="array" ref="AW311">MAX((IF(MNU_CODIGO_ALIMENTO_ENTREGA=CONCATENATE($E311,"_","P_"),MNU_GRAMAJE_REQUERIDO_TIPOH,"")))</f>
        <v>100</v>
      </c>
      <c r="AX311" s="259">
        <f t="shared" si="235"/>
        <v>0</v>
      </c>
      <c r="AY311" s="259">
        <f t="shared" si="236"/>
        <v>0</v>
      </c>
      <c r="AZ311" s="452">
        <f t="shared" si="237"/>
        <v>154</v>
      </c>
      <c r="BA311" s="452">
        <f t="shared" si="238"/>
        <v>7.515200000000001</v>
      </c>
      <c r="BB311" s="452">
        <f t="shared" si="239"/>
        <v>0.13244246400000001</v>
      </c>
      <c r="BC311" s="452">
        <f t="shared" si="240"/>
        <v>162</v>
      </c>
      <c r="BD311" s="260">
        <f t="shared" si="241"/>
        <v>0</v>
      </c>
      <c r="BE311" s="260">
        <f t="shared" si="242"/>
        <v>0</v>
      </c>
      <c r="BF311" s="397">
        <f t="shared" si="243"/>
        <v>64780100</v>
      </c>
      <c r="BG311" s="397">
        <f t="shared" si="244"/>
        <v>68145300</v>
      </c>
    </row>
    <row r="312" spans="1:59" ht="15.75">
      <c r="A312" s="338">
        <v>23</v>
      </c>
      <c r="B312" s="338" t="str">
        <f t="shared" si="196"/>
        <v>FRUTA_23</v>
      </c>
      <c r="C312" s="338" t="str">
        <f t="shared" si="197"/>
        <v>59_23</v>
      </c>
      <c r="D312" s="338" t="s">
        <v>1</v>
      </c>
      <c r="E312" s="258">
        <v>59</v>
      </c>
      <c r="F312" s="328" t="s">
        <v>99</v>
      </c>
      <c r="G312" s="258" t="s">
        <v>9</v>
      </c>
      <c r="H312" s="431">
        <f t="shared" si="198"/>
        <v>0</v>
      </c>
      <c r="I312" s="431">
        <f t="array" ref="I312">MAX((IF(MNU_CODIGO_ALIMENTO_ENTREGA=CONCATENATE($E312,"_","P_"),MNU_GRAMAJE_REQUERIDO_TIPOA,"")))</f>
        <v>0</v>
      </c>
      <c r="J312" s="259">
        <f t="shared" si="199"/>
        <v>5500</v>
      </c>
      <c r="K312" s="259">
        <f t="shared" si="200"/>
        <v>0</v>
      </c>
      <c r="L312" s="452">
        <f t="shared" si="201"/>
        <v>0</v>
      </c>
      <c r="M312" s="452">
        <f t="shared" si="202"/>
        <v>0</v>
      </c>
      <c r="N312" s="452">
        <f t="shared" si="203"/>
        <v>0</v>
      </c>
      <c r="O312" s="452">
        <f t="shared" si="204"/>
        <v>0</v>
      </c>
      <c r="P312" s="260">
        <f t="shared" si="205"/>
        <v>0</v>
      </c>
      <c r="Q312" s="260">
        <f t="shared" si="206"/>
        <v>0</v>
      </c>
      <c r="R312" s="432">
        <f t="shared" si="207"/>
        <v>8</v>
      </c>
      <c r="S312" s="432">
        <f t="array" ref="S312">MAX((IF(MNU_CODIGO_ALIMENTO_ENTREGA=CONCATENATE($E312,"_","P_"),MNU_GRAMAJE_REQUERIDO_TIPOB,"")))</f>
        <v>100</v>
      </c>
      <c r="T312" s="261">
        <f t="shared" si="208"/>
        <v>6924</v>
      </c>
      <c r="U312" s="261">
        <f t="shared" si="209"/>
        <v>55392</v>
      </c>
      <c r="V312" s="452">
        <f t="shared" si="210"/>
        <v>286</v>
      </c>
      <c r="W312" s="452">
        <f t="shared" si="211"/>
        <v>13.956800000000001</v>
      </c>
      <c r="X312" s="452">
        <f t="shared" si="212"/>
        <v>0.24596457599999999</v>
      </c>
      <c r="Y312" s="452">
        <f t="shared" si="213"/>
        <v>300</v>
      </c>
      <c r="Z312" s="262">
        <f t="shared" si="214"/>
        <v>15842112</v>
      </c>
      <c r="AA312" s="262">
        <f t="shared" si="215"/>
        <v>16617600</v>
      </c>
      <c r="AB312" s="431">
        <f t="shared" si="216"/>
        <v>8</v>
      </c>
      <c r="AC312" s="431">
        <f t="array" ref="AC312">MAX((IF(MNU_CODIGO_ALIMENTO_ENTREGA=CONCATENATE($E312,"_","P_"),MNU_GRAMAJE_REQUERIDO_TIPOC,"")))</f>
        <v>100</v>
      </c>
      <c r="AD312" s="259">
        <f t="shared" si="217"/>
        <v>5626</v>
      </c>
      <c r="AE312" s="259">
        <f t="shared" si="218"/>
        <v>45008</v>
      </c>
      <c r="AF312" s="452">
        <f t="shared" si="219"/>
        <v>286</v>
      </c>
      <c r="AG312" s="452">
        <f t="shared" si="220"/>
        <v>13.956800000000001</v>
      </c>
      <c r="AH312" s="452">
        <f t="shared" si="221"/>
        <v>0.24596457599999999</v>
      </c>
      <c r="AI312" s="452">
        <f t="shared" si="222"/>
        <v>300</v>
      </c>
      <c r="AJ312" s="260">
        <f t="shared" si="223"/>
        <v>12872288</v>
      </c>
      <c r="AK312" s="260">
        <f t="shared" si="224"/>
        <v>13502400</v>
      </c>
      <c r="AL312" s="432">
        <f t="shared" si="225"/>
        <v>8</v>
      </c>
      <c r="AM312" s="432">
        <f t="array" ref="AM312">MAX((IF(MNU_CODIGO_ALIMENTO_ENTREGA=CONCATENATE($E312,"_","P_"),MNU_GRAMAJE_REQUERIDO_TIPOM,"")))</f>
        <v>100</v>
      </c>
      <c r="AN312" s="261">
        <f t="shared" si="226"/>
        <v>0</v>
      </c>
      <c r="AO312" s="261">
        <f t="shared" si="227"/>
        <v>0</v>
      </c>
      <c r="AP312" s="452">
        <f t="shared" si="228"/>
        <v>286</v>
      </c>
      <c r="AQ312" s="452">
        <f t="shared" si="229"/>
        <v>13.956800000000001</v>
      </c>
      <c r="AR312" s="452">
        <f t="shared" si="230"/>
        <v>0.24596457599999999</v>
      </c>
      <c r="AS312" s="452">
        <f t="shared" si="231"/>
        <v>300</v>
      </c>
      <c r="AT312" s="262">
        <f t="shared" si="232"/>
        <v>0</v>
      </c>
      <c r="AU312" s="262">
        <f t="shared" si="233"/>
        <v>0</v>
      </c>
      <c r="AV312" s="431">
        <f t="shared" si="234"/>
        <v>8</v>
      </c>
      <c r="AW312" s="431">
        <f t="array" ref="AW312">MAX((IF(MNU_CODIGO_ALIMENTO_ENTREGA=CONCATENATE($E312,"_","P_"),MNU_GRAMAJE_REQUERIDO_TIPOH,"")))</f>
        <v>100</v>
      </c>
      <c r="AX312" s="259">
        <f t="shared" si="235"/>
        <v>0</v>
      </c>
      <c r="AY312" s="259">
        <f t="shared" si="236"/>
        <v>0</v>
      </c>
      <c r="AZ312" s="452">
        <f t="shared" si="237"/>
        <v>286</v>
      </c>
      <c r="BA312" s="452">
        <f t="shared" si="238"/>
        <v>13.956800000000001</v>
      </c>
      <c r="BB312" s="452">
        <f t="shared" si="239"/>
        <v>0.24596457599999999</v>
      </c>
      <c r="BC312" s="452">
        <f t="shared" si="240"/>
        <v>300</v>
      </c>
      <c r="BD312" s="260">
        <f t="shared" si="241"/>
        <v>0</v>
      </c>
      <c r="BE312" s="260">
        <f t="shared" si="242"/>
        <v>0</v>
      </c>
      <c r="BF312" s="397">
        <f t="shared" si="243"/>
        <v>28714400</v>
      </c>
      <c r="BG312" s="397">
        <f t="shared" si="244"/>
        <v>30120000</v>
      </c>
    </row>
    <row r="313" spans="1:59" ht="15.75">
      <c r="A313" s="338">
        <v>23</v>
      </c>
      <c r="B313" s="338" t="str">
        <f t="shared" si="196"/>
        <v>FRUTA_23</v>
      </c>
      <c r="C313" s="338" t="str">
        <f t="shared" si="197"/>
        <v>69_23</v>
      </c>
      <c r="D313" s="338" t="s">
        <v>1</v>
      </c>
      <c r="E313" s="258">
        <v>69</v>
      </c>
      <c r="F313" s="328" t="s">
        <v>70</v>
      </c>
      <c r="G313" s="258" t="s">
        <v>9</v>
      </c>
      <c r="H313" s="431">
        <f t="shared" si="198"/>
        <v>30</v>
      </c>
      <c r="I313" s="431">
        <f t="array" ref="I313">MAX((IF(MNU_CODIGO_ALIMENTO_ENTREGA=CONCATENATE($E313,"_","P_"),MNU_GRAMAJE_REQUERIDO_TIPOA,"")))</f>
        <v>100</v>
      </c>
      <c r="J313" s="259">
        <f t="shared" si="199"/>
        <v>5500</v>
      </c>
      <c r="K313" s="259">
        <f t="shared" si="200"/>
        <v>165000</v>
      </c>
      <c r="L313" s="452">
        <f t="shared" si="201"/>
        <v>305</v>
      </c>
      <c r="M313" s="452">
        <f t="shared" si="202"/>
        <v>14.884</v>
      </c>
      <c r="N313" s="452">
        <f t="shared" si="203"/>
        <v>0.26230488000000002</v>
      </c>
      <c r="O313" s="452">
        <f t="shared" si="204"/>
        <v>320</v>
      </c>
      <c r="P313" s="260">
        <f t="shared" si="205"/>
        <v>50325000</v>
      </c>
      <c r="Q313" s="260">
        <f t="shared" si="206"/>
        <v>52800000</v>
      </c>
      <c r="R313" s="432">
        <f t="shared" si="207"/>
        <v>16</v>
      </c>
      <c r="S313" s="432">
        <f t="array" ref="S313">MAX((IF(MNU_CODIGO_ALIMENTO_ENTREGA=CONCATENATE($E313,"_","P_"),MNU_GRAMAJE_REQUERIDO_TIPOB,"")))</f>
        <v>100</v>
      </c>
      <c r="T313" s="261">
        <f t="shared" si="208"/>
        <v>6924</v>
      </c>
      <c r="U313" s="261">
        <f t="shared" si="209"/>
        <v>110784</v>
      </c>
      <c r="V313" s="452">
        <f t="shared" si="210"/>
        <v>305</v>
      </c>
      <c r="W313" s="452">
        <f t="shared" si="211"/>
        <v>14.884</v>
      </c>
      <c r="X313" s="452">
        <f t="shared" si="212"/>
        <v>0.26230488000000002</v>
      </c>
      <c r="Y313" s="452">
        <f t="shared" si="213"/>
        <v>320</v>
      </c>
      <c r="Z313" s="262">
        <f t="shared" si="214"/>
        <v>33789120</v>
      </c>
      <c r="AA313" s="262">
        <f t="shared" si="215"/>
        <v>35450880</v>
      </c>
      <c r="AB313" s="431">
        <f t="shared" si="216"/>
        <v>16</v>
      </c>
      <c r="AC313" s="431">
        <f t="array" ref="AC313">MAX((IF(MNU_CODIGO_ALIMENTO_ENTREGA=CONCATENATE($E313,"_","P_"),MNU_GRAMAJE_REQUERIDO_TIPOC,"")))</f>
        <v>100</v>
      </c>
      <c r="AD313" s="259">
        <f t="shared" si="217"/>
        <v>5626</v>
      </c>
      <c r="AE313" s="259">
        <f t="shared" si="218"/>
        <v>90016</v>
      </c>
      <c r="AF313" s="452">
        <f t="shared" si="219"/>
        <v>305</v>
      </c>
      <c r="AG313" s="452">
        <f t="shared" si="220"/>
        <v>14.884</v>
      </c>
      <c r="AH313" s="452">
        <f t="shared" si="221"/>
        <v>0.26230488000000002</v>
      </c>
      <c r="AI313" s="452">
        <f t="shared" si="222"/>
        <v>320</v>
      </c>
      <c r="AJ313" s="260">
        <f t="shared" si="223"/>
        <v>27454880</v>
      </c>
      <c r="AK313" s="260">
        <f t="shared" si="224"/>
        <v>28805120</v>
      </c>
      <c r="AL313" s="432">
        <f t="shared" si="225"/>
        <v>16</v>
      </c>
      <c r="AM313" s="432">
        <f t="array" ref="AM313">MAX((IF(MNU_CODIGO_ALIMENTO_ENTREGA=CONCATENATE($E313,"_","P_"),MNU_GRAMAJE_REQUERIDO_TIPOM,"")))</f>
        <v>100</v>
      </c>
      <c r="AN313" s="261">
        <f t="shared" si="226"/>
        <v>0</v>
      </c>
      <c r="AO313" s="261">
        <f t="shared" si="227"/>
        <v>0</v>
      </c>
      <c r="AP313" s="452">
        <f t="shared" si="228"/>
        <v>305</v>
      </c>
      <c r="AQ313" s="452">
        <f t="shared" si="229"/>
        <v>14.884</v>
      </c>
      <c r="AR313" s="452">
        <f t="shared" si="230"/>
        <v>0.26230488000000002</v>
      </c>
      <c r="AS313" s="452">
        <f t="shared" si="231"/>
        <v>320</v>
      </c>
      <c r="AT313" s="262">
        <f t="shared" si="232"/>
        <v>0</v>
      </c>
      <c r="AU313" s="262">
        <f t="shared" si="233"/>
        <v>0</v>
      </c>
      <c r="AV313" s="431">
        <f t="shared" si="234"/>
        <v>16</v>
      </c>
      <c r="AW313" s="431">
        <f t="array" ref="AW313">MAX((IF(MNU_CODIGO_ALIMENTO_ENTREGA=CONCATENATE($E313,"_","P_"),MNU_GRAMAJE_REQUERIDO_TIPOH,"")))</f>
        <v>100</v>
      </c>
      <c r="AX313" s="259">
        <f t="shared" si="235"/>
        <v>0</v>
      </c>
      <c r="AY313" s="259">
        <f t="shared" si="236"/>
        <v>0</v>
      </c>
      <c r="AZ313" s="452">
        <f t="shared" si="237"/>
        <v>305</v>
      </c>
      <c r="BA313" s="452">
        <f t="shared" si="238"/>
        <v>14.884</v>
      </c>
      <c r="BB313" s="452">
        <f t="shared" si="239"/>
        <v>0.26230488000000002</v>
      </c>
      <c r="BC313" s="452">
        <f t="shared" si="240"/>
        <v>320</v>
      </c>
      <c r="BD313" s="260">
        <f t="shared" si="241"/>
        <v>0</v>
      </c>
      <c r="BE313" s="260">
        <f t="shared" si="242"/>
        <v>0</v>
      </c>
      <c r="BF313" s="397">
        <f t="shared" si="243"/>
        <v>111569000</v>
      </c>
      <c r="BG313" s="397">
        <f t="shared" si="244"/>
        <v>117056000</v>
      </c>
    </row>
    <row r="314" spans="1:59" ht="15.75">
      <c r="A314" s="338">
        <v>23</v>
      </c>
      <c r="B314" s="338" t="str">
        <f t="shared" si="196"/>
        <v>FRUTA_23</v>
      </c>
      <c r="C314" s="338" t="str">
        <f t="shared" si="197"/>
        <v>70_23</v>
      </c>
      <c r="D314" s="338" t="s">
        <v>1</v>
      </c>
      <c r="E314" s="258">
        <v>70</v>
      </c>
      <c r="F314" s="328" t="s">
        <v>71</v>
      </c>
      <c r="G314" s="258" t="s">
        <v>9</v>
      </c>
      <c r="H314" s="431">
        <f t="shared" si="198"/>
        <v>0</v>
      </c>
      <c r="I314" s="431">
        <f t="array" ref="I314">MAX((IF(MNU_CODIGO_ALIMENTO_ENTREGA=CONCATENATE($E314,"_","P_"),MNU_GRAMAJE_REQUERIDO_TIPOA,"")))</f>
        <v>0</v>
      </c>
      <c r="J314" s="259">
        <f t="shared" si="199"/>
        <v>5500</v>
      </c>
      <c r="K314" s="259">
        <f t="shared" si="200"/>
        <v>0</v>
      </c>
      <c r="L314" s="452">
        <f t="shared" si="201"/>
        <v>0</v>
      </c>
      <c r="M314" s="452">
        <f t="shared" si="202"/>
        <v>0</v>
      </c>
      <c r="N314" s="452">
        <f t="shared" si="203"/>
        <v>0</v>
      </c>
      <c r="O314" s="452">
        <f t="shared" si="204"/>
        <v>0</v>
      </c>
      <c r="P314" s="260">
        <f t="shared" si="205"/>
        <v>0</v>
      </c>
      <c r="Q314" s="260">
        <f t="shared" si="206"/>
        <v>0</v>
      </c>
      <c r="R314" s="432">
        <f t="shared" si="207"/>
        <v>10</v>
      </c>
      <c r="S314" s="432">
        <f t="array" ref="S314">MAX((IF(MNU_CODIGO_ALIMENTO_ENTREGA=CONCATENATE($E314,"_","P_"),MNU_GRAMAJE_REQUERIDO_TIPOB,"")))</f>
        <v>100</v>
      </c>
      <c r="T314" s="261">
        <f t="shared" si="208"/>
        <v>6924</v>
      </c>
      <c r="U314" s="261">
        <f t="shared" si="209"/>
        <v>69240</v>
      </c>
      <c r="V314" s="452">
        <f t="shared" si="210"/>
        <v>434</v>
      </c>
      <c r="W314" s="452">
        <f t="shared" si="211"/>
        <v>21.179200000000002</v>
      </c>
      <c r="X314" s="452">
        <f t="shared" si="212"/>
        <v>0.37324694399999997</v>
      </c>
      <c r="Y314" s="452">
        <f t="shared" si="213"/>
        <v>456</v>
      </c>
      <c r="Z314" s="262">
        <f t="shared" si="214"/>
        <v>30050160</v>
      </c>
      <c r="AA314" s="262">
        <f t="shared" si="215"/>
        <v>31573440</v>
      </c>
      <c r="AB314" s="431">
        <f t="shared" si="216"/>
        <v>10</v>
      </c>
      <c r="AC314" s="431">
        <f t="array" ref="AC314">MAX((IF(MNU_CODIGO_ALIMENTO_ENTREGA=CONCATENATE($E314,"_","P_"),MNU_GRAMAJE_REQUERIDO_TIPOC,"")))</f>
        <v>100</v>
      </c>
      <c r="AD314" s="259">
        <f t="shared" si="217"/>
        <v>5626</v>
      </c>
      <c r="AE314" s="259">
        <f t="shared" si="218"/>
        <v>56260</v>
      </c>
      <c r="AF314" s="452">
        <f t="shared" si="219"/>
        <v>434</v>
      </c>
      <c r="AG314" s="452">
        <f t="shared" si="220"/>
        <v>21.179200000000002</v>
      </c>
      <c r="AH314" s="452">
        <f t="shared" si="221"/>
        <v>0.37324694399999997</v>
      </c>
      <c r="AI314" s="452">
        <f t="shared" si="222"/>
        <v>456</v>
      </c>
      <c r="AJ314" s="260">
        <f t="shared" si="223"/>
        <v>24416840</v>
      </c>
      <c r="AK314" s="260">
        <f t="shared" si="224"/>
        <v>25654560</v>
      </c>
      <c r="AL314" s="432">
        <f t="shared" si="225"/>
        <v>10</v>
      </c>
      <c r="AM314" s="432">
        <f t="array" ref="AM314">MAX((IF(MNU_CODIGO_ALIMENTO_ENTREGA=CONCATENATE($E314,"_","P_"),MNU_GRAMAJE_REQUERIDO_TIPOM,"")))</f>
        <v>100</v>
      </c>
      <c r="AN314" s="261">
        <f t="shared" si="226"/>
        <v>0</v>
      </c>
      <c r="AO314" s="261">
        <f t="shared" si="227"/>
        <v>0</v>
      </c>
      <c r="AP314" s="452">
        <f t="shared" si="228"/>
        <v>434</v>
      </c>
      <c r="AQ314" s="452">
        <f t="shared" si="229"/>
        <v>21.179200000000002</v>
      </c>
      <c r="AR314" s="452">
        <f t="shared" si="230"/>
        <v>0.37324694399999997</v>
      </c>
      <c r="AS314" s="452">
        <f t="shared" si="231"/>
        <v>456</v>
      </c>
      <c r="AT314" s="262">
        <f t="shared" si="232"/>
        <v>0</v>
      </c>
      <c r="AU314" s="262">
        <f t="shared" si="233"/>
        <v>0</v>
      </c>
      <c r="AV314" s="431">
        <f t="shared" si="234"/>
        <v>10</v>
      </c>
      <c r="AW314" s="431">
        <f t="array" ref="AW314">MAX((IF(MNU_CODIGO_ALIMENTO_ENTREGA=CONCATENATE($E314,"_","P_"),MNU_GRAMAJE_REQUERIDO_TIPOH,"")))</f>
        <v>100</v>
      </c>
      <c r="AX314" s="259">
        <f t="shared" si="235"/>
        <v>0</v>
      </c>
      <c r="AY314" s="259">
        <f t="shared" si="236"/>
        <v>0</v>
      </c>
      <c r="AZ314" s="452">
        <f t="shared" si="237"/>
        <v>434</v>
      </c>
      <c r="BA314" s="452">
        <f t="shared" si="238"/>
        <v>21.179200000000002</v>
      </c>
      <c r="BB314" s="452">
        <f t="shared" si="239"/>
        <v>0.37324694399999997</v>
      </c>
      <c r="BC314" s="452">
        <f t="shared" si="240"/>
        <v>456</v>
      </c>
      <c r="BD314" s="260">
        <f t="shared" si="241"/>
        <v>0</v>
      </c>
      <c r="BE314" s="260">
        <f t="shared" si="242"/>
        <v>0</v>
      </c>
      <c r="BF314" s="397">
        <f t="shared" si="243"/>
        <v>54467000</v>
      </c>
      <c r="BG314" s="397">
        <f t="shared" si="244"/>
        <v>57228000</v>
      </c>
    </row>
    <row r="315" spans="1:59" ht="15.75">
      <c r="A315" s="338">
        <v>24</v>
      </c>
      <c r="B315" s="338" t="str">
        <f t="shared" si="196"/>
        <v>FRUTA_24</v>
      </c>
      <c r="C315" s="338" t="str">
        <f t="shared" si="197"/>
        <v>7_24</v>
      </c>
      <c r="D315" s="338" t="s">
        <v>1</v>
      </c>
      <c r="E315" s="258">
        <v>7</v>
      </c>
      <c r="F315" s="328" t="s">
        <v>57</v>
      </c>
      <c r="G315" s="258" t="s">
        <v>9</v>
      </c>
      <c r="H315" s="431">
        <f t="shared" si="198"/>
        <v>22</v>
      </c>
      <c r="I315" s="431">
        <f t="array" ref="I315">MAX((IF(MNU_CODIGO_ALIMENTO_ENTREGA=CONCATENATE($E315,"_","P_"),MNU_GRAMAJE_REQUERIDO_TIPOA,"")))</f>
        <v>100</v>
      </c>
      <c r="J315" s="259">
        <f t="shared" si="199"/>
        <v>5949</v>
      </c>
      <c r="K315" s="259">
        <f t="shared" si="200"/>
        <v>130878</v>
      </c>
      <c r="L315" s="452">
        <f t="shared" si="201"/>
        <v>107</v>
      </c>
      <c r="M315" s="452">
        <f t="shared" si="202"/>
        <v>5.2216000000000005</v>
      </c>
      <c r="N315" s="452">
        <f t="shared" si="203"/>
        <v>9.2021712000000006E-2</v>
      </c>
      <c r="O315" s="452">
        <f t="shared" si="204"/>
        <v>112</v>
      </c>
      <c r="P315" s="260">
        <f t="shared" si="205"/>
        <v>14003946</v>
      </c>
      <c r="Q315" s="260">
        <f t="shared" si="206"/>
        <v>14658336</v>
      </c>
      <c r="R315" s="432">
        <f t="shared" si="207"/>
        <v>9</v>
      </c>
      <c r="S315" s="432">
        <f t="array" ref="S315">MAX((IF(MNU_CODIGO_ALIMENTO_ENTREGA=CONCATENATE($E315,"_","P_"),MNU_GRAMAJE_REQUERIDO_TIPOB,"")))</f>
        <v>100</v>
      </c>
      <c r="T315" s="261">
        <f t="shared" si="208"/>
        <v>7407</v>
      </c>
      <c r="U315" s="261">
        <f t="shared" si="209"/>
        <v>66663</v>
      </c>
      <c r="V315" s="452">
        <f t="shared" si="210"/>
        <v>107</v>
      </c>
      <c r="W315" s="452">
        <f t="shared" si="211"/>
        <v>5.2216000000000005</v>
      </c>
      <c r="X315" s="452">
        <f t="shared" si="212"/>
        <v>9.2021712000000006E-2</v>
      </c>
      <c r="Y315" s="452">
        <f t="shared" si="213"/>
        <v>112</v>
      </c>
      <c r="Z315" s="262">
        <f t="shared" si="214"/>
        <v>7132941</v>
      </c>
      <c r="AA315" s="262">
        <f t="shared" si="215"/>
        <v>7466256</v>
      </c>
      <c r="AB315" s="431">
        <f t="shared" si="216"/>
        <v>9</v>
      </c>
      <c r="AC315" s="431">
        <f t="array" ref="AC315">MAX((IF(MNU_CODIGO_ALIMENTO_ENTREGA=CONCATENATE($E315,"_","P_"),MNU_GRAMAJE_REQUERIDO_TIPOC,"")))</f>
        <v>100</v>
      </c>
      <c r="AD315" s="259">
        <f t="shared" si="217"/>
        <v>8275</v>
      </c>
      <c r="AE315" s="259">
        <f t="shared" si="218"/>
        <v>74475</v>
      </c>
      <c r="AF315" s="452">
        <f t="shared" si="219"/>
        <v>107</v>
      </c>
      <c r="AG315" s="452">
        <f t="shared" si="220"/>
        <v>5.2216000000000005</v>
      </c>
      <c r="AH315" s="452">
        <f t="shared" si="221"/>
        <v>9.2021712000000006E-2</v>
      </c>
      <c r="AI315" s="452">
        <f t="shared" si="222"/>
        <v>112</v>
      </c>
      <c r="AJ315" s="260">
        <f t="shared" si="223"/>
        <v>7968825</v>
      </c>
      <c r="AK315" s="260">
        <f t="shared" si="224"/>
        <v>8341200</v>
      </c>
      <c r="AL315" s="432">
        <f t="shared" si="225"/>
        <v>9</v>
      </c>
      <c r="AM315" s="432">
        <f t="array" ref="AM315">MAX((IF(MNU_CODIGO_ALIMENTO_ENTREGA=CONCATENATE($E315,"_","P_"),MNU_GRAMAJE_REQUERIDO_TIPOM,"")))</f>
        <v>100</v>
      </c>
      <c r="AN315" s="261">
        <f t="shared" si="226"/>
        <v>434</v>
      </c>
      <c r="AO315" s="261">
        <f t="shared" si="227"/>
        <v>3906</v>
      </c>
      <c r="AP315" s="452">
        <f t="shared" si="228"/>
        <v>107</v>
      </c>
      <c r="AQ315" s="452">
        <f t="shared" si="229"/>
        <v>5.2216000000000005</v>
      </c>
      <c r="AR315" s="452">
        <f t="shared" si="230"/>
        <v>9.2021712000000006E-2</v>
      </c>
      <c r="AS315" s="452">
        <f t="shared" si="231"/>
        <v>112</v>
      </c>
      <c r="AT315" s="262">
        <f t="shared" si="232"/>
        <v>417942</v>
      </c>
      <c r="AU315" s="262">
        <f t="shared" si="233"/>
        <v>437472</v>
      </c>
      <c r="AV315" s="431">
        <f t="shared" si="234"/>
        <v>9</v>
      </c>
      <c r="AW315" s="431">
        <f t="array" ref="AW315">MAX((IF(MNU_CODIGO_ALIMENTO_ENTREGA=CONCATENATE($E315,"_","P_"),MNU_GRAMAJE_REQUERIDO_TIPOH,"")))</f>
        <v>100</v>
      </c>
      <c r="AX315" s="259">
        <f t="shared" si="235"/>
        <v>173</v>
      </c>
      <c r="AY315" s="259">
        <f t="shared" si="236"/>
        <v>1557</v>
      </c>
      <c r="AZ315" s="452">
        <f t="shared" si="237"/>
        <v>107</v>
      </c>
      <c r="BA315" s="452">
        <f t="shared" si="238"/>
        <v>5.2216000000000005</v>
      </c>
      <c r="BB315" s="452">
        <f t="shared" si="239"/>
        <v>9.2021712000000006E-2</v>
      </c>
      <c r="BC315" s="452">
        <f t="shared" si="240"/>
        <v>112</v>
      </c>
      <c r="BD315" s="260">
        <f t="shared" si="241"/>
        <v>166599</v>
      </c>
      <c r="BE315" s="260">
        <f t="shared" si="242"/>
        <v>174384</v>
      </c>
      <c r="BF315" s="397">
        <f t="shared" si="243"/>
        <v>29690253</v>
      </c>
      <c r="BG315" s="397">
        <f t="shared" si="244"/>
        <v>31077648</v>
      </c>
    </row>
    <row r="316" spans="1:59" ht="15.75">
      <c r="A316" s="338">
        <v>24</v>
      </c>
      <c r="B316" s="338" t="str">
        <f t="shared" ref="B316:B379" si="245">CONCATENATE(D316,"_",A316)</f>
        <v>FRUTA_24</v>
      </c>
      <c r="C316" s="338" t="str">
        <f t="shared" ref="C316:C379" si="246">CONCATENATE(E316,"_",A316)</f>
        <v>8_24</v>
      </c>
      <c r="D316" s="338" t="s">
        <v>1</v>
      </c>
      <c r="E316" s="258">
        <v>8</v>
      </c>
      <c r="F316" s="328" t="s">
        <v>55</v>
      </c>
      <c r="G316" s="258" t="s">
        <v>9</v>
      </c>
      <c r="H316" s="431">
        <f t="shared" ref="H316:H379" si="247">SUMIF(MNU_CODIGO_ALIMENTO_ENTREGA,CONCATENATE($E316,"_","P_"),MNU_FRECUENCIAS_LAV_TIPOA)</f>
        <v>10</v>
      </c>
      <c r="I316" s="431">
        <f t="array" ref="I316">MAX((IF(MNU_CODIGO_ALIMENTO_ENTREGA=CONCATENATE($E316,"_","P_"),MNU_GRAMAJE_REQUERIDO_TIPOA,"")))</f>
        <v>100</v>
      </c>
      <c r="J316" s="259">
        <f t="shared" ref="J316:J379" si="248">SUMIF(VOL_GRUPO,CONCATENATE($A316,"1052-1NO"),VOL_TIPOA)</f>
        <v>5949</v>
      </c>
      <c r="K316" s="259">
        <f t="shared" ref="K316:K379" si="249">H316*J316</f>
        <v>59490</v>
      </c>
      <c r="L316" s="452">
        <f t="shared" ref="L316:L379" si="250">IF(ISERROR(AVERAGEIFS(MNU_COSTO_UNITARIO_TIPOA_SELECCIONADO,MNU_CODIGO_ALIMENTO_ENTREGA,CONCATENATE($E316,"_","P_"))),0,AVERAGEIFS(MNU_COSTO_UNITARIO_TIPOA_SELECCIONADO,MNU_CODIGO_ALIMENTO_ENTREGA,CONCATENATE($E316,"_","P_")))</f>
        <v>134</v>
      </c>
      <c r="M316" s="452">
        <f t="shared" ref="M316:M379" si="251">(L316*0.01)+(L316*0.005)+(L316*0.02)+(L316*(13.8/1000))</f>
        <v>6.539200000000001</v>
      </c>
      <c r="N316" s="452">
        <f t="shared" ref="N316:N379" si="252">((L316+M316)*0.00071)+((L316+M316)*0.00011)</f>
        <v>0.115242144</v>
      </c>
      <c r="O316" s="452">
        <f t="shared" ref="O316:O379" si="253">ROUND(L316+M316+N316,0)</f>
        <v>141</v>
      </c>
      <c r="P316" s="260">
        <f t="shared" ref="P316:P379" si="254">H316*J316*L316</f>
        <v>7971660</v>
      </c>
      <c r="Q316" s="260">
        <f t="shared" ref="Q316:Q379" si="255">H316*J316*O316</f>
        <v>8388090</v>
      </c>
      <c r="R316" s="432">
        <f t="shared" ref="R316:R379" si="256">SUMIF(MNU_CODIGO_ALIMENTO_ENTREGA,CONCATENATE($E316,"_","P_"),MNU_FRECUENCIAS_LAV_TIPOB)</f>
        <v>8</v>
      </c>
      <c r="S316" s="432">
        <f t="array" ref="S316">MAX((IF(MNU_CODIGO_ALIMENTO_ENTREGA=CONCATENATE($E316,"_","P_"),MNU_GRAMAJE_REQUERIDO_TIPOB,"")))</f>
        <v>100</v>
      </c>
      <c r="T316" s="261">
        <f t="shared" ref="T316:T379" si="257">SUMIF(VOL_GRUPO,CONCATENATE($A316,"1052-1NO"),VOL_TIPOB)</f>
        <v>7407</v>
      </c>
      <c r="U316" s="261">
        <f t="shared" ref="U316:U379" si="258">R316*T316</f>
        <v>59256</v>
      </c>
      <c r="V316" s="452">
        <f t="shared" ref="V316:V379" si="259">IF(ISERROR(AVERAGEIFS(MNU_COSTO_UNITARIO_TIPOB_SELECCIONADO,MNU_CODIGO_ALIMENTO_ENTREGA,CONCATENATE($E316,"_","P_"))),0,AVERAGEIFS(MNU_COSTO_UNITARIO_TIPOB_SELECCIONADO,MNU_CODIGO_ALIMENTO_ENTREGA,CONCATENATE($E316,"_","P_")))</f>
        <v>134</v>
      </c>
      <c r="W316" s="452">
        <f t="shared" ref="W316:W379" si="260">(V316*0.01)+(V316*0.005)+(V316*0.02)+(V316*(13.8/1000))</f>
        <v>6.539200000000001</v>
      </c>
      <c r="X316" s="452">
        <f t="shared" ref="X316:X379" si="261">((V316+W316)*0.00071)+((V316+W316)*0.00011)</f>
        <v>0.115242144</v>
      </c>
      <c r="Y316" s="452">
        <f t="shared" ref="Y316:Y379" si="262">ROUND(V316+W316+X316,0)</f>
        <v>141</v>
      </c>
      <c r="Z316" s="262">
        <f t="shared" ref="Z316:Z379" si="263">R316*T316*V316</f>
        <v>7940304</v>
      </c>
      <c r="AA316" s="262">
        <f t="shared" ref="AA316:AA379" si="264">R316*T316*Y316</f>
        <v>8355096</v>
      </c>
      <c r="AB316" s="431">
        <f t="shared" ref="AB316:AB379" si="265">SUMIF(MNU_CODIGO_ALIMENTO_ENTREGA,CONCATENATE($E316,"_","P_"),MNU_FRECUENCIAS_LAV_TIPOC)</f>
        <v>8</v>
      </c>
      <c r="AC316" s="431">
        <f t="array" ref="AC316">MAX((IF(MNU_CODIGO_ALIMENTO_ENTREGA=CONCATENATE($E316,"_","P_"),MNU_GRAMAJE_REQUERIDO_TIPOC,"")))</f>
        <v>100</v>
      </c>
      <c r="AD316" s="259">
        <f t="shared" ref="AD316:AD379" si="266">SUMIF(VOL_GRUPO,CONCATENATE($A316,"1052-1NO"),VOL_TIPOC)</f>
        <v>8275</v>
      </c>
      <c r="AE316" s="259">
        <f t="shared" ref="AE316:AE379" si="267">AB316*AD316</f>
        <v>66200</v>
      </c>
      <c r="AF316" s="452">
        <f t="shared" ref="AF316:AF379" si="268">IF(ISERROR(AVERAGEIFS(MNU_COSTO_UNITARIO_TIPOC_SELECCIONADO,MNU_CODIGO_ALIMENTO_ENTREGA,CONCATENATE($E316,"_","P_"))),0,AVERAGEIFS(MNU_COSTO_UNITARIO_TIPOC_SELECCIONADO,MNU_CODIGO_ALIMENTO_ENTREGA,CONCATENATE($E316,"_","P_")))</f>
        <v>134</v>
      </c>
      <c r="AG316" s="452">
        <f t="shared" ref="AG316:AG379" si="269">(AF316*0.01)+(AF316*0.005)+(AF316*0.02)+(AF316*(13.8/1000))</f>
        <v>6.539200000000001</v>
      </c>
      <c r="AH316" s="452">
        <f t="shared" ref="AH316:AH379" si="270">((AF316+AG316)*0.00071)+((AF316+AG316)*0.00011)</f>
        <v>0.115242144</v>
      </c>
      <c r="AI316" s="452">
        <f t="shared" ref="AI316:AI379" si="271">ROUND(AF316+AG316+AH316,0)</f>
        <v>141</v>
      </c>
      <c r="AJ316" s="260">
        <f t="shared" ref="AJ316:AJ379" si="272">AB316*AD316*AF316</f>
        <v>8870800</v>
      </c>
      <c r="AK316" s="260">
        <f t="shared" ref="AK316:AK379" si="273">AB316*AD316*AI316</f>
        <v>9334200</v>
      </c>
      <c r="AL316" s="432">
        <f t="shared" ref="AL316:AL379" si="274">SUMIF(MNU_CODIGO_ALIMENTO_ENTREGA,CONCATENATE($E316,"_","P_"),MNU_FRECUENCIAS_LAV_TIPOM)</f>
        <v>8</v>
      </c>
      <c r="AM316" s="432">
        <f t="array" ref="AM316">MAX((IF(MNU_CODIGO_ALIMENTO_ENTREGA=CONCATENATE($E316,"_","P_"),MNU_GRAMAJE_REQUERIDO_TIPOM,"")))</f>
        <v>100</v>
      </c>
      <c r="AN316" s="261">
        <f t="shared" ref="AN316:AN379" si="275">SUMIF(VOL_GRUPO,CONCATENATE($A316,"1052-1NO"),VOL_TIPOM)</f>
        <v>434</v>
      </c>
      <c r="AO316" s="261">
        <f t="shared" ref="AO316:AO379" si="276">AL316*AN316</f>
        <v>3472</v>
      </c>
      <c r="AP316" s="452">
        <f t="shared" ref="AP316:AP379" si="277">IF(ISERROR(AVERAGEIFS(MNU_COSTO_UNITARIO_TIPOM_SELECCIONADO,MNU_CODIGO_ALIMENTO_ENTREGA,CONCATENATE($E316,"_","P_"))),0,AVERAGEIFS(MNU_COSTO_UNITARIO_TIPOM_SELECCIONADO,MNU_CODIGO_ALIMENTO_ENTREGA,CONCATENATE($E316,"_","P_")))</f>
        <v>134</v>
      </c>
      <c r="AQ316" s="452">
        <f t="shared" ref="AQ316:AQ379" si="278">(AP316*0.01)+(AP316*0.005)+(AP316*0.02)+(AP316*(13.8/1000))</f>
        <v>6.539200000000001</v>
      </c>
      <c r="AR316" s="452">
        <f t="shared" ref="AR316:AR379" si="279">((AP316+AQ316)*0.00071)+((AP316+AQ316)*0.00011)</f>
        <v>0.115242144</v>
      </c>
      <c r="AS316" s="452">
        <f t="shared" ref="AS316:AS379" si="280">ROUND(AP316+AQ316+AR316,0)</f>
        <v>141</v>
      </c>
      <c r="AT316" s="262">
        <f t="shared" ref="AT316:AT379" si="281">AL316*AN316*AP316</f>
        <v>465248</v>
      </c>
      <c r="AU316" s="262">
        <f t="shared" ref="AU316:AU379" si="282">AL316*AN316*AS316</f>
        <v>489552</v>
      </c>
      <c r="AV316" s="431">
        <f t="shared" ref="AV316:AV379" si="283">SUMIF(MNU_CODIGO_ALIMENTO_ENTREGA,CONCATENATE($E316,"_","P_"),MNU_FRECUENCIAS_LAV_TIPOH)</f>
        <v>8</v>
      </c>
      <c r="AW316" s="431">
        <f t="array" ref="AW316">MAX((IF(MNU_CODIGO_ALIMENTO_ENTREGA=CONCATENATE($E316,"_","P_"),MNU_GRAMAJE_REQUERIDO_TIPOH,"")))</f>
        <v>100</v>
      </c>
      <c r="AX316" s="259">
        <f t="shared" ref="AX316:AX379" si="284">SUMIF(VOL_GRUPO,CONCATENATE($A316,"1052-1NO"),VOL_TIPOH)</f>
        <v>173</v>
      </c>
      <c r="AY316" s="259">
        <f t="shared" ref="AY316:AY379" si="285">AV316*AX316</f>
        <v>1384</v>
      </c>
      <c r="AZ316" s="452">
        <f t="shared" ref="AZ316:AZ379" si="286">IF(ISERROR(AVERAGEIFS(MNU_COSTO_UNITARIO_TIPOH_SELECCIONADO,MNU_CODIGO_ALIMENTO_ENTREGA,CONCATENATE($E316,"_","P_"))),0,AVERAGEIFS(MNU_COSTO_UNITARIO_TIPOH_SELECCIONADO,MNU_CODIGO_ALIMENTO_ENTREGA,CONCATENATE($E316,"_","P_")))</f>
        <v>134</v>
      </c>
      <c r="BA316" s="452">
        <f t="shared" ref="BA316:BA379" si="287">(AZ316*0.01)+(AZ316*0.005)+(AZ316*0.02)+(AZ316*(13.8/1000))</f>
        <v>6.539200000000001</v>
      </c>
      <c r="BB316" s="452">
        <f t="shared" ref="BB316:BB379" si="288">((AZ316+BA316)*0.00071)+((AZ316+BA316)*0.00011)</f>
        <v>0.115242144</v>
      </c>
      <c r="BC316" s="452">
        <f t="shared" ref="BC316:BC379" si="289">ROUND(AZ316+BA316+BB316,0)</f>
        <v>141</v>
      </c>
      <c r="BD316" s="260">
        <f t="shared" ref="BD316:BD379" si="290">AV316*AX316*AZ316</f>
        <v>185456</v>
      </c>
      <c r="BE316" s="260">
        <f t="shared" ref="BE316:BE379" si="291">AV316*AX316*BC316</f>
        <v>195144</v>
      </c>
      <c r="BF316" s="397">
        <f t="shared" ref="BF316:BF379" si="292">BD316+AT316+AJ316+Z316+P316</f>
        <v>25433468</v>
      </c>
      <c r="BG316" s="397">
        <f t="shared" ref="BG316:BG379" si="293">BE316+AU316+AK316+AA316+Q316</f>
        <v>26762082</v>
      </c>
    </row>
    <row r="317" spans="1:59" ht="15.75">
      <c r="A317" s="338">
        <v>24</v>
      </c>
      <c r="B317" s="338" t="str">
        <f t="shared" si="245"/>
        <v>FRUTA_24</v>
      </c>
      <c r="C317" s="338" t="str">
        <f t="shared" si="246"/>
        <v>17_24</v>
      </c>
      <c r="D317" s="338" t="s">
        <v>1</v>
      </c>
      <c r="E317" s="258">
        <v>17</v>
      </c>
      <c r="F317" s="328" t="s">
        <v>53</v>
      </c>
      <c r="G317" s="258" t="s">
        <v>9</v>
      </c>
      <c r="H317" s="431">
        <f t="shared" si="247"/>
        <v>0</v>
      </c>
      <c r="I317" s="431">
        <f t="array" ref="I317">MAX((IF(MNU_CODIGO_ALIMENTO_ENTREGA=CONCATENATE($E317,"_","P_"),MNU_GRAMAJE_REQUERIDO_TIPOA,"")))</f>
        <v>0</v>
      </c>
      <c r="J317" s="259">
        <f t="shared" si="248"/>
        <v>5949</v>
      </c>
      <c r="K317" s="259">
        <f t="shared" si="249"/>
        <v>0</v>
      </c>
      <c r="L317" s="452">
        <f t="shared" si="250"/>
        <v>0</v>
      </c>
      <c r="M317" s="452">
        <f t="shared" si="251"/>
        <v>0</v>
      </c>
      <c r="N317" s="452">
        <f t="shared" si="252"/>
        <v>0</v>
      </c>
      <c r="O317" s="452">
        <f t="shared" si="253"/>
        <v>0</v>
      </c>
      <c r="P317" s="260">
        <f t="shared" si="254"/>
        <v>0</v>
      </c>
      <c r="Q317" s="260">
        <f t="shared" si="255"/>
        <v>0</v>
      </c>
      <c r="R317" s="432">
        <f t="shared" si="256"/>
        <v>21</v>
      </c>
      <c r="S317" s="432">
        <f t="array" ref="S317">MAX((IF(MNU_CODIGO_ALIMENTO_ENTREGA=CONCATENATE($E317,"_","P_"),MNU_GRAMAJE_REQUERIDO_TIPOB,"")))</f>
        <v>100</v>
      </c>
      <c r="T317" s="261">
        <f t="shared" si="257"/>
        <v>7407</v>
      </c>
      <c r="U317" s="261">
        <f t="shared" si="258"/>
        <v>155547</v>
      </c>
      <c r="V317" s="452">
        <f t="shared" si="259"/>
        <v>226</v>
      </c>
      <c r="W317" s="452">
        <f t="shared" si="260"/>
        <v>11.0288</v>
      </c>
      <c r="X317" s="452">
        <f t="shared" si="261"/>
        <v>0.19436361600000002</v>
      </c>
      <c r="Y317" s="452">
        <f t="shared" si="262"/>
        <v>237</v>
      </c>
      <c r="Z317" s="262">
        <f t="shared" si="263"/>
        <v>35153622</v>
      </c>
      <c r="AA317" s="262">
        <f t="shared" si="264"/>
        <v>36864639</v>
      </c>
      <c r="AB317" s="431">
        <f t="shared" si="265"/>
        <v>21</v>
      </c>
      <c r="AC317" s="431">
        <f t="array" ref="AC317">MAX((IF(MNU_CODIGO_ALIMENTO_ENTREGA=CONCATENATE($E317,"_","P_"),MNU_GRAMAJE_REQUERIDO_TIPOC,"")))</f>
        <v>100</v>
      </c>
      <c r="AD317" s="259">
        <f t="shared" si="266"/>
        <v>8275</v>
      </c>
      <c r="AE317" s="259">
        <f t="shared" si="267"/>
        <v>173775</v>
      </c>
      <c r="AF317" s="452">
        <f t="shared" si="268"/>
        <v>226</v>
      </c>
      <c r="AG317" s="452">
        <f t="shared" si="269"/>
        <v>11.0288</v>
      </c>
      <c r="AH317" s="452">
        <f t="shared" si="270"/>
        <v>0.19436361600000002</v>
      </c>
      <c r="AI317" s="452">
        <f t="shared" si="271"/>
        <v>237</v>
      </c>
      <c r="AJ317" s="260">
        <f t="shared" si="272"/>
        <v>39273150</v>
      </c>
      <c r="AK317" s="260">
        <f t="shared" si="273"/>
        <v>41184675</v>
      </c>
      <c r="AL317" s="432">
        <f t="shared" si="274"/>
        <v>21</v>
      </c>
      <c r="AM317" s="432">
        <f t="array" ref="AM317">MAX((IF(MNU_CODIGO_ALIMENTO_ENTREGA=CONCATENATE($E317,"_","P_"),MNU_GRAMAJE_REQUERIDO_TIPOM,"")))</f>
        <v>100</v>
      </c>
      <c r="AN317" s="261">
        <f t="shared" si="275"/>
        <v>434</v>
      </c>
      <c r="AO317" s="261">
        <f t="shared" si="276"/>
        <v>9114</v>
      </c>
      <c r="AP317" s="452">
        <f t="shared" si="277"/>
        <v>226</v>
      </c>
      <c r="AQ317" s="452">
        <f t="shared" si="278"/>
        <v>11.0288</v>
      </c>
      <c r="AR317" s="452">
        <f t="shared" si="279"/>
        <v>0.19436361600000002</v>
      </c>
      <c r="AS317" s="452">
        <f t="shared" si="280"/>
        <v>237</v>
      </c>
      <c r="AT317" s="262">
        <f t="shared" si="281"/>
        <v>2059764</v>
      </c>
      <c r="AU317" s="262">
        <f t="shared" si="282"/>
        <v>2160018</v>
      </c>
      <c r="AV317" s="431">
        <f t="shared" si="283"/>
        <v>21</v>
      </c>
      <c r="AW317" s="431">
        <f t="array" ref="AW317">MAX((IF(MNU_CODIGO_ALIMENTO_ENTREGA=CONCATENATE($E317,"_","P_"),MNU_GRAMAJE_REQUERIDO_TIPOH,"")))</f>
        <v>100</v>
      </c>
      <c r="AX317" s="259">
        <f t="shared" si="284"/>
        <v>173</v>
      </c>
      <c r="AY317" s="259">
        <f t="shared" si="285"/>
        <v>3633</v>
      </c>
      <c r="AZ317" s="452">
        <f t="shared" si="286"/>
        <v>226</v>
      </c>
      <c r="BA317" s="452">
        <f t="shared" si="287"/>
        <v>11.0288</v>
      </c>
      <c r="BB317" s="452">
        <f t="shared" si="288"/>
        <v>0.19436361600000002</v>
      </c>
      <c r="BC317" s="452">
        <f t="shared" si="289"/>
        <v>237</v>
      </c>
      <c r="BD317" s="260">
        <f t="shared" si="290"/>
        <v>821058</v>
      </c>
      <c r="BE317" s="260">
        <f t="shared" si="291"/>
        <v>861021</v>
      </c>
      <c r="BF317" s="397">
        <f t="shared" si="292"/>
        <v>77307594</v>
      </c>
      <c r="BG317" s="397">
        <f t="shared" si="293"/>
        <v>81070353</v>
      </c>
    </row>
    <row r="318" spans="1:59" ht="15.75">
      <c r="A318" s="338">
        <v>24</v>
      </c>
      <c r="B318" s="338" t="str">
        <f t="shared" si="245"/>
        <v>FRUTA_24</v>
      </c>
      <c r="C318" s="338" t="str">
        <f t="shared" si="246"/>
        <v>22_24</v>
      </c>
      <c r="D318" s="338" t="s">
        <v>1</v>
      </c>
      <c r="E318" s="258">
        <v>22</v>
      </c>
      <c r="F318" s="328" t="s">
        <v>51</v>
      </c>
      <c r="G318" s="258" t="s">
        <v>9</v>
      </c>
      <c r="H318" s="431">
        <f t="shared" si="247"/>
        <v>0</v>
      </c>
      <c r="I318" s="431">
        <f t="array" ref="I318">MAX((IF(MNU_CODIGO_ALIMENTO_ENTREGA=CONCATENATE($E318,"_","P_"),MNU_GRAMAJE_REQUERIDO_TIPOA,"")))</f>
        <v>0</v>
      </c>
      <c r="J318" s="259">
        <f t="shared" si="248"/>
        <v>5949</v>
      </c>
      <c r="K318" s="259">
        <f t="shared" si="249"/>
        <v>0</v>
      </c>
      <c r="L318" s="452">
        <f t="shared" si="250"/>
        <v>0</v>
      </c>
      <c r="M318" s="452">
        <f t="shared" si="251"/>
        <v>0</v>
      </c>
      <c r="N318" s="452">
        <f t="shared" si="252"/>
        <v>0</v>
      </c>
      <c r="O318" s="452">
        <f t="shared" si="253"/>
        <v>0</v>
      </c>
      <c r="P318" s="260">
        <f t="shared" si="254"/>
        <v>0</v>
      </c>
      <c r="Q318" s="260">
        <f t="shared" si="255"/>
        <v>0</v>
      </c>
      <c r="R318" s="432">
        <f t="shared" si="256"/>
        <v>20</v>
      </c>
      <c r="S318" s="432">
        <f t="array" ref="S318">MAX((IF(MNU_CODIGO_ALIMENTO_ENTREGA=CONCATENATE($E318,"_","P_"),MNU_GRAMAJE_REQUERIDO_TIPOB,"")))</f>
        <v>100</v>
      </c>
      <c r="T318" s="261">
        <f t="shared" si="257"/>
        <v>7407</v>
      </c>
      <c r="U318" s="261">
        <f t="shared" si="258"/>
        <v>148140</v>
      </c>
      <c r="V318" s="452">
        <f t="shared" si="259"/>
        <v>525</v>
      </c>
      <c r="W318" s="452">
        <f t="shared" si="260"/>
        <v>25.62</v>
      </c>
      <c r="X318" s="452">
        <f t="shared" si="261"/>
        <v>0.45150840000000003</v>
      </c>
      <c r="Y318" s="452">
        <f t="shared" si="262"/>
        <v>551</v>
      </c>
      <c r="Z318" s="262">
        <f t="shared" si="263"/>
        <v>77773500</v>
      </c>
      <c r="AA318" s="262">
        <f t="shared" si="264"/>
        <v>81625140</v>
      </c>
      <c r="AB318" s="431">
        <f t="shared" si="265"/>
        <v>20</v>
      </c>
      <c r="AC318" s="431">
        <f t="array" ref="AC318">MAX((IF(MNU_CODIGO_ALIMENTO_ENTREGA=CONCATENATE($E318,"_","P_"),MNU_GRAMAJE_REQUERIDO_TIPOC,"")))</f>
        <v>100</v>
      </c>
      <c r="AD318" s="259">
        <f t="shared" si="266"/>
        <v>8275</v>
      </c>
      <c r="AE318" s="259">
        <f t="shared" si="267"/>
        <v>165500</v>
      </c>
      <c r="AF318" s="452">
        <f t="shared" si="268"/>
        <v>525</v>
      </c>
      <c r="AG318" s="452">
        <f t="shared" si="269"/>
        <v>25.62</v>
      </c>
      <c r="AH318" s="452">
        <f t="shared" si="270"/>
        <v>0.45150840000000003</v>
      </c>
      <c r="AI318" s="452">
        <f t="shared" si="271"/>
        <v>551</v>
      </c>
      <c r="AJ318" s="260">
        <f t="shared" si="272"/>
        <v>86887500</v>
      </c>
      <c r="AK318" s="260">
        <f t="shared" si="273"/>
        <v>91190500</v>
      </c>
      <c r="AL318" s="432">
        <f t="shared" si="274"/>
        <v>20</v>
      </c>
      <c r="AM318" s="432">
        <f t="array" ref="AM318">MAX((IF(MNU_CODIGO_ALIMENTO_ENTREGA=CONCATENATE($E318,"_","P_"),MNU_GRAMAJE_REQUERIDO_TIPOM,"")))</f>
        <v>100</v>
      </c>
      <c r="AN318" s="261">
        <f t="shared" si="275"/>
        <v>434</v>
      </c>
      <c r="AO318" s="261">
        <f t="shared" si="276"/>
        <v>8680</v>
      </c>
      <c r="AP318" s="452">
        <f t="shared" si="277"/>
        <v>525</v>
      </c>
      <c r="AQ318" s="452">
        <f t="shared" si="278"/>
        <v>25.62</v>
      </c>
      <c r="AR318" s="452">
        <f t="shared" si="279"/>
        <v>0.45150840000000003</v>
      </c>
      <c r="AS318" s="452">
        <f t="shared" si="280"/>
        <v>551</v>
      </c>
      <c r="AT318" s="262">
        <f t="shared" si="281"/>
        <v>4557000</v>
      </c>
      <c r="AU318" s="262">
        <f t="shared" si="282"/>
        <v>4782680</v>
      </c>
      <c r="AV318" s="431">
        <f t="shared" si="283"/>
        <v>20</v>
      </c>
      <c r="AW318" s="431">
        <f t="array" ref="AW318">MAX((IF(MNU_CODIGO_ALIMENTO_ENTREGA=CONCATENATE($E318,"_","P_"),MNU_GRAMAJE_REQUERIDO_TIPOH,"")))</f>
        <v>100</v>
      </c>
      <c r="AX318" s="259">
        <f t="shared" si="284"/>
        <v>173</v>
      </c>
      <c r="AY318" s="259">
        <f t="shared" si="285"/>
        <v>3460</v>
      </c>
      <c r="AZ318" s="452">
        <f t="shared" si="286"/>
        <v>525</v>
      </c>
      <c r="BA318" s="452">
        <f t="shared" si="287"/>
        <v>25.62</v>
      </c>
      <c r="BB318" s="452">
        <f t="shared" si="288"/>
        <v>0.45150840000000003</v>
      </c>
      <c r="BC318" s="452">
        <f t="shared" si="289"/>
        <v>551</v>
      </c>
      <c r="BD318" s="260">
        <f t="shared" si="290"/>
        <v>1816500</v>
      </c>
      <c r="BE318" s="260">
        <f t="shared" si="291"/>
        <v>1906460</v>
      </c>
      <c r="BF318" s="397">
        <f t="shared" si="292"/>
        <v>171034500</v>
      </c>
      <c r="BG318" s="397">
        <f t="shared" si="293"/>
        <v>179504780</v>
      </c>
    </row>
    <row r="319" spans="1:59" ht="15.75">
      <c r="A319" s="338">
        <v>24</v>
      </c>
      <c r="B319" s="338" t="str">
        <f t="shared" si="245"/>
        <v>FRUTA_24</v>
      </c>
      <c r="C319" s="338" t="str">
        <f t="shared" si="246"/>
        <v>33_24</v>
      </c>
      <c r="D319" s="338" t="s">
        <v>1</v>
      </c>
      <c r="E319" s="258">
        <v>33</v>
      </c>
      <c r="F319" s="328" t="s">
        <v>59</v>
      </c>
      <c r="G319" s="258" t="s">
        <v>48</v>
      </c>
      <c r="H319" s="431">
        <f t="shared" si="247"/>
        <v>27</v>
      </c>
      <c r="I319" s="431">
        <v>1</v>
      </c>
      <c r="J319" s="259">
        <f t="shared" si="248"/>
        <v>5949</v>
      </c>
      <c r="K319" s="259">
        <f t="shared" si="249"/>
        <v>160623</v>
      </c>
      <c r="L319" s="452">
        <f t="shared" si="250"/>
        <v>270</v>
      </c>
      <c r="M319" s="452">
        <f t="shared" si="251"/>
        <v>13.176000000000002</v>
      </c>
      <c r="N319" s="452">
        <f t="shared" si="252"/>
        <v>0.23220432000000002</v>
      </c>
      <c r="O319" s="452">
        <f t="shared" si="253"/>
        <v>283</v>
      </c>
      <c r="P319" s="260">
        <f t="shared" si="254"/>
        <v>43368210</v>
      </c>
      <c r="Q319" s="260">
        <f t="shared" si="255"/>
        <v>45456309</v>
      </c>
      <c r="R319" s="432">
        <f t="shared" si="256"/>
        <v>18</v>
      </c>
      <c r="S319" s="432">
        <v>1</v>
      </c>
      <c r="T319" s="261">
        <f t="shared" si="257"/>
        <v>7407</v>
      </c>
      <c r="U319" s="261">
        <f t="shared" si="258"/>
        <v>133326</v>
      </c>
      <c r="V319" s="452">
        <f t="shared" si="259"/>
        <v>270</v>
      </c>
      <c r="W319" s="452">
        <f t="shared" si="260"/>
        <v>13.176000000000002</v>
      </c>
      <c r="X319" s="452">
        <f t="shared" si="261"/>
        <v>0.23220432000000002</v>
      </c>
      <c r="Y319" s="452">
        <f t="shared" si="262"/>
        <v>283</v>
      </c>
      <c r="Z319" s="262">
        <f t="shared" si="263"/>
        <v>35998020</v>
      </c>
      <c r="AA319" s="262">
        <f t="shared" si="264"/>
        <v>37731258</v>
      </c>
      <c r="AB319" s="431">
        <f t="shared" si="265"/>
        <v>18</v>
      </c>
      <c r="AC319" s="431">
        <v>1</v>
      </c>
      <c r="AD319" s="259">
        <f t="shared" si="266"/>
        <v>8275</v>
      </c>
      <c r="AE319" s="259">
        <f t="shared" si="267"/>
        <v>148950</v>
      </c>
      <c r="AF319" s="452">
        <f t="shared" si="268"/>
        <v>270</v>
      </c>
      <c r="AG319" s="452">
        <f t="shared" si="269"/>
        <v>13.176000000000002</v>
      </c>
      <c r="AH319" s="452">
        <f t="shared" si="270"/>
        <v>0.23220432000000002</v>
      </c>
      <c r="AI319" s="452">
        <f t="shared" si="271"/>
        <v>283</v>
      </c>
      <c r="AJ319" s="260">
        <f t="shared" si="272"/>
        <v>40216500</v>
      </c>
      <c r="AK319" s="260">
        <f t="shared" si="273"/>
        <v>42152850</v>
      </c>
      <c r="AL319" s="432">
        <f t="shared" si="274"/>
        <v>18</v>
      </c>
      <c r="AM319" s="432">
        <v>1</v>
      </c>
      <c r="AN319" s="261">
        <f t="shared" si="275"/>
        <v>434</v>
      </c>
      <c r="AO319" s="261">
        <f t="shared" si="276"/>
        <v>7812</v>
      </c>
      <c r="AP319" s="452">
        <f t="shared" si="277"/>
        <v>270</v>
      </c>
      <c r="AQ319" s="452">
        <f t="shared" si="278"/>
        <v>13.176000000000002</v>
      </c>
      <c r="AR319" s="452">
        <f t="shared" si="279"/>
        <v>0.23220432000000002</v>
      </c>
      <c r="AS319" s="452">
        <f t="shared" si="280"/>
        <v>283</v>
      </c>
      <c r="AT319" s="262">
        <f t="shared" si="281"/>
        <v>2109240</v>
      </c>
      <c r="AU319" s="262">
        <f t="shared" si="282"/>
        <v>2210796</v>
      </c>
      <c r="AV319" s="431">
        <f t="shared" si="283"/>
        <v>18</v>
      </c>
      <c r="AW319" s="431">
        <v>1</v>
      </c>
      <c r="AX319" s="259">
        <f t="shared" si="284"/>
        <v>173</v>
      </c>
      <c r="AY319" s="259">
        <f t="shared" si="285"/>
        <v>3114</v>
      </c>
      <c r="AZ319" s="452">
        <f t="shared" si="286"/>
        <v>270</v>
      </c>
      <c r="BA319" s="452">
        <f t="shared" si="287"/>
        <v>13.176000000000002</v>
      </c>
      <c r="BB319" s="452">
        <f t="shared" si="288"/>
        <v>0.23220432000000002</v>
      </c>
      <c r="BC319" s="452">
        <f t="shared" si="289"/>
        <v>283</v>
      </c>
      <c r="BD319" s="260">
        <f t="shared" si="290"/>
        <v>840780</v>
      </c>
      <c r="BE319" s="260">
        <f t="shared" si="291"/>
        <v>881262</v>
      </c>
      <c r="BF319" s="397">
        <f t="shared" si="292"/>
        <v>122532750</v>
      </c>
      <c r="BG319" s="397">
        <f t="shared" si="293"/>
        <v>128432475</v>
      </c>
    </row>
    <row r="320" spans="1:59" ht="15.75">
      <c r="A320" s="338">
        <v>24</v>
      </c>
      <c r="B320" s="338" t="str">
        <f t="shared" si="245"/>
        <v>FRUTA_24</v>
      </c>
      <c r="C320" s="338" t="str">
        <f t="shared" si="246"/>
        <v>36_24</v>
      </c>
      <c r="D320" s="338" t="s">
        <v>1</v>
      </c>
      <c r="E320" s="258">
        <v>36</v>
      </c>
      <c r="F320" s="328" t="s">
        <v>1340</v>
      </c>
      <c r="G320" s="258" t="s">
        <v>9</v>
      </c>
      <c r="H320" s="431">
        <f t="shared" si="247"/>
        <v>7</v>
      </c>
      <c r="I320" s="431">
        <f t="array" ref="I320">MAX((IF(MNU_CODIGO_ALIMENTO_ENTREGA=CONCATENATE($E320,"_","P_"),MNU_GRAMAJE_REQUERIDO_TIPOA,"")))</f>
        <v>20</v>
      </c>
      <c r="J320" s="259">
        <f t="shared" si="248"/>
        <v>5949</v>
      </c>
      <c r="K320" s="259">
        <f t="shared" si="249"/>
        <v>41643</v>
      </c>
      <c r="L320" s="452">
        <f t="shared" si="250"/>
        <v>126</v>
      </c>
      <c r="M320" s="452">
        <f t="shared" si="251"/>
        <v>6.1488000000000005</v>
      </c>
      <c r="N320" s="452">
        <f t="shared" si="252"/>
        <v>0.10836201599999999</v>
      </c>
      <c r="O320" s="452">
        <f t="shared" si="253"/>
        <v>132</v>
      </c>
      <c r="P320" s="260">
        <f t="shared" si="254"/>
        <v>5247018</v>
      </c>
      <c r="Q320" s="260">
        <f t="shared" si="255"/>
        <v>5496876</v>
      </c>
      <c r="R320" s="432">
        <f t="shared" si="256"/>
        <v>7</v>
      </c>
      <c r="S320" s="432">
        <f t="array" ref="S320">MAX((IF(MNU_CODIGO_ALIMENTO_ENTREGA=CONCATENATE($E320,"_","P_"),MNU_GRAMAJE_REQUERIDO_TIPOB,"")))</f>
        <v>40</v>
      </c>
      <c r="T320" s="261">
        <f t="shared" si="257"/>
        <v>7407</v>
      </c>
      <c r="U320" s="261">
        <f t="shared" si="258"/>
        <v>51849</v>
      </c>
      <c r="V320" s="452">
        <f t="shared" si="259"/>
        <v>252</v>
      </c>
      <c r="W320" s="452">
        <f t="shared" si="260"/>
        <v>12.297600000000001</v>
      </c>
      <c r="X320" s="452">
        <f t="shared" si="261"/>
        <v>0.21672403199999998</v>
      </c>
      <c r="Y320" s="452">
        <f t="shared" si="262"/>
        <v>265</v>
      </c>
      <c r="Z320" s="262">
        <f t="shared" si="263"/>
        <v>13065948</v>
      </c>
      <c r="AA320" s="262">
        <f t="shared" si="264"/>
        <v>13739985</v>
      </c>
      <c r="AB320" s="431">
        <f t="shared" si="265"/>
        <v>7</v>
      </c>
      <c r="AC320" s="431">
        <f t="array" ref="AC320">MAX((IF(MNU_CODIGO_ALIMENTO_ENTREGA=CONCATENATE($E320,"_","P_"),MNU_GRAMAJE_REQUERIDO_TIPOC,"")))</f>
        <v>40</v>
      </c>
      <c r="AD320" s="259">
        <f t="shared" si="266"/>
        <v>8275</v>
      </c>
      <c r="AE320" s="259">
        <f t="shared" si="267"/>
        <v>57925</v>
      </c>
      <c r="AF320" s="452">
        <f t="shared" si="268"/>
        <v>252</v>
      </c>
      <c r="AG320" s="452">
        <f t="shared" si="269"/>
        <v>12.297600000000001</v>
      </c>
      <c r="AH320" s="452">
        <f t="shared" si="270"/>
        <v>0.21672403199999998</v>
      </c>
      <c r="AI320" s="452">
        <f t="shared" si="271"/>
        <v>265</v>
      </c>
      <c r="AJ320" s="260">
        <f t="shared" si="272"/>
        <v>14597100</v>
      </c>
      <c r="AK320" s="260">
        <f t="shared" si="273"/>
        <v>15350125</v>
      </c>
      <c r="AL320" s="432">
        <f t="shared" si="274"/>
        <v>7</v>
      </c>
      <c r="AM320" s="432">
        <f t="array" ref="AM320">MAX((IF(MNU_CODIGO_ALIMENTO_ENTREGA=CONCATENATE($E320,"_","P_"),MNU_GRAMAJE_REQUERIDO_TIPOM,"")))</f>
        <v>40</v>
      </c>
      <c r="AN320" s="261">
        <f t="shared" si="275"/>
        <v>434</v>
      </c>
      <c r="AO320" s="261">
        <f t="shared" si="276"/>
        <v>3038</v>
      </c>
      <c r="AP320" s="452">
        <f t="shared" si="277"/>
        <v>252</v>
      </c>
      <c r="AQ320" s="452">
        <f t="shared" si="278"/>
        <v>12.297600000000001</v>
      </c>
      <c r="AR320" s="452">
        <f t="shared" si="279"/>
        <v>0.21672403199999998</v>
      </c>
      <c r="AS320" s="452">
        <f t="shared" si="280"/>
        <v>265</v>
      </c>
      <c r="AT320" s="262">
        <f t="shared" si="281"/>
        <v>765576</v>
      </c>
      <c r="AU320" s="262">
        <f t="shared" si="282"/>
        <v>805070</v>
      </c>
      <c r="AV320" s="431">
        <f t="shared" si="283"/>
        <v>7</v>
      </c>
      <c r="AW320" s="431">
        <f t="array" ref="AW320">MAX((IF(MNU_CODIGO_ALIMENTO_ENTREGA=CONCATENATE($E320,"_","P_"),MNU_GRAMAJE_REQUERIDO_TIPOH,"")))</f>
        <v>40</v>
      </c>
      <c r="AX320" s="259">
        <f t="shared" si="284"/>
        <v>173</v>
      </c>
      <c r="AY320" s="259">
        <f t="shared" si="285"/>
        <v>1211</v>
      </c>
      <c r="AZ320" s="452">
        <f t="shared" si="286"/>
        <v>252</v>
      </c>
      <c r="BA320" s="452">
        <f t="shared" si="287"/>
        <v>12.297600000000001</v>
      </c>
      <c r="BB320" s="452">
        <f t="shared" si="288"/>
        <v>0.21672403199999998</v>
      </c>
      <c r="BC320" s="452">
        <f t="shared" si="289"/>
        <v>265</v>
      </c>
      <c r="BD320" s="260">
        <f t="shared" si="290"/>
        <v>305172</v>
      </c>
      <c r="BE320" s="260">
        <f t="shared" si="291"/>
        <v>320915</v>
      </c>
      <c r="BF320" s="397">
        <f t="shared" si="292"/>
        <v>33980814</v>
      </c>
      <c r="BG320" s="397">
        <f t="shared" si="293"/>
        <v>35712971</v>
      </c>
    </row>
    <row r="321" spans="1:59" ht="15.75">
      <c r="A321" s="338">
        <v>24</v>
      </c>
      <c r="B321" s="338" t="str">
        <f t="shared" si="245"/>
        <v>FRUTA_24</v>
      </c>
      <c r="C321" s="338" t="str">
        <f t="shared" si="246"/>
        <v>42_24</v>
      </c>
      <c r="D321" s="338" t="s">
        <v>1</v>
      </c>
      <c r="E321" s="258">
        <v>42</v>
      </c>
      <c r="F321" s="328" t="s">
        <v>61</v>
      </c>
      <c r="G321" s="258" t="s">
        <v>9</v>
      </c>
      <c r="H321" s="431">
        <f t="shared" si="247"/>
        <v>23</v>
      </c>
      <c r="I321" s="431">
        <f t="array" ref="I321">MAX((IF(MNU_CODIGO_ALIMENTO_ENTREGA=CONCATENATE($E321,"_","P_"),MNU_GRAMAJE_REQUERIDO_TIPOA,"")))</f>
        <v>100</v>
      </c>
      <c r="J321" s="259">
        <f t="shared" si="248"/>
        <v>5949</v>
      </c>
      <c r="K321" s="259">
        <f t="shared" si="249"/>
        <v>136827</v>
      </c>
      <c r="L321" s="452">
        <f t="shared" si="250"/>
        <v>194</v>
      </c>
      <c r="M321" s="452">
        <f t="shared" si="251"/>
        <v>9.4672000000000001</v>
      </c>
      <c r="N321" s="452">
        <f t="shared" si="252"/>
        <v>0.16684310399999999</v>
      </c>
      <c r="O321" s="452">
        <f t="shared" si="253"/>
        <v>204</v>
      </c>
      <c r="P321" s="260">
        <f t="shared" si="254"/>
        <v>26544438</v>
      </c>
      <c r="Q321" s="260">
        <f t="shared" si="255"/>
        <v>27912708</v>
      </c>
      <c r="R321" s="432">
        <f t="shared" si="256"/>
        <v>19</v>
      </c>
      <c r="S321" s="432">
        <f t="array" ref="S321">MAX((IF(MNU_CODIGO_ALIMENTO_ENTREGA=CONCATENATE($E321,"_","P_"),MNU_GRAMAJE_REQUERIDO_TIPOB,"")))</f>
        <v>100</v>
      </c>
      <c r="T321" s="261">
        <f t="shared" si="257"/>
        <v>7407</v>
      </c>
      <c r="U321" s="261">
        <f t="shared" si="258"/>
        <v>140733</v>
      </c>
      <c r="V321" s="452">
        <f t="shared" si="259"/>
        <v>194</v>
      </c>
      <c r="W321" s="452">
        <f t="shared" si="260"/>
        <v>9.4672000000000001</v>
      </c>
      <c r="X321" s="452">
        <f t="shared" si="261"/>
        <v>0.16684310399999999</v>
      </c>
      <c r="Y321" s="452">
        <f t="shared" si="262"/>
        <v>204</v>
      </c>
      <c r="Z321" s="262">
        <f t="shared" si="263"/>
        <v>27302202</v>
      </c>
      <c r="AA321" s="262">
        <f t="shared" si="264"/>
        <v>28709532</v>
      </c>
      <c r="AB321" s="431">
        <f t="shared" si="265"/>
        <v>19</v>
      </c>
      <c r="AC321" s="431">
        <f t="array" ref="AC321">MAX((IF(MNU_CODIGO_ALIMENTO_ENTREGA=CONCATENATE($E321,"_","P_"),MNU_GRAMAJE_REQUERIDO_TIPOC,"")))</f>
        <v>100</v>
      </c>
      <c r="AD321" s="259">
        <f t="shared" si="266"/>
        <v>8275</v>
      </c>
      <c r="AE321" s="259">
        <f t="shared" si="267"/>
        <v>157225</v>
      </c>
      <c r="AF321" s="452">
        <f t="shared" si="268"/>
        <v>194</v>
      </c>
      <c r="AG321" s="452">
        <f t="shared" si="269"/>
        <v>9.4672000000000001</v>
      </c>
      <c r="AH321" s="452">
        <f t="shared" si="270"/>
        <v>0.16684310399999999</v>
      </c>
      <c r="AI321" s="452">
        <f t="shared" si="271"/>
        <v>204</v>
      </c>
      <c r="AJ321" s="260">
        <f t="shared" si="272"/>
        <v>30501650</v>
      </c>
      <c r="AK321" s="260">
        <f t="shared" si="273"/>
        <v>32073900</v>
      </c>
      <c r="AL321" s="432">
        <f t="shared" si="274"/>
        <v>19</v>
      </c>
      <c r="AM321" s="432">
        <f t="array" ref="AM321">MAX((IF(MNU_CODIGO_ALIMENTO_ENTREGA=CONCATENATE($E321,"_","P_"),MNU_GRAMAJE_REQUERIDO_TIPOM,"")))</f>
        <v>100</v>
      </c>
      <c r="AN321" s="261">
        <f t="shared" si="275"/>
        <v>434</v>
      </c>
      <c r="AO321" s="261">
        <f t="shared" si="276"/>
        <v>8246</v>
      </c>
      <c r="AP321" s="452">
        <f t="shared" si="277"/>
        <v>194</v>
      </c>
      <c r="AQ321" s="452">
        <f t="shared" si="278"/>
        <v>9.4672000000000001</v>
      </c>
      <c r="AR321" s="452">
        <f t="shared" si="279"/>
        <v>0.16684310399999999</v>
      </c>
      <c r="AS321" s="452">
        <f t="shared" si="280"/>
        <v>204</v>
      </c>
      <c r="AT321" s="262">
        <f t="shared" si="281"/>
        <v>1599724</v>
      </c>
      <c r="AU321" s="262">
        <f t="shared" si="282"/>
        <v>1682184</v>
      </c>
      <c r="AV321" s="431">
        <f t="shared" si="283"/>
        <v>19</v>
      </c>
      <c r="AW321" s="431">
        <f t="array" ref="AW321">MAX((IF(MNU_CODIGO_ALIMENTO_ENTREGA=CONCATENATE($E321,"_","P_"),MNU_GRAMAJE_REQUERIDO_TIPOH,"")))</f>
        <v>100</v>
      </c>
      <c r="AX321" s="259">
        <f t="shared" si="284"/>
        <v>173</v>
      </c>
      <c r="AY321" s="259">
        <f t="shared" si="285"/>
        <v>3287</v>
      </c>
      <c r="AZ321" s="452">
        <f t="shared" si="286"/>
        <v>194</v>
      </c>
      <c r="BA321" s="452">
        <f t="shared" si="287"/>
        <v>9.4672000000000001</v>
      </c>
      <c r="BB321" s="452">
        <f t="shared" si="288"/>
        <v>0.16684310399999999</v>
      </c>
      <c r="BC321" s="452">
        <f t="shared" si="289"/>
        <v>204</v>
      </c>
      <c r="BD321" s="260">
        <f t="shared" si="290"/>
        <v>637678</v>
      </c>
      <c r="BE321" s="260">
        <f t="shared" si="291"/>
        <v>670548</v>
      </c>
      <c r="BF321" s="397">
        <f t="shared" si="292"/>
        <v>86585692</v>
      </c>
      <c r="BG321" s="397">
        <f t="shared" si="293"/>
        <v>91048872</v>
      </c>
    </row>
    <row r="322" spans="1:59" ht="15.75">
      <c r="A322" s="338">
        <v>24</v>
      </c>
      <c r="B322" s="338" t="str">
        <f t="shared" si="245"/>
        <v>FRUTA_24</v>
      </c>
      <c r="C322" s="338" t="str">
        <f t="shared" si="246"/>
        <v>43_24</v>
      </c>
      <c r="D322" s="338" t="s">
        <v>1</v>
      </c>
      <c r="E322" s="258">
        <v>43</v>
      </c>
      <c r="F322" s="328" t="s">
        <v>62</v>
      </c>
      <c r="G322" s="258" t="s">
        <v>9</v>
      </c>
      <c r="H322" s="431">
        <f t="shared" si="247"/>
        <v>24</v>
      </c>
      <c r="I322" s="431">
        <f t="array" ref="I322">MAX((IF(MNU_CODIGO_ALIMENTO_ENTREGA=CONCATENATE($E322,"_","P_"),MNU_GRAMAJE_REQUERIDO_TIPOA,"")))</f>
        <v>100</v>
      </c>
      <c r="J322" s="259">
        <f t="shared" si="248"/>
        <v>5949</v>
      </c>
      <c r="K322" s="259">
        <f t="shared" si="249"/>
        <v>142776</v>
      </c>
      <c r="L322" s="452">
        <f t="shared" si="250"/>
        <v>170</v>
      </c>
      <c r="M322" s="452">
        <f t="shared" si="251"/>
        <v>8.2959999999999994</v>
      </c>
      <c r="N322" s="452">
        <f t="shared" si="252"/>
        <v>0.14620272000000001</v>
      </c>
      <c r="O322" s="452">
        <f t="shared" si="253"/>
        <v>178</v>
      </c>
      <c r="P322" s="260">
        <f t="shared" si="254"/>
        <v>24271920</v>
      </c>
      <c r="Q322" s="260">
        <f t="shared" si="255"/>
        <v>25414128</v>
      </c>
      <c r="R322" s="432">
        <f t="shared" si="256"/>
        <v>17</v>
      </c>
      <c r="S322" s="432">
        <f t="array" ref="S322">MAX((IF(MNU_CODIGO_ALIMENTO_ENTREGA=CONCATENATE($E322,"_","P_"),MNU_GRAMAJE_REQUERIDO_TIPOB,"")))</f>
        <v>100</v>
      </c>
      <c r="T322" s="261">
        <f t="shared" si="257"/>
        <v>7407</v>
      </c>
      <c r="U322" s="261">
        <f t="shared" si="258"/>
        <v>125919</v>
      </c>
      <c r="V322" s="452">
        <f t="shared" si="259"/>
        <v>170</v>
      </c>
      <c r="W322" s="452">
        <f t="shared" si="260"/>
        <v>8.2959999999999994</v>
      </c>
      <c r="X322" s="452">
        <f t="shared" si="261"/>
        <v>0.14620272000000001</v>
      </c>
      <c r="Y322" s="452">
        <f t="shared" si="262"/>
        <v>178</v>
      </c>
      <c r="Z322" s="262">
        <f t="shared" si="263"/>
        <v>21406230</v>
      </c>
      <c r="AA322" s="262">
        <f t="shared" si="264"/>
        <v>22413582</v>
      </c>
      <c r="AB322" s="431">
        <f t="shared" si="265"/>
        <v>17</v>
      </c>
      <c r="AC322" s="431">
        <f t="array" ref="AC322">MAX((IF(MNU_CODIGO_ALIMENTO_ENTREGA=CONCATENATE($E322,"_","P_"),MNU_GRAMAJE_REQUERIDO_TIPOC,"")))</f>
        <v>100</v>
      </c>
      <c r="AD322" s="259">
        <f t="shared" si="266"/>
        <v>8275</v>
      </c>
      <c r="AE322" s="259">
        <f t="shared" si="267"/>
        <v>140675</v>
      </c>
      <c r="AF322" s="452">
        <f t="shared" si="268"/>
        <v>170</v>
      </c>
      <c r="AG322" s="452">
        <f t="shared" si="269"/>
        <v>8.2959999999999994</v>
      </c>
      <c r="AH322" s="452">
        <f t="shared" si="270"/>
        <v>0.14620272000000001</v>
      </c>
      <c r="AI322" s="452">
        <f t="shared" si="271"/>
        <v>178</v>
      </c>
      <c r="AJ322" s="260">
        <f t="shared" si="272"/>
        <v>23914750</v>
      </c>
      <c r="AK322" s="260">
        <f t="shared" si="273"/>
        <v>25040150</v>
      </c>
      <c r="AL322" s="432">
        <f t="shared" si="274"/>
        <v>17</v>
      </c>
      <c r="AM322" s="432">
        <f t="array" ref="AM322">MAX((IF(MNU_CODIGO_ALIMENTO_ENTREGA=CONCATENATE($E322,"_","P_"),MNU_GRAMAJE_REQUERIDO_TIPOM,"")))</f>
        <v>100</v>
      </c>
      <c r="AN322" s="261">
        <f t="shared" si="275"/>
        <v>434</v>
      </c>
      <c r="AO322" s="261">
        <f t="shared" si="276"/>
        <v>7378</v>
      </c>
      <c r="AP322" s="452">
        <f t="shared" si="277"/>
        <v>170</v>
      </c>
      <c r="AQ322" s="452">
        <f t="shared" si="278"/>
        <v>8.2959999999999994</v>
      </c>
      <c r="AR322" s="452">
        <f t="shared" si="279"/>
        <v>0.14620272000000001</v>
      </c>
      <c r="AS322" s="452">
        <f t="shared" si="280"/>
        <v>178</v>
      </c>
      <c r="AT322" s="262">
        <f t="shared" si="281"/>
        <v>1254260</v>
      </c>
      <c r="AU322" s="262">
        <f t="shared" si="282"/>
        <v>1313284</v>
      </c>
      <c r="AV322" s="431">
        <f t="shared" si="283"/>
        <v>17</v>
      </c>
      <c r="AW322" s="431">
        <f t="array" ref="AW322">MAX((IF(MNU_CODIGO_ALIMENTO_ENTREGA=CONCATENATE($E322,"_","P_"),MNU_GRAMAJE_REQUERIDO_TIPOH,"")))</f>
        <v>100</v>
      </c>
      <c r="AX322" s="259">
        <f t="shared" si="284"/>
        <v>173</v>
      </c>
      <c r="AY322" s="259">
        <f t="shared" si="285"/>
        <v>2941</v>
      </c>
      <c r="AZ322" s="452">
        <f t="shared" si="286"/>
        <v>170</v>
      </c>
      <c r="BA322" s="452">
        <f t="shared" si="287"/>
        <v>8.2959999999999994</v>
      </c>
      <c r="BB322" s="452">
        <f t="shared" si="288"/>
        <v>0.14620272000000001</v>
      </c>
      <c r="BC322" s="452">
        <f t="shared" si="289"/>
        <v>178</v>
      </c>
      <c r="BD322" s="260">
        <f t="shared" si="290"/>
        <v>499970</v>
      </c>
      <c r="BE322" s="260">
        <f t="shared" si="291"/>
        <v>523498</v>
      </c>
      <c r="BF322" s="397">
        <f t="shared" si="292"/>
        <v>71347130</v>
      </c>
      <c r="BG322" s="397">
        <f t="shared" si="293"/>
        <v>74704642</v>
      </c>
    </row>
    <row r="323" spans="1:59" ht="15.75">
      <c r="A323" s="338">
        <v>24</v>
      </c>
      <c r="B323" s="338" t="str">
        <f t="shared" si="245"/>
        <v>FRUTA_24</v>
      </c>
      <c r="C323" s="338" t="str">
        <f t="shared" si="246"/>
        <v>46_24</v>
      </c>
      <c r="D323" s="338" t="s">
        <v>1</v>
      </c>
      <c r="E323" s="258">
        <v>46</v>
      </c>
      <c r="F323" s="328" t="s">
        <v>64</v>
      </c>
      <c r="G323" s="258" t="s">
        <v>9</v>
      </c>
      <c r="H323" s="431">
        <f t="shared" si="247"/>
        <v>30</v>
      </c>
      <c r="I323" s="431">
        <f t="array" ref="I323">MAX((IF(MNU_CODIGO_ALIMENTO_ENTREGA=CONCATENATE($E323,"_","P_"),MNU_GRAMAJE_REQUERIDO_TIPOA,"")))</f>
        <v>100</v>
      </c>
      <c r="J323" s="259">
        <f t="shared" si="248"/>
        <v>5949</v>
      </c>
      <c r="K323" s="259">
        <f t="shared" si="249"/>
        <v>178470</v>
      </c>
      <c r="L323" s="452">
        <f t="shared" si="250"/>
        <v>398</v>
      </c>
      <c r="M323" s="452">
        <f t="shared" si="251"/>
        <v>19.4224</v>
      </c>
      <c r="N323" s="452">
        <f t="shared" si="252"/>
        <v>0.34228636800000001</v>
      </c>
      <c r="O323" s="452">
        <f t="shared" si="253"/>
        <v>418</v>
      </c>
      <c r="P323" s="260">
        <f t="shared" si="254"/>
        <v>71031060</v>
      </c>
      <c r="Q323" s="260">
        <f t="shared" si="255"/>
        <v>74600460</v>
      </c>
      <c r="R323" s="432">
        <f t="shared" si="256"/>
        <v>21</v>
      </c>
      <c r="S323" s="432">
        <f t="array" ref="S323">MAX((IF(MNU_CODIGO_ALIMENTO_ENTREGA=CONCATENATE($E323,"_","P_"),MNU_GRAMAJE_REQUERIDO_TIPOB,"")))</f>
        <v>100</v>
      </c>
      <c r="T323" s="261">
        <f t="shared" si="257"/>
        <v>7407</v>
      </c>
      <c r="U323" s="261">
        <f t="shared" si="258"/>
        <v>155547</v>
      </c>
      <c r="V323" s="452">
        <f t="shared" si="259"/>
        <v>398</v>
      </c>
      <c r="W323" s="452">
        <f t="shared" si="260"/>
        <v>19.4224</v>
      </c>
      <c r="X323" s="452">
        <f t="shared" si="261"/>
        <v>0.34228636800000001</v>
      </c>
      <c r="Y323" s="452">
        <f t="shared" si="262"/>
        <v>418</v>
      </c>
      <c r="Z323" s="262">
        <f t="shared" si="263"/>
        <v>61907706</v>
      </c>
      <c r="AA323" s="262">
        <f t="shared" si="264"/>
        <v>65018646</v>
      </c>
      <c r="AB323" s="431">
        <f t="shared" si="265"/>
        <v>21</v>
      </c>
      <c r="AC323" s="431">
        <f t="array" ref="AC323">MAX((IF(MNU_CODIGO_ALIMENTO_ENTREGA=CONCATENATE($E323,"_","P_"),MNU_GRAMAJE_REQUERIDO_TIPOC,"")))</f>
        <v>100</v>
      </c>
      <c r="AD323" s="259">
        <f t="shared" si="266"/>
        <v>8275</v>
      </c>
      <c r="AE323" s="259">
        <f t="shared" si="267"/>
        <v>173775</v>
      </c>
      <c r="AF323" s="452">
        <f t="shared" si="268"/>
        <v>398</v>
      </c>
      <c r="AG323" s="452">
        <f t="shared" si="269"/>
        <v>19.4224</v>
      </c>
      <c r="AH323" s="452">
        <f t="shared" si="270"/>
        <v>0.34228636800000001</v>
      </c>
      <c r="AI323" s="452">
        <f t="shared" si="271"/>
        <v>418</v>
      </c>
      <c r="AJ323" s="260">
        <f t="shared" si="272"/>
        <v>69162450</v>
      </c>
      <c r="AK323" s="260">
        <f t="shared" si="273"/>
        <v>72637950</v>
      </c>
      <c r="AL323" s="432">
        <f t="shared" si="274"/>
        <v>21</v>
      </c>
      <c r="AM323" s="432">
        <f t="array" ref="AM323">MAX((IF(MNU_CODIGO_ALIMENTO_ENTREGA=CONCATENATE($E323,"_","P_"),MNU_GRAMAJE_REQUERIDO_TIPOM,"")))</f>
        <v>100</v>
      </c>
      <c r="AN323" s="261">
        <f t="shared" si="275"/>
        <v>434</v>
      </c>
      <c r="AO323" s="261">
        <f t="shared" si="276"/>
        <v>9114</v>
      </c>
      <c r="AP323" s="452">
        <f t="shared" si="277"/>
        <v>398</v>
      </c>
      <c r="AQ323" s="452">
        <f t="shared" si="278"/>
        <v>19.4224</v>
      </c>
      <c r="AR323" s="452">
        <f t="shared" si="279"/>
        <v>0.34228636800000001</v>
      </c>
      <c r="AS323" s="452">
        <f t="shared" si="280"/>
        <v>418</v>
      </c>
      <c r="AT323" s="262">
        <f t="shared" si="281"/>
        <v>3627372</v>
      </c>
      <c r="AU323" s="262">
        <f t="shared" si="282"/>
        <v>3809652</v>
      </c>
      <c r="AV323" s="431">
        <f t="shared" si="283"/>
        <v>21</v>
      </c>
      <c r="AW323" s="431">
        <f t="array" ref="AW323">MAX((IF(MNU_CODIGO_ALIMENTO_ENTREGA=CONCATENATE($E323,"_","P_"),MNU_GRAMAJE_REQUERIDO_TIPOH,"")))</f>
        <v>100</v>
      </c>
      <c r="AX323" s="259">
        <f t="shared" si="284"/>
        <v>173</v>
      </c>
      <c r="AY323" s="259">
        <f t="shared" si="285"/>
        <v>3633</v>
      </c>
      <c r="AZ323" s="452">
        <f t="shared" si="286"/>
        <v>398</v>
      </c>
      <c r="BA323" s="452">
        <f t="shared" si="287"/>
        <v>19.4224</v>
      </c>
      <c r="BB323" s="452">
        <f t="shared" si="288"/>
        <v>0.34228636800000001</v>
      </c>
      <c r="BC323" s="452">
        <f t="shared" si="289"/>
        <v>418</v>
      </c>
      <c r="BD323" s="260">
        <f t="shared" si="290"/>
        <v>1445934</v>
      </c>
      <c r="BE323" s="260">
        <f t="shared" si="291"/>
        <v>1518594</v>
      </c>
      <c r="BF323" s="397">
        <f t="shared" si="292"/>
        <v>207174522</v>
      </c>
      <c r="BG323" s="397">
        <f t="shared" si="293"/>
        <v>217585302</v>
      </c>
    </row>
    <row r="324" spans="1:59" ht="15.75">
      <c r="A324" s="338">
        <v>24</v>
      </c>
      <c r="B324" s="338" t="str">
        <f t="shared" si="245"/>
        <v>FRUTA_24</v>
      </c>
      <c r="C324" s="338" t="str">
        <f t="shared" si="246"/>
        <v>58_24</v>
      </c>
      <c r="D324" s="338" t="s">
        <v>1</v>
      </c>
      <c r="E324" s="258">
        <v>58</v>
      </c>
      <c r="F324" s="328" t="s">
        <v>67</v>
      </c>
      <c r="G324" s="258" t="s">
        <v>9</v>
      </c>
      <c r="H324" s="431">
        <f t="shared" si="247"/>
        <v>24</v>
      </c>
      <c r="I324" s="431">
        <f t="array" ref="I324">MAX((IF(MNU_CODIGO_ALIMENTO_ENTREGA=CONCATENATE($E324,"_","P_"),MNU_GRAMAJE_REQUERIDO_TIPOA,"")))</f>
        <v>100</v>
      </c>
      <c r="J324" s="259">
        <f t="shared" si="248"/>
        <v>5949</v>
      </c>
      <c r="K324" s="259">
        <f t="shared" si="249"/>
        <v>142776</v>
      </c>
      <c r="L324" s="452">
        <f t="shared" si="250"/>
        <v>154</v>
      </c>
      <c r="M324" s="452">
        <f t="shared" si="251"/>
        <v>7.515200000000001</v>
      </c>
      <c r="N324" s="452">
        <f t="shared" si="252"/>
        <v>0.13244246400000001</v>
      </c>
      <c r="O324" s="452">
        <f t="shared" si="253"/>
        <v>162</v>
      </c>
      <c r="P324" s="260">
        <f t="shared" si="254"/>
        <v>21987504</v>
      </c>
      <c r="Q324" s="260">
        <f t="shared" si="255"/>
        <v>23129712</v>
      </c>
      <c r="R324" s="432">
        <f t="shared" si="256"/>
        <v>23</v>
      </c>
      <c r="S324" s="432">
        <f t="array" ref="S324">MAX((IF(MNU_CODIGO_ALIMENTO_ENTREGA=CONCATENATE($E324,"_","P_"),MNU_GRAMAJE_REQUERIDO_TIPOB,"")))</f>
        <v>100</v>
      </c>
      <c r="T324" s="261">
        <f t="shared" si="257"/>
        <v>7407</v>
      </c>
      <c r="U324" s="261">
        <f t="shared" si="258"/>
        <v>170361</v>
      </c>
      <c r="V324" s="452">
        <f t="shared" si="259"/>
        <v>154</v>
      </c>
      <c r="W324" s="452">
        <f t="shared" si="260"/>
        <v>7.515200000000001</v>
      </c>
      <c r="X324" s="452">
        <f t="shared" si="261"/>
        <v>0.13244246400000001</v>
      </c>
      <c r="Y324" s="452">
        <f t="shared" si="262"/>
        <v>162</v>
      </c>
      <c r="Z324" s="262">
        <f t="shared" si="263"/>
        <v>26235594</v>
      </c>
      <c r="AA324" s="262">
        <f t="shared" si="264"/>
        <v>27598482</v>
      </c>
      <c r="AB324" s="431">
        <f t="shared" si="265"/>
        <v>23</v>
      </c>
      <c r="AC324" s="431">
        <f t="array" ref="AC324">MAX((IF(MNU_CODIGO_ALIMENTO_ENTREGA=CONCATENATE($E324,"_","P_"),MNU_GRAMAJE_REQUERIDO_TIPOC,"")))</f>
        <v>100</v>
      </c>
      <c r="AD324" s="259">
        <f t="shared" si="266"/>
        <v>8275</v>
      </c>
      <c r="AE324" s="259">
        <f t="shared" si="267"/>
        <v>190325</v>
      </c>
      <c r="AF324" s="452">
        <f t="shared" si="268"/>
        <v>154</v>
      </c>
      <c r="AG324" s="452">
        <f t="shared" si="269"/>
        <v>7.515200000000001</v>
      </c>
      <c r="AH324" s="452">
        <f t="shared" si="270"/>
        <v>0.13244246400000001</v>
      </c>
      <c r="AI324" s="452">
        <f t="shared" si="271"/>
        <v>162</v>
      </c>
      <c r="AJ324" s="260">
        <f t="shared" si="272"/>
        <v>29310050</v>
      </c>
      <c r="AK324" s="260">
        <f t="shared" si="273"/>
        <v>30832650</v>
      </c>
      <c r="AL324" s="432">
        <f t="shared" si="274"/>
        <v>23</v>
      </c>
      <c r="AM324" s="432">
        <f t="array" ref="AM324">MAX((IF(MNU_CODIGO_ALIMENTO_ENTREGA=CONCATENATE($E324,"_","P_"),MNU_GRAMAJE_REQUERIDO_TIPOM,"")))</f>
        <v>100</v>
      </c>
      <c r="AN324" s="261">
        <f t="shared" si="275"/>
        <v>434</v>
      </c>
      <c r="AO324" s="261">
        <f t="shared" si="276"/>
        <v>9982</v>
      </c>
      <c r="AP324" s="452">
        <f t="shared" si="277"/>
        <v>154</v>
      </c>
      <c r="AQ324" s="452">
        <f t="shared" si="278"/>
        <v>7.515200000000001</v>
      </c>
      <c r="AR324" s="452">
        <f t="shared" si="279"/>
        <v>0.13244246400000001</v>
      </c>
      <c r="AS324" s="452">
        <f t="shared" si="280"/>
        <v>162</v>
      </c>
      <c r="AT324" s="262">
        <f t="shared" si="281"/>
        <v>1537228</v>
      </c>
      <c r="AU324" s="262">
        <f t="shared" si="282"/>
        <v>1617084</v>
      </c>
      <c r="AV324" s="431">
        <f t="shared" si="283"/>
        <v>23</v>
      </c>
      <c r="AW324" s="431">
        <f t="array" ref="AW324">MAX((IF(MNU_CODIGO_ALIMENTO_ENTREGA=CONCATENATE($E324,"_","P_"),MNU_GRAMAJE_REQUERIDO_TIPOH,"")))</f>
        <v>100</v>
      </c>
      <c r="AX324" s="259">
        <f t="shared" si="284"/>
        <v>173</v>
      </c>
      <c r="AY324" s="259">
        <f t="shared" si="285"/>
        <v>3979</v>
      </c>
      <c r="AZ324" s="452">
        <f t="shared" si="286"/>
        <v>154</v>
      </c>
      <c r="BA324" s="452">
        <f t="shared" si="287"/>
        <v>7.515200000000001</v>
      </c>
      <c r="BB324" s="452">
        <f t="shared" si="288"/>
        <v>0.13244246400000001</v>
      </c>
      <c r="BC324" s="452">
        <f t="shared" si="289"/>
        <v>162</v>
      </c>
      <c r="BD324" s="260">
        <f t="shared" si="290"/>
        <v>612766</v>
      </c>
      <c r="BE324" s="260">
        <f t="shared" si="291"/>
        <v>644598</v>
      </c>
      <c r="BF324" s="397">
        <f t="shared" si="292"/>
        <v>79683142</v>
      </c>
      <c r="BG324" s="397">
        <f t="shared" si="293"/>
        <v>83822526</v>
      </c>
    </row>
    <row r="325" spans="1:59" ht="15.75">
      <c r="A325" s="338">
        <v>24</v>
      </c>
      <c r="B325" s="338" t="str">
        <f t="shared" si="245"/>
        <v>FRUTA_24</v>
      </c>
      <c r="C325" s="338" t="str">
        <f t="shared" si="246"/>
        <v>59_24</v>
      </c>
      <c r="D325" s="338" t="s">
        <v>1</v>
      </c>
      <c r="E325" s="258">
        <v>59</v>
      </c>
      <c r="F325" s="328" t="s">
        <v>99</v>
      </c>
      <c r="G325" s="258" t="s">
        <v>9</v>
      </c>
      <c r="H325" s="431">
        <f t="shared" si="247"/>
        <v>0</v>
      </c>
      <c r="I325" s="431">
        <f t="array" ref="I325">MAX((IF(MNU_CODIGO_ALIMENTO_ENTREGA=CONCATENATE($E325,"_","P_"),MNU_GRAMAJE_REQUERIDO_TIPOA,"")))</f>
        <v>0</v>
      </c>
      <c r="J325" s="259">
        <f t="shared" si="248"/>
        <v>5949</v>
      </c>
      <c r="K325" s="259">
        <f t="shared" si="249"/>
        <v>0</v>
      </c>
      <c r="L325" s="452">
        <f t="shared" si="250"/>
        <v>0</v>
      </c>
      <c r="M325" s="452">
        <f t="shared" si="251"/>
        <v>0</v>
      </c>
      <c r="N325" s="452">
        <f t="shared" si="252"/>
        <v>0</v>
      </c>
      <c r="O325" s="452">
        <f t="shared" si="253"/>
        <v>0</v>
      </c>
      <c r="P325" s="260">
        <f t="shared" si="254"/>
        <v>0</v>
      </c>
      <c r="Q325" s="260">
        <f t="shared" si="255"/>
        <v>0</v>
      </c>
      <c r="R325" s="432">
        <f t="shared" si="256"/>
        <v>8</v>
      </c>
      <c r="S325" s="432">
        <f t="array" ref="S325">MAX((IF(MNU_CODIGO_ALIMENTO_ENTREGA=CONCATENATE($E325,"_","P_"),MNU_GRAMAJE_REQUERIDO_TIPOB,"")))</f>
        <v>100</v>
      </c>
      <c r="T325" s="261">
        <f t="shared" si="257"/>
        <v>7407</v>
      </c>
      <c r="U325" s="261">
        <f t="shared" si="258"/>
        <v>59256</v>
      </c>
      <c r="V325" s="452">
        <f t="shared" si="259"/>
        <v>286</v>
      </c>
      <c r="W325" s="452">
        <f t="shared" si="260"/>
        <v>13.956800000000001</v>
      </c>
      <c r="X325" s="452">
        <f t="shared" si="261"/>
        <v>0.24596457599999999</v>
      </c>
      <c r="Y325" s="452">
        <f t="shared" si="262"/>
        <v>300</v>
      </c>
      <c r="Z325" s="262">
        <f t="shared" si="263"/>
        <v>16947216</v>
      </c>
      <c r="AA325" s="262">
        <f t="shared" si="264"/>
        <v>17776800</v>
      </c>
      <c r="AB325" s="431">
        <f t="shared" si="265"/>
        <v>8</v>
      </c>
      <c r="AC325" s="431">
        <f t="array" ref="AC325">MAX((IF(MNU_CODIGO_ALIMENTO_ENTREGA=CONCATENATE($E325,"_","P_"),MNU_GRAMAJE_REQUERIDO_TIPOC,"")))</f>
        <v>100</v>
      </c>
      <c r="AD325" s="259">
        <f t="shared" si="266"/>
        <v>8275</v>
      </c>
      <c r="AE325" s="259">
        <f t="shared" si="267"/>
        <v>66200</v>
      </c>
      <c r="AF325" s="452">
        <f t="shared" si="268"/>
        <v>286</v>
      </c>
      <c r="AG325" s="452">
        <f t="shared" si="269"/>
        <v>13.956800000000001</v>
      </c>
      <c r="AH325" s="452">
        <f t="shared" si="270"/>
        <v>0.24596457599999999</v>
      </c>
      <c r="AI325" s="452">
        <f t="shared" si="271"/>
        <v>300</v>
      </c>
      <c r="AJ325" s="260">
        <f t="shared" si="272"/>
        <v>18933200</v>
      </c>
      <c r="AK325" s="260">
        <f t="shared" si="273"/>
        <v>19860000</v>
      </c>
      <c r="AL325" s="432">
        <f t="shared" si="274"/>
        <v>8</v>
      </c>
      <c r="AM325" s="432">
        <f t="array" ref="AM325">MAX((IF(MNU_CODIGO_ALIMENTO_ENTREGA=CONCATENATE($E325,"_","P_"),MNU_GRAMAJE_REQUERIDO_TIPOM,"")))</f>
        <v>100</v>
      </c>
      <c r="AN325" s="261">
        <f t="shared" si="275"/>
        <v>434</v>
      </c>
      <c r="AO325" s="261">
        <f t="shared" si="276"/>
        <v>3472</v>
      </c>
      <c r="AP325" s="452">
        <f t="shared" si="277"/>
        <v>286</v>
      </c>
      <c r="AQ325" s="452">
        <f t="shared" si="278"/>
        <v>13.956800000000001</v>
      </c>
      <c r="AR325" s="452">
        <f t="shared" si="279"/>
        <v>0.24596457599999999</v>
      </c>
      <c r="AS325" s="452">
        <f t="shared" si="280"/>
        <v>300</v>
      </c>
      <c r="AT325" s="262">
        <f t="shared" si="281"/>
        <v>992992</v>
      </c>
      <c r="AU325" s="262">
        <f t="shared" si="282"/>
        <v>1041600</v>
      </c>
      <c r="AV325" s="431">
        <f t="shared" si="283"/>
        <v>8</v>
      </c>
      <c r="AW325" s="431">
        <f t="array" ref="AW325">MAX((IF(MNU_CODIGO_ALIMENTO_ENTREGA=CONCATENATE($E325,"_","P_"),MNU_GRAMAJE_REQUERIDO_TIPOH,"")))</f>
        <v>100</v>
      </c>
      <c r="AX325" s="259">
        <f t="shared" si="284"/>
        <v>173</v>
      </c>
      <c r="AY325" s="259">
        <f t="shared" si="285"/>
        <v>1384</v>
      </c>
      <c r="AZ325" s="452">
        <f t="shared" si="286"/>
        <v>286</v>
      </c>
      <c r="BA325" s="452">
        <f t="shared" si="287"/>
        <v>13.956800000000001</v>
      </c>
      <c r="BB325" s="452">
        <f t="shared" si="288"/>
        <v>0.24596457599999999</v>
      </c>
      <c r="BC325" s="452">
        <f t="shared" si="289"/>
        <v>300</v>
      </c>
      <c r="BD325" s="260">
        <f t="shared" si="290"/>
        <v>395824</v>
      </c>
      <c r="BE325" s="260">
        <f t="shared" si="291"/>
        <v>415200</v>
      </c>
      <c r="BF325" s="397">
        <f t="shared" si="292"/>
        <v>37269232</v>
      </c>
      <c r="BG325" s="397">
        <f t="shared" si="293"/>
        <v>39093600</v>
      </c>
    </row>
    <row r="326" spans="1:59" ht="15.75">
      <c r="A326" s="338">
        <v>24</v>
      </c>
      <c r="B326" s="338" t="str">
        <f t="shared" si="245"/>
        <v>FRUTA_24</v>
      </c>
      <c r="C326" s="338" t="str">
        <f t="shared" si="246"/>
        <v>69_24</v>
      </c>
      <c r="D326" s="338" t="s">
        <v>1</v>
      </c>
      <c r="E326" s="258">
        <v>69</v>
      </c>
      <c r="F326" s="328" t="s">
        <v>70</v>
      </c>
      <c r="G326" s="258" t="s">
        <v>9</v>
      </c>
      <c r="H326" s="431">
        <f t="shared" si="247"/>
        <v>30</v>
      </c>
      <c r="I326" s="431">
        <f t="array" ref="I326">MAX((IF(MNU_CODIGO_ALIMENTO_ENTREGA=CONCATENATE($E326,"_","P_"),MNU_GRAMAJE_REQUERIDO_TIPOA,"")))</f>
        <v>100</v>
      </c>
      <c r="J326" s="259">
        <f t="shared" si="248"/>
        <v>5949</v>
      </c>
      <c r="K326" s="259">
        <f t="shared" si="249"/>
        <v>178470</v>
      </c>
      <c r="L326" s="452">
        <f t="shared" si="250"/>
        <v>305</v>
      </c>
      <c r="M326" s="452">
        <f t="shared" si="251"/>
        <v>14.884</v>
      </c>
      <c r="N326" s="452">
        <f t="shared" si="252"/>
        <v>0.26230488000000002</v>
      </c>
      <c r="O326" s="452">
        <f t="shared" si="253"/>
        <v>320</v>
      </c>
      <c r="P326" s="260">
        <f t="shared" si="254"/>
        <v>54433350</v>
      </c>
      <c r="Q326" s="260">
        <f t="shared" si="255"/>
        <v>57110400</v>
      </c>
      <c r="R326" s="432">
        <f t="shared" si="256"/>
        <v>16</v>
      </c>
      <c r="S326" s="432">
        <f t="array" ref="S326">MAX((IF(MNU_CODIGO_ALIMENTO_ENTREGA=CONCATENATE($E326,"_","P_"),MNU_GRAMAJE_REQUERIDO_TIPOB,"")))</f>
        <v>100</v>
      </c>
      <c r="T326" s="261">
        <f t="shared" si="257"/>
        <v>7407</v>
      </c>
      <c r="U326" s="261">
        <f t="shared" si="258"/>
        <v>118512</v>
      </c>
      <c r="V326" s="452">
        <f t="shared" si="259"/>
        <v>305</v>
      </c>
      <c r="W326" s="452">
        <f t="shared" si="260"/>
        <v>14.884</v>
      </c>
      <c r="X326" s="452">
        <f t="shared" si="261"/>
        <v>0.26230488000000002</v>
      </c>
      <c r="Y326" s="452">
        <f t="shared" si="262"/>
        <v>320</v>
      </c>
      <c r="Z326" s="262">
        <f t="shared" si="263"/>
        <v>36146160</v>
      </c>
      <c r="AA326" s="262">
        <f t="shared" si="264"/>
        <v>37923840</v>
      </c>
      <c r="AB326" s="431">
        <f t="shared" si="265"/>
        <v>16</v>
      </c>
      <c r="AC326" s="431">
        <f t="array" ref="AC326">MAX((IF(MNU_CODIGO_ALIMENTO_ENTREGA=CONCATENATE($E326,"_","P_"),MNU_GRAMAJE_REQUERIDO_TIPOC,"")))</f>
        <v>100</v>
      </c>
      <c r="AD326" s="259">
        <f t="shared" si="266"/>
        <v>8275</v>
      </c>
      <c r="AE326" s="259">
        <f t="shared" si="267"/>
        <v>132400</v>
      </c>
      <c r="AF326" s="452">
        <f t="shared" si="268"/>
        <v>305</v>
      </c>
      <c r="AG326" s="452">
        <f t="shared" si="269"/>
        <v>14.884</v>
      </c>
      <c r="AH326" s="452">
        <f t="shared" si="270"/>
        <v>0.26230488000000002</v>
      </c>
      <c r="AI326" s="452">
        <f t="shared" si="271"/>
        <v>320</v>
      </c>
      <c r="AJ326" s="260">
        <f t="shared" si="272"/>
        <v>40382000</v>
      </c>
      <c r="AK326" s="260">
        <f t="shared" si="273"/>
        <v>42368000</v>
      </c>
      <c r="AL326" s="432">
        <f t="shared" si="274"/>
        <v>16</v>
      </c>
      <c r="AM326" s="432">
        <f t="array" ref="AM326">MAX((IF(MNU_CODIGO_ALIMENTO_ENTREGA=CONCATENATE($E326,"_","P_"),MNU_GRAMAJE_REQUERIDO_TIPOM,"")))</f>
        <v>100</v>
      </c>
      <c r="AN326" s="261">
        <f t="shared" si="275"/>
        <v>434</v>
      </c>
      <c r="AO326" s="261">
        <f t="shared" si="276"/>
        <v>6944</v>
      </c>
      <c r="AP326" s="452">
        <f t="shared" si="277"/>
        <v>305</v>
      </c>
      <c r="AQ326" s="452">
        <f t="shared" si="278"/>
        <v>14.884</v>
      </c>
      <c r="AR326" s="452">
        <f t="shared" si="279"/>
        <v>0.26230488000000002</v>
      </c>
      <c r="AS326" s="452">
        <f t="shared" si="280"/>
        <v>320</v>
      </c>
      <c r="AT326" s="262">
        <f t="shared" si="281"/>
        <v>2117920</v>
      </c>
      <c r="AU326" s="262">
        <f t="shared" si="282"/>
        <v>2222080</v>
      </c>
      <c r="AV326" s="431">
        <f t="shared" si="283"/>
        <v>16</v>
      </c>
      <c r="AW326" s="431">
        <f t="array" ref="AW326">MAX((IF(MNU_CODIGO_ALIMENTO_ENTREGA=CONCATENATE($E326,"_","P_"),MNU_GRAMAJE_REQUERIDO_TIPOH,"")))</f>
        <v>100</v>
      </c>
      <c r="AX326" s="259">
        <f t="shared" si="284"/>
        <v>173</v>
      </c>
      <c r="AY326" s="259">
        <f t="shared" si="285"/>
        <v>2768</v>
      </c>
      <c r="AZ326" s="452">
        <f t="shared" si="286"/>
        <v>305</v>
      </c>
      <c r="BA326" s="452">
        <f t="shared" si="287"/>
        <v>14.884</v>
      </c>
      <c r="BB326" s="452">
        <f t="shared" si="288"/>
        <v>0.26230488000000002</v>
      </c>
      <c r="BC326" s="452">
        <f t="shared" si="289"/>
        <v>320</v>
      </c>
      <c r="BD326" s="260">
        <f t="shared" si="290"/>
        <v>844240</v>
      </c>
      <c r="BE326" s="260">
        <f t="shared" si="291"/>
        <v>885760</v>
      </c>
      <c r="BF326" s="397">
        <f t="shared" si="292"/>
        <v>133923670</v>
      </c>
      <c r="BG326" s="397">
        <f t="shared" si="293"/>
        <v>140510080</v>
      </c>
    </row>
    <row r="327" spans="1:59" ht="15.75">
      <c r="A327" s="338">
        <v>24</v>
      </c>
      <c r="B327" s="338" t="str">
        <f t="shared" si="245"/>
        <v>FRUTA_24</v>
      </c>
      <c r="C327" s="338" t="str">
        <f t="shared" si="246"/>
        <v>70_24</v>
      </c>
      <c r="D327" s="338" t="s">
        <v>1</v>
      </c>
      <c r="E327" s="258">
        <v>70</v>
      </c>
      <c r="F327" s="328" t="s">
        <v>71</v>
      </c>
      <c r="G327" s="258" t="s">
        <v>9</v>
      </c>
      <c r="H327" s="431">
        <f t="shared" si="247"/>
        <v>0</v>
      </c>
      <c r="I327" s="431">
        <f t="array" ref="I327">MAX((IF(MNU_CODIGO_ALIMENTO_ENTREGA=CONCATENATE($E327,"_","P_"),MNU_GRAMAJE_REQUERIDO_TIPOA,"")))</f>
        <v>0</v>
      </c>
      <c r="J327" s="259">
        <f t="shared" si="248"/>
        <v>5949</v>
      </c>
      <c r="K327" s="259">
        <f t="shared" si="249"/>
        <v>0</v>
      </c>
      <c r="L327" s="452">
        <f t="shared" si="250"/>
        <v>0</v>
      </c>
      <c r="M327" s="452">
        <f t="shared" si="251"/>
        <v>0</v>
      </c>
      <c r="N327" s="452">
        <f t="shared" si="252"/>
        <v>0</v>
      </c>
      <c r="O327" s="452">
        <f t="shared" si="253"/>
        <v>0</v>
      </c>
      <c r="P327" s="260">
        <f t="shared" si="254"/>
        <v>0</v>
      </c>
      <c r="Q327" s="260">
        <f t="shared" si="255"/>
        <v>0</v>
      </c>
      <c r="R327" s="432">
        <f t="shared" si="256"/>
        <v>10</v>
      </c>
      <c r="S327" s="432">
        <f t="array" ref="S327">MAX((IF(MNU_CODIGO_ALIMENTO_ENTREGA=CONCATENATE($E327,"_","P_"),MNU_GRAMAJE_REQUERIDO_TIPOB,"")))</f>
        <v>100</v>
      </c>
      <c r="T327" s="261">
        <f t="shared" si="257"/>
        <v>7407</v>
      </c>
      <c r="U327" s="261">
        <f t="shared" si="258"/>
        <v>74070</v>
      </c>
      <c r="V327" s="452">
        <f t="shared" si="259"/>
        <v>434</v>
      </c>
      <c r="W327" s="452">
        <f t="shared" si="260"/>
        <v>21.179200000000002</v>
      </c>
      <c r="X327" s="452">
        <f t="shared" si="261"/>
        <v>0.37324694399999997</v>
      </c>
      <c r="Y327" s="452">
        <f t="shared" si="262"/>
        <v>456</v>
      </c>
      <c r="Z327" s="262">
        <f t="shared" si="263"/>
        <v>32146380</v>
      </c>
      <c r="AA327" s="262">
        <f t="shared" si="264"/>
        <v>33775920</v>
      </c>
      <c r="AB327" s="431">
        <f t="shared" si="265"/>
        <v>10</v>
      </c>
      <c r="AC327" s="431">
        <f t="array" ref="AC327">MAX((IF(MNU_CODIGO_ALIMENTO_ENTREGA=CONCATENATE($E327,"_","P_"),MNU_GRAMAJE_REQUERIDO_TIPOC,"")))</f>
        <v>100</v>
      </c>
      <c r="AD327" s="259">
        <f t="shared" si="266"/>
        <v>8275</v>
      </c>
      <c r="AE327" s="259">
        <f t="shared" si="267"/>
        <v>82750</v>
      </c>
      <c r="AF327" s="452">
        <f t="shared" si="268"/>
        <v>434</v>
      </c>
      <c r="AG327" s="452">
        <f t="shared" si="269"/>
        <v>21.179200000000002</v>
      </c>
      <c r="AH327" s="452">
        <f t="shared" si="270"/>
        <v>0.37324694399999997</v>
      </c>
      <c r="AI327" s="452">
        <f t="shared" si="271"/>
        <v>456</v>
      </c>
      <c r="AJ327" s="260">
        <f t="shared" si="272"/>
        <v>35913500</v>
      </c>
      <c r="AK327" s="260">
        <f t="shared" si="273"/>
        <v>37734000</v>
      </c>
      <c r="AL327" s="432">
        <f t="shared" si="274"/>
        <v>10</v>
      </c>
      <c r="AM327" s="432">
        <f t="array" ref="AM327">MAX((IF(MNU_CODIGO_ALIMENTO_ENTREGA=CONCATENATE($E327,"_","P_"),MNU_GRAMAJE_REQUERIDO_TIPOM,"")))</f>
        <v>100</v>
      </c>
      <c r="AN327" s="261">
        <f t="shared" si="275"/>
        <v>434</v>
      </c>
      <c r="AO327" s="261">
        <f t="shared" si="276"/>
        <v>4340</v>
      </c>
      <c r="AP327" s="452">
        <f t="shared" si="277"/>
        <v>434</v>
      </c>
      <c r="AQ327" s="452">
        <f t="shared" si="278"/>
        <v>21.179200000000002</v>
      </c>
      <c r="AR327" s="452">
        <f t="shared" si="279"/>
        <v>0.37324694399999997</v>
      </c>
      <c r="AS327" s="452">
        <f t="shared" si="280"/>
        <v>456</v>
      </c>
      <c r="AT327" s="262">
        <f t="shared" si="281"/>
        <v>1883560</v>
      </c>
      <c r="AU327" s="262">
        <f t="shared" si="282"/>
        <v>1979040</v>
      </c>
      <c r="AV327" s="431">
        <f t="shared" si="283"/>
        <v>10</v>
      </c>
      <c r="AW327" s="431">
        <f t="array" ref="AW327">MAX((IF(MNU_CODIGO_ALIMENTO_ENTREGA=CONCATENATE($E327,"_","P_"),MNU_GRAMAJE_REQUERIDO_TIPOH,"")))</f>
        <v>100</v>
      </c>
      <c r="AX327" s="259">
        <f t="shared" si="284"/>
        <v>173</v>
      </c>
      <c r="AY327" s="259">
        <f t="shared" si="285"/>
        <v>1730</v>
      </c>
      <c r="AZ327" s="452">
        <f t="shared" si="286"/>
        <v>434</v>
      </c>
      <c r="BA327" s="452">
        <f t="shared" si="287"/>
        <v>21.179200000000002</v>
      </c>
      <c r="BB327" s="452">
        <f t="shared" si="288"/>
        <v>0.37324694399999997</v>
      </c>
      <c r="BC327" s="452">
        <f t="shared" si="289"/>
        <v>456</v>
      </c>
      <c r="BD327" s="260">
        <f t="shared" si="290"/>
        <v>750820</v>
      </c>
      <c r="BE327" s="260">
        <f t="shared" si="291"/>
        <v>788880</v>
      </c>
      <c r="BF327" s="397">
        <f t="shared" si="292"/>
        <v>70694260</v>
      </c>
      <c r="BG327" s="397">
        <f t="shared" si="293"/>
        <v>74277840</v>
      </c>
    </row>
    <row r="328" spans="1:59" ht="15.75">
      <c r="A328" s="338">
        <v>25</v>
      </c>
      <c r="B328" s="338" t="str">
        <f t="shared" si="245"/>
        <v>FRUTA_25</v>
      </c>
      <c r="C328" s="338" t="str">
        <f t="shared" si="246"/>
        <v>7_25</v>
      </c>
      <c r="D328" s="338" t="s">
        <v>1</v>
      </c>
      <c r="E328" s="258">
        <v>7</v>
      </c>
      <c r="F328" s="328" t="s">
        <v>57</v>
      </c>
      <c r="G328" s="258" t="s">
        <v>9</v>
      </c>
      <c r="H328" s="431">
        <f t="shared" si="247"/>
        <v>22</v>
      </c>
      <c r="I328" s="431">
        <f t="array" ref="I328">MAX((IF(MNU_CODIGO_ALIMENTO_ENTREGA=CONCATENATE($E328,"_","P_"),MNU_GRAMAJE_REQUERIDO_TIPOA,"")))</f>
        <v>100</v>
      </c>
      <c r="J328" s="259">
        <f t="shared" si="248"/>
        <v>5680</v>
      </c>
      <c r="K328" s="259">
        <f t="shared" si="249"/>
        <v>124960</v>
      </c>
      <c r="L328" s="452">
        <f t="shared" si="250"/>
        <v>107</v>
      </c>
      <c r="M328" s="452">
        <f t="shared" si="251"/>
        <v>5.2216000000000005</v>
      </c>
      <c r="N328" s="452">
        <f t="shared" si="252"/>
        <v>9.2021712000000006E-2</v>
      </c>
      <c r="O328" s="452">
        <f t="shared" si="253"/>
        <v>112</v>
      </c>
      <c r="P328" s="260">
        <f t="shared" si="254"/>
        <v>13370720</v>
      </c>
      <c r="Q328" s="260">
        <f t="shared" si="255"/>
        <v>13995520</v>
      </c>
      <c r="R328" s="432">
        <f t="shared" si="256"/>
        <v>9</v>
      </c>
      <c r="S328" s="432">
        <f t="array" ref="S328">MAX((IF(MNU_CODIGO_ALIMENTO_ENTREGA=CONCATENATE($E328,"_","P_"),MNU_GRAMAJE_REQUERIDO_TIPOB,"")))</f>
        <v>100</v>
      </c>
      <c r="T328" s="261">
        <f t="shared" si="257"/>
        <v>7082</v>
      </c>
      <c r="U328" s="261">
        <f t="shared" si="258"/>
        <v>63738</v>
      </c>
      <c r="V328" s="452">
        <f t="shared" si="259"/>
        <v>107</v>
      </c>
      <c r="W328" s="452">
        <f t="shared" si="260"/>
        <v>5.2216000000000005</v>
      </c>
      <c r="X328" s="452">
        <f t="shared" si="261"/>
        <v>9.2021712000000006E-2</v>
      </c>
      <c r="Y328" s="452">
        <f t="shared" si="262"/>
        <v>112</v>
      </c>
      <c r="Z328" s="262">
        <f t="shared" si="263"/>
        <v>6819966</v>
      </c>
      <c r="AA328" s="262">
        <f t="shared" si="264"/>
        <v>7138656</v>
      </c>
      <c r="AB328" s="431">
        <f t="shared" si="265"/>
        <v>9</v>
      </c>
      <c r="AC328" s="431">
        <f t="array" ref="AC328">MAX((IF(MNU_CODIGO_ALIMENTO_ENTREGA=CONCATENATE($E328,"_","P_"),MNU_GRAMAJE_REQUERIDO_TIPOC,"")))</f>
        <v>100</v>
      </c>
      <c r="AD328" s="259">
        <f t="shared" si="266"/>
        <v>7654</v>
      </c>
      <c r="AE328" s="259">
        <f t="shared" si="267"/>
        <v>68886</v>
      </c>
      <c r="AF328" s="452">
        <f t="shared" si="268"/>
        <v>107</v>
      </c>
      <c r="AG328" s="452">
        <f t="shared" si="269"/>
        <v>5.2216000000000005</v>
      </c>
      <c r="AH328" s="452">
        <f t="shared" si="270"/>
        <v>9.2021712000000006E-2</v>
      </c>
      <c r="AI328" s="452">
        <f t="shared" si="271"/>
        <v>112</v>
      </c>
      <c r="AJ328" s="260">
        <f t="shared" si="272"/>
        <v>7370802</v>
      </c>
      <c r="AK328" s="260">
        <f t="shared" si="273"/>
        <v>7715232</v>
      </c>
      <c r="AL328" s="432">
        <f t="shared" si="274"/>
        <v>9</v>
      </c>
      <c r="AM328" s="432">
        <f t="array" ref="AM328">MAX((IF(MNU_CODIGO_ALIMENTO_ENTREGA=CONCATENATE($E328,"_","P_"),MNU_GRAMAJE_REQUERIDO_TIPOM,"")))</f>
        <v>100</v>
      </c>
      <c r="AN328" s="261">
        <f t="shared" si="275"/>
        <v>215</v>
      </c>
      <c r="AO328" s="261">
        <f t="shared" si="276"/>
        <v>1935</v>
      </c>
      <c r="AP328" s="452">
        <f t="shared" si="277"/>
        <v>107</v>
      </c>
      <c r="AQ328" s="452">
        <f t="shared" si="278"/>
        <v>5.2216000000000005</v>
      </c>
      <c r="AR328" s="452">
        <f t="shared" si="279"/>
        <v>9.2021712000000006E-2</v>
      </c>
      <c r="AS328" s="452">
        <f t="shared" si="280"/>
        <v>112</v>
      </c>
      <c r="AT328" s="262">
        <f t="shared" si="281"/>
        <v>207045</v>
      </c>
      <c r="AU328" s="262">
        <f t="shared" si="282"/>
        <v>216720</v>
      </c>
      <c r="AV328" s="431">
        <f t="shared" si="283"/>
        <v>9</v>
      </c>
      <c r="AW328" s="431">
        <f t="array" ref="AW328">MAX((IF(MNU_CODIGO_ALIMENTO_ENTREGA=CONCATENATE($E328,"_","P_"),MNU_GRAMAJE_REQUERIDO_TIPOH,"")))</f>
        <v>100</v>
      </c>
      <c r="AX328" s="259">
        <f t="shared" si="284"/>
        <v>167</v>
      </c>
      <c r="AY328" s="259">
        <f t="shared" si="285"/>
        <v>1503</v>
      </c>
      <c r="AZ328" s="452">
        <f t="shared" si="286"/>
        <v>107</v>
      </c>
      <c r="BA328" s="452">
        <f t="shared" si="287"/>
        <v>5.2216000000000005</v>
      </c>
      <c r="BB328" s="452">
        <f t="shared" si="288"/>
        <v>9.2021712000000006E-2</v>
      </c>
      <c r="BC328" s="452">
        <f t="shared" si="289"/>
        <v>112</v>
      </c>
      <c r="BD328" s="260">
        <f t="shared" si="290"/>
        <v>160821</v>
      </c>
      <c r="BE328" s="260">
        <f t="shared" si="291"/>
        <v>168336</v>
      </c>
      <c r="BF328" s="397">
        <f t="shared" si="292"/>
        <v>27929354</v>
      </c>
      <c r="BG328" s="397">
        <f t="shared" si="293"/>
        <v>29234464</v>
      </c>
    </row>
    <row r="329" spans="1:59" ht="15.75">
      <c r="A329" s="338">
        <v>25</v>
      </c>
      <c r="B329" s="338" t="str">
        <f t="shared" si="245"/>
        <v>FRUTA_25</v>
      </c>
      <c r="C329" s="338" t="str">
        <f t="shared" si="246"/>
        <v>8_25</v>
      </c>
      <c r="D329" s="338" t="s">
        <v>1</v>
      </c>
      <c r="E329" s="258">
        <v>8</v>
      </c>
      <c r="F329" s="328" t="s">
        <v>55</v>
      </c>
      <c r="G329" s="258" t="s">
        <v>9</v>
      </c>
      <c r="H329" s="431">
        <f t="shared" si="247"/>
        <v>10</v>
      </c>
      <c r="I329" s="431">
        <f t="array" ref="I329">MAX((IF(MNU_CODIGO_ALIMENTO_ENTREGA=CONCATENATE($E329,"_","P_"),MNU_GRAMAJE_REQUERIDO_TIPOA,"")))</f>
        <v>100</v>
      </c>
      <c r="J329" s="259">
        <f t="shared" si="248"/>
        <v>5680</v>
      </c>
      <c r="K329" s="259">
        <f t="shared" si="249"/>
        <v>56800</v>
      </c>
      <c r="L329" s="452">
        <f t="shared" si="250"/>
        <v>134</v>
      </c>
      <c r="M329" s="452">
        <f t="shared" si="251"/>
        <v>6.539200000000001</v>
      </c>
      <c r="N329" s="452">
        <f t="shared" si="252"/>
        <v>0.115242144</v>
      </c>
      <c r="O329" s="452">
        <f t="shared" si="253"/>
        <v>141</v>
      </c>
      <c r="P329" s="260">
        <f t="shared" si="254"/>
        <v>7611200</v>
      </c>
      <c r="Q329" s="260">
        <f t="shared" si="255"/>
        <v>8008800</v>
      </c>
      <c r="R329" s="432">
        <f t="shared" si="256"/>
        <v>8</v>
      </c>
      <c r="S329" s="432">
        <f t="array" ref="S329">MAX((IF(MNU_CODIGO_ALIMENTO_ENTREGA=CONCATENATE($E329,"_","P_"),MNU_GRAMAJE_REQUERIDO_TIPOB,"")))</f>
        <v>100</v>
      </c>
      <c r="T329" s="261">
        <f t="shared" si="257"/>
        <v>7082</v>
      </c>
      <c r="U329" s="261">
        <f t="shared" si="258"/>
        <v>56656</v>
      </c>
      <c r="V329" s="452">
        <f t="shared" si="259"/>
        <v>134</v>
      </c>
      <c r="W329" s="452">
        <f t="shared" si="260"/>
        <v>6.539200000000001</v>
      </c>
      <c r="X329" s="452">
        <f t="shared" si="261"/>
        <v>0.115242144</v>
      </c>
      <c r="Y329" s="452">
        <f t="shared" si="262"/>
        <v>141</v>
      </c>
      <c r="Z329" s="262">
        <f t="shared" si="263"/>
        <v>7591904</v>
      </c>
      <c r="AA329" s="262">
        <f t="shared" si="264"/>
        <v>7988496</v>
      </c>
      <c r="AB329" s="431">
        <f t="shared" si="265"/>
        <v>8</v>
      </c>
      <c r="AC329" s="431">
        <f t="array" ref="AC329">MAX((IF(MNU_CODIGO_ALIMENTO_ENTREGA=CONCATENATE($E329,"_","P_"),MNU_GRAMAJE_REQUERIDO_TIPOC,"")))</f>
        <v>100</v>
      </c>
      <c r="AD329" s="259">
        <f t="shared" si="266"/>
        <v>7654</v>
      </c>
      <c r="AE329" s="259">
        <f t="shared" si="267"/>
        <v>61232</v>
      </c>
      <c r="AF329" s="452">
        <f t="shared" si="268"/>
        <v>134</v>
      </c>
      <c r="AG329" s="452">
        <f t="shared" si="269"/>
        <v>6.539200000000001</v>
      </c>
      <c r="AH329" s="452">
        <f t="shared" si="270"/>
        <v>0.115242144</v>
      </c>
      <c r="AI329" s="452">
        <f t="shared" si="271"/>
        <v>141</v>
      </c>
      <c r="AJ329" s="260">
        <f t="shared" si="272"/>
        <v>8205088</v>
      </c>
      <c r="AK329" s="260">
        <f t="shared" si="273"/>
        <v>8633712</v>
      </c>
      <c r="AL329" s="432">
        <f t="shared" si="274"/>
        <v>8</v>
      </c>
      <c r="AM329" s="432">
        <f t="array" ref="AM329">MAX((IF(MNU_CODIGO_ALIMENTO_ENTREGA=CONCATENATE($E329,"_","P_"),MNU_GRAMAJE_REQUERIDO_TIPOM,"")))</f>
        <v>100</v>
      </c>
      <c r="AN329" s="261">
        <f t="shared" si="275"/>
        <v>215</v>
      </c>
      <c r="AO329" s="261">
        <f t="shared" si="276"/>
        <v>1720</v>
      </c>
      <c r="AP329" s="452">
        <f t="shared" si="277"/>
        <v>134</v>
      </c>
      <c r="AQ329" s="452">
        <f t="shared" si="278"/>
        <v>6.539200000000001</v>
      </c>
      <c r="AR329" s="452">
        <f t="shared" si="279"/>
        <v>0.115242144</v>
      </c>
      <c r="AS329" s="452">
        <f t="shared" si="280"/>
        <v>141</v>
      </c>
      <c r="AT329" s="262">
        <f t="shared" si="281"/>
        <v>230480</v>
      </c>
      <c r="AU329" s="262">
        <f t="shared" si="282"/>
        <v>242520</v>
      </c>
      <c r="AV329" s="431">
        <f t="shared" si="283"/>
        <v>8</v>
      </c>
      <c r="AW329" s="431">
        <f t="array" ref="AW329">MAX((IF(MNU_CODIGO_ALIMENTO_ENTREGA=CONCATENATE($E329,"_","P_"),MNU_GRAMAJE_REQUERIDO_TIPOH,"")))</f>
        <v>100</v>
      </c>
      <c r="AX329" s="259">
        <f t="shared" si="284"/>
        <v>167</v>
      </c>
      <c r="AY329" s="259">
        <f t="shared" si="285"/>
        <v>1336</v>
      </c>
      <c r="AZ329" s="452">
        <f t="shared" si="286"/>
        <v>134</v>
      </c>
      <c r="BA329" s="452">
        <f t="shared" si="287"/>
        <v>6.539200000000001</v>
      </c>
      <c r="BB329" s="452">
        <f t="shared" si="288"/>
        <v>0.115242144</v>
      </c>
      <c r="BC329" s="452">
        <f t="shared" si="289"/>
        <v>141</v>
      </c>
      <c r="BD329" s="260">
        <f t="shared" si="290"/>
        <v>179024</v>
      </c>
      <c r="BE329" s="260">
        <f t="shared" si="291"/>
        <v>188376</v>
      </c>
      <c r="BF329" s="397">
        <f t="shared" si="292"/>
        <v>23817696</v>
      </c>
      <c r="BG329" s="397">
        <f t="shared" si="293"/>
        <v>25061904</v>
      </c>
    </row>
    <row r="330" spans="1:59" ht="15.75">
      <c r="A330" s="338">
        <v>25</v>
      </c>
      <c r="B330" s="338" t="str">
        <f t="shared" si="245"/>
        <v>FRUTA_25</v>
      </c>
      <c r="C330" s="338" t="str">
        <f t="shared" si="246"/>
        <v>17_25</v>
      </c>
      <c r="D330" s="338" t="s">
        <v>1</v>
      </c>
      <c r="E330" s="258">
        <v>17</v>
      </c>
      <c r="F330" s="328" t="s">
        <v>53</v>
      </c>
      <c r="G330" s="258" t="s">
        <v>9</v>
      </c>
      <c r="H330" s="431">
        <f t="shared" si="247"/>
        <v>0</v>
      </c>
      <c r="I330" s="431">
        <f t="array" ref="I330">MAX((IF(MNU_CODIGO_ALIMENTO_ENTREGA=CONCATENATE($E330,"_","P_"),MNU_GRAMAJE_REQUERIDO_TIPOA,"")))</f>
        <v>0</v>
      </c>
      <c r="J330" s="259">
        <f t="shared" si="248"/>
        <v>5680</v>
      </c>
      <c r="K330" s="259">
        <f t="shared" si="249"/>
        <v>0</v>
      </c>
      <c r="L330" s="452">
        <f t="shared" si="250"/>
        <v>0</v>
      </c>
      <c r="M330" s="452">
        <f t="shared" si="251"/>
        <v>0</v>
      </c>
      <c r="N330" s="452">
        <f t="shared" si="252"/>
        <v>0</v>
      </c>
      <c r="O330" s="452">
        <f t="shared" si="253"/>
        <v>0</v>
      </c>
      <c r="P330" s="260">
        <f t="shared" si="254"/>
        <v>0</v>
      </c>
      <c r="Q330" s="260">
        <f t="shared" si="255"/>
        <v>0</v>
      </c>
      <c r="R330" s="432">
        <f t="shared" si="256"/>
        <v>21</v>
      </c>
      <c r="S330" s="432">
        <f t="array" ref="S330">MAX((IF(MNU_CODIGO_ALIMENTO_ENTREGA=CONCATENATE($E330,"_","P_"),MNU_GRAMAJE_REQUERIDO_TIPOB,"")))</f>
        <v>100</v>
      </c>
      <c r="T330" s="261">
        <f t="shared" si="257"/>
        <v>7082</v>
      </c>
      <c r="U330" s="261">
        <f t="shared" si="258"/>
        <v>148722</v>
      </c>
      <c r="V330" s="452">
        <f t="shared" si="259"/>
        <v>226</v>
      </c>
      <c r="W330" s="452">
        <f t="shared" si="260"/>
        <v>11.0288</v>
      </c>
      <c r="X330" s="452">
        <f t="shared" si="261"/>
        <v>0.19436361600000002</v>
      </c>
      <c r="Y330" s="452">
        <f t="shared" si="262"/>
        <v>237</v>
      </c>
      <c r="Z330" s="262">
        <f t="shared" si="263"/>
        <v>33611172</v>
      </c>
      <c r="AA330" s="262">
        <f t="shared" si="264"/>
        <v>35247114</v>
      </c>
      <c r="AB330" s="431">
        <f t="shared" si="265"/>
        <v>21</v>
      </c>
      <c r="AC330" s="431">
        <f t="array" ref="AC330">MAX((IF(MNU_CODIGO_ALIMENTO_ENTREGA=CONCATENATE($E330,"_","P_"),MNU_GRAMAJE_REQUERIDO_TIPOC,"")))</f>
        <v>100</v>
      </c>
      <c r="AD330" s="259">
        <f t="shared" si="266"/>
        <v>7654</v>
      </c>
      <c r="AE330" s="259">
        <f t="shared" si="267"/>
        <v>160734</v>
      </c>
      <c r="AF330" s="452">
        <f t="shared" si="268"/>
        <v>226</v>
      </c>
      <c r="AG330" s="452">
        <f t="shared" si="269"/>
        <v>11.0288</v>
      </c>
      <c r="AH330" s="452">
        <f t="shared" si="270"/>
        <v>0.19436361600000002</v>
      </c>
      <c r="AI330" s="452">
        <f t="shared" si="271"/>
        <v>237</v>
      </c>
      <c r="AJ330" s="260">
        <f t="shared" si="272"/>
        <v>36325884</v>
      </c>
      <c r="AK330" s="260">
        <f t="shared" si="273"/>
        <v>38093958</v>
      </c>
      <c r="AL330" s="432">
        <f t="shared" si="274"/>
        <v>21</v>
      </c>
      <c r="AM330" s="432">
        <f t="array" ref="AM330">MAX((IF(MNU_CODIGO_ALIMENTO_ENTREGA=CONCATENATE($E330,"_","P_"),MNU_GRAMAJE_REQUERIDO_TIPOM,"")))</f>
        <v>100</v>
      </c>
      <c r="AN330" s="261">
        <f t="shared" si="275"/>
        <v>215</v>
      </c>
      <c r="AO330" s="261">
        <f t="shared" si="276"/>
        <v>4515</v>
      </c>
      <c r="AP330" s="452">
        <f t="shared" si="277"/>
        <v>226</v>
      </c>
      <c r="AQ330" s="452">
        <f t="shared" si="278"/>
        <v>11.0288</v>
      </c>
      <c r="AR330" s="452">
        <f t="shared" si="279"/>
        <v>0.19436361600000002</v>
      </c>
      <c r="AS330" s="452">
        <f t="shared" si="280"/>
        <v>237</v>
      </c>
      <c r="AT330" s="262">
        <f t="shared" si="281"/>
        <v>1020390</v>
      </c>
      <c r="AU330" s="262">
        <f t="shared" si="282"/>
        <v>1070055</v>
      </c>
      <c r="AV330" s="431">
        <f t="shared" si="283"/>
        <v>21</v>
      </c>
      <c r="AW330" s="431">
        <f t="array" ref="AW330">MAX((IF(MNU_CODIGO_ALIMENTO_ENTREGA=CONCATENATE($E330,"_","P_"),MNU_GRAMAJE_REQUERIDO_TIPOH,"")))</f>
        <v>100</v>
      </c>
      <c r="AX330" s="259">
        <f t="shared" si="284"/>
        <v>167</v>
      </c>
      <c r="AY330" s="259">
        <f t="shared" si="285"/>
        <v>3507</v>
      </c>
      <c r="AZ330" s="452">
        <f t="shared" si="286"/>
        <v>226</v>
      </c>
      <c r="BA330" s="452">
        <f t="shared" si="287"/>
        <v>11.0288</v>
      </c>
      <c r="BB330" s="452">
        <f t="shared" si="288"/>
        <v>0.19436361600000002</v>
      </c>
      <c r="BC330" s="452">
        <f t="shared" si="289"/>
        <v>237</v>
      </c>
      <c r="BD330" s="260">
        <f t="shared" si="290"/>
        <v>792582</v>
      </c>
      <c r="BE330" s="260">
        <f t="shared" si="291"/>
        <v>831159</v>
      </c>
      <c r="BF330" s="397">
        <f t="shared" si="292"/>
        <v>71750028</v>
      </c>
      <c r="BG330" s="397">
        <f t="shared" si="293"/>
        <v>75242286</v>
      </c>
    </row>
    <row r="331" spans="1:59" ht="15.75">
      <c r="A331" s="338">
        <v>25</v>
      </c>
      <c r="B331" s="338" t="str">
        <f t="shared" si="245"/>
        <v>FRUTA_25</v>
      </c>
      <c r="C331" s="338" t="str">
        <f t="shared" si="246"/>
        <v>22_25</v>
      </c>
      <c r="D331" s="338" t="s">
        <v>1</v>
      </c>
      <c r="E331" s="258">
        <v>22</v>
      </c>
      <c r="F331" s="328" t="s">
        <v>51</v>
      </c>
      <c r="G331" s="258" t="s">
        <v>9</v>
      </c>
      <c r="H331" s="431">
        <f t="shared" si="247"/>
        <v>0</v>
      </c>
      <c r="I331" s="431">
        <f t="array" ref="I331">MAX((IF(MNU_CODIGO_ALIMENTO_ENTREGA=CONCATENATE($E331,"_","P_"),MNU_GRAMAJE_REQUERIDO_TIPOA,"")))</f>
        <v>0</v>
      </c>
      <c r="J331" s="259">
        <f t="shared" si="248"/>
        <v>5680</v>
      </c>
      <c r="K331" s="259">
        <f t="shared" si="249"/>
        <v>0</v>
      </c>
      <c r="L331" s="452">
        <f t="shared" si="250"/>
        <v>0</v>
      </c>
      <c r="M331" s="452">
        <f t="shared" si="251"/>
        <v>0</v>
      </c>
      <c r="N331" s="452">
        <f t="shared" si="252"/>
        <v>0</v>
      </c>
      <c r="O331" s="452">
        <f t="shared" si="253"/>
        <v>0</v>
      </c>
      <c r="P331" s="260">
        <f t="shared" si="254"/>
        <v>0</v>
      </c>
      <c r="Q331" s="260">
        <f t="shared" si="255"/>
        <v>0</v>
      </c>
      <c r="R331" s="432">
        <f t="shared" si="256"/>
        <v>20</v>
      </c>
      <c r="S331" s="432">
        <f t="array" ref="S331">MAX((IF(MNU_CODIGO_ALIMENTO_ENTREGA=CONCATENATE($E331,"_","P_"),MNU_GRAMAJE_REQUERIDO_TIPOB,"")))</f>
        <v>100</v>
      </c>
      <c r="T331" s="261">
        <f t="shared" si="257"/>
        <v>7082</v>
      </c>
      <c r="U331" s="261">
        <f t="shared" si="258"/>
        <v>141640</v>
      </c>
      <c r="V331" s="452">
        <f t="shared" si="259"/>
        <v>525</v>
      </c>
      <c r="W331" s="452">
        <f t="shared" si="260"/>
        <v>25.62</v>
      </c>
      <c r="X331" s="452">
        <f t="shared" si="261"/>
        <v>0.45150840000000003</v>
      </c>
      <c r="Y331" s="452">
        <f t="shared" si="262"/>
        <v>551</v>
      </c>
      <c r="Z331" s="262">
        <f t="shared" si="263"/>
        <v>74361000</v>
      </c>
      <c r="AA331" s="262">
        <f t="shared" si="264"/>
        <v>78043640</v>
      </c>
      <c r="AB331" s="431">
        <f t="shared" si="265"/>
        <v>20</v>
      </c>
      <c r="AC331" s="431">
        <f t="array" ref="AC331">MAX((IF(MNU_CODIGO_ALIMENTO_ENTREGA=CONCATENATE($E331,"_","P_"),MNU_GRAMAJE_REQUERIDO_TIPOC,"")))</f>
        <v>100</v>
      </c>
      <c r="AD331" s="259">
        <f t="shared" si="266"/>
        <v>7654</v>
      </c>
      <c r="AE331" s="259">
        <f t="shared" si="267"/>
        <v>153080</v>
      </c>
      <c r="AF331" s="452">
        <f t="shared" si="268"/>
        <v>525</v>
      </c>
      <c r="AG331" s="452">
        <f t="shared" si="269"/>
        <v>25.62</v>
      </c>
      <c r="AH331" s="452">
        <f t="shared" si="270"/>
        <v>0.45150840000000003</v>
      </c>
      <c r="AI331" s="452">
        <f t="shared" si="271"/>
        <v>551</v>
      </c>
      <c r="AJ331" s="260">
        <f t="shared" si="272"/>
        <v>80367000</v>
      </c>
      <c r="AK331" s="260">
        <f t="shared" si="273"/>
        <v>84347080</v>
      </c>
      <c r="AL331" s="432">
        <f t="shared" si="274"/>
        <v>20</v>
      </c>
      <c r="AM331" s="432">
        <f t="array" ref="AM331">MAX((IF(MNU_CODIGO_ALIMENTO_ENTREGA=CONCATENATE($E331,"_","P_"),MNU_GRAMAJE_REQUERIDO_TIPOM,"")))</f>
        <v>100</v>
      </c>
      <c r="AN331" s="261">
        <f t="shared" si="275"/>
        <v>215</v>
      </c>
      <c r="AO331" s="261">
        <f t="shared" si="276"/>
        <v>4300</v>
      </c>
      <c r="AP331" s="452">
        <f t="shared" si="277"/>
        <v>525</v>
      </c>
      <c r="AQ331" s="452">
        <f t="shared" si="278"/>
        <v>25.62</v>
      </c>
      <c r="AR331" s="452">
        <f t="shared" si="279"/>
        <v>0.45150840000000003</v>
      </c>
      <c r="AS331" s="452">
        <f t="shared" si="280"/>
        <v>551</v>
      </c>
      <c r="AT331" s="262">
        <f t="shared" si="281"/>
        <v>2257500</v>
      </c>
      <c r="AU331" s="262">
        <f t="shared" si="282"/>
        <v>2369300</v>
      </c>
      <c r="AV331" s="431">
        <f t="shared" si="283"/>
        <v>20</v>
      </c>
      <c r="AW331" s="431">
        <f t="array" ref="AW331">MAX((IF(MNU_CODIGO_ALIMENTO_ENTREGA=CONCATENATE($E331,"_","P_"),MNU_GRAMAJE_REQUERIDO_TIPOH,"")))</f>
        <v>100</v>
      </c>
      <c r="AX331" s="259">
        <f t="shared" si="284"/>
        <v>167</v>
      </c>
      <c r="AY331" s="259">
        <f t="shared" si="285"/>
        <v>3340</v>
      </c>
      <c r="AZ331" s="452">
        <f t="shared" si="286"/>
        <v>525</v>
      </c>
      <c r="BA331" s="452">
        <f t="shared" si="287"/>
        <v>25.62</v>
      </c>
      <c r="BB331" s="452">
        <f t="shared" si="288"/>
        <v>0.45150840000000003</v>
      </c>
      <c r="BC331" s="452">
        <f t="shared" si="289"/>
        <v>551</v>
      </c>
      <c r="BD331" s="260">
        <f t="shared" si="290"/>
        <v>1753500</v>
      </c>
      <c r="BE331" s="260">
        <f t="shared" si="291"/>
        <v>1840340</v>
      </c>
      <c r="BF331" s="397">
        <f t="shared" si="292"/>
        <v>158739000</v>
      </c>
      <c r="BG331" s="397">
        <f t="shared" si="293"/>
        <v>166600360</v>
      </c>
    </row>
    <row r="332" spans="1:59" ht="15.75">
      <c r="A332" s="338">
        <v>25</v>
      </c>
      <c r="B332" s="338" t="str">
        <f t="shared" si="245"/>
        <v>FRUTA_25</v>
      </c>
      <c r="C332" s="338" t="str">
        <f t="shared" si="246"/>
        <v>33_25</v>
      </c>
      <c r="D332" s="338" t="s">
        <v>1</v>
      </c>
      <c r="E332" s="258">
        <v>33</v>
      </c>
      <c r="F332" s="328" t="s">
        <v>59</v>
      </c>
      <c r="G332" s="258" t="s">
        <v>48</v>
      </c>
      <c r="H332" s="431">
        <f t="shared" si="247"/>
        <v>27</v>
      </c>
      <c r="I332" s="431">
        <v>1</v>
      </c>
      <c r="J332" s="259">
        <f t="shared" si="248"/>
        <v>5680</v>
      </c>
      <c r="K332" s="259">
        <f t="shared" si="249"/>
        <v>153360</v>
      </c>
      <c r="L332" s="452">
        <f t="shared" si="250"/>
        <v>270</v>
      </c>
      <c r="M332" s="452">
        <f t="shared" si="251"/>
        <v>13.176000000000002</v>
      </c>
      <c r="N332" s="452">
        <f t="shared" si="252"/>
        <v>0.23220432000000002</v>
      </c>
      <c r="O332" s="452">
        <f t="shared" si="253"/>
        <v>283</v>
      </c>
      <c r="P332" s="260">
        <f t="shared" si="254"/>
        <v>41407200</v>
      </c>
      <c r="Q332" s="260">
        <f t="shared" si="255"/>
        <v>43400880</v>
      </c>
      <c r="R332" s="432">
        <f t="shared" si="256"/>
        <v>18</v>
      </c>
      <c r="S332" s="432">
        <v>1</v>
      </c>
      <c r="T332" s="261">
        <f t="shared" si="257"/>
        <v>7082</v>
      </c>
      <c r="U332" s="261">
        <f t="shared" si="258"/>
        <v>127476</v>
      </c>
      <c r="V332" s="452">
        <f t="shared" si="259"/>
        <v>270</v>
      </c>
      <c r="W332" s="452">
        <f t="shared" si="260"/>
        <v>13.176000000000002</v>
      </c>
      <c r="X332" s="452">
        <f t="shared" si="261"/>
        <v>0.23220432000000002</v>
      </c>
      <c r="Y332" s="452">
        <f t="shared" si="262"/>
        <v>283</v>
      </c>
      <c r="Z332" s="262">
        <f t="shared" si="263"/>
        <v>34418520</v>
      </c>
      <c r="AA332" s="262">
        <f t="shared" si="264"/>
        <v>36075708</v>
      </c>
      <c r="AB332" s="431">
        <f t="shared" si="265"/>
        <v>18</v>
      </c>
      <c r="AC332" s="431">
        <v>1</v>
      </c>
      <c r="AD332" s="259">
        <f t="shared" si="266"/>
        <v>7654</v>
      </c>
      <c r="AE332" s="259">
        <f t="shared" si="267"/>
        <v>137772</v>
      </c>
      <c r="AF332" s="452">
        <f t="shared" si="268"/>
        <v>270</v>
      </c>
      <c r="AG332" s="452">
        <f t="shared" si="269"/>
        <v>13.176000000000002</v>
      </c>
      <c r="AH332" s="452">
        <f t="shared" si="270"/>
        <v>0.23220432000000002</v>
      </c>
      <c r="AI332" s="452">
        <f t="shared" si="271"/>
        <v>283</v>
      </c>
      <c r="AJ332" s="260">
        <f t="shared" si="272"/>
        <v>37198440</v>
      </c>
      <c r="AK332" s="260">
        <f t="shared" si="273"/>
        <v>38989476</v>
      </c>
      <c r="AL332" s="432">
        <f t="shared" si="274"/>
        <v>18</v>
      </c>
      <c r="AM332" s="432">
        <v>1</v>
      </c>
      <c r="AN332" s="261">
        <f t="shared" si="275"/>
        <v>215</v>
      </c>
      <c r="AO332" s="261">
        <f t="shared" si="276"/>
        <v>3870</v>
      </c>
      <c r="AP332" s="452">
        <f t="shared" si="277"/>
        <v>270</v>
      </c>
      <c r="AQ332" s="452">
        <f t="shared" si="278"/>
        <v>13.176000000000002</v>
      </c>
      <c r="AR332" s="452">
        <f t="shared" si="279"/>
        <v>0.23220432000000002</v>
      </c>
      <c r="AS332" s="452">
        <f t="shared" si="280"/>
        <v>283</v>
      </c>
      <c r="AT332" s="262">
        <f t="shared" si="281"/>
        <v>1044900</v>
      </c>
      <c r="AU332" s="262">
        <f t="shared" si="282"/>
        <v>1095210</v>
      </c>
      <c r="AV332" s="431">
        <f t="shared" si="283"/>
        <v>18</v>
      </c>
      <c r="AW332" s="431">
        <v>1</v>
      </c>
      <c r="AX332" s="259">
        <f t="shared" si="284"/>
        <v>167</v>
      </c>
      <c r="AY332" s="259">
        <f t="shared" si="285"/>
        <v>3006</v>
      </c>
      <c r="AZ332" s="452">
        <f t="shared" si="286"/>
        <v>270</v>
      </c>
      <c r="BA332" s="452">
        <f t="shared" si="287"/>
        <v>13.176000000000002</v>
      </c>
      <c r="BB332" s="452">
        <f t="shared" si="288"/>
        <v>0.23220432000000002</v>
      </c>
      <c r="BC332" s="452">
        <f t="shared" si="289"/>
        <v>283</v>
      </c>
      <c r="BD332" s="260">
        <f t="shared" si="290"/>
        <v>811620</v>
      </c>
      <c r="BE332" s="260">
        <f t="shared" si="291"/>
        <v>850698</v>
      </c>
      <c r="BF332" s="397">
        <f t="shared" si="292"/>
        <v>114880680</v>
      </c>
      <c r="BG332" s="397">
        <f t="shared" si="293"/>
        <v>120411972</v>
      </c>
    </row>
    <row r="333" spans="1:59" ht="15.75">
      <c r="A333" s="338">
        <v>25</v>
      </c>
      <c r="B333" s="338" t="str">
        <f t="shared" si="245"/>
        <v>FRUTA_25</v>
      </c>
      <c r="C333" s="338" t="str">
        <f t="shared" si="246"/>
        <v>36_25</v>
      </c>
      <c r="D333" s="338" t="s">
        <v>1</v>
      </c>
      <c r="E333" s="258">
        <v>36</v>
      </c>
      <c r="F333" s="328" t="s">
        <v>1340</v>
      </c>
      <c r="G333" s="258" t="s">
        <v>9</v>
      </c>
      <c r="H333" s="431">
        <f t="shared" si="247"/>
        <v>7</v>
      </c>
      <c r="I333" s="431">
        <f t="array" ref="I333">MAX((IF(MNU_CODIGO_ALIMENTO_ENTREGA=CONCATENATE($E333,"_","P_"),MNU_GRAMAJE_REQUERIDO_TIPOA,"")))</f>
        <v>20</v>
      </c>
      <c r="J333" s="259">
        <f t="shared" si="248"/>
        <v>5680</v>
      </c>
      <c r="K333" s="259">
        <f t="shared" si="249"/>
        <v>39760</v>
      </c>
      <c r="L333" s="452">
        <f t="shared" si="250"/>
        <v>126</v>
      </c>
      <c r="M333" s="452">
        <f t="shared" si="251"/>
        <v>6.1488000000000005</v>
      </c>
      <c r="N333" s="452">
        <f t="shared" si="252"/>
        <v>0.10836201599999999</v>
      </c>
      <c r="O333" s="452">
        <f t="shared" si="253"/>
        <v>132</v>
      </c>
      <c r="P333" s="260">
        <f t="shared" si="254"/>
        <v>5009760</v>
      </c>
      <c r="Q333" s="260">
        <f t="shared" si="255"/>
        <v>5248320</v>
      </c>
      <c r="R333" s="432">
        <f t="shared" si="256"/>
        <v>7</v>
      </c>
      <c r="S333" s="432">
        <f t="array" ref="S333">MAX((IF(MNU_CODIGO_ALIMENTO_ENTREGA=CONCATENATE($E333,"_","P_"),MNU_GRAMAJE_REQUERIDO_TIPOB,"")))</f>
        <v>40</v>
      </c>
      <c r="T333" s="261">
        <f t="shared" si="257"/>
        <v>7082</v>
      </c>
      <c r="U333" s="261">
        <f t="shared" si="258"/>
        <v>49574</v>
      </c>
      <c r="V333" s="452">
        <f t="shared" si="259"/>
        <v>252</v>
      </c>
      <c r="W333" s="452">
        <f t="shared" si="260"/>
        <v>12.297600000000001</v>
      </c>
      <c r="X333" s="452">
        <f t="shared" si="261"/>
        <v>0.21672403199999998</v>
      </c>
      <c r="Y333" s="452">
        <f t="shared" si="262"/>
        <v>265</v>
      </c>
      <c r="Z333" s="262">
        <f t="shared" si="263"/>
        <v>12492648</v>
      </c>
      <c r="AA333" s="262">
        <f t="shared" si="264"/>
        <v>13137110</v>
      </c>
      <c r="AB333" s="431">
        <f t="shared" si="265"/>
        <v>7</v>
      </c>
      <c r="AC333" s="431">
        <f t="array" ref="AC333">MAX((IF(MNU_CODIGO_ALIMENTO_ENTREGA=CONCATENATE($E333,"_","P_"),MNU_GRAMAJE_REQUERIDO_TIPOC,"")))</f>
        <v>40</v>
      </c>
      <c r="AD333" s="259">
        <f t="shared" si="266"/>
        <v>7654</v>
      </c>
      <c r="AE333" s="259">
        <f t="shared" si="267"/>
        <v>53578</v>
      </c>
      <c r="AF333" s="452">
        <f t="shared" si="268"/>
        <v>252</v>
      </c>
      <c r="AG333" s="452">
        <f t="shared" si="269"/>
        <v>12.297600000000001</v>
      </c>
      <c r="AH333" s="452">
        <f t="shared" si="270"/>
        <v>0.21672403199999998</v>
      </c>
      <c r="AI333" s="452">
        <f t="shared" si="271"/>
        <v>265</v>
      </c>
      <c r="AJ333" s="260">
        <f t="shared" si="272"/>
        <v>13501656</v>
      </c>
      <c r="AK333" s="260">
        <f t="shared" si="273"/>
        <v>14198170</v>
      </c>
      <c r="AL333" s="432">
        <f t="shared" si="274"/>
        <v>7</v>
      </c>
      <c r="AM333" s="432">
        <f t="array" ref="AM333">MAX((IF(MNU_CODIGO_ALIMENTO_ENTREGA=CONCATENATE($E333,"_","P_"),MNU_GRAMAJE_REQUERIDO_TIPOM,"")))</f>
        <v>40</v>
      </c>
      <c r="AN333" s="261">
        <f t="shared" si="275"/>
        <v>215</v>
      </c>
      <c r="AO333" s="261">
        <f t="shared" si="276"/>
        <v>1505</v>
      </c>
      <c r="AP333" s="452">
        <f t="shared" si="277"/>
        <v>252</v>
      </c>
      <c r="AQ333" s="452">
        <f t="shared" si="278"/>
        <v>12.297600000000001</v>
      </c>
      <c r="AR333" s="452">
        <f t="shared" si="279"/>
        <v>0.21672403199999998</v>
      </c>
      <c r="AS333" s="452">
        <f t="shared" si="280"/>
        <v>265</v>
      </c>
      <c r="AT333" s="262">
        <f t="shared" si="281"/>
        <v>379260</v>
      </c>
      <c r="AU333" s="262">
        <f t="shared" si="282"/>
        <v>398825</v>
      </c>
      <c r="AV333" s="431">
        <f t="shared" si="283"/>
        <v>7</v>
      </c>
      <c r="AW333" s="431">
        <f t="array" ref="AW333">MAX((IF(MNU_CODIGO_ALIMENTO_ENTREGA=CONCATENATE($E333,"_","P_"),MNU_GRAMAJE_REQUERIDO_TIPOH,"")))</f>
        <v>40</v>
      </c>
      <c r="AX333" s="259">
        <f t="shared" si="284"/>
        <v>167</v>
      </c>
      <c r="AY333" s="259">
        <f t="shared" si="285"/>
        <v>1169</v>
      </c>
      <c r="AZ333" s="452">
        <f t="shared" si="286"/>
        <v>252</v>
      </c>
      <c r="BA333" s="452">
        <f t="shared" si="287"/>
        <v>12.297600000000001</v>
      </c>
      <c r="BB333" s="452">
        <f t="shared" si="288"/>
        <v>0.21672403199999998</v>
      </c>
      <c r="BC333" s="452">
        <f t="shared" si="289"/>
        <v>265</v>
      </c>
      <c r="BD333" s="260">
        <f t="shared" si="290"/>
        <v>294588</v>
      </c>
      <c r="BE333" s="260">
        <f t="shared" si="291"/>
        <v>309785</v>
      </c>
      <c r="BF333" s="397">
        <f t="shared" si="292"/>
        <v>31677912</v>
      </c>
      <c r="BG333" s="397">
        <f t="shared" si="293"/>
        <v>33292210</v>
      </c>
    </row>
    <row r="334" spans="1:59" ht="15.75">
      <c r="A334" s="338">
        <v>25</v>
      </c>
      <c r="B334" s="338" t="str">
        <f t="shared" si="245"/>
        <v>FRUTA_25</v>
      </c>
      <c r="C334" s="338" t="str">
        <f t="shared" si="246"/>
        <v>42_25</v>
      </c>
      <c r="D334" s="338" t="s">
        <v>1</v>
      </c>
      <c r="E334" s="258">
        <v>42</v>
      </c>
      <c r="F334" s="328" t="s">
        <v>61</v>
      </c>
      <c r="G334" s="258" t="s">
        <v>9</v>
      </c>
      <c r="H334" s="431">
        <f t="shared" si="247"/>
        <v>23</v>
      </c>
      <c r="I334" s="431">
        <f t="array" ref="I334">MAX((IF(MNU_CODIGO_ALIMENTO_ENTREGA=CONCATENATE($E334,"_","P_"),MNU_GRAMAJE_REQUERIDO_TIPOA,"")))</f>
        <v>100</v>
      </c>
      <c r="J334" s="259">
        <f t="shared" si="248"/>
        <v>5680</v>
      </c>
      <c r="K334" s="259">
        <f t="shared" si="249"/>
        <v>130640</v>
      </c>
      <c r="L334" s="452">
        <f t="shared" si="250"/>
        <v>194</v>
      </c>
      <c r="M334" s="452">
        <f t="shared" si="251"/>
        <v>9.4672000000000001</v>
      </c>
      <c r="N334" s="452">
        <f t="shared" si="252"/>
        <v>0.16684310399999999</v>
      </c>
      <c r="O334" s="452">
        <f t="shared" si="253"/>
        <v>204</v>
      </c>
      <c r="P334" s="260">
        <f t="shared" si="254"/>
        <v>25344160</v>
      </c>
      <c r="Q334" s="260">
        <f t="shared" si="255"/>
        <v>26650560</v>
      </c>
      <c r="R334" s="432">
        <f t="shared" si="256"/>
        <v>19</v>
      </c>
      <c r="S334" s="432">
        <f t="array" ref="S334">MAX((IF(MNU_CODIGO_ALIMENTO_ENTREGA=CONCATENATE($E334,"_","P_"),MNU_GRAMAJE_REQUERIDO_TIPOB,"")))</f>
        <v>100</v>
      </c>
      <c r="T334" s="261">
        <f t="shared" si="257"/>
        <v>7082</v>
      </c>
      <c r="U334" s="261">
        <f t="shared" si="258"/>
        <v>134558</v>
      </c>
      <c r="V334" s="452">
        <f t="shared" si="259"/>
        <v>194</v>
      </c>
      <c r="W334" s="452">
        <f t="shared" si="260"/>
        <v>9.4672000000000001</v>
      </c>
      <c r="X334" s="452">
        <f t="shared" si="261"/>
        <v>0.16684310399999999</v>
      </c>
      <c r="Y334" s="452">
        <f t="shared" si="262"/>
        <v>204</v>
      </c>
      <c r="Z334" s="262">
        <f t="shared" si="263"/>
        <v>26104252</v>
      </c>
      <c r="AA334" s="262">
        <f t="shared" si="264"/>
        <v>27449832</v>
      </c>
      <c r="AB334" s="431">
        <f t="shared" si="265"/>
        <v>19</v>
      </c>
      <c r="AC334" s="431">
        <f t="array" ref="AC334">MAX((IF(MNU_CODIGO_ALIMENTO_ENTREGA=CONCATENATE($E334,"_","P_"),MNU_GRAMAJE_REQUERIDO_TIPOC,"")))</f>
        <v>100</v>
      </c>
      <c r="AD334" s="259">
        <f t="shared" si="266"/>
        <v>7654</v>
      </c>
      <c r="AE334" s="259">
        <f t="shared" si="267"/>
        <v>145426</v>
      </c>
      <c r="AF334" s="452">
        <f t="shared" si="268"/>
        <v>194</v>
      </c>
      <c r="AG334" s="452">
        <f t="shared" si="269"/>
        <v>9.4672000000000001</v>
      </c>
      <c r="AH334" s="452">
        <f t="shared" si="270"/>
        <v>0.16684310399999999</v>
      </c>
      <c r="AI334" s="452">
        <f t="shared" si="271"/>
        <v>204</v>
      </c>
      <c r="AJ334" s="260">
        <f t="shared" si="272"/>
        <v>28212644</v>
      </c>
      <c r="AK334" s="260">
        <f t="shared" si="273"/>
        <v>29666904</v>
      </c>
      <c r="AL334" s="432">
        <f t="shared" si="274"/>
        <v>19</v>
      </c>
      <c r="AM334" s="432">
        <f t="array" ref="AM334">MAX((IF(MNU_CODIGO_ALIMENTO_ENTREGA=CONCATENATE($E334,"_","P_"),MNU_GRAMAJE_REQUERIDO_TIPOM,"")))</f>
        <v>100</v>
      </c>
      <c r="AN334" s="261">
        <f t="shared" si="275"/>
        <v>215</v>
      </c>
      <c r="AO334" s="261">
        <f t="shared" si="276"/>
        <v>4085</v>
      </c>
      <c r="AP334" s="452">
        <f t="shared" si="277"/>
        <v>194</v>
      </c>
      <c r="AQ334" s="452">
        <f t="shared" si="278"/>
        <v>9.4672000000000001</v>
      </c>
      <c r="AR334" s="452">
        <f t="shared" si="279"/>
        <v>0.16684310399999999</v>
      </c>
      <c r="AS334" s="452">
        <f t="shared" si="280"/>
        <v>204</v>
      </c>
      <c r="AT334" s="262">
        <f t="shared" si="281"/>
        <v>792490</v>
      </c>
      <c r="AU334" s="262">
        <f t="shared" si="282"/>
        <v>833340</v>
      </c>
      <c r="AV334" s="431">
        <f t="shared" si="283"/>
        <v>19</v>
      </c>
      <c r="AW334" s="431">
        <f t="array" ref="AW334">MAX((IF(MNU_CODIGO_ALIMENTO_ENTREGA=CONCATENATE($E334,"_","P_"),MNU_GRAMAJE_REQUERIDO_TIPOH,"")))</f>
        <v>100</v>
      </c>
      <c r="AX334" s="259">
        <f t="shared" si="284"/>
        <v>167</v>
      </c>
      <c r="AY334" s="259">
        <f t="shared" si="285"/>
        <v>3173</v>
      </c>
      <c r="AZ334" s="452">
        <f t="shared" si="286"/>
        <v>194</v>
      </c>
      <c r="BA334" s="452">
        <f t="shared" si="287"/>
        <v>9.4672000000000001</v>
      </c>
      <c r="BB334" s="452">
        <f t="shared" si="288"/>
        <v>0.16684310399999999</v>
      </c>
      <c r="BC334" s="452">
        <f t="shared" si="289"/>
        <v>204</v>
      </c>
      <c r="BD334" s="260">
        <f t="shared" si="290"/>
        <v>615562</v>
      </c>
      <c r="BE334" s="260">
        <f t="shared" si="291"/>
        <v>647292</v>
      </c>
      <c r="BF334" s="397">
        <f t="shared" si="292"/>
        <v>81069108</v>
      </c>
      <c r="BG334" s="397">
        <f t="shared" si="293"/>
        <v>85247928</v>
      </c>
    </row>
    <row r="335" spans="1:59" ht="15.75">
      <c r="A335" s="338">
        <v>25</v>
      </c>
      <c r="B335" s="338" t="str">
        <f t="shared" si="245"/>
        <v>FRUTA_25</v>
      </c>
      <c r="C335" s="338" t="str">
        <f t="shared" si="246"/>
        <v>43_25</v>
      </c>
      <c r="D335" s="338" t="s">
        <v>1</v>
      </c>
      <c r="E335" s="258">
        <v>43</v>
      </c>
      <c r="F335" s="328" t="s">
        <v>62</v>
      </c>
      <c r="G335" s="258" t="s">
        <v>9</v>
      </c>
      <c r="H335" s="431">
        <f t="shared" si="247"/>
        <v>24</v>
      </c>
      <c r="I335" s="431">
        <f t="array" ref="I335">MAX((IF(MNU_CODIGO_ALIMENTO_ENTREGA=CONCATENATE($E335,"_","P_"),MNU_GRAMAJE_REQUERIDO_TIPOA,"")))</f>
        <v>100</v>
      </c>
      <c r="J335" s="259">
        <f t="shared" si="248"/>
        <v>5680</v>
      </c>
      <c r="K335" s="259">
        <f t="shared" si="249"/>
        <v>136320</v>
      </c>
      <c r="L335" s="452">
        <f t="shared" si="250"/>
        <v>170</v>
      </c>
      <c r="M335" s="452">
        <f t="shared" si="251"/>
        <v>8.2959999999999994</v>
      </c>
      <c r="N335" s="452">
        <f t="shared" si="252"/>
        <v>0.14620272000000001</v>
      </c>
      <c r="O335" s="452">
        <f t="shared" si="253"/>
        <v>178</v>
      </c>
      <c r="P335" s="260">
        <f t="shared" si="254"/>
        <v>23174400</v>
      </c>
      <c r="Q335" s="260">
        <f t="shared" si="255"/>
        <v>24264960</v>
      </c>
      <c r="R335" s="432">
        <f t="shared" si="256"/>
        <v>17</v>
      </c>
      <c r="S335" s="432">
        <f t="array" ref="S335">MAX((IF(MNU_CODIGO_ALIMENTO_ENTREGA=CONCATENATE($E335,"_","P_"),MNU_GRAMAJE_REQUERIDO_TIPOB,"")))</f>
        <v>100</v>
      </c>
      <c r="T335" s="261">
        <f t="shared" si="257"/>
        <v>7082</v>
      </c>
      <c r="U335" s="261">
        <f t="shared" si="258"/>
        <v>120394</v>
      </c>
      <c r="V335" s="452">
        <f t="shared" si="259"/>
        <v>170</v>
      </c>
      <c r="W335" s="452">
        <f t="shared" si="260"/>
        <v>8.2959999999999994</v>
      </c>
      <c r="X335" s="452">
        <f t="shared" si="261"/>
        <v>0.14620272000000001</v>
      </c>
      <c r="Y335" s="452">
        <f t="shared" si="262"/>
        <v>178</v>
      </c>
      <c r="Z335" s="262">
        <f t="shared" si="263"/>
        <v>20466980</v>
      </c>
      <c r="AA335" s="262">
        <f t="shared" si="264"/>
        <v>21430132</v>
      </c>
      <c r="AB335" s="431">
        <f t="shared" si="265"/>
        <v>17</v>
      </c>
      <c r="AC335" s="431">
        <f t="array" ref="AC335">MAX((IF(MNU_CODIGO_ALIMENTO_ENTREGA=CONCATENATE($E335,"_","P_"),MNU_GRAMAJE_REQUERIDO_TIPOC,"")))</f>
        <v>100</v>
      </c>
      <c r="AD335" s="259">
        <f t="shared" si="266"/>
        <v>7654</v>
      </c>
      <c r="AE335" s="259">
        <f t="shared" si="267"/>
        <v>130118</v>
      </c>
      <c r="AF335" s="452">
        <f t="shared" si="268"/>
        <v>170</v>
      </c>
      <c r="AG335" s="452">
        <f t="shared" si="269"/>
        <v>8.2959999999999994</v>
      </c>
      <c r="AH335" s="452">
        <f t="shared" si="270"/>
        <v>0.14620272000000001</v>
      </c>
      <c r="AI335" s="452">
        <f t="shared" si="271"/>
        <v>178</v>
      </c>
      <c r="AJ335" s="260">
        <f t="shared" si="272"/>
        <v>22120060</v>
      </c>
      <c r="AK335" s="260">
        <f t="shared" si="273"/>
        <v>23161004</v>
      </c>
      <c r="AL335" s="432">
        <f t="shared" si="274"/>
        <v>17</v>
      </c>
      <c r="AM335" s="432">
        <f t="array" ref="AM335">MAX((IF(MNU_CODIGO_ALIMENTO_ENTREGA=CONCATENATE($E335,"_","P_"),MNU_GRAMAJE_REQUERIDO_TIPOM,"")))</f>
        <v>100</v>
      </c>
      <c r="AN335" s="261">
        <f t="shared" si="275"/>
        <v>215</v>
      </c>
      <c r="AO335" s="261">
        <f t="shared" si="276"/>
        <v>3655</v>
      </c>
      <c r="AP335" s="452">
        <f t="shared" si="277"/>
        <v>170</v>
      </c>
      <c r="AQ335" s="452">
        <f t="shared" si="278"/>
        <v>8.2959999999999994</v>
      </c>
      <c r="AR335" s="452">
        <f t="shared" si="279"/>
        <v>0.14620272000000001</v>
      </c>
      <c r="AS335" s="452">
        <f t="shared" si="280"/>
        <v>178</v>
      </c>
      <c r="AT335" s="262">
        <f t="shared" si="281"/>
        <v>621350</v>
      </c>
      <c r="AU335" s="262">
        <f t="shared" si="282"/>
        <v>650590</v>
      </c>
      <c r="AV335" s="431">
        <f t="shared" si="283"/>
        <v>17</v>
      </c>
      <c r="AW335" s="431">
        <f t="array" ref="AW335">MAX((IF(MNU_CODIGO_ALIMENTO_ENTREGA=CONCATENATE($E335,"_","P_"),MNU_GRAMAJE_REQUERIDO_TIPOH,"")))</f>
        <v>100</v>
      </c>
      <c r="AX335" s="259">
        <f t="shared" si="284"/>
        <v>167</v>
      </c>
      <c r="AY335" s="259">
        <f t="shared" si="285"/>
        <v>2839</v>
      </c>
      <c r="AZ335" s="452">
        <f t="shared" si="286"/>
        <v>170</v>
      </c>
      <c r="BA335" s="452">
        <f t="shared" si="287"/>
        <v>8.2959999999999994</v>
      </c>
      <c r="BB335" s="452">
        <f t="shared" si="288"/>
        <v>0.14620272000000001</v>
      </c>
      <c r="BC335" s="452">
        <f t="shared" si="289"/>
        <v>178</v>
      </c>
      <c r="BD335" s="260">
        <f t="shared" si="290"/>
        <v>482630</v>
      </c>
      <c r="BE335" s="260">
        <f t="shared" si="291"/>
        <v>505342</v>
      </c>
      <c r="BF335" s="397">
        <f t="shared" si="292"/>
        <v>66865420</v>
      </c>
      <c r="BG335" s="397">
        <f t="shared" si="293"/>
        <v>70012028</v>
      </c>
    </row>
    <row r="336" spans="1:59" ht="15.75">
      <c r="A336" s="338">
        <v>25</v>
      </c>
      <c r="B336" s="338" t="str">
        <f t="shared" si="245"/>
        <v>FRUTA_25</v>
      </c>
      <c r="C336" s="338" t="str">
        <f t="shared" si="246"/>
        <v>46_25</v>
      </c>
      <c r="D336" s="338" t="s">
        <v>1</v>
      </c>
      <c r="E336" s="258">
        <v>46</v>
      </c>
      <c r="F336" s="328" t="s">
        <v>64</v>
      </c>
      <c r="G336" s="258" t="s">
        <v>9</v>
      </c>
      <c r="H336" s="431">
        <f t="shared" si="247"/>
        <v>30</v>
      </c>
      <c r="I336" s="431">
        <f t="array" ref="I336">MAX((IF(MNU_CODIGO_ALIMENTO_ENTREGA=CONCATENATE($E336,"_","P_"),MNU_GRAMAJE_REQUERIDO_TIPOA,"")))</f>
        <v>100</v>
      </c>
      <c r="J336" s="259">
        <f t="shared" si="248"/>
        <v>5680</v>
      </c>
      <c r="K336" s="259">
        <f t="shared" si="249"/>
        <v>170400</v>
      </c>
      <c r="L336" s="452">
        <f t="shared" si="250"/>
        <v>398</v>
      </c>
      <c r="M336" s="452">
        <f t="shared" si="251"/>
        <v>19.4224</v>
      </c>
      <c r="N336" s="452">
        <f t="shared" si="252"/>
        <v>0.34228636800000001</v>
      </c>
      <c r="O336" s="452">
        <f t="shared" si="253"/>
        <v>418</v>
      </c>
      <c r="P336" s="260">
        <f t="shared" si="254"/>
        <v>67819200</v>
      </c>
      <c r="Q336" s="260">
        <f t="shared" si="255"/>
        <v>71227200</v>
      </c>
      <c r="R336" s="432">
        <f t="shared" si="256"/>
        <v>21</v>
      </c>
      <c r="S336" s="432">
        <f t="array" ref="S336">MAX((IF(MNU_CODIGO_ALIMENTO_ENTREGA=CONCATENATE($E336,"_","P_"),MNU_GRAMAJE_REQUERIDO_TIPOB,"")))</f>
        <v>100</v>
      </c>
      <c r="T336" s="261">
        <f t="shared" si="257"/>
        <v>7082</v>
      </c>
      <c r="U336" s="261">
        <f t="shared" si="258"/>
        <v>148722</v>
      </c>
      <c r="V336" s="452">
        <f t="shared" si="259"/>
        <v>398</v>
      </c>
      <c r="W336" s="452">
        <f t="shared" si="260"/>
        <v>19.4224</v>
      </c>
      <c r="X336" s="452">
        <f t="shared" si="261"/>
        <v>0.34228636800000001</v>
      </c>
      <c r="Y336" s="452">
        <f t="shared" si="262"/>
        <v>418</v>
      </c>
      <c r="Z336" s="262">
        <f t="shared" si="263"/>
        <v>59191356</v>
      </c>
      <c r="AA336" s="262">
        <f t="shared" si="264"/>
        <v>62165796</v>
      </c>
      <c r="AB336" s="431">
        <f t="shared" si="265"/>
        <v>21</v>
      </c>
      <c r="AC336" s="431">
        <f t="array" ref="AC336">MAX((IF(MNU_CODIGO_ALIMENTO_ENTREGA=CONCATENATE($E336,"_","P_"),MNU_GRAMAJE_REQUERIDO_TIPOC,"")))</f>
        <v>100</v>
      </c>
      <c r="AD336" s="259">
        <f t="shared" si="266"/>
        <v>7654</v>
      </c>
      <c r="AE336" s="259">
        <f t="shared" si="267"/>
        <v>160734</v>
      </c>
      <c r="AF336" s="452">
        <f t="shared" si="268"/>
        <v>398</v>
      </c>
      <c r="AG336" s="452">
        <f t="shared" si="269"/>
        <v>19.4224</v>
      </c>
      <c r="AH336" s="452">
        <f t="shared" si="270"/>
        <v>0.34228636800000001</v>
      </c>
      <c r="AI336" s="452">
        <f t="shared" si="271"/>
        <v>418</v>
      </c>
      <c r="AJ336" s="260">
        <f t="shared" si="272"/>
        <v>63972132</v>
      </c>
      <c r="AK336" s="260">
        <f t="shared" si="273"/>
        <v>67186812</v>
      </c>
      <c r="AL336" s="432">
        <f t="shared" si="274"/>
        <v>21</v>
      </c>
      <c r="AM336" s="432">
        <f t="array" ref="AM336">MAX((IF(MNU_CODIGO_ALIMENTO_ENTREGA=CONCATENATE($E336,"_","P_"),MNU_GRAMAJE_REQUERIDO_TIPOM,"")))</f>
        <v>100</v>
      </c>
      <c r="AN336" s="261">
        <f t="shared" si="275"/>
        <v>215</v>
      </c>
      <c r="AO336" s="261">
        <f t="shared" si="276"/>
        <v>4515</v>
      </c>
      <c r="AP336" s="452">
        <f t="shared" si="277"/>
        <v>398</v>
      </c>
      <c r="AQ336" s="452">
        <f t="shared" si="278"/>
        <v>19.4224</v>
      </c>
      <c r="AR336" s="452">
        <f t="shared" si="279"/>
        <v>0.34228636800000001</v>
      </c>
      <c r="AS336" s="452">
        <f t="shared" si="280"/>
        <v>418</v>
      </c>
      <c r="AT336" s="262">
        <f t="shared" si="281"/>
        <v>1796970</v>
      </c>
      <c r="AU336" s="262">
        <f t="shared" si="282"/>
        <v>1887270</v>
      </c>
      <c r="AV336" s="431">
        <f t="shared" si="283"/>
        <v>21</v>
      </c>
      <c r="AW336" s="431">
        <f t="array" ref="AW336">MAX((IF(MNU_CODIGO_ALIMENTO_ENTREGA=CONCATENATE($E336,"_","P_"),MNU_GRAMAJE_REQUERIDO_TIPOH,"")))</f>
        <v>100</v>
      </c>
      <c r="AX336" s="259">
        <f t="shared" si="284"/>
        <v>167</v>
      </c>
      <c r="AY336" s="259">
        <f t="shared" si="285"/>
        <v>3507</v>
      </c>
      <c r="AZ336" s="452">
        <f t="shared" si="286"/>
        <v>398</v>
      </c>
      <c r="BA336" s="452">
        <f t="shared" si="287"/>
        <v>19.4224</v>
      </c>
      <c r="BB336" s="452">
        <f t="shared" si="288"/>
        <v>0.34228636800000001</v>
      </c>
      <c r="BC336" s="452">
        <f t="shared" si="289"/>
        <v>418</v>
      </c>
      <c r="BD336" s="260">
        <f t="shared" si="290"/>
        <v>1395786</v>
      </c>
      <c r="BE336" s="260">
        <f t="shared" si="291"/>
        <v>1465926</v>
      </c>
      <c r="BF336" s="397">
        <f t="shared" si="292"/>
        <v>194175444</v>
      </c>
      <c r="BG336" s="397">
        <f t="shared" si="293"/>
        <v>203933004</v>
      </c>
    </row>
    <row r="337" spans="1:59" ht="15.75">
      <c r="A337" s="338">
        <v>25</v>
      </c>
      <c r="B337" s="338" t="str">
        <f t="shared" si="245"/>
        <v>FRUTA_25</v>
      </c>
      <c r="C337" s="338" t="str">
        <f t="shared" si="246"/>
        <v>58_25</v>
      </c>
      <c r="D337" s="338" t="s">
        <v>1</v>
      </c>
      <c r="E337" s="258">
        <v>58</v>
      </c>
      <c r="F337" s="465" t="s">
        <v>67</v>
      </c>
      <c r="G337" s="258" t="s">
        <v>9</v>
      </c>
      <c r="H337" s="431">
        <f t="shared" si="247"/>
        <v>24</v>
      </c>
      <c r="I337" s="431">
        <f t="array" ref="I337">MAX((IF(MNU_CODIGO_ALIMENTO_ENTREGA=CONCATENATE($E337,"_","P_"),MNU_GRAMAJE_REQUERIDO_TIPOA,"")))</f>
        <v>100</v>
      </c>
      <c r="J337" s="259">
        <f t="shared" si="248"/>
        <v>5680</v>
      </c>
      <c r="K337" s="259">
        <f t="shared" si="249"/>
        <v>136320</v>
      </c>
      <c r="L337" s="452">
        <f t="shared" si="250"/>
        <v>154</v>
      </c>
      <c r="M337" s="452">
        <f t="shared" si="251"/>
        <v>7.515200000000001</v>
      </c>
      <c r="N337" s="452">
        <f t="shared" si="252"/>
        <v>0.13244246400000001</v>
      </c>
      <c r="O337" s="452">
        <f t="shared" si="253"/>
        <v>162</v>
      </c>
      <c r="P337" s="260">
        <f t="shared" si="254"/>
        <v>20993280</v>
      </c>
      <c r="Q337" s="260">
        <f t="shared" si="255"/>
        <v>22083840</v>
      </c>
      <c r="R337" s="432">
        <f t="shared" si="256"/>
        <v>23</v>
      </c>
      <c r="S337" s="432">
        <f t="array" ref="S337">MAX((IF(MNU_CODIGO_ALIMENTO_ENTREGA=CONCATENATE($E337,"_","P_"),MNU_GRAMAJE_REQUERIDO_TIPOB,"")))</f>
        <v>100</v>
      </c>
      <c r="T337" s="261">
        <f t="shared" si="257"/>
        <v>7082</v>
      </c>
      <c r="U337" s="261">
        <f t="shared" si="258"/>
        <v>162886</v>
      </c>
      <c r="V337" s="452">
        <f t="shared" si="259"/>
        <v>154</v>
      </c>
      <c r="W337" s="452">
        <f t="shared" si="260"/>
        <v>7.515200000000001</v>
      </c>
      <c r="X337" s="452">
        <f t="shared" si="261"/>
        <v>0.13244246400000001</v>
      </c>
      <c r="Y337" s="452">
        <f t="shared" si="262"/>
        <v>162</v>
      </c>
      <c r="Z337" s="262">
        <f t="shared" si="263"/>
        <v>25084444</v>
      </c>
      <c r="AA337" s="262">
        <f t="shared" si="264"/>
        <v>26387532</v>
      </c>
      <c r="AB337" s="431">
        <f t="shared" si="265"/>
        <v>23</v>
      </c>
      <c r="AC337" s="431">
        <f t="array" ref="AC337">MAX((IF(MNU_CODIGO_ALIMENTO_ENTREGA=CONCATENATE($E337,"_","P_"),MNU_GRAMAJE_REQUERIDO_TIPOC,"")))</f>
        <v>100</v>
      </c>
      <c r="AD337" s="259">
        <f t="shared" si="266"/>
        <v>7654</v>
      </c>
      <c r="AE337" s="259">
        <f t="shared" si="267"/>
        <v>176042</v>
      </c>
      <c r="AF337" s="452">
        <f t="shared" si="268"/>
        <v>154</v>
      </c>
      <c r="AG337" s="452">
        <f t="shared" si="269"/>
        <v>7.515200000000001</v>
      </c>
      <c r="AH337" s="452">
        <f t="shared" si="270"/>
        <v>0.13244246400000001</v>
      </c>
      <c r="AI337" s="452">
        <f t="shared" si="271"/>
        <v>162</v>
      </c>
      <c r="AJ337" s="260">
        <f t="shared" si="272"/>
        <v>27110468</v>
      </c>
      <c r="AK337" s="260">
        <f t="shared" si="273"/>
        <v>28518804</v>
      </c>
      <c r="AL337" s="432">
        <f t="shared" si="274"/>
        <v>23</v>
      </c>
      <c r="AM337" s="432">
        <f t="array" ref="AM337">MAX((IF(MNU_CODIGO_ALIMENTO_ENTREGA=CONCATENATE($E337,"_","P_"),MNU_GRAMAJE_REQUERIDO_TIPOM,"")))</f>
        <v>100</v>
      </c>
      <c r="AN337" s="261">
        <f t="shared" si="275"/>
        <v>215</v>
      </c>
      <c r="AO337" s="261">
        <f t="shared" si="276"/>
        <v>4945</v>
      </c>
      <c r="AP337" s="452">
        <f t="shared" si="277"/>
        <v>154</v>
      </c>
      <c r="AQ337" s="452">
        <f t="shared" si="278"/>
        <v>7.515200000000001</v>
      </c>
      <c r="AR337" s="452">
        <f t="shared" si="279"/>
        <v>0.13244246400000001</v>
      </c>
      <c r="AS337" s="452">
        <f t="shared" si="280"/>
        <v>162</v>
      </c>
      <c r="AT337" s="262">
        <f t="shared" si="281"/>
        <v>761530</v>
      </c>
      <c r="AU337" s="262">
        <f t="shared" si="282"/>
        <v>801090</v>
      </c>
      <c r="AV337" s="431">
        <f t="shared" si="283"/>
        <v>23</v>
      </c>
      <c r="AW337" s="431">
        <f t="array" ref="AW337">MAX((IF(MNU_CODIGO_ALIMENTO_ENTREGA=CONCATENATE($E337,"_","P_"),MNU_GRAMAJE_REQUERIDO_TIPOH,"")))</f>
        <v>100</v>
      </c>
      <c r="AX337" s="259">
        <f t="shared" si="284"/>
        <v>167</v>
      </c>
      <c r="AY337" s="259">
        <f t="shared" si="285"/>
        <v>3841</v>
      </c>
      <c r="AZ337" s="452">
        <f t="shared" si="286"/>
        <v>154</v>
      </c>
      <c r="BA337" s="452">
        <f t="shared" si="287"/>
        <v>7.515200000000001</v>
      </c>
      <c r="BB337" s="452">
        <f t="shared" si="288"/>
        <v>0.13244246400000001</v>
      </c>
      <c r="BC337" s="452">
        <f t="shared" si="289"/>
        <v>162</v>
      </c>
      <c r="BD337" s="260">
        <f t="shared" si="290"/>
        <v>591514</v>
      </c>
      <c r="BE337" s="260">
        <f t="shared" si="291"/>
        <v>622242</v>
      </c>
      <c r="BF337" s="397">
        <f t="shared" si="292"/>
        <v>74541236</v>
      </c>
      <c r="BG337" s="397">
        <f t="shared" si="293"/>
        <v>78413508</v>
      </c>
    </row>
    <row r="338" spans="1:59" ht="15.75">
      <c r="A338" s="338">
        <v>25</v>
      </c>
      <c r="B338" s="338" t="str">
        <f t="shared" si="245"/>
        <v>FRUTA_25</v>
      </c>
      <c r="C338" s="338" t="str">
        <f t="shared" si="246"/>
        <v>59_25</v>
      </c>
      <c r="D338" s="338" t="s">
        <v>1</v>
      </c>
      <c r="E338" s="258">
        <v>59</v>
      </c>
      <c r="F338" s="328" t="s">
        <v>99</v>
      </c>
      <c r="G338" s="258" t="s">
        <v>9</v>
      </c>
      <c r="H338" s="431">
        <f t="shared" si="247"/>
        <v>0</v>
      </c>
      <c r="I338" s="431">
        <f t="array" ref="I338">MAX((IF(MNU_CODIGO_ALIMENTO_ENTREGA=CONCATENATE($E338,"_","P_"),MNU_GRAMAJE_REQUERIDO_TIPOA,"")))</f>
        <v>0</v>
      </c>
      <c r="J338" s="259">
        <f t="shared" si="248"/>
        <v>5680</v>
      </c>
      <c r="K338" s="259">
        <f t="shared" si="249"/>
        <v>0</v>
      </c>
      <c r="L338" s="452">
        <f t="shared" si="250"/>
        <v>0</v>
      </c>
      <c r="M338" s="452">
        <f t="shared" si="251"/>
        <v>0</v>
      </c>
      <c r="N338" s="452">
        <f t="shared" si="252"/>
        <v>0</v>
      </c>
      <c r="O338" s="452">
        <f t="shared" si="253"/>
        <v>0</v>
      </c>
      <c r="P338" s="260">
        <f t="shared" si="254"/>
        <v>0</v>
      </c>
      <c r="Q338" s="260">
        <f t="shared" si="255"/>
        <v>0</v>
      </c>
      <c r="R338" s="432">
        <f t="shared" si="256"/>
        <v>8</v>
      </c>
      <c r="S338" s="432">
        <f t="array" ref="S338">MAX((IF(MNU_CODIGO_ALIMENTO_ENTREGA=CONCATENATE($E338,"_","P_"),MNU_GRAMAJE_REQUERIDO_TIPOB,"")))</f>
        <v>100</v>
      </c>
      <c r="T338" s="261">
        <f t="shared" si="257"/>
        <v>7082</v>
      </c>
      <c r="U338" s="261">
        <f t="shared" si="258"/>
        <v>56656</v>
      </c>
      <c r="V338" s="452">
        <f t="shared" si="259"/>
        <v>286</v>
      </c>
      <c r="W338" s="452">
        <f t="shared" si="260"/>
        <v>13.956800000000001</v>
      </c>
      <c r="X338" s="452">
        <f t="shared" si="261"/>
        <v>0.24596457599999999</v>
      </c>
      <c r="Y338" s="452">
        <f t="shared" si="262"/>
        <v>300</v>
      </c>
      <c r="Z338" s="262">
        <f t="shared" si="263"/>
        <v>16203616</v>
      </c>
      <c r="AA338" s="262">
        <f t="shared" si="264"/>
        <v>16996800</v>
      </c>
      <c r="AB338" s="431">
        <f t="shared" si="265"/>
        <v>8</v>
      </c>
      <c r="AC338" s="431">
        <f t="array" ref="AC338">MAX((IF(MNU_CODIGO_ALIMENTO_ENTREGA=CONCATENATE($E338,"_","P_"),MNU_GRAMAJE_REQUERIDO_TIPOC,"")))</f>
        <v>100</v>
      </c>
      <c r="AD338" s="259">
        <f t="shared" si="266"/>
        <v>7654</v>
      </c>
      <c r="AE338" s="259">
        <f t="shared" si="267"/>
        <v>61232</v>
      </c>
      <c r="AF338" s="452">
        <f t="shared" si="268"/>
        <v>286</v>
      </c>
      <c r="AG338" s="452">
        <f t="shared" si="269"/>
        <v>13.956800000000001</v>
      </c>
      <c r="AH338" s="452">
        <f t="shared" si="270"/>
        <v>0.24596457599999999</v>
      </c>
      <c r="AI338" s="452">
        <f t="shared" si="271"/>
        <v>300</v>
      </c>
      <c r="AJ338" s="260">
        <f t="shared" si="272"/>
        <v>17512352</v>
      </c>
      <c r="AK338" s="260">
        <f t="shared" si="273"/>
        <v>18369600</v>
      </c>
      <c r="AL338" s="432">
        <f t="shared" si="274"/>
        <v>8</v>
      </c>
      <c r="AM338" s="432">
        <f t="array" ref="AM338">MAX((IF(MNU_CODIGO_ALIMENTO_ENTREGA=CONCATENATE($E338,"_","P_"),MNU_GRAMAJE_REQUERIDO_TIPOM,"")))</f>
        <v>100</v>
      </c>
      <c r="AN338" s="261">
        <f t="shared" si="275"/>
        <v>215</v>
      </c>
      <c r="AO338" s="261">
        <f t="shared" si="276"/>
        <v>1720</v>
      </c>
      <c r="AP338" s="452">
        <f t="shared" si="277"/>
        <v>286</v>
      </c>
      <c r="AQ338" s="452">
        <f t="shared" si="278"/>
        <v>13.956800000000001</v>
      </c>
      <c r="AR338" s="452">
        <f t="shared" si="279"/>
        <v>0.24596457599999999</v>
      </c>
      <c r="AS338" s="452">
        <f t="shared" si="280"/>
        <v>300</v>
      </c>
      <c r="AT338" s="262">
        <f t="shared" si="281"/>
        <v>491920</v>
      </c>
      <c r="AU338" s="262">
        <f t="shared" si="282"/>
        <v>516000</v>
      </c>
      <c r="AV338" s="431">
        <f t="shared" si="283"/>
        <v>8</v>
      </c>
      <c r="AW338" s="431">
        <f t="array" ref="AW338">MAX((IF(MNU_CODIGO_ALIMENTO_ENTREGA=CONCATENATE($E338,"_","P_"),MNU_GRAMAJE_REQUERIDO_TIPOH,"")))</f>
        <v>100</v>
      </c>
      <c r="AX338" s="259">
        <f t="shared" si="284"/>
        <v>167</v>
      </c>
      <c r="AY338" s="259">
        <f t="shared" si="285"/>
        <v>1336</v>
      </c>
      <c r="AZ338" s="452">
        <f t="shared" si="286"/>
        <v>286</v>
      </c>
      <c r="BA338" s="452">
        <f t="shared" si="287"/>
        <v>13.956800000000001</v>
      </c>
      <c r="BB338" s="452">
        <f t="shared" si="288"/>
        <v>0.24596457599999999</v>
      </c>
      <c r="BC338" s="452">
        <f t="shared" si="289"/>
        <v>300</v>
      </c>
      <c r="BD338" s="260">
        <f t="shared" si="290"/>
        <v>382096</v>
      </c>
      <c r="BE338" s="260">
        <f t="shared" si="291"/>
        <v>400800</v>
      </c>
      <c r="BF338" s="397">
        <f t="shared" si="292"/>
        <v>34589984</v>
      </c>
      <c r="BG338" s="397">
        <f t="shared" si="293"/>
        <v>36283200</v>
      </c>
    </row>
    <row r="339" spans="1:59" ht="15.75">
      <c r="A339" s="338">
        <v>25</v>
      </c>
      <c r="B339" s="338" t="str">
        <f t="shared" si="245"/>
        <v>FRUTA_25</v>
      </c>
      <c r="C339" s="338" t="str">
        <f t="shared" si="246"/>
        <v>69_25</v>
      </c>
      <c r="D339" s="338" t="s">
        <v>1</v>
      </c>
      <c r="E339" s="258">
        <v>69</v>
      </c>
      <c r="F339" s="328" t="s">
        <v>70</v>
      </c>
      <c r="G339" s="258" t="s">
        <v>9</v>
      </c>
      <c r="H339" s="431">
        <f t="shared" si="247"/>
        <v>30</v>
      </c>
      <c r="I339" s="431">
        <f t="array" ref="I339">MAX((IF(MNU_CODIGO_ALIMENTO_ENTREGA=CONCATENATE($E339,"_","P_"),MNU_GRAMAJE_REQUERIDO_TIPOA,"")))</f>
        <v>100</v>
      </c>
      <c r="J339" s="259">
        <f t="shared" si="248"/>
        <v>5680</v>
      </c>
      <c r="K339" s="259">
        <f t="shared" si="249"/>
        <v>170400</v>
      </c>
      <c r="L339" s="452">
        <f t="shared" si="250"/>
        <v>305</v>
      </c>
      <c r="M339" s="452">
        <f t="shared" si="251"/>
        <v>14.884</v>
      </c>
      <c r="N339" s="452">
        <f t="shared" si="252"/>
        <v>0.26230488000000002</v>
      </c>
      <c r="O339" s="452">
        <f t="shared" si="253"/>
        <v>320</v>
      </c>
      <c r="P339" s="260">
        <f t="shared" si="254"/>
        <v>51972000</v>
      </c>
      <c r="Q339" s="260">
        <f t="shared" si="255"/>
        <v>54528000</v>
      </c>
      <c r="R339" s="432">
        <f t="shared" si="256"/>
        <v>16</v>
      </c>
      <c r="S339" s="432">
        <f t="array" ref="S339">MAX((IF(MNU_CODIGO_ALIMENTO_ENTREGA=CONCATENATE($E339,"_","P_"),MNU_GRAMAJE_REQUERIDO_TIPOB,"")))</f>
        <v>100</v>
      </c>
      <c r="T339" s="261">
        <f t="shared" si="257"/>
        <v>7082</v>
      </c>
      <c r="U339" s="261">
        <f t="shared" si="258"/>
        <v>113312</v>
      </c>
      <c r="V339" s="452">
        <f t="shared" si="259"/>
        <v>305</v>
      </c>
      <c r="W339" s="452">
        <f t="shared" si="260"/>
        <v>14.884</v>
      </c>
      <c r="X339" s="452">
        <f t="shared" si="261"/>
        <v>0.26230488000000002</v>
      </c>
      <c r="Y339" s="452">
        <f t="shared" si="262"/>
        <v>320</v>
      </c>
      <c r="Z339" s="262">
        <f t="shared" si="263"/>
        <v>34560160</v>
      </c>
      <c r="AA339" s="262">
        <f t="shared" si="264"/>
        <v>36259840</v>
      </c>
      <c r="AB339" s="431">
        <f t="shared" si="265"/>
        <v>16</v>
      </c>
      <c r="AC339" s="431">
        <f t="array" ref="AC339">MAX((IF(MNU_CODIGO_ALIMENTO_ENTREGA=CONCATENATE($E339,"_","P_"),MNU_GRAMAJE_REQUERIDO_TIPOC,"")))</f>
        <v>100</v>
      </c>
      <c r="AD339" s="259">
        <f t="shared" si="266"/>
        <v>7654</v>
      </c>
      <c r="AE339" s="259">
        <f t="shared" si="267"/>
        <v>122464</v>
      </c>
      <c r="AF339" s="452">
        <f t="shared" si="268"/>
        <v>305</v>
      </c>
      <c r="AG339" s="452">
        <f t="shared" si="269"/>
        <v>14.884</v>
      </c>
      <c r="AH339" s="452">
        <f t="shared" si="270"/>
        <v>0.26230488000000002</v>
      </c>
      <c r="AI339" s="452">
        <f t="shared" si="271"/>
        <v>320</v>
      </c>
      <c r="AJ339" s="260">
        <f t="shared" si="272"/>
        <v>37351520</v>
      </c>
      <c r="AK339" s="260">
        <f t="shared" si="273"/>
        <v>39188480</v>
      </c>
      <c r="AL339" s="432">
        <f t="shared" si="274"/>
        <v>16</v>
      </c>
      <c r="AM339" s="432">
        <f t="array" ref="AM339">MAX((IF(MNU_CODIGO_ALIMENTO_ENTREGA=CONCATENATE($E339,"_","P_"),MNU_GRAMAJE_REQUERIDO_TIPOM,"")))</f>
        <v>100</v>
      </c>
      <c r="AN339" s="261">
        <f t="shared" si="275"/>
        <v>215</v>
      </c>
      <c r="AO339" s="261">
        <f t="shared" si="276"/>
        <v>3440</v>
      </c>
      <c r="AP339" s="452">
        <f t="shared" si="277"/>
        <v>305</v>
      </c>
      <c r="AQ339" s="452">
        <f t="shared" si="278"/>
        <v>14.884</v>
      </c>
      <c r="AR339" s="452">
        <f t="shared" si="279"/>
        <v>0.26230488000000002</v>
      </c>
      <c r="AS339" s="452">
        <f t="shared" si="280"/>
        <v>320</v>
      </c>
      <c r="AT339" s="262">
        <f t="shared" si="281"/>
        <v>1049200</v>
      </c>
      <c r="AU339" s="262">
        <f t="shared" si="282"/>
        <v>1100800</v>
      </c>
      <c r="AV339" s="431">
        <f t="shared" si="283"/>
        <v>16</v>
      </c>
      <c r="AW339" s="431">
        <f t="array" ref="AW339">MAX((IF(MNU_CODIGO_ALIMENTO_ENTREGA=CONCATENATE($E339,"_","P_"),MNU_GRAMAJE_REQUERIDO_TIPOH,"")))</f>
        <v>100</v>
      </c>
      <c r="AX339" s="259">
        <f t="shared" si="284"/>
        <v>167</v>
      </c>
      <c r="AY339" s="259">
        <f t="shared" si="285"/>
        <v>2672</v>
      </c>
      <c r="AZ339" s="452">
        <f t="shared" si="286"/>
        <v>305</v>
      </c>
      <c r="BA339" s="452">
        <f t="shared" si="287"/>
        <v>14.884</v>
      </c>
      <c r="BB339" s="452">
        <f t="shared" si="288"/>
        <v>0.26230488000000002</v>
      </c>
      <c r="BC339" s="452">
        <f t="shared" si="289"/>
        <v>320</v>
      </c>
      <c r="BD339" s="260">
        <f t="shared" si="290"/>
        <v>814960</v>
      </c>
      <c r="BE339" s="260">
        <f t="shared" si="291"/>
        <v>855040</v>
      </c>
      <c r="BF339" s="397">
        <f t="shared" si="292"/>
        <v>125747840</v>
      </c>
      <c r="BG339" s="397">
        <f t="shared" si="293"/>
        <v>131932160</v>
      </c>
    </row>
    <row r="340" spans="1:59" ht="15.75">
      <c r="A340" s="338">
        <v>25</v>
      </c>
      <c r="B340" s="338" t="str">
        <f t="shared" si="245"/>
        <v>FRUTA_25</v>
      </c>
      <c r="C340" s="338" t="str">
        <f t="shared" si="246"/>
        <v>70_25</v>
      </c>
      <c r="D340" s="338" t="s">
        <v>1</v>
      </c>
      <c r="E340" s="258">
        <v>70</v>
      </c>
      <c r="F340" s="328" t="s">
        <v>71</v>
      </c>
      <c r="G340" s="258" t="s">
        <v>9</v>
      </c>
      <c r="H340" s="431">
        <f t="shared" si="247"/>
        <v>0</v>
      </c>
      <c r="I340" s="431">
        <f t="array" ref="I340">MAX((IF(MNU_CODIGO_ALIMENTO_ENTREGA=CONCATENATE($E340,"_","P_"),MNU_GRAMAJE_REQUERIDO_TIPOA,"")))</f>
        <v>0</v>
      </c>
      <c r="J340" s="259">
        <f t="shared" si="248"/>
        <v>5680</v>
      </c>
      <c r="K340" s="259">
        <f t="shared" si="249"/>
        <v>0</v>
      </c>
      <c r="L340" s="452">
        <f t="shared" si="250"/>
        <v>0</v>
      </c>
      <c r="M340" s="452">
        <f t="shared" si="251"/>
        <v>0</v>
      </c>
      <c r="N340" s="452">
        <f t="shared" si="252"/>
        <v>0</v>
      </c>
      <c r="O340" s="452">
        <f t="shared" si="253"/>
        <v>0</v>
      </c>
      <c r="P340" s="260">
        <f t="shared" si="254"/>
        <v>0</v>
      </c>
      <c r="Q340" s="260">
        <f t="shared" si="255"/>
        <v>0</v>
      </c>
      <c r="R340" s="432">
        <f t="shared" si="256"/>
        <v>10</v>
      </c>
      <c r="S340" s="432">
        <f t="array" ref="S340">MAX((IF(MNU_CODIGO_ALIMENTO_ENTREGA=CONCATENATE($E340,"_","P_"),MNU_GRAMAJE_REQUERIDO_TIPOB,"")))</f>
        <v>100</v>
      </c>
      <c r="T340" s="261">
        <f t="shared" si="257"/>
        <v>7082</v>
      </c>
      <c r="U340" s="261">
        <f t="shared" si="258"/>
        <v>70820</v>
      </c>
      <c r="V340" s="452">
        <f t="shared" si="259"/>
        <v>434</v>
      </c>
      <c r="W340" s="452">
        <f t="shared" si="260"/>
        <v>21.179200000000002</v>
      </c>
      <c r="X340" s="452">
        <f t="shared" si="261"/>
        <v>0.37324694399999997</v>
      </c>
      <c r="Y340" s="452">
        <f t="shared" si="262"/>
        <v>456</v>
      </c>
      <c r="Z340" s="262">
        <f t="shared" si="263"/>
        <v>30735880</v>
      </c>
      <c r="AA340" s="262">
        <f t="shared" si="264"/>
        <v>32293920</v>
      </c>
      <c r="AB340" s="431">
        <f t="shared" si="265"/>
        <v>10</v>
      </c>
      <c r="AC340" s="431">
        <f t="array" ref="AC340">MAX((IF(MNU_CODIGO_ALIMENTO_ENTREGA=CONCATENATE($E340,"_","P_"),MNU_GRAMAJE_REQUERIDO_TIPOC,"")))</f>
        <v>100</v>
      </c>
      <c r="AD340" s="259">
        <f t="shared" si="266"/>
        <v>7654</v>
      </c>
      <c r="AE340" s="259">
        <f t="shared" si="267"/>
        <v>76540</v>
      </c>
      <c r="AF340" s="452">
        <f t="shared" si="268"/>
        <v>434</v>
      </c>
      <c r="AG340" s="452">
        <f t="shared" si="269"/>
        <v>21.179200000000002</v>
      </c>
      <c r="AH340" s="452">
        <f t="shared" si="270"/>
        <v>0.37324694399999997</v>
      </c>
      <c r="AI340" s="452">
        <f t="shared" si="271"/>
        <v>456</v>
      </c>
      <c r="AJ340" s="260">
        <f t="shared" si="272"/>
        <v>33218360</v>
      </c>
      <c r="AK340" s="260">
        <f t="shared" si="273"/>
        <v>34902240</v>
      </c>
      <c r="AL340" s="432">
        <f t="shared" si="274"/>
        <v>10</v>
      </c>
      <c r="AM340" s="432">
        <f t="array" ref="AM340">MAX((IF(MNU_CODIGO_ALIMENTO_ENTREGA=CONCATENATE($E340,"_","P_"),MNU_GRAMAJE_REQUERIDO_TIPOM,"")))</f>
        <v>100</v>
      </c>
      <c r="AN340" s="261">
        <f t="shared" si="275"/>
        <v>215</v>
      </c>
      <c r="AO340" s="261">
        <f t="shared" si="276"/>
        <v>2150</v>
      </c>
      <c r="AP340" s="452">
        <f t="shared" si="277"/>
        <v>434</v>
      </c>
      <c r="AQ340" s="452">
        <f t="shared" si="278"/>
        <v>21.179200000000002</v>
      </c>
      <c r="AR340" s="452">
        <f t="shared" si="279"/>
        <v>0.37324694399999997</v>
      </c>
      <c r="AS340" s="452">
        <f t="shared" si="280"/>
        <v>456</v>
      </c>
      <c r="AT340" s="262">
        <f t="shared" si="281"/>
        <v>933100</v>
      </c>
      <c r="AU340" s="262">
        <f t="shared" si="282"/>
        <v>980400</v>
      </c>
      <c r="AV340" s="431">
        <f t="shared" si="283"/>
        <v>10</v>
      </c>
      <c r="AW340" s="431">
        <f t="array" ref="AW340">MAX((IF(MNU_CODIGO_ALIMENTO_ENTREGA=CONCATENATE($E340,"_","P_"),MNU_GRAMAJE_REQUERIDO_TIPOH,"")))</f>
        <v>100</v>
      </c>
      <c r="AX340" s="259">
        <f t="shared" si="284"/>
        <v>167</v>
      </c>
      <c r="AY340" s="259">
        <f t="shared" si="285"/>
        <v>1670</v>
      </c>
      <c r="AZ340" s="452">
        <f t="shared" si="286"/>
        <v>434</v>
      </c>
      <c r="BA340" s="452">
        <f t="shared" si="287"/>
        <v>21.179200000000002</v>
      </c>
      <c r="BB340" s="452">
        <f t="shared" si="288"/>
        <v>0.37324694399999997</v>
      </c>
      <c r="BC340" s="452">
        <f t="shared" si="289"/>
        <v>456</v>
      </c>
      <c r="BD340" s="260">
        <f t="shared" si="290"/>
        <v>724780</v>
      </c>
      <c r="BE340" s="260">
        <f t="shared" si="291"/>
        <v>761520</v>
      </c>
      <c r="BF340" s="397">
        <f t="shared" si="292"/>
        <v>65612120</v>
      </c>
      <c r="BG340" s="397">
        <f t="shared" si="293"/>
        <v>68938080</v>
      </c>
    </row>
    <row r="341" spans="1:59" ht="15.75">
      <c r="A341" s="338">
        <v>26</v>
      </c>
      <c r="B341" s="338" t="str">
        <f t="shared" si="245"/>
        <v>FRUTA_26</v>
      </c>
      <c r="C341" s="338" t="str">
        <f t="shared" si="246"/>
        <v>7_26</v>
      </c>
      <c r="D341" s="338" t="s">
        <v>1</v>
      </c>
      <c r="E341" s="258">
        <v>7</v>
      </c>
      <c r="F341" s="328" t="s">
        <v>57</v>
      </c>
      <c r="G341" s="258" t="s">
        <v>9</v>
      </c>
      <c r="H341" s="431">
        <f t="shared" si="247"/>
        <v>22</v>
      </c>
      <c r="I341" s="431">
        <f t="array" ref="I341">MAX((IF(MNU_CODIGO_ALIMENTO_ENTREGA=CONCATENATE($E341,"_","P_"),MNU_GRAMAJE_REQUERIDO_TIPOA,"")))</f>
        <v>100</v>
      </c>
      <c r="J341" s="259">
        <f t="shared" si="248"/>
        <v>4940</v>
      </c>
      <c r="K341" s="259">
        <f t="shared" si="249"/>
        <v>108680</v>
      </c>
      <c r="L341" s="452">
        <f t="shared" si="250"/>
        <v>107</v>
      </c>
      <c r="M341" s="452">
        <f t="shared" si="251"/>
        <v>5.2216000000000005</v>
      </c>
      <c r="N341" s="452">
        <f t="shared" si="252"/>
        <v>9.2021712000000006E-2</v>
      </c>
      <c r="O341" s="452">
        <f t="shared" si="253"/>
        <v>112</v>
      </c>
      <c r="P341" s="260">
        <f t="shared" si="254"/>
        <v>11628760</v>
      </c>
      <c r="Q341" s="260">
        <f t="shared" si="255"/>
        <v>12172160</v>
      </c>
      <c r="R341" s="432">
        <f t="shared" si="256"/>
        <v>9</v>
      </c>
      <c r="S341" s="432">
        <f t="array" ref="S341">MAX((IF(MNU_CODIGO_ALIMENTO_ENTREGA=CONCATENATE($E341,"_","P_"),MNU_GRAMAJE_REQUERIDO_TIPOB,"")))</f>
        <v>100</v>
      </c>
      <c r="T341" s="261">
        <f t="shared" si="257"/>
        <v>6800</v>
      </c>
      <c r="U341" s="261">
        <f t="shared" si="258"/>
        <v>61200</v>
      </c>
      <c r="V341" s="452">
        <f t="shared" si="259"/>
        <v>107</v>
      </c>
      <c r="W341" s="452">
        <f t="shared" si="260"/>
        <v>5.2216000000000005</v>
      </c>
      <c r="X341" s="452">
        <f t="shared" si="261"/>
        <v>9.2021712000000006E-2</v>
      </c>
      <c r="Y341" s="452">
        <f t="shared" si="262"/>
        <v>112</v>
      </c>
      <c r="Z341" s="262">
        <f t="shared" si="263"/>
        <v>6548400</v>
      </c>
      <c r="AA341" s="262">
        <f t="shared" si="264"/>
        <v>6854400</v>
      </c>
      <c r="AB341" s="431">
        <f t="shared" si="265"/>
        <v>9</v>
      </c>
      <c r="AC341" s="431">
        <f t="array" ref="AC341">MAX((IF(MNU_CODIGO_ALIMENTO_ENTREGA=CONCATENATE($E341,"_","P_"),MNU_GRAMAJE_REQUERIDO_TIPOC,"")))</f>
        <v>100</v>
      </c>
      <c r="AD341" s="259">
        <f t="shared" si="266"/>
        <v>7513</v>
      </c>
      <c r="AE341" s="259">
        <f t="shared" si="267"/>
        <v>67617</v>
      </c>
      <c r="AF341" s="452">
        <f t="shared" si="268"/>
        <v>107</v>
      </c>
      <c r="AG341" s="452">
        <f t="shared" si="269"/>
        <v>5.2216000000000005</v>
      </c>
      <c r="AH341" s="452">
        <f t="shared" si="270"/>
        <v>9.2021712000000006E-2</v>
      </c>
      <c r="AI341" s="452">
        <f t="shared" si="271"/>
        <v>112</v>
      </c>
      <c r="AJ341" s="260">
        <f t="shared" si="272"/>
        <v>7235019</v>
      </c>
      <c r="AK341" s="260">
        <f t="shared" si="273"/>
        <v>7573104</v>
      </c>
      <c r="AL341" s="432">
        <f t="shared" si="274"/>
        <v>9</v>
      </c>
      <c r="AM341" s="432">
        <f t="array" ref="AM341">MAX((IF(MNU_CODIGO_ALIMENTO_ENTREGA=CONCATENATE($E341,"_","P_"),MNU_GRAMAJE_REQUERIDO_TIPOM,"")))</f>
        <v>100</v>
      </c>
      <c r="AN341" s="261">
        <f t="shared" si="275"/>
        <v>230</v>
      </c>
      <c r="AO341" s="261">
        <f t="shared" si="276"/>
        <v>2070</v>
      </c>
      <c r="AP341" s="452">
        <f t="shared" si="277"/>
        <v>107</v>
      </c>
      <c r="AQ341" s="452">
        <f t="shared" si="278"/>
        <v>5.2216000000000005</v>
      </c>
      <c r="AR341" s="452">
        <f t="shared" si="279"/>
        <v>9.2021712000000006E-2</v>
      </c>
      <c r="AS341" s="452">
        <f t="shared" si="280"/>
        <v>112</v>
      </c>
      <c r="AT341" s="262">
        <f t="shared" si="281"/>
        <v>221490</v>
      </c>
      <c r="AU341" s="262">
        <f t="shared" si="282"/>
        <v>231840</v>
      </c>
      <c r="AV341" s="431">
        <f t="shared" si="283"/>
        <v>9</v>
      </c>
      <c r="AW341" s="431">
        <f t="array" ref="AW341">MAX((IF(MNU_CODIGO_ALIMENTO_ENTREGA=CONCATENATE($E341,"_","P_"),MNU_GRAMAJE_REQUERIDO_TIPOH,"")))</f>
        <v>100</v>
      </c>
      <c r="AX341" s="259">
        <f t="shared" si="284"/>
        <v>290</v>
      </c>
      <c r="AY341" s="259">
        <f t="shared" si="285"/>
        <v>2610</v>
      </c>
      <c r="AZ341" s="452">
        <f t="shared" si="286"/>
        <v>107</v>
      </c>
      <c r="BA341" s="452">
        <f t="shared" si="287"/>
        <v>5.2216000000000005</v>
      </c>
      <c r="BB341" s="452">
        <f t="shared" si="288"/>
        <v>9.2021712000000006E-2</v>
      </c>
      <c r="BC341" s="452">
        <f t="shared" si="289"/>
        <v>112</v>
      </c>
      <c r="BD341" s="260">
        <f t="shared" si="290"/>
        <v>279270</v>
      </c>
      <c r="BE341" s="260">
        <f t="shared" si="291"/>
        <v>292320</v>
      </c>
      <c r="BF341" s="397">
        <f t="shared" si="292"/>
        <v>25912939</v>
      </c>
      <c r="BG341" s="397">
        <f t="shared" si="293"/>
        <v>27123824</v>
      </c>
    </row>
    <row r="342" spans="1:59" ht="15.75">
      <c r="A342" s="338">
        <v>26</v>
      </c>
      <c r="B342" s="338" t="str">
        <f t="shared" si="245"/>
        <v>FRUTA_26</v>
      </c>
      <c r="C342" s="338" t="str">
        <f t="shared" si="246"/>
        <v>8_26</v>
      </c>
      <c r="D342" s="338" t="s">
        <v>1</v>
      </c>
      <c r="E342" s="258">
        <v>8</v>
      </c>
      <c r="F342" s="328" t="s">
        <v>55</v>
      </c>
      <c r="G342" s="258" t="s">
        <v>9</v>
      </c>
      <c r="H342" s="431">
        <f t="shared" si="247"/>
        <v>10</v>
      </c>
      <c r="I342" s="431">
        <f t="array" ref="I342">MAX((IF(MNU_CODIGO_ALIMENTO_ENTREGA=CONCATENATE($E342,"_","P_"),MNU_GRAMAJE_REQUERIDO_TIPOA,"")))</f>
        <v>100</v>
      </c>
      <c r="J342" s="259">
        <f t="shared" si="248"/>
        <v>4940</v>
      </c>
      <c r="K342" s="259">
        <f t="shared" si="249"/>
        <v>49400</v>
      </c>
      <c r="L342" s="452">
        <f t="shared" si="250"/>
        <v>134</v>
      </c>
      <c r="M342" s="452">
        <f t="shared" si="251"/>
        <v>6.539200000000001</v>
      </c>
      <c r="N342" s="452">
        <f t="shared" si="252"/>
        <v>0.115242144</v>
      </c>
      <c r="O342" s="452">
        <f t="shared" si="253"/>
        <v>141</v>
      </c>
      <c r="P342" s="260">
        <f t="shared" si="254"/>
        <v>6619600</v>
      </c>
      <c r="Q342" s="260">
        <f t="shared" si="255"/>
        <v>6965400</v>
      </c>
      <c r="R342" s="432">
        <f t="shared" si="256"/>
        <v>8</v>
      </c>
      <c r="S342" s="432">
        <f t="array" ref="S342">MAX((IF(MNU_CODIGO_ALIMENTO_ENTREGA=CONCATENATE($E342,"_","P_"),MNU_GRAMAJE_REQUERIDO_TIPOB,"")))</f>
        <v>100</v>
      </c>
      <c r="T342" s="261">
        <f t="shared" si="257"/>
        <v>6800</v>
      </c>
      <c r="U342" s="261">
        <f t="shared" si="258"/>
        <v>54400</v>
      </c>
      <c r="V342" s="452">
        <f t="shared" si="259"/>
        <v>134</v>
      </c>
      <c r="W342" s="452">
        <f t="shared" si="260"/>
        <v>6.539200000000001</v>
      </c>
      <c r="X342" s="452">
        <f t="shared" si="261"/>
        <v>0.115242144</v>
      </c>
      <c r="Y342" s="452">
        <f t="shared" si="262"/>
        <v>141</v>
      </c>
      <c r="Z342" s="262">
        <f t="shared" si="263"/>
        <v>7289600</v>
      </c>
      <c r="AA342" s="262">
        <f t="shared" si="264"/>
        <v>7670400</v>
      </c>
      <c r="AB342" s="431">
        <f t="shared" si="265"/>
        <v>8</v>
      </c>
      <c r="AC342" s="431">
        <f t="array" ref="AC342">MAX((IF(MNU_CODIGO_ALIMENTO_ENTREGA=CONCATENATE($E342,"_","P_"),MNU_GRAMAJE_REQUERIDO_TIPOC,"")))</f>
        <v>100</v>
      </c>
      <c r="AD342" s="259">
        <f t="shared" si="266"/>
        <v>7513</v>
      </c>
      <c r="AE342" s="259">
        <f t="shared" si="267"/>
        <v>60104</v>
      </c>
      <c r="AF342" s="452">
        <f t="shared" si="268"/>
        <v>134</v>
      </c>
      <c r="AG342" s="452">
        <f t="shared" si="269"/>
        <v>6.539200000000001</v>
      </c>
      <c r="AH342" s="452">
        <f t="shared" si="270"/>
        <v>0.115242144</v>
      </c>
      <c r="AI342" s="452">
        <f t="shared" si="271"/>
        <v>141</v>
      </c>
      <c r="AJ342" s="260">
        <f t="shared" si="272"/>
        <v>8053936</v>
      </c>
      <c r="AK342" s="260">
        <f t="shared" si="273"/>
        <v>8474664</v>
      </c>
      <c r="AL342" s="432">
        <f t="shared" si="274"/>
        <v>8</v>
      </c>
      <c r="AM342" s="432">
        <f t="array" ref="AM342">MAX((IF(MNU_CODIGO_ALIMENTO_ENTREGA=CONCATENATE($E342,"_","P_"),MNU_GRAMAJE_REQUERIDO_TIPOM,"")))</f>
        <v>100</v>
      </c>
      <c r="AN342" s="261">
        <f t="shared" si="275"/>
        <v>230</v>
      </c>
      <c r="AO342" s="261">
        <f t="shared" si="276"/>
        <v>1840</v>
      </c>
      <c r="AP342" s="452">
        <f t="shared" si="277"/>
        <v>134</v>
      </c>
      <c r="AQ342" s="452">
        <f t="shared" si="278"/>
        <v>6.539200000000001</v>
      </c>
      <c r="AR342" s="452">
        <f t="shared" si="279"/>
        <v>0.115242144</v>
      </c>
      <c r="AS342" s="452">
        <f t="shared" si="280"/>
        <v>141</v>
      </c>
      <c r="AT342" s="262">
        <f t="shared" si="281"/>
        <v>246560</v>
      </c>
      <c r="AU342" s="262">
        <f t="shared" si="282"/>
        <v>259440</v>
      </c>
      <c r="AV342" s="431">
        <f t="shared" si="283"/>
        <v>8</v>
      </c>
      <c r="AW342" s="431">
        <f t="array" ref="AW342">MAX((IF(MNU_CODIGO_ALIMENTO_ENTREGA=CONCATENATE($E342,"_","P_"),MNU_GRAMAJE_REQUERIDO_TIPOH,"")))</f>
        <v>100</v>
      </c>
      <c r="AX342" s="259">
        <f t="shared" si="284"/>
        <v>290</v>
      </c>
      <c r="AY342" s="259">
        <f t="shared" si="285"/>
        <v>2320</v>
      </c>
      <c r="AZ342" s="452">
        <f t="shared" si="286"/>
        <v>134</v>
      </c>
      <c r="BA342" s="452">
        <f t="shared" si="287"/>
        <v>6.539200000000001</v>
      </c>
      <c r="BB342" s="452">
        <f t="shared" si="288"/>
        <v>0.115242144</v>
      </c>
      <c r="BC342" s="452">
        <f t="shared" si="289"/>
        <v>141</v>
      </c>
      <c r="BD342" s="260">
        <f t="shared" si="290"/>
        <v>310880</v>
      </c>
      <c r="BE342" s="260">
        <f t="shared" si="291"/>
        <v>327120</v>
      </c>
      <c r="BF342" s="397">
        <f t="shared" si="292"/>
        <v>22520576</v>
      </c>
      <c r="BG342" s="397">
        <f t="shared" si="293"/>
        <v>23697024</v>
      </c>
    </row>
    <row r="343" spans="1:59" ht="15.75">
      <c r="A343" s="338">
        <v>26</v>
      </c>
      <c r="B343" s="338" t="str">
        <f t="shared" si="245"/>
        <v>FRUTA_26</v>
      </c>
      <c r="C343" s="338" t="str">
        <f t="shared" si="246"/>
        <v>17_26</v>
      </c>
      <c r="D343" s="338" t="s">
        <v>1</v>
      </c>
      <c r="E343" s="258">
        <v>17</v>
      </c>
      <c r="F343" s="328" t="s">
        <v>53</v>
      </c>
      <c r="G343" s="258" t="s">
        <v>9</v>
      </c>
      <c r="H343" s="431">
        <f t="shared" si="247"/>
        <v>0</v>
      </c>
      <c r="I343" s="431">
        <f t="array" ref="I343">MAX((IF(MNU_CODIGO_ALIMENTO_ENTREGA=CONCATENATE($E343,"_","P_"),MNU_GRAMAJE_REQUERIDO_TIPOA,"")))</f>
        <v>0</v>
      </c>
      <c r="J343" s="259">
        <f t="shared" si="248"/>
        <v>4940</v>
      </c>
      <c r="K343" s="259">
        <f t="shared" si="249"/>
        <v>0</v>
      </c>
      <c r="L343" s="452">
        <f t="shared" si="250"/>
        <v>0</v>
      </c>
      <c r="M343" s="452">
        <f t="shared" si="251"/>
        <v>0</v>
      </c>
      <c r="N343" s="452">
        <f t="shared" si="252"/>
        <v>0</v>
      </c>
      <c r="O343" s="452">
        <f t="shared" si="253"/>
        <v>0</v>
      </c>
      <c r="P343" s="260">
        <f t="shared" si="254"/>
        <v>0</v>
      </c>
      <c r="Q343" s="260">
        <f t="shared" si="255"/>
        <v>0</v>
      </c>
      <c r="R343" s="432">
        <f t="shared" si="256"/>
        <v>21</v>
      </c>
      <c r="S343" s="432">
        <f t="array" ref="S343">MAX((IF(MNU_CODIGO_ALIMENTO_ENTREGA=CONCATENATE($E343,"_","P_"),MNU_GRAMAJE_REQUERIDO_TIPOB,"")))</f>
        <v>100</v>
      </c>
      <c r="T343" s="261">
        <f t="shared" si="257"/>
        <v>6800</v>
      </c>
      <c r="U343" s="261">
        <f t="shared" si="258"/>
        <v>142800</v>
      </c>
      <c r="V343" s="452">
        <f t="shared" si="259"/>
        <v>226</v>
      </c>
      <c r="W343" s="452">
        <f t="shared" si="260"/>
        <v>11.0288</v>
      </c>
      <c r="X343" s="452">
        <f t="shared" si="261"/>
        <v>0.19436361600000002</v>
      </c>
      <c r="Y343" s="452">
        <f t="shared" si="262"/>
        <v>237</v>
      </c>
      <c r="Z343" s="262">
        <f t="shared" si="263"/>
        <v>32272800</v>
      </c>
      <c r="AA343" s="262">
        <f t="shared" si="264"/>
        <v>33843600</v>
      </c>
      <c r="AB343" s="431">
        <f t="shared" si="265"/>
        <v>21</v>
      </c>
      <c r="AC343" s="431">
        <f t="array" ref="AC343">MAX((IF(MNU_CODIGO_ALIMENTO_ENTREGA=CONCATENATE($E343,"_","P_"),MNU_GRAMAJE_REQUERIDO_TIPOC,"")))</f>
        <v>100</v>
      </c>
      <c r="AD343" s="259">
        <f t="shared" si="266"/>
        <v>7513</v>
      </c>
      <c r="AE343" s="259">
        <f t="shared" si="267"/>
        <v>157773</v>
      </c>
      <c r="AF343" s="452">
        <f t="shared" si="268"/>
        <v>226</v>
      </c>
      <c r="AG343" s="452">
        <f t="shared" si="269"/>
        <v>11.0288</v>
      </c>
      <c r="AH343" s="452">
        <f t="shared" si="270"/>
        <v>0.19436361600000002</v>
      </c>
      <c r="AI343" s="452">
        <f t="shared" si="271"/>
        <v>237</v>
      </c>
      <c r="AJ343" s="260">
        <f t="shared" si="272"/>
        <v>35656698</v>
      </c>
      <c r="AK343" s="260">
        <f t="shared" si="273"/>
        <v>37392201</v>
      </c>
      <c r="AL343" s="432">
        <f t="shared" si="274"/>
        <v>21</v>
      </c>
      <c r="AM343" s="432">
        <f t="array" ref="AM343">MAX((IF(MNU_CODIGO_ALIMENTO_ENTREGA=CONCATENATE($E343,"_","P_"),MNU_GRAMAJE_REQUERIDO_TIPOM,"")))</f>
        <v>100</v>
      </c>
      <c r="AN343" s="261">
        <f t="shared" si="275"/>
        <v>230</v>
      </c>
      <c r="AO343" s="261">
        <f t="shared" si="276"/>
        <v>4830</v>
      </c>
      <c r="AP343" s="452">
        <f t="shared" si="277"/>
        <v>226</v>
      </c>
      <c r="AQ343" s="452">
        <f t="shared" si="278"/>
        <v>11.0288</v>
      </c>
      <c r="AR343" s="452">
        <f t="shared" si="279"/>
        <v>0.19436361600000002</v>
      </c>
      <c r="AS343" s="452">
        <f t="shared" si="280"/>
        <v>237</v>
      </c>
      <c r="AT343" s="262">
        <f t="shared" si="281"/>
        <v>1091580</v>
      </c>
      <c r="AU343" s="262">
        <f t="shared" si="282"/>
        <v>1144710</v>
      </c>
      <c r="AV343" s="431">
        <f t="shared" si="283"/>
        <v>21</v>
      </c>
      <c r="AW343" s="431">
        <f t="array" ref="AW343">MAX((IF(MNU_CODIGO_ALIMENTO_ENTREGA=CONCATENATE($E343,"_","P_"),MNU_GRAMAJE_REQUERIDO_TIPOH,"")))</f>
        <v>100</v>
      </c>
      <c r="AX343" s="259">
        <f t="shared" si="284"/>
        <v>290</v>
      </c>
      <c r="AY343" s="259">
        <f t="shared" si="285"/>
        <v>6090</v>
      </c>
      <c r="AZ343" s="452">
        <f t="shared" si="286"/>
        <v>226</v>
      </c>
      <c r="BA343" s="452">
        <f t="shared" si="287"/>
        <v>11.0288</v>
      </c>
      <c r="BB343" s="452">
        <f t="shared" si="288"/>
        <v>0.19436361600000002</v>
      </c>
      <c r="BC343" s="452">
        <f t="shared" si="289"/>
        <v>237</v>
      </c>
      <c r="BD343" s="260">
        <f t="shared" si="290"/>
        <v>1376340</v>
      </c>
      <c r="BE343" s="260">
        <f t="shared" si="291"/>
        <v>1443330</v>
      </c>
      <c r="BF343" s="397">
        <f t="shared" si="292"/>
        <v>70397418</v>
      </c>
      <c r="BG343" s="397">
        <f t="shared" si="293"/>
        <v>73823841</v>
      </c>
    </row>
    <row r="344" spans="1:59" ht="15.75">
      <c r="A344" s="338">
        <v>26</v>
      </c>
      <c r="B344" s="338" t="str">
        <f t="shared" si="245"/>
        <v>FRUTA_26</v>
      </c>
      <c r="C344" s="338" t="str">
        <f t="shared" si="246"/>
        <v>22_26</v>
      </c>
      <c r="D344" s="338" t="s">
        <v>1</v>
      </c>
      <c r="E344" s="258">
        <v>22</v>
      </c>
      <c r="F344" s="328" t="s">
        <v>51</v>
      </c>
      <c r="G344" s="258" t="s">
        <v>9</v>
      </c>
      <c r="H344" s="431">
        <f t="shared" si="247"/>
        <v>0</v>
      </c>
      <c r="I344" s="431">
        <f t="array" ref="I344">MAX((IF(MNU_CODIGO_ALIMENTO_ENTREGA=CONCATENATE($E344,"_","P_"),MNU_GRAMAJE_REQUERIDO_TIPOA,"")))</f>
        <v>0</v>
      </c>
      <c r="J344" s="259">
        <f t="shared" si="248"/>
        <v>4940</v>
      </c>
      <c r="K344" s="259">
        <f t="shared" si="249"/>
        <v>0</v>
      </c>
      <c r="L344" s="452">
        <f t="shared" si="250"/>
        <v>0</v>
      </c>
      <c r="M344" s="452">
        <f t="shared" si="251"/>
        <v>0</v>
      </c>
      <c r="N344" s="452">
        <f t="shared" si="252"/>
        <v>0</v>
      </c>
      <c r="O344" s="452">
        <f t="shared" si="253"/>
        <v>0</v>
      </c>
      <c r="P344" s="260">
        <f t="shared" si="254"/>
        <v>0</v>
      </c>
      <c r="Q344" s="260">
        <f t="shared" si="255"/>
        <v>0</v>
      </c>
      <c r="R344" s="432">
        <f t="shared" si="256"/>
        <v>20</v>
      </c>
      <c r="S344" s="432">
        <f t="array" ref="S344">MAX((IF(MNU_CODIGO_ALIMENTO_ENTREGA=CONCATENATE($E344,"_","P_"),MNU_GRAMAJE_REQUERIDO_TIPOB,"")))</f>
        <v>100</v>
      </c>
      <c r="T344" s="261">
        <f t="shared" si="257"/>
        <v>6800</v>
      </c>
      <c r="U344" s="261">
        <f t="shared" si="258"/>
        <v>136000</v>
      </c>
      <c r="V344" s="452">
        <f t="shared" si="259"/>
        <v>525</v>
      </c>
      <c r="W344" s="452">
        <f t="shared" si="260"/>
        <v>25.62</v>
      </c>
      <c r="X344" s="452">
        <f t="shared" si="261"/>
        <v>0.45150840000000003</v>
      </c>
      <c r="Y344" s="452">
        <f t="shared" si="262"/>
        <v>551</v>
      </c>
      <c r="Z344" s="262">
        <f t="shared" si="263"/>
        <v>71400000</v>
      </c>
      <c r="AA344" s="262">
        <f t="shared" si="264"/>
        <v>74936000</v>
      </c>
      <c r="AB344" s="431">
        <f t="shared" si="265"/>
        <v>20</v>
      </c>
      <c r="AC344" s="431">
        <f t="array" ref="AC344">MAX((IF(MNU_CODIGO_ALIMENTO_ENTREGA=CONCATENATE($E344,"_","P_"),MNU_GRAMAJE_REQUERIDO_TIPOC,"")))</f>
        <v>100</v>
      </c>
      <c r="AD344" s="259">
        <f t="shared" si="266"/>
        <v>7513</v>
      </c>
      <c r="AE344" s="259">
        <f t="shared" si="267"/>
        <v>150260</v>
      </c>
      <c r="AF344" s="452">
        <f t="shared" si="268"/>
        <v>525</v>
      </c>
      <c r="AG344" s="452">
        <f t="shared" si="269"/>
        <v>25.62</v>
      </c>
      <c r="AH344" s="452">
        <f t="shared" si="270"/>
        <v>0.45150840000000003</v>
      </c>
      <c r="AI344" s="452">
        <f t="shared" si="271"/>
        <v>551</v>
      </c>
      <c r="AJ344" s="260">
        <f t="shared" si="272"/>
        <v>78886500</v>
      </c>
      <c r="AK344" s="260">
        <f t="shared" si="273"/>
        <v>82793260</v>
      </c>
      <c r="AL344" s="432">
        <f t="shared" si="274"/>
        <v>20</v>
      </c>
      <c r="AM344" s="432">
        <f t="array" ref="AM344">MAX((IF(MNU_CODIGO_ALIMENTO_ENTREGA=CONCATENATE($E344,"_","P_"),MNU_GRAMAJE_REQUERIDO_TIPOM,"")))</f>
        <v>100</v>
      </c>
      <c r="AN344" s="261">
        <f t="shared" si="275"/>
        <v>230</v>
      </c>
      <c r="AO344" s="261">
        <f t="shared" si="276"/>
        <v>4600</v>
      </c>
      <c r="AP344" s="452">
        <f t="shared" si="277"/>
        <v>525</v>
      </c>
      <c r="AQ344" s="452">
        <f t="shared" si="278"/>
        <v>25.62</v>
      </c>
      <c r="AR344" s="452">
        <f t="shared" si="279"/>
        <v>0.45150840000000003</v>
      </c>
      <c r="AS344" s="452">
        <f t="shared" si="280"/>
        <v>551</v>
      </c>
      <c r="AT344" s="262">
        <f t="shared" si="281"/>
        <v>2415000</v>
      </c>
      <c r="AU344" s="262">
        <f t="shared" si="282"/>
        <v>2534600</v>
      </c>
      <c r="AV344" s="431">
        <f t="shared" si="283"/>
        <v>20</v>
      </c>
      <c r="AW344" s="431">
        <f t="array" ref="AW344">MAX((IF(MNU_CODIGO_ALIMENTO_ENTREGA=CONCATENATE($E344,"_","P_"),MNU_GRAMAJE_REQUERIDO_TIPOH,"")))</f>
        <v>100</v>
      </c>
      <c r="AX344" s="259">
        <f t="shared" si="284"/>
        <v>290</v>
      </c>
      <c r="AY344" s="259">
        <f t="shared" si="285"/>
        <v>5800</v>
      </c>
      <c r="AZ344" s="452">
        <f t="shared" si="286"/>
        <v>525</v>
      </c>
      <c r="BA344" s="452">
        <f t="shared" si="287"/>
        <v>25.62</v>
      </c>
      <c r="BB344" s="452">
        <f t="shared" si="288"/>
        <v>0.45150840000000003</v>
      </c>
      <c r="BC344" s="452">
        <f t="shared" si="289"/>
        <v>551</v>
      </c>
      <c r="BD344" s="260">
        <f t="shared" si="290"/>
        <v>3045000</v>
      </c>
      <c r="BE344" s="260">
        <f t="shared" si="291"/>
        <v>3195800</v>
      </c>
      <c r="BF344" s="397">
        <f t="shared" si="292"/>
        <v>155746500</v>
      </c>
      <c r="BG344" s="397">
        <f t="shared" si="293"/>
        <v>163459660</v>
      </c>
    </row>
    <row r="345" spans="1:59" ht="15.75">
      <c r="A345" s="338">
        <v>26</v>
      </c>
      <c r="B345" s="338" t="str">
        <f t="shared" si="245"/>
        <v>FRUTA_26</v>
      </c>
      <c r="C345" s="338" t="str">
        <f t="shared" si="246"/>
        <v>33_26</v>
      </c>
      <c r="D345" s="338" t="s">
        <v>1</v>
      </c>
      <c r="E345" s="258">
        <v>33</v>
      </c>
      <c r="F345" s="328" t="s">
        <v>59</v>
      </c>
      <c r="G345" s="258" t="s">
        <v>48</v>
      </c>
      <c r="H345" s="431">
        <f t="shared" si="247"/>
        <v>27</v>
      </c>
      <c r="I345" s="431">
        <v>1</v>
      </c>
      <c r="J345" s="259">
        <f t="shared" si="248"/>
        <v>4940</v>
      </c>
      <c r="K345" s="259">
        <f t="shared" si="249"/>
        <v>133380</v>
      </c>
      <c r="L345" s="452">
        <f t="shared" si="250"/>
        <v>270</v>
      </c>
      <c r="M345" s="452">
        <f t="shared" si="251"/>
        <v>13.176000000000002</v>
      </c>
      <c r="N345" s="452">
        <f t="shared" si="252"/>
        <v>0.23220432000000002</v>
      </c>
      <c r="O345" s="452">
        <f t="shared" si="253"/>
        <v>283</v>
      </c>
      <c r="P345" s="260">
        <f t="shared" si="254"/>
        <v>36012600</v>
      </c>
      <c r="Q345" s="260">
        <f t="shared" si="255"/>
        <v>37746540</v>
      </c>
      <c r="R345" s="432">
        <f t="shared" si="256"/>
        <v>18</v>
      </c>
      <c r="S345" s="432">
        <v>1</v>
      </c>
      <c r="T345" s="261">
        <f t="shared" si="257"/>
        <v>6800</v>
      </c>
      <c r="U345" s="261">
        <f t="shared" si="258"/>
        <v>122400</v>
      </c>
      <c r="V345" s="452">
        <f t="shared" si="259"/>
        <v>270</v>
      </c>
      <c r="W345" s="452">
        <f t="shared" si="260"/>
        <v>13.176000000000002</v>
      </c>
      <c r="X345" s="452">
        <f t="shared" si="261"/>
        <v>0.23220432000000002</v>
      </c>
      <c r="Y345" s="452">
        <f t="shared" si="262"/>
        <v>283</v>
      </c>
      <c r="Z345" s="262">
        <f t="shared" si="263"/>
        <v>33048000</v>
      </c>
      <c r="AA345" s="262">
        <f t="shared" si="264"/>
        <v>34639200</v>
      </c>
      <c r="AB345" s="431">
        <f t="shared" si="265"/>
        <v>18</v>
      </c>
      <c r="AC345" s="431">
        <v>1</v>
      </c>
      <c r="AD345" s="259">
        <f t="shared" si="266"/>
        <v>7513</v>
      </c>
      <c r="AE345" s="259">
        <f t="shared" si="267"/>
        <v>135234</v>
      </c>
      <c r="AF345" s="452">
        <f t="shared" si="268"/>
        <v>270</v>
      </c>
      <c r="AG345" s="452">
        <f t="shared" si="269"/>
        <v>13.176000000000002</v>
      </c>
      <c r="AH345" s="452">
        <f t="shared" si="270"/>
        <v>0.23220432000000002</v>
      </c>
      <c r="AI345" s="452">
        <f t="shared" si="271"/>
        <v>283</v>
      </c>
      <c r="AJ345" s="260">
        <f t="shared" si="272"/>
        <v>36513180</v>
      </c>
      <c r="AK345" s="260">
        <f t="shared" si="273"/>
        <v>38271222</v>
      </c>
      <c r="AL345" s="432">
        <f t="shared" si="274"/>
        <v>18</v>
      </c>
      <c r="AM345" s="432">
        <v>1</v>
      </c>
      <c r="AN345" s="261">
        <f t="shared" si="275"/>
        <v>230</v>
      </c>
      <c r="AO345" s="261">
        <f t="shared" si="276"/>
        <v>4140</v>
      </c>
      <c r="AP345" s="452">
        <f t="shared" si="277"/>
        <v>270</v>
      </c>
      <c r="AQ345" s="452">
        <f t="shared" si="278"/>
        <v>13.176000000000002</v>
      </c>
      <c r="AR345" s="452">
        <f t="shared" si="279"/>
        <v>0.23220432000000002</v>
      </c>
      <c r="AS345" s="452">
        <f t="shared" si="280"/>
        <v>283</v>
      </c>
      <c r="AT345" s="262">
        <f t="shared" si="281"/>
        <v>1117800</v>
      </c>
      <c r="AU345" s="262">
        <f t="shared" si="282"/>
        <v>1171620</v>
      </c>
      <c r="AV345" s="431">
        <f t="shared" si="283"/>
        <v>18</v>
      </c>
      <c r="AW345" s="431">
        <v>1</v>
      </c>
      <c r="AX345" s="259">
        <f t="shared" si="284"/>
        <v>290</v>
      </c>
      <c r="AY345" s="259">
        <f t="shared" si="285"/>
        <v>5220</v>
      </c>
      <c r="AZ345" s="452">
        <f t="shared" si="286"/>
        <v>270</v>
      </c>
      <c r="BA345" s="452">
        <f t="shared" si="287"/>
        <v>13.176000000000002</v>
      </c>
      <c r="BB345" s="452">
        <f t="shared" si="288"/>
        <v>0.23220432000000002</v>
      </c>
      <c r="BC345" s="452">
        <f t="shared" si="289"/>
        <v>283</v>
      </c>
      <c r="BD345" s="260">
        <f t="shared" si="290"/>
        <v>1409400</v>
      </c>
      <c r="BE345" s="260">
        <f t="shared" si="291"/>
        <v>1477260</v>
      </c>
      <c r="BF345" s="397">
        <f t="shared" si="292"/>
        <v>108100980</v>
      </c>
      <c r="BG345" s="397">
        <f t="shared" si="293"/>
        <v>113305842</v>
      </c>
    </row>
    <row r="346" spans="1:59" ht="15.75">
      <c r="A346" s="338">
        <v>26</v>
      </c>
      <c r="B346" s="338" t="str">
        <f t="shared" si="245"/>
        <v>FRUTA_26</v>
      </c>
      <c r="C346" s="338" t="str">
        <f t="shared" si="246"/>
        <v>36_26</v>
      </c>
      <c r="D346" s="338" t="s">
        <v>1</v>
      </c>
      <c r="E346" s="258">
        <v>36</v>
      </c>
      <c r="F346" s="328" t="s">
        <v>1340</v>
      </c>
      <c r="G346" s="258" t="s">
        <v>9</v>
      </c>
      <c r="H346" s="431">
        <f t="shared" si="247"/>
        <v>7</v>
      </c>
      <c r="I346" s="431">
        <f t="array" ref="I346">MAX((IF(MNU_CODIGO_ALIMENTO_ENTREGA=CONCATENATE($E346,"_","P_"),MNU_GRAMAJE_REQUERIDO_TIPOA,"")))</f>
        <v>20</v>
      </c>
      <c r="J346" s="259">
        <f t="shared" si="248"/>
        <v>4940</v>
      </c>
      <c r="K346" s="259">
        <f t="shared" si="249"/>
        <v>34580</v>
      </c>
      <c r="L346" s="452">
        <f t="shared" si="250"/>
        <v>126</v>
      </c>
      <c r="M346" s="452">
        <f t="shared" si="251"/>
        <v>6.1488000000000005</v>
      </c>
      <c r="N346" s="452">
        <f t="shared" si="252"/>
        <v>0.10836201599999999</v>
      </c>
      <c r="O346" s="452">
        <f t="shared" si="253"/>
        <v>132</v>
      </c>
      <c r="P346" s="260">
        <f t="shared" si="254"/>
        <v>4357080</v>
      </c>
      <c r="Q346" s="260">
        <f t="shared" si="255"/>
        <v>4564560</v>
      </c>
      <c r="R346" s="432">
        <f t="shared" si="256"/>
        <v>7</v>
      </c>
      <c r="S346" s="432">
        <f t="array" ref="S346">MAX((IF(MNU_CODIGO_ALIMENTO_ENTREGA=CONCATENATE($E346,"_","P_"),MNU_GRAMAJE_REQUERIDO_TIPOB,"")))</f>
        <v>40</v>
      </c>
      <c r="T346" s="261">
        <f t="shared" si="257"/>
        <v>6800</v>
      </c>
      <c r="U346" s="261">
        <f t="shared" si="258"/>
        <v>47600</v>
      </c>
      <c r="V346" s="452">
        <f t="shared" si="259"/>
        <v>252</v>
      </c>
      <c r="W346" s="452">
        <f t="shared" si="260"/>
        <v>12.297600000000001</v>
      </c>
      <c r="X346" s="452">
        <f t="shared" si="261"/>
        <v>0.21672403199999998</v>
      </c>
      <c r="Y346" s="452">
        <f t="shared" si="262"/>
        <v>265</v>
      </c>
      <c r="Z346" s="262">
        <f t="shared" si="263"/>
        <v>11995200</v>
      </c>
      <c r="AA346" s="262">
        <f t="shared" si="264"/>
        <v>12614000</v>
      </c>
      <c r="AB346" s="431">
        <f t="shared" si="265"/>
        <v>7</v>
      </c>
      <c r="AC346" s="431">
        <f t="array" ref="AC346">MAX((IF(MNU_CODIGO_ALIMENTO_ENTREGA=CONCATENATE($E346,"_","P_"),MNU_GRAMAJE_REQUERIDO_TIPOC,"")))</f>
        <v>40</v>
      </c>
      <c r="AD346" s="259">
        <f t="shared" si="266"/>
        <v>7513</v>
      </c>
      <c r="AE346" s="259">
        <f t="shared" si="267"/>
        <v>52591</v>
      </c>
      <c r="AF346" s="452">
        <f t="shared" si="268"/>
        <v>252</v>
      </c>
      <c r="AG346" s="452">
        <f t="shared" si="269"/>
        <v>12.297600000000001</v>
      </c>
      <c r="AH346" s="452">
        <f t="shared" si="270"/>
        <v>0.21672403199999998</v>
      </c>
      <c r="AI346" s="452">
        <f t="shared" si="271"/>
        <v>265</v>
      </c>
      <c r="AJ346" s="260">
        <f t="shared" si="272"/>
        <v>13252932</v>
      </c>
      <c r="AK346" s="260">
        <f t="shared" si="273"/>
        <v>13936615</v>
      </c>
      <c r="AL346" s="432">
        <f t="shared" si="274"/>
        <v>7</v>
      </c>
      <c r="AM346" s="432">
        <f t="array" ref="AM346">MAX((IF(MNU_CODIGO_ALIMENTO_ENTREGA=CONCATENATE($E346,"_","P_"),MNU_GRAMAJE_REQUERIDO_TIPOM,"")))</f>
        <v>40</v>
      </c>
      <c r="AN346" s="261">
        <f t="shared" si="275"/>
        <v>230</v>
      </c>
      <c r="AO346" s="261">
        <f t="shared" si="276"/>
        <v>1610</v>
      </c>
      <c r="AP346" s="452">
        <f t="shared" si="277"/>
        <v>252</v>
      </c>
      <c r="AQ346" s="452">
        <f t="shared" si="278"/>
        <v>12.297600000000001</v>
      </c>
      <c r="AR346" s="452">
        <f t="shared" si="279"/>
        <v>0.21672403199999998</v>
      </c>
      <c r="AS346" s="452">
        <f t="shared" si="280"/>
        <v>265</v>
      </c>
      <c r="AT346" s="262">
        <f t="shared" si="281"/>
        <v>405720</v>
      </c>
      <c r="AU346" s="262">
        <f t="shared" si="282"/>
        <v>426650</v>
      </c>
      <c r="AV346" s="431">
        <f t="shared" si="283"/>
        <v>7</v>
      </c>
      <c r="AW346" s="431">
        <f t="array" ref="AW346">MAX((IF(MNU_CODIGO_ALIMENTO_ENTREGA=CONCATENATE($E346,"_","P_"),MNU_GRAMAJE_REQUERIDO_TIPOH,"")))</f>
        <v>40</v>
      </c>
      <c r="AX346" s="259">
        <f t="shared" si="284"/>
        <v>290</v>
      </c>
      <c r="AY346" s="259">
        <f t="shared" si="285"/>
        <v>2030</v>
      </c>
      <c r="AZ346" s="452">
        <f t="shared" si="286"/>
        <v>252</v>
      </c>
      <c r="BA346" s="452">
        <f t="shared" si="287"/>
        <v>12.297600000000001</v>
      </c>
      <c r="BB346" s="452">
        <f t="shared" si="288"/>
        <v>0.21672403199999998</v>
      </c>
      <c r="BC346" s="452">
        <f t="shared" si="289"/>
        <v>265</v>
      </c>
      <c r="BD346" s="260">
        <f t="shared" si="290"/>
        <v>511560</v>
      </c>
      <c r="BE346" s="260">
        <f t="shared" si="291"/>
        <v>537950</v>
      </c>
      <c r="BF346" s="397">
        <f t="shared" si="292"/>
        <v>30522492</v>
      </c>
      <c r="BG346" s="397">
        <f t="shared" si="293"/>
        <v>32079775</v>
      </c>
    </row>
    <row r="347" spans="1:59" ht="15.75">
      <c r="A347" s="338">
        <v>26</v>
      </c>
      <c r="B347" s="338" t="str">
        <f t="shared" si="245"/>
        <v>FRUTA_26</v>
      </c>
      <c r="C347" s="338" t="str">
        <f t="shared" si="246"/>
        <v>42_26</v>
      </c>
      <c r="D347" s="338" t="s">
        <v>1</v>
      </c>
      <c r="E347" s="258">
        <v>42</v>
      </c>
      <c r="F347" s="328" t="s">
        <v>61</v>
      </c>
      <c r="G347" s="258" t="s">
        <v>9</v>
      </c>
      <c r="H347" s="431">
        <f t="shared" si="247"/>
        <v>23</v>
      </c>
      <c r="I347" s="431">
        <f t="array" ref="I347">MAX((IF(MNU_CODIGO_ALIMENTO_ENTREGA=CONCATENATE($E347,"_","P_"),MNU_GRAMAJE_REQUERIDO_TIPOA,"")))</f>
        <v>100</v>
      </c>
      <c r="J347" s="259">
        <f t="shared" si="248"/>
        <v>4940</v>
      </c>
      <c r="K347" s="259">
        <f t="shared" si="249"/>
        <v>113620</v>
      </c>
      <c r="L347" s="452">
        <f t="shared" si="250"/>
        <v>194</v>
      </c>
      <c r="M347" s="452">
        <f t="shared" si="251"/>
        <v>9.4672000000000001</v>
      </c>
      <c r="N347" s="452">
        <f t="shared" si="252"/>
        <v>0.16684310399999999</v>
      </c>
      <c r="O347" s="452">
        <f t="shared" si="253"/>
        <v>204</v>
      </c>
      <c r="P347" s="260">
        <f t="shared" si="254"/>
        <v>22042280</v>
      </c>
      <c r="Q347" s="260">
        <f t="shared" si="255"/>
        <v>23178480</v>
      </c>
      <c r="R347" s="432">
        <f t="shared" si="256"/>
        <v>19</v>
      </c>
      <c r="S347" s="432">
        <f t="array" ref="S347">MAX((IF(MNU_CODIGO_ALIMENTO_ENTREGA=CONCATENATE($E347,"_","P_"),MNU_GRAMAJE_REQUERIDO_TIPOB,"")))</f>
        <v>100</v>
      </c>
      <c r="T347" s="261">
        <f t="shared" si="257"/>
        <v>6800</v>
      </c>
      <c r="U347" s="261">
        <f t="shared" si="258"/>
        <v>129200</v>
      </c>
      <c r="V347" s="452">
        <f t="shared" si="259"/>
        <v>194</v>
      </c>
      <c r="W347" s="452">
        <f t="shared" si="260"/>
        <v>9.4672000000000001</v>
      </c>
      <c r="X347" s="452">
        <f t="shared" si="261"/>
        <v>0.16684310399999999</v>
      </c>
      <c r="Y347" s="452">
        <f t="shared" si="262"/>
        <v>204</v>
      </c>
      <c r="Z347" s="262">
        <f t="shared" si="263"/>
        <v>25064800</v>
      </c>
      <c r="AA347" s="262">
        <f t="shared" si="264"/>
        <v>26356800</v>
      </c>
      <c r="AB347" s="431">
        <f t="shared" si="265"/>
        <v>19</v>
      </c>
      <c r="AC347" s="431">
        <f t="array" ref="AC347">MAX((IF(MNU_CODIGO_ALIMENTO_ENTREGA=CONCATENATE($E347,"_","P_"),MNU_GRAMAJE_REQUERIDO_TIPOC,"")))</f>
        <v>100</v>
      </c>
      <c r="AD347" s="259">
        <f t="shared" si="266"/>
        <v>7513</v>
      </c>
      <c r="AE347" s="259">
        <f t="shared" si="267"/>
        <v>142747</v>
      </c>
      <c r="AF347" s="452">
        <f t="shared" si="268"/>
        <v>194</v>
      </c>
      <c r="AG347" s="452">
        <f t="shared" si="269"/>
        <v>9.4672000000000001</v>
      </c>
      <c r="AH347" s="452">
        <f t="shared" si="270"/>
        <v>0.16684310399999999</v>
      </c>
      <c r="AI347" s="452">
        <f t="shared" si="271"/>
        <v>204</v>
      </c>
      <c r="AJ347" s="260">
        <f t="shared" si="272"/>
        <v>27692918</v>
      </c>
      <c r="AK347" s="260">
        <f t="shared" si="273"/>
        <v>29120388</v>
      </c>
      <c r="AL347" s="432">
        <f t="shared" si="274"/>
        <v>19</v>
      </c>
      <c r="AM347" s="432">
        <f t="array" ref="AM347">MAX((IF(MNU_CODIGO_ALIMENTO_ENTREGA=CONCATENATE($E347,"_","P_"),MNU_GRAMAJE_REQUERIDO_TIPOM,"")))</f>
        <v>100</v>
      </c>
      <c r="AN347" s="261">
        <f t="shared" si="275"/>
        <v>230</v>
      </c>
      <c r="AO347" s="261">
        <f t="shared" si="276"/>
        <v>4370</v>
      </c>
      <c r="AP347" s="452">
        <f t="shared" si="277"/>
        <v>194</v>
      </c>
      <c r="AQ347" s="452">
        <f t="shared" si="278"/>
        <v>9.4672000000000001</v>
      </c>
      <c r="AR347" s="452">
        <f t="shared" si="279"/>
        <v>0.16684310399999999</v>
      </c>
      <c r="AS347" s="452">
        <f t="shared" si="280"/>
        <v>204</v>
      </c>
      <c r="AT347" s="262">
        <f t="shared" si="281"/>
        <v>847780</v>
      </c>
      <c r="AU347" s="262">
        <f t="shared" si="282"/>
        <v>891480</v>
      </c>
      <c r="AV347" s="431">
        <f t="shared" si="283"/>
        <v>19</v>
      </c>
      <c r="AW347" s="431">
        <f t="array" ref="AW347">MAX((IF(MNU_CODIGO_ALIMENTO_ENTREGA=CONCATENATE($E347,"_","P_"),MNU_GRAMAJE_REQUERIDO_TIPOH,"")))</f>
        <v>100</v>
      </c>
      <c r="AX347" s="259">
        <f t="shared" si="284"/>
        <v>290</v>
      </c>
      <c r="AY347" s="259">
        <f t="shared" si="285"/>
        <v>5510</v>
      </c>
      <c r="AZ347" s="452">
        <f t="shared" si="286"/>
        <v>194</v>
      </c>
      <c r="BA347" s="452">
        <f t="shared" si="287"/>
        <v>9.4672000000000001</v>
      </c>
      <c r="BB347" s="452">
        <f t="shared" si="288"/>
        <v>0.16684310399999999</v>
      </c>
      <c r="BC347" s="452">
        <f t="shared" si="289"/>
        <v>204</v>
      </c>
      <c r="BD347" s="260">
        <f t="shared" si="290"/>
        <v>1068940</v>
      </c>
      <c r="BE347" s="260">
        <f t="shared" si="291"/>
        <v>1124040</v>
      </c>
      <c r="BF347" s="397">
        <f t="shared" si="292"/>
        <v>76716718</v>
      </c>
      <c r="BG347" s="397">
        <f t="shared" si="293"/>
        <v>80671188</v>
      </c>
    </row>
    <row r="348" spans="1:59" ht="15.75">
      <c r="A348" s="338">
        <v>26</v>
      </c>
      <c r="B348" s="338" t="str">
        <f t="shared" si="245"/>
        <v>FRUTA_26</v>
      </c>
      <c r="C348" s="338" t="str">
        <f t="shared" si="246"/>
        <v>43_26</v>
      </c>
      <c r="D348" s="338" t="s">
        <v>1</v>
      </c>
      <c r="E348" s="258">
        <v>43</v>
      </c>
      <c r="F348" s="328" t="s">
        <v>62</v>
      </c>
      <c r="G348" s="258" t="s">
        <v>9</v>
      </c>
      <c r="H348" s="431">
        <f t="shared" si="247"/>
        <v>24</v>
      </c>
      <c r="I348" s="431">
        <f t="array" ref="I348">MAX((IF(MNU_CODIGO_ALIMENTO_ENTREGA=CONCATENATE($E348,"_","P_"),MNU_GRAMAJE_REQUERIDO_TIPOA,"")))</f>
        <v>100</v>
      </c>
      <c r="J348" s="259">
        <f t="shared" si="248"/>
        <v>4940</v>
      </c>
      <c r="K348" s="259">
        <f t="shared" si="249"/>
        <v>118560</v>
      </c>
      <c r="L348" s="452">
        <f t="shared" si="250"/>
        <v>170</v>
      </c>
      <c r="M348" s="452">
        <f t="shared" si="251"/>
        <v>8.2959999999999994</v>
      </c>
      <c r="N348" s="452">
        <f t="shared" si="252"/>
        <v>0.14620272000000001</v>
      </c>
      <c r="O348" s="452">
        <f t="shared" si="253"/>
        <v>178</v>
      </c>
      <c r="P348" s="260">
        <f t="shared" si="254"/>
        <v>20155200</v>
      </c>
      <c r="Q348" s="260">
        <f t="shared" si="255"/>
        <v>21103680</v>
      </c>
      <c r="R348" s="432">
        <f t="shared" si="256"/>
        <v>17</v>
      </c>
      <c r="S348" s="432">
        <f t="array" ref="S348">MAX((IF(MNU_CODIGO_ALIMENTO_ENTREGA=CONCATENATE($E348,"_","P_"),MNU_GRAMAJE_REQUERIDO_TIPOB,"")))</f>
        <v>100</v>
      </c>
      <c r="T348" s="261">
        <f t="shared" si="257"/>
        <v>6800</v>
      </c>
      <c r="U348" s="261">
        <f t="shared" si="258"/>
        <v>115600</v>
      </c>
      <c r="V348" s="452">
        <f t="shared" si="259"/>
        <v>170</v>
      </c>
      <c r="W348" s="452">
        <f t="shared" si="260"/>
        <v>8.2959999999999994</v>
      </c>
      <c r="X348" s="452">
        <f t="shared" si="261"/>
        <v>0.14620272000000001</v>
      </c>
      <c r="Y348" s="452">
        <f t="shared" si="262"/>
        <v>178</v>
      </c>
      <c r="Z348" s="262">
        <f t="shared" si="263"/>
        <v>19652000</v>
      </c>
      <c r="AA348" s="262">
        <f t="shared" si="264"/>
        <v>20576800</v>
      </c>
      <c r="AB348" s="431">
        <f t="shared" si="265"/>
        <v>17</v>
      </c>
      <c r="AC348" s="431">
        <f t="array" ref="AC348">MAX((IF(MNU_CODIGO_ALIMENTO_ENTREGA=CONCATENATE($E348,"_","P_"),MNU_GRAMAJE_REQUERIDO_TIPOC,"")))</f>
        <v>100</v>
      </c>
      <c r="AD348" s="259">
        <f t="shared" si="266"/>
        <v>7513</v>
      </c>
      <c r="AE348" s="259">
        <f t="shared" si="267"/>
        <v>127721</v>
      </c>
      <c r="AF348" s="452">
        <f t="shared" si="268"/>
        <v>170</v>
      </c>
      <c r="AG348" s="452">
        <f t="shared" si="269"/>
        <v>8.2959999999999994</v>
      </c>
      <c r="AH348" s="452">
        <f t="shared" si="270"/>
        <v>0.14620272000000001</v>
      </c>
      <c r="AI348" s="452">
        <f t="shared" si="271"/>
        <v>178</v>
      </c>
      <c r="AJ348" s="260">
        <f t="shared" si="272"/>
        <v>21712570</v>
      </c>
      <c r="AK348" s="260">
        <f t="shared" si="273"/>
        <v>22734338</v>
      </c>
      <c r="AL348" s="432">
        <f t="shared" si="274"/>
        <v>17</v>
      </c>
      <c r="AM348" s="432">
        <f t="array" ref="AM348">MAX((IF(MNU_CODIGO_ALIMENTO_ENTREGA=CONCATENATE($E348,"_","P_"),MNU_GRAMAJE_REQUERIDO_TIPOM,"")))</f>
        <v>100</v>
      </c>
      <c r="AN348" s="261">
        <f t="shared" si="275"/>
        <v>230</v>
      </c>
      <c r="AO348" s="261">
        <f t="shared" si="276"/>
        <v>3910</v>
      </c>
      <c r="AP348" s="452">
        <f t="shared" si="277"/>
        <v>170</v>
      </c>
      <c r="AQ348" s="452">
        <f t="shared" si="278"/>
        <v>8.2959999999999994</v>
      </c>
      <c r="AR348" s="452">
        <f t="shared" si="279"/>
        <v>0.14620272000000001</v>
      </c>
      <c r="AS348" s="452">
        <f t="shared" si="280"/>
        <v>178</v>
      </c>
      <c r="AT348" s="262">
        <f t="shared" si="281"/>
        <v>664700</v>
      </c>
      <c r="AU348" s="262">
        <f t="shared" si="282"/>
        <v>695980</v>
      </c>
      <c r="AV348" s="431">
        <f t="shared" si="283"/>
        <v>17</v>
      </c>
      <c r="AW348" s="431">
        <f t="array" ref="AW348">MAX((IF(MNU_CODIGO_ALIMENTO_ENTREGA=CONCATENATE($E348,"_","P_"),MNU_GRAMAJE_REQUERIDO_TIPOH,"")))</f>
        <v>100</v>
      </c>
      <c r="AX348" s="259">
        <f t="shared" si="284"/>
        <v>290</v>
      </c>
      <c r="AY348" s="259">
        <f t="shared" si="285"/>
        <v>4930</v>
      </c>
      <c r="AZ348" s="452">
        <f t="shared" si="286"/>
        <v>170</v>
      </c>
      <c r="BA348" s="452">
        <f t="shared" si="287"/>
        <v>8.2959999999999994</v>
      </c>
      <c r="BB348" s="452">
        <f t="shared" si="288"/>
        <v>0.14620272000000001</v>
      </c>
      <c r="BC348" s="452">
        <f t="shared" si="289"/>
        <v>178</v>
      </c>
      <c r="BD348" s="260">
        <f t="shared" si="290"/>
        <v>838100</v>
      </c>
      <c r="BE348" s="260">
        <f t="shared" si="291"/>
        <v>877540</v>
      </c>
      <c r="BF348" s="397">
        <f t="shared" si="292"/>
        <v>63022570</v>
      </c>
      <c r="BG348" s="397">
        <f t="shared" si="293"/>
        <v>65988338</v>
      </c>
    </row>
    <row r="349" spans="1:59" ht="15.75">
      <c r="A349" s="338">
        <v>26</v>
      </c>
      <c r="B349" s="338" t="str">
        <f t="shared" si="245"/>
        <v>FRUTA_26</v>
      </c>
      <c r="C349" s="338" t="str">
        <f t="shared" si="246"/>
        <v>46_26</v>
      </c>
      <c r="D349" s="338" t="s">
        <v>1</v>
      </c>
      <c r="E349" s="258">
        <v>46</v>
      </c>
      <c r="F349" s="328" t="s">
        <v>64</v>
      </c>
      <c r="G349" s="258" t="s">
        <v>9</v>
      </c>
      <c r="H349" s="431">
        <f t="shared" si="247"/>
        <v>30</v>
      </c>
      <c r="I349" s="431">
        <f t="array" ref="I349">MAX((IF(MNU_CODIGO_ALIMENTO_ENTREGA=CONCATENATE($E349,"_","P_"),MNU_GRAMAJE_REQUERIDO_TIPOA,"")))</f>
        <v>100</v>
      </c>
      <c r="J349" s="259">
        <f t="shared" si="248"/>
        <v>4940</v>
      </c>
      <c r="K349" s="259">
        <f t="shared" si="249"/>
        <v>148200</v>
      </c>
      <c r="L349" s="452">
        <f t="shared" si="250"/>
        <v>398</v>
      </c>
      <c r="M349" s="452">
        <f t="shared" si="251"/>
        <v>19.4224</v>
      </c>
      <c r="N349" s="452">
        <f t="shared" si="252"/>
        <v>0.34228636800000001</v>
      </c>
      <c r="O349" s="452">
        <f t="shared" si="253"/>
        <v>418</v>
      </c>
      <c r="P349" s="260">
        <f t="shared" si="254"/>
        <v>58983600</v>
      </c>
      <c r="Q349" s="260">
        <f t="shared" si="255"/>
        <v>61947600</v>
      </c>
      <c r="R349" s="432">
        <f t="shared" si="256"/>
        <v>21</v>
      </c>
      <c r="S349" s="432">
        <f t="array" ref="S349">MAX((IF(MNU_CODIGO_ALIMENTO_ENTREGA=CONCATENATE($E349,"_","P_"),MNU_GRAMAJE_REQUERIDO_TIPOB,"")))</f>
        <v>100</v>
      </c>
      <c r="T349" s="261">
        <f t="shared" si="257"/>
        <v>6800</v>
      </c>
      <c r="U349" s="261">
        <f t="shared" si="258"/>
        <v>142800</v>
      </c>
      <c r="V349" s="452">
        <f t="shared" si="259"/>
        <v>398</v>
      </c>
      <c r="W349" s="452">
        <f t="shared" si="260"/>
        <v>19.4224</v>
      </c>
      <c r="X349" s="452">
        <f t="shared" si="261"/>
        <v>0.34228636800000001</v>
      </c>
      <c r="Y349" s="452">
        <f t="shared" si="262"/>
        <v>418</v>
      </c>
      <c r="Z349" s="262">
        <f t="shared" si="263"/>
        <v>56834400</v>
      </c>
      <c r="AA349" s="262">
        <f t="shared" si="264"/>
        <v>59690400</v>
      </c>
      <c r="AB349" s="431">
        <f t="shared" si="265"/>
        <v>21</v>
      </c>
      <c r="AC349" s="431">
        <f t="array" ref="AC349">MAX((IF(MNU_CODIGO_ALIMENTO_ENTREGA=CONCATENATE($E349,"_","P_"),MNU_GRAMAJE_REQUERIDO_TIPOC,"")))</f>
        <v>100</v>
      </c>
      <c r="AD349" s="259">
        <f t="shared" si="266"/>
        <v>7513</v>
      </c>
      <c r="AE349" s="259">
        <f t="shared" si="267"/>
        <v>157773</v>
      </c>
      <c r="AF349" s="452">
        <f t="shared" si="268"/>
        <v>398</v>
      </c>
      <c r="AG349" s="452">
        <f t="shared" si="269"/>
        <v>19.4224</v>
      </c>
      <c r="AH349" s="452">
        <f t="shared" si="270"/>
        <v>0.34228636800000001</v>
      </c>
      <c r="AI349" s="452">
        <f t="shared" si="271"/>
        <v>418</v>
      </c>
      <c r="AJ349" s="260">
        <f t="shared" si="272"/>
        <v>62793654</v>
      </c>
      <c r="AK349" s="260">
        <f t="shared" si="273"/>
        <v>65949114</v>
      </c>
      <c r="AL349" s="432">
        <f t="shared" si="274"/>
        <v>21</v>
      </c>
      <c r="AM349" s="432">
        <f t="array" ref="AM349">MAX((IF(MNU_CODIGO_ALIMENTO_ENTREGA=CONCATENATE($E349,"_","P_"),MNU_GRAMAJE_REQUERIDO_TIPOM,"")))</f>
        <v>100</v>
      </c>
      <c r="AN349" s="261">
        <f t="shared" si="275"/>
        <v>230</v>
      </c>
      <c r="AO349" s="261">
        <f t="shared" si="276"/>
        <v>4830</v>
      </c>
      <c r="AP349" s="452">
        <f t="shared" si="277"/>
        <v>398</v>
      </c>
      <c r="AQ349" s="452">
        <f t="shared" si="278"/>
        <v>19.4224</v>
      </c>
      <c r="AR349" s="452">
        <f t="shared" si="279"/>
        <v>0.34228636800000001</v>
      </c>
      <c r="AS349" s="452">
        <f t="shared" si="280"/>
        <v>418</v>
      </c>
      <c r="AT349" s="262">
        <f t="shared" si="281"/>
        <v>1922340</v>
      </c>
      <c r="AU349" s="262">
        <f t="shared" si="282"/>
        <v>2018940</v>
      </c>
      <c r="AV349" s="431">
        <f t="shared" si="283"/>
        <v>21</v>
      </c>
      <c r="AW349" s="431">
        <f t="array" ref="AW349">MAX((IF(MNU_CODIGO_ALIMENTO_ENTREGA=CONCATENATE($E349,"_","P_"),MNU_GRAMAJE_REQUERIDO_TIPOH,"")))</f>
        <v>100</v>
      </c>
      <c r="AX349" s="259">
        <f t="shared" si="284"/>
        <v>290</v>
      </c>
      <c r="AY349" s="259">
        <f t="shared" si="285"/>
        <v>6090</v>
      </c>
      <c r="AZ349" s="452">
        <f t="shared" si="286"/>
        <v>398</v>
      </c>
      <c r="BA349" s="452">
        <f t="shared" si="287"/>
        <v>19.4224</v>
      </c>
      <c r="BB349" s="452">
        <f t="shared" si="288"/>
        <v>0.34228636800000001</v>
      </c>
      <c r="BC349" s="452">
        <f t="shared" si="289"/>
        <v>418</v>
      </c>
      <c r="BD349" s="260">
        <f t="shared" si="290"/>
        <v>2423820</v>
      </c>
      <c r="BE349" s="260">
        <f t="shared" si="291"/>
        <v>2545620</v>
      </c>
      <c r="BF349" s="397">
        <f t="shared" si="292"/>
        <v>182957814</v>
      </c>
      <c r="BG349" s="397">
        <f t="shared" si="293"/>
        <v>192151674</v>
      </c>
    </row>
    <row r="350" spans="1:59" ht="15.75">
      <c r="A350" s="338">
        <v>26</v>
      </c>
      <c r="B350" s="338" t="str">
        <f t="shared" si="245"/>
        <v>FRUTA_26</v>
      </c>
      <c r="C350" s="338" t="str">
        <f t="shared" si="246"/>
        <v>58_26</v>
      </c>
      <c r="D350" s="338" t="s">
        <v>1</v>
      </c>
      <c r="E350" s="258">
        <v>58</v>
      </c>
      <c r="F350" s="328" t="s">
        <v>67</v>
      </c>
      <c r="G350" s="258" t="s">
        <v>9</v>
      </c>
      <c r="H350" s="431">
        <f t="shared" si="247"/>
        <v>24</v>
      </c>
      <c r="I350" s="431">
        <f t="array" ref="I350">MAX((IF(MNU_CODIGO_ALIMENTO_ENTREGA=CONCATENATE($E350,"_","P_"),MNU_GRAMAJE_REQUERIDO_TIPOA,"")))</f>
        <v>100</v>
      </c>
      <c r="J350" s="259">
        <f t="shared" si="248"/>
        <v>4940</v>
      </c>
      <c r="K350" s="259">
        <f t="shared" si="249"/>
        <v>118560</v>
      </c>
      <c r="L350" s="452">
        <f t="shared" si="250"/>
        <v>154</v>
      </c>
      <c r="M350" s="452">
        <f t="shared" si="251"/>
        <v>7.515200000000001</v>
      </c>
      <c r="N350" s="452">
        <f t="shared" si="252"/>
        <v>0.13244246400000001</v>
      </c>
      <c r="O350" s="452">
        <f t="shared" si="253"/>
        <v>162</v>
      </c>
      <c r="P350" s="260">
        <f t="shared" si="254"/>
        <v>18258240</v>
      </c>
      <c r="Q350" s="260">
        <f t="shared" si="255"/>
        <v>19206720</v>
      </c>
      <c r="R350" s="432">
        <f t="shared" si="256"/>
        <v>23</v>
      </c>
      <c r="S350" s="432">
        <f t="array" ref="S350">MAX((IF(MNU_CODIGO_ALIMENTO_ENTREGA=CONCATENATE($E350,"_","P_"),MNU_GRAMAJE_REQUERIDO_TIPOB,"")))</f>
        <v>100</v>
      </c>
      <c r="T350" s="261">
        <f t="shared" si="257"/>
        <v>6800</v>
      </c>
      <c r="U350" s="261">
        <f t="shared" si="258"/>
        <v>156400</v>
      </c>
      <c r="V350" s="452">
        <f t="shared" si="259"/>
        <v>154</v>
      </c>
      <c r="W350" s="452">
        <f t="shared" si="260"/>
        <v>7.515200000000001</v>
      </c>
      <c r="X350" s="452">
        <f t="shared" si="261"/>
        <v>0.13244246400000001</v>
      </c>
      <c r="Y350" s="452">
        <f t="shared" si="262"/>
        <v>162</v>
      </c>
      <c r="Z350" s="262">
        <f t="shared" si="263"/>
        <v>24085600</v>
      </c>
      <c r="AA350" s="262">
        <f t="shared" si="264"/>
        <v>25336800</v>
      </c>
      <c r="AB350" s="431">
        <f t="shared" si="265"/>
        <v>23</v>
      </c>
      <c r="AC350" s="431">
        <f t="array" ref="AC350">MAX((IF(MNU_CODIGO_ALIMENTO_ENTREGA=CONCATENATE($E350,"_","P_"),MNU_GRAMAJE_REQUERIDO_TIPOC,"")))</f>
        <v>100</v>
      </c>
      <c r="AD350" s="259">
        <f t="shared" si="266"/>
        <v>7513</v>
      </c>
      <c r="AE350" s="259">
        <f t="shared" si="267"/>
        <v>172799</v>
      </c>
      <c r="AF350" s="452">
        <f t="shared" si="268"/>
        <v>154</v>
      </c>
      <c r="AG350" s="452">
        <f t="shared" si="269"/>
        <v>7.515200000000001</v>
      </c>
      <c r="AH350" s="452">
        <f t="shared" si="270"/>
        <v>0.13244246400000001</v>
      </c>
      <c r="AI350" s="452">
        <f t="shared" si="271"/>
        <v>162</v>
      </c>
      <c r="AJ350" s="260">
        <f t="shared" si="272"/>
        <v>26611046</v>
      </c>
      <c r="AK350" s="260">
        <f t="shared" si="273"/>
        <v>27993438</v>
      </c>
      <c r="AL350" s="432">
        <f t="shared" si="274"/>
        <v>23</v>
      </c>
      <c r="AM350" s="432">
        <f t="array" ref="AM350">MAX((IF(MNU_CODIGO_ALIMENTO_ENTREGA=CONCATENATE($E350,"_","P_"),MNU_GRAMAJE_REQUERIDO_TIPOM,"")))</f>
        <v>100</v>
      </c>
      <c r="AN350" s="261">
        <f t="shared" si="275"/>
        <v>230</v>
      </c>
      <c r="AO350" s="261">
        <f t="shared" si="276"/>
        <v>5290</v>
      </c>
      <c r="AP350" s="452">
        <f t="shared" si="277"/>
        <v>154</v>
      </c>
      <c r="AQ350" s="452">
        <f t="shared" si="278"/>
        <v>7.515200000000001</v>
      </c>
      <c r="AR350" s="452">
        <f t="shared" si="279"/>
        <v>0.13244246400000001</v>
      </c>
      <c r="AS350" s="452">
        <f t="shared" si="280"/>
        <v>162</v>
      </c>
      <c r="AT350" s="262">
        <f t="shared" si="281"/>
        <v>814660</v>
      </c>
      <c r="AU350" s="262">
        <f t="shared" si="282"/>
        <v>856980</v>
      </c>
      <c r="AV350" s="431">
        <f t="shared" si="283"/>
        <v>23</v>
      </c>
      <c r="AW350" s="431">
        <f t="array" ref="AW350">MAX((IF(MNU_CODIGO_ALIMENTO_ENTREGA=CONCATENATE($E350,"_","P_"),MNU_GRAMAJE_REQUERIDO_TIPOH,"")))</f>
        <v>100</v>
      </c>
      <c r="AX350" s="259">
        <f t="shared" si="284"/>
        <v>290</v>
      </c>
      <c r="AY350" s="259">
        <f t="shared" si="285"/>
        <v>6670</v>
      </c>
      <c r="AZ350" s="452">
        <f t="shared" si="286"/>
        <v>154</v>
      </c>
      <c r="BA350" s="452">
        <f t="shared" si="287"/>
        <v>7.515200000000001</v>
      </c>
      <c r="BB350" s="452">
        <f t="shared" si="288"/>
        <v>0.13244246400000001</v>
      </c>
      <c r="BC350" s="452">
        <f t="shared" si="289"/>
        <v>162</v>
      </c>
      <c r="BD350" s="260">
        <f t="shared" si="290"/>
        <v>1027180</v>
      </c>
      <c r="BE350" s="260">
        <f t="shared" si="291"/>
        <v>1080540</v>
      </c>
      <c r="BF350" s="397">
        <f t="shared" si="292"/>
        <v>70796726</v>
      </c>
      <c r="BG350" s="397">
        <f t="shared" si="293"/>
        <v>74474478</v>
      </c>
    </row>
    <row r="351" spans="1:59" ht="15.75">
      <c r="A351" s="338">
        <v>26</v>
      </c>
      <c r="B351" s="338" t="str">
        <f t="shared" si="245"/>
        <v>FRUTA_26</v>
      </c>
      <c r="C351" s="338" t="str">
        <f t="shared" si="246"/>
        <v>59_26</v>
      </c>
      <c r="D351" s="338" t="s">
        <v>1</v>
      </c>
      <c r="E351" s="258">
        <v>59</v>
      </c>
      <c r="F351" s="328" t="s">
        <v>99</v>
      </c>
      <c r="G351" s="258" t="s">
        <v>9</v>
      </c>
      <c r="H351" s="431">
        <f t="shared" si="247"/>
        <v>0</v>
      </c>
      <c r="I351" s="431">
        <f t="array" ref="I351">MAX((IF(MNU_CODIGO_ALIMENTO_ENTREGA=CONCATENATE($E351,"_","P_"),MNU_GRAMAJE_REQUERIDO_TIPOA,"")))</f>
        <v>0</v>
      </c>
      <c r="J351" s="259">
        <f t="shared" si="248"/>
        <v>4940</v>
      </c>
      <c r="K351" s="259">
        <f t="shared" si="249"/>
        <v>0</v>
      </c>
      <c r="L351" s="452">
        <f t="shared" si="250"/>
        <v>0</v>
      </c>
      <c r="M351" s="452">
        <f t="shared" si="251"/>
        <v>0</v>
      </c>
      <c r="N351" s="452">
        <f t="shared" si="252"/>
        <v>0</v>
      </c>
      <c r="O351" s="452">
        <f t="shared" si="253"/>
        <v>0</v>
      </c>
      <c r="P351" s="260">
        <f t="shared" si="254"/>
        <v>0</v>
      </c>
      <c r="Q351" s="260">
        <f t="shared" si="255"/>
        <v>0</v>
      </c>
      <c r="R351" s="432">
        <f t="shared" si="256"/>
        <v>8</v>
      </c>
      <c r="S351" s="432">
        <f t="array" ref="S351">MAX((IF(MNU_CODIGO_ALIMENTO_ENTREGA=CONCATENATE($E351,"_","P_"),MNU_GRAMAJE_REQUERIDO_TIPOB,"")))</f>
        <v>100</v>
      </c>
      <c r="T351" s="261">
        <f t="shared" si="257"/>
        <v>6800</v>
      </c>
      <c r="U351" s="261">
        <f t="shared" si="258"/>
        <v>54400</v>
      </c>
      <c r="V351" s="452">
        <f t="shared" si="259"/>
        <v>286</v>
      </c>
      <c r="W351" s="452">
        <f t="shared" si="260"/>
        <v>13.956800000000001</v>
      </c>
      <c r="X351" s="452">
        <f t="shared" si="261"/>
        <v>0.24596457599999999</v>
      </c>
      <c r="Y351" s="452">
        <f t="shared" si="262"/>
        <v>300</v>
      </c>
      <c r="Z351" s="262">
        <f t="shared" si="263"/>
        <v>15558400</v>
      </c>
      <c r="AA351" s="262">
        <f t="shared" si="264"/>
        <v>16320000</v>
      </c>
      <c r="AB351" s="431">
        <f t="shared" si="265"/>
        <v>8</v>
      </c>
      <c r="AC351" s="431">
        <f t="array" ref="AC351">MAX((IF(MNU_CODIGO_ALIMENTO_ENTREGA=CONCATENATE($E351,"_","P_"),MNU_GRAMAJE_REQUERIDO_TIPOC,"")))</f>
        <v>100</v>
      </c>
      <c r="AD351" s="259">
        <f t="shared" si="266"/>
        <v>7513</v>
      </c>
      <c r="AE351" s="259">
        <f t="shared" si="267"/>
        <v>60104</v>
      </c>
      <c r="AF351" s="452">
        <f t="shared" si="268"/>
        <v>286</v>
      </c>
      <c r="AG351" s="452">
        <f t="shared" si="269"/>
        <v>13.956800000000001</v>
      </c>
      <c r="AH351" s="452">
        <f t="shared" si="270"/>
        <v>0.24596457599999999</v>
      </c>
      <c r="AI351" s="452">
        <f t="shared" si="271"/>
        <v>300</v>
      </c>
      <c r="AJ351" s="260">
        <f t="shared" si="272"/>
        <v>17189744</v>
      </c>
      <c r="AK351" s="260">
        <f t="shared" si="273"/>
        <v>18031200</v>
      </c>
      <c r="AL351" s="432">
        <f t="shared" si="274"/>
        <v>8</v>
      </c>
      <c r="AM351" s="432">
        <f t="array" ref="AM351">MAX((IF(MNU_CODIGO_ALIMENTO_ENTREGA=CONCATENATE($E351,"_","P_"),MNU_GRAMAJE_REQUERIDO_TIPOM,"")))</f>
        <v>100</v>
      </c>
      <c r="AN351" s="261">
        <f t="shared" si="275"/>
        <v>230</v>
      </c>
      <c r="AO351" s="261">
        <f t="shared" si="276"/>
        <v>1840</v>
      </c>
      <c r="AP351" s="452">
        <f t="shared" si="277"/>
        <v>286</v>
      </c>
      <c r="AQ351" s="452">
        <f t="shared" si="278"/>
        <v>13.956800000000001</v>
      </c>
      <c r="AR351" s="452">
        <f t="shared" si="279"/>
        <v>0.24596457599999999</v>
      </c>
      <c r="AS351" s="452">
        <f t="shared" si="280"/>
        <v>300</v>
      </c>
      <c r="AT351" s="262">
        <f t="shared" si="281"/>
        <v>526240</v>
      </c>
      <c r="AU351" s="262">
        <f t="shared" si="282"/>
        <v>552000</v>
      </c>
      <c r="AV351" s="431">
        <f t="shared" si="283"/>
        <v>8</v>
      </c>
      <c r="AW351" s="431">
        <f t="array" ref="AW351">MAX((IF(MNU_CODIGO_ALIMENTO_ENTREGA=CONCATENATE($E351,"_","P_"),MNU_GRAMAJE_REQUERIDO_TIPOH,"")))</f>
        <v>100</v>
      </c>
      <c r="AX351" s="259">
        <f t="shared" si="284"/>
        <v>290</v>
      </c>
      <c r="AY351" s="259">
        <f t="shared" si="285"/>
        <v>2320</v>
      </c>
      <c r="AZ351" s="452">
        <f t="shared" si="286"/>
        <v>286</v>
      </c>
      <c r="BA351" s="452">
        <f t="shared" si="287"/>
        <v>13.956800000000001</v>
      </c>
      <c r="BB351" s="452">
        <f t="shared" si="288"/>
        <v>0.24596457599999999</v>
      </c>
      <c r="BC351" s="452">
        <f t="shared" si="289"/>
        <v>300</v>
      </c>
      <c r="BD351" s="260">
        <f t="shared" si="290"/>
        <v>663520</v>
      </c>
      <c r="BE351" s="260">
        <f t="shared" si="291"/>
        <v>696000</v>
      </c>
      <c r="BF351" s="397">
        <f t="shared" si="292"/>
        <v>33937904</v>
      </c>
      <c r="BG351" s="397">
        <f t="shared" si="293"/>
        <v>35599200</v>
      </c>
    </row>
    <row r="352" spans="1:59" ht="15.75">
      <c r="A352" s="338">
        <v>26</v>
      </c>
      <c r="B352" s="338" t="str">
        <f t="shared" si="245"/>
        <v>FRUTA_26</v>
      </c>
      <c r="C352" s="338" t="str">
        <f t="shared" si="246"/>
        <v>69_26</v>
      </c>
      <c r="D352" s="338" t="s">
        <v>1</v>
      </c>
      <c r="E352" s="258">
        <v>69</v>
      </c>
      <c r="F352" s="328" t="s">
        <v>70</v>
      </c>
      <c r="G352" s="258" t="s">
        <v>9</v>
      </c>
      <c r="H352" s="431">
        <f t="shared" si="247"/>
        <v>30</v>
      </c>
      <c r="I352" s="431">
        <f t="array" ref="I352">MAX((IF(MNU_CODIGO_ALIMENTO_ENTREGA=CONCATENATE($E352,"_","P_"),MNU_GRAMAJE_REQUERIDO_TIPOA,"")))</f>
        <v>100</v>
      </c>
      <c r="J352" s="259">
        <f t="shared" si="248"/>
        <v>4940</v>
      </c>
      <c r="K352" s="259">
        <f t="shared" si="249"/>
        <v>148200</v>
      </c>
      <c r="L352" s="452">
        <f t="shared" si="250"/>
        <v>305</v>
      </c>
      <c r="M352" s="452">
        <f t="shared" si="251"/>
        <v>14.884</v>
      </c>
      <c r="N352" s="452">
        <f t="shared" si="252"/>
        <v>0.26230488000000002</v>
      </c>
      <c r="O352" s="452">
        <f t="shared" si="253"/>
        <v>320</v>
      </c>
      <c r="P352" s="260">
        <f t="shared" si="254"/>
        <v>45201000</v>
      </c>
      <c r="Q352" s="260">
        <f t="shared" si="255"/>
        <v>47424000</v>
      </c>
      <c r="R352" s="432">
        <f t="shared" si="256"/>
        <v>16</v>
      </c>
      <c r="S352" s="432">
        <f t="array" ref="S352">MAX((IF(MNU_CODIGO_ALIMENTO_ENTREGA=CONCATENATE($E352,"_","P_"),MNU_GRAMAJE_REQUERIDO_TIPOB,"")))</f>
        <v>100</v>
      </c>
      <c r="T352" s="261">
        <f t="shared" si="257"/>
        <v>6800</v>
      </c>
      <c r="U352" s="261">
        <f t="shared" si="258"/>
        <v>108800</v>
      </c>
      <c r="V352" s="452">
        <f t="shared" si="259"/>
        <v>305</v>
      </c>
      <c r="W352" s="452">
        <f t="shared" si="260"/>
        <v>14.884</v>
      </c>
      <c r="X352" s="452">
        <f t="shared" si="261"/>
        <v>0.26230488000000002</v>
      </c>
      <c r="Y352" s="452">
        <f t="shared" si="262"/>
        <v>320</v>
      </c>
      <c r="Z352" s="262">
        <f t="shared" si="263"/>
        <v>33184000</v>
      </c>
      <c r="AA352" s="262">
        <f t="shared" si="264"/>
        <v>34816000</v>
      </c>
      <c r="AB352" s="431">
        <f t="shared" si="265"/>
        <v>16</v>
      </c>
      <c r="AC352" s="431">
        <f t="array" ref="AC352">MAX((IF(MNU_CODIGO_ALIMENTO_ENTREGA=CONCATENATE($E352,"_","P_"),MNU_GRAMAJE_REQUERIDO_TIPOC,"")))</f>
        <v>100</v>
      </c>
      <c r="AD352" s="259">
        <f t="shared" si="266"/>
        <v>7513</v>
      </c>
      <c r="AE352" s="259">
        <f t="shared" si="267"/>
        <v>120208</v>
      </c>
      <c r="AF352" s="452">
        <f t="shared" si="268"/>
        <v>305</v>
      </c>
      <c r="AG352" s="452">
        <f t="shared" si="269"/>
        <v>14.884</v>
      </c>
      <c r="AH352" s="452">
        <f t="shared" si="270"/>
        <v>0.26230488000000002</v>
      </c>
      <c r="AI352" s="452">
        <f t="shared" si="271"/>
        <v>320</v>
      </c>
      <c r="AJ352" s="260">
        <f t="shared" si="272"/>
        <v>36663440</v>
      </c>
      <c r="AK352" s="260">
        <f t="shared" si="273"/>
        <v>38466560</v>
      </c>
      <c r="AL352" s="432">
        <f t="shared" si="274"/>
        <v>16</v>
      </c>
      <c r="AM352" s="432">
        <f t="array" ref="AM352">MAX((IF(MNU_CODIGO_ALIMENTO_ENTREGA=CONCATENATE($E352,"_","P_"),MNU_GRAMAJE_REQUERIDO_TIPOM,"")))</f>
        <v>100</v>
      </c>
      <c r="AN352" s="261">
        <f t="shared" si="275"/>
        <v>230</v>
      </c>
      <c r="AO352" s="261">
        <f t="shared" si="276"/>
        <v>3680</v>
      </c>
      <c r="AP352" s="452">
        <f t="shared" si="277"/>
        <v>305</v>
      </c>
      <c r="AQ352" s="452">
        <f t="shared" si="278"/>
        <v>14.884</v>
      </c>
      <c r="AR352" s="452">
        <f t="shared" si="279"/>
        <v>0.26230488000000002</v>
      </c>
      <c r="AS352" s="452">
        <f t="shared" si="280"/>
        <v>320</v>
      </c>
      <c r="AT352" s="262">
        <f t="shared" si="281"/>
        <v>1122400</v>
      </c>
      <c r="AU352" s="262">
        <f t="shared" si="282"/>
        <v>1177600</v>
      </c>
      <c r="AV352" s="431">
        <f t="shared" si="283"/>
        <v>16</v>
      </c>
      <c r="AW352" s="431">
        <f t="array" ref="AW352">MAX((IF(MNU_CODIGO_ALIMENTO_ENTREGA=CONCATENATE($E352,"_","P_"),MNU_GRAMAJE_REQUERIDO_TIPOH,"")))</f>
        <v>100</v>
      </c>
      <c r="AX352" s="259">
        <f t="shared" si="284"/>
        <v>290</v>
      </c>
      <c r="AY352" s="259">
        <f t="shared" si="285"/>
        <v>4640</v>
      </c>
      <c r="AZ352" s="452">
        <f t="shared" si="286"/>
        <v>305</v>
      </c>
      <c r="BA352" s="452">
        <f t="shared" si="287"/>
        <v>14.884</v>
      </c>
      <c r="BB352" s="452">
        <f t="shared" si="288"/>
        <v>0.26230488000000002</v>
      </c>
      <c r="BC352" s="452">
        <f t="shared" si="289"/>
        <v>320</v>
      </c>
      <c r="BD352" s="260">
        <f t="shared" si="290"/>
        <v>1415200</v>
      </c>
      <c r="BE352" s="260">
        <f t="shared" si="291"/>
        <v>1484800</v>
      </c>
      <c r="BF352" s="397">
        <f t="shared" si="292"/>
        <v>117586040</v>
      </c>
      <c r="BG352" s="397">
        <f t="shared" si="293"/>
        <v>123368960</v>
      </c>
    </row>
    <row r="353" spans="1:59" ht="15.75">
      <c r="A353" s="338">
        <v>26</v>
      </c>
      <c r="B353" s="338" t="str">
        <f t="shared" si="245"/>
        <v>FRUTA_26</v>
      </c>
      <c r="C353" s="338" t="str">
        <f t="shared" si="246"/>
        <v>70_26</v>
      </c>
      <c r="D353" s="338" t="s">
        <v>1</v>
      </c>
      <c r="E353" s="258">
        <v>70</v>
      </c>
      <c r="F353" s="328" t="s">
        <v>71</v>
      </c>
      <c r="G353" s="258" t="s">
        <v>9</v>
      </c>
      <c r="H353" s="431">
        <f t="shared" si="247"/>
        <v>0</v>
      </c>
      <c r="I353" s="431">
        <f t="array" ref="I353">MAX((IF(MNU_CODIGO_ALIMENTO_ENTREGA=CONCATENATE($E353,"_","P_"),MNU_GRAMAJE_REQUERIDO_TIPOA,"")))</f>
        <v>0</v>
      </c>
      <c r="J353" s="259">
        <f t="shared" si="248"/>
        <v>4940</v>
      </c>
      <c r="K353" s="259">
        <f t="shared" si="249"/>
        <v>0</v>
      </c>
      <c r="L353" s="452">
        <f t="shared" si="250"/>
        <v>0</v>
      </c>
      <c r="M353" s="452">
        <f t="shared" si="251"/>
        <v>0</v>
      </c>
      <c r="N353" s="452">
        <f t="shared" si="252"/>
        <v>0</v>
      </c>
      <c r="O353" s="452">
        <f t="shared" si="253"/>
        <v>0</v>
      </c>
      <c r="P353" s="260">
        <f t="shared" si="254"/>
        <v>0</v>
      </c>
      <c r="Q353" s="260">
        <f t="shared" si="255"/>
        <v>0</v>
      </c>
      <c r="R353" s="432">
        <f t="shared" si="256"/>
        <v>10</v>
      </c>
      <c r="S353" s="432">
        <f t="array" ref="S353">MAX((IF(MNU_CODIGO_ALIMENTO_ENTREGA=CONCATENATE($E353,"_","P_"),MNU_GRAMAJE_REQUERIDO_TIPOB,"")))</f>
        <v>100</v>
      </c>
      <c r="T353" s="261">
        <f t="shared" si="257"/>
        <v>6800</v>
      </c>
      <c r="U353" s="261">
        <f t="shared" si="258"/>
        <v>68000</v>
      </c>
      <c r="V353" s="452">
        <f t="shared" si="259"/>
        <v>434</v>
      </c>
      <c r="W353" s="452">
        <f t="shared" si="260"/>
        <v>21.179200000000002</v>
      </c>
      <c r="X353" s="452">
        <f t="shared" si="261"/>
        <v>0.37324694399999997</v>
      </c>
      <c r="Y353" s="452">
        <f t="shared" si="262"/>
        <v>456</v>
      </c>
      <c r="Z353" s="262">
        <f t="shared" si="263"/>
        <v>29512000</v>
      </c>
      <c r="AA353" s="262">
        <f t="shared" si="264"/>
        <v>31008000</v>
      </c>
      <c r="AB353" s="431">
        <f t="shared" si="265"/>
        <v>10</v>
      </c>
      <c r="AC353" s="431">
        <f t="array" ref="AC353">MAX((IF(MNU_CODIGO_ALIMENTO_ENTREGA=CONCATENATE($E353,"_","P_"),MNU_GRAMAJE_REQUERIDO_TIPOC,"")))</f>
        <v>100</v>
      </c>
      <c r="AD353" s="259">
        <f t="shared" si="266"/>
        <v>7513</v>
      </c>
      <c r="AE353" s="259">
        <f t="shared" si="267"/>
        <v>75130</v>
      </c>
      <c r="AF353" s="452">
        <f t="shared" si="268"/>
        <v>434</v>
      </c>
      <c r="AG353" s="452">
        <f t="shared" si="269"/>
        <v>21.179200000000002</v>
      </c>
      <c r="AH353" s="452">
        <f t="shared" si="270"/>
        <v>0.37324694399999997</v>
      </c>
      <c r="AI353" s="452">
        <f t="shared" si="271"/>
        <v>456</v>
      </c>
      <c r="AJ353" s="260">
        <f t="shared" si="272"/>
        <v>32606420</v>
      </c>
      <c r="AK353" s="260">
        <f t="shared" si="273"/>
        <v>34259280</v>
      </c>
      <c r="AL353" s="432">
        <f t="shared" si="274"/>
        <v>10</v>
      </c>
      <c r="AM353" s="432">
        <f t="array" ref="AM353">MAX((IF(MNU_CODIGO_ALIMENTO_ENTREGA=CONCATENATE($E353,"_","P_"),MNU_GRAMAJE_REQUERIDO_TIPOM,"")))</f>
        <v>100</v>
      </c>
      <c r="AN353" s="261">
        <f t="shared" si="275"/>
        <v>230</v>
      </c>
      <c r="AO353" s="261">
        <f t="shared" si="276"/>
        <v>2300</v>
      </c>
      <c r="AP353" s="452">
        <f t="shared" si="277"/>
        <v>434</v>
      </c>
      <c r="AQ353" s="452">
        <f t="shared" si="278"/>
        <v>21.179200000000002</v>
      </c>
      <c r="AR353" s="452">
        <f t="shared" si="279"/>
        <v>0.37324694399999997</v>
      </c>
      <c r="AS353" s="452">
        <f t="shared" si="280"/>
        <v>456</v>
      </c>
      <c r="AT353" s="262">
        <f t="shared" si="281"/>
        <v>998200</v>
      </c>
      <c r="AU353" s="262">
        <f t="shared" si="282"/>
        <v>1048800</v>
      </c>
      <c r="AV353" s="431">
        <f t="shared" si="283"/>
        <v>10</v>
      </c>
      <c r="AW353" s="431">
        <f t="array" ref="AW353">MAX((IF(MNU_CODIGO_ALIMENTO_ENTREGA=CONCATENATE($E353,"_","P_"),MNU_GRAMAJE_REQUERIDO_TIPOH,"")))</f>
        <v>100</v>
      </c>
      <c r="AX353" s="259">
        <f t="shared" si="284"/>
        <v>290</v>
      </c>
      <c r="AY353" s="259">
        <f t="shared" si="285"/>
        <v>2900</v>
      </c>
      <c r="AZ353" s="452">
        <f t="shared" si="286"/>
        <v>434</v>
      </c>
      <c r="BA353" s="452">
        <f t="shared" si="287"/>
        <v>21.179200000000002</v>
      </c>
      <c r="BB353" s="452">
        <f t="shared" si="288"/>
        <v>0.37324694399999997</v>
      </c>
      <c r="BC353" s="452">
        <f t="shared" si="289"/>
        <v>456</v>
      </c>
      <c r="BD353" s="260">
        <f t="shared" si="290"/>
        <v>1258600</v>
      </c>
      <c r="BE353" s="260">
        <f t="shared" si="291"/>
        <v>1322400</v>
      </c>
      <c r="BF353" s="397">
        <f t="shared" si="292"/>
        <v>64375220</v>
      </c>
      <c r="BG353" s="397">
        <f t="shared" si="293"/>
        <v>67638480</v>
      </c>
    </row>
    <row r="354" spans="1:59" ht="15.75">
      <c r="A354" s="338">
        <v>27</v>
      </c>
      <c r="B354" s="338" t="str">
        <f t="shared" si="245"/>
        <v>FRUTA_27</v>
      </c>
      <c r="C354" s="338" t="str">
        <f t="shared" si="246"/>
        <v>7_27</v>
      </c>
      <c r="D354" s="338" t="s">
        <v>1</v>
      </c>
      <c r="E354" s="258">
        <v>7</v>
      </c>
      <c r="F354" s="328" t="s">
        <v>57</v>
      </c>
      <c r="G354" s="258" t="s">
        <v>9</v>
      </c>
      <c r="H354" s="431">
        <f t="shared" si="247"/>
        <v>22</v>
      </c>
      <c r="I354" s="431">
        <f t="array" ref="I354">MAX((IF(MNU_CODIGO_ALIMENTO_ENTREGA=CONCATENATE($E354,"_","P_"),MNU_GRAMAJE_REQUERIDO_TIPOA,"")))</f>
        <v>100</v>
      </c>
      <c r="J354" s="259">
        <f t="shared" si="248"/>
        <v>4741</v>
      </c>
      <c r="K354" s="259">
        <f t="shared" si="249"/>
        <v>104302</v>
      </c>
      <c r="L354" s="452">
        <f t="shared" si="250"/>
        <v>107</v>
      </c>
      <c r="M354" s="452">
        <f t="shared" si="251"/>
        <v>5.2216000000000005</v>
      </c>
      <c r="N354" s="452">
        <f t="shared" si="252"/>
        <v>9.2021712000000006E-2</v>
      </c>
      <c r="O354" s="452">
        <f t="shared" si="253"/>
        <v>112</v>
      </c>
      <c r="P354" s="260">
        <f t="shared" si="254"/>
        <v>11160314</v>
      </c>
      <c r="Q354" s="260">
        <f t="shared" si="255"/>
        <v>11681824</v>
      </c>
      <c r="R354" s="432">
        <f t="shared" si="256"/>
        <v>9</v>
      </c>
      <c r="S354" s="432">
        <f t="array" ref="S354">MAX((IF(MNU_CODIGO_ALIMENTO_ENTREGA=CONCATENATE($E354,"_","P_"),MNU_GRAMAJE_REQUERIDO_TIPOB,"")))</f>
        <v>100</v>
      </c>
      <c r="T354" s="261">
        <f t="shared" si="257"/>
        <v>6349</v>
      </c>
      <c r="U354" s="261">
        <f t="shared" si="258"/>
        <v>57141</v>
      </c>
      <c r="V354" s="452">
        <f t="shared" si="259"/>
        <v>107</v>
      </c>
      <c r="W354" s="452">
        <f t="shared" si="260"/>
        <v>5.2216000000000005</v>
      </c>
      <c r="X354" s="452">
        <f t="shared" si="261"/>
        <v>9.2021712000000006E-2</v>
      </c>
      <c r="Y354" s="452">
        <f t="shared" si="262"/>
        <v>112</v>
      </c>
      <c r="Z354" s="262">
        <f t="shared" si="263"/>
        <v>6114087</v>
      </c>
      <c r="AA354" s="262">
        <f t="shared" si="264"/>
        <v>6399792</v>
      </c>
      <c r="AB354" s="431">
        <f t="shared" si="265"/>
        <v>9</v>
      </c>
      <c r="AC354" s="431">
        <f t="array" ref="AC354">MAX((IF(MNU_CODIGO_ALIMENTO_ENTREGA=CONCATENATE($E354,"_","P_"),MNU_GRAMAJE_REQUERIDO_TIPOC,"")))</f>
        <v>100</v>
      </c>
      <c r="AD354" s="259">
        <f t="shared" si="266"/>
        <v>4836</v>
      </c>
      <c r="AE354" s="259">
        <f t="shared" si="267"/>
        <v>43524</v>
      </c>
      <c r="AF354" s="452">
        <f t="shared" si="268"/>
        <v>107</v>
      </c>
      <c r="AG354" s="452">
        <f t="shared" si="269"/>
        <v>5.2216000000000005</v>
      </c>
      <c r="AH354" s="452">
        <f t="shared" si="270"/>
        <v>9.2021712000000006E-2</v>
      </c>
      <c r="AI354" s="452">
        <f t="shared" si="271"/>
        <v>112</v>
      </c>
      <c r="AJ354" s="260">
        <f t="shared" si="272"/>
        <v>4657068</v>
      </c>
      <c r="AK354" s="260">
        <f t="shared" si="273"/>
        <v>4874688</v>
      </c>
      <c r="AL354" s="432">
        <f t="shared" si="274"/>
        <v>9</v>
      </c>
      <c r="AM354" s="432">
        <f t="array" ref="AM354">MAX((IF(MNU_CODIGO_ALIMENTO_ENTREGA=CONCATENATE($E354,"_","P_"),MNU_GRAMAJE_REQUERIDO_TIPOM,"")))</f>
        <v>100</v>
      </c>
      <c r="AN354" s="261">
        <f t="shared" si="275"/>
        <v>229</v>
      </c>
      <c r="AO354" s="261">
        <f t="shared" si="276"/>
        <v>2061</v>
      </c>
      <c r="AP354" s="452">
        <f t="shared" si="277"/>
        <v>107</v>
      </c>
      <c r="AQ354" s="452">
        <f t="shared" si="278"/>
        <v>5.2216000000000005</v>
      </c>
      <c r="AR354" s="452">
        <f t="shared" si="279"/>
        <v>9.2021712000000006E-2</v>
      </c>
      <c r="AS354" s="452">
        <f t="shared" si="280"/>
        <v>112</v>
      </c>
      <c r="AT354" s="262">
        <f t="shared" si="281"/>
        <v>220527</v>
      </c>
      <c r="AU354" s="262">
        <f t="shared" si="282"/>
        <v>230832</v>
      </c>
      <c r="AV354" s="431">
        <f t="shared" si="283"/>
        <v>9</v>
      </c>
      <c r="AW354" s="431">
        <f t="array" ref="AW354">MAX((IF(MNU_CODIGO_ALIMENTO_ENTREGA=CONCATENATE($E354,"_","P_"),MNU_GRAMAJE_REQUERIDO_TIPOH,"")))</f>
        <v>100</v>
      </c>
      <c r="AX354" s="259">
        <f t="shared" si="284"/>
        <v>252</v>
      </c>
      <c r="AY354" s="259">
        <f t="shared" si="285"/>
        <v>2268</v>
      </c>
      <c r="AZ354" s="452">
        <f t="shared" si="286"/>
        <v>107</v>
      </c>
      <c r="BA354" s="452">
        <f t="shared" si="287"/>
        <v>5.2216000000000005</v>
      </c>
      <c r="BB354" s="452">
        <f t="shared" si="288"/>
        <v>9.2021712000000006E-2</v>
      </c>
      <c r="BC354" s="452">
        <f t="shared" si="289"/>
        <v>112</v>
      </c>
      <c r="BD354" s="260">
        <f t="shared" si="290"/>
        <v>242676</v>
      </c>
      <c r="BE354" s="260">
        <f t="shared" si="291"/>
        <v>254016</v>
      </c>
      <c r="BF354" s="397">
        <f t="shared" si="292"/>
        <v>22394672</v>
      </c>
      <c r="BG354" s="397">
        <f t="shared" si="293"/>
        <v>23441152</v>
      </c>
    </row>
    <row r="355" spans="1:59" ht="15.75">
      <c r="A355" s="338">
        <v>27</v>
      </c>
      <c r="B355" s="338" t="str">
        <f t="shared" si="245"/>
        <v>FRUTA_27</v>
      </c>
      <c r="C355" s="338" t="str">
        <f t="shared" si="246"/>
        <v>8_27</v>
      </c>
      <c r="D355" s="338" t="s">
        <v>1</v>
      </c>
      <c r="E355" s="258">
        <v>8</v>
      </c>
      <c r="F355" s="328" t="s">
        <v>55</v>
      </c>
      <c r="G355" s="258" t="s">
        <v>9</v>
      </c>
      <c r="H355" s="431">
        <f t="shared" si="247"/>
        <v>10</v>
      </c>
      <c r="I355" s="431">
        <f t="array" ref="I355">MAX((IF(MNU_CODIGO_ALIMENTO_ENTREGA=CONCATENATE($E355,"_","P_"),MNU_GRAMAJE_REQUERIDO_TIPOA,"")))</f>
        <v>100</v>
      </c>
      <c r="J355" s="259">
        <f t="shared" si="248"/>
        <v>4741</v>
      </c>
      <c r="K355" s="259">
        <f t="shared" si="249"/>
        <v>47410</v>
      </c>
      <c r="L355" s="452">
        <f t="shared" si="250"/>
        <v>134</v>
      </c>
      <c r="M355" s="452">
        <f t="shared" si="251"/>
        <v>6.539200000000001</v>
      </c>
      <c r="N355" s="452">
        <f t="shared" si="252"/>
        <v>0.115242144</v>
      </c>
      <c r="O355" s="452">
        <f t="shared" si="253"/>
        <v>141</v>
      </c>
      <c r="P355" s="260">
        <f t="shared" si="254"/>
        <v>6352940</v>
      </c>
      <c r="Q355" s="260">
        <f t="shared" si="255"/>
        <v>6684810</v>
      </c>
      <c r="R355" s="432">
        <f t="shared" si="256"/>
        <v>8</v>
      </c>
      <c r="S355" s="432">
        <f t="array" ref="S355">MAX((IF(MNU_CODIGO_ALIMENTO_ENTREGA=CONCATENATE($E355,"_","P_"),MNU_GRAMAJE_REQUERIDO_TIPOB,"")))</f>
        <v>100</v>
      </c>
      <c r="T355" s="261">
        <f t="shared" si="257"/>
        <v>6349</v>
      </c>
      <c r="U355" s="261">
        <f t="shared" si="258"/>
        <v>50792</v>
      </c>
      <c r="V355" s="452">
        <f t="shared" si="259"/>
        <v>134</v>
      </c>
      <c r="W355" s="452">
        <f t="shared" si="260"/>
        <v>6.539200000000001</v>
      </c>
      <c r="X355" s="452">
        <f t="shared" si="261"/>
        <v>0.115242144</v>
      </c>
      <c r="Y355" s="452">
        <f t="shared" si="262"/>
        <v>141</v>
      </c>
      <c r="Z355" s="262">
        <f t="shared" si="263"/>
        <v>6806128</v>
      </c>
      <c r="AA355" s="262">
        <f t="shared" si="264"/>
        <v>7161672</v>
      </c>
      <c r="AB355" s="431">
        <f t="shared" si="265"/>
        <v>8</v>
      </c>
      <c r="AC355" s="431">
        <f t="array" ref="AC355">MAX((IF(MNU_CODIGO_ALIMENTO_ENTREGA=CONCATENATE($E355,"_","P_"),MNU_GRAMAJE_REQUERIDO_TIPOC,"")))</f>
        <v>100</v>
      </c>
      <c r="AD355" s="259">
        <f t="shared" si="266"/>
        <v>4836</v>
      </c>
      <c r="AE355" s="259">
        <f t="shared" si="267"/>
        <v>38688</v>
      </c>
      <c r="AF355" s="452">
        <f t="shared" si="268"/>
        <v>134</v>
      </c>
      <c r="AG355" s="452">
        <f t="shared" si="269"/>
        <v>6.539200000000001</v>
      </c>
      <c r="AH355" s="452">
        <f t="shared" si="270"/>
        <v>0.115242144</v>
      </c>
      <c r="AI355" s="452">
        <f t="shared" si="271"/>
        <v>141</v>
      </c>
      <c r="AJ355" s="260">
        <f t="shared" si="272"/>
        <v>5184192</v>
      </c>
      <c r="AK355" s="260">
        <f t="shared" si="273"/>
        <v>5455008</v>
      </c>
      <c r="AL355" s="432">
        <f t="shared" si="274"/>
        <v>8</v>
      </c>
      <c r="AM355" s="432">
        <f t="array" ref="AM355">MAX((IF(MNU_CODIGO_ALIMENTO_ENTREGA=CONCATENATE($E355,"_","P_"),MNU_GRAMAJE_REQUERIDO_TIPOM,"")))</f>
        <v>100</v>
      </c>
      <c r="AN355" s="261">
        <f t="shared" si="275"/>
        <v>229</v>
      </c>
      <c r="AO355" s="261">
        <f t="shared" si="276"/>
        <v>1832</v>
      </c>
      <c r="AP355" s="452">
        <f t="shared" si="277"/>
        <v>134</v>
      </c>
      <c r="AQ355" s="452">
        <f t="shared" si="278"/>
        <v>6.539200000000001</v>
      </c>
      <c r="AR355" s="452">
        <f t="shared" si="279"/>
        <v>0.115242144</v>
      </c>
      <c r="AS355" s="452">
        <f t="shared" si="280"/>
        <v>141</v>
      </c>
      <c r="AT355" s="262">
        <f t="shared" si="281"/>
        <v>245488</v>
      </c>
      <c r="AU355" s="262">
        <f t="shared" si="282"/>
        <v>258312</v>
      </c>
      <c r="AV355" s="431">
        <f t="shared" si="283"/>
        <v>8</v>
      </c>
      <c r="AW355" s="431">
        <f t="array" ref="AW355">MAX((IF(MNU_CODIGO_ALIMENTO_ENTREGA=CONCATENATE($E355,"_","P_"),MNU_GRAMAJE_REQUERIDO_TIPOH,"")))</f>
        <v>100</v>
      </c>
      <c r="AX355" s="259">
        <f t="shared" si="284"/>
        <v>252</v>
      </c>
      <c r="AY355" s="259">
        <f t="shared" si="285"/>
        <v>2016</v>
      </c>
      <c r="AZ355" s="452">
        <f t="shared" si="286"/>
        <v>134</v>
      </c>
      <c r="BA355" s="452">
        <f t="shared" si="287"/>
        <v>6.539200000000001</v>
      </c>
      <c r="BB355" s="452">
        <f t="shared" si="288"/>
        <v>0.115242144</v>
      </c>
      <c r="BC355" s="452">
        <f t="shared" si="289"/>
        <v>141</v>
      </c>
      <c r="BD355" s="260">
        <f t="shared" si="290"/>
        <v>270144</v>
      </c>
      <c r="BE355" s="260">
        <f t="shared" si="291"/>
        <v>284256</v>
      </c>
      <c r="BF355" s="397">
        <f t="shared" si="292"/>
        <v>18858892</v>
      </c>
      <c r="BG355" s="397">
        <f t="shared" si="293"/>
        <v>19844058</v>
      </c>
    </row>
    <row r="356" spans="1:59" ht="15.75">
      <c r="A356" s="338">
        <v>27</v>
      </c>
      <c r="B356" s="338" t="str">
        <f t="shared" si="245"/>
        <v>FRUTA_27</v>
      </c>
      <c r="C356" s="338" t="str">
        <f t="shared" si="246"/>
        <v>17_27</v>
      </c>
      <c r="D356" s="338" t="s">
        <v>1</v>
      </c>
      <c r="E356" s="258">
        <v>17</v>
      </c>
      <c r="F356" s="328" t="s">
        <v>53</v>
      </c>
      <c r="G356" s="258" t="s">
        <v>9</v>
      </c>
      <c r="H356" s="431">
        <f t="shared" si="247"/>
        <v>0</v>
      </c>
      <c r="I356" s="431">
        <f t="array" ref="I356">MAX((IF(MNU_CODIGO_ALIMENTO_ENTREGA=CONCATENATE($E356,"_","P_"),MNU_GRAMAJE_REQUERIDO_TIPOA,"")))</f>
        <v>0</v>
      </c>
      <c r="J356" s="259">
        <f t="shared" si="248"/>
        <v>4741</v>
      </c>
      <c r="K356" s="259">
        <f t="shared" si="249"/>
        <v>0</v>
      </c>
      <c r="L356" s="452">
        <f t="shared" si="250"/>
        <v>0</v>
      </c>
      <c r="M356" s="452">
        <f t="shared" si="251"/>
        <v>0</v>
      </c>
      <c r="N356" s="452">
        <f t="shared" si="252"/>
        <v>0</v>
      </c>
      <c r="O356" s="452">
        <f t="shared" si="253"/>
        <v>0</v>
      </c>
      <c r="P356" s="260">
        <f t="shared" si="254"/>
        <v>0</v>
      </c>
      <c r="Q356" s="260">
        <f t="shared" si="255"/>
        <v>0</v>
      </c>
      <c r="R356" s="432">
        <f t="shared" si="256"/>
        <v>21</v>
      </c>
      <c r="S356" s="432">
        <f t="array" ref="S356">MAX((IF(MNU_CODIGO_ALIMENTO_ENTREGA=CONCATENATE($E356,"_","P_"),MNU_GRAMAJE_REQUERIDO_TIPOB,"")))</f>
        <v>100</v>
      </c>
      <c r="T356" s="261">
        <f t="shared" si="257"/>
        <v>6349</v>
      </c>
      <c r="U356" s="261">
        <f t="shared" si="258"/>
        <v>133329</v>
      </c>
      <c r="V356" s="452">
        <f t="shared" si="259"/>
        <v>226</v>
      </c>
      <c r="W356" s="452">
        <f t="shared" si="260"/>
        <v>11.0288</v>
      </c>
      <c r="X356" s="452">
        <f t="shared" si="261"/>
        <v>0.19436361600000002</v>
      </c>
      <c r="Y356" s="452">
        <f t="shared" si="262"/>
        <v>237</v>
      </c>
      <c r="Z356" s="262">
        <f t="shared" si="263"/>
        <v>30132354</v>
      </c>
      <c r="AA356" s="262">
        <f t="shared" si="264"/>
        <v>31598973</v>
      </c>
      <c r="AB356" s="431">
        <f t="shared" si="265"/>
        <v>21</v>
      </c>
      <c r="AC356" s="431">
        <f t="array" ref="AC356">MAX((IF(MNU_CODIGO_ALIMENTO_ENTREGA=CONCATENATE($E356,"_","P_"),MNU_GRAMAJE_REQUERIDO_TIPOC,"")))</f>
        <v>100</v>
      </c>
      <c r="AD356" s="259">
        <f t="shared" si="266"/>
        <v>4836</v>
      </c>
      <c r="AE356" s="259">
        <f t="shared" si="267"/>
        <v>101556</v>
      </c>
      <c r="AF356" s="452">
        <f t="shared" si="268"/>
        <v>226</v>
      </c>
      <c r="AG356" s="452">
        <f t="shared" si="269"/>
        <v>11.0288</v>
      </c>
      <c r="AH356" s="452">
        <f t="shared" si="270"/>
        <v>0.19436361600000002</v>
      </c>
      <c r="AI356" s="452">
        <f t="shared" si="271"/>
        <v>237</v>
      </c>
      <c r="AJ356" s="260">
        <f t="shared" si="272"/>
        <v>22951656</v>
      </c>
      <c r="AK356" s="260">
        <f t="shared" si="273"/>
        <v>24068772</v>
      </c>
      <c r="AL356" s="432">
        <f t="shared" si="274"/>
        <v>21</v>
      </c>
      <c r="AM356" s="432">
        <f t="array" ref="AM356">MAX((IF(MNU_CODIGO_ALIMENTO_ENTREGA=CONCATENATE($E356,"_","P_"),MNU_GRAMAJE_REQUERIDO_TIPOM,"")))</f>
        <v>100</v>
      </c>
      <c r="AN356" s="261">
        <f t="shared" si="275"/>
        <v>229</v>
      </c>
      <c r="AO356" s="261">
        <f t="shared" si="276"/>
        <v>4809</v>
      </c>
      <c r="AP356" s="452">
        <f t="shared" si="277"/>
        <v>226</v>
      </c>
      <c r="AQ356" s="452">
        <f t="shared" si="278"/>
        <v>11.0288</v>
      </c>
      <c r="AR356" s="452">
        <f t="shared" si="279"/>
        <v>0.19436361600000002</v>
      </c>
      <c r="AS356" s="452">
        <f t="shared" si="280"/>
        <v>237</v>
      </c>
      <c r="AT356" s="262">
        <f t="shared" si="281"/>
        <v>1086834</v>
      </c>
      <c r="AU356" s="262">
        <f t="shared" si="282"/>
        <v>1139733</v>
      </c>
      <c r="AV356" s="431">
        <f t="shared" si="283"/>
        <v>21</v>
      </c>
      <c r="AW356" s="431">
        <f t="array" ref="AW356">MAX((IF(MNU_CODIGO_ALIMENTO_ENTREGA=CONCATENATE($E356,"_","P_"),MNU_GRAMAJE_REQUERIDO_TIPOH,"")))</f>
        <v>100</v>
      </c>
      <c r="AX356" s="259">
        <f t="shared" si="284"/>
        <v>252</v>
      </c>
      <c r="AY356" s="259">
        <f t="shared" si="285"/>
        <v>5292</v>
      </c>
      <c r="AZ356" s="452">
        <f t="shared" si="286"/>
        <v>226</v>
      </c>
      <c r="BA356" s="452">
        <f t="shared" si="287"/>
        <v>11.0288</v>
      </c>
      <c r="BB356" s="452">
        <f t="shared" si="288"/>
        <v>0.19436361600000002</v>
      </c>
      <c r="BC356" s="452">
        <f t="shared" si="289"/>
        <v>237</v>
      </c>
      <c r="BD356" s="260">
        <f t="shared" si="290"/>
        <v>1195992</v>
      </c>
      <c r="BE356" s="260">
        <f t="shared" si="291"/>
        <v>1254204</v>
      </c>
      <c r="BF356" s="397">
        <f t="shared" si="292"/>
        <v>55366836</v>
      </c>
      <c r="BG356" s="397">
        <f t="shared" si="293"/>
        <v>58061682</v>
      </c>
    </row>
    <row r="357" spans="1:59" ht="15.75">
      <c r="A357" s="338">
        <v>27</v>
      </c>
      <c r="B357" s="338" t="str">
        <f t="shared" si="245"/>
        <v>FRUTA_27</v>
      </c>
      <c r="C357" s="338" t="str">
        <f t="shared" si="246"/>
        <v>22_27</v>
      </c>
      <c r="D357" s="338" t="s">
        <v>1</v>
      </c>
      <c r="E357" s="258">
        <v>22</v>
      </c>
      <c r="F357" s="328" t="s">
        <v>51</v>
      </c>
      <c r="G357" s="258" t="s">
        <v>9</v>
      </c>
      <c r="H357" s="431">
        <f t="shared" si="247"/>
        <v>0</v>
      </c>
      <c r="I357" s="431">
        <f t="array" ref="I357">MAX((IF(MNU_CODIGO_ALIMENTO_ENTREGA=CONCATENATE($E357,"_","P_"),MNU_GRAMAJE_REQUERIDO_TIPOA,"")))</f>
        <v>0</v>
      </c>
      <c r="J357" s="259">
        <f t="shared" si="248"/>
        <v>4741</v>
      </c>
      <c r="K357" s="259">
        <f t="shared" si="249"/>
        <v>0</v>
      </c>
      <c r="L357" s="452">
        <f t="shared" si="250"/>
        <v>0</v>
      </c>
      <c r="M357" s="452">
        <f t="shared" si="251"/>
        <v>0</v>
      </c>
      <c r="N357" s="452">
        <f t="shared" si="252"/>
        <v>0</v>
      </c>
      <c r="O357" s="452">
        <f t="shared" si="253"/>
        <v>0</v>
      </c>
      <c r="P357" s="260">
        <f t="shared" si="254"/>
        <v>0</v>
      </c>
      <c r="Q357" s="260">
        <f t="shared" si="255"/>
        <v>0</v>
      </c>
      <c r="R357" s="432">
        <f t="shared" si="256"/>
        <v>20</v>
      </c>
      <c r="S357" s="432">
        <f t="array" ref="S357">MAX((IF(MNU_CODIGO_ALIMENTO_ENTREGA=CONCATENATE($E357,"_","P_"),MNU_GRAMAJE_REQUERIDO_TIPOB,"")))</f>
        <v>100</v>
      </c>
      <c r="T357" s="261">
        <f t="shared" si="257"/>
        <v>6349</v>
      </c>
      <c r="U357" s="261">
        <f t="shared" si="258"/>
        <v>126980</v>
      </c>
      <c r="V357" s="452">
        <f t="shared" si="259"/>
        <v>525</v>
      </c>
      <c r="W357" s="452">
        <f t="shared" si="260"/>
        <v>25.62</v>
      </c>
      <c r="X357" s="452">
        <f t="shared" si="261"/>
        <v>0.45150840000000003</v>
      </c>
      <c r="Y357" s="452">
        <f t="shared" si="262"/>
        <v>551</v>
      </c>
      <c r="Z357" s="262">
        <f t="shared" si="263"/>
        <v>66664500</v>
      </c>
      <c r="AA357" s="262">
        <f t="shared" si="264"/>
        <v>69965980</v>
      </c>
      <c r="AB357" s="431">
        <f t="shared" si="265"/>
        <v>20</v>
      </c>
      <c r="AC357" s="431">
        <f t="array" ref="AC357">MAX((IF(MNU_CODIGO_ALIMENTO_ENTREGA=CONCATENATE($E357,"_","P_"),MNU_GRAMAJE_REQUERIDO_TIPOC,"")))</f>
        <v>100</v>
      </c>
      <c r="AD357" s="259">
        <f t="shared" si="266"/>
        <v>4836</v>
      </c>
      <c r="AE357" s="259">
        <f t="shared" si="267"/>
        <v>96720</v>
      </c>
      <c r="AF357" s="452">
        <f t="shared" si="268"/>
        <v>525</v>
      </c>
      <c r="AG357" s="452">
        <f t="shared" si="269"/>
        <v>25.62</v>
      </c>
      <c r="AH357" s="452">
        <f t="shared" si="270"/>
        <v>0.45150840000000003</v>
      </c>
      <c r="AI357" s="452">
        <f t="shared" si="271"/>
        <v>551</v>
      </c>
      <c r="AJ357" s="260">
        <f t="shared" si="272"/>
        <v>50778000</v>
      </c>
      <c r="AK357" s="260">
        <f t="shared" si="273"/>
        <v>53292720</v>
      </c>
      <c r="AL357" s="432">
        <f t="shared" si="274"/>
        <v>20</v>
      </c>
      <c r="AM357" s="432">
        <f t="array" ref="AM357">MAX((IF(MNU_CODIGO_ALIMENTO_ENTREGA=CONCATENATE($E357,"_","P_"),MNU_GRAMAJE_REQUERIDO_TIPOM,"")))</f>
        <v>100</v>
      </c>
      <c r="AN357" s="261">
        <f t="shared" si="275"/>
        <v>229</v>
      </c>
      <c r="AO357" s="261">
        <f t="shared" si="276"/>
        <v>4580</v>
      </c>
      <c r="AP357" s="452">
        <f t="shared" si="277"/>
        <v>525</v>
      </c>
      <c r="AQ357" s="452">
        <f t="shared" si="278"/>
        <v>25.62</v>
      </c>
      <c r="AR357" s="452">
        <f t="shared" si="279"/>
        <v>0.45150840000000003</v>
      </c>
      <c r="AS357" s="452">
        <f t="shared" si="280"/>
        <v>551</v>
      </c>
      <c r="AT357" s="262">
        <f t="shared" si="281"/>
        <v>2404500</v>
      </c>
      <c r="AU357" s="262">
        <f t="shared" si="282"/>
        <v>2523580</v>
      </c>
      <c r="AV357" s="431">
        <f t="shared" si="283"/>
        <v>20</v>
      </c>
      <c r="AW357" s="431">
        <f t="array" ref="AW357">MAX((IF(MNU_CODIGO_ALIMENTO_ENTREGA=CONCATENATE($E357,"_","P_"),MNU_GRAMAJE_REQUERIDO_TIPOH,"")))</f>
        <v>100</v>
      </c>
      <c r="AX357" s="259">
        <f t="shared" si="284"/>
        <v>252</v>
      </c>
      <c r="AY357" s="259">
        <f t="shared" si="285"/>
        <v>5040</v>
      </c>
      <c r="AZ357" s="452">
        <f t="shared" si="286"/>
        <v>525</v>
      </c>
      <c r="BA357" s="452">
        <f t="shared" si="287"/>
        <v>25.62</v>
      </c>
      <c r="BB357" s="452">
        <f t="shared" si="288"/>
        <v>0.45150840000000003</v>
      </c>
      <c r="BC357" s="452">
        <f t="shared" si="289"/>
        <v>551</v>
      </c>
      <c r="BD357" s="260">
        <f t="shared" si="290"/>
        <v>2646000</v>
      </c>
      <c r="BE357" s="260">
        <f t="shared" si="291"/>
        <v>2777040</v>
      </c>
      <c r="BF357" s="397">
        <f t="shared" si="292"/>
        <v>122493000</v>
      </c>
      <c r="BG357" s="397">
        <f t="shared" si="293"/>
        <v>128559320</v>
      </c>
    </row>
    <row r="358" spans="1:59" ht="15.75">
      <c r="A358" s="338">
        <v>27</v>
      </c>
      <c r="B358" s="338" t="str">
        <f t="shared" si="245"/>
        <v>FRUTA_27</v>
      </c>
      <c r="C358" s="338" t="str">
        <f t="shared" si="246"/>
        <v>33_27</v>
      </c>
      <c r="D358" s="338" t="s">
        <v>1</v>
      </c>
      <c r="E358" s="258">
        <v>33</v>
      </c>
      <c r="F358" s="328" t="s">
        <v>59</v>
      </c>
      <c r="G358" s="258" t="s">
        <v>48</v>
      </c>
      <c r="H358" s="431">
        <f t="shared" si="247"/>
        <v>27</v>
      </c>
      <c r="I358" s="431">
        <v>1</v>
      </c>
      <c r="J358" s="259">
        <f t="shared" si="248"/>
        <v>4741</v>
      </c>
      <c r="K358" s="259">
        <f t="shared" si="249"/>
        <v>128007</v>
      </c>
      <c r="L358" s="452">
        <f t="shared" si="250"/>
        <v>270</v>
      </c>
      <c r="M358" s="452">
        <f t="shared" si="251"/>
        <v>13.176000000000002</v>
      </c>
      <c r="N358" s="452">
        <f t="shared" si="252"/>
        <v>0.23220432000000002</v>
      </c>
      <c r="O358" s="452">
        <f t="shared" si="253"/>
        <v>283</v>
      </c>
      <c r="P358" s="260">
        <f t="shared" si="254"/>
        <v>34561890</v>
      </c>
      <c r="Q358" s="260">
        <f t="shared" si="255"/>
        <v>36225981</v>
      </c>
      <c r="R358" s="432">
        <f t="shared" si="256"/>
        <v>18</v>
      </c>
      <c r="S358" s="432">
        <v>1</v>
      </c>
      <c r="T358" s="261">
        <f t="shared" si="257"/>
        <v>6349</v>
      </c>
      <c r="U358" s="261">
        <f t="shared" si="258"/>
        <v>114282</v>
      </c>
      <c r="V358" s="452">
        <f t="shared" si="259"/>
        <v>270</v>
      </c>
      <c r="W358" s="452">
        <f t="shared" si="260"/>
        <v>13.176000000000002</v>
      </c>
      <c r="X358" s="452">
        <f t="shared" si="261"/>
        <v>0.23220432000000002</v>
      </c>
      <c r="Y358" s="452">
        <f t="shared" si="262"/>
        <v>283</v>
      </c>
      <c r="Z358" s="262">
        <f t="shared" si="263"/>
        <v>30856140</v>
      </c>
      <c r="AA358" s="262">
        <f t="shared" si="264"/>
        <v>32341806</v>
      </c>
      <c r="AB358" s="431">
        <f t="shared" si="265"/>
        <v>18</v>
      </c>
      <c r="AC358" s="431">
        <v>1</v>
      </c>
      <c r="AD358" s="259">
        <f t="shared" si="266"/>
        <v>4836</v>
      </c>
      <c r="AE358" s="259">
        <f t="shared" si="267"/>
        <v>87048</v>
      </c>
      <c r="AF358" s="452">
        <f t="shared" si="268"/>
        <v>270</v>
      </c>
      <c r="AG358" s="452">
        <f t="shared" si="269"/>
        <v>13.176000000000002</v>
      </c>
      <c r="AH358" s="452">
        <f t="shared" si="270"/>
        <v>0.23220432000000002</v>
      </c>
      <c r="AI358" s="452">
        <f t="shared" si="271"/>
        <v>283</v>
      </c>
      <c r="AJ358" s="260">
        <f t="shared" si="272"/>
        <v>23502960</v>
      </c>
      <c r="AK358" s="260">
        <f t="shared" si="273"/>
        <v>24634584</v>
      </c>
      <c r="AL358" s="432">
        <f t="shared" si="274"/>
        <v>18</v>
      </c>
      <c r="AM358" s="432">
        <v>1</v>
      </c>
      <c r="AN358" s="261">
        <f t="shared" si="275"/>
        <v>229</v>
      </c>
      <c r="AO358" s="261">
        <f t="shared" si="276"/>
        <v>4122</v>
      </c>
      <c r="AP358" s="452">
        <f t="shared" si="277"/>
        <v>270</v>
      </c>
      <c r="AQ358" s="452">
        <f t="shared" si="278"/>
        <v>13.176000000000002</v>
      </c>
      <c r="AR358" s="452">
        <f t="shared" si="279"/>
        <v>0.23220432000000002</v>
      </c>
      <c r="AS358" s="452">
        <f t="shared" si="280"/>
        <v>283</v>
      </c>
      <c r="AT358" s="262">
        <f t="shared" si="281"/>
        <v>1112940</v>
      </c>
      <c r="AU358" s="262">
        <f t="shared" si="282"/>
        <v>1166526</v>
      </c>
      <c r="AV358" s="431">
        <f t="shared" si="283"/>
        <v>18</v>
      </c>
      <c r="AW358" s="431">
        <v>1</v>
      </c>
      <c r="AX358" s="259">
        <f t="shared" si="284"/>
        <v>252</v>
      </c>
      <c r="AY358" s="259">
        <f t="shared" si="285"/>
        <v>4536</v>
      </c>
      <c r="AZ358" s="452">
        <f t="shared" si="286"/>
        <v>270</v>
      </c>
      <c r="BA358" s="452">
        <f t="shared" si="287"/>
        <v>13.176000000000002</v>
      </c>
      <c r="BB358" s="452">
        <f t="shared" si="288"/>
        <v>0.23220432000000002</v>
      </c>
      <c r="BC358" s="452">
        <f t="shared" si="289"/>
        <v>283</v>
      </c>
      <c r="BD358" s="260">
        <f t="shared" si="290"/>
        <v>1224720</v>
      </c>
      <c r="BE358" s="260">
        <f t="shared" si="291"/>
        <v>1283688</v>
      </c>
      <c r="BF358" s="397">
        <f t="shared" si="292"/>
        <v>91258650</v>
      </c>
      <c r="BG358" s="397">
        <f t="shared" si="293"/>
        <v>95652585</v>
      </c>
    </row>
    <row r="359" spans="1:59" ht="15.75">
      <c r="A359" s="338">
        <v>27</v>
      </c>
      <c r="B359" s="338" t="str">
        <f t="shared" si="245"/>
        <v>FRUTA_27</v>
      </c>
      <c r="C359" s="338" t="str">
        <f t="shared" si="246"/>
        <v>36_27</v>
      </c>
      <c r="D359" s="338" t="s">
        <v>1</v>
      </c>
      <c r="E359" s="258">
        <v>36</v>
      </c>
      <c r="F359" s="328" t="s">
        <v>1340</v>
      </c>
      <c r="G359" s="258" t="s">
        <v>9</v>
      </c>
      <c r="H359" s="431">
        <f t="shared" si="247"/>
        <v>7</v>
      </c>
      <c r="I359" s="431">
        <f t="array" ref="I359">MAX((IF(MNU_CODIGO_ALIMENTO_ENTREGA=CONCATENATE($E359,"_","P_"),MNU_GRAMAJE_REQUERIDO_TIPOA,"")))</f>
        <v>20</v>
      </c>
      <c r="J359" s="259">
        <f t="shared" si="248"/>
        <v>4741</v>
      </c>
      <c r="K359" s="259">
        <f t="shared" si="249"/>
        <v>33187</v>
      </c>
      <c r="L359" s="452">
        <f t="shared" si="250"/>
        <v>126</v>
      </c>
      <c r="M359" s="452">
        <f t="shared" si="251"/>
        <v>6.1488000000000005</v>
      </c>
      <c r="N359" s="452">
        <f t="shared" si="252"/>
        <v>0.10836201599999999</v>
      </c>
      <c r="O359" s="452">
        <f t="shared" si="253"/>
        <v>132</v>
      </c>
      <c r="P359" s="260">
        <f t="shared" si="254"/>
        <v>4181562</v>
      </c>
      <c r="Q359" s="260">
        <f t="shared" si="255"/>
        <v>4380684</v>
      </c>
      <c r="R359" s="432">
        <f t="shared" si="256"/>
        <v>7</v>
      </c>
      <c r="S359" s="432">
        <f t="array" ref="S359">MAX((IF(MNU_CODIGO_ALIMENTO_ENTREGA=CONCATENATE($E359,"_","P_"),MNU_GRAMAJE_REQUERIDO_TIPOB,"")))</f>
        <v>40</v>
      </c>
      <c r="T359" s="261">
        <f t="shared" si="257"/>
        <v>6349</v>
      </c>
      <c r="U359" s="261">
        <f t="shared" si="258"/>
        <v>44443</v>
      </c>
      <c r="V359" s="452">
        <f t="shared" si="259"/>
        <v>252</v>
      </c>
      <c r="W359" s="452">
        <f t="shared" si="260"/>
        <v>12.297600000000001</v>
      </c>
      <c r="X359" s="452">
        <f t="shared" si="261"/>
        <v>0.21672403199999998</v>
      </c>
      <c r="Y359" s="452">
        <f t="shared" si="262"/>
        <v>265</v>
      </c>
      <c r="Z359" s="262">
        <f t="shared" si="263"/>
        <v>11199636</v>
      </c>
      <c r="AA359" s="262">
        <f t="shared" si="264"/>
        <v>11777395</v>
      </c>
      <c r="AB359" s="431">
        <f t="shared" si="265"/>
        <v>7</v>
      </c>
      <c r="AC359" s="431">
        <f t="array" ref="AC359">MAX((IF(MNU_CODIGO_ALIMENTO_ENTREGA=CONCATENATE($E359,"_","P_"),MNU_GRAMAJE_REQUERIDO_TIPOC,"")))</f>
        <v>40</v>
      </c>
      <c r="AD359" s="259">
        <f t="shared" si="266"/>
        <v>4836</v>
      </c>
      <c r="AE359" s="259">
        <f t="shared" si="267"/>
        <v>33852</v>
      </c>
      <c r="AF359" s="452">
        <f t="shared" si="268"/>
        <v>252</v>
      </c>
      <c r="AG359" s="452">
        <f t="shared" si="269"/>
        <v>12.297600000000001</v>
      </c>
      <c r="AH359" s="452">
        <f t="shared" si="270"/>
        <v>0.21672403199999998</v>
      </c>
      <c r="AI359" s="452">
        <f t="shared" si="271"/>
        <v>265</v>
      </c>
      <c r="AJ359" s="260">
        <f t="shared" si="272"/>
        <v>8530704</v>
      </c>
      <c r="AK359" s="260">
        <f t="shared" si="273"/>
        <v>8970780</v>
      </c>
      <c r="AL359" s="432">
        <f t="shared" si="274"/>
        <v>7</v>
      </c>
      <c r="AM359" s="432">
        <f t="array" ref="AM359">MAX((IF(MNU_CODIGO_ALIMENTO_ENTREGA=CONCATENATE($E359,"_","P_"),MNU_GRAMAJE_REQUERIDO_TIPOM,"")))</f>
        <v>40</v>
      </c>
      <c r="AN359" s="261">
        <f t="shared" si="275"/>
        <v>229</v>
      </c>
      <c r="AO359" s="261">
        <f t="shared" si="276"/>
        <v>1603</v>
      </c>
      <c r="AP359" s="452">
        <f t="shared" si="277"/>
        <v>252</v>
      </c>
      <c r="AQ359" s="452">
        <f t="shared" si="278"/>
        <v>12.297600000000001</v>
      </c>
      <c r="AR359" s="452">
        <f t="shared" si="279"/>
        <v>0.21672403199999998</v>
      </c>
      <c r="AS359" s="452">
        <f t="shared" si="280"/>
        <v>265</v>
      </c>
      <c r="AT359" s="262">
        <f t="shared" si="281"/>
        <v>403956</v>
      </c>
      <c r="AU359" s="262">
        <f t="shared" si="282"/>
        <v>424795</v>
      </c>
      <c r="AV359" s="431">
        <f t="shared" si="283"/>
        <v>7</v>
      </c>
      <c r="AW359" s="431">
        <f t="array" ref="AW359">MAX((IF(MNU_CODIGO_ALIMENTO_ENTREGA=CONCATENATE($E359,"_","P_"),MNU_GRAMAJE_REQUERIDO_TIPOH,"")))</f>
        <v>40</v>
      </c>
      <c r="AX359" s="259">
        <f t="shared" si="284"/>
        <v>252</v>
      </c>
      <c r="AY359" s="259">
        <f t="shared" si="285"/>
        <v>1764</v>
      </c>
      <c r="AZ359" s="452">
        <f t="shared" si="286"/>
        <v>252</v>
      </c>
      <c r="BA359" s="452">
        <f t="shared" si="287"/>
        <v>12.297600000000001</v>
      </c>
      <c r="BB359" s="452">
        <f t="shared" si="288"/>
        <v>0.21672403199999998</v>
      </c>
      <c r="BC359" s="452">
        <f t="shared" si="289"/>
        <v>265</v>
      </c>
      <c r="BD359" s="260">
        <f t="shared" si="290"/>
        <v>444528</v>
      </c>
      <c r="BE359" s="260">
        <f t="shared" si="291"/>
        <v>467460</v>
      </c>
      <c r="BF359" s="397">
        <f t="shared" si="292"/>
        <v>24760386</v>
      </c>
      <c r="BG359" s="397">
        <f t="shared" si="293"/>
        <v>26021114</v>
      </c>
    </row>
    <row r="360" spans="1:59" ht="15.75">
      <c r="A360" s="338">
        <v>27</v>
      </c>
      <c r="B360" s="338" t="str">
        <f t="shared" si="245"/>
        <v>FRUTA_27</v>
      </c>
      <c r="C360" s="338" t="str">
        <f t="shared" si="246"/>
        <v>42_27</v>
      </c>
      <c r="D360" s="338" t="s">
        <v>1</v>
      </c>
      <c r="E360" s="258">
        <v>42</v>
      </c>
      <c r="F360" s="328" t="s">
        <v>61</v>
      </c>
      <c r="G360" s="258" t="s">
        <v>9</v>
      </c>
      <c r="H360" s="431">
        <f t="shared" si="247"/>
        <v>23</v>
      </c>
      <c r="I360" s="431">
        <f t="array" ref="I360">MAX((IF(MNU_CODIGO_ALIMENTO_ENTREGA=CONCATENATE($E360,"_","P_"),MNU_GRAMAJE_REQUERIDO_TIPOA,"")))</f>
        <v>100</v>
      </c>
      <c r="J360" s="259">
        <f t="shared" si="248"/>
        <v>4741</v>
      </c>
      <c r="K360" s="259">
        <f t="shared" si="249"/>
        <v>109043</v>
      </c>
      <c r="L360" s="452">
        <f t="shared" si="250"/>
        <v>194</v>
      </c>
      <c r="M360" s="452">
        <f t="shared" si="251"/>
        <v>9.4672000000000001</v>
      </c>
      <c r="N360" s="452">
        <f t="shared" si="252"/>
        <v>0.16684310399999999</v>
      </c>
      <c r="O360" s="452">
        <f t="shared" si="253"/>
        <v>204</v>
      </c>
      <c r="P360" s="260">
        <f t="shared" si="254"/>
        <v>21154342</v>
      </c>
      <c r="Q360" s="260">
        <f t="shared" si="255"/>
        <v>22244772</v>
      </c>
      <c r="R360" s="432">
        <f t="shared" si="256"/>
        <v>19</v>
      </c>
      <c r="S360" s="432">
        <f t="array" ref="S360">MAX((IF(MNU_CODIGO_ALIMENTO_ENTREGA=CONCATENATE($E360,"_","P_"),MNU_GRAMAJE_REQUERIDO_TIPOB,"")))</f>
        <v>100</v>
      </c>
      <c r="T360" s="261">
        <f t="shared" si="257"/>
        <v>6349</v>
      </c>
      <c r="U360" s="261">
        <f t="shared" si="258"/>
        <v>120631</v>
      </c>
      <c r="V360" s="452">
        <f t="shared" si="259"/>
        <v>194</v>
      </c>
      <c r="W360" s="452">
        <f t="shared" si="260"/>
        <v>9.4672000000000001</v>
      </c>
      <c r="X360" s="452">
        <f t="shared" si="261"/>
        <v>0.16684310399999999</v>
      </c>
      <c r="Y360" s="452">
        <f t="shared" si="262"/>
        <v>204</v>
      </c>
      <c r="Z360" s="262">
        <f t="shared" si="263"/>
        <v>23402414</v>
      </c>
      <c r="AA360" s="262">
        <f t="shared" si="264"/>
        <v>24608724</v>
      </c>
      <c r="AB360" s="431">
        <f t="shared" si="265"/>
        <v>19</v>
      </c>
      <c r="AC360" s="431">
        <f t="array" ref="AC360">MAX((IF(MNU_CODIGO_ALIMENTO_ENTREGA=CONCATENATE($E360,"_","P_"),MNU_GRAMAJE_REQUERIDO_TIPOC,"")))</f>
        <v>100</v>
      </c>
      <c r="AD360" s="259">
        <f t="shared" si="266"/>
        <v>4836</v>
      </c>
      <c r="AE360" s="259">
        <f t="shared" si="267"/>
        <v>91884</v>
      </c>
      <c r="AF360" s="452">
        <f t="shared" si="268"/>
        <v>194</v>
      </c>
      <c r="AG360" s="452">
        <f t="shared" si="269"/>
        <v>9.4672000000000001</v>
      </c>
      <c r="AH360" s="452">
        <f t="shared" si="270"/>
        <v>0.16684310399999999</v>
      </c>
      <c r="AI360" s="452">
        <f t="shared" si="271"/>
        <v>204</v>
      </c>
      <c r="AJ360" s="260">
        <f t="shared" si="272"/>
        <v>17825496</v>
      </c>
      <c r="AK360" s="260">
        <f t="shared" si="273"/>
        <v>18744336</v>
      </c>
      <c r="AL360" s="432">
        <f t="shared" si="274"/>
        <v>19</v>
      </c>
      <c r="AM360" s="432">
        <f t="array" ref="AM360">MAX((IF(MNU_CODIGO_ALIMENTO_ENTREGA=CONCATENATE($E360,"_","P_"),MNU_GRAMAJE_REQUERIDO_TIPOM,"")))</f>
        <v>100</v>
      </c>
      <c r="AN360" s="261">
        <f t="shared" si="275"/>
        <v>229</v>
      </c>
      <c r="AO360" s="261">
        <f t="shared" si="276"/>
        <v>4351</v>
      </c>
      <c r="AP360" s="452">
        <f t="shared" si="277"/>
        <v>194</v>
      </c>
      <c r="AQ360" s="452">
        <f t="shared" si="278"/>
        <v>9.4672000000000001</v>
      </c>
      <c r="AR360" s="452">
        <f t="shared" si="279"/>
        <v>0.16684310399999999</v>
      </c>
      <c r="AS360" s="452">
        <f t="shared" si="280"/>
        <v>204</v>
      </c>
      <c r="AT360" s="262">
        <f t="shared" si="281"/>
        <v>844094</v>
      </c>
      <c r="AU360" s="262">
        <f t="shared" si="282"/>
        <v>887604</v>
      </c>
      <c r="AV360" s="431">
        <f t="shared" si="283"/>
        <v>19</v>
      </c>
      <c r="AW360" s="431">
        <f t="array" ref="AW360">MAX((IF(MNU_CODIGO_ALIMENTO_ENTREGA=CONCATENATE($E360,"_","P_"),MNU_GRAMAJE_REQUERIDO_TIPOH,"")))</f>
        <v>100</v>
      </c>
      <c r="AX360" s="259">
        <f t="shared" si="284"/>
        <v>252</v>
      </c>
      <c r="AY360" s="259">
        <f t="shared" si="285"/>
        <v>4788</v>
      </c>
      <c r="AZ360" s="452">
        <f t="shared" si="286"/>
        <v>194</v>
      </c>
      <c r="BA360" s="452">
        <f t="shared" si="287"/>
        <v>9.4672000000000001</v>
      </c>
      <c r="BB360" s="452">
        <f t="shared" si="288"/>
        <v>0.16684310399999999</v>
      </c>
      <c r="BC360" s="452">
        <f t="shared" si="289"/>
        <v>204</v>
      </c>
      <c r="BD360" s="260">
        <f t="shared" si="290"/>
        <v>928872</v>
      </c>
      <c r="BE360" s="260">
        <f t="shared" si="291"/>
        <v>976752</v>
      </c>
      <c r="BF360" s="397">
        <f t="shared" si="292"/>
        <v>64155218</v>
      </c>
      <c r="BG360" s="397">
        <f t="shared" si="293"/>
        <v>67462188</v>
      </c>
    </row>
    <row r="361" spans="1:59" ht="15.75">
      <c r="A361" s="338">
        <v>27</v>
      </c>
      <c r="B361" s="338" t="str">
        <f t="shared" si="245"/>
        <v>FRUTA_27</v>
      </c>
      <c r="C361" s="338" t="str">
        <f t="shared" si="246"/>
        <v>43_27</v>
      </c>
      <c r="D361" s="338" t="s">
        <v>1</v>
      </c>
      <c r="E361" s="258">
        <v>43</v>
      </c>
      <c r="F361" s="328" t="s">
        <v>62</v>
      </c>
      <c r="G361" s="258" t="s">
        <v>9</v>
      </c>
      <c r="H361" s="431">
        <f t="shared" si="247"/>
        <v>24</v>
      </c>
      <c r="I361" s="431">
        <f t="array" ref="I361">MAX((IF(MNU_CODIGO_ALIMENTO_ENTREGA=CONCATENATE($E361,"_","P_"),MNU_GRAMAJE_REQUERIDO_TIPOA,"")))</f>
        <v>100</v>
      </c>
      <c r="J361" s="259">
        <f t="shared" si="248"/>
        <v>4741</v>
      </c>
      <c r="K361" s="259">
        <f t="shared" si="249"/>
        <v>113784</v>
      </c>
      <c r="L361" s="452">
        <f t="shared" si="250"/>
        <v>170</v>
      </c>
      <c r="M361" s="452">
        <f t="shared" si="251"/>
        <v>8.2959999999999994</v>
      </c>
      <c r="N361" s="452">
        <f t="shared" si="252"/>
        <v>0.14620272000000001</v>
      </c>
      <c r="O361" s="452">
        <f t="shared" si="253"/>
        <v>178</v>
      </c>
      <c r="P361" s="260">
        <f t="shared" si="254"/>
        <v>19343280</v>
      </c>
      <c r="Q361" s="260">
        <f t="shared" si="255"/>
        <v>20253552</v>
      </c>
      <c r="R361" s="432">
        <f t="shared" si="256"/>
        <v>17</v>
      </c>
      <c r="S361" s="432">
        <f t="array" ref="S361">MAX((IF(MNU_CODIGO_ALIMENTO_ENTREGA=CONCATENATE($E361,"_","P_"),MNU_GRAMAJE_REQUERIDO_TIPOB,"")))</f>
        <v>100</v>
      </c>
      <c r="T361" s="261">
        <f t="shared" si="257"/>
        <v>6349</v>
      </c>
      <c r="U361" s="261">
        <f t="shared" si="258"/>
        <v>107933</v>
      </c>
      <c r="V361" s="452">
        <f t="shared" si="259"/>
        <v>170</v>
      </c>
      <c r="W361" s="452">
        <f t="shared" si="260"/>
        <v>8.2959999999999994</v>
      </c>
      <c r="X361" s="452">
        <f t="shared" si="261"/>
        <v>0.14620272000000001</v>
      </c>
      <c r="Y361" s="452">
        <f t="shared" si="262"/>
        <v>178</v>
      </c>
      <c r="Z361" s="262">
        <f t="shared" si="263"/>
        <v>18348610</v>
      </c>
      <c r="AA361" s="262">
        <f t="shared" si="264"/>
        <v>19212074</v>
      </c>
      <c r="AB361" s="431">
        <f t="shared" si="265"/>
        <v>17</v>
      </c>
      <c r="AC361" s="431">
        <f t="array" ref="AC361">MAX((IF(MNU_CODIGO_ALIMENTO_ENTREGA=CONCATENATE($E361,"_","P_"),MNU_GRAMAJE_REQUERIDO_TIPOC,"")))</f>
        <v>100</v>
      </c>
      <c r="AD361" s="259">
        <f t="shared" si="266"/>
        <v>4836</v>
      </c>
      <c r="AE361" s="259">
        <f t="shared" si="267"/>
        <v>82212</v>
      </c>
      <c r="AF361" s="452">
        <f t="shared" si="268"/>
        <v>170</v>
      </c>
      <c r="AG361" s="452">
        <f t="shared" si="269"/>
        <v>8.2959999999999994</v>
      </c>
      <c r="AH361" s="452">
        <f t="shared" si="270"/>
        <v>0.14620272000000001</v>
      </c>
      <c r="AI361" s="452">
        <f t="shared" si="271"/>
        <v>178</v>
      </c>
      <c r="AJ361" s="260">
        <f t="shared" si="272"/>
        <v>13976040</v>
      </c>
      <c r="AK361" s="260">
        <f t="shared" si="273"/>
        <v>14633736</v>
      </c>
      <c r="AL361" s="432">
        <f t="shared" si="274"/>
        <v>17</v>
      </c>
      <c r="AM361" s="432">
        <f t="array" ref="AM361">MAX((IF(MNU_CODIGO_ALIMENTO_ENTREGA=CONCATENATE($E361,"_","P_"),MNU_GRAMAJE_REQUERIDO_TIPOM,"")))</f>
        <v>100</v>
      </c>
      <c r="AN361" s="261">
        <f t="shared" si="275"/>
        <v>229</v>
      </c>
      <c r="AO361" s="261">
        <f t="shared" si="276"/>
        <v>3893</v>
      </c>
      <c r="AP361" s="452">
        <f t="shared" si="277"/>
        <v>170</v>
      </c>
      <c r="AQ361" s="452">
        <f t="shared" si="278"/>
        <v>8.2959999999999994</v>
      </c>
      <c r="AR361" s="452">
        <f t="shared" si="279"/>
        <v>0.14620272000000001</v>
      </c>
      <c r="AS361" s="452">
        <f t="shared" si="280"/>
        <v>178</v>
      </c>
      <c r="AT361" s="262">
        <f t="shared" si="281"/>
        <v>661810</v>
      </c>
      <c r="AU361" s="262">
        <f t="shared" si="282"/>
        <v>692954</v>
      </c>
      <c r="AV361" s="431">
        <f t="shared" si="283"/>
        <v>17</v>
      </c>
      <c r="AW361" s="431">
        <f t="array" ref="AW361">MAX((IF(MNU_CODIGO_ALIMENTO_ENTREGA=CONCATENATE($E361,"_","P_"),MNU_GRAMAJE_REQUERIDO_TIPOH,"")))</f>
        <v>100</v>
      </c>
      <c r="AX361" s="259">
        <f t="shared" si="284"/>
        <v>252</v>
      </c>
      <c r="AY361" s="259">
        <f t="shared" si="285"/>
        <v>4284</v>
      </c>
      <c r="AZ361" s="452">
        <f t="shared" si="286"/>
        <v>170</v>
      </c>
      <c r="BA361" s="452">
        <f t="shared" si="287"/>
        <v>8.2959999999999994</v>
      </c>
      <c r="BB361" s="452">
        <f t="shared" si="288"/>
        <v>0.14620272000000001</v>
      </c>
      <c r="BC361" s="452">
        <f t="shared" si="289"/>
        <v>178</v>
      </c>
      <c r="BD361" s="260">
        <f t="shared" si="290"/>
        <v>728280</v>
      </c>
      <c r="BE361" s="260">
        <f t="shared" si="291"/>
        <v>762552</v>
      </c>
      <c r="BF361" s="397">
        <f t="shared" si="292"/>
        <v>53058020</v>
      </c>
      <c r="BG361" s="397">
        <f t="shared" si="293"/>
        <v>55554868</v>
      </c>
    </row>
    <row r="362" spans="1:59" ht="15.75">
      <c r="A362" s="338">
        <v>27</v>
      </c>
      <c r="B362" s="338" t="str">
        <f t="shared" si="245"/>
        <v>FRUTA_27</v>
      </c>
      <c r="C362" s="338" t="str">
        <f t="shared" si="246"/>
        <v>46_27</v>
      </c>
      <c r="D362" s="338" t="s">
        <v>1</v>
      </c>
      <c r="E362" s="258">
        <v>46</v>
      </c>
      <c r="F362" s="328" t="s">
        <v>64</v>
      </c>
      <c r="G362" s="258" t="s">
        <v>9</v>
      </c>
      <c r="H362" s="431">
        <f t="shared" si="247"/>
        <v>30</v>
      </c>
      <c r="I362" s="431">
        <f t="array" ref="I362">MAX((IF(MNU_CODIGO_ALIMENTO_ENTREGA=CONCATENATE($E362,"_","P_"),MNU_GRAMAJE_REQUERIDO_TIPOA,"")))</f>
        <v>100</v>
      </c>
      <c r="J362" s="259">
        <f t="shared" si="248"/>
        <v>4741</v>
      </c>
      <c r="K362" s="259">
        <f t="shared" si="249"/>
        <v>142230</v>
      </c>
      <c r="L362" s="452">
        <f t="shared" si="250"/>
        <v>398</v>
      </c>
      <c r="M362" s="452">
        <f t="shared" si="251"/>
        <v>19.4224</v>
      </c>
      <c r="N362" s="452">
        <f t="shared" si="252"/>
        <v>0.34228636800000001</v>
      </c>
      <c r="O362" s="452">
        <f t="shared" si="253"/>
        <v>418</v>
      </c>
      <c r="P362" s="260">
        <f t="shared" si="254"/>
        <v>56607540</v>
      </c>
      <c r="Q362" s="260">
        <f t="shared" si="255"/>
        <v>59452140</v>
      </c>
      <c r="R362" s="432">
        <f t="shared" si="256"/>
        <v>21</v>
      </c>
      <c r="S362" s="432">
        <f t="array" ref="S362">MAX((IF(MNU_CODIGO_ALIMENTO_ENTREGA=CONCATENATE($E362,"_","P_"),MNU_GRAMAJE_REQUERIDO_TIPOB,"")))</f>
        <v>100</v>
      </c>
      <c r="T362" s="261">
        <f t="shared" si="257"/>
        <v>6349</v>
      </c>
      <c r="U362" s="261">
        <f t="shared" si="258"/>
        <v>133329</v>
      </c>
      <c r="V362" s="452">
        <f t="shared" si="259"/>
        <v>398</v>
      </c>
      <c r="W362" s="452">
        <f t="shared" si="260"/>
        <v>19.4224</v>
      </c>
      <c r="X362" s="452">
        <f t="shared" si="261"/>
        <v>0.34228636800000001</v>
      </c>
      <c r="Y362" s="452">
        <f t="shared" si="262"/>
        <v>418</v>
      </c>
      <c r="Z362" s="262">
        <f t="shared" si="263"/>
        <v>53064942</v>
      </c>
      <c r="AA362" s="262">
        <f t="shared" si="264"/>
        <v>55731522</v>
      </c>
      <c r="AB362" s="431">
        <f t="shared" si="265"/>
        <v>21</v>
      </c>
      <c r="AC362" s="431">
        <f t="array" ref="AC362">MAX((IF(MNU_CODIGO_ALIMENTO_ENTREGA=CONCATENATE($E362,"_","P_"),MNU_GRAMAJE_REQUERIDO_TIPOC,"")))</f>
        <v>100</v>
      </c>
      <c r="AD362" s="259">
        <f t="shared" si="266"/>
        <v>4836</v>
      </c>
      <c r="AE362" s="259">
        <f t="shared" si="267"/>
        <v>101556</v>
      </c>
      <c r="AF362" s="452">
        <f t="shared" si="268"/>
        <v>398</v>
      </c>
      <c r="AG362" s="452">
        <f t="shared" si="269"/>
        <v>19.4224</v>
      </c>
      <c r="AH362" s="452">
        <f t="shared" si="270"/>
        <v>0.34228636800000001</v>
      </c>
      <c r="AI362" s="452">
        <f t="shared" si="271"/>
        <v>418</v>
      </c>
      <c r="AJ362" s="260">
        <f t="shared" si="272"/>
        <v>40419288</v>
      </c>
      <c r="AK362" s="260">
        <f t="shared" si="273"/>
        <v>42450408</v>
      </c>
      <c r="AL362" s="432">
        <f t="shared" si="274"/>
        <v>21</v>
      </c>
      <c r="AM362" s="432">
        <f t="array" ref="AM362">MAX((IF(MNU_CODIGO_ALIMENTO_ENTREGA=CONCATENATE($E362,"_","P_"),MNU_GRAMAJE_REQUERIDO_TIPOM,"")))</f>
        <v>100</v>
      </c>
      <c r="AN362" s="261">
        <f t="shared" si="275"/>
        <v>229</v>
      </c>
      <c r="AO362" s="261">
        <f t="shared" si="276"/>
        <v>4809</v>
      </c>
      <c r="AP362" s="452">
        <f t="shared" si="277"/>
        <v>398</v>
      </c>
      <c r="AQ362" s="452">
        <f t="shared" si="278"/>
        <v>19.4224</v>
      </c>
      <c r="AR362" s="452">
        <f t="shared" si="279"/>
        <v>0.34228636800000001</v>
      </c>
      <c r="AS362" s="452">
        <f t="shared" si="280"/>
        <v>418</v>
      </c>
      <c r="AT362" s="262">
        <f t="shared" si="281"/>
        <v>1913982</v>
      </c>
      <c r="AU362" s="262">
        <f t="shared" si="282"/>
        <v>2010162</v>
      </c>
      <c r="AV362" s="431">
        <f t="shared" si="283"/>
        <v>21</v>
      </c>
      <c r="AW362" s="431">
        <f t="array" ref="AW362">MAX((IF(MNU_CODIGO_ALIMENTO_ENTREGA=CONCATENATE($E362,"_","P_"),MNU_GRAMAJE_REQUERIDO_TIPOH,"")))</f>
        <v>100</v>
      </c>
      <c r="AX362" s="259">
        <f t="shared" si="284"/>
        <v>252</v>
      </c>
      <c r="AY362" s="259">
        <f t="shared" si="285"/>
        <v>5292</v>
      </c>
      <c r="AZ362" s="452">
        <f t="shared" si="286"/>
        <v>398</v>
      </c>
      <c r="BA362" s="452">
        <f t="shared" si="287"/>
        <v>19.4224</v>
      </c>
      <c r="BB362" s="452">
        <f t="shared" si="288"/>
        <v>0.34228636800000001</v>
      </c>
      <c r="BC362" s="452">
        <f t="shared" si="289"/>
        <v>418</v>
      </c>
      <c r="BD362" s="260">
        <f t="shared" si="290"/>
        <v>2106216</v>
      </c>
      <c r="BE362" s="260">
        <f t="shared" si="291"/>
        <v>2212056</v>
      </c>
      <c r="BF362" s="397">
        <f t="shared" si="292"/>
        <v>154111968</v>
      </c>
      <c r="BG362" s="397">
        <f t="shared" si="293"/>
        <v>161856288</v>
      </c>
    </row>
    <row r="363" spans="1:59" ht="15.75">
      <c r="A363" s="338">
        <v>27</v>
      </c>
      <c r="B363" s="338" t="str">
        <f t="shared" si="245"/>
        <v>FRUTA_27</v>
      </c>
      <c r="C363" s="338" t="str">
        <f t="shared" si="246"/>
        <v>58_27</v>
      </c>
      <c r="D363" s="338" t="s">
        <v>1</v>
      </c>
      <c r="E363" s="258">
        <v>58</v>
      </c>
      <c r="F363" s="328" t="s">
        <v>67</v>
      </c>
      <c r="G363" s="258" t="s">
        <v>9</v>
      </c>
      <c r="H363" s="431">
        <f t="shared" si="247"/>
        <v>24</v>
      </c>
      <c r="I363" s="431">
        <f t="array" ref="I363">MAX((IF(MNU_CODIGO_ALIMENTO_ENTREGA=CONCATENATE($E363,"_","P_"),MNU_GRAMAJE_REQUERIDO_TIPOA,"")))</f>
        <v>100</v>
      </c>
      <c r="J363" s="259">
        <f t="shared" si="248"/>
        <v>4741</v>
      </c>
      <c r="K363" s="259">
        <f t="shared" si="249"/>
        <v>113784</v>
      </c>
      <c r="L363" s="452">
        <f t="shared" si="250"/>
        <v>154</v>
      </c>
      <c r="M363" s="452">
        <f t="shared" si="251"/>
        <v>7.515200000000001</v>
      </c>
      <c r="N363" s="452">
        <f t="shared" si="252"/>
        <v>0.13244246400000001</v>
      </c>
      <c r="O363" s="452">
        <f t="shared" si="253"/>
        <v>162</v>
      </c>
      <c r="P363" s="260">
        <f t="shared" si="254"/>
        <v>17522736</v>
      </c>
      <c r="Q363" s="260">
        <f t="shared" si="255"/>
        <v>18433008</v>
      </c>
      <c r="R363" s="432">
        <f t="shared" si="256"/>
        <v>23</v>
      </c>
      <c r="S363" s="432">
        <f t="array" ref="S363">MAX((IF(MNU_CODIGO_ALIMENTO_ENTREGA=CONCATENATE($E363,"_","P_"),MNU_GRAMAJE_REQUERIDO_TIPOB,"")))</f>
        <v>100</v>
      </c>
      <c r="T363" s="261">
        <f t="shared" si="257"/>
        <v>6349</v>
      </c>
      <c r="U363" s="261">
        <f t="shared" si="258"/>
        <v>146027</v>
      </c>
      <c r="V363" s="452">
        <f t="shared" si="259"/>
        <v>154</v>
      </c>
      <c r="W363" s="452">
        <f t="shared" si="260"/>
        <v>7.515200000000001</v>
      </c>
      <c r="X363" s="452">
        <f t="shared" si="261"/>
        <v>0.13244246400000001</v>
      </c>
      <c r="Y363" s="452">
        <f t="shared" si="262"/>
        <v>162</v>
      </c>
      <c r="Z363" s="262">
        <f t="shared" si="263"/>
        <v>22488158</v>
      </c>
      <c r="AA363" s="262">
        <f t="shared" si="264"/>
        <v>23656374</v>
      </c>
      <c r="AB363" s="431">
        <f t="shared" si="265"/>
        <v>23</v>
      </c>
      <c r="AC363" s="431">
        <f t="array" ref="AC363">MAX((IF(MNU_CODIGO_ALIMENTO_ENTREGA=CONCATENATE($E363,"_","P_"),MNU_GRAMAJE_REQUERIDO_TIPOC,"")))</f>
        <v>100</v>
      </c>
      <c r="AD363" s="259">
        <f t="shared" si="266"/>
        <v>4836</v>
      </c>
      <c r="AE363" s="259">
        <f t="shared" si="267"/>
        <v>111228</v>
      </c>
      <c r="AF363" s="452">
        <f t="shared" si="268"/>
        <v>154</v>
      </c>
      <c r="AG363" s="452">
        <f t="shared" si="269"/>
        <v>7.515200000000001</v>
      </c>
      <c r="AH363" s="452">
        <f t="shared" si="270"/>
        <v>0.13244246400000001</v>
      </c>
      <c r="AI363" s="452">
        <f t="shared" si="271"/>
        <v>162</v>
      </c>
      <c r="AJ363" s="260">
        <f t="shared" si="272"/>
        <v>17129112</v>
      </c>
      <c r="AK363" s="260">
        <f t="shared" si="273"/>
        <v>18018936</v>
      </c>
      <c r="AL363" s="432">
        <f t="shared" si="274"/>
        <v>23</v>
      </c>
      <c r="AM363" s="432">
        <f t="array" ref="AM363">MAX((IF(MNU_CODIGO_ALIMENTO_ENTREGA=CONCATENATE($E363,"_","P_"),MNU_GRAMAJE_REQUERIDO_TIPOM,"")))</f>
        <v>100</v>
      </c>
      <c r="AN363" s="261">
        <f t="shared" si="275"/>
        <v>229</v>
      </c>
      <c r="AO363" s="261">
        <f t="shared" si="276"/>
        <v>5267</v>
      </c>
      <c r="AP363" s="452">
        <f t="shared" si="277"/>
        <v>154</v>
      </c>
      <c r="AQ363" s="452">
        <f t="shared" si="278"/>
        <v>7.515200000000001</v>
      </c>
      <c r="AR363" s="452">
        <f t="shared" si="279"/>
        <v>0.13244246400000001</v>
      </c>
      <c r="AS363" s="452">
        <f t="shared" si="280"/>
        <v>162</v>
      </c>
      <c r="AT363" s="262">
        <f t="shared" si="281"/>
        <v>811118</v>
      </c>
      <c r="AU363" s="262">
        <f t="shared" si="282"/>
        <v>853254</v>
      </c>
      <c r="AV363" s="431">
        <f t="shared" si="283"/>
        <v>23</v>
      </c>
      <c r="AW363" s="431">
        <f t="array" ref="AW363">MAX((IF(MNU_CODIGO_ALIMENTO_ENTREGA=CONCATENATE($E363,"_","P_"),MNU_GRAMAJE_REQUERIDO_TIPOH,"")))</f>
        <v>100</v>
      </c>
      <c r="AX363" s="259">
        <f t="shared" si="284"/>
        <v>252</v>
      </c>
      <c r="AY363" s="259">
        <f t="shared" si="285"/>
        <v>5796</v>
      </c>
      <c r="AZ363" s="452">
        <f t="shared" si="286"/>
        <v>154</v>
      </c>
      <c r="BA363" s="452">
        <f t="shared" si="287"/>
        <v>7.515200000000001</v>
      </c>
      <c r="BB363" s="452">
        <f t="shared" si="288"/>
        <v>0.13244246400000001</v>
      </c>
      <c r="BC363" s="452">
        <f t="shared" si="289"/>
        <v>162</v>
      </c>
      <c r="BD363" s="260">
        <f t="shared" si="290"/>
        <v>892584</v>
      </c>
      <c r="BE363" s="260">
        <f t="shared" si="291"/>
        <v>938952</v>
      </c>
      <c r="BF363" s="397">
        <f t="shared" si="292"/>
        <v>58843708</v>
      </c>
      <c r="BG363" s="397">
        <f t="shared" si="293"/>
        <v>61900524</v>
      </c>
    </row>
    <row r="364" spans="1:59" ht="15.75">
      <c r="A364" s="338">
        <v>27</v>
      </c>
      <c r="B364" s="338" t="str">
        <f t="shared" si="245"/>
        <v>FRUTA_27</v>
      </c>
      <c r="C364" s="338" t="str">
        <f t="shared" si="246"/>
        <v>59_27</v>
      </c>
      <c r="D364" s="338" t="s">
        <v>1</v>
      </c>
      <c r="E364" s="258">
        <v>59</v>
      </c>
      <c r="F364" s="328" t="s">
        <v>99</v>
      </c>
      <c r="G364" s="258" t="s">
        <v>9</v>
      </c>
      <c r="H364" s="431">
        <f t="shared" si="247"/>
        <v>0</v>
      </c>
      <c r="I364" s="431">
        <f t="array" ref="I364">MAX((IF(MNU_CODIGO_ALIMENTO_ENTREGA=CONCATENATE($E364,"_","P_"),MNU_GRAMAJE_REQUERIDO_TIPOA,"")))</f>
        <v>0</v>
      </c>
      <c r="J364" s="259">
        <f t="shared" si="248"/>
        <v>4741</v>
      </c>
      <c r="K364" s="259">
        <f t="shared" si="249"/>
        <v>0</v>
      </c>
      <c r="L364" s="452">
        <f t="shared" si="250"/>
        <v>0</v>
      </c>
      <c r="M364" s="452">
        <f t="shared" si="251"/>
        <v>0</v>
      </c>
      <c r="N364" s="452">
        <f t="shared" si="252"/>
        <v>0</v>
      </c>
      <c r="O364" s="452">
        <f t="shared" si="253"/>
        <v>0</v>
      </c>
      <c r="P364" s="260">
        <f t="shared" si="254"/>
        <v>0</v>
      </c>
      <c r="Q364" s="260">
        <f t="shared" si="255"/>
        <v>0</v>
      </c>
      <c r="R364" s="432">
        <f t="shared" si="256"/>
        <v>8</v>
      </c>
      <c r="S364" s="432">
        <f t="array" ref="S364">MAX((IF(MNU_CODIGO_ALIMENTO_ENTREGA=CONCATENATE($E364,"_","P_"),MNU_GRAMAJE_REQUERIDO_TIPOB,"")))</f>
        <v>100</v>
      </c>
      <c r="T364" s="261">
        <f t="shared" si="257"/>
        <v>6349</v>
      </c>
      <c r="U364" s="261">
        <f t="shared" si="258"/>
        <v>50792</v>
      </c>
      <c r="V364" s="452">
        <f t="shared" si="259"/>
        <v>286</v>
      </c>
      <c r="W364" s="452">
        <f t="shared" si="260"/>
        <v>13.956800000000001</v>
      </c>
      <c r="X364" s="452">
        <f t="shared" si="261"/>
        <v>0.24596457599999999</v>
      </c>
      <c r="Y364" s="452">
        <f t="shared" si="262"/>
        <v>300</v>
      </c>
      <c r="Z364" s="262">
        <f t="shared" si="263"/>
        <v>14526512</v>
      </c>
      <c r="AA364" s="262">
        <f t="shared" si="264"/>
        <v>15237600</v>
      </c>
      <c r="AB364" s="431">
        <f t="shared" si="265"/>
        <v>8</v>
      </c>
      <c r="AC364" s="431">
        <f t="array" ref="AC364">MAX((IF(MNU_CODIGO_ALIMENTO_ENTREGA=CONCATENATE($E364,"_","P_"),MNU_GRAMAJE_REQUERIDO_TIPOC,"")))</f>
        <v>100</v>
      </c>
      <c r="AD364" s="259">
        <f t="shared" si="266"/>
        <v>4836</v>
      </c>
      <c r="AE364" s="259">
        <f t="shared" si="267"/>
        <v>38688</v>
      </c>
      <c r="AF364" s="452">
        <f t="shared" si="268"/>
        <v>286</v>
      </c>
      <c r="AG364" s="452">
        <f t="shared" si="269"/>
        <v>13.956800000000001</v>
      </c>
      <c r="AH364" s="452">
        <f t="shared" si="270"/>
        <v>0.24596457599999999</v>
      </c>
      <c r="AI364" s="452">
        <f t="shared" si="271"/>
        <v>300</v>
      </c>
      <c r="AJ364" s="260">
        <f t="shared" si="272"/>
        <v>11064768</v>
      </c>
      <c r="AK364" s="260">
        <f t="shared" si="273"/>
        <v>11606400</v>
      </c>
      <c r="AL364" s="432">
        <f t="shared" si="274"/>
        <v>8</v>
      </c>
      <c r="AM364" s="432">
        <f t="array" ref="AM364">MAX((IF(MNU_CODIGO_ALIMENTO_ENTREGA=CONCATENATE($E364,"_","P_"),MNU_GRAMAJE_REQUERIDO_TIPOM,"")))</f>
        <v>100</v>
      </c>
      <c r="AN364" s="261">
        <f t="shared" si="275"/>
        <v>229</v>
      </c>
      <c r="AO364" s="261">
        <f t="shared" si="276"/>
        <v>1832</v>
      </c>
      <c r="AP364" s="452">
        <f t="shared" si="277"/>
        <v>286</v>
      </c>
      <c r="AQ364" s="452">
        <f t="shared" si="278"/>
        <v>13.956800000000001</v>
      </c>
      <c r="AR364" s="452">
        <f t="shared" si="279"/>
        <v>0.24596457599999999</v>
      </c>
      <c r="AS364" s="452">
        <f t="shared" si="280"/>
        <v>300</v>
      </c>
      <c r="AT364" s="262">
        <f t="shared" si="281"/>
        <v>523952</v>
      </c>
      <c r="AU364" s="262">
        <f t="shared" si="282"/>
        <v>549600</v>
      </c>
      <c r="AV364" s="431">
        <f t="shared" si="283"/>
        <v>8</v>
      </c>
      <c r="AW364" s="431">
        <f t="array" ref="AW364">MAX((IF(MNU_CODIGO_ALIMENTO_ENTREGA=CONCATENATE($E364,"_","P_"),MNU_GRAMAJE_REQUERIDO_TIPOH,"")))</f>
        <v>100</v>
      </c>
      <c r="AX364" s="259">
        <f t="shared" si="284"/>
        <v>252</v>
      </c>
      <c r="AY364" s="259">
        <f t="shared" si="285"/>
        <v>2016</v>
      </c>
      <c r="AZ364" s="452">
        <f t="shared" si="286"/>
        <v>286</v>
      </c>
      <c r="BA364" s="452">
        <f t="shared" si="287"/>
        <v>13.956800000000001</v>
      </c>
      <c r="BB364" s="452">
        <f t="shared" si="288"/>
        <v>0.24596457599999999</v>
      </c>
      <c r="BC364" s="452">
        <f t="shared" si="289"/>
        <v>300</v>
      </c>
      <c r="BD364" s="260">
        <f t="shared" si="290"/>
        <v>576576</v>
      </c>
      <c r="BE364" s="260">
        <f t="shared" si="291"/>
        <v>604800</v>
      </c>
      <c r="BF364" s="397">
        <f t="shared" si="292"/>
        <v>26691808</v>
      </c>
      <c r="BG364" s="397">
        <f t="shared" si="293"/>
        <v>27998400</v>
      </c>
    </row>
    <row r="365" spans="1:59" ht="15.75">
      <c r="A365" s="338">
        <v>27</v>
      </c>
      <c r="B365" s="338" t="str">
        <f t="shared" si="245"/>
        <v>FRUTA_27</v>
      </c>
      <c r="C365" s="338" t="str">
        <f t="shared" si="246"/>
        <v>69_27</v>
      </c>
      <c r="D365" s="338" t="s">
        <v>1</v>
      </c>
      <c r="E365" s="258">
        <v>69</v>
      </c>
      <c r="F365" s="328" t="s">
        <v>70</v>
      </c>
      <c r="G365" s="258" t="s">
        <v>9</v>
      </c>
      <c r="H365" s="431">
        <f t="shared" si="247"/>
        <v>30</v>
      </c>
      <c r="I365" s="431">
        <f t="array" ref="I365">MAX((IF(MNU_CODIGO_ALIMENTO_ENTREGA=CONCATENATE($E365,"_","P_"),MNU_GRAMAJE_REQUERIDO_TIPOA,"")))</f>
        <v>100</v>
      </c>
      <c r="J365" s="259">
        <f t="shared" si="248"/>
        <v>4741</v>
      </c>
      <c r="K365" s="259">
        <f t="shared" si="249"/>
        <v>142230</v>
      </c>
      <c r="L365" s="452">
        <f t="shared" si="250"/>
        <v>305</v>
      </c>
      <c r="M365" s="452">
        <f t="shared" si="251"/>
        <v>14.884</v>
      </c>
      <c r="N365" s="452">
        <f t="shared" si="252"/>
        <v>0.26230488000000002</v>
      </c>
      <c r="O365" s="452">
        <f t="shared" si="253"/>
        <v>320</v>
      </c>
      <c r="P365" s="260">
        <f t="shared" si="254"/>
        <v>43380150</v>
      </c>
      <c r="Q365" s="260">
        <f t="shared" si="255"/>
        <v>45513600</v>
      </c>
      <c r="R365" s="432">
        <f t="shared" si="256"/>
        <v>16</v>
      </c>
      <c r="S365" s="432">
        <f t="array" ref="S365">MAX((IF(MNU_CODIGO_ALIMENTO_ENTREGA=CONCATENATE($E365,"_","P_"),MNU_GRAMAJE_REQUERIDO_TIPOB,"")))</f>
        <v>100</v>
      </c>
      <c r="T365" s="261">
        <f t="shared" si="257"/>
        <v>6349</v>
      </c>
      <c r="U365" s="261">
        <f t="shared" si="258"/>
        <v>101584</v>
      </c>
      <c r="V365" s="452">
        <f t="shared" si="259"/>
        <v>305</v>
      </c>
      <c r="W365" s="452">
        <f t="shared" si="260"/>
        <v>14.884</v>
      </c>
      <c r="X365" s="452">
        <f t="shared" si="261"/>
        <v>0.26230488000000002</v>
      </c>
      <c r="Y365" s="452">
        <f t="shared" si="262"/>
        <v>320</v>
      </c>
      <c r="Z365" s="262">
        <f t="shared" si="263"/>
        <v>30983120</v>
      </c>
      <c r="AA365" s="262">
        <f t="shared" si="264"/>
        <v>32506880</v>
      </c>
      <c r="AB365" s="431">
        <f t="shared" si="265"/>
        <v>16</v>
      </c>
      <c r="AC365" s="431">
        <f t="array" ref="AC365">MAX((IF(MNU_CODIGO_ALIMENTO_ENTREGA=CONCATENATE($E365,"_","P_"),MNU_GRAMAJE_REQUERIDO_TIPOC,"")))</f>
        <v>100</v>
      </c>
      <c r="AD365" s="259">
        <f t="shared" si="266"/>
        <v>4836</v>
      </c>
      <c r="AE365" s="259">
        <f t="shared" si="267"/>
        <v>77376</v>
      </c>
      <c r="AF365" s="452">
        <f t="shared" si="268"/>
        <v>305</v>
      </c>
      <c r="AG365" s="452">
        <f t="shared" si="269"/>
        <v>14.884</v>
      </c>
      <c r="AH365" s="452">
        <f t="shared" si="270"/>
        <v>0.26230488000000002</v>
      </c>
      <c r="AI365" s="452">
        <f t="shared" si="271"/>
        <v>320</v>
      </c>
      <c r="AJ365" s="260">
        <f t="shared" si="272"/>
        <v>23599680</v>
      </c>
      <c r="AK365" s="260">
        <f t="shared" si="273"/>
        <v>24760320</v>
      </c>
      <c r="AL365" s="432">
        <f t="shared" si="274"/>
        <v>16</v>
      </c>
      <c r="AM365" s="432">
        <f t="array" ref="AM365">MAX((IF(MNU_CODIGO_ALIMENTO_ENTREGA=CONCATENATE($E365,"_","P_"),MNU_GRAMAJE_REQUERIDO_TIPOM,"")))</f>
        <v>100</v>
      </c>
      <c r="AN365" s="261">
        <f t="shared" si="275"/>
        <v>229</v>
      </c>
      <c r="AO365" s="261">
        <f t="shared" si="276"/>
        <v>3664</v>
      </c>
      <c r="AP365" s="452">
        <f t="shared" si="277"/>
        <v>305</v>
      </c>
      <c r="AQ365" s="452">
        <f t="shared" si="278"/>
        <v>14.884</v>
      </c>
      <c r="AR365" s="452">
        <f t="shared" si="279"/>
        <v>0.26230488000000002</v>
      </c>
      <c r="AS365" s="452">
        <f t="shared" si="280"/>
        <v>320</v>
      </c>
      <c r="AT365" s="262">
        <f t="shared" si="281"/>
        <v>1117520</v>
      </c>
      <c r="AU365" s="262">
        <f t="shared" si="282"/>
        <v>1172480</v>
      </c>
      <c r="AV365" s="431">
        <f t="shared" si="283"/>
        <v>16</v>
      </c>
      <c r="AW365" s="431">
        <f t="array" ref="AW365">MAX((IF(MNU_CODIGO_ALIMENTO_ENTREGA=CONCATENATE($E365,"_","P_"),MNU_GRAMAJE_REQUERIDO_TIPOH,"")))</f>
        <v>100</v>
      </c>
      <c r="AX365" s="259">
        <f t="shared" si="284"/>
        <v>252</v>
      </c>
      <c r="AY365" s="259">
        <f t="shared" si="285"/>
        <v>4032</v>
      </c>
      <c r="AZ365" s="452">
        <f t="shared" si="286"/>
        <v>305</v>
      </c>
      <c r="BA365" s="452">
        <f t="shared" si="287"/>
        <v>14.884</v>
      </c>
      <c r="BB365" s="452">
        <f t="shared" si="288"/>
        <v>0.26230488000000002</v>
      </c>
      <c r="BC365" s="452">
        <f t="shared" si="289"/>
        <v>320</v>
      </c>
      <c r="BD365" s="260">
        <f t="shared" si="290"/>
        <v>1229760</v>
      </c>
      <c r="BE365" s="260">
        <f t="shared" si="291"/>
        <v>1290240</v>
      </c>
      <c r="BF365" s="397">
        <f t="shared" si="292"/>
        <v>100310230</v>
      </c>
      <c r="BG365" s="397">
        <f t="shared" si="293"/>
        <v>105243520</v>
      </c>
    </row>
    <row r="366" spans="1:59" ht="15.75">
      <c r="A366" s="338">
        <v>27</v>
      </c>
      <c r="B366" s="338" t="str">
        <f t="shared" si="245"/>
        <v>FRUTA_27</v>
      </c>
      <c r="C366" s="338" t="str">
        <f t="shared" si="246"/>
        <v>70_27</v>
      </c>
      <c r="D366" s="338" t="s">
        <v>1</v>
      </c>
      <c r="E366" s="258">
        <v>70</v>
      </c>
      <c r="F366" s="328" t="s">
        <v>71</v>
      </c>
      <c r="G366" s="258" t="s">
        <v>9</v>
      </c>
      <c r="H366" s="431">
        <f t="shared" si="247"/>
        <v>0</v>
      </c>
      <c r="I366" s="431">
        <f t="array" ref="I366">MAX((IF(MNU_CODIGO_ALIMENTO_ENTREGA=CONCATENATE($E366,"_","P_"),MNU_GRAMAJE_REQUERIDO_TIPOA,"")))</f>
        <v>0</v>
      </c>
      <c r="J366" s="259">
        <f t="shared" si="248"/>
        <v>4741</v>
      </c>
      <c r="K366" s="259">
        <f t="shared" si="249"/>
        <v>0</v>
      </c>
      <c r="L366" s="452">
        <f t="shared" si="250"/>
        <v>0</v>
      </c>
      <c r="M366" s="452">
        <f t="shared" si="251"/>
        <v>0</v>
      </c>
      <c r="N366" s="452">
        <f t="shared" si="252"/>
        <v>0</v>
      </c>
      <c r="O366" s="452">
        <f t="shared" si="253"/>
        <v>0</v>
      </c>
      <c r="P366" s="260">
        <f t="shared" si="254"/>
        <v>0</v>
      </c>
      <c r="Q366" s="260">
        <f t="shared" si="255"/>
        <v>0</v>
      </c>
      <c r="R366" s="432">
        <f t="shared" si="256"/>
        <v>10</v>
      </c>
      <c r="S366" s="432">
        <f t="array" ref="S366">MAX((IF(MNU_CODIGO_ALIMENTO_ENTREGA=CONCATENATE($E366,"_","P_"),MNU_GRAMAJE_REQUERIDO_TIPOB,"")))</f>
        <v>100</v>
      </c>
      <c r="T366" s="261">
        <f t="shared" si="257"/>
        <v>6349</v>
      </c>
      <c r="U366" s="261">
        <f t="shared" si="258"/>
        <v>63490</v>
      </c>
      <c r="V366" s="452">
        <f t="shared" si="259"/>
        <v>434</v>
      </c>
      <c r="W366" s="452">
        <f t="shared" si="260"/>
        <v>21.179200000000002</v>
      </c>
      <c r="X366" s="452">
        <f t="shared" si="261"/>
        <v>0.37324694399999997</v>
      </c>
      <c r="Y366" s="452">
        <f t="shared" si="262"/>
        <v>456</v>
      </c>
      <c r="Z366" s="262">
        <f t="shared" si="263"/>
        <v>27554660</v>
      </c>
      <c r="AA366" s="262">
        <f t="shared" si="264"/>
        <v>28951440</v>
      </c>
      <c r="AB366" s="431">
        <f t="shared" si="265"/>
        <v>10</v>
      </c>
      <c r="AC366" s="431">
        <f t="array" ref="AC366">MAX((IF(MNU_CODIGO_ALIMENTO_ENTREGA=CONCATENATE($E366,"_","P_"),MNU_GRAMAJE_REQUERIDO_TIPOC,"")))</f>
        <v>100</v>
      </c>
      <c r="AD366" s="259">
        <f t="shared" si="266"/>
        <v>4836</v>
      </c>
      <c r="AE366" s="259">
        <f t="shared" si="267"/>
        <v>48360</v>
      </c>
      <c r="AF366" s="452">
        <f t="shared" si="268"/>
        <v>434</v>
      </c>
      <c r="AG366" s="452">
        <f t="shared" si="269"/>
        <v>21.179200000000002</v>
      </c>
      <c r="AH366" s="452">
        <f t="shared" si="270"/>
        <v>0.37324694399999997</v>
      </c>
      <c r="AI366" s="452">
        <f t="shared" si="271"/>
        <v>456</v>
      </c>
      <c r="AJ366" s="260">
        <f t="shared" si="272"/>
        <v>20988240</v>
      </c>
      <c r="AK366" s="260">
        <f t="shared" si="273"/>
        <v>22052160</v>
      </c>
      <c r="AL366" s="432">
        <f t="shared" si="274"/>
        <v>10</v>
      </c>
      <c r="AM366" s="432">
        <f t="array" ref="AM366">MAX((IF(MNU_CODIGO_ALIMENTO_ENTREGA=CONCATENATE($E366,"_","P_"),MNU_GRAMAJE_REQUERIDO_TIPOM,"")))</f>
        <v>100</v>
      </c>
      <c r="AN366" s="261">
        <f t="shared" si="275"/>
        <v>229</v>
      </c>
      <c r="AO366" s="261">
        <f t="shared" si="276"/>
        <v>2290</v>
      </c>
      <c r="AP366" s="452">
        <f t="shared" si="277"/>
        <v>434</v>
      </c>
      <c r="AQ366" s="452">
        <f t="shared" si="278"/>
        <v>21.179200000000002</v>
      </c>
      <c r="AR366" s="452">
        <f t="shared" si="279"/>
        <v>0.37324694399999997</v>
      </c>
      <c r="AS366" s="452">
        <f t="shared" si="280"/>
        <v>456</v>
      </c>
      <c r="AT366" s="262">
        <f t="shared" si="281"/>
        <v>993860</v>
      </c>
      <c r="AU366" s="262">
        <f t="shared" si="282"/>
        <v>1044240</v>
      </c>
      <c r="AV366" s="431">
        <f t="shared" si="283"/>
        <v>10</v>
      </c>
      <c r="AW366" s="431">
        <f t="array" ref="AW366">MAX((IF(MNU_CODIGO_ALIMENTO_ENTREGA=CONCATENATE($E366,"_","P_"),MNU_GRAMAJE_REQUERIDO_TIPOH,"")))</f>
        <v>100</v>
      </c>
      <c r="AX366" s="259">
        <f t="shared" si="284"/>
        <v>252</v>
      </c>
      <c r="AY366" s="259">
        <f t="shared" si="285"/>
        <v>2520</v>
      </c>
      <c r="AZ366" s="452">
        <f t="shared" si="286"/>
        <v>434</v>
      </c>
      <c r="BA366" s="452">
        <f t="shared" si="287"/>
        <v>21.179200000000002</v>
      </c>
      <c r="BB366" s="452">
        <f t="shared" si="288"/>
        <v>0.37324694399999997</v>
      </c>
      <c r="BC366" s="452">
        <f t="shared" si="289"/>
        <v>456</v>
      </c>
      <c r="BD366" s="260">
        <f t="shared" si="290"/>
        <v>1093680</v>
      </c>
      <c r="BE366" s="260">
        <f t="shared" si="291"/>
        <v>1149120</v>
      </c>
      <c r="BF366" s="397">
        <f t="shared" si="292"/>
        <v>50630440</v>
      </c>
      <c r="BG366" s="397">
        <f t="shared" si="293"/>
        <v>53196960</v>
      </c>
    </row>
    <row r="367" spans="1:59" ht="15.75">
      <c r="A367" s="338">
        <v>28</v>
      </c>
      <c r="B367" s="338" t="str">
        <f t="shared" si="245"/>
        <v>FRUTA_28</v>
      </c>
      <c r="C367" s="338" t="str">
        <f t="shared" si="246"/>
        <v>7_28</v>
      </c>
      <c r="D367" s="338" t="s">
        <v>1</v>
      </c>
      <c r="E367" s="258">
        <v>7</v>
      </c>
      <c r="F367" s="328" t="s">
        <v>57</v>
      </c>
      <c r="G367" s="258" t="s">
        <v>9</v>
      </c>
      <c r="H367" s="431">
        <f t="shared" si="247"/>
        <v>22</v>
      </c>
      <c r="I367" s="431">
        <f t="array" ref="I367">MAX((IF(MNU_CODIGO_ALIMENTO_ENTREGA=CONCATENATE($E367,"_","P_"),MNU_GRAMAJE_REQUERIDO_TIPOA,"")))</f>
        <v>100</v>
      </c>
      <c r="J367" s="259">
        <f t="shared" si="248"/>
        <v>5484</v>
      </c>
      <c r="K367" s="259">
        <f t="shared" si="249"/>
        <v>120648</v>
      </c>
      <c r="L367" s="452">
        <f t="shared" si="250"/>
        <v>107</v>
      </c>
      <c r="M367" s="452">
        <f t="shared" si="251"/>
        <v>5.2216000000000005</v>
      </c>
      <c r="N367" s="452">
        <f t="shared" si="252"/>
        <v>9.2021712000000006E-2</v>
      </c>
      <c r="O367" s="452">
        <f t="shared" si="253"/>
        <v>112</v>
      </c>
      <c r="P367" s="260">
        <f t="shared" si="254"/>
        <v>12909336</v>
      </c>
      <c r="Q367" s="260">
        <f t="shared" si="255"/>
        <v>13512576</v>
      </c>
      <c r="R367" s="432">
        <f t="shared" si="256"/>
        <v>9</v>
      </c>
      <c r="S367" s="432">
        <f t="array" ref="S367">MAX((IF(MNU_CODIGO_ALIMENTO_ENTREGA=CONCATENATE($E367,"_","P_"),MNU_GRAMAJE_REQUERIDO_TIPOB,"")))</f>
        <v>100</v>
      </c>
      <c r="T367" s="261">
        <f t="shared" si="257"/>
        <v>6365</v>
      </c>
      <c r="U367" s="261">
        <f t="shared" si="258"/>
        <v>57285</v>
      </c>
      <c r="V367" s="452">
        <f t="shared" si="259"/>
        <v>107</v>
      </c>
      <c r="W367" s="452">
        <f t="shared" si="260"/>
        <v>5.2216000000000005</v>
      </c>
      <c r="X367" s="452">
        <f t="shared" si="261"/>
        <v>9.2021712000000006E-2</v>
      </c>
      <c r="Y367" s="452">
        <f t="shared" si="262"/>
        <v>112</v>
      </c>
      <c r="Z367" s="262">
        <f t="shared" si="263"/>
        <v>6129495</v>
      </c>
      <c r="AA367" s="262">
        <f t="shared" si="264"/>
        <v>6415920</v>
      </c>
      <c r="AB367" s="431">
        <f t="shared" si="265"/>
        <v>9</v>
      </c>
      <c r="AC367" s="431">
        <f t="array" ref="AC367">MAX((IF(MNU_CODIGO_ALIMENTO_ENTREGA=CONCATENATE($E367,"_","P_"),MNU_GRAMAJE_REQUERIDO_TIPOC,"")))</f>
        <v>100</v>
      </c>
      <c r="AD367" s="259">
        <f t="shared" si="266"/>
        <v>5683</v>
      </c>
      <c r="AE367" s="259">
        <f t="shared" si="267"/>
        <v>51147</v>
      </c>
      <c r="AF367" s="452">
        <f t="shared" si="268"/>
        <v>107</v>
      </c>
      <c r="AG367" s="452">
        <f t="shared" si="269"/>
        <v>5.2216000000000005</v>
      </c>
      <c r="AH367" s="452">
        <f t="shared" si="270"/>
        <v>9.2021712000000006E-2</v>
      </c>
      <c r="AI367" s="452">
        <f t="shared" si="271"/>
        <v>112</v>
      </c>
      <c r="AJ367" s="260">
        <f t="shared" si="272"/>
        <v>5472729</v>
      </c>
      <c r="AK367" s="260">
        <f t="shared" si="273"/>
        <v>5728464</v>
      </c>
      <c r="AL367" s="432">
        <f t="shared" si="274"/>
        <v>9</v>
      </c>
      <c r="AM367" s="432">
        <f t="array" ref="AM367">MAX((IF(MNU_CODIGO_ALIMENTO_ENTREGA=CONCATENATE($E367,"_","P_"),MNU_GRAMAJE_REQUERIDO_TIPOM,"")))</f>
        <v>100</v>
      </c>
      <c r="AN367" s="261">
        <f t="shared" si="275"/>
        <v>311</v>
      </c>
      <c r="AO367" s="261">
        <f t="shared" si="276"/>
        <v>2799</v>
      </c>
      <c r="AP367" s="452">
        <f t="shared" si="277"/>
        <v>107</v>
      </c>
      <c r="AQ367" s="452">
        <f t="shared" si="278"/>
        <v>5.2216000000000005</v>
      </c>
      <c r="AR367" s="452">
        <f t="shared" si="279"/>
        <v>9.2021712000000006E-2</v>
      </c>
      <c r="AS367" s="452">
        <f t="shared" si="280"/>
        <v>112</v>
      </c>
      <c r="AT367" s="262">
        <f t="shared" si="281"/>
        <v>299493</v>
      </c>
      <c r="AU367" s="262">
        <f t="shared" si="282"/>
        <v>313488</v>
      </c>
      <c r="AV367" s="431">
        <f t="shared" si="283"/>
        <v>9</v>
      </c>
      <c r="AW367" s="431">
        <f t="array" ref="AW367">MAX((IF(MNU_CODIGO_ALIMENTO_ENTREGA=CONCATENATE($E367,"_","P_"),MNU_GRAMAJE_REQUERIDO_TIPOH,"")))</f>
        <v>100</v>
      </c>
      <c r="AX367" s="259">
        <f t="shared" si="284"/>
        <v>322</v>
      </c>
      <c r="AY367" s="259">
        <f t="shared" si="285"/>
        <v>2898</v>
      </c>
      <c r="AZ367" s="452">
        <f t="shared" si="286"/>
        <v>107</v>
      </c>
      <c r="BA367" s="452">
        <f t="shared" si="287"/>
        <v>5.2216000000000005</v>
      </c>
      <c r="BB367" s="452">
        <f t="shared" si="288"/>
        <v>9.2021712000000006E-2</v>
      </c>
      <c r="BC367" s="452">
        <f t="shared" si="289"/>
        <v>112</v>
      </c>
      <c r="BD367" s="260">
        <f t="shared" si="290"/>
        <v>310086</v>
      </c>
      <c r="BE367" s="260">
        <f t="shared" si="291"/>
        <v>324576</v>
      </c>
      <c r="BF367" s="397">
        <f t="shared" si="292"/>
        <v>25121139</v>
      </c>
      <c r="BG367" s="397">
        <f t="shared" si="293"/>
        <v>26295024</v>
      </c>
    </row>
    <row r="368" spans="1:59" ht="15.75">
      <c r="A368" s="338">
        <v>28</v>
      </c>
      <c r="B368" s="338" t="str">
        <f t="shared" si="245"/>
        <v>FRUTA_28</v>
      </c>
      <c r="C368" s="338" t="str">
        <f t="shared" si="246"/>
        <v>8_28</v>
      </c>
      <c r="D368" s="338" t="s">
        <v>1</v>
      </c>
      <c r="E368" s="258">
        <v>8</v>
      </c>
      <c r="F368" s="328" t="s">
        <v>55</v>
      </c>
      <c r="G368" s="258" t="s">
        <v>9</v>
      </c>
      <c r="H368" s="431">
        <f t="shared" si="247"/>
        <v>10</v>
      </c>
      <c r="I368" s="431">
        <f t="array" ref="I368">MAX((IF(MNU_CODIGO_ALIMENTO_ENTREGA=CONCATENATE($E368,"_","P_"),MNU_GRAMAJE_REQUERIDO_TIPOA,"")))</f>
        <v>100</v>
      </c>
      <c r="J368" s="259">
        <f t="shared" si="248"/>
        <v>5484</v>
      </c>
      <c r="K368" s="259">
        <f t="shared" si="249"/>
        <v>54840</v>
      </c>
      <c r="L368" s="452">
        <f t="shared" si="250"/>
        <v>134</v>
      </c>
      <c r="M368" s="452">
        <f t="shared" si="251"/>
        <v>6.539200000000001</v>
      </c>
      <c r="N368" s="452">
        <f t="shared" si="252"/>
        <v>0.115242144</v>
      </c>
      <c r="O368" s="452">
        <f t="shared" si="253"/>
        <v>141</v>
      </c>
      <c r="P368" s="260">
        <f t="shared" si="254"/>
        <v>7348560</v>
      </c>
      <c r="Q368" s="260">
        <f t="shared" si="255"/>
        <v>7732440</v>
      </c>
      <c r="R368" s="432">
        <f t="shared" si="256"/>
        <v>8</v>
      </c>
      <c r="S368" s="432">
        <f t="array" ref="S368">MAX((IF(MNU_CODIGO_ALIMENTO_ENTREGA=CONCATENATE($E368,"_","P_"),MNU_GRAMAJE_REQUERIDO_TIPOB,"")))</f>
        <v>100</v>
      </c>
      <c r="T368" s="261">
        <f t="shared" si="257"/>
        <v>6365</v>
      </c>
      <c r="U368" s="261">
        <f t="shared" si="258"/>
        <v>50920</v>
      </c>
      <c r="V368" s="452">
        <f t="shared" si="259"/>
        <v>134</v>
      </c>
      <c r="W368" s="452">
        <f t="shared" si="260"/>
        <v>6.539200000000001</v>
      </c>
      <c r="X368" s="452">
        <f t="shared" si="261"/>
        <v>0.115242144</v>
      </c>
      <c r="Y368" s="452">
        <f t="shared" si="262"/>
        <v>141</v>
      </c>
      <c r="Z368" s="262">
        <f t="shared" si="263"/>
        <v>6823280</v>
      </c>
      <c r="AA368" s="262">
        <f t="shared" si="264"/>
        <v>7179720</v>
      </c>
      <c r="AB368" s="431">
        <f t="shared" si="265"/>
        <v>8</v>
      </c>
      <c r="AC368" s="431">
        <f t="array" ref="AC368">MAX((IF(MNU_CODIGO_ALIMENTO_ENTREGA=CONCATENATE($E368,"_","P_"),MNU_GRAMAJE_REQUERIDO_TIPOC,"")))</f>
        <v>100</v>
      </c>
      <c r="AD368" s="259">
        <f t="shared" si="266"/>
        <v>5683</v>
      </c>
      <c r="AE368" s="259">
        <f t="shared" si="267"/>
        <v>45464</v>
      </c>
      <c r="AF368" s="452">
        <f t="shared" si="268"/>
        <v>134</v>
      </c>
      <c r="AG368" s="452">
        <f t="shared" si="269"/>
        <v>6.539200000000001</v>
      </c>
      <c r="AH368" s="452">
        <f t="shared" si="270"/>
        <v>0.115242144</v>
      </c>
      <c r="AI368" s="452">
        <f t="shared" si="271"/>
        <v>141</v>
      </c>
      <c r="AJ368" s="260">
        <f t="shared" si="272"/>
        <v>6092176</v>
      </c>
      <c r="AK368" s="260">
        <f t="shared" si="273"/>
        <v>6410424</v>
      </c>
      <c r="AL368" s="432">
        <f t="shared" si="274"/>
        <v>8</v>
      </c>
      <c r="AM368" s="432">
        <f t="array" ref="AM368">MAX((IF(MNU_CODIGO_ALIMENTO_ENTREGA=CONCATENATE($E368,"_","P_"),MNU_GRAMAJE_REQUERIDO_TIPOM,"")))</f>
        <v>100</v>
      </c>
      <c r="AN368" s="261">
        <f t="shared" si="275"/>
        <v>311</v>
      </c>
      <c r="AO368" s="261">
        <f t="shared" si="276"/>
        <v>2488</v>
      </c>
      <c r="AP368" s="452">
        <f t="shared" si="277"/>
        <v>134</v>
      </c>
      <c r="AQ368" s="452">
        <f t="shared" si="278"/>
        <v>6.539200000000001</v>
      </c>
      <c r="AR368" s="452">
        <f t="shared" si="279"/>
        <v>0.115242144</v>
      </c>
      <c r="AS368" s="452">
        <f t="shared" si="280"/>
        <v>141</v>
      </c>
      <c r="AT368" s="262">
        <f t="shared" si="281"/>
        <v>333392</v>
      </c>
      <c r="AU368" s="262">
        <f t="shared" si="282"/>
        <v>350808</v>
      </c>
      <c r="AV368" s="431">
        <f t="shared" si="283"/>
        <v>8</v>
      </c>
      <c r="AW368" s="431">
        <f t="array" ref="AW368">MAX((IF(MNU_CODIGO_ALIMENTO_ENTREGA=CONCATENATE($E368,"_","P_"),MNU_GRAMAJE_REQUERIDO_TIPOH,"")))</f>
        <v>100</v>
      </c>
      <c r="AX368" s="259">
        <f t="shared" si="284"/>
        <v>322</v>
      </c>
      <c r="AY368" s="259">
        <f t="shared" si="285"/>
        <v>2576</v>
      </c>
      <c r="AZ368" s="452">
        <f t="shared" si="286"/>
        <v>134</v>
      </c>
      <c r="BA368" s="452">
        <f t="shared" si="287"/>
        <v>6.539200000000001</v>
      </c>
      <c r="BB368" s="452">
        <f t="shared" si="288"/>
        <v>0.115242144</v>
      </c>
      <c r="BC368" s="452">
        <f t="shared" si="289"/>
        <v>141</v>
      </c>
      <c r="BD368" s="260">
        <f t="shared" si="290"/>
        <v>345184</v>
      </c>
      <c r="BE368" s="260">
        <f t="shared" si="291"/>
        <v>363216</v>
      </c>
      <c r="BF368" s="397">
        <f t="shared" si="292"/>
        <v>20942592</v>
      </c>
      <c r="BG368" s="397">
        <f t="shared" si="293"/>
        <v>22036608</v>
      </c>
    </row>
    <row r="369" spans="1:59" ht="15.75">
      <c r="A369" s="338">
        <v>28</v>
      </c>
      <c r="B369" s="338" t="str">
        <f t="shared" si="245"/>
        <v>FRUTA_28</v>
      </c>
      <c r="C369" s="338" t="str">
        <f t="shared" si="246"/>
        <v>17_28</v>
      </c>
      <c r="D369" s="338" t="s">
        <v>1</v>
      </c>
      <c r="E369" s="258">
        <v>17</v>
      </c>
      <c r="F369" s="328" t="s">
        <v>53</v>
      </c>
      <c r="G369" s="258" t="s">
        <v>9</v>
      </c>
      <c r="H369" s="431">
        <f t="shared" si="247"/>
        <v>0</v>
      </c>
      <c r="I369" s="431">
        <f t="array" ref="I369">MAX((IF(MNU_CODIGO_ALIMENTO_ENTREGA=CONCATENATE($E369,"_","P_"),MNU_GRAMAJE_REQUERIDO_TIPOA,"")))</f>
        <v>0</v>
      </c>
      <c r="J369" s="259">
        <f t="shared" si="248"/>
        <v>5484</v>
      </c>
      <c r="K369" s="259">
        <f t="shared" si="249"/>
        <v>0</v>
      </c>
      <c r="L369" s="452">
        <f t="shared" si="250"/>
        <v>0</v>
      </c>
      <c r="M369" s="452">
        <f t="shared" si="251"/>
        <v>0</v>
      </c>
      <c r="N369" s="452">
        <f t="shared" si="252"/>
        <v>0</v>
      </c>
      <c r="O369" s="452">
        <f t="shared" si="253"/>
        <v>0</v>
      </c>
      <c r="P369" s="260">
        <f t="shared" si="254"/>
        <v>0</v>
      </c>
      <c r="Q369" s="260">
        <f t="shared" si="255"/>
        <v>0</v>
      </c>
      <c r="R369" s="432">
        <f t="shared" si="256"/>
        <v>21</v>
      </c>
      <c r="S369" s="432">
        <f t="array" ref="S369">MAX((IF(MNU_CODIGO_ALIMENTO_ENTREGA=CONCATENATE($E369,"_","P_"),MNU_GRAMAJE_REQUERIDO_TIPOB,"")))</f>
        <v>100</v>
      </c>
      <c r="T369" s="261">
        <f t="shared" si="257"/>
        <v>6365</v>
      </c>
      <c r="U369" s="261">
        <f t="shared" si="258"/>
        <v>133665</v>
      </c>
      <c r="V369" s="452">
        <f t="shared" si="259"/>
        <v>226</v>
      </c>
      <c r="W369" s="452">
        <f t="shared" si="260"/>
        <v>11.0288</v>
      </c>
      <c r="X369" s="452">
        <f t="shared" si="261"/>
        <v>0.19436361600000002</v>
      </c>
      <c r="Y369" s="452">
        <f t="shared" si="262"/>
        <v>237</v>
      </c>
      <c r="Z369" s="262">
        <f t="shared" si="263"/>
        <v>30208290</v>
      </c>
      <c r="AA369" s="262">
        <f t="shared" si="264"/>
        <v>31678605</v>
      </c>
      <c r="AB369" s="431">
        <f t="shared" si="265"/>
        <v>21</v>
      </c>
      <c r="AC369" s="431">
        <f t="array" ref="AC369">MAX((IF(MNU_CODIGO_ALIMENTO_ENTREGA=CONCATENATE($E369,"_","P_"),MNU_GRAMAJE_REQUERIDO_TIPOC,"")))</f>
        <v>100</v>
      </c>
      <c r="AD369" s="259">
        <f t="shared" si="266"/>
        <v>5683</v>
      </c>
      <c r="AE369" s="259">
        <f t="shared" si="267"/>
        <v>119343</v>
      </c>
      <c r="AF369" s="452">
        <f t="shared" si="268"/>
        <v>226</v>
      </c>
      <c r="AG369" s="452">
        <f t="shared" si="269"/>
        <v>11.0288</v>
      </c>
      <c r="AH369" s="452">
        <f t="shared" si="270"/>
        <v>0.19436361600000002</v>
      </c>
      <c r="AI369" s="452">
        <f t="shared" si="271"/>
        <v>237</v>
      </c>
      <c r="AJ369" s="260">
        <f t="shared" si="272"/>
        <v>26971518</v>
      </c>
      <c r="AK369" s="260">
        <f t="shared" si="273"/>
        <v>28284291</v>
      </c>
      <c r="AL369" s="432">
        <f t="shared" si="274"/>
        <v>21</v>
      </c>
      <c r="AM369" s="432">
        <f t="array" ref="AM369">MAX((IF(MNU_CODIGO_ALIMENTO_ENTREGA=CONCATENATE($E369,"_","P_"),MNU_GRAMAJE_REQUERIDO_TIPOM,"")))</f>
        <v>100</v>
      </c>
      <c r="AN369" s="261">
        <f t="shared" si="275"/>
        <v>311</v>
      </c>
      <c r="AO369" s="261">
        <f t="shared" si="276"/>
        <v>6531</v>
      </c>
      <c r="AP369" s="452">
        <f t="shared" si="277"/>
        <v>226</v>
      </c>
      <c r="AQ369" s="452">
        <f t="shared" si="278"/>
        <v>11.0288</v>
      </c>
      <c r="AR369" s="452">
        <f t="shared" si="279"/>
        <v>0.19436361600000002</v>
      </c>
      <c r="AS369" s="452">
        <f t="shared" si="280"/>
        <v>237</v>
      </c>
      <c r="AT369" s="262">
        <f t="shared" si="281"/>
        <v>1476006</v>
      </c>
      <c r="AU369" s="262">
        <f t="shared" si="282"/>
        <v>1547847</v>
      </c>
      <c r="AV369" s="431">
        <f t="shared" si="283"/>
        <v>21</v>
      </c>
      <c r="AW369" s="431">
        <f t="array" ref="AW369">MAX((IF(MNU_CODIGO_ALIMENTO_ENTREGA=CONCATENATE($E369,"_","P_"),MNU_GRAMAJE_REQUERIDO_TIPOH,"")))</f>
        <v>100</v>
      </c>
      <c r="AX369" s="259">
        <f t="shared" si="284"/>
        <v>322</v>
      </c>
      <c r="AY369" s="259">
        <f t="shared" si="285"/>
        <v>6762</v>
      </c>
      <c r="AZ369" s="452">
        <f t="shared" si="286"/>
        <v>226</v>
      </c>
      <c r="BA369" s="452">
        <f t="shared" si="287"/>
        <v>11.0288</v>
      </c>
      <c r="BB369" s="452">
        <f t="shared" si="288"/>
        <v>0.19436361600000002</v>
      </c>
      <c r="BC369" s="452">
        <f t="shared" si="289"/>
        <v>237</v>
      </c>
      <c r="BD369" s="260">
        <f t="shared" si="290"/>
        <v>1528212</v>
      </c>
      <c r="BE369" s="260">
        <f t="shared" si="291"/>
        <v>1602594</v>
      </c>
      <c r="BF369" s="397">
        <f t="shared" si="292"/>
        <v>60184026</v>
      </c>
      <c r="BG369" s="397">
        <f t="shared" si="293"/>
        <v>63113337</v>
      </c>
    </row>
    <row r="370" spans="1:59" ht="15.75">
      <c r="A370" s="338">
        <v>28</v>
      </c>
      <c r="B370" s="338" t="str">
        <f t="shared" si="245"/>
        <v>FRUTA_28</v>
      </c>
      <c r="C370" s="338" t="str">
        <f t="shared" si="246"/>
        <v>22_28</v>
      </c>
      <c r="D370" s="338" t="s">
        <v>1</v>
      </c>
      <c r="E370" s="258">
        <v>22</v>
      </c>
      <c r="F370" s="328" t="s">
        <v>51</v>
      </c>
      <c r="G370" s="258" t="s">
        <v>9</v>
      </c>
      <c r="H370" s="431">
        <f t="shared" si="247"/>
        <v>0</v>
      </c>
      <c r="I370" s="431">
        <f t="array" ref="I370">MAX((IF(MNU_CODIGO_ALIMENTO_ENTREGA=CONCATENATE($E370,"_","P_"),MNU_GRAMAJE_REQUERIDO_TIPOA,"")))</f>
        <v>0</v>
      </c>
      <c r="J370" s="259">
        <f t="shared" si="248"/>
        <v>5484</v>
      </c>
      <c r="K370" s="259">
        <f t="shared" si="249"/>
        <v>0</v>
      </c>
      <c r="L370" s="452">
        <f t="shared" si="250"/>
        <v>0</v>
      </c>
      <c r="M370" s="452">
        <f t="shared" si="251"/>
        <v>0</v>
      </c>
      <c r="N370" s="452">
        <f t="shared" si="252"/>
        <v>0</v>
      </c>
      <c r="O370" s="452">
        <f t="shared" si="253"/>
        <v>0</v>
      </c>
      <c r="P370" s="260">
        <f t="shared" si="254"/>
        <v>0</v>
      </c>
      <c r="Q370" s="260">
        <f t="shared" si="255"/>
        <v>0</v>
      </c>
      <c r="R370" s="432">
        <f t="shared" si="256"/>
        <v>20</v>
      </c>
      <c r="S370" s="432">
        <f t="array" ref="S370">MAX((IF(MNU_CODIGO_ALIMENTO_ENTREGA=CONCATENATE($E370,"_","P_"),MNU_GRAMAJE_REQUERIDO_TIPOB,"")))</f>
        <v>100</v>
      </c>
      <c r="T370" s="261">
        <f t="shared" si="257"/>
        <v>6365</v>
      </c>
      <c r="U370" s="261">
        <f t="shared" si="258"/>
        <v>127300</v>
      </c>
      <c r="V370" s="452">
        <f t="shared" si="259"/>
        <v>525</v>
      </c>
      <c r="W370" s="452">
        <f t="shared" si="260"/>
        <v>25.62</v>
      </c>
      <c r="X370" s="452">
        <f t="shared" si="261"/>
        <v>0.45150840000000003</v>
      </c>
      <c r="Y370" s="452">
        <f t="shared" si="262"/>
        <v>551</v>
      </c>
      <c r="Z370" s="262">
        <f t="shared" si="263"/>
        <v>66832500</v>
      </c>
      <c r="AA370" s="262">
        <f t="shared" si="264"/>
        <v>70142300</v>
      </c>
      <c r="AB370" s="431">
        <f t="shared" si="265"/>
        <v>20</v>
      </c>
      <c r="AC370" s="431">
        <f t="array" ref="AC370">MAX((IF(MNU_CODIGO_ALIMENTO_ENTREGA=CONCATENATE($E370,"_","P_"),MNU_GRAMAJE_REQUERIDO_TIPOC,"")))</f>
        <v>100</v>
      </c>
      <c r="AD370" s="259">
        <f t="shared" si="266"/>
        <v>5683</v>
      </c>
      <c r="AE370" s="259">
        <f t="shared" si="267"/>
        <v>113660</v>
      </c>
      <c r="AF370" s="452">
        <f t="shared" si="268"/>
        <v>525</v>
      </c>
      <c r="AG370" s="452">
        <f t="shared" si="269"/>
        <v>25.62</v>
      </c>
      <c r="AH370" s="452">
        <f t="shared" si="270"/>
        <v>0.45150840000000003</v>
      </c>
      <c r="AI370" s="452">
        <f t="shared" si="271"/>
        <v>551</v>
      </c>
      <c r="AJ370" s="260">
        <f t="shared" si="272"/>
        <v>59671500</v>
      </c>
      <c r="AK370" s="260">
        <f t="shared" si="273"/>
        <v>62626660</v>
      </c>
      <c r="AL370" s="432">
        <f t="shared" si="274"/>
        <v>20</v>
      </c>
      <c r="AM370" s="432">
        <f t="array" ref="AM370">MAX((IF(MNU_CODIGO_ALIMENTO_ENTREGA=CONCATENATE($E370,"_","P_"),MNU_GRAMAJE_REQUERIDO_TIPOM,"")))</f>
        <v>100</v>
      </c>
      <c r="AN370" s="261">
        <f t="shared" si="275"/>
        <v>311</v>
      </c>
      <c r="AO370" s="261">
        <f t="shared" si="276"/>
        <v>6220</v>
      </c>
      <c r="AP370" s="452">
        <f t="shared" si="277"/>
        <v>525</v>
      </c>
      <c r="AQ370" s="452">
        <f t="shared" si="278"/>
        <v>25.62</v>
      </c>
      <c r="AR370" s="452">
        <f t="shared" si="279"/>
        <v>0.45150840000000003</v>
      </c>
      <c r="AS370" s="452">
        <f t="shared" si="280"/>
        <v>551</v>
      </c>
      <c r="AT370" s="262">
        <f t="shared" si="281"/>
        <v>3265500</v>
      </c>
      <c r="AU370" s="262">
        <f t="shared" si="282"/>
        <v>3427220</v>
      </c>
      <c r="AV370" s="431">
        <f t="shared" si="283"/>
        <v>20</v>
      </c>
      <c r="AW370" s="431">
        <f t="array" ref="AW370">MAX((IF(MNU_CODIGO_ALIMENTO_ENTREGA=CONCATENATE($E370,"_","P_"),MNU_GRAMAJE_REQUERIDO_TIPOH,"")))</f>
        <v>100</v>
      </c>
      <c r="AX370" s="259">
        <f t="shared" si="284"/>
        <v>322</v>
      </c>
      <c r="AY370" s="259">
        <f t="shared" si="285"/>
        <v>6440</v>
      </c>
      <c r="AZ370" s="452">
        <f t="shared" si="286"/>
        <v>525</v>
      </c>
      <c r="BA370" s="452">
        <f t="shared" si="287"/>
        <v>25.62</v>
      </c>
      <c r="BB370" s="452">
        <f t="shared" si="288"/>
        <v>0.45150840000000003</v>
      </c>
      <c r="BC370" s="452">
        <f t="shared" si="289"/>
        <v>551</v>
      </c>
      <c r="BD370" s="260">
        <f t="shared" si="290"/>
        <v>3381000</v>
      </c>
      <c r="BE370" s="260">
        <f t="shared" si="291"/>
        <v>3548440</v>
      </c>
      <c r="BF370" s="397">
        <f t="shared" si="292"/>
        <v>133150500</v>
      </c>
      <c r="BG370" s="397">
        <f t="shared" si="293"/>
        <v>139744620</v>
      </c>
    </row>
    <row r="371" spans="1:59" ht="15.75">
      <c r="A371" s="338">
        <v>28</v>
      </c>
      <c r="B371" s="338" t="str">
        <f t="shared" si="245"/>
        <v>FRUTA_28</v>
      </c>
      <c r="C371" s="338" t="str">
        <f t="shared" si="246"/>
        <v>33_28</v>
      </c>
      <c r="D371" s="338" t="s">
        <v>1</v>
      </c>
      <c r="E371" s="258">
        <v>33</v>
      </c>
      <c r="F371" s="328" t="s">
        <v>59</v>
      </c>
      <c r="G371" s="258" t="s">
        <v>48</v>
      </c>
      <c r="H371" s="431">
        <f t="shared" si="247"/>
        <v>27</v>
      </c>
      <c r="I371" s="431">
        <v>1</v>
      </c>
      <c r="J371" s="259">
        <f t="shared" si="248"/>
        <v>5484</v>
      </c>
      <c r="K371" s="259">
        <f t="shared" si="249"/>
        <v>148068</v>
      </c>
      <c r="L371" s="452">
        <f t="shared" si="250"/>
        <v>270</v>
      </c>
      <c r="M371" s="452">
        <f t="shared" si="251"/>
        <v>13.176000000000002</v>
      </c>
      <c r="N371" s="452">
        <f t="shared" si="252"/>
        <v>0.23220432000000002</v>
      </c>
      <c r="O371" s="452">
        <f t="shared" si="253"/>
        <v>283</v>
      </c>
      <c r="P371" s="260">
        <f t="shared" si="254"/>
        <v>39978360</v>
      </c>
      <c r="Q371" s="260">
        <f t="shared" si="255"/>
        <v>41903244</v>
      </c>
      <c r="R371" s="432">
        <f t="shared" si="256"/>
        <v>18</v>
      </c>
      <c r="S371" s="432">
        <v>1</v>
      </c>
      <c r="T371" s="261">
        <f t="shared" si="257"/>
        <v>6365</v>
      </c>
      <c r="U371" s="261">
        <f t="shared" si="258"/>
        <v>114570</v>
      </c>
      <c r="V371" s="452">
        <f t="shared" si="259"/>
        <v>270</v>
      </c>
      <c r="W371" s="452">
        <f t="shared" si="260"/>
        <v>13.176000000000002</v>
      </c>
      <c r="X371" s="452">
        <f t="shared" si="261"/>
        <v>0.23220432000000002</v>
      </c>
      <c r="Y371" s="452">
        <f t="shared" si="262"/>
        <v>283</v>
      </c>
      <c r="Z371" s="262">
        <f t="shared" si="263"/>
        <v>30933900</v>
      </c>
      <c r="AA371" s="262">
        <f t="shared" si="264"/>
        <v>32423310</v>
      </c>
      <c r="AB371" s="431">
        <f t="shared" si="265"/>
        <v>18</v>
      </c>
      <c r="AC371" s="431">
        <v>1</v>
      </c>
      <c r="AD371" s="259">
        <f t="shared" si="266"/>
        <v>5683</v>
      </c>
      <c r="AE371" s="259">
        <f t="shared" si="267"/>
        <v>102294</v>
      </c>
      <c r="AF371" s="452">
        <f t="shared" si="268"/>
        <v>270</v>
      </c>
      <c r="AG371" s="452">
        <f t="shared" si="269"/>
        <v>13.176000000000002</v>
      </c>
      <c r="AH371" s="452">
        <f t="shared" si="270"/>
        <v>0.23220432000000002</v>
      </c>
      <c r="AI371" s="452">
        <f t="shared" si="271"/>
        <v>283</v>
      </c>
      <c r="AJ371" s="260">
        <f t="shared" si="272"/>
        <v>27619380</v>
      </c>
      <c r="AK371" s="260">
        <f t="shared" si="273"/>
        <v>28949202</v>
      </c>
      <c r="AL371" s="432">
        <f t="shared" si="274"/>
        <v>18</v>
      </c>
      <c r="AM371" s="432">
        <v>1</v>
      </c>
      <c r="AN371" s="261">
        <f t="shared" si="275"/>
        <v>311</v>
      </c>
      <c r="AO371" s="261">
        <f t="shared" si="276"/>
        <v>5598</v>
      </c>
      <c r="AP371" s="452">
        <f t="shared" si="277"/>
        <v>270</v>
      </c>
      <c r="AQ371" s="452">
        <f t="shared" si="278"/>
        <v>13.176000000000002</v>
      </c>
      <c r="AR371" s="452">
        <f t="shared" si="279"/>
        <v>0.23220432000000002</v>
      </c>
      <c r="AS371" s="452">
        <f t="shared" si="280"/>
        <v>283</v>
      </c>
      <c r="AT371" s="262">
        <f t="shared" si="281"/>
        <v>1511460</v>
      </c>
      <c r="AU371" s="262">
        <f t="shared" si="282"/>
        <v>1584234</v>
      </c>
      <c r="AV371" s="431">
        <f t="shared" si="283"/>
        <v>18</v>
      </c>
      <c r="AW371" s="431">
        <v>1</v>
      </c>
      <c r="AX371" s="259">
        <f t="shared" si="284"/>
        <v>322</v>
      </c>
      <c r="AY371" s="259">
        <f t="shared" si="285"/>
        <v>5796</v>
      </c>
      <c r="AZ371" s="452">
        <f t="shared" si="286"/>
        <v>270</v>
      </c>
      <c r="BA371" s="452">
        <f t="shared" si="287"/>
        <v>13.176000000000002</v>
      </c>
      <c r="BB371" s="452">
        <f t="shared" si="288"/>
        <v>0.23220432000000002</v>
      </c>
      <c r="BC371" s="452">
        <f t="shared" si="289"/>
        <v>283</v>
      </c>
      <c r="BD371" s="260">
        <f t="shared" si="290"/>
        <v>1564920</v>
      </c>
      <c r="BE371" s="260">
        <f t="shared" si="291"/>
        <v>1640268</v>
      </c>
      <c r="BF371" s="397">
        <f t="shared" si="292"/>
        <v>101608020</v>
      </c>
      <c r="BG371" s="397">
        <f t="shared" si="293"/>
        <v>106500258</v>
      </c>
    </row>
    <row r="372" spans="1:59" ht="15.75">
      <c r="A372" s="338">
        <v>28</v>
      </c>
      <c r="B372" s="338" t="str">
        <f t="shared" si="245"/>
        <v>FRUTA_28</v>
      </c>
      <c r="C372" s="338" t="str">
        <f t="shared" si="246"/>
        <v>36_28</v>
      </c>
      <c r="D372" s="338" t="s">
        <v>1</v>
      </c>
      <c r="E372" s="258">
        <v>36</v>
      </c>
      <c r="F372" s="328" t="s">
        <v>1340</v>
      </c>
      <c r="G372" s="258" t="s">
        <v>9</v>
      </c>
      <c r="H372" s="431">
        <f t="shared" si="247"/>
        <v>7</v>
      </c>
      <c r="I372" s="431">
        <f t="array" ref="I372">MAX((IF(MNU_CODIGO_ALIMENTO_ENTREGA=CONCATENATE($E372,"_","P_"),MNU_GRAMAJE_REQUERIDO_TIPOA,"")))</f>
        <v>20</v>
      </c>
      <c r="J372" s="259">
        <f t="shared" si="248"/>
        <v>5484</v>
      </c>
      <c r="K372" s="259">
        <f t="shared" si="249"/>
        <v>38388</v>
      </c>
      <c r="L372" s="452">
        <f t="shared" si="250"/>
        <v>126</v>
      </c>
      <c r="M372" s="452">
        <f t="shared" si="251"/>
        <v>6.1488000000000005</v>
      </c>
      <c r="N372" s="452">
        <f t="shared" si="252"/>
        <v>0.10836201599999999</v>
      </c>
      <c r="O372" s="452">
        <f t="shared" si="253"/>
        <v>132</v>
      </c>
      <c r="P372" s="260">
        <f t="shared" si="254"/>
        <v>4836888</v>
      </c>
      <c r="Q372" s="260">
        <f t="shared" si="255"/>
        <v>5067216</v>
      </c>
      <c r="R372" s="432">
        <f t="shared" si="256"/>
        <v>7</v>
      </c>
      <c r="S372" s="432">
        <f t="array" ref="S372">MAX((IF(MNU_CODIGO_ALIMENTO_ENTREGA=CONCATENATE($E372,"_","P_"),MNU_GRAMAJE_REQUERIDO_TIPOB,"")))</f>
        <v>40</v>
      </c>
      <c r="T372" s="261">
        <f t="shared" si="257"/>
        <v>6365</v>
      </c>
      <c r="U372" s="261">
        <f t="shared" si="258"/>
        <v>44555</v>
      </c>
      <c r="V372" s="452">
        <f t="shared" si="259"/>
        <v>252</v>
      </c>
      <c r="W372" s="452">
        <f t="shared" si="260"/>
        <v>12.297600000000001</v>
      </c>
      <c r="X372" s="452">
        <f t="shared" si="261"/>
        <v>0.21672403199999998</v>
      </c>
      <c r="Y372" s="452">
        <f t="shared" si="262"/>
        <v>265</v>
      </c>
      <c r="Z372" s="262">
        <f t="shared" si="263"/>
        <v>11227860</v>
      </c>
      <c r="AA372" s="262">
        <f t="shared" si="264"/>
        <v>11807075</v>
      </c>
      <c r="AB372" s="431">
        <f t="shared" si="265"/>
        <v>7</v>
      </c>
      <c r="AC372" s="431">
        <f t="array" ref="AC372">MAX((IF(MNU_CODIGO_ALIMENTO_ENTREGA=CONCATENATE($E372,"_","P_"),MNU_GRAMAJE_REQUERIDO_TIPOC,"")))</f>
        <v>40</v>
      </c>
      <c r="AD372" s="259">
        <f t="shared" si="266"/>
        <v>5683</v>
      </c>
      <c r="AE372" s="259">
        <f t="shared" si="267"/>
        <v>39781</v>
      </c>
      <c r="AF372" s="452">
        <f t="shared" si="268"/>
        <v>252</v>
      </c>
      <c r="AG372" s="452">
        <f t="shared" si="269"/>
        <v>12.297600000000001</v>
      </c>
      <c r="AH372" s="452">
        <f t="shared" si="270"/>
        <v>0.21672403199999998</v>
      </c>
      <c r="AI372" s="452">
        <f t="shared" si="271"/>
        <v>265</v>
      </c>
      <c r="AJ372" s="260">
        <f t="shared" si="272"/>
        <v>10024812</v>
      </c>
      <c r="AK372" s="260">
        <f t="shared" si="273"/>
        <v>10541965</v>
      </c>
      <c r="AL372" s="432">
        <f t="shared" si="274"/>
        <v>7</v>
      </c>
      <c r="AM372" s="432">
        <f t="array" ref="AM372">MAX((IF(MNU_CODIGO_ALIMENTO_ENTREGA=CONCATENATE($E372,"_","P_"),MNU_GRAMAJE_REQUERIDO_TIPOM,"")))</f>
        <v>40</v>
      </c>
      <c r="AN372" s="261">
        <f t="shared" si="275"/>
        <v>311</v>
      </c>
      <c r="AO372" s="261">
        <f t="shared" si="276"/>
        <v>2177</v>
      </c>
      <c r="AP372" s="452">
        <f t="shared" si="277"/>
        <v>252</v>
      </c>
      <c r="AQ372" s="452">
        <f t="shared" si="278"/>
        <v>12.297600000000001</v>
      </c>
      <c r="AR372" s="452">
        <f t="shared" si="279"/>
        <v>0.21672403199999998</v>
      </c>
      <c r="AS372" s="452">
        <f t="shared" si="280"/>
        <v>265</v>
      </c>
      <c r="AT372" s="262">
        <f t="shared" si="281"/>
        <v>548604</v>
      </c>
      <c r="AU372" s="262">
        <f t="shared" si="282"/>
        <v>576905</v>
      </c>
      <c r="AV372" s="431">
        <f t="shared" si="283"/>
        <v>7</v>
      </c>
      <c r="AW372" s="431">
        <f t="array" ref="AW372">MAX((IF(MNU_CODIGO_ALIMENTO_ENTREGA=CONCATENATE($E372,"_","P_"),MNU_GRAMAJE_REQUERIDO_TIPOH,"")))</f>
        <v>40</v>
      </c>
      <c r="AX372" s="259">
        <f t="shared" si="284"/>
        <v>322</v>
      </c>
      <c r="AY372" s="259">
        <f t="shared" si="285"/>
        <v>2254</v>
      </c>
      <c r="AZ372" s="452">
        <f t="shared" si="286"/>
        <v>252</v>
      </c>
      <c r="BA372" s="452">
        <f t="shared" si="287"/>
        <v>12.297600000000001</v>
      </c>
      <c r="BB372" s="452">
        <f t="shared" si="288"/>
        <v>0.21672403199999998</v>
      </c>
      <c r="BC372" s="452">
        <f t="shared" si="289"/>
        <v>265</v>
      </c>
      <c r="BD372" s="260">
        <f t="shared" si="290"/>
        <v>568008</v>
      </c>
      <c r="BE372" s="260">
        <f t="shared" si="291"/>
        <v>597310</v>
      </c>
      <c r="BF372" s="397">
        <f t="shared" si="292"/>
        <v>27206172</v>
      </c>
      <c r="BG372" s="397">
        <f t="shared" si="293"/>
        <v>28590471</v>
      </c>
    </row>
    <row r="373" spans="1:59" ht="15.75">
      <c r="A373" s="338">
        <v>28</v>
      </c>
      <c r="B373" s="338" t="str">
        <f t="shared" si="245"/>
        <v>FRUTA_28</v>
      </c>
      <c r="C373" s="338" t="str">
        <f t="shared" si="246"/>
        <v>42_28</v>
      </c>
      <c r="D373" s="338" t="s">
        <v>1</v>
      </c>
      <c r="E373" s="258">
        <v>42</v>
      </c>
      <c r="F373" s="328" t="s">
        <v>61</v>
      </c>
      <c r="G373" s="258" t="s">
        <v>9</v>
      </c>
      <c r="H373" s="431">
        <f t="shared" si="247"/>
        <v>23</v>
      </c>
      <c r="I373" s="431">
        <f t="array" ref="I373">MAX((IF(MNU_CODIGO_ALIMENTO_ENTREGA=CONCATENATE($E373,"_","P_"),MNU_GRAMAJE_REQUERIDO_TIPOA,"")))</f>
        <v>100</v>
      </c>
      <c r="J373" s="259">
        <f t="shared" si="248"/>
        <v>5484</v>
      </c>
      <c r="K373" s="259">
        <f t="shared" si="249"/>
        <v>126132</v>
      </c>
      <c r="L373" s="452">
        <f t="shared" si="250"/>
        <v>194</v>
      </c>
      <c r="M373" s="452">
        <f t="shared" si="251"/>
        <v>9.4672000000000001</v>
      </c>
      <c r="N373" s="452">
        <f t="shared" si="252"/>
        <v>0.16684310399999999</v>
      </c>
      <c r="O373" s="452">
        <f t="shared" si="253"/>
        <v>204</v>
      </c>
      <c r="P373" s="260">
        <f t="shared" si="254"/>
        <v>24469608</v>
      </c>
      <c r="Q373" s="260">
        <f t="shared" si="255"/>
        <v>25730928</v>
      </c>
      <c r="R373" s="432">
        <f t="shared" si="256"/>
        <v>19</v>
      </c>
      <c r="S373" s="432">
        <f t="array" ref="S373">MAX((IF(MNU_CODIGO_ALIMENTO_ENTREGA=CONCATENATE($E373,"_","P_"),MNU_GRAMAJE_REQUERIDO_TIPOB,"")))</f>
        <v>100</v>
      </c>
      <c r="T373" s="261">
        <f t="shared" si="257"/>
        <v>6365</v>
      </c>
      <c r="U373" s="261">
        <f t="shared" si="258"/>
        <v>120935</v>
      </c>
      <c r="V373" s="452">
        <f t="shared" si="259"/>
        <v>194</v>
      </c>
      <c r="W373" s="452">
        <f t="shared" si="260"/>
        <v>9.4672000000000001</v>
      </c>
      <c r="X373" s="452">
        <f t="shared" si="261"/>
        <v>0.16684310399999999</v>
      </c>
      <c r="Y373" s="452">
        <f t="shared" si="262"/>
        <v>204</v>
      </c>
      <c r="Z373" s="262">
        <f t="shared" si="263"/>
        <v>23461390</v>
      </c>
      <c r="AA373" s="262">
        <f t="shared" si="264"/>
        <v>24670740</v>
      </c>
      <c r="AB373" s="431">
        <f t="shared" si="265"/>
        <v>19</v>
      </c>
      <c r="AC373" s="431">
        <f t="array" ref="AC373">MAX((IF(MNU_CODIGO_ALIMENTO_ENTREGA=CONCATENATE($E373,"_","P_"),MNU_GRAMAJE_REQUERIDO_TIPOC,"")))</f>
        <v>100</v>
      </c>
      <c r="AD373" s="259">
        <f t="shared" si="266"/>
        <v>5683</v>
      </c>
      <c r="AE373" s="259">
        <f t="shared" si="267"/>
        <v>107977</v>
      </c>
      <c r="AF373" s="452">
        <f t="shared" si="268"/>
        <v>194</v>
      </c>
      <c r="AG373" s="452">
        <f t="shared" si="269"/>
        <v>9.4672000000000001</v>
      </c>
      <c r="AH373" s="452">
        <f t="shared" si="270"/>
        <v>0.16684310399999999</v>
      </c>
      <c r="AI373" s="452">
        <f t="shared" si="271"/>
        <v>204</v>
      </c>
      <c r="AJ373" s="260">
        <f t="shared" si="272"/>
        <v>20947538</v>
      </c>
      <c r="AK373" s="260">
        <f t="shared" si="273"/>
        <v>22027308</v>
      </c>
      <c r="AL373" s="432">
        <f t="shared" si="274"/>
        <v>19</v>
      </c>
      <c r="AM373" s="432">
        <f t="array" ref="AM373">MAX((IF(MNU_CODIGO_ALIMENTO_ENTREGA=CONCATENATE($E373,"_","P_"),MNU_GRAMAJE_REQUERIDO_TIPOM,"")))</f>
        <v>100</v>
      </c>
      <c r="AN373" s="261">
        <f t="shared" si="275"/>
        <v>311</v>
      </c>
      <c r="AO373" s="261">
        <f t="shared" si="276"/>
        <v>5909</v>
      </c>
      <c r="AP373" s="452">
        <f t="shared" si="277"/>
        <v>194</v>
      </c>
      <c r="AQ373" s="452">
        <f t="shared" si="278"/>
        <v>9.4672000000000001</v>
      </c>
      <c r="AR373" s="452">
        <f t="shared" si="279"/>
        <v>0.16684310399999999</v>
      </c>
      <c r="AS373" s="452">
        <f t="shared" si="280"/>
        <v>204</v>
      </c>
      <c r="AT373" s="262">
        <f t="shared" si="281"/>
        <v>1146346</v>
      </c>
      <c r="AU373" s="262">
        <f t="shared" si="282"/>
        <v>1205436</v>
      </c>
      <c r="AV373" s="431">
        <f t="shared" si="283"/>
        <v>19</v>
      </c>
      <c r="AW373" s="431">
        <f t="array" ref="AW373">MAX((IF(MNU_CODIGO_ALIMENTO_ENTREGA=CONCATENATE($E373,"_","P_"),MNU_GRAMAJE_REQUERIDO_TIPOH,"")))</f>
        <v>100</v>
      </c>
      <c r="AX373" s="259">
        <f t="shared" si="284"/>
        <v>322</v>
      </c>
      <c r="AY373" s="259">
        <f t="shared" si="285"/>
        <v>6118</v>
      </c>
      <c r="AZ373" s="452">
        <f t="shared" si="286"/>
        <v>194</v>
      </c>
      <c r="BA373" s="452">
        <f t="shared" si="287"/>
        <v>9.4672000000000001</v>
      </c>
      <c r="BB373" s="452">
        <f t="shared" si="288"/>
        <v>0.16684310399999999</v>
      </c>
      <c r="BC373" s="452">
        <f t="shared" si="289"/>
        <v>204</v>
      </c>
      <c r="BD373" s="260">
        <f t="shared" si="290"/>
        <v>1186892</v>
      </c>
      <c r="BE373" s="260">
        <f t="shared" si="291"/>
        <v>1248072</v>
      </c>
      <c r="BF373" s="397">
        <f t="shared" si="292"/>
        <v>71211774</v>
      </c>
      <c r="BG373" s="397">
        <f t="shared" si="293"/>
        <v>74882484</v>
      </c>
    </row>
    <row r="374" spans="1:59" ht="15.75">
      <c r="A374" s="338">
        <v>28</v>
      </c>
      <c r="B374" s="338" t="str">
        <f t="shared" si="245"/>
        <v>FRUTA_28</v>
      </c>
      <c r="C374" s="338" t="str">
        <f t="shared" si="246"/>
        <v>43_28</v>
      </c>
      <c r="D374" s="338" t="s">
        <v>1</v>
      </c>
      <c r="E374" s="258">
        <v>43</v>
      </c>
      <c r="F374" s="328" t="s">
        <v>62</v>
      </c>
      <c r="G374" s="258" t="s">
        <v>9</v>
      </c>
      <c r="H374" s="431">
        <f t="shared" si="247"/>
        <v>24</v>
      </c>
      <c r="I374" s="431">
        <f t="array" ref="I374">MAX((IF(MNU_CODIGO_ALIMENTO_ENTREGA=CONCATENATE($E374,"_","P_"),MNU_GRAMAJE_REQUERIDO_TIPOA,"")))</f>
        <v>100</v>
      </c>
      <c r="J374" s="259">
        <f t="shared" si="248"/>
        <v>5484</v>
      </c>
      <c r="K374" s="259">
        <f t="shared" si="249"/>
        <v>131616</v>
      </c>
      <c r="L374" s="452">
        <f t="shared" si="250"/>
        <v>170</v>
      </c>
      <c r="M374" s="452">
        <f t="shared" si="251"/>
        <v>8.2959999999999994</v>
      </c>
      <c r="N374" s="452">
        <f t="shared" si="252"/>
        <v>0.14620272000000001</v>
      </c>
      <c r="O374" s="452">
        <f t="shared" si="253"/>
        <v>178</v>
      </c>
      <c r="P374" s="260">
        <f t="shared" si="254"/>
        <v>22374720</v>
      </c>
      <c r="Q374" s="260">
        <f t="shared" si="255"/>
        <v>23427648</v>
      </c>
      <c r="R374" s="432">
        <f t="shared" si="256"/>
        <v>17</v>
      </c>
      <c r="S374" s="432">
        <f t="array" ref="S374">MAX((IF(MNU_CODIGO_ALIMENTO_ENTREGA=CONCATENATE($E374,"_","P_"),MNU_GRAMAJE_REQUERIDO_TIPOB,"")))</f>
        <v>100</v>
      </c>
      <c r="T374" s="261">
        <f t="shared" si="257"/>
        <v>6365</v>
      </c>
      <c r="U374" s="261">
        <f t="shared" si="258"/>
        <v>108205</v>
      </c>
      <c r="V374" s="452">
        <f t="shared" si="259"/>
        <v>170</v>
      </c>
      <c r="W374" s="452">
        <f t="shared" si="260"/>
        <v>8.2959999999999994</v>
      </c>
      <c r="X374" s="452">
        <f t="shared" si="261"/>
        <v>0.14620272000000001</v>
      </c>
      <c r="Y374" s="452">
        <f t="shared" si="262"/>
        <v>178</v>
      </c>
      <c r="Z374" s="262">
        <f t="shared" si="263"/>
        <v>18394850</v>
      </c>
      <c r="AA374" s="262">
        <f t="shared" si="264"/>
        <v>19260490</v>
      </c>
      <c r="AB374" s="431">
        <f t="shared" si="265"/>
        <v>17</v>
      </c>
      <c r="AC374" s="431">
        <f t="array" ref="AC374">MAX((IF(MNU_CODIGO_ALIMENTO_ENTREGA=CONCATENATE($E374,"_","P_"),MNU_GRAMAJE_REQUERIDO_TIPOC,"")))</f>
        <v>100</v>
      </c>
      <c r="AD374" s="259">
        <f t="shared" si="266"/>
        <v>5683</v>
      </c>
      <c r="AE374" s="259">
        <f t="shared" si="267"/>
        <v>96611</v>
      </c>
      <c r="AF374" s="452">
        <f t="shared" si="268"/>
        <v>170</v>
      </c>
      <c r="AG374" s="452">
        <f t="shared" si="269"/>
        <v>8.2959999999999994</v>
      </c>
      <c r="AH374" s="452">
        <f t="shared" si="270"/>
        <v>0.14620272000000001</v>
      </c>
      <c r="AI374" s="452">
        <f t="shared" si="271"/>
        <v>178</v>
      </c>
      <c r="AJ374" s="260">
        <f t="shared" si="272"/>
        <v>16423870</v>
      </c>
      <c r="AK374" s="260">
        <f t="shared" si="273"/>
        <v>17196758</v>
      </c>
      <c r="AL374" s="432">
        <f t="shared" si="274"/>
        <v>17</v>
      </c>
      <c r="AM374" s="432">
        <f t="array" ref="AM374">MAX((IF(MNU_CODIGO_ALIMENTO_ENTREGA=CONCATENATE($E374,"_","P_"),MNU_GRAMAJE_REQUERIDO_TIPOM,"")))</f>
        <v>100</v>
      </c>
      <c r="AN374" s="261">
        <f t="shared" si="275"/>
        <v>311</v>
      </c>
      <c r="AO374" s="261">
        <f t="shared" si="276"/>
        <v>5287</v>
      </c>
      <c r="AP374" s="452">
        <f t="shared" si="277"/>
        <v>170</v>
      </c>
      <c r="AQ374" s="452">
        <f t="shared" si="278"/>
        <v>8.2959999999999994</v>
      </c>
      <c r="AR374" s="452">
        <f t="shared" si="279"/>
        <v>0.14620272000000001</v>
      </c>
      <c r="AS374" s="452">
        <f t="shared" si="280"/>
        <v>178</v>
      </c>
      <c r="AT374" s="262">
        <f t="shared" si="281"/>
        <v>898790</v>
      </c>
      <c r="AU374" s="262">
        <f t="shared" si="282"/>
        <v>941086</v>
      </c>
      <c r="AV374" s="431">
        <f t="shared" si="283"/>
        <v>17</v>
      </c>
      <c r="AW374" s="431">
        <f t="array" ref="AW374">MAX((IF(MNU_CODIGO_ALIMENTO_ENTREGA=CONCATENATE($E374,"_","P_"),MNU_GRAMAJE_REQUERIDO_TIPOH,"")))</f>
        <v>100</v>
      </c>
      <c r="AX374" s="259">
        <f t="shared" si="284"/>
        <v>322</v>
      </c>
      <c r="AY374" s="259">
        <f t="shared" si="285"/>
        <v>5474</v>
      </c>
      <c r="AZ374" s="452">
        <f t="shared" si="286"/>
        <v>170</v>
      </c>
      <c r="BA374" s="452">
        <f t="shared" si="287"/>
        <v>8.2959999999999994</v>
      </c>
      <c r="BB374" s="452">
        <f t="shared" si="288"/>
        <v>0.14620272000000001</v>
      </c>
      <c r="BC374" s="452">
        <f t="shared" si="289"/>
        <v>178</v>
      </c>
      <c r="BD374" s="260">
        <f t="shared" si="290"/>
        <v>930580</v>
      </c>
      <c r="BE374" s="260">
        <f t="shared" si="291"/>
        <v>974372</v>
      </c>
      <c r="BF374" s="397">
        <f t="shared" si="292"/>
        <v>59022810</v>
      </c>
      <c r="BG374" s="397">
        <f t="shared" si="293"/>
        <v>61800354</v>
      </c>
    </row>
    <row r="375" spans="1:59" ht="15.75">
      <c r="A375" s="338">
        <v>28</v>
      </c>
      <c r="B375" s="338" t="str">
        <f t="shared" si="245"/>
        <v>FRUTA_28</v>
      </c>
      <c r="C375" s="338" t="str">
        <f t="shared" si="246"/>
        <v>46_28</v>
      </c>
      <c r="D375" s="338" t="s">
        <v>1</v>
      </c>
      <c r="E375" s="258">
        <v>46</v>
      </c>
      <c r="F375" s="328" t="s">
        <v>64</v>
      </c>
      <c r="G375" s="258" t="s">
        <v>9</v>
      </c>
      <c r="H375" s="431">
        <f t="shared" si="247"/>
        <v>30</v>
      </c>
      <c r="I375" s="431">
        <f t="array" ref="I375">MAX((IF(MNU_CODIGO_ALIMENTO_ENTREGA=CONCATENATE($E375,"_","P_"),MNU_GRAMAJE_REQUERIDO_TIPOA,"")))</f>
        <v>100</v>
      </c>
      <c r="J375" s="259">
        <f t="shared" si="248"/>
        <v>5484</v>
      </c>
      <c r="K375" s="259">
        <f t="shared" si="249"/>
        <v>164520</v>
      </c>
      <c r="L375" s="452">
        <f t="shared" si="250"/>
        <v>398</v>
      </c>
      <c r="M375" s="452">
        <f t="shared" si="251"/>
        <v>19.4224</v>
      </c>
      <c r="N375" s="452">
        <f t="shared" si="252"/>
        <v>0.34228636800000001</v>
      </c>
      <c r="O375" s="452">
        <f t="shared" si="253"/>
        <v>418</v>
      </c>
      <c r="P375" s="260">
        <f t="shared" si="254"/>
        <v>65478960</v>
      </c>
      <c r="Q375" s="260">
        <f t="shared" si="255"/>
        <v>68769360</v>
      </c>
      <c r="R375" s="432">
        <f t="shared" si="256"/>
        <v>21</v>
      </c>
      <c r="S375" s="432">
        <f t="array" ref="S375">MAX((IF(MNU_CODIGO_ALIMENTO_ENTREGA=CONCATENATE($E375,"_","P_"),MNU_GRAMAJE_REQUERIDO_TIPOB,"")))</f>
        <v>100</v>
      </c>
      <c r="T375" s="261">
        <f t="shared" si="257"/>
        <v>6365</v>
      </c>
      <c r="U375" s="261">
        <f t="shared" si="258"/>
        <v>133665</v>
      </c>
      <c r="V375" s="452">
        <f t="shared" si="259"/>
        <v>398</v>
      </c>
      <c r="W375" s="452">
        <f t="shared" si="260"/>
        <v>19.4224</v>
      </c>
      <c r="X375" s="452">
        <f t="shared" si="261"/>
        <v>0.34228636800000001</v>
      </c>
      <c r="Y375" s="452">
        <f t="shared" si="262"/>
        <v>418</v>
      </c>
      <c r="Z375" s="262">
        <f t="shared" si="263"/>
        <v>53198670</v>
      </c>
      <c r="AA375" s="262">
        <f t="shared" si="264"/>
        <v>55871970</v>
      </c>
      <c r="AB375" s="431">
        <f t="shared" si="265"/>
        <v>21</v>
      </c>
      <c r="AC375" s="431">
        <f t="array" ref="AC375">MAX((IF(MNU_CODIGO_ALIMENTO_ENTREGA=CONCATENATE($E375,"_","P_"),MNU_GRAMAJE_REQUERIDO_TIPOC,"")))</f>
        <v>100</v>
      </c>
      <c r="AD375" s="259">
        <f t="shared" si="266"/>
        <v>5683</v>
      </c>
      <c r="AE375" s="259">
        <f t="shared" si="267"/>
        <v>119343</v>
      </c>
      <c r="AF375" s="452">
        <f t="shared" si="268"/>
        <v>398</v>
      </c>
      <c r="AG375" s="452">
        <f t="shared" si="269"/>
        <v>19.4224</v>
      </c>
      <c r="AH375" s="452">
        <f t="shared" si="270"/>
        <v>0.34228636800000001</v>
      </c>
      <c r="AI375" s="452">
        <f t="shared" si="271"/>
        <v>418</v>
      </c>
      <c r="AJ375" s="260">
        <f t="shared" si="272"/>
        <v>47498514</v>
      </c>
      <c r="AK375" s="260">
        <f t="shared" si="273"/>
        <v>49885374</v>
      </c>
      <c r="AL375" s="432">
        <f t="shared" si="274"/>
        <v>21</v>
      </c>
      <c r="AM375" s="432">
        <f t="array" ref="AM375">MAX((IF(MNU_CODIGO_ALIMENTO_ENTREGA=CONCATENATE($E375,"_","P_"),MNU_GRAMAJE_REQUERIDO_TIPOM,"")))</f>
        <v>100</v>
      </c>
      <c r="AN375" s="261">
        <f t="shared" si="275"/>
        <v>311</v>
      </c>
      <c r="AO375" s="261">
        <f t="shared" si="276"/>
        <v>6531</v>
      </c>
      <c r="AP375" s="452">
        <f t="shared" si="277"/>
        <v>398</v>
      </c>
      <c r="AQ375" s="452">
        <f t="shared" si="278"/>
        <v>19.4224</v>
      </c>
      <c r="AR375" s="452">
        <f t="shared" si="279"/>
        <v>0.34228636800000001</v>
      </c>
      <c r="AS375" s="452">
        <f t="shared" si="280"/>
        <v>418</v>
      </c>
      <c r="AT375" s="262">
        <f t="shared" si="281"/>
        <v>2599338</v>
      </c>
      <c r="AU375" s="262">
        <f t="shared" si="282"/>
        <v>2729958</v>
      </c>
      <c r="AV375" s="431">
        <f t="shared" si="283"/>
        <v>21</v>
      </c>
      <c r="AW375" s="431">
        <f t="array" ref="AW375">MAX((IF(MNU_CODIGO_ALIMENTO_ENTREGA=CONCATENATE($E375,"_","P_"),MNU_GRAMAJE_REQUERIDO_TIPOH,"")))</f>
        <v>100</v>
      </c>
      <c r="AX375" s="259">
        <f t="shared" si="284"/>
        <v>322</v>
      </c>
      <c r="AY375" s="259">
        <f t="shared" si="285"/>
        <v>6762</v>
      </c>
      <c r="AZ375" s="452">
        <f t="shared" si="286"/>
        <v>398</v>
      </c>
      <c r="BA375" s="452">
        <f t="shared" si="287"/>
        <v>19.4224</v>
      </c>
      <c r="BB375" s="452">
        <f t="shared" si="288"/>
        <v>0.34228636800000001</v>
      </c>
      <c r="BC375" s="452">
        <f t="shared" si="289"/>
        <v>418</v>
      </c>
      <c r="BD375" s="260">
        <f t="shared" si="290"/>
        <v>2691276</v>
      </c>
      <c r="BE375" s="260">
        <f t="shared" si="291"/>
        <v>2826516</v>
      </c>
      <c r="BF375" s="397">
        <f t="shared" si="292"/>
        <v>171466758</v>
      </c>
      <c r="BG375" s="397">
        <f t="shared" si="293"/>
        <v>180083178</v>
      </c>
    </row>
    <row r="376" spans="1:59" ht="15.75">
      <c r="A376" s="338">
        <v>28</v>
      </c>
      <c r="B376" s="338" t="str">
        <f t="shared" si="245"/>
        <v>FRUTA_28</v>
      </c>
      <c r="C376" s="338" t="str">
        <f t="shared" si="246"/>
        <v>58_28</v>
      </c>
      <c r="D376" s="338" t="s">
        <v>1</v>
      </c>
      <c r="E376" s="258">
        <v>58</v>
      </c>
      <c r="F376" s="328" t="s">
        <v>67</v>
      </c>
      <c r="G376" s="258" t="s">
        <v>9</v>
      </c>
      <c r="H376" s="431">
        <f t="shared" si="247"/>
        <v>24</v>
      </c>
      <c r="I376" s="431">
        <f t="array" ref="I376">MAX((IF(MNU_CODIGO_ALIMENTO_ENTREGA=CONCATENATE($E376,"_","P_"),MNU_GRAMAJE_REQUERIDO_TIPOA,"")))</f>
        <v>100</v>
      </c>
      <c r="J376" s="259">
        <f t="shared" si="248"/>
        <v>5484</v>
      </c>
      <c r="K376" s="259">
        <f t="shared" si="249"/>
        <v>131616</v>
      </c>
      <c r="L376" s="452">
        <f t="shared" si="250"/>
        <v>154</v>
      </c>
      <c r="M376" s="452">
        <f t="shared" si="251"/>
        <v>7.515200000000001</v>
      </c>
      <c r="N376" s="452">
        <f t="shared" si="252"/>
        <v>0.13244246400000001</v>
      </c>
      <c r="O376" s="452">
        <f t="shared" si="253"/>
        <v>162</v>
      </c>
      <c r="P376" s="260">
        <f t="shared" si="254"/>
        <v>20268864</v>
      </c>
      <c r="Q376" s="260">
        <f t="shared" si="255"/>
        <v>21321792</v>
      </c>
      <c r="R376" s="432">
        <f t="shared" si="256"/>
        <v>23</v>
      </c>
      <c r="S376" s="432">
        <f t="array" ref="S376">MAX((IF(MNU_CODIGO_ALIMENTO_ENTREGA=CONCATENATE($E376,"_","P_"),MNU_GRAMAJE_REQUERIDO_TIPOB,"")))</f>
        <v>100</v>
      </c>
      <c r="T376" s="261">
        <f t="shared" si="257"/>
        <v>6365</v>
      </c>
      <c r="U376" s="261">
        <f t="shared" si="258"/>
        <v>146395</v>
      </c>
      <c r="V376" s="452">
        <f t="shared" si="259"/>
        <v>154</v>
      </c>
      <c r="W376" s="452">
        <f t="shared" si="260"/>
        <v>7.515200000000001</v>
      </c>
      <c r="X376" s="452">
        <f t="shared" si="261"/>
        <v>0.13244246400000001</v>
      </c>
      <c r="Y376" s="452">
        <f t="shared" si="262"/>
        <v>162</v>
      </c>
      <c r="Z376" s="262">
        <f t="shared" si="263"/>
        <v>22544830</v>
      </c>
      <c r="AA376" s="262">
        <f t="shared" si="264"/>
        <v>23715990</v>
      </c>
      <c r="AB376" s="431">
        <f t="shared" si="265"/>
        <v>23</v>
      </c>
      <c r="AC376" s="431">
        <f t="array" ref="AC376">MAX((IF(MNU_CODIGO_ALIMENTO_ENTREGA=CONCATENATE($E376,"_","P_"),MNU_GRAMAJE_REQUERIDO_TIPOC,"")))</f>
        <v>100</v>
      </c>
      <c r="AD376" s="259">
        <f t="shared" si="266"/>
        <v>5683</v>
      </c>
      <c r="AE376" s="259">
        <f t="shared" si="267"/>
        <v>130709</v>
      </c>
      <c r="AF376" s="452">
        <f t="shared" si="268"/>
        <v>154</v>
      </c>
      <c r="AG376" s="452">
        <f t="shared" si="269"/>
        <v>7.515200000000001</v>
      </c>
      <c r="AH376" s="452">
        <f t="shared" si="270"/>
        <v>0.13244246400000001</v>
      </c>
      <c r="AI376" s="452">
        <f t="shared" si="271"/>
        <v>162</v>
      </c>
      <c r="AJ376" s="260">
        <f t="shared" si="272"/>
        <v>20129186</v>
      </c>
      <c r="AK376" s="260">
        <f t="shared" si="273"/>
        <v>21174858</v>
      </c>
      <c r="AL376" s="432">
        <f t="shared" si="274"/>
        <v>23</v>
      </c>
      <c r="AM376" s="432">
        <f t="array" ref="AM376">MAX((IF(MNU_CODIGO_ALIMENTO_ENTREGA=CONCATENATE($E376,"_","P_"),MNU_GRAMAJE_REQUERIDO_TIPOM,"")))</f>
        <v>100</v>
      </c>
      <c r="AN376" s="261">
        <f t="shared" si="275"/>
        <v>311</v>
      </c>
      <c r="AO376" s="261">
        <f t="shared" si="276"/>
        <v>7153</v>
      </c>
      <c r="AP376" s="452">
        <f t="shared" si="277"/>
        <v>154</v>
      </c>
      <c r="AQ376" s="452">
        <f t="shared" si="278"/>
        <v>7.515200000000001</v>
      </c>
      <c r="AR376" s="452">
        <f t="shared" si="279"/>
        <v>0.13244246400000001</v>
      </c>
      <c r="AS376" s="452">
        <f t="shared" si="280"/>
        <v>162</v>
      </c>
      <c r="AT376" s="262">
        <f t="shared" si="281"/>
        <v>1101562</v>
      </c>
      <c r="AU376" s="262">
        <f t="shared" si="282"/>
        <v>1158786</v>
      </c>
      <c r="AV376" s="431">
        <f t="shared" si="283"/>
        <v>23</v>
      </c>
      <c r="AW376" s="431">
        <f t="array" ref="AW376">MAX((IF(MNU_CODIGO_ALIMENTO_ENTREGA=CONCATENATE($E376,"_","P_"),MNU_GRAMAJE_REQUERIDO_TIPOH,"")))</f>
        <v>100</v>
      </c>
      <c r="AX376" s="259">
        <f t="shared" si="284"/>
        <v>322</v>
      </c>
      <c r="AY376" s="259">
        <f t="shared" si="285"/>
        <v>7406</v>
      </c>
      <c r="AZ376" s="452">
        <f t="shared" si="286"/>
        <v>154</v>
      </c>
      <c r="BA376" s="452">
        <f t="shared" si="287"/>
        <v>7.515200000000001</v>
      </c>
      <c r="BB376" s="452">
        <f t="shared" si="288"/>
        <v>0.13244246400000001</v>
      </c>
      <c r="BC376" s="452">
        <f t="shared" si="289"/>
        <v>162</v>
      </c>
      <c r="BD376" s="260">
        <f t="shared" si="290"/>
        <v>1140524</v>
      </c>
      <c r="BE376" s="260">
        <f t="shared" si="291"/>
        <v>1199772</v>
      </c>
      <c r="BF376" s="397">
        <f t="shared" si="292"/>
        <v>65184966</v>
      </c>
      <c r="BG376" s="397">
        <f t="shared" si="293"/>
        <v>68571198</v>
      </c>
    </row>
    <row r="377" spans="1:59" ht="15.75">
      <c r="A377" s="338">
        <v>28</v>
      </c>
      <c r="B377" s="338" t="str">
        <f t="shared" si="245"/>
        <v>FRUTA_28</v>
      </c>
      <c r="C377" s="338" t="str">
        <f t="shared" si="246"/>
        <v>59_28</v>
      </c>
      <c r="D377" s="338" t="s">
        <v>1</v>
      </c>
      <c r="E377" s="258">
        <v>59</v>
      </c>
      <c r="F377" s="328" t="s">
        <v>99</v>
      </c>
      <c r="G377" s="258" t="s">
        <v>9</v>
      </c>
      <c r="H377" s="431">
        <f t="shared" si="247"/>
        <v>0</v>
      </c>
      <c r="I377" s="431">
        <f t="array" ref="I377">MAX((IF(MNU_CODIGO_ALIMENTO_ENTREGA=CONCATENATE($E377,"_","P_"),MNU_GRAMAJE_REQUERIDO_TIPOA,"")))</f>
        <v>0</v>
      </c>
      <c r="J377" s="259">
        <f t="shared" si="248"/>
        <v>5484</v>
      </c>
      <c r="K377" s="259">
        <f t="shared" si="249"/>
        <v>0</v>
      </c>
      <c r="L377" s="452">
        <f t="shared" si="250"/>
        <v>0</v>
      </c>
      <c r="M377" s="452">
        <f t="shared" si="251"/>
        <v>0</v>
      </c>
      <c r="N377" s="452">
        <f t="shared" si="252"/>
        <v>0</v>
      </c>
      <c r="O377" s="452">
        <f t="shared" si="253"/>
        <v>0</v>
      </c>
      <c r="P377" s="260">
        <f t="shared" si="254"/>
        <v>0</v>
      </c>
      <c r="Q377" s="260">
        <f t="shared" si="255"/>
        <v>0</v>
      </c>
      <c r="R377" s="432">
        <f t="shared" si="256"/>
        <v>8</v>
      </c>
      <c r="S377" s="432">
        <f t="array" ref="S377">MAX((IF(MNU_CODIGO_ALIMENTO_ENTREGA=CONCATENATE($E377,"_","P_"),MNU_GRAMAJE_REQUERIDO_TIPOB,"")))</f>
        <v>100</v>
      </c>
      <c r="T377" s="261">
        <f t="shared" si="257"/>
        <v>6365</v>
      </c>
      <c r="U377" s="261">
        <f t="shared" si="258"/>
        <v>50920</v>
      </c>
      <c r="V377" s="452">
        <f t="shared" si="259"/>
        <v>286</v>
      </c>
      <c r="W377" s="452">
        <f t="shared" si="260"/>
        <v>13.956800000000001</v>
      </c>
      <c r="X377" s="452">
        <f t="shared" si="261"/>
        <v>0.24596457599999999</v>
      </c>
      <c r="Y377" s="452">
        <f t="shared" si="262"/>
        <v>300</v>
      </c>
      <c r="Z377" s="262">
        <f t="shared" si="263"/>
        <v>14563120</v>
      </c>
      <c r="AA377" s="262">
        <f t="shared" si="264"/>
        <v>15276000</v>
      </c>
      <c r="AB377" s="431">
        <f t="shared" si="265"/>
        <v>8</v>
      </c>
      <c r="AC377" s="431">
        <f t="array" ref="AC377">MAX((IF(MNU_CODIGO_ALIMENTO_ENTREGA=CONCATENATE($E377,"_","P_"),MNU_GRAMAJE_REQUERIDO_TIPOC,"")))</f>
        <v>100</v>
      </c>
      <c r="AD377" s="259">
        <f t="shared" si="266"/>
        <v>5683</v>
      </c>
      <c r="AE377" s="259">
        <f t="shared" si="267"/>
        <v>45464</v>
      </c>
      <c r="AF377" s="452">
        <f t="shared" si="268"/>
        <v>286</v>
      </c>
      <c r="AG377" s="452">
        <f t="shared" si="269"/>
        <v>13.956800000000001</v>
      </c>
      <c r="AH377" s="452">
        <f t="shared" si="270"/>
        <v>0.24596457599999999</v>
      </c>
      <c r="AI377" s="452">
        <f t="shared" si="271"/>
        <v>300</v>
      </c>
      <c r="AJ377" s="260">
        <f t="shared" si="272"/>
        <v>13002704</v>
      </c>
      <c r="AK377" s="260">
        <f t="shared" si="273"/>
        <v>13639200</v>
      </c>
      <c r="AL377" s="432">
        <f t="shared" si="274"/>
        <v>8</v>
      </c>
      <c r="AM377" s="432">
        <f t="array" ref="AM377">MAX((IF(MNU_CODIGO_ALIMENTO_ENTREGA=CONCATENATE($E377,"_","P_"),MNU_GRAMAJE_REQUERIDO_TIPOM,"")))</f>
        <v>100</v>
      </c>
      <c r="AN377" s="261">
        <f t="shared" si="275"/>
        <v>311</v>
      </c>
      <c r="AO377" s="261">
        <f t="shared" si="276"/>
        <v>2488</v>
      </c>
      <c r="AP377" s="452">
        <f t="shared" si="277"/>
        <v>286</v>
      </c>
      <c r="AQ377" s="452">
        <f t="shared" si="278"/>
        <v>13.956800000000001</v>
      </c>
      <c r="AR377" s="452">
        <f t="shared" si="279"/>
        <v>0.24596457599999999</v>
      </c>
      <c r="AS377" s="452">
        <f t="shared" si="280"/>
        <v>300</v>
      </c>
      <c r="AT377" s="262">
        <f t="shared" si="281"/>
        <v>711568</v>
      </c>
      <c r="AU377" s="262">
        <f t="shared" si="282"/>
        <v>746400</v>
      </c>
      <c r="AV377" s="431">
        <f t="shared" si="283"/>
        <v>8</v>
      </c>
      <c r="AW377" s="431">
        <f t="array" ref="AW377">MAX((IF(MNU_CODIGO_ALIMENTO_ENTREGA=CONCATENATE($E377,"_","P_"),MNU_GRAMAJE_REQUERIDO_TIPOH,"")))</f>
        <v>100</v>
      </c>
      <c r="AX377" s="259">
        <f t="shared" si="284"/>
        <v>322</v>
      </c>
      <c r="AY377" s="259">
        <f t="shared" si="285"/>
        <v>2576</v>
      </c>
      <c r="AZ377" s="452">
        <f t="shared" si="286"/>
        <v>286</v>
      </c>
      <c r="BA377" s="452">
        <f t="shared" si="287"/>
        <v>13.956800000000001</v>
      </c>
      <c r="BB377" s="452">
        <f t="shared" si="288"/>
        <v>0.24596457599999999</v>
      </c>
      <c r="BC377" s="452">
        <f t="shared" si="289"/>
        <v>300</v>
      </c>
      <c r="BD377" s="260">
        <f t="shared" si="290"/>
        <v>736736</v>
      </c>
      <c r="BE377" s="260">
        <f t="shared" si="291"/>
        <v>772800</v>
      </c>
      <c r="BF377" s="397">
        <f t="shared" si="292"/>
        <v>29014128</v>
      </c>
      <c r="BG377" s="397">
        <f t="shared" si="293"/>
        <v>30434400</v>
      </c>
    </row>
    <row r="378" spans="1:59" ht="15.75">
      <c r="A378" s="338">
        <v>28</v>
      </c>
      <c r="B378" s="338" t="str">
        <f t="shared" si="245"/>
        <v>FRUTA_28</v>
      </c>
      <c r="C378" s="338" t="str">
        <f t="shared" si="246"/>
        <v>69_28</v>
      </c>
      <c r="D378" s="338" t="s">
        <v>1</v>
      </c>
      <c r="E378" s="258">
        <v>69</v>
      </c>
      <c r="F378" s="328" t="s">
        <v>70</v>
      </c>
      <c r="G378" s="258" t="s">
        <v>9</v>
      </c>
      <c r="H378" s="431">
        <f t="shared" si="247"/>
        <v>30</v>
      </c>
      <c r="I378" s="431">
        <f t="array" ref="I378">MAX((IF(MNU_CODIGO_ALIMENTO_ENTREGA=CONCATENATE($E378,"_","P_"),MNU_GRAMAJE_REQUERIDO_TIPOA,"")))</f>
        <v>100</v>
      </c>
      <c r="J378" s="259">
        <f t="shared" si="248"/>
        <v>5484</v>
      </c>
      <c r="K378" s="259">
        <f t="shared" si="249"/>
        <v>164520</v>
      </c>
      <c r="L378" s="452">
        <f t="shared" si="250"/>
        <v>305</v>
      </c>
      <c r="M378" s="452">
        <f t="shared" si="251"/>
        <v>14.884</v>
      </c>
      <c r="N378" s="452">
        <f t="shared" si="252"/>
        <v>0.26230488000000002</v>
      </c>
      <c r="O378" s="452">
        <f t="shared" si="253"/>
        <v>320</v>
      </c>
      <c r="P378" s="260">
        <f t="shared" si="254"/>
        <v>50178600</v>
      </c>
      <c r="Q378" s="260">
        <f t="shared" si="255"/>
        <v>52646400</v>
      </c>
      <c r="R378" s="432">
        <f t="shared" si="256"/>
        <v>16</v>
      </c>
      <c r="S378" s="432">
        <f t="array" ref="S378">MAX((IF(MNU_CODIGO_ALIMENTO_ENTREGA=CONCATENATE($E378,"_","P_"),MNU_GRAMAJE_REQUERIDO_TIPOB,"")))</f>
        <v>100</v>
      </c>
      <c r="T378" s="261">
        <f t="shared" si="257"/>
        <v>6365</v>
      </c>
      <c r="U378" s="261">
        <f t="shared" si="258"/>
        <v>101840</v>
      </c>
      <c r="V378" s="452">
        <f t="shared" si="259"/>
        <v>305</v>
      </c>
      <c r="W378" s="452">
        <f t="shared" si="260"/>
        <v>14.884</v>
      </c>
      <c r="X378" s="452">
        <f t="shared" si="261"/>
        <v>0.26230488000000002</v>
      </c>
      <c r="Y378" s="452">
        <f t="shared" si="262"/>
        <v>320</v>
      </c>
      <c r="Z378" s="262">
        <f t="shared" si="263"/>
        <v>31061200</v>
      </c>
      <c r="AA378" s="262">
        <f t="shared" si="264"/>
        <v>32588800</v>
      </c>
      <c r="AB378" s="431">
        <f t="shared" si="265"/>
        <v>16</v>
      </c>
      <c r="AC378" s="431">
        <f t="array" ref="AC378">MAX((IF(MNU_CODIGO_ALIMENTO_ENTREGA=CONCATENATE($E378,"_","P_"),MNU_GRAMAJE_REQUERIDO_TIPOC,"")))</f>
        <v>100</v>
      </c>
      <c r="AD378" s="259">
        <f t="shared" si="266"/>
        <v>5683</v>
      </c>
      <c r="AE378" s="259">
        <f t="shared" si="267"/>
        <v>90928</v>
      </c>
      <c r="AF378" s="452">
        <f t="shared" si="268"/>
        <v>305</v>
      </c>
      <c r="AG378" s="452">
        <f t="shared" si="269"/>
        <v>14.884</v>
      </c>
      <c r="AH378" s="452">
        <f t="shared" si="270"/>
        <v>0.26230488000000002</v>
      </c>
      <c r="AI378" s="452">
        <f t="shared" si="271"/>
        <v>320</v>
      </c>
      <c r="AJ378" s="260">
        <f t="shared" si="272"/>
        <v>27733040</v>
      </c>
      <c r="AK378" s="260">
        <f t="shared" si="273"/>
        <v>29096960</v>
      </c>
      <c r="AL378" s="432">
        <f t="shared" si="274"/>
        <v>16</v>
      </c>
      <c r="AM378" s="432">
        <f t="array" ref="AM378">MAX((IF(MNU_CODIGO_ALIMENTO_ENTREGA=CONCATENATE($E378,"_","P_"),MNU_GRAMAJE_REQUERIDO_TIPOM,"")))</f>
        <v>100</v>
      </c>
      <c r="AN378" s="261">
        <f t="shared" si="275"/>
        <v>311</v>
      </c>
      <c r="AO378" s="261">
        <f t="shared" si="276"/>
        <v>4976</v>
      </c>
      <c r="AP378" s="452">
        <f t="shared" si="277"/>
        <v>305</v>
      </c>
      <c r="AQ378" s="452">
        <f t="shared" si="278"/>
        <v>14.884</v>
      </c>
      <c r="AR378" s="452">
        <f t="shared" si="279"/>
        <v>0.26230488000000002</v>
      </c>
      <c r="AS378" s="452">
        <f t="shared" si="280"/>
        <v>320</v>
      </c>
      <c r="AT378" s="262">
        <f t="shared" si="281"/>
        <v>1517680</v>
      </c>
      <c r="AU378" s="262">
        <f t="shared" si="282"/>
        <v>1592320</v>
      </c>
      <c r="AV378" s="431">
        <f t="shared" si="283"/>
        <v>16</v>
      </c>
      <c r="AW378" s="431">
        <f t="array" ref="AW378">MAX((IF(MNU_CODIGO_ALIMENTO_ENTREGA=CONCATENATE($E378,"_","P_"),MNU_GRAMAJE_REQUERIDO_TIPOH,"")))</f>
        <v>100</v>
      </c>
      <c r="AX378" s="259">
        <f t="shared" si="284"/>
        <v>322</v>
      </c>
      <c r="AY378" s="259">
        <f t="shared" si="285"/>
        <v>5152</v>
      </c>
      <c r="AZ378" s="452">
        <f t="shared" si="286"/>
        <v>305</v>
      </c>
      <c r="BA378" s="452">
        <f t="shared" si="287"/>
        <v>14.884</v>
      </c>
      <c r="BB378" s="452">
        <f t="shared" si="288"/>
        <v>0.26230488000000002</v>
      </c>
      <c r="BC378" s="452">
        <f t="shared" si="289"/>
        <v>320</v>
      </c>
      <c r="BD378" s="260">
        <f t="shared" si="290"/>
        <v>1571360</v>
      </c>
      <c r="BE378" s="260">
        <f t="shared" si="291"/>
        <v>1648640</v>
      </c>
      <c r="BF378" s="397">
        <f t="shared" si="292"/>
        <v>112061880</v>
      </c>
      <c r="BG378" s="397">
        <f t="shared" si="293"/>
        <v>117573120</v>
      </c>
    </row>
    <row r="379" spans="1:59" ht="15.75">
      <c r="A379" s="338">
        <v>28</v>
      </c>
      <c r="B379" s="338" t="str">
        <f t="shared" si="245"/>
        <v>FRUTA_28</v>
      </c>
      <c r="C379" s="338" t="str">
        <f t="shared" si="246"/>
        <v>70_28</v>
      </c>
      <c r="D379" s="338" t="s">
        <v>1</v>
      </c>
      <c r="E379" s="258">
        <v>70</v>
      </c>
      <c r="F379" s="328" t="s">
        <v>71</v>
      </c>
      <c r="G379" s="258" t="s">
        <v>9</v>
      </c>
      <c r="H379" s="431">
        <f t="shared" si="247"/>
        <v>0</v>
      </c>
      <c r="I379" s="431">
        <f t="array" ref="I379">MAX((IF(MNU_CODIGO_ALIMENTO_ENTREGA=CONCATENATE($E379,"_","P_"),MNU_GRAMAJE_REQUERIDO_TIPOA,"")))</f>
        <v>0</v>
      </c>
      <c r="J379" s="259">
        <f t="shared" si="248"/>
        <v>5484</v>
      </c>
      <c r="K379" s="259">
        <f t="shared" si="249"/>
        <v>0</v>
      </c>
      <c r="L379" s="452">
        <f t="shared" si="250"/>
        <v>0</v>
      </c>
      <c r="M379" s="452">
        <f t="shared" si="251"/>
        <v>0</v>
      </c>
      <c r="N379" s="452">
        <f t="shared" si="252"/>
        <v>0</v>
      </c>
      <c r="O379" s="452">
        <f t="shared" si="253"/>
        <v>0</v>
      </c>
      <c r="P379" s="260">
        <f t="shared" si="254"/>
        <v>0</v>
      </c>
      <c r="Q379" s="260">
        <f t="shared" si="255"/>
        <v>0</v>
      </c>
      <c r="R379" s="432">
        <f t="shared" si="256"/>
        <v>10</v>
      </c>
      <c r="S379" s="432">
        <f t="array" ref="S379">MAX((IF(MNU_CODIGO_ALIMENTO_ENTREGA=CONCATENATE($E379,"_","P_"),MNU_GRAMAJE_REQUERIDO_TIPOB,"")))</f>
        <v>100</v>
      </c>
      <c r="T379" s="261">
        <f t="shared" si="257"/>
        <v>6365</v>
      </c>
      <c r="U379" s="261">
        <f t="shared" si="258"/>
        <v>63650</v>
      </c>
      <c r="V379" s="452">
        <f t="shared" si="259"/>
        <v>434</v>
      </c>
      <c r="W379" s="452">
        <f t="shared" si="260"/>
        <v>21.179200000000002</v>
      </c>
      <c r="X379" s="452">
        <f t="shared" si="261"/>
        <v>0.37324694399999997</v>
      </c>
      <c r="Y379" s="452">
        <f t="shared" si="262"/>
        <v>456</v>
      </c>
      <c r="Z379" s="262">
        <f t="shared" si="263"/>
        <v>27624100</v>
      </c>
      <c r="AA379" s="262">
        <f t="shared" si="264"/>
        <v>29024400</v>
      </c>
      <c r="AB379" s="431">
        <f t="shared" si="265"/>
        <v>10</v>
      </c>
      <c r="AC379" s="431">
        <f t="array" ref="AC379">MAX((IF(MNU_CODIGO_ALIMENTO_ENTREGA=CONCATENATE($E379,"_","P_"),MNU_GRAMAJE_REQUERIDO_TIPOC,"")))</f>
        <v>100</v>
      </c>
      <c r="AD379" s="259">
        <f t="shared" si="266"/>
        <v>5683</v>
      </c>
      <c r="AE379" s="259">
        <f t="shared" si="267"/>
        <v>56830</v>
      </c>
      <c r="AF379" s="452">
        <f t="shared" si="268"/>
        <v>434</v>
      </c>
      <c r="AG379" s="452">
        <f t="shared" si="269"/>
        <v>21.179200000000002</v>
      </c>
      <c r="AH379" s="452">
        <f t="shared" si="270"/>
        <v>0.37324694399999997</v>
      </c>
      <c r="AI379" s="452">
        <f t="shared" si="271"/>
        <v>456</v>
      </c>
      <c r="AJ379" s="260">
        <f t="shared" si="272"/>
        <v>24664220</v>
      </c>
      <c r="AK379" s="260">
        <f t="shared" si="273"/>
        <v>25914480</v>
      </c>
      <c r="AL379" s="432">
        <f t="shared" si="274"/>
        <v>10</v>
      </c>
      <c r="AM379" s="432">
        <f t="array" ref="AM379">MAX((IF(MNU_CODIGO_ALIMENTO_ENTREGA=CONCATENATE($E379,"_","P_"),MNU_GRAMAJE_REQUERIDO_TIPOM,"")))</f>
        <v>100</v>
      </c>
      <c r="AN379" s="261">
        <f t="shared" si="275"/>
        <v>311</v>
      </c>
      <c r="AO379" s="261">
        <f t="shared" si="276"/>
        <v>3110</v>
      </c>
      <c r="AP379" s="452">
        <f t="shared" si="277"/>
        <v>434</v>
      </c>
      <c r="AQ379" s="452">
        <f t="shared" si="278"/>
        <v>21.179200000000002</v>
      </c>
      <c r="AR379" s="452">
        <f t="shared" si="279"/>
        <v>0.37324694399999997</v>
      </c>
      <c r="AS379" s="452">
        <f t="shared" si="280"/>
        <v>456</v>
      </c>
      <c r="AT379" s="262">
        <f t="shared" si="281"/>
        <v>1349740</v>
      </c>
      <c r="AU379" s="262">
        <f t="shared" si="282"/>
        <v>1418160</v>
      </c>
      <c r="AV379" s="431">
        <f t="shared" si="283"/>
        <v>10</v>
      </c>
      <c r="AW379" s="431">
        <f t="array" ref="AW379">MAX((IF(MNU_CODIGO_ALIMENTO_ENTREGA=CONCATENATE($E379,"_","P_"),MNU_GRAMAJE_REQUERIDO_TIPOH,"")))</f>
        <v>100</v>
      </c>
      <c r="AX379" s="259">
        <f t="shared" si="284"/>
        <v>322</v>
      </c>
      <c r="AY379" s="259">
        <f t="shared" si="285"/>
        <v>3220</v>
      </c>
      <c r="AZ379" s="452">
        <f t="shared" si="286"/>
        <v>434</v>
      </c>
      <c r="BA379" s="452">
        <f t="shared" si="287"/>
        <v>21.179200000000002</v>
      </c>
      <c r="BB379" s="452">
        <f t="shared" si="288"/>
        <v>0.37324694399999997</v>
      </c>
      <c r="BC379" s="452">
        <f t="shared" si="289"/>
        <v>456</v>
      </c>
      <c r="BD379" s="260">
        <f t="shared" si="290"/>
        <v>1397480</v>
      </c>
      <c r="BE379" s="260">
        <f t="shared" si="291"/>
        <v>1468320</v>
      </c>
      <c r="BF379" s="397">
        <f t="shared" si="292"/>
        <v>55035540</v>
      </c>
      <c r="BG379" s="397">
        <f t="shared" si="293"/>
        <v>57825360</v>
      </c>
    </row>
    <row r="380" spans="1:59" ht="15.75">
      <c r="A380" s="338">
        <v>29</v>
      </c>
      <c r="B380" s="338" t="str">
        <f t="shared" ref="B380:B405" si="294">CONCATENATE(D380,"_",A380)</f>
        <v>FRUTA_29</v>
      </c>
      <c r="C380" s="338" t="str">
        <f t="shared" ref="C380:C405" si="295">CONCATENATE(E380,"_",A380)</f>
        <v>7_29</v>
      </c>
      <c r="D380" s="338" t="s">
        <v>1</v>
      </c>
      <c r="E380" s="258">
        <v>7</v>
      </c>
      <c r="F380" s="328" t="s">
        <v>57</v>
      </c>
      <c r="G380" s="258" t="s">
        <v>9</v>
      </c>
      <c r="H380" s="431">
        <f t="shared" ref="H380:H405" si="296">SUMIF(MNU_CODIGO_ALIMENTO_ENTREGA,CONCATENATE($E380,"_","P_"),MNU_FRECUENCIAS_LAV_TIPOA)</f>
        <v>22</v>
      </c>
      <c r="I380" s="431">
        <f t="array" ref="I380">MAX((IF(MNU_CODIGO_ALIMENTO_ENTREGA=CONCATENATE($E380,"_","P_"),MNU_GRAMAJE_REQUERIDO_TIPOA,"")))</f>
        <v>100</v>
      </c>
      <c r="J380" s="259">
        <f t="shared" ref="J380:J405" si="297">SUMIF(VOL_GRUPO,CONCATENATE($A380,"1052-1NO"),VOL_TIPOA)</f>
        <v>5992</v>
      </c>
      <c r="K380" s="259">
        <f t="shared" ref="K380:K405" si="298">H380*J380</f>
        <v>131824</v>
      </c>
      <c r="L380" s="452">
        <f t="shared" ref="L380:L405" si="299">IF(ISERROR(AVERAGEIFS(MNU_COSTO_UNITARIO_TIPOA_SELECCIONADO,MNU_CODIGO_ALIMENTO_ENTREGA,CONCATENATE($E380,"_","P_"))),0,AVERAGEIFS(MNU_COSTO_UNITARIO_TIPOA_SELECCIONADO,MNU_CODIGO_ALIMENTO_ENTREGA,CONCATENATE($E380,"_","P_")))</f>
        <v>107</v>
      </c>
      <c r="M380" s="452">
        <f t="shared" ref="M380:M405" si="300">(L380*0.01)+(L380*0.005)+(L380*0.02)+(L380*(13.8/1000))</f>
        <v>5.2216000000000005</v>
      </c>
      <c r="N380" s="452">
        <f t="shared" ref="N380:N405" si="301">((L380+M380)*0.00071)+((L380+M380)*0.00011)</f>
        <v>9.2021712000000006E-2</v>
      </c>
      <c r="O380" s="452">
        <f t="shared" ref="O380:O405" si="302">ROUND(L380+M380+N380,0)</f>
        <v>112</v>
      </c>
      <c r="P380" s="260">
        <f t="shared" ref="P380:P405" si="303">H380*J380*L380</f>
        <v>14105168</v>
      </c>
      <c r="Q380" s="260">
        <f t="shared" ref="Q380:Q405" si="304">H380*J380*O380</f>
        <v>14764288</v>
      </c>
      <c r="R380" s="432">
        <f t="shared" ref="R380:R405" si="305">SUMIF(MNU_CODIGO_ALIMENTO_ENTREGA,CONCATENATE($E380,"_","P_"),MNU_FRECUENCIAS_LAV_TIPOB)</f>
        <v>9</v>
      </c>
      <c r="S380" s="432">
        <f t="array" ref="S380">MAX((IF(MNU_CODIGO_ALIMENTO_ENTREGA=CONCATENATE($E380,"_","P_"),MNU_GRAMAJE_REQUERIDO_TIPOB,"")))</f>
        <v>100</v>
      </c>
      <c r="T380" s="261">
        <f t="shared" ref="T380:T405" si="306">SUMIF(VOL_GRUPO,CONCATENATE($A380,"1052-1NO"),VOL_TIPOB)</f>
        <v>7665</v>
      </c>
      <c r="U380" s="261">
        <f t="shared" ref="U380:U405" si="307">R380*T380</f>
        <v>68985</v>
      </c>
      <c r="V380" s="452">
        <f t="shared" ref="V380:V405" si="308">IF(ISERROR(AVERAGEIFS(MNU_COSTO_UNITARIO_TIPOB_SELECCIONADO,MNU_CODIGO_ALIMENTO_ENTREGA,CONCATENATE($E380,"_","P_"))),0,AVERAGEIFS(MNU_COSTO_UNITARIO_TIPOB_SELECCIONADO,MNU_CODIGO_ALIMENTO_ENTREGA,CONCATENATE($E380,"_","P_")))</f>
        <v>107</v>
      </c>
      <c r="W380" s="452">
        <f t="shared" ref="W380:W405" si="309">(V380*0.01)+(V380*0.005)+(V380*0.02)+(V380*(13.8/1000))</f>
        <v>5.2216000000000005</v>
      </c>
      <c r="X380" s="452">
        <f t="shared" ref="X380:X405" si="310">((V380+W380)*0.00071)+((V380+W380)*0.00011)</f>
        <v>9.2021712000000006E-2</v>
      </c>
      <c r="Y380" s="452">
        <f t="shared" ref="Y380:Y405" si="311">ROUND(V380+W380+X380,0)</f>
        <v>112</v>
      </c>
      <c r="Z380" s="262">
        <f t="shared" ref="Z380:Z405" si="312">R380*T380*V380</f>
        <v>7381395</v>
      </c>
      <c r="AA380" s="262">
        <f t="shared" ref="AA380:AA405" si="313">R380*T380*Y380</f>
        <v>7726320</v>
      </c>
      <c r="AB380" s="431">
        <f t="shared" ref="AB380:AB405" si="314">SUMIF(MNU_CODIGO_ALIMENTO_ENTREGA,CONCATENATE($E380,"_","P_"),MNU_FRECUENCIAS_LAV_TIPOC)</f>
        <v>9</v>
      </c>
      <c r="AC380" s="431">
        <f t="array" ref="AC380">MAX((IF(MNU_CODIGO_ALIMENTO_ENTREGA=CONCATENATE($E380,"_","P_"),MNU_GRAMAJE_REQUERIDO_TIPOC,"")))</f>
        <v>100</v>
      </c>
      <c r="AD380" s="259">
        <f t="shared" ref="AD380:AD405" si="315">SUMIF(VOL_GRUPO,CONCATENATE($A380,"1052-1NO"),VOL_TIPOC)</f>
        <v>9331</v>
      </c>
      <c r="AE380" s="259">
        <f t="shared" ref="AE380:AE405" si="316">AB380*AD380</f>
        <v>83979</v>
      </c>
      <c r="AF380" s="452">
        <f t="shared" ref="AF380:AF405" si="317">IF(ISERROR(AVERAGEIFS(MNU_COSTO_UNITARIO_TIPOC_SELECCIONADO,MNU_CODIGO_ALIMENTO_ENTREGA,CONCATENATE($E380,"_","P_"))),0,AVERAGEIFS(MNU_COSTO_UNITARIO_TIPOC_SELECCIONADO,MNU_CODIGO_ALIMENTO_ENTREGA,CONCATENATE($E380,"_","P_")))</f>
        <v>107</v>
      </c>
      <c r="AG380" s="452">
        <f t="shared" ref="AG380:AG405" si="318">(AF380*0.01)+(AF380*0.005)+(AF380*0.02)+(AF380*(13.8/1000))</f>
        <v>5.2216000000000005</v>
      </c>
      <c r="AH380" s="452">
        <f t="shared" ref="AH380:AH405" si="319">((AF380+AG380)*0.00071)+((AF380+AG380)*0.00011)</f>
        <v>9.2021712000000006E-2</v>
      </c>
      <c r="AI380" s="452">
        <f t="shared" ref="AI380:AI405" si="320">ROUND(AF380+AG380+AH380,0)</f>
        <v>112</v>
      </c>
      <c r="AJ380" s="260">
        <f t="shared" ref="AJ380:AJ405" si="321">AB380*AD380*AF380</f>
        <v>8985753</v>
      </c>
      <c r="AK380" s="260">
        <f t="shared" ref="AK380:AK405" si="322">AB380*AD380*AI380</f>
        <v>9405648</v>
      </c>
      <c r="AL380" s="432">
        <f t="shared" ref="AL380:AL405" si="323">SUMIF(MNU_CODIGO_ALIMENTO_ENTREGA,CONCATENATE($E380,"_","P_"),MNU_FRECUENCIAS_LAV_TIPOM)</f>
        <v>9</v>
      </c>
      <c r="AM380" s="432">
        <f t="array" ref="AM380">MAX((IF(MNU_CODIGO_ALIMENTO_ENTREGA=CONCATENATE($E380,"_","P_"),MNU_GRAMAJE_REQUERIDO_TIPOM,"")))</f>
        <v>100</v>
      </c>
      <c r="AN380" s="261">
        <f t="shared" ref="AN380:AN405" si="324">SUMIF(VOL_GRUPO,CONCATENATE($A380,"1052-1NO"),VOL_TIPOM)</f>
        <v>251</v>
      </c>
      <c r="AO380" s="261">
        <f t="shared" ref="AO380:AO405" si="325">AL380*AN380</f>
        <v>2259</v>
      </c>
      <c r="AP380" s="452">
        <f t="shared" ref="AP380:AP405" si="326">IF(ISERROR(AVERAGEIFS(MNU_COSTO_UNITARIO_TIPOM_SELECCIONADO,MNU_CODIGO_ALIMENTO_ENTREGA,CONCATENATE($E380,"_","P_"))),0,AVERAGEIFS(MNU_COSTO_UNITARIO_TIPOM_SELECCIONADO,MNU_CODIGO_ALIMENTO_ENTREGA,CONCATENATE($E380,"_","P_")))</f>
        <v>107</v>
      </c>
      <c r="AQ380" s="452">
        <f t="shared" ref="AQ380:AQ405" si="327">(AP380*0.01)+(AP380*0.005)+(AP380*0.02)+(AP380*(13.8/1000))</f>
        <v>5.2216000000000005</v>
      </c>
      <c r="AR380" s="452">
        <f t="shared" ref="AR380:AR405" si="328">((AP380+AQ380)*0.00071)+((AP380+AQ380)*0.00011)</f>
        <v>9.2021712000000006E-2</v>
      </c>
      <c r="AS380" s="452">
        <f t="shared" ref="AS380:AS405" si="329">ROUND(AP380+AQ380+AR380,0)</f>
        <v>112</v>
      </c>
      <c r="AT380" s="262">
        <f t="shared" ref="AT380:AT405" si="330">AL380*AN380*AP380</f>
        <v>241713</v>
      </c>
      <c r="AU380" s="262">
        <f t="shared" ref="AU380:AU405" si="331">AL380*AN380*AS380</f>
        <v>253008</v>
      </c>
      <c r="AV380" s="431">
        <f t="shared" ref="AV380:AV405" si="332">SUMIF(MNU_CODIGO_ALIMENTO_ENTREGA,CONCATENATE($E380,"_","P_"),MNU_FRECUENCIAS_LAV_TIPOH)</f>
        <v>9</v>
      </c>
      <c r="AW380" s="431">
        <f t="array" ref="AW380">MAX((IF(MNU_CODIGO_ALIMENTO_ENTREGA=CONCATENATE($E380,"_","P_"),MNU_GRAMAJE_REQUERIDO_TIPOH,"")))</f>
        <v>100</v>
      </c>
      <c r="AX380" s="259">
        <f t="shared" ref="AX380:AX405" si="333">SUMIF(VOL_GRUPO,CONCATENATE($A380,"1052-1NO"),VOL_TIPOH)</f>
        <v>297</v>
      </c>
      <c r="AY380" s="259">
        <f t="shared" ref="AY380:AY405" si="334">AV380*AX380</f>
        <v>2673</v>
      </c>
      <c r="AZ380" s="452">
        <f t="shared" ref="AZ380:AZ405" si="335">IF(ISERROR(AVERAGEIFS(MNU_COSTO_UNITARIO_TIPOH_SELECCIONADO,MNU_CODIGO_ALIMENTO_ENTREGA,CONCATENATE($E380,"_","P_"))),0,AVERAGEIFS(MNU_COSTO_UNITARIO_TIPOH_SELECCIONADO,MNU_CODIGO_ALIMENTO_ENTREGA,CONCATENATE($E380,"_","P_")))</f>
        <v>107</v>
      </c>
      <c r="BA380" s="452">
        <f t="shared" ref="BA380:BA405" si="336">(AZ380*0.01)+(AZ380*0.005)+(AZ380*0.02)+(AZ380*(13.8/1000))</f>
        <v>5.2216000000000005</v>
      </c>
      <c r="BB380" s="452">
        <f t="shared" ref="BB380:BB405" si="337">((AZ380+BA380)*0.00071)+((AZ380+BA380)*0.00011)</f>
        <v>9.2021712000000006E-2</v>
      </c>
      <c r="BC380" s="452">
        <f t="shared" ref="BC380:BC405" si="338">ROUND(AZ380+BA380+BB380,0)</f>
        <v>112</v>
      </c>
      <c r="BD380" s="260">
        <f t="shared" ref="BD380:BD405" si="339">AV380*AX380*AZ380</f>
        <v>286011</v>
      </c>
      <c r="BE380" s="260">
        <f t="shared" ref="BE380:BE405" si="340">AV380*AX380*BC380</f>
        <v>299376</v>
      </c>
      <c r="BF380" s="397">
        <f t="shared" ref="BF380:BF405" si="341">BD380+AT380+AJ380+Z380+P380</f>
        <v>31000040</v>
      </c>
      <c r="BG380" s="397">
        <f t="shared" ref="BG380:BG405" si="342">BE380+AU380+AK380+AA380+Q380</f>
        <v>32448640</v>
      </c>
    </row>
    <row r="381" spans="1:59" ht="15.75">
      <c r="A381" s="338">
        <v>29</v>
      </c>
      <c r="B381" s="338" t="str">
        <f t="shared" si="294"/>
        <v>FRUTA_29</v>
      </c>
      <c r="C381" s="338" t="str">
        <f t="shared" si="295"/>
        <v>8_29</v>
      </c>
      <c r="D381" s="338" t="s">
        <v>1</v>
      </c>
      <c r="E381" s="258">
        <v>8</v>
      </c>
      <c r="F381" s="328" t="s">
        <v>55</v>
      </c>
      <c r="G381" s="258" t="s">
        <v>9</v>
      </c>
      <c r="H381" s="431">
        <f t="shared" si="296"/>
        <v>10</v>
      </c>
      <c r="I381" s="431">
        <f t="array" ref="I381">MAX((IF(MNU_CODIGO_ALIMENTO_ENTREGA=CONCATENATE($E381,"_","P_"),MNU_GRAMAJE_REQUERIDO_TIPOA,"")))</f>
        <v>100</v>
      </c>
      <c r="J381" s="259">
        <f t="shared" si="297"/>
        <v>5992</v>
      </c>
      <c r="K381" s="259">
        <f t="shared" si="298"/>
        <v>59920</v>
      </c>
      <c r="L381" s="452">
        <f t="shared" si="299"/>
        <v>134</v>
      </c>
      <c r="M381" s="452">
        <f t="shared" si="300"/>
        <v>6.539200000000001</v>
      </c>
      <c r="N381" s="452">
        <f t="shared" si="301"/>
        <v>0.115242144</v>
      </c>
      <c r="O381" s="452">
        <f t="shared" si="302"/>
        <v>141</v>
      </c>
      <c r="P381" s="260">
        <f t="shared" si="303"/>
        <v>8029280</v>
      </c>
      <c r="Q381" s="260">
        <f t="shared" si="304"/>
        <v>8448720</v>
      </c>
      <c r="R381" s="432">
        <f t="shared" si="305"/>
        <v>8</v>
      </c>
      <c r="S381" s="432">
        <f t="array" ref="S381">MAX((IF(MNU_CODIGO_ALIMENTO_ENTREGA=CONCATENATE($E381,"_","P_"),MNU_GRAMAJE_REQUERIDO_TIPOB,"")))</f>
        <v>100</v>
      </c>
      <c r="T381" s="261">
        <f t="shared" si="306"/>
        <v>7665</v>
      </c>
      <c r="U381" s="261">
        <f t="shared" si="307"/>
        <v>61320</v>
      </c>
      <c r="V381" s="452">
        <f t="shared" si="308"/>
        <v>134</v>
      </c>
      <c r="W381" s="452">
        <f t="shared" si="309"/>
        <v>6.539200000000001</v>
      </c>
      <c r="X381" s="452">
        <f t="shared" si="310"/>
        <v>0.115242144</v>
      </c>
      <c r="Y381" s="452">
        <f t="shared" si="311"/>
        <v>141</v>
      </c>
      <c r="Z381" s="262">
        <f t="shared" si="312"/>
        <v>8216880</v>
      </c>
      <c r="AA381" s="262">
        <f t="shared" si="313"/>
        <v>8646120</v>
      </c>
      <c r="AB381" s="431">
        <f t="shared" si="314"/>
        <v>8</v>
      </c>
      <c r="AC381" s="431">
        <f t="array" ref="AC381">MAX((IF(MNU_CODIGO_ALIMENTO_ENTREGA=CONCATENATE($E381,"_","P_"),MNU_GRAMAJE_REQUERIDO_TIPOC,"")))</f>
        <v>100</v>
      </c>
      <c r="AD381" s="259">
        <f t="shared" si="315"/>
        <v>9331</v>
      </c>
      <c r="AE381" s="259">
        <f t="shared" si="316"/>
        <v>74648</v>
      </c>
      <c r="AF381" s="452">
        <f t="shared" si="317"/>
        <v>134</v>
      </c>
      <c r="AG381" s="452">
        <f t="shared" si="318"/>
        <v>6.539200000000001</v>
      </c>
      <c r="AH381" s="452">
        <f t="shared" si="319"/>
        <v>0.115242144</v>
      </c>
      <c r="AI381" s="452">
        <f t="shared" si="320"/>
        <v>141</v>
      </c>
      <c r="AJ381" s="260">
        <f t="shared" si="321"/>
        <v>10002832</v>
      </c>
      <c r="AK381" s="260">
        <f t="shared" si="322"/>
        <v>10525368</v>
      </c>
      <c r="AL381" s="432">
        <f t="shared" si="323"/>
        <v>8</v>
      </c>
      <c r="AM381" s="432">
        <f t="array" ref="AM381">MAX((IF(MNU_CODIGO_ALIMENTO_ENTREGA=CONCATENATE($E381,"_","P_"),MNU_GRAMAJE_REQUERIDO_TIPOM,"")))</f>
        <v>100</v>
      </c>
      <c r="AN381" s="261">
        <f t="shared" si="324"/>
        <v>251</v>
      </c>
      <c r="AO381" s="261">
        <f t="shared" si="325"/>
        <v>2008</v>
      </c>
      <c r="AP381" s="452">
        <f t="shared" si="326"/>
        <v>134</v>
      </c>
      <c r="AQ381" s="452">
        <f t="shared" si="327"/>
        <v>6.539200000000001</v>
      </c>
      <c r="AR381" s="452">
        <f t="shared" si="328"/>
        <v>0.115242144</v>
      </c>
      <c r="AS381" s="452">
        <f t="shared" si="329"/>
        <v>141</v>
      </c>
      <c r="AT381" s="262">
        <f t="shared" si="330"/>
        <v>269072</v>
      </c>
      <c r="AU381" s="262">
        <f t="shared" si="331"/>
        <v>283128</v>
      </c>
      <c r="AV381" s="431">
        <f t="shared" si="332"/>
        <v>8</v>
      </c>
      <c r="AW381" s="431">
        <f t="array" ref="AW381">MAX((IF(MNU_CODIGO_ALIMENTO_ENTREGA=CONCATENATE($E381,"_","P_"),MNU_GRAMAJE_REQUERIDO_TIPOH,"")))</f>
        <v>100</v>
      </c>
      <c r="AX381" s="259">
        <f t="shared" si="333"/>
        <v>297</v>
      </c>
      <c r="AY381" s="259">
        <f t="shared" si="334"/>
        <v>2376</v>
      </c>
      <c r="AZ381" s="452">
        <f t="shared" si="335"/>
        <v>134</v>
      </c>
      <c r="BA381" s="452">
        <f t="shared" si="336"/>
        <v>6.539200000000001</v>
      </c>
      <c r="BB381" s="452">
        <f t="shared" si="337"/>
        <v>0.115242144</v>
      </c>
      <c r="BC381" s="452">
        <f t="shared" si="338"/>
        <v>141</v>
      </c>
      <c r="BD381" s="260">
        <f t="shared" si="339"/>
        <v>318384</v>
      </c>
      <c r="BE381" s="260">
        <f t="shared" si="340"/>
        <v>335016</v>
      </c>
      <c r="BF381" s="397">
        <f t="shared" si="341"/>
        <v>26836448</v>
      </c>
      <c r="BG381" s="397">
        <f t="shared" si="342"/>
        <v>28238352</v>
      </c>
    </row>
    <row r="382" spans="1:59" ht="15.75">
      <c r="A382" s="338">
        <v>29</v>
      </c>
      <c r="B382" s="338" t="str">
        <f t="shared" si="294"/>
        <v>FRUTA_29</v>
      </c>
      <c r="C382" s="338" t="str">
        <f t="shared" si="295"/>
        <v>17_29</v>
      </c>
      <c r="D382" s="338" t="s">
        <v>1</v>
      </c>
      <c r="E382" s="258">
        <v>17</v>
      </c>
      <c r="F382" s="328" t="s">
        <v>53</v>
      </c>
      <c r="G382" s="258" t="s">
        <v>9</v>
      </c>
      <c r="H382" s="431">
        <f t="shared" si="296"/>
        <v>0</v>
      </c>
      <c r="I382" s="431">
        <f t="array" ref="I382">MAX((IF(MNU_CODIGO_ALIMENTO_ENTREGA=CONCATENATE($E382,"_","P_"),MNU_GRAMAJE_REQUERIDO_TIPOA,"")))</f>
        <v>0</v>
      </c>
      <c r="J382" s="259">
        <f t="shared" si="297"/>
        <v>5992</v>
      </c>
      <c r="K382" s="259">
        <f t="shared" si="298"/>
        <v>0</v>
      </c>
      <c r="L382" s="452">
        <f t="shared" si="299"/>
        <v>0</v>
      </c>
      <c r="M382" s="452">
        <f t="shared" si="300"/>
        <v>0</v>
      </c>
      <c r="N382" s="452">
        <f t="shared" si="301"/>
        <v>0</v>
      </c>
      <c r="O382" s="452">
        <f t="shared" si="302"/>
        <v>0</v>
      </c>
      <c r="P382" s="260">
        <f t="shared" si="303"/>
        <v>0</v>
      </c>
      <c r="Q382" s="260">
        <f t="shared" si="304"/>
        <v>0</v>
      </c>
      <c r="R382" s="432">
        <f t="shared" si="305"/>
        <v>21</v>
      </c>
      <c r="S382" s="432">
        <f t="array" ref="S382">MAX((IF(MNU_CODIGO_ALIMENTO_ENTREGA=CONCATENATE($E382,"_","P_"),MNU_GRAMAJE_REQUERIDO_TIPOB,"")))</f>
        <v>100</v>
      </c>
      <c r="T382" s="261">
        <f t="shared" si="306"/>
        <v>7665</v>
      </c>
      <c r="U382" s="261">
        <f t="shared" si="307"/>
        <v>160965</v>
      </c>
      <c r="V382" s="452">
        <f t="shared" si="308"/>
        <v>226</v>
      </c>
      <c r="W382" s="452">
        <f t="shared" si="309"/>
        <v>11.0288</v>
      </c>
      <c r="X382" s="452">
        <f t="shared" si="310"/>
        <v>0.19436361600000002</v>
      </c>
      <c r="Y382" s="452">
        <f t="shared" si="311"/>
        <v>237</v>
      </c>
      <c r="Z382" s="262">
        <f t="shared" si="312"/>
        <v>36378090</v>
      </c>
      <c r="AA382" s="262">
        <f t="shared" si="313"/>
        <v>38148705</v>
      </c>
      <c r="AB382" s="431">
        <f t="shared" si="314"/>
        <v>21</v>
      </c>
      <c r="AC382" s="431">
        <f t="array" ref="AC382">MAX((IF(MNU_CODIGO_ALIMENTO_ENTREGA=CONCATENATE($E382,"_","P_"),MNU_GRAMAJE_REQUERIDO_TIPOC,"")))</f>
        <v>100</v>
      </c>
      <c r="AD382" s="259">
        <f t="shared" si="315"/>
        <v>9331</v>
      </c>
      <c r="AE382" s="259">
        <f t="shared" si="316"/>
        <v>195951</v>
      </c>
      <c r="AF382" s="452">
        <f t="shared" si="317"/>
        <v>226</v>
      </c>
      <c r="AG382" s="452">
        <f t="shared" si="318"/>
        <v>11.0288</v>
      </c>
      <c r="AH382" s="452">
        <f t="shared" si="319"/>
        <v>0.19436361600000002</v>
      </c>
      <c r="AI382" s="452">
        <f t="shared" si="320"/>
        <v>237</v>
      </c>
      <c r="AJ382" s="260">
        <f t="shared" si="321"/>
        <v>44284926</v>
      </c>
      <c r="AK382" s="260">
        <f t="shared" si="322"/>
        <v>46440387</v>
      </c>
      <c r="AL382" s="432">
        <f t="shared" si="323"/>
        <v>21</v>
      </c>
      <c r="AM382" s="432">
        <f t="array" ref="AM382">MAX((IF(MNU_CODIGO_ALIMENTO_ENTREGA=CONCATENATE($E382,"_","P_"),MNU_GRAMAJE_REQUERIDO_TIPOM,"")))</f>
        <v>100</v>
      </c>
      <c r="AN382" s="261">
        <f t="shared" si="324"/>
        <v>251</v>
      </c>
      <c r="AO382" s="261">
        <f t="shared" si="325"/>
        <v>5271</v>
      </c>
      <c r="AP382" s="452">
        <f t="shared" si="326"/>
        <v>226</v>
      </c>
      <c r="AQ382" s="452">
        <f t="shared" si="327"/>
        <v>11.0288</v>
      </c>
      <c r="AR382" s="452">
        <f t="shared" si="328"/>
        <v>0.19436361600000002</v>
      </c>
      <c r="AS382" s="452">
        <f t="shared" si="329"/>
        <v>237</v>
      </c>
      <c r="AT382" s="262">
        <f t="shared" si="330"/>
        <v>1191246</v>
      </c>
      <c r="AU382" s="262">
        <f t="shared" si="331"/>
        <v>1249227</v>
      </c>
      <c r="AV382" s="431">
        <f t="shared" si="332"/>
        <v>21</v>
      </c>
      <c r="AW382" s="431">
        <f t="array" ref="AW382">MAX((IF(MNU_CODIGO_ALIMENTO_ENTREGA=CONCATENATE($E382,"_","P_"),MNU_GRAMAJE_REQUERIDO_TIPOH,"")))</f>
        <v>100</v>
      </c>
      <c r="AX382" s="259">
        <f t="shared" si="333"/>
        <v>297</v>
      </c>
      <c r="AY382" s="259">
        <f t="shared" si="334"/>
        <v>6237</v>
      </c>
      <c r="AZ382" s="452">
        <f t="shared" si="335"/>
        <v>226</v>
      </c>
      <c r="BA382" s="452">
        <f t="shared" si="336"/>
        <v>11.0288</v>
      </c>
      <c r="BB382" s="452">
        <f t="shared" si="337"/>
        <v>0.19436361600000002</v>
      </c>
      <c r="BC382" s="452">
        <f t="shared" si="338"/>
        <v>237</v>
      </c>
      <c r="BD382" s="260">
        <f t="shared" si="339"/>
        <v>1409562</v>
      </c>
      <c r="BE382" s="260">
        <f t="shared" si="340"/>
        <v>1478169</v>
      </c>
      <c r="BF382" s="397">
        <f t="shared" si="341"/>
        <v>83263824</v>
      </c>
      <c r="BG382" s="397">
        <f t="shared" si="342"/>
        <v>87316488</v>
      </c>
    </row>
    <row r="383" spans="1:59" ht="15.75">
      <c r="A383" s="338">
        <v>29</v>
      </c>
      <c r="B383" s="338" t="str">
        <f t="shared" si="294"/>
        <v>FRUTA_29</v>
      </c>
      <c r="C383" s="338" t="str">
        <f t="shared" si="295"/>
        <v>22_29</v>
      </c>
      <c r="D383" s="338" t="s">
        <v>1</v>
      </c>
      <c r="E383" s="258">
        <v>22</v>
      </c>
      <c r="F383" s="328" t="s">
        <v>51</v>
      </c>
      <c r="G383" s="258" t="s">
        <v>9</v>
      </c>
      <c r="H383" s="431">
        <f t="shared" si="296"/>
        <v>0</v>
      </c>
      <c r="I383" s="431">
        <f t="array" ref="I383">MAX((IF(MNU_CODIGO_ALIMENTO_ENTREGA=CONCATENATE($E383,"_","P_"),MNU_GRAMAJE_REQUERIDO_TIPOA,"")))</f>
        <v>0</v>
      </c>
      <c r="J383" s="259">
        <f t="shared" si="297"/>
        <v>5992</v>
      </c>
      <c r="K383" s="259">
        <f t="shared" si="298"/>
        <v>0</v>
      </c>
      <c r="L383" s="452">
        <f t="shared" si="299"/>
        <v>0</v>
      </c>
      <c r="M383" s="452">
        <f t="shared" si="300"/>
        <v>0</v>
      </c>
      <c r="N383" s="452">
        <f t="shared" si="301"/>
        <v>0</v>
      </c>
      <c r="O383" s="452">
        <f t="shared" si="302"/>
        <v>0</v>
      </c>
      <c r="P383" s="260">
        <f t="shared" si="303"/>
        <v>0</v>
      </c>
      <c r="Q383" s="260">
        <f t="shared" si="304"/>
        <v>0</v>
      </c>
      <c r="R383" s="432">
        <f t="shared" si="305"/>
        <v>20</v>
      </c>
      <c r="S383" s="432">
        <f t="array" ref="S383">MAX((IF(MNU_CODIGO_ALIMENTO_ENTREGA=CONCATENATE($E383,"_","P_"),MNU_GRAMAJE_REQUERIDO_TIPOB,"")))</f>
        <v>100</v>
      </c>
      <c r="T383" s="261">
        <f t="shared" si="306"/>
        <v>7665</v>
      </c>
      <c r="U383" s="261">
        <f t="shared" si="307"/>
        <v>153300</v>
      </c>
      <c r="V383" s="452">
        <f t="shared" si="308"/>
        <v>525</v>
      </c>
      <c r="W383" s="452">
        <f t="shared" si="309"/>
        <v>25.62</v>
      </c>
      <c r="X383" s="452">
        <f t="shared" si="310"/>
        <v>0.45150840000000003</v>
      </c>
      <c r="Y383" s="452">
        <f t="shared" si="311"/>
        <v>551</v>
      </c>
      <c r="Z383" s="262">
        <f t="shared" si="312"/>
        <v>80482500</v>
      </c>
      <c r="AA383" s="262">
        <f t="shared" si="313"/>
        <v>84468300</v>
      </c>
      <c r="AB383" s="431">
        <f t="shared" si="314"/>
        <v>20</v>
      </c>
      <c r="AC383" s="431">
        <f t="array" ref="AC383">MAX((IF(MNU_CODIGO_ALIMENTO_ENTREGA=CONCATENATE($E383,"_","P_"),MNU_GRAMAJE_REQUERIDO_TIPOC,"")))</f>
        <v>100</v>
      </c>
      <c r="AD383" s="259">
        <f t="shared" si="315"/>
        <v>9331</v>
      </c>
      <c r="AE383" s="259">
        <f t="shared" si="316"/>
        <v>186620</v>
      </c>
      <c r="AF383" s="452">
        <f t="shared" si="317"/>
        <v>525</v>
      </c>
      <c r="AG383" s="452">
        <f t="shared" si="318"/>
        <v>25.62</v>
      </c>
      <c r="AH383" s="452">
        <f t="shared" si="319"/>
        <v>0.45150840000000003</v>
      </c>
      <c r="AI383" s="452">
        <f t="shared" si="320"/>
        <v>551</v>
      </c>
      <c r="AJ383" s="260">
        <f t="shared" si="321"/>
        <v>97975500</v>
      </c>
      <c r="AK383" s="260">
        <f t="shared" si="322"/>
        <v>102827620</v>
      </c>
      <c r="AL383" s="432">
        <f t="shared" si="323"/>
        <v>20</v>
      </c>
      <c r="AM383" s="432">
        <f t="array" ref="AM383">MAX((IF(MNU_CODIGO_ALIMENTO_ENTREGA=CONCATENATE($E383,"_","P_"),MNU_GRAMAJE_REQUERIDO_TIPOM,"")))</f>
        <v>100</v>
      </c>
      <c r="AN383" s="261">
        <f t="shared" si="324"/>
        <v>251</v>
      </c>
      <c r="AO383" s="261">
        <f t="shared" si="325"/>
        <v>5020</v>
      </c>
      <c r="AP383" s="452">
        <f t="shared" si="326"/>
        <v>525</v>
      </c>
      <c r="AQ383" s="452">
        <f t="shared" si="327"/>
        <v>25.62</v>
      </c>
      <c r="AR383" s="452">
        <f t="shared" si="328"/>
        <v>0.45150840000000003</v>
      </c>
      <c r="AS383" s="452">
        <f t="shared" si="329"/>
        <v>551</v>
      </c>
      <c r="AT383" s="262">
        <f t="shared" si="330"/>
        <v>2635500</v>
      </c>
      <c r="AU383" s="262">
        <f t="shared" si="331"/>
        <v>2766020</v>
      </c>
      <c r="AV383" s="431">
        <f t="shared" si="332"/>
        <v>20</v>
      </c>
      <c r="AW383" s="431">
        <f t="array" ref="AW383">MAX((IF(MNU_CODIGO_ALIMENTO_ENTREGA=CONCATENATE($E383,"_","P_"),MNU_GRAMAJE_REQUERIDO_TIPOH,"")))</f>
        <v>100</v>
      </c>
      <c r="AX383" s="259">
        <f t="shared" si="333"/>
        <v>297</v>
      </c>
      <c r="AY383" s="259">
        <f t="shared" si="334"/>
        <v>5940</v>
      </c>
      <c r="AZ383" s="452">
        <f t="shared" si="335"/>
        <v>525</v>
      </c>
      <c r="BA383" s="452">
        <f t="shared" si="336"/>
        <v>25.62</v>
      </c>
      <c r="BB383" s="452">
        <f t="shared" si="337"/>
        <v>0.45150840000000003</v>
      </c>
      <c r="BC383" s="452">
        <f t="shared" si="338"/>
        <v>551</v>
      </c>
      <c r="BD383" s="260">
        <f t="shared" si="339"/>
        <v>3118500</v>
      </c>
      <c r="BE383" s="260">
        <f t="shared" si="340"/>
        <v>3272940</v>
      </c>
      <c r="BF383" s="397">
        <f t="shared" si="341"/>
        <v>184212000</v>
      </c>
      <c r="BG383" s="397">
        <f t="shared" si="342"/>
        <v>193334880</v>
      </c>
    </row>
    <row r="384" spans="1:59" ht="15.75">
      <c r="A384" s="338">
        <v>29</v>
      </c>
      <c r="B384" s="338" t="str">
        <f t="shared" si="294"/>
        <v>FRUTA_29</v>
      </c>
      <c r="C384" s="338" t="str">
        <f t="shared" si="295"/>
        <v>33_29</v>
      </c>
      <c r="D384" s="338" t="s">
        <v>1</v>
      </c>
      <c r="E384" s="258">
        <v>33</v>
      </c>
      <c r="F384" s="328" t="s">
        <v>59</v>
      </c>
      <c r="G384" s="258" t="s">
        <v>48</v>
      </c>
      <c r="H384" s="431">
        <f t="shared" si="296"/>
        <v>27</v>
      </c>
      <c r="I384" s="431">
        <v>1</v>
      </c>
      <c r="J384" s="259">
        <f t="shared" si="297"/>
        <v>5992</v>
      </c>
      <c r="K384" s="259">
        <f t="shared" si="298"/>
        <v>161784</v>
      </c>
      <c r="L384" s="452">
        <f t="shared" si="299"/>
        <v>270</v>
      </c>
      <c r="M384" s="452">
        <f t="shared" si="300"/>
        <v>13.176000000000002</v>
      </c>
      <c r="N384" s="452">
        <f t="shared" si="301"/>
        <v>0.23220432000000002</v>
      </c>
      <c r="O384" s="452">
        <f t="shared" si="302"/>
        <v>283</v>
      </c>
      <c r="P384" s="260">
        <f t="shared" si="303"/>
        <v>43681680</v>
      </c>
      <c r="Q384" s="260">
        <f t="shared" si="304"/>
        <v>45784872</v>
      </c>
      <c r="R384" s="432">
        <f t="shared" si="305"/>
        <v>18</v>
      </c>
      <c r="S384" s="432">
        <v>1</v>
      </c>
      <c r="T384" s="261">
        <f t="shared" si="306"/>
        <v>7665</v>
      </c>
      <c r="U384" s="261">
        <f t="shared" si="307"/>
        <v>137970</v>
      </c>
      <c r="V384" s="452">
        <f t="shared" si="308"/>
        <v>270</v>
      </c>
      <c r="W384" s="452">
        <f t="shared" si="309"/>
        <v>13.176000000000002</v>
      </c>
      <c r="X384" s="452">
        <f t="shared" si="310"/>
        <v>0.23220432000000002</v>
      </c>
      <c r="Y384" s="452">
        <f t="shared" si="311"/>
        <v>283</v>
      </c>
      <c r="Z384" s="262">
        <f t="shared" si="312"/>
        <v>37251900</v>
      </c>
      <c r="AA384" s="262">
        <f t="shared" si="313"/>
        <v>39045510</v>
      </c>
      <c r="AB384" s="431">
        <f t="shared" si="314"/>
        <v>18</v>
      </c>
      <c r="AC384" s="431">
        <v>1</v>
      </c>
      <c r="AD384" s="259">
        <f t="shared" si="315"/>
        <v>9331</v>
      </c>
      <c r="AE384" s="259">
        <f t="shared" si="316"/>
        <v>167958</v>
      </c>
      <c r="AF384" s="452">
        <f t="shared" si="317"/>
        <v>270</v>
      </c>
      <c r="AG384" s="452">
        <f t="shared" si="318"/>
        <v>13.176000000000002</v>
      </c>
      <c r="AH384" s="452">
        <f t="shared" si="319"/>
        <v>0.23220432000000002</v>
      </c>
      <c r="AI384" s="452">
        <f t="shared" si="320"/>
        <v>283</v>
      </c>
      <c r="AJ384" s="260">
        <f t="shared" si="321"/>
        <v>45348660</v>
      </c>
      <c r="AK384" s="260">
        <f t="shared" si="322"/>
        <v>47532114</v>
      </c>
      <c r="AL384" s="432">
        <f t="shared" si="323"/>
        <v>18</v>
      </c>
      <c r="AM384" s="432">
        <v>1</v>
      </c>
      <c r="AN384" s="261">
        <f t="shared" si="324"/>
        <v>251</v>
      </c>
      <c r="AO384" s="261">
        <f t="shared" si="325"/>
        <v>4518</v>
      </c>
      <c r="AP384" s="452">
        <f t="shared" si="326"/>
        <v>270</v>
      </c>
      <c r="AQ384" s="452">
        <f t="shared" si="327"/>
        <v>13.176000000000002</v>
      </c>
      <c r="AR384" s="452">
        <f t="shared" si="328"/>
        <v>0.23220432000000002</v>
      </c>
      <c r="AS384" s="452">
        <f t="shared" si="329"/>
        <v>283</v>
      </c>
      <c r="AT384" s="262">
        <f t="shared" si="330"/>
        <v>1219860</v>
      </c>
      <c r="AU384" s="262">
        <f t="shared" si="331"/>
        <v>1278594</v>
      </c>
      <c r="AV384" s="431">
        <f t="shared" si="332"/>
        <v>18</v>
      </c>
      <c r="AW384" s="431">
        <v>1</v>
      </c>
      <c r="AX384" s="259">
        <f t="shared" si="333"/>
        <v>297</v>
      </c>
      <c r="AY384" s="259">
        <f t="shared" si="334"/>
        <v>5346</v>
      </c>
      <c r="AZ384" s="452">
        <f t="shared" si="335"/>
        <v>270</v>
      </c>
      <c r="BA384" s="452">
        <f t="shared" si="336"/>
        <v>13.176000000000002</v>
      </c>
      <c r="BB384" s="452">
        <f t="shared" si="337"/>
        <v>0.23220432000000002</v>
      </c>
      <c r="BC384" s="452">
        <f t="shared" si="338"/>
        <v>283</v>
      </c>
      <c r="BD384" s="260">
        <f t="shared" si="339"/>
        <v>1443420</v>
      </c>
      <c r="BE384" s="260">
        <f t="shared" si="340"/>
        <v>1512918</v>
      </c>
      <c r="BF384" s="397">
        <f t="shared" si="341"/>
        <v>128945520</v>
      </c>
      <c r="BG384" s="397">
        <f t="shared" si="342"/>
        <v>135154008</v>
      </c>
    </row>
    <row r="385" spans="1:59" ht="15.75">
      <c r="A385" s="338">
        <v>29</v>
      </c>
      <c r="B385" s="338" t="str">
        <f t="shared" si="294"/>
        <v>FRUTA_29</v>
      </c>
      <c r="C385" s="338" t="str">
        <f t="shared" si="295"/>
        <v>36_29</v>
      </c>
      <c r="D385" s="338" t="s">
        <v>1</v>
      </c>
      <c r="E385" s="258">
        <v>36</v>
      </c>
      <c r="F385" s="328" t="s">
        <v>1340</v>
      </c>
      <c r="G385" s="258" t="s">
        <v>9</v>
      </c>
      <c r="H385" s="431">
        <f t="shared" si="296"/>
        <v>7</v>
      </c>
      <c r="I385" s="431">
        <f t="array" ref="I385">MAX((IF(MNU_CODIGO_ALIMENTO_ENTREGA=CONCATENATE($E385,"_","P_"),MNU_GRAMAJE_REQUERIDO_TIPOA,"")))</f>
        <v>20</v>
      </c>
      <c r="J385" s="259">
        <f t="shared" si="297"/>
        <v>5992</v>
      </c>
      <c r="K385" s="259">
        <f t="shared" si="298"/>
        <v>41944</v>
      </c>
      <c r="L385" s="452">
        <f t="shared" si="299"/>
        <v>126</v>
      </c>
      <c r="M385" s="452">
        <f t="shared" si="300"/>
        <v>6.1488000000000005</v>
      </c>
      <c r="N385" s="452">
        <f t="shared" si="301"/>
        <v>0.10836201599999999</v>
      </c>
      <c r="O385" s="452">
        <f t="shared" si="302"/>
        <v>132</v>
      </c>
      <c r="P385" s="260">
        <f t="shared" si="303"/>
        <v>5284944</v>
      </c>
      <c r="Q385" s="260">
        <f t="shared" si="304"/>
        <v>5536608</v>
      </c>
      <c r="R385" s="432">
        <f t="shared" si="305"/>
        <v>7</v>
      </c>
      <c r="S385" s="432">
        <f t="array" ref="S385">MAX((IF(MNU_CODIGO_ALIMENTO_ENTREGA=CONCATENATE($E385,"_","P_"),MNU_GRAMAJE_REQUERIDO_TIPOB,"")))</f>
        <v>40</v>
      </c>
      <c r="T385" s="261">
        <f t="shared" si="306"/>
        <v>7665</v>
      </c>
      <c r="U385" s="261">
        <f t="shared" si="307"/>
        <v>53655</v>
      </c>
      <c r="V385" s="452">
        <f t="shared" si="308"/>
        <v>252</v>
      </c>
      <c r="W385" s="452">
        <f t="shared" si="309"/>
        <v>12.297600000000001</v>
      </c>
      <c r="X385" s="452">
        <f t="shared" si="310"/>
        <v>0.21672403199999998</v>
      </c>
      <c r="Y385" s="452">
        <f t="shared" si="311"/>
        <v>265</v>
      </c>
      <c r="Z385" s="262">
        <f t="shared" si="312"/>
        <v>13521060</v>
      </c>
      <c r="AA385" s="262">
        <f t="shared" si="313"/>
        <v>14218575</v>
      </c>
      <c r="AB385" s="431">
        <f t="shared" si="314"/>
        <v>7</v>
      </c>
      <c r="AC385" s="431">
        <f t="array" ref="AC385">MAX((IF(MNU_CODIGO_ALIMENTO_ENTREGA=CONCATENATE($E385,"_","P_"),MNU_GRAMAJE_REQUERIDO_TIPOC,"")))</f>
        <v>40</v>
      </c>
      <c r="AD385" s="259">
        <f t="shared" si="315"/>
        <v>9331</v>
      </c>
      <c r="AE385" s="259">
        <f t="shared" si="316"/>
        <v>65317</v>
      </c>
      <c r="AF385" s="452">
        <f t="shared" si="317"/>
        <v>252</v>
      </c>
      <c r="AG385" s="452">
        <f t="shared" si="318"/>
        <v>12.297600000000001</v>
      </c>
      <c r="AH385" s="452">
        <f t="shared" si="319"/>
        <v>0.21672403199999998</v>
      </c>
      <c r="AI385" s="452">
        <f t="shared" si="320"/>
        <v>265</v>
      </c>
      <c r="AJ385" s="260">
        <f t="shared" si="321"/>
        <v>16459884</v>
      </c>
      <c r="AK385" s="260">
        <f t="shared" si="322"/>
        <v>17309005</v>
      </c>
      <c r="AL385" s="432">
        <f t="shared" si="323"/>
        <v>7</v>
      </c>
      <c r="AM385" s="432">
        <f t="array" ref="AM385">MAX((IF(MNU_CODIGO_ALIMENTO_ENTREGA=CONCATENATE($E385,"_","P_"),MNU_GRAMAJE_REQUERIDO_TIPOM,"")))</f>
        <v>40</v>
      </c>
      <c r="AN385" s="261">
        <f t="shared" si="324"/>
        <v>251</v>
      </c>
      <c r="AO385" s="261">
        <f t="shared" si="325"/>
        <v>1757</v>
      </c>
      <c r="AP385" s="452">
        <f t="shared" si="326"/>
        <v>252</v>
      </c>
      <c r="AQ385" s="452">
        <f t="shared" si="327"/>
        <v>12.297600000000001</v>
      </c>
      <c r="AR385" s="452">
        <f t="shared" si="328"/>
        <v>0.21672403199999998</v>
      </c>
      <c r="AS385" s="452">
        <f t="shared" si="329"/>
        <v>265</v>
      </c>
      <c r="AT385" s="262">
        <f t="shared" si="330"/>
        <v>442764</v>
      </c>
      <c r="AU385" s="262">
        <f t="shared" si="331"/>
        <v>465605</v>
      </c>
      <c r="AV385" s="431">
        <f t="shared" si="332"/>
        <v>7</v>
      </c>
      <c r="AW385" s="431">
        <f t="array" ref="AW385">MAX((IF(MNU_CODIGO_ALIMENTO_ENTREGA=CONCATENATE($E385,"_","P_"),MNU_GRAMAJE_REQUERIDO_TIPOH,"")))</f>
        <v>40</v>
      </c>
      <c r="AX385" s="259">
        <f t="shared" si="333"/>
        <v>297</v>
      </c>
      <c r="AY385" s="259">
        <f t="shared" si="334"/>
        <v>2079</v>
      </c>
      <c r="AZ385" s="452">
        <f t="shared" si="335"/>
        <v>252</v>
      </c>
      <c r="BA385" s="452">
        <f t="shared" si="336"/>
        <v>12.297600000000001</v>
      </c>
      <c r="BB385" s="452">
        <f t="shared" si="337"/>
        <v>0.21672403199999998</v>
      </c>
      <c r="BC385" s="452">
        <f t="shared" si="338"/>
        <v>265</v>
      </c>
      <c r="BD385" s="260">
        <f t="shared" si="339"/>
        <v>523908</v>
      </c>
      <c r="BE385" s="260">
        <f t="shared" si="340"/>
        <v>550935</v>
      </c>
      <c r="BF385" s="397">
        <f t="shared" si="341"/>
        <v>36232560</v>
      </c>
      <c r="BG385" s="397">
        <f t="shared" si="342"/>
        <v>38080728</v>
      </c>
    </row>
    <row r="386" spans="1:59" ht="15.75">
      <c r="A386" s="338">
        <v>29</v>
      </c>
      <c r="B386" s="338" t="str">
        <f t="shared" si="294"/>
        <v>FRUTA_29</v>
      </c>
      <c r="C386" s="338" t="str">
        <f t="shared" si="295"/>
        <v>42_29</v>
      </c>
      <c r="D386" s="338" t="s">
        <v>1</v>
      </c>
      <c r="E386" s="258">
        <v>42</v>
      </c>
      <c r="F386" s="328" t="s">
        <v>61</v>
      </c>
      <c r="G386" s="258" t="s">
        <v>9</v>
      </c>
      <c r="H386" s="431">
        <f t="shared" si="296"/>
        <v>23</v>
      </c>
      <c r="I386" s="431">
        <f t="array" ref="I386">MAX((IF(MNU_CODIGO_ALIMENTO_ENTREGA=CONCATENATE($E386,"_","P_"),MNU_GRAMAJE_REQUERIDO_TIPOA,"")))</f>
        <v>100</v>
      </c>
      <c r="J386" s="259">
        <f t="shared" si="297"/>
        <v>5992</v>
      </c>
      <c r="K386" s="259">
        <f t="shared" si="298"/>
        <v>137816</v>
      </c>
      <c r="L386" s="452">
        <f t="shared" si="299"/>
        <v>194</v>
      </c>
      <c r="M386" s="452">
        <f t="shared" si="300"/>
        <v>9.4672000000000001</v>
      </c>
      <c r="N386" s="452">
        <f t="shared" si="301"/>
        <v>0.16684310399999999</v>
      </c>
      <c r="O386" s="452">
        <f t="shared" si="302"/>
        <v>204</v>
      </c>
      <c r="P386" s="260">
        <f t="shared" si="303"/>
        <v>26736304</v>
      </c>
      <c r="Q386" s="260">
        <f t="shared" si="304"/>
        <v>28114464</v>
      </c>
      <c r="R386" s="432">
        <f t="shared" si="305"/>
        <v>19</v>
      </c>
      <c r="S386" s="432">
        <f t="array" ref="S386">MAX((IF(MNU_CODIGO_ALIMENTO_ENTREGA=CONCATENATE($E386,"_","P_"),MNU_GRAMAJE_REQUERIDO_TIPOB,"")))</f>
        <v>100</v>
      </c>
      <c r="T386" s="261">
        <f t="shared" si="306"/>
        <v>7665</v>
      </c>
      <c r="U386" s="261">
        <f t="shared" si="307"/>
        <v>145635</v>
      </c>
      <c r="V386" s="452">
        <f t="shared" si="308"/>
        <v>194</v>
      </c>
      <c r="W386" s="452">
        <f t="shared" si="309"/>
        <v>9.4672000000000001</v>
      </c>
      <c r="X386" s="452">
        <f t="shared" si="310"/>
        <v>0.16684310399999999</v>
      </c>
      <c r="Y386" s="452">
        <f t="shared" si="311"/>
        <v>204</v>
      </c>
      <c r="Z386" s="262">
        <f t="shared" si="312"/>
        <v>28253190</v>
      </c>
      <c r="AA386" s="262">
        <f t="shared" si="313"/>
        <v>29709540</v>
      </c>
      <c r="AB386" s="431">
        <f t="shared" si="314"/>
        <v>19</v>
      </c>
      <c r="AC386" s="431">
        <f t="array" ref="AC386">MAX((IF(MNU_CODIGO_ALIMENTO_ENTREGA=CONCATENATE($E386,"_","P_"),MNU_GRAMAJE_REQUERIDO_TIPOC,"")))</f>
        <v>100</v>
      </c>
      <c r="AD386" s="259">
        <f t="shared" si="315"/>
        <v>9331</v>
      </c>
      <c r="AE386" s="259">
        <f t="shared" si="316"/>
        <v>177289</v>
      </c>
      <c r="AF386" s="452">
        <f t="shared" si="317"/>
        <v>194</v>
      </c>
      <c r="AG386" s="452">
        <f t="shared" si="318"/>
        <v>9.4672000000000001</v>
      </c>
      <c r="AH386" s="452">
        <f t="shared" si="319"/>
        <v>0.16684310399999999</v>
      </c>
      <c r="AI386" s="452">
        <f t="shared" si="320"/>
        <v>204</v>
      </c>
      <c r="AJ386" s="260">
        <f t="shared" si="321"/>
        <v>34394066</v>
      </c>
      <c r="AK386" s="260">
        <f t="shared" si="322"/>
        <v>36166956</v>
      </c>
      <c r="AL386" s="432">
        <f t="shared" si="323"/>
        <v>19</v>
      </c>
      <c r="AM386" s="432">
        <f t="array" ref="AM386">MAX((IF(MNU_CODIGO_ALIMENTO_ENTREGA=CONCATENATE($E386,"_","P_"),MNU_GRAMAJE_REQUERIDO_TIPOM,"")))</f>
        <v>100</v>
      </c>
      <c r="AN386" s="261">
        <f t="shared" si="324"/>
        <v>251</v>
      </c>
      <c r="AO386" s="261">
        <f t="shared" si="325"/>
        <v>4769</v>
      </c>
      <c r="AP386" s="452">
        <f t="shared" si="326"/>
        <v>194</v>
      </c>
      <c r="AQ386" s="452">
        <f t="shared" si="327"/>
        <v>9.4672000000000001</v>
      </c>
      <c r="AR386" s="452">
        <f t="shared" si="328"/>
        <v>0.16684310399999999</v>
      </c>
      <c r="AS386" s="452">
        <f t="shared" si="329"/>
        <v>204</v>
      </c>
      <c r="AT386" s="262">
        <f t="shared" si="330"/>
        <v>925186</v>
      </c>
      <c r="AU386" s="262">
        <f t="shared" si="331"/>
        <v>972876</v>
      </c>
      <c r="AV386" s="431">
        <f t="shared" si="332"/>
        <v>19</v>
      </c>
      <c r="AW386" s="431">
        <f t="array" ref="AW386">MAX((IF(MNU_CODIGO_ALIMENTO_ENTREGA=CONCATENATE($E386,"_","P_"),MNU_GRAMAJE_REQUERIDO_TIPOH,"")))</f>
        <v>100</v>
      </c>
      <c r="AX386" s="259">
        <f t="shared" si="333"/>
        <v>297</v>
      </c>
      <c r="AY386" s="259">
        <f t="shared" si="334"/>
        <v>5643</v>
      </c>
      <c r="AZ386" s="452">
        <f t="shared" si="335"/>
        <v>194</v>
      </c>
      <c r="BA386" s="452">
        <f t="shared" si="336"/>
        <v>9.4672000000000001</v>
      </c>
      <c r="BB386" s="452">
        <f t="shared" si="337"/>
        <v>0.16684310399999999</v>
      </c>
      <c r="BC386" s="452">
        <f t="shared" si="338"/>
        <v>204</v>
      </c>
      <c r="BD386" s="260">
        <f t="shared" si="339"/>
        <v>1094742</v>
      </c>
      <c r="BE386" s="260">
        <f t="shared" si="340"/>
        <v>1151172</v>
      </c>
      <c r="BF386" s="397">
        <f t="shared" si="341"/>
        <v>91403488</v>
      </c>
      <c r="BG386" s="397">
        <f t="shared" si="342"/>
        <v>96115008</v>
      </c>
    </row>
    <row r="387" spans="1:59" ht="15.75">
      <c r="A387" s="338">
        <v>29</v>
      </c>
      <c r="B387" s="338" t="str">
        <f t="shared" si="294"/>
        <v>FRUTA_29</v>
      </c>
      <c r="C387" s="338" t="str">
        <f t="shared" si="295"/>
        <v>43_29</v>
      </c>
      <c r="D387" s="338" t="s">
        <v>1</v>
      </c>
      <c r="E387" s="258">
        <v>43</v>
      </c>
      <c r="F387" s="328" t="s">
        <v>62</v>
      </c>
      <c r="G387" s="258" t="s">
        <v>9</v>
      </c>
      <c r="H387" s="431">
        <f t="shared" si="296"/>
        <v>24</v>
      </c>
      <c r="I387" s="431">
        <f t="array" ref="I387">MAX((IF(MNU_CODIGO_ALIMENTO_ENTREGA=CONCATENATE($E387,"_","P_"),MNU_GRAMAJE_REQUERIDO_TIPOA,"")))</f>
        <v>100</v>
      </c>
      <c r="J387" s="259">
        <f t="shared" si="297"/>
        <v>5992</v>
      </c>
      <c r="K387" s="259">
        <f t="shared" si="298"/>
        <v>143808</v>
      </c>
      <c r="L387" s="452">
        <f t="shared" si="299"/>
        <v>170</v>
      </c>
      <c r="M387" s="452">
        <f t="shared" si="300"/>
        <v>8.2959999999999994</v>
      </c>
      <c r="N387" s="452">
        <f t="shared" si="301"/>
        <v>0.14620272000000001</v>
      </c>
      <c r="O387" s="452">
        <f t="shared" si="302"/>
        <v>178</v>
      </c>
      <c r="P387" s="260">
        <f t="shared" si="303"/>
        <v>24447360</v>
      </c>
      <c r="Q387" s="260">
        <f t="shared" si="304"/>
        <v>25597824</v>
      </c>
      <c r="R387" s="432">
        <f t="shared" si="305"/>
        <v>17</v>
      </c>
      <c r="S387" s="432">
        <f t="array" ref="S387">MAX((IF(MNU_CODIGO_ALIMENTO_ENTREGA=CONCATENATE($E387,"_","P_"),MNU_GRAMAJE_REQUERIDO_TIPOB,"")))</f>
        <v>100</v>
      </c>
      <c r="T387" s="261">
        <f t="shared" si="306"/>
        <v>7665</v>
      </c>
      <c r="U387" s="261">
        <f t="shared" si="307"/>
        <v>130305</v>
      </c>
      <c r="V387" s="452">
        <f t="shared" si="308"/>
        <v>170</v>
      </c>
      <c r="W387" s="452">
        <f t="shared" si="309"/>
        <v>8.2959999999999994</v>
      </c>
      <c r="X387" s="452">
        <f t="shared" si="310"/>
        <v>0.14620272000000001</v>
      </c>
      <c r="Y387" s="452">
        <f t="shared" si="311"/>
        <v>178</v>
      </c>
      <c r="Z387" s="262">
        <f t="shared" si="312"/>
        <v>22151850</v>
      </c>
      <c r="AA387" s="262">
        <f t="shared" si="313"/>
        <v>23194290</v>
      </c>
      <c r="AB387" s="431">
        <f t="shared" si="314"/>
        <v>17</v>
      </c>
      <c r="AC387" s="431">
        <f t="array" ref="AC387">MAX((IF(MNU_CODIGO_ALIMENTO_ENTREGA=CONCATENATE($E387,"_","P_"),MNU_GRAMAJE_REQUERIDO_TIPOC,"")))</f>
        <v>100</v>
      </c>
      <c r="AD387" s="259">
        <f t="shared" si="315"/>
        <v>9331</v>
      </c>
      <c r="AE387" s="259">
        <f t="shared" si="316"/>
        <v>158627</v>
      </c>
      <c r="AF387" s="452">
        <f t="shared" si="317"/>
        <v>170</v>
      </c>
      <c r="AG387" s="452">
        <f t="shared" si="318"/>
        <v>8.2959999999999994</v>
      </c>
      <c r="AH387" s="452">
        <f t="shared" si="319"/>
        <v>0.14620272000000001</v>
      </c>
      <c r="AI387" s="452">
        <f t="shared" si="320"/>
        <v>178</v>
      </c>
      <c r="AJ387" s="260">
        <f t="shared" si="321"/>
        <v>26966590</v>
      </c>
      <c r="AK387" s="260">
        <f t="shared" si="322"/>
        <v>28235606</v>
      </c>
      <c r="AL387" s="432">
        <f t="shared" si="323"/>
        <v>17</v>
      </c>
      <c r="AM387" s="432">
        <f t="array" ref="AM387">MAX((IF(MNU_CODIGO_ALIMENTO_ENTREGA=CONCATENATE($E387,"_","P_"),MNU_GRAMAJE_REQUERIDO_TIPOM,"")))</f>
        <v>100</v>
      </c>
      <c r="AN387" s="261">
        <f t="shared" si="324"/>
        <v>251</v>
      </c>
      <c r="AO387" s="261">
        <f t="shared" si="325"/>
        <v>4267</v>
      </c>
      <c r="AP387" s="452">
        <f t="shared" si="326"/>
        <v>170</v>
      </c>
      <c r="AQ387" s="452">
        <f t="shared" si="327"/>
        <v>8.2959999999999994</v>
      </c>
      <c r="AR387" s="452">
        <f t="shared" si="328"/>
        <v>0.14620272000000001</v>
      </c>
      <c r="AS387" s="452">
        <f t="shared" si="329"/>
        <v>178</v>
      </c>
      <c r="AT387" s="262">
        <f t="shared" si="330"/>
        <v>725390</v>
      </c>
      <c r="AU387" s="262">
        <f t="shared" si="331"/>
        <v>759526</v>
      </c>
      <c r="AV387" s="431">
        <f t="shared" si="332"/>
        <v>17</v>
      </c>
      <c r="AW387" s="431">
        <f t="array" ref="AW387">MAX((IF(MNU_CODIGO_ALIMENTO_ENTREGA=CONCATENATE($E387,"_","P_"),MNU_GRAMAJE_REQUERIDO_TIPOH,"")))</f>
        <v>100</v>
      </c>
      <c r="AX387" s="259">
        <f t="shared" si="333"/>
        <v>297</v>
      </c>
      <c r="AY387" s="259">
        <f t="shared" si="334"/>
        <v>5049</v>
      </c>
      <c r="AZ387" s="452">
        <f t="shared" si="335"/>
        <v>170</v>
      </c>
      <c r="BA387" s="452">
        <f t="shared" si="336"/>
        <v>8.2959999999999994</v>
      </c>
      <c r="BB387" s="452">
        <f t="shared" si="337"/>
        <v>0.14620272000000001</v>
      </c>
      <c r="BC387" s="452">
        <f t="shared" si="338"/>
        <v>178</v>
      </c>
      <c r="BD387" s="260">
        <f t="shared" si="339"/>
        <v>858330</v>
      </c>
      <c r="BE387" s="260">
        <f t="shared" si="340"/>
        <v>898722</v>
      </c>
      <c r="BF387" s="397">
        <f t="shared" si="341"/>
        <v>75149520</v>
      </c>
      <c r="BG387" s="397">
        <f t="shared" si="342"/>
        <v>78685968</v>
      </c>
    </row>
    <row r="388" spans="1:59" ht="15.75">
      <c r="A388" s="338">
        <v>29</v>
      </c>
      <c r="B388" s="338" t="str">
        <f t="shared" si="294"/>
        <v>FRUTA_29</v>
      </c>
      <c r="C388" s="338" t="str">
        <f t="shared" si="295"/>
        <v>46_29</v>
      </c>
      <c r="D388" s="338" t="s">
        <v>1</v>
      </c>
      <c r="E388" s="258">
        <v>46</v>
      </c>
      <c r="F388" s="328" t="s">
        <v>64</v>
      </c>
      <c r="G388" s="258" t="s">
        <v>9</v>
      </c>
      <c r="H388" s="431">
        <f t="shared" si="296"/>
        <v>30</v>
      </c>
      <c r="I388" s="431">
        <f t="array" ref="I388">MAX((IF(MNU_CODIGO_ALIMENTO_ENTREGA=CONCATENATE($E388,"_","P_"),MNU_GRAMAJE_REQUERIDO_TIPOA,"")))</f>
        <v>100</v>
      </c>
      <c r="J388" s="259">
        <f t="shared" si="297"/>
        <v>5992</v>
      </c>
      <c r="K388" s="259">
        <f t="shared" si="298"/>
        <v>179760</v>
      </c>
      <c r="L388" s="452">
        <f t="shared" si="299"/>
        <v>398</v>
      </c>
      <c r="M388" s="452">
        <f t="shared" si="300"/>
        <v>19.4224</v>
      </c>
      <c r="N388" s="452">
        <f t="shared" si="301"/>
        <v>0.34228636800000001</v>
      </c>
      <c r="O388" s="452">
        <f t="shared" si="302"/>
        <v>418</v>
      </c>
      <c r="P388" s="260">
        <f t="shared" si="303"/>
        <v>71544480</v>
      </c>
      <c r="Q388" s="260">
        <f t="shared" si="304"/>
        <v>75139680</v>
      </c>
      <c r="R388" s="432">
        <f t="shared" si="305"/>
        <v>21</v>
      </c>
      <c r="S388" s="432">
        <f t="array" ref="S388">MAX((IF(MNU_CODIGO_ALIMENTO_ENTREGA=CONCATENATE($E388,"_","P_"),MNU_GRAMAJE_REQUERIDO_TIPOB,"")))</f>
        <v>100</v>
      </c>
      <c r="T388" s="261">
        <f t="shared" si="306"/>
        <v>7665</v>
      </c>
      <c r="U388" s="261">
        <f t="shared" si="307"/>
        <v>160965</v>
      </c>
      <c r="V388" s="452">
        <f t="shared" si="308"/>
        <v>398</v>
      </c>
      <c r="W388" s="452">
        <f t="shared" si="309"/>
        <v>19.4224</v>
      </c>
      <c r="X388" s="452">
        <f t="shared" si="310"/>
        <v>0.34228636800000001</v>
      </c>
      <c r="Y388" s="452">
        <f t="shared" si="311"/>
        <v>418</v>
      </c>
      <c r="Z388" s="262">
        <f t="shared" si="312"/>
        <v>64064070</v>
      </c>
      <c r="AA388" s="262">
        <f t="shared" si="313"/>
        <v>67283370</v>
      </c>
      <c r="AB388" s="431">
        <f t="shared" si="314"/>
        <v>21</v>
      </c>
      <c r="AC388" s="431">
        <f t="array" ref="AC388">MAX((IF(MNU_CODIGO_ALIMENTO_ENTREGA=CONCATENATE($E388,"_","P_"),MNU_GRAMAJE_REQUERIDO_TIPOC,"")))</f>
        <v>100</v>
      </c>
      <c r="AD388" s="259">
        <f t="shared" si="315"/>
        <v>9331</v>
      </c>
      <c r="AE388" s="259">
        <f t="shared" si="316"/>
        <v>195951</v>
      </c>
      <c r="AF388" s="452">
        <f t="shared" si="317"/>
        <v>398</v>
      </c>
      <c r="AG388" s="452">
        <f t="shared" si="318"/>
        <v>19.4224</v>
      </c>
      <c r="AH388" s="452">
        <f t="shared" si="319"/>
        <v>0.34228636800000001</v>
      </c>
      <c r="AI388" s="452">
        <f t="shared" si="320"/>
        <v>418</v>
      </c>
      <c r="AJ388" s="260">
        <f t="shared" si="321"/>
        <v>77988498</v>
      </c>
      <c r="AK388" s="260">
        <f t="shared" si="322"/>
        <v>81907518</v>
      </c>
      <c r="AL388" s="432">
        <f t="shared" si="323"/>
        <v>21</v>
      </c>
      <c r="AM388" s="432">
        <f t="array" ref="AM388">MAX((IF(MNU_CODIGO_ALIMENTO_ENTREGA=CONCATENATE($E388,"_","P_"),MNU_GRAMAJE_REQUERIDO_TIPOM,"")))</f>
        <v>100</v>
      </c>
      <c r="AN388" s="261">
        <f t="shared" si="324"/>
        <v>251</v>
      </c>
      <c r="AO388" s="261">
        <f t="shared" si="325"/>
        <v>5271</v>
      </c>
      <c r="AP388" s="452">
        <f t="shared" si="326"/>
        <v>398</v>
      </c>
      <c r="AQ388" s="452">
        <f t="shared" si="327"/>
        <v>19.4224</v>
      </c>
      <c r="AR388" s="452">
        <f t="shared" si="328"/>
        <v>0.34228636800000001</v>
      </c>
      <c r="AS388" s="452">
        <f t="shared" si="329"/>
        <v>418</v>
      </c>
      <c r="AT388" s="262">
        <f t="shared" si="330"/>
        <v>2097858</v>
      </c>
      <c r="AU388" s="262">
        <f t="shared" si="331"/>
        <v>2203278</v>
      </c>
      <c r="AV388" s="431">
        <f t="shared" si="332"/>
        <v>21</v>
      </c>
      <c r="AW388" s="431">
        <f t="array" ref="AW388">MAX((IF(MNU_CODIGO_ALIMENTO_ENTREGA=CONCATENATE($E388,"_","P_"),MNU_GRAMAJE_REQUERIDO_TIPOH,"")))</f>
        <v>100</v>
      </c>
      <c r="AX388" s="259">
        <f t="shared" si="333"/>
        <v>297</v>
      </c>
      <c r="AY388" s="259">
        <f t="shared" si="334"/>
        <v>6237</v>
      </c>
      <c r="AZ388" s="452">
        <f t="shared" si="335"/>
        <v>398</v>
      </c>
      <c r="BA388" s="452">
        <f t="shared" si="336"/>
        <v>19.4224</v>
      </c>
      <c r="BB388" s="452">
        <f t="shared" si="337"/>
        <v>0.34228636800000001</v>
      </c>
      <c r="BC388" s="452">
        <f t="shared" si="338"/>
        <v>418</v>
      </c>
      <c r="BD388" s="260">
        <f t="shared" si="339"/>
        <v>2482326</v>
      </c>
      <c r="BE388" s="260">
        <f t="shared" si="340"/>
        <v>2607066</v>
      </c>
      <c r="BF388" s="397">
        <f t="shared" si="341"/>
        <v>218177232</v>
      </c>
      <c r="BG388" s="397">
        <f t="shared" si="342"/>
        <v>229140912</v>
      </c>
    </row>
    <row r="389" spans="1:59" ht="15.75">
      <c r="A389" s="338">
        <v>29</v>
      </c>
      <c r="B389" s="338" t="str">
        <f t="shared" si="294"/>
        <v>FRUTA_29</v>
      </c>
      <c r="C389" s="338" t="str">
        <f t="shared" si="295"/>
        <v>58_29</v>
      </c>
      <c r="D389" s="338" t="s">
        <v>1</v>
      </c>
      <c r="E389" s="258">
        <v>58</v>
      </c>
      <c r="F389" s="328" t="s">
        <v>67</v>
      </c>
      <c r="G389" s="258" t="s">
        <v>9</v>
      </c>
      <c r="H389" s="431">
        <f t="shared" si="296"/>
        <v>24</v>
      </c>
      <c r="I389" s="431">
        <f t="array" ref="I389">MAX((IF(MNU_CODIGO_ALIMENTO_ENTREGA=CONCATENATE($E389,"_","P_"),MNU_GRAMAJE_REQUERIDO_TIPOA,"")))</f>
        <v>100</v>
      </c>
      <c r="J389" s="259">
        <f t="shared" si="297"/>
        <v>5992</v>
      </c>
      <c r="K389" s="259">
        <f t="shared" si="298"/>
        <v>143808</v>
      </c>
      <c r="L389" s="452">
        <f t="shared" si="299"/>
        <v>154</v>
      </c>
      <c r="M389" s="452">
        <f t="shared" si="300"/>
        <v>7.515200000000001</v>
      </c>
      <c r="N389" s="452">
        <f t="shared" si="301"/>
        <v>0.13244246400000001</v>
      </c>
      <c r="O389" s="452">
        <f t="shared" si="302"/>
        <v>162</v>
      </c>
      <c r="P389" s="260">
        <f t="shared" si="303"/>
        <v>22146432</v>
      </c>
      <c r="Q389" s="260">
        <f t="shared" si="304"/>
        <v>23296896</v>
      </c>
      <c r="R389" s="432">
        <f t="shared" si="305"/>
        <v>23</v>
      </c>
      <c r="S389" s="432">
        <f t="array" ref="S389">MAX((IF(MNU_CODIGO_ALIMENTO_ENTREGA=CONCATENATE($E389,"_","P_"),MNU_GRAMAJE_REQUERIDO_TIPOB,"")))</f>
        <v>100</v>
      </c>
      <c r="T389" s="261">
        <f t="shared" si="306"/>
        <v>7665</v>
      </c>
      <c r="U389" s="261">
        <f t="shared" si="307"/>
        <v>176295</v>
      </c>
      <c r="V389" s="452">
        <f t="shared" si="308"/>
        <v>154</v>
      </c>
      <c r="W389" s="452">
        <f t="shared" si="309"/>
        <v>7.515200000000001</v>
      </c>
      <c r="X389" s="452">
        <f t="shared" si="310"/>
        <v>0.13244246400000001</v>
      </c>
      <c r="Y389" s="452">
        <f t="shared" si="311"/>
        <v>162</v>
      </c>
      <c r="Z389" s="262">
        <f t="shared" si="312"/>
        <v>27149430</v>
      </c>
      <c r="AA389" s="262">
        <f t="shared" si="313"/>
        <v>28559790</v>
      </c>
      <c r="AB389" s="431">
        <f t="shared" si="314"/>
        <v>23</v>
      </c>
      <c r="AC389" s="431">
        <f t="array" ref="AC389">MAX((IF(MNU_CODIGO_ALIMENTO_ENTREGA=CONCATENATE($E389,"_","P_"),MNU_GRAMAJE_REQUERIDO_TIPOC,"")))</f>
        <v>100</v>
      </c>
      <c r="AD389" s="259">
        <f t="shared" si="315"/>
        <v>9331</v>
      </c>
      <c r="AE389" s="259">
        <f t="shared" si="316"/>
        <v>214613</v>
      </c>
      <c r="AF389" s="452">
        <f t="shared" si="317"/>
        <v>154</v>
      </c>
      <c r="AG389" s="452">
        <f t="shared" si="318"/>
        <v>7.515200000000001</v>
      </c>
      <c r="AH389" s="452">
        <f t="shared" si="319"/>
        <v>0.13244246400000001</v>
      </c>
      <c r="AI389" s="452">
        <f t="shared" si="320"/>
        <v>162</v>
      </c>
      <c r="AJ389" s="260">
        <f t="shared" si="321"/>
        <v>33050402</v>
      </c>
      <c r="AK389" s="260">
        <f t="shared" si="322"/>
        <v>34767306</v>
      </c>
      <c r="AL389" s="432">
        <f t="shared" si="323"/>
        <v>23</v>
      </c>
      <c r="AM389" s="432">
        <f t="array" ref="AM389">MAX((IF(MNU_CODIGO_ALIMENTO_ENTREGA=CONCATENATE($E389,"_","P_"),MNU_GRAMAJE_REQUERIDO_TIPOM,"")))</f>
        <v>100</v>
      </c>
      <c r="AN389" s="261">
        <f t="shared" si="324"/>
        <v>251</v>
      </c>
      <c r="AO389" s="261">
        <f t="shared" si="325"/>
        <v>5773</v>
      </c>
      <c r="AP389" s="452">
        <f t="shared" si="326"/>
        <v>154</v>
      </c>
      <c r="AQ389" s="452">
        <f t="shared" si="327"/>
        <v>7.515200000000001</v>
      </c>
      <c r="AR389" s="452">
        <f t="shared" si="328"/>
        <v>0.13244246400000001</v>
      </c>
      <c r="AS389" s="452">
        <f t="shared" si="329"/>
        <v>162</v>
      </c>
      <c r="AT389" s="262">
        <f t="shared" si="330"/>
        <v>889042</v>
      </c>
      <c r="AU389" s="262">
        <f t="shared" si="331"/>
        <v>935226</v>
      </c>
      <c r="AV389" s="431">
        <f t="shared" si="332"/>
        <v>23</v>
      </c>
      <c r="AW389" s="431">
        <f t="array" ref="AW389">MAX((IF(MNU_CODIGO_ALIMENTO_ENTREGA=CONCATENATE($E389,"_","P_"),MNU_GRAMAJE_REQUERIDO_TIPOH,"")))</f>
        <v>100</v>
      </c>
      <c r="AX389" s="259">
        <f t="shared" si="333"/>
        <v>297</v>
      </c>
      <c r="AY389" s="259">
        <f t="shared" si="334"/>
        <v>6831</v>
      </c>
      <c r="AZ389" s="452">
        <f t="shared" si="335"/>
        <v>154</v>
      </c>
      <c r="BA389" s="452">
        <f t="shared" si="336"/>
        <v>7.515200000000001</v>
      </c>
      <c r="BB389" s="452">
        <f t="shared" si="337"/>
        <v>0.13244246400000001</v>
      </c>
      <c r="BC389" s="452">
        <f t="shared" si="338"/>
        <v>162</v>
      </c>
      <c r="BD389" s="260">
        <f t="shared" si="339"/>
        <v>1051974</v>
      </c>
      <c r="BE389" s="260">
        <f t="shared" si="340"/>
        <v>1106622</v>
      </c>
      <c r="BF389" s="397">
        <f t="shared" si="341"/>
        <v>84287280</v>
      </c>
      <c r="BG389" s="397">
        <f t="shared" si="342"/>
        <v>88665840</v>
      </c>
    </row>
    <row r="390" spans="1:59" ht="15.75">
      <c r="A390" s="338">
        <v>29</v>
      </c>
      <c r="B390" s="338" t="str">
        <f t="shared" si="294"/>
        <v>FRUTA_29</v>
      </c>
      <c r="C390" s="338" t="str">
        <f t="shared" si="295"/>
        <v>59_29</v>
      </c>
      <c r="D390" s="338" t="s">
        <v>1</v>
      </c>
      <c r="E390" s="258">
        <v>59</v>
      </c>
      <c r="F390" s="328" t="s">
        <v>99</v>
      </c>
      <c r="G390" s="258" t="s">
        <v>9</v>
      </c>
      <c r="H390" s="431">
        <f t="shared" si="296"/>
        <v>0</v>
      </c>
      <c r="I390" s="431">
        <f t="array" ref="I390">MAX((IF(MNU_CODIGO_ALIMENTO_ENTREGA=CONCATENATE($E390,"_","P_"),MNU_GRAMAJE_REQUERIDO_TIPOA,"")))</f>
        <v>0</v>
      </c>
      <c r="J390" s="259">
        <f t="shared" si="297"/>
        <v>5992</v>
      </c>
      <c r="K390" s="259">
        <f t="shared" si="298"/>
        <v>0</v>
      </c>
      <c r="L390" s="452">
        <f t="shared" si="299"/>
        <v>0</v>
      </c>
      <c r="M390" s="452">
        <f t="shared" si="300"/>
        <v>0</v>
      </c>
      <c r="N390" s="452">
        <f t="shared" si="301"/>
        <v>0</v>
      </c>
      <c r="O390" s="452">
        <f t="shared" si="302"/>
        <v>0</v>
      </c>
      <c r="P390" s="260">
        <f t="shared" si="303"/>
        <v>0</v>
      </c>
      <c r="Q390" s="260">
        <f t="shared" si="304"/>
        <v>0</v>
      </c>
      <c r="R390" s="432">
        <f t="shared" si="305"/>
        <v>8</v>
      </c>
      <c r="S390" s="432">
        <f t="array" ref="S390">MAX((IF(MNU_CODIGO_ALIMENTO_ENTREGA=CONCATENATE($E390,"_","P_"),MNU_GRAMAJE_REQUERIDO_TIPOB,"")))</f>
        <v>100</v>
      </c>
      <c r="T390" s="261">
        <f t="shared" si="306"/>
        <v>7665</v>
      </c>
      <c r="U390" s="261">
        <f t="shared" si="307"/>
        <v>61320</v>
      </c>
      <c r="V390" s="452">
        <f t="shared" si="308"/>
        <v>286</v>
      </c>
      <c r="W390" s="452">
        <f t="shared" si="309"/>
        <v>13.956800000000001</v>
      </c>
      <c r="X390" s="452">
        <f t="shared" si="310"/>
        <v>0.24596457599999999</v>
      </c>
      <c r="Y390" s="452">
        <f t="shared" si="311"/>
        <v>300</v>
      </c>
      <c r="Z390" s="262">
        <f t="shared" si="312"/>
        <v>17537520</v>
      </c>
      <c r="AA390" s="262">
        <f t="shared" si="313"/>
        <v>18396000</v>
      </c>
      <c r="AB390" s="431">
        <f t="shared" si="314"/>
        <v>8</v>
      </c>
      <c r="AC390" s="431">
        <f t="array" ref="AC390">MAX((IF(MNU_CODIGO_ALIMENTO_ENTREGA=CONCATENATE($E390,"_","P_"),MNU_GRAMAJE_REQUERIDO_TIPOC,"")))</f>
        <v>100</v>
      </c>
      <c r="AD390" s="259">
        <f t="shared" si="315"/>
        <v>9331</v>
      </c>
      <c r="AE390" s="259">
        <f t="shared" si="316"/>
        <v>74648</v>
      </c>
      <c r="AF390" s="452">
        <f t="shared" si="317"/>
        <v>286</v>
      </c>
      <c r="AG390" s="452">
        <f t="shared" si="318"/>
        <v>13.956800000000001</v>
      </c>
      <c r="AH390" s="452">
        <f t="shared" si="319"/>
        <v>0.24596457599999999</v>
      </c>
      <c r="AI390" s="452">
        <f t="shared" si="320"/>
        <v>300</v>
      </c>
      <c r="AJ390" s="260">
        <f t="shared" si="321"/>
        <v>21349328</v>
      </c>
      <c r="AK390" s="260">
        <f t="shared" si="322"/>
        <v>22394400</v>
      </c>
      <c r="AL390" s="432">
        <f t="shared" si="323"/>
        <v>8</v>
      </c>
      <c r="AM390" s="432">
        <f t="array" ref="AM390">MAX((IF(MNU_CODIGO_ALIMENTO_ENTREGA=CONCATENATE($E390,"_","P_"),MNU_GRAMAJE_REQUERIDO_TIPOM,"")))</f>
        <v>100</v>
      </c>
      <c r="AN390" s="261">
        <f t="shared" si="324"/>
        <v>251</v>
      </c>
      <c r="AO390" s="261">
        <f t="shared" si="325"/>
        <v>2008</v>
      </c>
      <c r="AP390" s="452">
        <f t="shared" si="326"/>
        <v>286</v>
      </c>
      <c r="AQ390" s="452">
        <f t="shared" si="327"/>
        <v>13.956800000000001</v>
      </c>
      <c r="AR390" s="452">
        <f t="shared" si="328"/>
        <v>0.24596457599999999</v>
      </c>
      <c r="AS390" s="452">
        <f t="shared" si="329"/>
        <v>300</v>
      </c>
      <c r="AT390" s="262">
        <f t="shared" si="330"/>
        <v>574288</v>
      </c>
      <c r="AU390" s="262">
        <f t="shared" si="331"/>
        <v>602400</v>
      </c>
      <c r="AV390" s="431">
        <f t="shared" si="332"/>
        <v>8</v>
      </c>
      <c r="AW390" s="431">
        <f t="array" ref="AW390">MAX((IF(MNU_CODIGO_ALIMENTO_ENTREGA=CONCATENATE($E390,"_","P_"),MNU_GRAMAJE_REQUERIDO_TIPOH,"")))</f>
        <v>100</v>
      </c>
      <c r="AX390" s="259">
        <f t="shared" si="333"/>
        <v>297</v>
      </c>
      <c r="AY390" s="259">
        <f t="shared" si="334"/>
        <v>2376</v>
      </c>
      <c r="AZ390" s="452">
        <f t="shared" si="335"/>
        <v>286</v>
      </c>
      <c r="BA390" s="452">
        <f t="shared" si="336"/>
        <v>13.956800000000001</v>
      </c>
      <c r="BB390" s="452">
        <f t="shared" si="337"/>
        <v>0.24596457599999999</v>
      </c>
      <c r="BC390" s="452">
        <f t="shared" si="338"/>
        <v>300</v>
      </c>
      <c r="BD390" s="260">
        <f t="shared" si="339"/>
        <v>679536</v>
      </c>
      <c r="BE390" s="260">
        <f t="shared" si="340"/>
        <v>712800</v>
      </c>
      <c r="BF390" s="397">
        <f t="shared" si="341"/>
        <v>40140672</v>
      </c>
      <c r="BG390" s="397">
        <f t="shared" si="342"/>
        <v>42105600</v>
      </c>
    </row>
    <row r="391" spans="1:59" ht="15.75">
      <c r="A391" s="338">
        <v>29</v>
      </c>
      <c r="B391" s="338" t="str">
        <f t="shared" si="294"/>
        <v>FRUTA_29</v>
      </c>
      <c r="C391" s="338" t="str">
        <f t="shared" si="295"/>
        <v>69_29</v>
      </c>
      <c r="D391" s="338" t="s">
        <v>1</v>
      </c>
      <c r="E391" s="258">
        <v>69</v>
      </c>
      <c r="F391" s="328" t="s">
        <v>70</v>
      </c>
      <c r="G391" s="258" t="s">
        <v>9</v>
      </c>
      <c r="H391" s="431">
        <f t="shared" si="296"/>
        <v>30</v>
      </c>
      <c r="I391" s="431">
        <f t="array" ref="I391">MAX((IF(MNU_CODIGO_ALIMENTO_ENTREGA=CONCATENATE($E391,"_","P_"),MNU_GRAMAJE_REQUERIDO_TIPOA,"")))</f>
        <v>100</v>
      </c>
      <c r="J391" s="259">
        <f t="shared" si="297"/>
        <v>5992</v>
      </c>
      <c r="K391" s="259">
        <f t="shared" si="298"/>
        <v>179760</v>
      </c>
      <c r="L391" s="452">
        <f t="shared" si="299"/>
        <v>305</v>
      </c>
      <c r="M391" s="452">
        <f t="shared" si="300"/>
        <v>14.884</v>
      </c>
      <c r="N391" s="452">
        <f t="shared" si="301"/>
        <v>0.26230488000000002</v>
      </c>
      <c r="O391" s="452">
        <f t="shared" si="302"/>
        <v>320</v>
      </c>
      <c r="P391" s="260">
        <f t="shared" si="303"/>
        <v>54826800</v>
      </c>
      <c r="Q391" s="260">
        <f t="shared" si="304"/>
        <v>57523200</v>
      </c>
      <c r="R391" s="432">
        <f t="shared" si="305"/>
        <v>16</v>
      </c>
      <c r="S391" s="432">
        <f t="array" ref="S391">MAX((IF(MNU_CODIGO_ALIMENTO_ENTREGA=CONCATENATE($E391,"_","P_"),MNU_GRAMAJE_REQUERIDO_TIPOB,"")))</f>
        <v>100</v>
      </c>
      <c r="T391" s="261">
        <f t="shared" si="306"/>
        <v>7665</v>
      </c>
      <c r="U391" s="261">
        <f t="shared" si="307"/>
        <v>122640</v>
      </c>
      <c r="V391" s="452">
        <f t="shared" si="308"/>
        <v>305</v>
      </c>
      <c r="W391" s="452">
        <f t="shared" si="309"/>
        <v>14.884</v>
      </c>
      <c r="X391" s="452">
        <f t="shared" si="310"/>
        <v>0.26230488000000002</v>
      </c>
      <c r="Y391" s="452">
        <f t="shared" si="311"/>
        <v>320</v>
      </c>
      <c r="Z391" s="262">
        <f t="shared" si="312"/>
        <v>37405200</v>
      </c>
      <c r="AA391" s="262">
        <f t="shared" si="313"/>
        <v>39244800</v>
      </c>
      <c r="AB391" s="431">
        <f t="shared" si="314"/>
        <v>16</v>
      </c>
      <c r="AC391" s="431">
        <f t="array" ref="AC391">MAX((IF(MNU_CODIGO_ALIMENTO_ENTREGA=CONCATENATE($E391,"_","P_"),MNU_GRAMAJE_REQUERIDO_TIPOC,"")))</f>
        <v>100</v>
      </c>
      <c r="AD391" s="259">
        <f t="shared" si="315"/>
        <v>9331</v>
      </c>
      <c r="AE391" s="259">
        <f t="shared" si="316"/>
        <v>149296</v>
      </c>
      <c r="AF391" s="452">
        <f t="shared" si="317"/>
        <v>305</v>
      </c>
      <c r="AG391" s="452">
        <f t="shared" si="318"/>
        <v>14.884</v>
      </c>
      <c r="AH391" s="452">
        <f t="shared" si="319"/>
        <v>0.26230488000000002</v>
      </c>
      <c r="AI391" s="452">
        <f t="shared" si="320"/>
        <v>320</v>
      </c>
      <c r="AJ391" s="260">
        <f t="shared" si="321"/>
        <v>45535280</v>
      </c>
      <c r="AK391" s="260">
        <f t="shared" si="322"/>
        <v>47774720</v>
      </c>
      <c r="AL391" s="432">
        <f t="shared" si="323"/>
        <v>16</v>
      </c>
      <c r="AM391" s="432">
        <f t="array" ref="AM391">MAX((IF(MNU_CODIGO_ALIMENTO_ENTREGA=CONCATENATE($E391,"_","P_"),MNU_GRAMAJE_REQUERIDO_TIPOM,"")))</f>
        <v>100</v>
      </c>
      <c r="AN391" s="261">
        <f t="shared" si="324"/>
        <v>251</v>
      </c>
      <c r="AO391" s="261">
        <f t="shared" si="325"/>
        <v>4016</v>
      </c>
      <c r="AP391" s="452">
        <f t="shared" si="326"/>
        <v>305</v>
      </c>
      <c r="AQ391" s="452">
        <f t="shared" si="327"/>
        <v>14.884</v>
      </c>
      <c r="AR391" s="452">
        <f t="shared" si="328"/>
        <v>0.26230488000000002</v>
      </c>
      <c r="AS391" s="452">
        <f t="shared" si="329"/>
        <v>320</v>
      </c>
      <c r="AT391" s="262">
        <f t="shared" si="330"/>
        <v>1224880</v>
      </c>
      <c r="AU391" s="262">
        <f t="shared" si="331"/>
        <v>1285120</v>
      </c>
      <c r="AV391" s="431">
        <f t="shared" si="332"/>
        <v>16</v>
      </c>
      <c r="AW391" s="431">
        <f t="array" ref="AW391">MAX((IF(MNU_CODIGO_ALIMENTO_ENTREGA=CONCATENATE($E391,"_","P_"),MNU_GRAMAJE_REQUERIDO_TIPOH,"")))</f>
        <v>100</v>
      </c>
      <c r="AX391" s="259">
        <f t="shared" si="333"/>
        <v>297</v>
      </c>
      <c r="AY391" s="259">
        <f t="shared" si="334"/>
        <v>4752</v>
      </c>
      <c r="AZ391" s="452">
        <f t="shared" si="335"/>
        <v>305</v>
      </c>
      <c r="BA391" s="452">
        <f t="shared" si="336"/>
        <v>14.884</v>
      </c>
      <c r="BB391" s="452">
        <f t="shared" si="337"/>
        <v>0.26230488000000002</v>
      </c>
      <c r="BC391" s="452">
        <f t="shared" si="338"/>
        <v>320</v>
      </c>
      <c r="BD391" s="260">
        <f t="shared" si="339"/>
        <v>1449360</v>
      </c>
      <c r="BE391" s="260">
        <f t="shared" si="340"/>
        <v>1520640</v>
      </c>
      <c r="BF391" s="397">
        <f t="shared" si="341"/>
        <v>140441520</v>
      </c>
      <c r="BG391" s="397">
        <f t="shared" si="342"/>
        <v>147348480</v>
      </c>
    </row>
    <row r="392" spans="1:59" ht="15.75">
      <c r="A392" s="338">
        <v>29</v>
      </c>
      <c r="B392" s="338" t="str">
        <f t="shared" si="294"/>
        <v>FRUTA_29</v>
      </c>
      <c r="C392" s="338" t="str">
        <f t="shared" si="295"/>
        <v>70_29</v>
      </c>
      <c r="D392" s="338" t="s">
        <v>1</v>
      </c>
      <c r="E392" s="258">
        <v>70</v>
      </c>
      <c r="F392" s="328" t="s">
        <v>71</v>
      </c>
      <c r="G392" s="258" t="s">
        <v>9</v>
      </c>
      <c r="H392" s="431">
        <f t="shared" si="296"/>
        <v>0</v>
      </c>
      <c r="I392" s="431">
        <f t="array" ref="I392">MAX((IF(MNU_CODIGO_ALIMENTO_ENTREGA=CONCATENATE($E392,"_","P_"),MNU_GRAMAJE_REQUERIDO_TIPOA,"")))</f>
        <v>0</v>
      </c>
      <c r="J392" s="259">
        <f t="shared" si="297"/>
        <v>5992</v>
      </c>
      <c r="K392" s="259">
        <f t="shared" si="298"/>
        <v>0</v>
      </c>
      <c r="L392" s="452">
        <f t="shared" si="299"/>
        <v>0</v>
      </c>
      <c r="M392" s="452">
        <f t="shared" si="300"/>
        <v>0</v>
      </c>
      <c r="N392" s="452">
        <f t="shared" si="301"/>
        <v>0</v>
      </c>
      <c r="O392" s="452">
        <f t="shared" si="302"/>
        <v>0</v>
      </c>
      <c r="P392" s="260">
        <f t="shared" si="303"/>
        <v>0</v>
      </c>
      <c r="Q392" s="260">
        <f t="shared" si="304"/>
        <v>0</v>
      </c>
      <c r="R392" s="432">
        <f t="shared" si="305"/>
        <v>10</v>
      </c>
      <c r="S392" s="432">
        <f t="array" ref="S392">MAX((IF(MNU_CODIGO_ALIMENTO_ENTREGA=CONCATENATE($E392,"_","P_"),MNU_GRAMAJE_REQUERIDO_TIPOB,"")))</f>
        <v>100</v>
      </c>
      <c r="T392" s="261">
        <f t="shared" si="306"/>
        <v>7665</v>
      </c>
      <c r="U392" s="261">
        <f t="shared" si="307"/>
        <v>76650</v>
      </c>
      <c r="V392" s="452">
        <f t="shared" si="308"/>
        <v>434</v>
      </c>
      <c r="W392" s="452">
        <f t="shared" si="309"/>
        <v>21.179200000000002</v>
      </c>
      <c r="X392" s="452">
        <f t="shared" si="310"/>
        <v>0.37324694399999997</v>
      </c>
      <c r="Y392" s="452">
        <f t="shared" si="311"/>
        <v>456</v>
      </c>
      <c r="Z392" s="262">
        <f t="shared" si="312"/>
        <v>33266100</v>
      </c>
      <c r="AA392" s="262">
        <f t="shared" si="313"/>
        <v>34952400</v>
      </c>
      <c r="AB392" s="431">
        <f t="shared" si="314"/>
        <v>10</v>
      </c>
      <c r="AC392" s="431">
        <f t="array" ref="AC392">MAX((IF(MNU_CODIGO_ALIMENTO_ENTREGA=CONCATENATE($E392,"_","P_"),MNU_GRAMAJE_REQUERIDO_TIPOC,"")))</f>
        <v>100</v>
      </c>
      <c r="AD392" s="259">
        <f t="shared" si="315"/>
        <v>9331</v>
      </c>
      <c r="AE392" s="259">
        <f t="shared" si="316"/>
        <v>93310</v>
      </c>
      <c r="AF392" s="452">
        <f t="shared" si="317"/>
        <v>434</v>
      </c>
      <c r="AG392" s="452">
        <f t="shared" si="318"/>
        <v>21.179200000000002</v>
      </c>
      <c r="AH392" s="452">
        <f t="shared" si="319"/>
        <v>0.37324694399999997</v>
      </c>
      <c r="AI392" s="452">
        <f t="shared" si="320"/>
        <v>456</v>
      </c>
      <c r="AJ392" s="260">
        <f t="shared" si="321"/>
        <v>40496540</v>
      </c>
      <c r="AK392" s="260">
        <f t="shared" si="322"/>
        <v>42549360</v>
      </c>
      <c r="AL392" s="432">
        <f t="shared" si="323"/>
        <v>10</v>
      </c>
      <c r="AM392" s="432">
        <f t="array" ref="AM392">MAX((IF(MNU_CODIGO_ALIMENTO_ENTREGA=CONCATENATE($E392,"_","P_"),MNU_GRAMAJE_REQUERIDO_TIPOM,"")))</f>
        <v>100</v>
      </c>
      <c r="AN392" s="261">
        <f t="shared" si="324"/>
        <v>251</v>
      </c>
      <c r="AO392" s="261">
        <f t="shared" si="325"/>
        <v>2510</v>
      </c>
      <c r="AP392" s="452">
        <f t="shared" si="326"/>
        <v>434</v>
      </c>
      <c r="AQ392" s="452">
        <f t="shared" si="327"/>
        <v>21.179200000000002</v>
      </c>
      <c r="AR392" s="452">
        <f t="shared" si="328"/>
        <v>0.37324694399999997</v>
      </c>
      <c r="AS392" s="452">
        <f t="shared" si="329"/>
        <v>456</v>
      </c>
      <c r="AT392" s="262">
        <f t="shared" si="330"/>
        <v>1089340</v>
      </c>
      <c r="AU392" s="262">
        <f t="shared" si="331"/>
        <v>1144560</v>
      </c>
      <c r="AV392" s="431">
        <f t="shared" si="332"/>
        <v>10</v>
      </c>
      <c r="AW392" s="431">
        <f t="array" ref="AW392">MAX((IF(MNU_CODIGO_ALIMENTO_ENTREGA=CONCATENATE($E392,"_","P_"),MNU_GRAMAJE_REQUERIDO_TIPOH,"")))</f>
        <v>100</v>
      </c>
      <c r="AX392" s="259">
        <f t="shared" si="333"/>
        <v>297</v>
      </c>
      <c r="AY392" s="259">
        <f t="shared" si="334"/>
        <v>2970</v>
      </c>
      <c r="AZ392" s="452">
        <f t="shared" si="335"/>
        <v>434</v>
      </c>
      <c r="BA392" s="452">
        <f t="shared" si="336"/>
        <v>21.179200000000002</v>
      </c>
      <c r="BB392" s="452">
        <f t="shared" si="337"/>
        <v>0.37324694399999997</v>
      </c>
      <c r="BC392" s="452">
        <f t="shared" si="338"/>
        <v>456</v>
      </c>
      <c r="BD392" s="260">
        <f t="shared" si="339"/>
        <v>1288980</v>
      </c>
      <c r="BE392" s="260">
        <f t="shared" si="340"/>
        <v>1354320</v>
      </c>
      <c r="BF392" s="397">
        <f t="shared" si="341"/>
        <v>76140960</v>
      </c>
      <c r="BG392" s="397">
        <f t="shared" si="342"/>
        <v>80000640</v>
      </c>
    </row>
    <row r="393" spans="1:59" ht="15.75">
      <c r="A393" s="338">
        <v>30</v>
      </c>
      <c r="B393" s="338" t="str">
        <f t="shared" si="294"/>
        <v>FRUTA_30</v>
      </c>
      <c r="C393" s="338" t="str">
        <f t="shared" si="295"/>
        <v>7_30</v>
      </c>
      <c r="D393" s="338" t="s">
        <v>1</v>
      </c>
      <c r="E393" s="258">
        <v>7</v>
      </c>
      <c r="F393" s="328" t="s">
        <v>57</v>
      </c>
      <c r="G393" s="258" t="s">
        <v>9</v>
      </c>
      <c r="H393" s="431">
        <f t="shared" si="296"/>
        <v>22</v>
      </c>
      <c r="I393" s="431">
        <f t="array" ref="I393">MAX((IF(MNU_CODIGO_ALIMENTO_ENTREGA=CONCATENATE($E393,"_","P_"),MNU_GRAMAJE_REQUERIDO_TIPOA,"")))</f>
        <v>100</v>
      </c>
      <c r="J393" s="259">
        <f t="shared" si="297"/>
        <v>4874</v>
      </c>
      <c r="K393" s="259">
        <f t="shared" si="298"/>
        <v>107228</v>
      </c>
      <c r="L393" s="452">
        <f t="shared" si="299"/>
        <v>107</v>
      </c>
      <c r="M393" s="452">
        <f t="shared" si="300"/>
        <v>5.2216000000000005</v>
      </c>
      <c r="N393" s="452">
        <f t="shared" si="301"/>
        <v>9.2021712000000006E-2</v>
      </c>
      <c r="O393" s="452">
        <f t="shared" si="302"/>
        <v>112</v>
      </c>
      <c r="P393" s="260">
        <f t="shared" si="303"/>
        <v>11473396</v>
      </c>
      <c r="Q393" s="260">
        <f t="shared" si="304"/>
        <v>12009536</v>
      </c>
      <c r="R393" s="432">
        <f t="shared" si="305"/>
        <v>9</v>
      </c>
      <c r="S393" s="432">
        <f t="array" ref="S393">MAX((IF(MNU_CODIGO_ALIMENTO_ENTREGA=CONCATENATE($E393,"_","P_"),MNU_GRAMAJE_REQUERIDO_TIPOB,"")))</f>
        <v>100</v>
      </c>
      <c r="T393" s="261">
        <f t="shared" si="306"/>
        <v>5933</v>
      </c>
      <c r="U393" s="261">
        <f t="shared" si="307"/>
        <v>53397</v>
      </c>
      <c r="V393" s="452">
        <f t="shared" si="308"/>
        <v>107</v>
      </c>
      <c r="W393" s="452">
        <f t="shared" si="309"/>
        <v>5.2216000000000005</v>
      </c>
      <c r="X393" s="452">
        <f t="shared" si="310"/>
        <v>9.2021712000000006E-2</v>
      </c>
      <c r="Y393" s="452">
        <f t="shared" si="311"/>
        <v>112</v>
      </c>
      <c r="Z393" s="262">
        <f t="shared" si="312"/>
        <v>5713479</v>
      </c>
      <c r="AA393" s="262">
        <f t="shared" si="313"/>
        <v>5980464</v>
      </c>
      <c r="AB393" s="431">
        <f t="shared" si="314"/>
        <v>9</v>
      </c>
      <c r="AC393" s="431">
        <f t="array" ref="AC393">MAX((IF(MNU_CODIGO_ALIMENTO_ENTREGA=CONCATENATE($E393,"_","P_"),MNU_GRAMAJE_REQUERIDO_TIPOC,"")))</f>
        <v>100</v>
      </c>
      <c r="AD393" s="259">
        <f t="shared" si="315"/>
        <v>6310</v>
      </c>
      <c r="AE393" s="259">
        <f t="shared" si="316"/>
        <v>56790</v>
      </c>
      <c r="AF393" s="452">
        <f t="shared" si="317"/>
        <v>107</v>
      </c>
      <c r="AG393" s="452">
        <f t="shared" si="318"/>
        <v>5.2216000000000005</v>
      </c>
      <c r="AH393" s="452">
        <f t="shared" si="319"/>
        <v>9.2021712000000006E-2</v>
      </c>
      <c r="AI393" s="452">
        <f t="shared" si="320"/>
        <v>112</v>
      </c>
      <c r="AJ393" s="260">
        <f t="shared" si="321"/>
        <v>6076530</v>
      </c>
      <c r="AK393" s="260">
        <f t="shared" si="322"/>
        <v>6360480</v>
      </c>
      <c r="AL393" s="432">
        <f t="shared" si="323"/>
        <v>9</v>
      </c>
      <c r="AM393" s="432">
        <f t="array" ref="AM393">MAX((IF(MNU_CODIGO_ALIMENTO_ENTREGA=CONCATENATE($E393,"_","P_"),MNU_GRAMAJE_REQUERIDO_TIPOM,"")))</f>
        <v>100</v>
      </c>
      <c r="AN393" s="261">
        <f t="shared" si="324"/>
        <v>283</v>
      </c>
      <c r="AO393" s="261">
        <f t="shared" si="325"/>
        <v>2547</v>
      </c>
      <c r="AP393" s="452">
        <f t="shared" si="326"/>
        <v>107</v>
      </c>
      <c r="AQ393" s="452">
        <f t="shared" si="327"/>
        <v>5.2216000000000005</v>
      </c>
      <c r="AR393" s="452">
        <f t="shared" si="328"/>
        <v>9.2021712000000006E-2</v>
      </c>
      <c r="AS393" s="452">
        <f t="shared" si="329"/>
        <v>112</v>
      </c>
      <c r="AT393" s="262">
        <f t="shared" si="330"/>
        <v>272529</v>
      </c>
      <c r="AU393" s="262">
        <f t="shared" si="331"/>
        <v>285264</v>
      </c>
      <c r="AV393" s="431">
        <f t="shared" si="332"/>
        <v>9</v>
      </c>
      <c r="AW393" s="431">
        <f t="array" ref="AW393">MAX((IF(MNU_CODIGO_ALIMENTO_ENTREGA=CONCATENATE($E393,"_","P_"),MNU_GRAMAJE_REQUERIDO_TIPOH,"")))</f>
        <v>100</v>
      </c>
      <c r="AX393" s="259">
        <f t="shared" si="333"/>
        <v>277</v>
      </c>
      <c r="AY393" s="259">
        <f t="shared" si="334"/>
        <v>2493</v>
      </c>
      <c r="AZ393" s="452">
        <f t="shared" si="335"/>
        <v>107</v>
      </c>
      <c r="BA393" s="452">
        <f t="shared" si="336"/>
        <v>5.2216000000000005</v>
      </c>
      <c r="BB393" s="452">
        <f t="shared" si="337"/>
        <v>9.2021712000000006E-2</v>
      </c>
      <c r="BC393" s="452">
        <f t="shared" si="338"/>
        <v>112</v>
      </c>
      <c r="BD393" s="260">
        <f t="shared" si="339"/>
        <v>266751</v>
      </c>
      <c r="BE393" s="260">
        <f t="shared" si="340"/>
        <v>279216</v>
      </c>
      <c r="BF393" s="397">
        <f t="shared" si="341"/>
        <v>23802685</v>
      </c>
      <c r="BG393" s="397">
        <f t="shared" si="342"/>
        <v>24914960</v>
      </c>
    </row>
    <row r="394" spans="1:59" ht="15.75">
      <c r="A394" s="338">
        <v>30</v>
      </c>
      <c r="B394" s="338" t="str">
        <f t="shared" si="294"/>
        <v>FRUTA_30</v>
      </c>
      <c r="C394" s="338" t="str">
        <f t="shared" si="295"/>
        <v>8_30</v>
      </c>
      <c r="D394" s="338" t="s">
        <v>1</v>
      </c>
      <c r="E394" s="258">
        <v>8</v>
      </c>
      <c r="F394" s="328" t="s">
        <v>55</v>
      </c>
      <c r="G394" s="258" t="s">
        <v>9</v>
      </c>
      <c r="H394" s="431">
        <f t="shared" si="296"/>
        <v>10</v>
      </c>
      <c r="I394" s="431">
        <f t="array" ref="I394">MAX((IF(MNU_CODIGO_ALIMENTO_ENTREGA=CONCATENATE($E394,"_","P_"),MNU_GRAMAJE_REQUERIDO_TIPOA,"")))</f>
        <v>100</v>
      </c>
      <c r="J394" s="259">
        <f t="shared" si="297"/>
        <v>4874</v>
      </c>
      <c r="K394" s="259">
        <f t="shared" si="298"/>
        <v>48740</v>
      </c>
      <c r="L394" s="452">
        <f t="shared" si="299"/>
        <v>134</v>
      </c>
      <c r="M394" s="452">
        <f t="shared" si="300"/>
        <v>6.539200000000001</v>
      </c>
      <c r="N394" s="452">
        <f t="shared" si="301"/>
        <v>0.115242144</v>
      </c>
      <c r="O394" s="452">
        <f t="shared" si="302"/>
        <v>141</v>
      </c>
      <c r="P394" s="260">
        <f t="shared" si="303"/>
        <v>6531160</v>
      </c>
      <c r="Q394" s="260">
        <f t="shared" si="304"/>
        <v>6872340</v>
      </c>
      <c r="R394" s="432">
        <f t="shared" si="305"/>
        <v>8</v>
      </c>
      <c r="S394" s="432">
        <f t="array" ref="S394">MAX((IF(MNU_CODIGO_ALIMENTO_ENTREGA=CONCATENATE($E394,"_","P_"),MNU_GRAMAJE_REQUERIDO_TIPOB,"")))</f>
        <v>100</v>
      </c>
      <c r="T394" s="261">
        <f t="shared" si="306"/>
        <v>5933</v>
      </c>
      <c r="U394" s="261">
        <f t="shared" si="307"/>
        <v>47464</v>
      </c>
      <c r="V394" s="452">
        <f t="shared" si="308"/>
        <v>134</v>
      </c>
      <c r="W394" s="452">
        <f t="shared" si="309"/>
        <v>6.539200000000001</v>
      </c>
      <c r="X394" s="452">
        <f t="shared" si="310"/>
        <v>0.115242144</v>
      </c>
      <c r="Y394" s="452">
        <f t="shared" si="311"/>
        <v>141</v>
      </c>
      <c r="Z394" s="262">
        <f t="shared" si="312"/>
        <v>6360176</v>
      </c>
      <c r="AA394" s="262">
        <f t="shared" si="313"/>
        <v>6692424</v>
      </c>
      <c r="AB394" s="431">
        <f t="shared" si="314"/>
        <v>8</v>
      </c>
      <c r="AC394" s="431">
        <f t="array" ref="AC394">MAX((IF(MNU_CODIGO_ALIMENTO_ENTREGA=CONCATENATE($E394,"_","P_"),MNU_GRAMAJE_REQUERIDO_TIPOC,"")))</f>
        <v>100</v>
      </c>
      <c r="AD394" s="259">
        <f t="shared" si="315"/>
        <v>6310</v>
      </c>
      <c r="AE394" s="259">
        <f t="shared" si="316"/>
        <v>50480</v>
      </c>
      <c r="AF394" s="452">
        <f t="shared" si="317"/>
        <v>134</v>
      </c>
      <c r="AG394" s="452">
        <f t="shared" si="318"/>
        <v>6.539200000000001</v>
      </c>
      <c r="AH394" s="452">
        <f t="shared" si="319"/>
        <v>0.115242144</v>
      </c>
      <c r="AI394" s="452">
        <f t="shared" si="320"/>
        <v>141</v>
      </c>
      <c r="AJ394" s="260">
        <f t="shared" si="321"/>
        <v>6764320</v>
      </c>
      <c r="AK394" s="260">
        <f t="shared" si="322"/>
        <v>7117680</v>
      </c>
      <c r="AL394" s="432">
        <f t="shared" si="323"/>
        <v>8</v>
      </c>
      <c r="AM394" s="432">
        <f t="array" ref="AM394">MAX((IF(MNU_CODIGO_ALIMENTO_ENTREGA=CONCATENATE($E394,"_","P_"),MNU_GRAMAJE_REQUERIDO_TIPOM,"")))</f>
        <v>100</v>
      </c>
      <c r="AN394" s="261">
        <f t="shared" si="324"/>
        <v>283</v>
      </c>
      <c r="AO394" s="261">
        <f t="shared" si="325"/>
        <v>2264</v>
      </c>
      <c r="AP394" s="452">
        <f t="shared" si="326"/>
        <v>134</v>
      </c>
      <c r="AQ394" s="452">
        <f t="shared" si="327"/>
        <v>6.539200000000001</v>
      </c>
      <c r="AR394" s="452">
        <f t="shared" si="328"/>
        <v>0.115242144</v>
      </c>
      <c r="AS394" s="452">
        <f t="shared" si="329"/>
        <v>141</v>
      </c>
      <c r="AT394" s="262">
        <f t="shared" si="330"/>
        <v>303376</v>
      </c>
      <c r="AU394" s="262">
        <f t="shared" si="331"/>
        <v>319224</v>
      </c>
      <c r="AV394" s="431">
        <f t="shared" si="332"/>
        <v>8</v>
      </c>
      <c r="AW394" s="431">
        <f t="array" ref="AW394">MAX((IF(MNU_CODIGO_ALIMENTO_ENTREGA=CONCATENATE($E394,"_","P_"),MNU_GRAMAJE_REQUERIDO_TIPOH,"")))</f>
        <v>100</v>
      </c>
      <c r="AX394" s="259">
        <f t="shared" si="333"/>
        <v>277</v>
      </c>
      <c r="AY394" s="259">
        <f t="shared" si="334"/>
        <v>2216</v>
      </c>
      <c r="AZ394" s="452">
        <f t="shared" si="335"/>
        <v>134</v>
      </c>
      <c r="BA394" s="452">
        <f t="shared" si="336"/>
        <v>6.539200000000001</v>
      </c>
      <c r="BB394" s="452">
        <f t="shared" si="337"/>
        <v>0.115242144</v>
      </c>
      <c r="BC394" s="452">
        <f t="shared" si="338"/>
        <v>141</v>
      </c>
      <c r="BD394" s="260">
        <f t="shared" si="339"/>
        <v>296944</v>
      </c>
      <c r="BE394" s="260">
        <f t="shared" si="340"/>
        <v>312456</v>
      </c>
      <c r="BF394" s="397">
        <f t="shared" si="341"/>
        <v>20255976</v>
      </c>
      <c r="BG394" s="397">
        <f t="shared" si="342"/>
        <v>21314124</v>
      </c>
    </row>
    <row r="395" spans="1:59" ht="15.75">
      <c r="A395" s="338">
        <v>30</v>
      </c>
      <c r="B395" s="338" t="str">
        <f t="shared" si="294"/>
        <v>FRUTA_30</v>
      </c>
      <c r="C395" s="338" t="str">
        <f t="shared" si="295"/>
        <v>17_30</v>
      </c>
      <c r="D395" s="338" t="s">
        <v>1</v>
      </c>
      <c r="E395" s="258">
        <v>17</v>
      </c>
      <c r="F395" s="328" t="s">
        <v>53</v>
      </c>
      <c r="G395" s="258" t="s">
        <v>9</v>
      </c>
      <c r="H395" s="431">
        <f t="shared" si="296"/>
        <v>0</v>
      </c>
      <c r="I395" s="431">
        <f t="array" ref="I395">MAX((IF(MNU_CODIGO_ALIMENTO_ENTREGA=CONCATENATE($E395,"_","P_"),MNU_GRAMAJE_REQUERIDO_TIPOA,"")))</f>
        <v>0</v>
      </c>
      <c r="J395" s="259">
        <f t="shared" si="297"/>
        <v>4874</v>
      </c>
      <c r="K395" s="259">
        <f t="shared" si="298"/>
        <v>0</v>
      </c>
      <c r="L395" s="452">
        <f t="shared" si="299"/>
        <v>0</v>
      </c>
      <c r="M395" s="452">
        <f t="shared" si="300"/>
        <v>0</v>
      </c>
      <c r="N395" s="452">
        <f t="shared" si="301"/>
        <v>0</v>
      </c>
      <c r="O395" s="452">
        <f t="shared" si="302"/>
        <v>0</v>
      </c>
      <c r="P395" s="260">
        <f t="shared" si="303"/>
        <v>0</v>
      </c>
      <c r="Q395" s="260">
        <f t="shared" si="304"/>
        <v>0</v>
      </c>
      <c r="R395" s="432">
        <f t="shared" si="305"/>
        <v>21</v>
      </c>
      <c r="S395" s="432">
        <f t="array" ref="S395">MAX((IF(MNU_CODIGO_ALIMENTO_ENTREGA=CONCATENATE($E395,"_","P_"),MNU_GRAMAJE_REQUERIDO_TIPOB,"")))</f>
        <v>100</v>
      </c>
      <c r="T395" s="261">
        <f t="shared" si="306"/>
        <v>5933</v>
      </c>
      <c r="U395" s="261">
        <f t="shared" si="307"/>
        <v>124593</v>
      </c>
      <c r="V395" s="452">
        <f t="shared" si="308"/>
        <v>226</v>
      </c>
      <c r="W395" s="452">
        <f t="shared" si="309"/>
        <v>11.0288</v>
      </c>
      <c r="X395" s="452">
        <f t="shared" si="310"/>
        <v>0.19436361600000002</v>
      </c>
      <c r="Y395" s="452">
        <f t="shared" si="311"/>
        <v>237</v>
      </c>
      <c r="Z395" s="262">
        <f t="shared" si="312"/>
        <v>28158018</v>
      </c>
      <c r="AA395" s="262">
        <f t="shared" si="313"/>
        <v>29528541</v>
      </c>
      <c r="AB395" s="431">
        <f t="shared" si="314"/>
        <v>21</v>
      </c>
      <c r="AC395" s="431">
        <f t="array" ref="AC395">MAX((IF(MNU_CODIGO_ALIMENTO_ENTREGA=CONCATENATE($E395,"_","P_"),MNU_GRAMAJE_REQUERIDO_TIPOC,"")))</f>
        <v>100</v>
      </c>
      <c r="AD395" s="259">
        <f t="shared" si="315"/>
        <v>6310</v>
      </c>
      <c r="AE395" s="259">
        <f t="shared" si="316"/>
        <v>132510</v>
      </c>
      <c r="AF395" s="452">
        <f t="shared" si="317"/>
        <v>226</v>
      </c>
      <c r="AG395" s="452">
        <f t="shared" si="318"/>
        <v>11.0288</v>
      </c>
      <c r="AH395" s="452">
        <f t="shared" si="319"/>
        <v>0.19436361600000002</v>
      </c>
      <c r="AI395" s="452">
        <f t="shared" si="320"/>
        <v>237</v>
      </c>
      <c r="AJ395" s="260">
        <f t="shared" si="321"/>
        <v>29947260</v>
      </c>
      <c r="AK395" s="260">
        <f t="shared" si="322"/>
        <v>31404870</v>
      </c>
      <c r="AL395" s="432">
        <f t="shared" si="323"/>
        <v>21</v>
      </c>
      <c r="AM395" s="432">
        <f t="array" ref="AM395">MAX((IF(MNU_CODIGO_ALIMENTO_ENTREGA=CONCATENATE($E395,"_","P_"),MNU_GRAMAJE_REQUERIDO_TIPOM,"")))</f>
        <v>100</v>
      </c>
      <c r="AN395" s="261">
        <f t="shared" si="324"/>
        <v>283</v>
      </c>
      <c r="AO395" s="261">
        <f t="shared" si="325"/>
        <v>5943</v>
      </c>
      <c r="AP395" s="452">
        <f t="shared" si="326"/>
        <v>226</v>
      </c>
      <c r="AQ395" s="452">
        <f t="shared" si="327"/>
        <v>11.0288</v>
      </c>
      <c r="AR395" s="452">
        <f t="shared" si="328"/>
        <v>0.19436361600000002</v>
      </c>
      <c r="AS395" s="452">
        <f t="shared" si="329"/>
        <v>237</v>
      </c>
      <c r="AT395" s="262">
        <f t="shared" si="330"/>
        <v>1343118</v>
      </c>
      <c r="AU395" s="262">
        <f t="shared" si="331"/>
        <v>1408491</v>
      </c>
      <c r="AV395" s="431">
        <f t="shared" si="332"/>
        <v>21</v>
      </c>
      <c r="AW395" s="431">
        <f t="array" ref="AW395">MAX((IF(MNU_CODIGO_ALIMENTO_ENTREGA=CONCATENATE($E395,"_","P_"),MNU_GRAMAJE_REQUERIDO_TIPOH,"")))</f>
        <v>100</v>
      </c>
      <c r="AX395" s="259">
        <f t="shared" si="333"/>
        <v>277</v>
      </c>
      <c r="AY395" s="259">
        <f t="shared" si="334"/>
        <v>5817</v>
      </c>
      <c r="AZ395" s="452">
        <f t="shared" si="335"/>
        <v>226</v>
      </c>
      <c r="BA395" s="452">
        <f t="shared" si="336"/>
        <v>11.0288</v>
      </c>
      <c r="BB395" s="452">
        <f t="shared" si="337"/>
        <v>0.19436361600000002</v>
      </c>
      <c r="BC395" s="452">
        <f t="shared" si="338"/>
        <v>237</v>
      </c>
      <c r="BD395" s="260">
        <f t="shared" si="339"/>
        <v>1314642</v>
      </c>
      <c r="BE395" s="260">
        <f t="shared" si="340"/>
        <v>1378629</v>
      </c>
      <c r="BF395" s="397">
        <f t="shared" si="341"/>
        <v>60763038</v>
      </c>
      <c r="BG395" s="397">
        <f t="shared" si="342"/>
        <v>63720531</v>
      </c>
    </row>
    <row r="396" spans="1:59" ht="15.75">
      <c r="A396" s="338">
        <v>30</v>
      </c>
      <c r="B396" s="338" t="str">
        <f t="shared" si="294"/>
        <v>FRUTA_30</v>
      </c>
      <c r="C396" s="338" t="str">
        <f t="shared" si="295"/>
        <v>22_30</v>
      </c>
      <c r="D396" s="338" t="s">
        <v>1</v>
      </c>
      <c r="E396" s="258">
        <v>22</v>
      </c>
      <c r="F396" s="465" t="s">
        <v>51</v>
      </c>
      <c r="G396" s="258" t="s">
        <v>9</v>
      </c>
      <c r="H396" s="431">
        <f t="shared" si="296"/>
        <v>0</v>
      </c>
      <c r="I396" s="431">
        <f t="array" ref="I396">MAX((IF(MNU_CODIGO_ALIMENTO_ENTREGA=CONCATENATE($E396,"_","P_"),MNU_GRAMAJE_REQUERIDO_TIPOA,"")))</f>
        <v>0</v>
      </c>
      <c r="J396" s="259">
        <f t="shared" si="297"/>
        <v>4874</v>
      </c>
      <c r="K396" s="259">
        <f t="shared" si="298"/>
        <v>0</v>
      </c>
      <c r="L396" s="452">
        <f t="shared" si="299"/>
        <v>0</v>
      </c>
      <c r="M396" s="452">
        <f t="shared" si="300"/>
        <v>0</v>
      </c>
      <c r="N396" s="452">
        <f t="shared" si="301"/>
        <v>0</v>
      </c>
      <c r="O396" s="452">
        <f t="shared" si="302"/>
        <v>0</v>
      </c>
      <c r="P396" s="260">
        <f t="shared" si="303"/>
        <v>0</v>
      </c>
      <c r="Q396" s="260">
        <f t="shared" si="304"/>
        <v>0</v>
      </c>
      <c r="R396" s="432">
        <f t="shared" si="305"/>
        <v>20</v>
      </c>
      <c r="S396" s="432">
        <f t="array" ref="S396">MAX((IF(MNU_CODIGO_ALIMENTO_ENTREGA=CONCATENATE($E396,"_","P_"),MNU_GRAMAJE_REQUERIDO_TIPOB,"")))</f>
        <v>100</v>
      </c>
      <c r="T396" s="261">
        <f t="shared" si="306"/>
        <v>5933</v>
      </c>
      <c r="U396" s="261">
        <f t="shared" si="307"/>
        <v>118660</v>
      </c>
      <c r="V396" s="452">
        <f t="shared" si="308"/>
        <v>525</v>
      </c>
      <c r="W396" s="452">
        <f t="shared" si="309"/>
        <v>25.62</v>
      </c>
      <c r="X396" s="452">
        <f t="shared" si="310"/>
        <v>0.45150840000000003</v>
      </c>
      <c r="Y396" s="452">
        <f t="shared" si="311"/>
        <v>551</v>
      </c>
      <c r="Z396" s="262">
        <f t="shared" si="312"/>
        <v>62296500</v>
      </c>
      <c r="AA396" s="262">
        <f t="shared" si="313"/>
        <v>65381660</v>
      </c>
      <c r="AB396" s="431">
        <f t="shared" si="314"/>
        <v>20</v>
      </c>
      <c r="AC396" s="431">
        <f t="array" ref="AC396">MAX((IF(MNU_CODIGO_ALIMENTO_ENTREGA=CONCATENATE($E396,"_","P_"),MNU_GRAMAJE_REQUERIDO_TIPOC,"")))</f>
        <v>100</v>
      </c>
      <c r="AD396" s="259">
        <f t="shared" si="315"/>
        <v>6310</v>
      </c>
      <c r="AE396" s="259">
        <f t="shared" si="316"/>
        <v>126200</v>
      </c>
      <c r="AF396" s="452">
        <f t="shared" si="317"/>
        <v>525</v>
      </c>
      <c r="AG396" s="452">
        <f t="shared" si="318"/>
        <v>25.62</v>
      </c>
      <c r="AH396" s="452">
        <f t="shared" si="319"/>
        <v>0.45150840000000003</v>
      </c>
      <c r="AI396" s="452">
        <f t="shared" si="320"/>
        <v>551</v>
      </c>
      <c r="AJ396" s="260">
        <f t="shared" si="321"/>
        <v>66255000</v>
      </c>
      <c r="AK396" s="260">
        <f t="shared" si="322"/>
        <v>69536200</v>
      </c>
      <c r="AL396" s="432">
        <f t="shared" si="323"/>
        <v>20</v>
      </c>
      <c r="AM396" s="432">
        <f t="array" ref="AM396">MAX((IF(MNU_CODIGO_ALIMENTO_ENTREGA=CONCATENATE($E396,"_","P_"),MNU_GRAMAJE_REQUERIDO_TIPOM,"")))</f>
        <v>100</v>
      </c>
      <c r="AN396" s="261">
        <f t="shared" si="324"/>
        <v>283</v>
      </c>
      <c r="AO396" s="261">
        <f t="shared" si="325"/>
        <v>5660</v>
      </c>
      <c r="AP396" s="452">
        <f t="shared" si="326"/>
        <v>525</v>
      </c>
      <c r="AQ396" s="452">
        <f t="shared" si="327"/>
        <v>25.62</v>
      </c>
      <c r="AR396" s="452">
        <f t="shared" si="328"/>
        <v>0.45150840000000003</v>
      </c>
      <c r="AS396" s="452">
        <f t="shared" si="329"/>
        <v>551</v>
      </c>
      <c r="AT396" s="262">
        <f t="shared" si="330"/>
        <v>2971500</v>
      </c>
      <c r="AU396" s="262">
        <f t="shared" si="331"/>
        <v>3118660</v>
      </c>
      <c r="AV396" s="431">
        <f t="shared" si="332"/>
        <v>20</v>
      </c>
      <c r="AW396" s="431">
        <f t="array" ref="AW396">MAX((IF(MNU_CODIGO_ALIMENTO_ENTREGA=CONCATENATE($E396,"_","P_"),MNU_GRAMAJE_REQUERIDO_TIPOH,"")))</f>
        <v>100</v>
      </c>
      <c r="AX396" s="259">
        <f t="shared" si="333"/>
        <v>277</v>
      </c>
      <c r="AY396" s="259">
        <f t="shared" si="334"/>
        <v>5540</v>
      </c>
      <c r="AZ396" s="452">
        <f t="shared" si="335"/>
        <v>525</v>
      </c>
      <c r="BA396" s="452">
        <f t="shared" si="336"/>
        <v>25.62</v>
      </c>
      <c r="BB396" s="452">
        <f t="shared" si="337"/>
        <v>0.45150840000000003</v>
      </c>
      <c r="BC396" s="452">
        <f t="shared" si="338"/>
        <v>551</v>
      </c>
      <c r="BD396" s="260">
        <f t="shared" si="339"/>
        <v>2908500</v>
      </c>
      <c r="BE396" s="260">
        <f t="shared" si="340"/>
        <v>3052540</v>
      </c>
      <c r="BF396" s="397">
        <f t="shared" si="341"/>
        <v>134431500</v>
      </c>
      <c r="BG396" s="397">
        <f t="shared" si="342"/>
        <v>141089060</v>
      </c>
    </row>
    <row r="397" spans="1:59" ht="15.75">
      <c r="A397" s="338">
        <v>30</v>
      </c>
      <c r="B397" s="338" t="str">
        <f t="shared" si="294"/>
        <v>FRUTA_30</v>
      </c>
      <c r="C397" s="338" t="str">
        <f t="shared" si="295"/>
        <v>33_30</v>
      </c>
      <c r="D397" s="338" t="s">
        <v>1</v>
      </c>
      <c r="E397" s="258">
        <v>33</v>
      </c>
      <c r="F397" s="328" t="s">
        <v>59</v>
      </c>
      <c r="G397" s="258" t="s">
        <v>48</v>
      </c>
      <c r="H397" s="431">
        <f t="shared" si="296"/>
        <v>27</v>
      </c>
      <c r="I397" s="431">
        <v>1</v>
      </c>
      <c r="J397" s="259">
        <f t="shared" si="297"/>
        <v>4874</v>
      </c>
      <c r="K397" s="259">
        <f t="shared" si="298"/>
        <v>131598</v>
      </c>
      <c r="L397" s="452">
        <f t="shared" si="299"/>
        <v>270</v>
      </c>
      <c r="M397" s="452">
        <f t="shared" si="300"/>
        <v>13.176000000000002</v>
      </c>
      <c r="N397" s="452">
        <f t="shared" si="301"/>
        <v>0.23220432000000002</v>
      </c>
      <c r="O397" s="452">
        <f t="shared" si="302"/>
        <v>283</v>
      </c>
      <c r="P397" s="260">
        <f t="shared" si="303"/>
        <v>35531460</v>
      </c>
      <c r="Q397" s="260">
        <f t="shared" si="304"/>
        <v>37242234</v>
      </c>
      <c r="R397" s="432">
        <f t="shared" si="305"/>
        <v>18</v>
      </c>
      <c r="S397" s="432">
        <v>1</v>
      </c>
      <c r="T397" s="261">
        <f t="shared" si="306"/>
        <v>5933</v>
      </c>
      <c r="U397" s="261">
        <f t="shared" si="307"/>
        <v>106794</v>
      </c>
      <c r="V397" s="452">
        <f t="shared" si="308"/>
        <v>270</v>
      </c>
      <c r="W397" s="452">
        <f t="shared" si="309"/>
        <v>13.176000000000002</v>
      </c>
      <c r="X397" s="452">
        <f t="shared" si="310"/>
        <v>0.23220432000000002</v>
      </c>
      <c r="Y397" s="452">
        <f t="shared" si="311"/>
        <v>283</v>
      </c>
      <c r="Z397" s="262">
        <f t="shared" si="312"/>
        <v>28834380</v>
      </c>
      <c r="AA397" s="262">
        <f t="shared" si="313"/>
        <v>30222702</v>
      </c>
      <c r="AB397" s="431">
        <f t="shared" si="314"/>
        <v>18</v>
      </c>
      <c r="AC397" s="431">
        <v>1</v>
      </c>
      <c r="AD397" s="259">
        <f t="shared" si="315"/>
        <v>6310</v>
      </c>
      <c r="AE397" s="259">
        <f t="shared" si="316"/>
        <v>113580</v>
      </c>
      <c r="AF397" s="452">
        <f t="shared" si="317"/>
        <v>270</v>
      </c>
      <c r="AG397" s="452">
        <f t="shared" si="318"/>
        <v>13.176000000000002</v>
      </c>
      <c r="AH397" s="452">
        <f t="shared" si="319"/>
        <v>0.23220432000000002</v>
      </c>
      <c r="AI397" s="452">
        <f t="shared" si="320"/>
        <v>283</v>
      </c>
      <c r="AJ397" s="260">
        <f t="shared" si="321"/>
        <v>30666600</v>
      </c>
      <c r="AK397" s="260">
        <f t="shared" si="322"/>
        <v>32143140</v>
      </c>
      <c r="AL397" s="432">
        <f t="shared" si="323"/>
        <v>18</v>
      </c>
      <c r="AM397" s="432">
        <v>1</v>
      </c>
      <c r="AN397" s="261">
        <f t="shared" si="324"/>
        <v>283</v>
      </c>
      <c r="AO397" s="261">
        <f t="shared" si="325"/>
        <v>5094</v>
      </c>
      <c r="AP397" s="452">
        <f t="shared" si="326"/>
        <v>270</v>
      </c>
      <c r="AQ397" s="452">
        <f t="shared" si="327"/>
        <v>13.176000000000002</v>
      </c>
      <c r="AR397" s="452">
        <f t="shared" si="328"/>
        <v>0.23220432000000002</v>
      </c>
      <c r="AS397" s="452">
        <f t="shared" si="329"/>
        <v>283</v>
      </c>
      <c r="AT397" s="262">
        <f t="shared" si="330"/>
        <v>1375380</v>
      </c>
      <c r="AU397" s="262">
        <f t="shared" si="331"/>
        <v>1441602</v>
      </c>
      <c r="AV397" s="431">
        <f t="shared" si="332"/>
        <v>18</v>
      </c>
      <c r="AW397" s="431">
        <v>1</v>
      </c>
      <c r="AX397" s="259">
        <f t="shared" si="333"/>
        <v>277</v>
      </c>
      <c r="AY397" s="259">
        <f t="shared" si="334"/>
        <v>4986</v>
      </c>
      <c r="AZ397" s="452">
        <f t="shared" si="335"/>
        <v>270</v>
      </c>
      <c r="BA397" s="452">
        <f t="shared" si="336"/>
        <v>13.176000000000002</v>
      </c>
      <c r="BB397" s="452">
        <f t="shared" si="337"/>
        <v>0.23220432000000002</v>
      </c>
      <c r="BC397" s="452">
        <f t="shared" si="338"/>
        <v>283</v>
      </c>
      <c r="BD397" s="260">
        <f t="shared" si="339"/>
        <v>1346220</v>
      </c>
      <c r="BE397" s="260">
        <f t="shared" si="340"/>
        <v>1411038</v>
      </c>
      <c r="BF397" s="397">
        <f t="shared" si="341"/>
        <v>97754040</v>
      </c>
      <c r="BG397" s="397">
        <f t="shared" si="342"/>
        <v>102460716</v>
      </c>
    </row>
    <row r="398" spans="1:59" ht="15.75">
      <c r="A398" s="338">
        <v>30</v>
      </c>
      <c r="B398" s="338" t="str">
        <f t="shared" si="294"/>
        <v>FRUTA_30</v>
      </c>
      <c r="C398" s="338" t="str">
        <f t="shared" si="295"/>
        <v>36_30</v>
      </c>
      <c r="D398" s="338" t="s">
        <v>1</v>
      </c>
      <c r="E398" s="258">
        <v>36</v>
      </c>
      <c r="F398" s="328" t="s">
        <v>1340</v>
      </c>
      <c r="G398" s="258" t="s">
        <v>9</v>
      </c>
      <c r="H398" s="431">
        <f t="shared" si="296"/>
        <v>7</v>
      </c>
      <c r="I398" s="431">
        <f t="array" ref="I398">MAX((IF(MNU_CODIGO_ALIMENTO_ENTREGA=CONCATENATE($E398,"_","P_"),MNU_GRAMAJE_REQUERIDO_TIPOA,"")))</f>
        <v>20</v>
      </c>
      <c r="J398" s="259">
        <f t="shared" si="297"/>
        <v>4874</v>
      </c>
      <c r="K398" s="259">
        <f t="shared" si="298"/>
        <v>34118</v>
      </c>
      <c r="L398" s="452">
        <f t="shared" si="299"/>
        <v>126</v>
      </c>
      <c r="M398" s="452">
        <f t="shared" si="300"/>
        <v>6.1488000000000005</v>
      </c>
      <c r="N398" s="452">
        <f t="shared" si="301"/>
        <v>0.10836201599999999</v>
      </c>
      <c r="O398" s="452">
        <f t="shared" si="302"/>
        <v>132</v>
      </c>
      <c r="P398" s="260">
        <f t="shared" si="303"/>
        <v>4298868</v>
      </c>
      <c r="Q398" s="260">
        <f t="shared" si="304"/>
        <v>4503576</v>
      </c>
      <c r="R398" s="432">
        <f t="shared" si="305"/>
        <v>7</v>
      </c>
      <c r="S398" s="432">
        <f t="array" ref="S398">MAX((IF(MNU_CODIGO_ALIMENTO_ENTREGA=CONCATENATE($E398,"_","P_"),MNU_GRAMAJE_REQUERIDO_TIPOB,"")))</f>
        <v>40</v>
      </c>
      <c r="T398" s="261">
        <f t="shared" si="306"/>
        <v>5933</v>
      </c>
      <c r="U398" s="261">
        <f t="shared" si="307"/>
        <v>41531</v>
      </c>
      <c r="V398" s="452">
        <f t="shared" si="308"/>
        <v>252</v>
      </c>
      <c r="W398" s="452">
        <f t="shared" si="309"/>
        <v>12.297600000000001</v>
      </c>
      <c r="X398" s="452">
        <f t="shared" si="310"/>
        <v>0.21672403199999998</v>
      </c>
      <c r="Y398" s="452">
        <f t="shared" si="311"/>
        <v>265</v>
      </c>
      <c r="Z398" s="262">
        <f t="shared" si="312"/>
        <v>10465812</v>
      </c>
      <c r="AA398" s="262">
        <f t="shared" si="313"/>
        <v>11005715</v>
      </c>
      <c r="AB398" s="431">
        <f t="shared" si="314"/>
        <v>7</v>
      </c>
      <c r="AC398" s="431">
        <f t="array" ref="AC398">MAX((IF(MNU_CODIGO_ALIMENTO_ENTREGA=CONCATENATE($E398,"_","P_"),MNU_GRAMAJE_REQUERIDO_TIPOC,"")))</f>
        <v>40</v>
      </c>
      <c r="AD398" s="259">
        <f t="shared" si="315"/>
        <v>6310</v>
      </c>
      <c r="AE398" s="259">
        <f t="shared" si="316"/>
        <v>44170</v>
      </c>
      <c r="AF398" s="452">
        <f t="shared" si="317"/>
        <v>252</v>
      </c>
      <c r="AG398" s="452">
        <f t="shared" si="318"/>
        <v>12.297600000000001</v>
      </c>
      <c r="AH398" s="452">
        <f t="shared" si="319"/>
        <v>0.21672403199999998</v>
      </c>
      <c r="AI398" s="452">
        <f t="shared" si="320"/>
        <v>265</v>
      </c>
      <c r="AJ398" s="260">
        <f t="shared" si="321"/>
        <v>11130840</v>
      </c>
      <c r="AK398" s="260">
        <f t="shared" si="322"/>
        <v>11705050</v>
      </c>
      <c r="AL398" s="432">
        <f t="shared" si="323"/>
        <v>7</v>
      </c>
      <c r="AM398" s="432">
        <f t="array" ref="AM398">MAX((IF(MNU_CODIGO_ALIMENTO_ENTREGA=CONCATENATE($E398,"_","P_"),MNU_GRAMAJE_REQUERIDO_TIPOM,"")))</f>
        <v>40</v>
      </c>
      <c r="AN398" s="261">
        <f t="shared" si="324"/>
        <v>283</v>
      </c>
      <c r="AO398" s="261">
        <f t="shared" si="325"/>
        <v>1981</v>
      </c>
      <c r="AP398" s="452">
        <f t="shared" si="326"/>
        <v>252</v>
      </c>
      <c r="AQ398" s="452">
        <f t="shared" si="327"/>
        <v>12.297600000000001</v>
      </c>
      <c r="AR398" s="452">
        <f t="shared" si="328"/>
        <v>0.21672403199999998</v>
      </c>
      <c r="AS398" s="452">
        <f t="shared" si="329"/>
        <v>265</v>
      </c>
      <c r="AT398" s="262">
        <f t="shared" si="330"/>
        <v>499212</v>
      </c>
      <c r="AU398" s="262">
        <f t="shared" si="331"/>
        <v>524965</v>
      </c>
      <c r="AV398" s="431">
        <f t="shared" si="332"/>
        <v>7</v>
      </c>
      <c r="AW398" s="431">
        <f t="array" ref="AW398">MAX((IF(MNU_CODIGO_ALIMENTO_ENTREGA=CONCATENATE($E398,"_","P_"),MNU_GRAMAJE_REQUERIDO_TIPOH,"")))</f>
        <v>40</v>
      </c>
      <c r="AX398" s="259">
        <f t="shared" si="333"/>
        <v>277</v>
      </c>
      <c r="AY398" s="259">
        <f t="shared" si="334"/>
        <v>1939</v>
      </c>
      <c r="AZ398" s="452">
        <f t="shared" si="335"/>
        <v>252</v>
      </c>
      <c r="BA398" s="452">
        <f t="shared" si="336"/>
        <v>12.297600000000001</v>
      </c>
      <c r="BB398" s="452">
        <f t="shared" si="337"/>
        <v>0.21672403199999998</v>
      </c>
      <c r="BC398" s="452">
        <f t="shared" si="338"/>
        <v>265</v>
      </c>
      <c r="BD398" s="260">
        <f t="shared" si="339"/>
        <v>488628</v>
      </c>
      <c r="BE398" s="260">
        <f t="shared" si="340"/>
        <v>513835</v>
      </c>
      <c r="BF398" s="397">
        <f t="shared" si="341"/>
        <v>26883360</v>
      </c>
      <c r="BG398" s="397">
        <f t="shared" si="342"/>
        <v>28253141</v>
      </c>
    </row>
    <row r="399" spans="1:59" ht="15.75">
      <c r="A399" s="338">
        <v>30</v>
      </c>
      <c r="B399" s="338" t="str">
        <f t="shared" si="294"/>
        <v>FRUTA_30</v>
      </c>
      <c r="C399" s="338" t="str">
        <f t="shared" si="295"/>
        <v>42_30</v>
      </c>
      <c r="D399" s="338" t="s">
        <v>1</v>
      </c>
      <c r="E399" s="258">
        <v>42</v>
      </c>
      <c r="F399" s="328" t="s">
        <v>61</v>
      </c>
      <c r="G399" s="258" t="s">
        <v>9</v>
      </c>
      <c r="H399" s="431">
        <f t="shared" si="296"/>
        <v>23</v>
      </c>
      <c r="I399" s="431">
        <f t="array" ref="I399">MAX((IF(MNU_CODIGO_ALIMENTO_ENTREGA=CONCATENATE($E399,"_","P_"),MNU_GRAMAJE_REQUERIDO_TIPOA,"")))</f>
        <v>100</v>
      </c>
      <c r="J399" s="259">
        <f t="shared" si="297"/>
        <v>4874</v>
      </c>
      <c r="K399" s="259">
        <f t="shared" si="298"/>
        <v>112102</v>
      </c>
      <c r="L399" s="452">
        <f t="shared" si="299"/>
        <v>194</v>
      </c>
      <c r="M399" s="452">
        <f t="shared" si="300"/>
        <v>9.4672000000000001</v>
      </c>
      <c r="N399" s="452">
        <f t="shared" si="301"/>
        <v>0.16684310399999999</v>
      </c>
      <c r="O399" s="452">
        <f t="shared" si="302"/>
        <v>204</v>
      </c>
      <c r="P399" s="260">
        <f t="shared" si="303"/>
        <v>21747788</v>
      </c>
      <c r="Q399" s="260">
        <f t="shared" si="304"/>
        <v>22868808</v>
      </c>
      <c r="R399" s="432">
        <f t="shared" si="305"/>
        <v>19</v>
      </c>
      <c r="S399" s="432">
        <f t="array" ref="S399">MAX((IF(MNU_CODIGO_ALIMENTO_ENTREGA=CONCATENATE($E399,"_","P_"),MNU_GRAMAJE_REQUERIDO_TIPOB,"")))</f>
        <v>100</v>
      </c>
      <c r="T399" s="261">
        <f t="shared" si="306"/>
        <v>5933</v>
      </c>
      <c r="U399" s="261">
        <f t="shared" si="307"/>
        <v>112727</v>
      </c>
      <c r="V399" s="452">
        <f t="shared" si="308"/>
        <v>194</v>
      </c>
      <c r="W399" s="452">
        <f t="shared" si="309"/>
        <v>9.4672000000000001</v>
      </c>
      <c r="X399" s="452">
        <f t="shared" si="310"/>
        <v>0.16684310399999999</v>
      </c>
      <c r="Y399" s="452">
        <f t="shared" si="311"/>
        <v>204</v>
      </c>
      <c r="Z399" s="262">
        <f t="shared" si="312"/>
        <v>21869038</v>
      </c>
      <c r="AA399" s="262">
        <f t="shared" si="313"/>
        <v>22996308</v>
      </c>
      <c r="AB399" s="431">
        <f t="shared" si="314"/>
        <v>19</v>
      </c>
      <c r="AC399" s="431">
        <f t="array" ref="AC399">MAX((IF(MNU_CODIGO_ALIMENTO_ENTREGA=CONCATENATE($E399,"_","P_"),MNU_GRAMAJE_REQUERIDO_TIPOC,"")))</f>
        <v>100</v>
      </c>
      <c r="AD399" s="259">
        <f t="shared" si="315"/>
        <v>6310</v>
      </c>
      <c r="AE399" s="259">
        <f t="shared" si="316"/>
        <v>119890</v>
      </c>
      <c r="AF399" s="452">
        <f t="shared" si="317"/>
        <v>194</v>
      </c>
      <c r="AG399" s="452">
        <f t="shared" si="318"/>
        <v>9.4672000000000001</v>
      </c>
      <c r="AH399" s="452">
        <f t="shared" si="319"/>
        <v>0.16684310399999999</v>
      </c>
      <c r="AI399" s="452">
        <f t="shared" si="320"/>
        <v>204</v>
      </c>
      <c r="AJ399" s="260">
        <f t="shared" si="321"/>
        <v>23258660</v>
      </c>
      <c r="AK399" s="260">
        <f t="shared" si="322"/>
        <v>24457560</v>
      </c>
      <c r="AL399" s="432">
        <f t="shared" si="323"/>
        <v>19</v>
      </c>
      <c r="AM399" s="432">
        <f t="array" ref="AM399">MAX((IF(MNU_CODIGO_ALIMENTO_ENTREGA=CONCATENATE($E399,"_","P_"),MNU_GRAMAJE_REQUERIDO_TIPOM,"")))</f>
        <v>100</v>
      </c>
      <c r="AN399" s="261">
        <f t="shared" si="324"/>
        <v>283</v>
      </c>
      <c r="AO399" s="261">
        <f t="shared" si="325"/>
        <v>5377</v>
      </c>
      <c r="AP399" s="452">
        <f t="shared" si="326"/>
        <v>194</v>
      </c>
      <c r="AQ399" s="452">
        <f t="shared" si="327"/>
        <v>9.4672000000000001</v>
      </c>
      <c r="AR399" s="452">
        <f t="shared" si="328"/>
        <v>0.16684310399999999</v>
      </c>
      <c r="AS399" s="452">
        <f t="shared" si="329"/>
        <v>204</v>
      </c>
      <c r="AT399" s="262">
        <f t="shared" si="330"/>
        <v>1043138</v>
      </c>
      <c r="AU399" s="262">
        <f t="shared" si="331"/>
        <v>1096908</v>
      </c>
      <c r="AV399" s="431">
        <f t="shared" si="332"/>
        <v>19</v>
      </c>
      <c r="AW399" s="431">
        <f t="array" ref="AW399">MAX((IF(MNU_CODIGO_ALIMENTO_ENTREGA=CONCATENATE($E399,"_","P_"),MNU_GRAMAJE_REQUERIDO_TIPOH,"")))</f>
        <v>100</v>
      </c>
      <c r="AX399" s="259">
        <f t="shared" si="333"/>
        <v>277</v>
      </c>
      <c r="AY399" s="259">
        <f t="shared" si="334"/>
        <v>5263</v>
      </c>
      <c r="AZ399" s="452">
        <f t="shared" si="335"/>
        <v>194</v>
      </c>
      <c r="BA399" s="452">
        <f t="shared" si="336"/>
        <v>9.4672000000000001</v>
      </c>
      <c r="BB399" s="452">
        <f t="shared" si="337"/>
        <v>0.16684310399999999</v>
      </c>
      <c r="BC399" s="452">
        <f t="shared" si="338"/>
        <v>204</v>
      </c>
      <c r="BD399" s="260">
        <f t="shared" si="339"/>
        <v>1021022</v>
      </c>
      <c r="BE399" s="260">
        <f t="shared" si="340"/>
        <v>1073652</v>
      </c>
      <c r="BF399" s="397">
        <f t="shared" si="341"/>
        <v>68939646</v>
      </c>
      <c r="BG399" s="397">
        <f t="shared" si="342"/>
        <v>72493236</v>
      </c>
    </row>
    <row r="400" spans="1:59" ht="15.75">
      <c r="A400" s="338">
        <v>30</v>
      </c>
      <c r="B400" s="338" t="str">
        <f t="shared" si="294"/>
        <v>FRUTA_30</v>
      </c>
      <c r="C400" s="338" t="str">
        <f t="shared" si="295"/>
        <v>43_30</v>
      </c>
      <c r="D400" s="338" t="s">
        <v>1</v>
      </c>
      <c r="E400" s="258">
        <v>43</v>
      </c>
      <c r="F400" s="328" t="s">
        <v>62</v>
      </c>
      <c r="G400" s="258" t="s">
        <v>9</v>
      </c>
      <c r="H400" s="431">
        <f t="shared" si="296"/>
        <v>24</v>
      </c>
      <c r="I400" s="431">
        <f t="array" ref="I400">MAX((IF(MNU_CODIGO_ALIMENTO_ENTREGA=CONCATENATE($E400,"_","P_"),MNU_GRAMAJE_REQUERIDO_TIPOA,"")))</f>
        <v>100</v>
      </c>
      <c r="J400" s="259">
        <f t="shared" si="297"/>
        <v>4874</v>
      </c>
      <c r="K400" s="259">
        <f t="shared" si="298"/>
        <v>116976</v>
      </c>
      <c r="L400" s="452">
        <f t="shared" si="299"/>
        <v>170</v>
      </c>
      <c r="M400" s="452">
        <f t="shared" si="300"/>
        <v>8.2959999999999994</v>
      </c>
      <c r="N400" s="452">
        <f t="shared" si="301"/>
        <v>0.14620272000000001</v>
      </c>
      <c r="O400" s="452">
        <f t="shared" si="302"/>
        <v>178</v>
      </c>
      <c r="P400" s="260">
        <f t="shared" si="303"/>
        <v>19885920</v>
      </c>
      <c r="Q400" s="260">
        <f t="shared" si="304"/>
        <v>20821728</v>
      </c>
      <c r="R400" s="432">
        <f t="shared" si="305"/>
        <v>17</v>
      </c>
      <c r="S400" s="432">
        <f t="array" ref="S400">MAX((IF(MNU_CODIGO_ALIMENTO_ENTREGA=CONCATENATE($E400,"_","P_"),MNU_GRAMAJE_REQUERIDO_TIPOB,"")))</f>
        <v>100</v>
      </c>
      <c r="T400" s="261">
        <f t="shared" si="306"/>
        <v>5933</v>
      </c>
      <c r="U400" s="261">
        <f t="shared" si="307"/>
        <v>100861</v>
      </c>
      <c r="V400" s="452">
        <f t="shared" si="308"/>
        <v>170</v>
      </c>
      <c r="W400" s="452">
        <f t="shared" si="309"/>
        <v>8.2959999999999994</v>
      </c>
      <c r="X400" s="452">
        <f t="shared" si="310"/>
        <v>0.14620272000000001</v>
      </c>
      <c r="Y400" s="452">
        <f t="shared" si="311"/>
        <v>178</v>
      </c>
      <c r="Z400" s="262">
        <f t="shared" si="312"/>
        <v>17146370</v>
      </c>
      <c r="AA400" s="262">
        <f t="shared" si="313"/>
        <v>17953258</v>
      </c>
      <c r="AB400" s="431">
        <f t="shared" si="314"/>
        <v>17</v>
      </c>
      <c r="AC400" s="431">
        <f t="array" ref="AC400">MAX((IF(MNU_CODIGO_ALIMENTO_ENTREGA=CONCATENATE($E400,"_","P_"),MNU_GRAMAJE_REQUERIDO_TIPOC,"")))</f>
        <v>100</v>
      </c>
      <c r="AD400" s="259">
        <f t="shared" si="315"/>
        <v>6310</v>
      </c>
      <c r="AE400" s="259">
        <f t="shared" si="316"/>
        <v>107270</v>
      </c>
      <c r="AF400" s="452">
        <f t="shared" si="317"/>
        <v>170</v>
      </c>
      <c r="AG400" s="452">
        <f t="shared" si="318"/>
        <v>8.2959999999999994</v>
      </c>
      <c r="AH400" s="452">
        <f t="shared" si="319"/>
        <v>0.14620272000000001</v>
      </c>
      <c r="AI400" s="452">
        <f t="shared" si="320"/>
        <v>178</v>
      </c>
      <c r="AJ400" s="260">
        <f t="shared" si="321"/>
        <v>18235900</v>
      </c>
      <c r="AK400" s="260">
        <f t="shared" si="322"/>
        <v>19094060</v>
      </c>
      <c r="AL400" s="432">
        <f t="shared" si="323"/>
        <v>17</v>
      </c>
      <c r="AM400" s="432">
        <f t="array" ref="AM400">MAX((IF(MNU_CODIGO_ALIMENTO_ENTREGA=CONCATENATE($E400,"_","P_"),MNU_GRAMAJE_REQUERIDO_TIPOM,"")))</f>
        <v>100</v>
      </c>
      <c r="AN400" s="261">
        <f t="shared" si="324"/>
        <v>283</v>
      </c>
      <c r="AO400" s="261">
        <f t="shared" si="325"/>
        <v>4811</v>
      </c>
      <c r="AP400" s="452">
        <f t="shared" si="326"/>
        <v>170</v>
      </c>
      <c r="AQ400" s="452">
        <f t="shared" si="327"/>
        <v>8.2959999999999994</v>
      </c>
      <c r="AR400" s="452">
        <f t="shared" si="328"/>
        <v>0.14620272000000001</v>
      </c>
      <c r="AS400" s="452">
        <f t="shared" si="329"/>
        <v>178</v>
      </c>
      <c r="AT400" s="262">
        <f t="shared" si="330"/>
        <v>817870</v>
      </c>
      <c r="AU400" s="262">
        <f t="shared" si="331"/>
        <v>856358</v>
      </c>
      <c r="AV400" s="431">
        <f t="shared" si="332"/>
        <v>17</v>
      </c>
      <c r="AW400" s="431">
        <f t="array" ref="AW400">MAX((IF(MNU_CODIGO_ALIMENTO_ENTREGA=CONCATENATE($E400,"_","P_"),MNU_GRAMAJE_REQUERIDO_TIPOH,"")))</f>
        <v>100</v>
      </c>
      <c r="AX400" s="259">
        <f t="shared" si="333"/>
        <v>277</v>
      </c>
      <c r="AY400" s="259">
        <f t="shared" si="334"/>
        <v>4709</v>
      </c>
      <c r="AZ400" s="452">
        <f t="shared" si="335"/>
        <v>170</v>
      </c>
      <c r="BA400" s="452">
        <f t="shared" si="336"/>
        <v>8.2959999999999994</v>
      </c>
      <c r="BB400" s="452">
        <f t="shared" si="337"/>
        <v>0.14620272000000001</v>
      </c>
      <c r="BC400" s="452">
        <f t="shared" si="338"/>
        <v>178</v>
      </c>
      <c r="BD400" s="260">
        <f t="shared" si="339"/>
        <v>800530</v>
      </c>
      <c r="BE400" s="260">
        <f t="shared" si="340"/>
        <v>838202</v>
      </c>
      <c r="BF400" s="397">
        <f t="shared" si="341"/>
        <v>56886590</v>
      </c>
      <c r="BG400" s="397">
        <f t="shared" si="342"/>
        <v>59563606</v>
      </c>
    </row>
    <row r="401" spans="1:59" ht="15.75">
      <c r="A401" s="338">
        <v>30</v>
      </c>
      <c r="B401" s="338" t="str">
        <f t="shared" si="294"/>
        <v>FRUTA_30</v>
      </c>
      <c r="C401" s="338" t="str">
        <f t="shared" si="295"/>
        <v>46_30</v>
      </c>
      <c r="D401" s="338" t="s">
        <v>1</v>
      </c>
      <c r="E401" s="258">
        <v>46</v>
      </c>
      <c r="F401" s="328" t="s">
        <v>64</v>
      </c>
      <c r="G401" s="258" t="s">
        <v>9</v>
      </c>
      <c r="H401" s="431">
        <f t="shared" si="296"/>
        <v>30</v>
      </c>
      <c r="I401" s="431">
        <f t="array" ref="I401">MAX((IF(MNU_CODIGO_ALIMENTO_ENTREGA=CONCATENATE($E401,"_","P_"),MNU_GRAMAJE_REQUERIDO_TIPOA,"")))</f>
        <v>100</v>
      </c>
      <c r="J401" s="259">
        <f t="shared" si="297"/>
        <v>4874</v>
      </c>
      <c r="K401" s="259">
        <f t="shared" si="298"/>
        <v>146220</v>
      </c>
      <c r="L401" s="452">
        <f t="shared" si="299"/>
        <v>398</v>
      </c>
      <c r="M401" s="452">
        <f t="shared" si="300"/>
        <v>19.4224</v>
      </c>
      <c r="N401" s="452">
        <f t="shared" si="301"/>
        <v>0.34228636800000001</v>
      </c>
      <c r="O401" s="452">
        <f t="shared" si="302"/>
        <v>418</v>
      </c>
      <c r="P401" s="260">
        <f t="shared" si="303"/>
        <v>58195560</v>
      </c>
      <c r="Q401" s="260">
        <f t="shared" si="304"/>
        <v>61119960</v>
      </c>
      <c r="R401" s="432">
        <f t="shared" si="305"/>
        <v>21</v>
      </c>
      <c r="S401" s="432">
        <f t="array" ref="S401">MAX((IF(MNU_CODIGO_ALIMENTO_ENTREGA=CONCATENATE($E401,"_","P_"),MNU_GRAMAJE_REQUERIDO_TIPOB,"")))</f>
        <v>100</v>
      </c>
      <c r="T401" s="261">
        <f t="shared" si="306"/>
        <v>5933</v>
      </c>
      <c r="U401" s="261">
        <f t="shared" si="307"/>
        <v>124593</v>
      </c>
      <c r="V401" s="452">
        <f t="shared" si="308"/>
        <v>398</v>
      </c>
      <c r="W401" s="452">
        <f t="shared" si="309"/>
        <v>19.4224</v>
      </c>
      <c r="X401" s="452">
        <f t="shared" si="310"/>
        <v>0.34228636800000001</v>
      </c>
      <c r="Y401" s="452">
        <f t="shared" si="311"/>
        <v>418</v>
      </c>
      <c r="Z401" s="262">
        <f t="shared" si="312"/>
        <v>49588014</v>
      </c>
      <c r="AA401" s="262">
        <f t="shared" si="313"/>
        <v>52079874</v>
      </c>
      <c r="AB401" s="431">
        <f t="shared" si="314"/>
        <v>21</v>
      </c>
      <c r="AC401" s="431">
        <f t="array" ref="AC401">MAX((IF(MNU_CODIGO_ALIMENTO_ENTREGA=CONCATENATE($E401,"_","P_"),MNU_GRAMAJE_REQUERIDO_TIPOC,"")))</f>
        <v>100</v>
      </c>
      <c r="AD401" s="259">
        <f t="shared" si="315"/>
        <v>6310</v>
      </c>
      <c r="AE401" s="259">
        <f t="shared" si="316"/>
        <v>132510</v>
      </c>
      <c r="AF401" s="452">
        <f t="shared" si="317"/>
        <v>398</v>
      </c>
      <c r="AG401" s="452">
        <f t="shared" si="318"/>
        <v>19.4224</v>
      </c>
      <c r="AH401" s="452">
        <f t="shared" si="319"/>
        <v>0.34228636800000001</v>
      </c>
      <c r="AI401" s="452">
        <f t="shared" si="320"/>
        <v>418</v>
      </c>
      <c r="AJ401" s="260">
        <f t="shared" si="321"/>
        <v>52738980</v>
      </c>
      <c r="AK401" s="260">
        <f t="shared" si="322"/>
        <v>55389180</v>
      </c>
      <c r="AL401" s="432">
        <f t="shared" si="323"/>
        <v>21</v>
      </c>
      <c r="AM401" s="432">
        <f t="array" ref="AM401">MAX((IF(MNU_CODIGO_ALIMENTO_ENTREGA=CONCATENATE($E401,"_","P_"),MNU_GRAMAJE_REQUERIDO_TIPOM,"")))</f>
        <v>100</v>
      </c>
      <c r="AN401" s="261">
        <f t="shared" si="324"/>
        <v>283</v>
      </c>
      <c r="AO401" s="261">
        <f t="shared" si="325"/>
        <v>5943</v>
      </c>
      <c r="AP401" s="452">
        <f t="shared" si="326"/>
        <v>398</v>
      </c>
      <c r="AQ401" s="452">
        <f t="shared" si="327"/>
        <v>19.4224</v>
      </c>
      <c r="AR401" s="452">
        <f t="shared" si="328"/>
        <v>0.34228636800000001</v>
      </c>
      <c r="AS401" s="452">
        <f t="shared" si="329"/>
        <v>418</v>
      </c>
      <c r="AT401" s="262">
        <f t="shared" si="330"/>
        <v>2365314</v>
      </c>
      <c r="AU401" s="262">
        <f t="shared" si="331"/>
        <v>2484174</v>
      </c>
      <c r="AV401" s="431">
        <f t="shared" si="332"/>
        <v>21</v>
      </c>
      <c r="AW401" s="431">
        <f t="array" ref="AW401">MAX((IF(MNU_CODIGO_ALIMENTO_ENTREGA=CONCATENATE($E401,"_","P_"),MNU_GRAMAJE_REQUERIDO_TIPOH,"")))</f>
        <v>100</v>
      </c>
      <c r="AX401" s="259">
        <f t="shared" si="333"/>
        <v>277</v>
      </c>
      <c r="AY401" s="259">
        <f t="shared" si="334"/>
        <v>5817</v>
      </c>
      <c r="AZ401" s="452">
        <f t="shared" si="335"/>
        <v>398</v>
      </c>
      <c r="BA401" s="452">
        <f t="shared" si="336"/>
        <v>19.4224</v>
      </c>
      <c r="BB401" s="452">
        <f t="shared" si="337"/>
        <v>0.34228636800000001</v>
      </c>
      <c r="BC401" s="452">
        <f t="shared" si="338"/>
        <v>418</v>
      </c>
      <c r="BD401" s="260">
        <f t="shared" si="339"/>
        <v>2315166</v>
      </c>
      <c r="BE401" s="260">
        <f t="shared" si="340"/>
        <v>2431506</v>
      </c>
      <c r="BF401" s="397">
        <f t="shared" si="341"/>
        <v>165203034</v>
      </c>
      <c r="BG401" s="397">
        <f t="shared" si="342"/>
        <v>173504694</v>
      </c>
    </row>
    <row r="402" spans="1:59" ht="15.75">
      <c r="A402" s="338">
        <v>30</v>
      </c>
      <c r="B402" s="338" t="str">
        <f t="shared" si="294"/>
        <v>FRUTA_30</v>
      </c>
      <c r="C402" s="338" t="str">
        <f t="shared" si="295"/>
        <v>58_30</v>
      </c>
      <c r="D402" s="338" t="s">
        <v>1</v>
      </c>
      <c r="E402" s="258">
        <v>58</v>
      </c>
      <c r="F402" s="328" t="s">
        <v>67</v>
      </c>
      <c r="G402" s="258" t="s">
        <v>9</v>
      </c>
      <c r="H402" s="431">
        <f t="shared" si="296"/>
        <v>24</v>
      </c>
      <c r="I402" s="431">
        <f t="array" ref="I402">MAX((IF(MNU_CODIGO_ALIMENTO_ENTREGA=CONCATENATE($E402,"_","P_"),MNU_GRAMAJE_REQUERIDO_TIPOA,"")))</f>
        <v>100</v>
      </c>
      <c r="J402" s="259">
        <f t="shared" si="297"/>
        <v>4874</v>
      </c>
      <c r="K402" s="259">
        <f t="shared" si="298"/>
        <v>116976</v>
      </c>
      <c r="L402" s="452">
        <f t="shared" si="299"/>
        <v>154</v>
      </c>
      <c r="M402" s="452">
        <f t="shared" si="300"/>
        <v>7.515200000000001</v>
      </c>
      <c r="N402" s="452">
        <f t="shared" si="301"/>
        <v>0.13244246400000001</v>
      </c>
      <c r="O402" s="452">
        <f t="shared" si="302"/>
        <v>162</v>
      </c>
      <c r="P402" s="260">
        <f t="shared" si="303"/>
        <v>18014304</v>
      </c>
      <c r="Q402" s="260">
        <f t="shared" si="304"/>
        <v>18950112</v>
      </c>
      <c r="R402" s="432">
        <f t="shared" si="305"/>
        <v>23</v>
      </c>
      <c r="S402" s="432">
        <f t="array" ref="S402">MAX((IF(MNU_CODIGO_ALIMENTO_ENTREGA=CONCATENATE($E402,"_","P_"),MNU_GRAMAJE_REQUERIDO_TIPOB,"")))</f>
        <v>100</v>
      </c>
      <c r="T402" s="261">
        <f t="shared" si="306"/>
        <v>5933</v>
      </c>
      <c r="U402" s="261">
        <f t="shared" si="307"/>
        <v>136459</v>
      </c>
      <c r="V402" s="452">
        <f t="shared" si="308"/>
        <v>154</v>
      </c>
      <c r="W402" s="452">
        <f t="shared" si="309"/>
        <v>7.515200000000001</v>
      </c>
      <c r="X402" s="452">
        <f t="shared" si="310"/>
        <v>0.13244246400000001</v>
      </c>
      <c r="Y402" s="452">
        <f t="shared" si="311"/>
        <v>162</v>
      </c>
      <c r="Z402" s="262">
        <f t="shared" si="312"/>
        <v>21014686</v>
      </c>
      <c r="AA402" s="262">
        <f t="shared" si="313"/>
        <v>22106358</v>
      </c>
      <c r="AB402" s="431">
        <f t="shared" si="314"/>
        <v>23</v>
      </c>
      <c r="AC402" s="431">
        <f t="array" ref="AC402">MAX((IF(MNU_CODIGO_ALIMENTO_ENTREGA=CONCATENATE($E402,"_","P_"),MNU_GRAMAJE_REQUERIDO_TIPOC,"")))</f>
        <v>100</v>
      </c>
      <c r="AD402" s="259">
        <f t="shared" si="315"/>
        <v>6310</v>
      </c>
      <c r="AE402" s="259">
        <f t="shared" si="316"/>
        <v>145130</v>
      </c>
      <c r="AF402" s="452">
        <f t="shared" si="317"/>
        <v>154</v>
      </c>
      <c r="AG402" s="452">
        <f t="shared" si="318"/>
        <v>7.515200000000001</v>
      </c>
      <c r="AH402" s="452">
        <f t="shared" si="319"/>
        <v>0.13244246400000001</v>
      </c>
      <c r="AI402" s="452">
        <f t="shared" si="320"/>
        <v>162</v>
      </c>
      <c r="AJ402" s="260">
        <f t="shared" si="321"/>
        <v>22350020</v>
      </c>
      <c r="AK402" s="260">
        <f t="shared" si="322"/>
        <v>23511060</v>
      </c>
      <c r="AL402" s="432">
        <f t="shared" si="323"/>
        <v>23</v>
      </c>
      <c r="AM402" s="432">
        <f t="array" ref="AM402">MAX((IF(MNU_CODIGO_ALIMENTO_ENTREGA=CONCATENATE($E402,"_","P_"),MNU_GRAMAJE_REQUERIDO_TIPOM,"")))</f>
        <v>100</v>
      </c>
      <c r="AN402" s="261">
        <f t="shared" si="324"/>
        <v>283</v>
      </c>
      <c r="AO402" s="261">
        <f t="shared" si="325"/>
        <v>6509</v>
      </c>
      <c r="AP402" s="452">
        <f t="shared" si="326"/>
        <v>154</v>
      </c>
      <c r="AQ402" s="452">
        <f t="shared" si="327"/>
        <v>7.515200000000001</v>
      </c>
      <c r="AR402" s="452">
        <f t="shared" si="328"/>
        <v>0.13244246400000001</v>
      </c>
      <c r="AS402" s="452">
        <f t="shared" si="329"/>
        <v>162</v>
      </c>
      <c r="AT402" s="262">
        <f t="shared" si="330"/>
        <v>1002386</v>
      </c>
      <c r="AU402" s="262">
        <f t="shared" si="331"/>
        <v>1054458</v>
      </c>
      <c r="AV402" s="431">
        <f t="shared" si="332"/>
        <v>23</v>
      </c>
      <c r="AW402" s="431">
        <f t="array" ref="AW402">MAX((IF(MNU_CODIGO_ALIMENTO_ENTREGA=CONCATENATE($E402,"_","P_"),MNU_GRAMAJE_REQUERIDO_TIPOH,"")))</f>
        <v>100</v>
      </c>
      <c r="AX402" s="259">
        <f t="shared" si="333"/>
        <v>277</v>
      </c>
      <c r="AY402" s="259">
        <f t="shared" si="334"/>
        <v>6371</v>
      </c>
      <c r="AZ402" s="452">
        <f t="shared" si="335"/>
        <v>154</v>
      </c>
      <c r="BA402" s="452">
        <f t="shared" si="336"/>
        <v>7.515200000000001</v>
      </c>
      <c r="BB402" s="452">
        <f t="shared" si="337"/>
        <v>0.13244246400000001</v>
      </c>
      <c r="BC402" s="452">
        <f t="shared" si="338"/>
        <v>162</v>
      </c>
      <c r="BD402" s="260">
        <f t="shared" si="339"/>
        <v>981134</v>
      </c>
      <c r="BE402" s="260">
        <f t="shared" si="340"/>
        <v>1032102</v>
      </c>
      <c r="BF402" s="397">
        <f t="shared" si="341"/>
        <v>63362530</v>
      </c>
      <c r="BG402" s="397">
        <f t="shared" si="342"/>
        <v>66654090</v>
      </c>
    </row>
    <row r="403" spans="1:59" ht="15.75">
      <c r="A403" s="338">
        <v>30</v>
      </c>
      <c r="B403" s="338" t="str">
        <f t="shared" si="294"/>
        <v>FRUTA_30</v>
      </c>
      <c r="C403" s="338" t="str">
        <f t="shared" si="295"/>
        <v>59_30</v>
      </c>
      <c r="D403" s="338" t="s">
        <v>1</v>
      </c>
      <c r="E403" s="258">
        <v>59</v>
      </c>
      <c r="F403" s="328" t="s">
        <v>99</v>
      </c>
      <c r="G403" s="258" t="s">
        <v>9</v>
      </c>
      <c r="H403" s="431">
        <f t="shared" si="296"/>
        <v>0</v>
      </c>
      <c r="I403" s="431">
        <f t="array" ref="I403">MAX((IF(MNU_CODIGO_ALIMENTO_ENTREGA=CONCATENATE($E403,"_","P_"),MNU_GRAMAJE_REQUERIDO_TIPOA,"")))</f>
        <v>0</v>
      </c>
      <c r="J403" s="259">
        <f t="shared" si="297"/>
        <v>4874</v>
      </c>
      <c r="K403" s="259">
        <f t="shared" si="298"/>
        <v>0</v>
      </c>
      <c r="L403" s="452">
        <f t="shared" si="299"/>
        <v>0</v>
      </c>
      <c r="M403" s="452">
        <f t="shared" si="300"/>
        <v>0</v>
      </c>
      <c r="N403" s="452">
        <f t="shared" si="301"/>
        <v>0</v>
      </c>
      <c r="O403" s="452">
        <f t="shared" si="302"/>
        <v>0</v>
      </c>
      <c r="P403" s="260">
        <f t="shared" si="303"/>
        <v>0</v>
      </c>
      <c r="Q403" s="260">
        <f t="shared" si="304"/>
        <v>0</v>
      </c>
      <c r="R403" s="432">
        <f t="shared" si="305"/>
        <v>8</v>
      </c>
      <c r="S403" s="432">
        <f t="array" ref="S403">MAX((IF(MNU_CODIGO_ALIMENTO_ENTREGA=CONCATENATE($E403,"_","P_"),MNU_GRAMAJE_REQUERIDO_TIPOB,"")))</f>
        <v>100</v>
      </c>
      <c r="T403" s="261">
        <f t="shared" si="306"/>
        <v>5933</v>
      </c>
      <c r="U403" s="261">
        <f t="shared" si="307"/>
        <v>47464</v>
      </c>
      <c r="V403" s="452">
        <f t="shared" si="308"/>
        <v>286</v>
      </c>
      <c r="W403" s="452">
        <f t="shared" si="309"/>
        <v>13.956800000000001</v>
      </c>
      <c r="X403" s="452">
        <f t="shared" si="310"/>
        <v>0.24596457599999999</v>
      </c>
      <c r="Y403" s="452">
        <f t="shared" si="311"/>
        <v>300</v>
      </c>
      <c r="Z403" s="262">
        <f t="shared" si="312"/>
        <v>13574704</v>
      </c>
      <c r="AA403" s="262">
        <f t="shared" si="313"/>
        <v>14239200</v>
      </c>
      <c r="AB403" s="431">
        <f t="shared" si="314"/>
        <v>8</v>
      </c>
      <c r="AC403" s="431">
        <f t="array" ref="AC403">MAX((IF(MNU_CODIGO_ALIMENTO_ENTREGA=CONCATENATE($E403,"_","P_"),MNU_GRAMAJE_REQUERIDO_TIPOC,"")))</f>
        <v>100</v>
      </c>
      <c r="AD403" s="259">
        <f t="shared" si="315"/>
        <v>6310</v>
      </c>
      <c r="AE403" s="259">
        <f t="shared" si="316"/>
        <v>50480</v>
      </c>
      <c r="AF403" s="452">
        <f t="shared" si="317"/>
        <v>286</v>
      </c>
      <c r="AG403" s="452">
        <f t="shared" si="318"/>
        <v>13.956800000000001</v>
      </c>
      <c r="AH403" s="452">
        <f t="shared" si="319"/>
        <v>0.24596457599999999</v>
      </c>
      <c r="AI403" s="452">
        <f t="shared" si="320"/>
        <v>300</v>
      </c>
      <c r="AJ403" s="260">
        <f t="shared" si="321"/>
        <v>14437280</v>
      </c>
      <c r="AK403" s="260">
        <f t="shared" si="322"/>
        <v>15144000</v>
      </c>
      <c r="AL403" s="432">
        <f t="shared" si="323"/>
        <v>8</v>
      </c>
      <c r="AM403" s="432">
        <f t="array" ref="AM403">MAX((IF(MNU_CODIGO_ALIMENTO_ENTREGA=CONCATENATE($E403,"_","P_"),MNU_GRAMAJE_REQUERIDO_TIPOM,"")))</f>
        <v>100</v>
      </c>
      <c r="AN403" s="261">
        <f t="shared" si="324"/>
        <v>283</v>
      </c>
      <c r="AO403" s="261">
        <f t="shared" si="325"/>
        <v>2264</v>
      </c>
      <c r="AP403" s="452">
        <f t="shared" si="326"/>
        <v>286</v>
      </c>
      <c r="AQ403" s="452">
        <f t="shared" si="327"/>
        <v>13.956800000000001</v>
      </c>
      <c r="AR403" s="452">
        <f t="shared" si="328"/>
        <v>0.24596457599999999</v>
      </c>
      <c r="AS403" s="452">
        <f t="shared" si="329"/>
        <v>300</v>
      </c>
      <c r="AT403" s="262">
        <f t="shared" si="330"/>
        <v>647504</v>
      </c>
      <c r="AU403" s="262">
        <f t="shared" si="331"/>
        <v>679200</v>
      </c>
      <c r="AV403" s="431">
        <f t="shared" si="332"/>
        <v>8</v>
      </c>
      <c r="AW403" s="431">
        <f t="array" ref="AW403">MAX((IF(MNU_CODIGO_ALIMENTO_ENTREGA=CONCATENATE($E403,"_","P_"),MNU_GRAMAJE_REQUERIDO_TIPOH,"")))</f>
        <v>100</v>
      </c>
      <c r="AX403" s="259">
        <f t="shared" si="333"/>
        <v>277</v>
      </c>
      <c r="AY403" s="259">
        <f t="shared" si="334"/>
        <v>2216</v>
      </c>
      <c r="AZ403" s="452">
        <f t="shared" si="335"/>
        <v>286</v>
      </c>
      <c r="BA403" s="452">
        <f t="shared" si="336"/>
        <v>13.956800000000001</v>
      </c>
      <c r="BB403" s="452">
        <f t="shared" si="337"/>
        <v>0.24596457599999999</v>
      </c>
      <c r="BC403" s="452">
        <f t="shared" si="338"/>
        <v>300</v>
      </c>
      <c r="BD403" s="260">
        <f t="shared" si="339"/>
        <v>633776</v>
      </c>
      <c r="BE403" s="260">
        <f t="shared" si="340"/>
        <v>664800</v>
      </c>
      <c r="BF403" s="397">
        <f t="shared" si="341"/>
        <v>29293264</v>
      </c>
      <c r="BG403" s="397">
        <f t="shared" si="342"/>
        <v>30727200</v>
      </c>
    </row>
    <row r="404" spans="1:59" ht="15.75">
      <c r="A404" s="338">
        <v>30</v>
      </c>
      <c r="B404" s="338" t="str">
        <f t="shared" si="294"/>
        <v>FRUTA_30</v>
      </c>
      <c r="C404" s="338" t="str">
        <f t="shared" si="295"/>
        <v>69_30</v>
      </c>
      <c r="D404" s="338" t="s">
        <v>1</v>
      </c>
      <c r="E404" s="258">
        <v>69</v>
      </c>
      <c r="F404" s="328" t="s">
        <v>70</v>
      </c>
      <c r="G404" s="258" t="s">
        <v>9</v>
      </c>
      <c r="H404" s="431">
        <f t="shared" si="296"/>
        <v>30</v>
      </c>
      <c r="I404" s="431">
        <f t="array" ref="I404">MAX((IF(MNU_CODIGO_ALIMENTO_ENTREGA=CONCATENATE($E404,"_","P_"),MNU_GRAMAJE_REQUERIDO_TIPOA,"")))</f>
        <v>100</v>
      </c>
      <c r="J404" s="259">
        <f t="shared" si="297"/>
        <v>4874</v>
      </c>
      <c r="K404" s="259">
        <f t="shared" si="298"/>
        <v>146220</v>
      </c>
      <c r="L404" s="452">
        <f t="shared" si="299"/>
        <v>305</v>
      </c>
      <c r="M404" s="452">
        <f t="shared" si="300"/>
        <v>14.884</v>
      </c>
      <c r="N404" s="452">
        <f t="shared" si="301"/>
        <v>0.26230488000000002</v>
      </c>
      <c r="O404" s="452">
        <f t="shared" si="302"/>
        <v>320</v>
      </c>
      <c r="P404" s="260">
        <f t="shared" si="303"/>
        <v>44597100</v>
      </c>
      <c r="Q404" s="260">
        <f t="shared" si="304"/>
        <v>46790400</v>
      </c>
      <c r="R404" s="432">
        <f t="shared" si="305"/>
        <v>16</v>
      </c>
      <c r="S404" s="432">
        <f t="array" ref="S404">MAX((IF(MNU_CODIGO_ALIMENTO_ENTREGA=CONCATENATE($E404,"_","P_"),MNU_GRAMAJE_REQUERIDO_TIPOB,"")))</f>
        <v>100</v>
      </c>
      <c r="T404" s="261">
        <f t="shared" si="306"/>
        <v>5933</v>
      </c>
      <c r="U404" s="261">
        <f t="shared" si="307"/>
        <v>94928</v>
      </c>
      <c r="V404" s="452">
        <f t="shared" si="308"/>
        <v>305</v>
      </c>
      <c r="W404" s="452">
        <f t="shared" si="309"/>
        <v>14.884</v>
      </c>
      <c r="X404" s="452">
        <f t="shared" si="310"/>
        <v>0.26230488000000002</v>
      </c>
      <c r="Y404" s="452">
        <f t="shared" si="311"/>
        <v>320</v>
      </c>
      <c r="Z404" s="262">
        <f t="shared" si="312"/>
        <v>28953040</v>
      </c>
      <c r="AA404" s="262">
        <f t="shared" si="313"/>
        <v>30376960</v>
      </c>
      <c r="AB404" s="431">
        <f t="shared" si="314"/>
        <v>16</v>
      </c>
      <c r="AC404" s="431">
        <f t="array" ref="AC404">MAX((IF(MNU_CODIGO_ALIMENTO_ENTREGA=CONCATENATE($E404,"_","P_"),MNU_GRAMAJE_REQUERIDO_TIPOC,"")))</f>
        <v>100</v>
      </c>
      <c r="AD404" s="259">
        <f t="shared" si="315"/>
        <v>6310</v>
      </c>
      <c r="AE404" s="259">
        <f t="shared" si="316"/>
        <v>100960</v>
      </c>
      <c r="AF404" s="452">
        <f t="shared" si="317"/>
        <v>305</v>
      </c>
      <c r="AG404" s="452">
        <f t="shared" si="318"/>
        <v>14.884</v>
      </c>
      <c r="AH404" s="452">
        <f t="shared" si="319"/>
        <v>0.26230488000000002</v>
      </c>
      <c r="AI404" s="452">
        <f t="shared" si="320"/>
        <v>320</v>
      </c>
      <c r="AJ404" s="260">
        <f t="shared" si="321"/>
        <v>30792800</v>
      </c>
      <c r="AK404" s="260">
        <f t="shared" si="322"/>
        <v>32307200</v>
      </c>
      <c r="AL404" s="432">
        <f t="shared" si="323"/>
        <v>16</v>
      </c>
      <c r="AM404" s="432">
        <f t="array" ref="AM404">MAX((IF(MNU_CODIGO_ALIMENTO_ENTREGA=CONCATENATE($E404,"_","P_"),MNU_GRAMAJE_REQUERIDO_TIPOM,"")))</f>
        <v>100</v>
      </c>
      <c r="AN404" s="261">
        <f t="shared" si="324"/>
        <v>283</v>
      </c>
      <c r="AO404" s="261">
        <f t="shared" si="325"/>
        <v>4528</v>
      </c>
      <c r="AP404" s="452">
        <f t="shared" si="326"/>
        <v>305</v>
      </c>
      <c r="AQ404" s="452">
        <f t="shared" si="327"/>
        <v>14.884</v>
      </c>
      <c r="AR404" s="452">
        <f t="shared" si="328"/>
        <v>0.26230488000000002</v>
      </c>
      <c r="AS404" s="452">
        <f t="shared" si="329"/>
        <v>320</v>
      </c>
      <c r="AT404" s="262">
        <f t="shared" si="330"/>
        <v>1381040</v>
      </c>
      <c r="AU404" s="262">
        <f t="shared" si="331"/>
        <v>1448960</v>
      </c>
      <c r="AV404" s="431">
        <f t="shared" si="332"/>
        <v>16</v>
      </c>
      <c r="AW404" s="431">
        <f t="array" ref="AW404">MAX((IF(MNU_CODIGO_ALIMENTO_ENTREGA=CONCATENATE($E404,"_","P_"),MNU_GRAMAJE_REQUERIDO_TIPOH,"")))</f>
        <v>100</v>
      </c>
      <c r="AX404" s="259">
        <f t="shared" si="333"/>
        <v>277</v>
      </c>
      <c r="AY404" s="259">
        <f t="shared" si="334"/>
        <v>4432</v>
      </c>
      <c r="AZ404" s="452">
        <f t="shared" si="335"/>
        <v>305</v>
      </c>
      <c r="BA404" s="452">
        <f t="shared" si="336"/>
        <v>14.884</v>
      </c>
      <c r="BB404" s="452">
        <f t="shared" si="337"/>
        <v>0.26230488000000002</v>
      </c>
      <c r="BC404" s="452">
        <f t="shared" si="338"/>
        <v>320</v>
      </c>
      <c r="BD404" s="260">
        <f t="shared" si="339"/>
        <v>1351760</v>
      </c>
      <c r="BE404" s="260">
        <f t="shared" si="340"/>
        <v>1418240</v>
      </c>
      <c r="BF404" s="397">
        <f t="shared" si="341"/>
        <v>107075740</v>
      </c>
      <c r="BG404" s="397">
        <f t="shared" si="342"/>
        <v>112341760</v>
      </c>
    </row>
    <row r="405" spans="1:59" ht="15.75">
      <c r="A405" s="338">
        <v>30</v>
      </c>
      <c r="B405" s="338" t="str">
        <f t="shared" si="294"/>
        <v>FRUTA_30</v>
      </c>
      <c r="C405" s="338" t="str">
        <f t="shared" si="295"/>
        <v>70_30</v>
      </c>
      <c r="D405" s="338" t="s">
        <v>1</v>
      </c>
      <c r="E405" s="258">
        <v>70</v>
      </c>
      <c r="F405" s="328" t="s">
        <v>71</v>
      </c>
      <c r="G405" s="258" t="s">
        <v>9</v>
      </c>
      <c r="H405" s="431">
        <f t="shared" si="296"/>
        <v>0</v>
      </c>
      <c r="I405" s="431">
        <f t="array" ref="I405">MAX((IF(MNU_CODIGO_ALIMENTO_ENTREGA=CONCATENATE($E405,"_","P_"),MNU_GRAMAJE_REQUERIDO_TIPOA,"")))</f>
        <v>0</v>
      </c>
      <c r="J405" s="259">
        <f t="shared" si="297"/>
        <v>4874</v>
      </c>
      <c r="K405" s="259">
        <f t="shared" si="298"/>
        <v>0</v>
      </c>
      <c r="L405" s="452">
        <f t="shared" si="299"/>
        <v>0</v>
      </c>
      <c r="M405" s="452">
        <f t="shared" si="300"/>
        <v>0</v>
      </c>
      <c r="N405" s="452">
        <f t="shared" si="301"/>
        <v>0</v>
      </c>
      <c r="O405" s="452">
        <f t="shared" si="302"/>
        <v>0</v>
      </c>
      <c r="P405" s="260">
        <f t="shared" si="303"/>
        <v>0</v>
      </c>
      <c r="Q405" s="260">
        <f t="shared" si="304"/>
        <v>0</v>
      </c>
      <c r="R405" s="432">
        <f t="shared" si="305"/>
        <v>10</v>
      </c>
      <c r="S405" s="432">
        <f t="array" ref="S405">MAX((IF(MNU_CODIGO_ALIMENTO_ENTREGA=CONCATENATE($E405,"_","P_"),MNU_GRAMAJE_REQUERIDO_TIPOB,"")))</f>
        <v>100</v>
      </c>
      <c r="T405" s="261">
        <f t="shared" si="306"/>
        <v>5933</v>
      </c>
      <c r="U405" s="261">
        <f t="shared" si="307"/>
        <v>59330</v>
      </c>
      <c r="V405" s="452">
        <f t="shared" si="308"/>
        <v>434</v>
      </c>
      <c r="W405" s="452">
        <f t="shared" si="309"/>
        <v>21.179200000000002</v>
      </c>
      <c r="X405" s="452">
        <f t="shared" si="310"/>
        <v>0.37324694399999997</v>
      </c>
      <c r="Y405" s="452">
        <f t="shared" si="311"/>
        <v>456</v>
      </c>
      <c r="Z405" s="262">
        <f t="shared" si="312"/>
        <v>25749220</v>
      </c>
      <c r="AA405" s="262">
        <f t="shared" si="313"/>
        <v>27054480</v>
      </c>
      <c r="AB405" s="431">
        <f t="shared" si="314"/>
        <v>10</v>
      </c>
      <c r="AC405" s="431">
        <f t="array" ref="AC405">MAX((IF(MNU_CODIGO_ALIMENTO_ENTREGA=CONCATENATE($E405,"_","P_"),MNU_GRAMAJE_REQUERIDO_TIPOC,"")))</f>
        <v>100</v>
      </c>
      <c r="AD405" s="259">
        <f t="shared" si="315"/>
        <v>6310</v>
      </c>
      <c r="AE405" s="259">
        <f t="shared" si="316"/>
        <v>63100</v>
      </c>
      <c r="AF405" s="452">
        <f t="shared" si="317"/>
        <v>434</v>
      </c>
      <c r="AG405" s="452">
        <f t="shared" si="318"/>
        <v>21.179200000000002</v>
      </c>
      <c r="AH405" s="452">
        <f t="shared" si="319"/>
        <v>0.37324694399999997</v>
      </c>
      <c r="AI405" s="452">
        <f t="shared" si="320"/>
        <v>456</v>
      </c>
      <c r="AJ405" s="260">
        <f t="shared" si="321"/>
        <v>27385400</v>
      </c>
      <c r="AK405" s="260">
        <f t="shared" si="322"/>
        <v>28773600</v>
      </c>
      <c r="AL405" s="432">
        <f t="shared" si="323"/>
        <v>10</v>
      </c>
      <c r="AM405" s="432">
        <f t="array" ref="AM405">MAX((IF(MNU_CODIGO_ALIMENTO_ENTREGA=CONCATENATE($E405,"_","P_"),MNU_GRAMAJE_REQUERIDO_TIPOM,"")))</f>
        <v>100</v>
      </c>
      <c r="AN405" s="261">
        <f t="shared" si="324"/>
        <v>283</v>
      </c>
      <c r="AO405" s="261">
        <f t="shared" si="325"/>
        <v>2830</v>
      </c>
      <c r="AP405" s="452">
        <f t="shared" si="326"/>
        <v>434</v>
      </c>
      <c r="AQ405" s="452">
        <f t="shared" si="327"/>
        <v>21.179200000000002</v>
      </c>
      <c r="AR405" s="452">
        <f t="shared" si="328"/>
        <v>0.37324694399999997</v>
      </c>
      <c r="AS405" s="452">
        <f t="shared" si="329"/>
        <v>456</v>
      </c>
      <c r="AT405" s="262">
        <f t="shared" si="330"/>
        <v>1228220</v>
      </c>
      <c r="AU405" s="262">
        <f t="shared" si="331"/>
        <v>1290480</v>
      </c>
      <c r="AV405" s="431">
        <f t="shared" si="332"/>
        <v>10</v>
      </c>
      <c r="AW405" s="431">
        <f t="array" ref="AW405">MAX((IF(MNU_CODIGO_ALIMENTO_ENTREGA=CONCATENATE($E405,"_","P_"),MNU_GRAMAJE_REQUERIDO_TIPOH,"")))</f>
        <v>100</v>
      </c>
      <c r="AX405" s="259">
        <f t="shared" si="333"/>
        <v>277</v>
      </c>
      <c r="AY405" s="259">
        <f t="shared" si="334"/>
        <v>2770</v>
      </c>
      <c r="AZ405" s="452">
        <f t="shared" si="335"/>
        <v>434</v>
      </c>
      <c r="BA405" s="452">
        <f t="shared" si="336"/>
        <v>21.179200000000002</v>
      </c>
      <c r="BB405" s="452">
        <f t="shared" si="337"/>
        <v>0.37324694399999997</v>
      </c>
      <c r="BC405" s="452">
        <f t="shared" si="338"/>
        <v>456</v>
      </c>
      <c r="BD405" s="260">
        <f t="shared" si="339"/>
        <v>1202180</v>
      </c>
      <c r="BE405" s="260">
        <f t="shared" si="340"/>
        <v>1263120</v>
      </c>
      <c r="BF405" s="397">
        <f t="shared" si="341"/>
        <v>55565020</v>
      </c>
      <c r="BG405" s="397">
        <f t="shared" si="342"/>
        <v>58381680</v>
      </c>
    </row>
    <row r="406" spans="1:59" ht="15.75" customHeight="1">
      <c r="Q406" s="225"/>
    </row>
    <row r="407" spans="1:59" ht="15.75" customHeight="1">
      <c r="Q407" s="225"/>
    </row>
    <row r="408" spans="1:59" ht="15.75" customHeight="1"/>
    <row r="409" spans="1:59" ht="15.75" customHeight="1"/>
    <row r="410" spans="1:59" ht="15.75" customHeight="1"/>
    <row r="411" spans="1:59" ht="15.75" hidden="1" customHeight="1"/>
    <row r="412" spans="1:59" ht="15.75" hidden="1" customHeight="1"/>
    <row r="413" spans="1:59" ht="15.75" hidden="1" customHeight="1"/>
    <row r="414" spans="1:59" ht="15.75" hidden="1" customHeight="1"/>
    <row r="415" spans="1:59" ht="15.75" hidden="1" customHeight="1"/>
    <row r="416" spans="1:59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</sheetData>
  <sortState ref="A16:BG1785">
    <sortCondition ref="D16:D1785"/>
  </sortState>
  <mergeCells count="6">
    <mergeCell ref="E2:F2"/>
    <mergeCell ref="AV13:BE13"/>
    <mergeCell ref="H13:Q13"/>
    <mergeCell ref="R13:AA13"/>
    <mergeCell ref="AB13:AK13"/>
    <mergeCell ref="AL13:AU13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07"/>
  <sheetViews>
    <sheetView zoomScaleNormal="100" workbookViewId="0"/>
  </sheetViews>
  <sheetFormatPr baseColWidth="10" defaultColWidth="0" defaultRowHeight="0" customHeight="1" zeroHeight="1"/>
  <cols>
    <col min="1" max="1" width="9.42578125" style="355" customWidth="1"/>
    <col min="2" max="3" width="8.140625" style="355" hidden="1" customWidth="1"/>
    <col min="4" max="4" width="28.42578125" style="355" customWidth="1"/>
    <col min="5" max="5" width="8.5703125" style="355" customWidth="1"/>
    <col min="6" max="6" width="54.7109375" style="355" customWidth="1"/>
    <col min="7" max="7" width="8.42578125" style="355" customWidth="1"/>
    <col min="8" max="8" width="11" style="355" customWidth="1"/>
    <col min="9" max="9" width="9.85546875" style="355" customWidth="1"/>
    <col min="10" max="10" width="10.42578125" style="355" customWidth="1"/>
    <col min="11" max="11" width="13.28515625" style="355" customWidth="1"/>
    <col min="12" max="13" width="13.7109375" style="355" customWidth="1"/>
    <col min="14" max="16" width="12" style="355" customWidth="1"/>
    <col min="17" max="17" width="17" style="355" customWidth="1"/>
    <col min="18" max="19" width="17.140625" style="355" customWidth="1"/>
    <col min="20" max="20" width="11" style="355" customWidth="1"/>
    <col min="21" max="21" width="9.85546875" style="355" customWidth="1"/>
    <col min="22" max="22" width="10.42578125" style="355" customWidth="1"/>
    <col min="23" max="23" width="13.28515625" style="355" customWidth="1"/>
    <col min="24" max="25" width="13.7109375" style="355" customWidth="1"/>
    <col min="26" max="28" width="12" style="355" customWidth="1"/>
    <col min="29" max="29" width="17" style="355" customWidth="1"/>
    <col min="30" max="31" width="17.140625" style="355" customWidth="1"/>
    <col min="32" max="32" width="11" style="355" customWidth="1"/>
    <col min="33" max="33" width="9.85546875" style="355" customWidth="1"/>
    <col min="34" max="34" width="10.42578125" style="355" customWidth="1"/>
    <col min="35" max="35" width="13.28515625" style="355" customWidth="1"/>
    <col min="36" max="37" width="13.7109375" style="355" customWidth="1"/>
    <col min="38" max="40" width="12" style="355" customWidth="1"/>
    <col min="41" max="41" width="17" style="355" customWidth="1"/>
    <col min="42" max="44" width="17.140625" style="355" customWidth="1"/>
    <col min="45" max="45" width="16.5703125" style="355" customWidth="1"/>
    <col min="46" max="54" width="0" style="354" hidden="1" customWidth="1"/>
    <col min="55" max="16384" width="11" style="354" hidden="1"/>
  </cols>
  <sheetData>
    <row r="1" spans="1:45" ht="15.75">
      <c r="A1" s="389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1"/>
      <c r="AG1" s="391"/>
      <c r="AH1" s="391"/>
      <c r="AI1" s="391"/>
      <c r="AJ1" s="391"/>
      <c r="AK1" s="391"/>
      <c r="AL1" s="390"/>
      <c r="AM1" s="390"/>
      <c r="AN1" s="390"/>
      <c r="AO1" s="390"/>
      <c r="AP1" s="390"/>
      <c r="AQ1" s="390"/>
      <c r="AR1" s="390"/>
      <c r="AS1" s="265"/>
    </row>
    <row r="2" spans="1:45" ht="20.25">
      <c r="A2" s="392"/>
      <c r="B2" s="356"/>
      <c r="C2" s="356"/>
      <c r="D2" s="356"/>
      <c r="E2" s="480" t="s">
        <v>1940</v>
      </c>
      <c r="F2" s="480"/>
      <c r="G2" s="374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61"/>
      <c r="AG2" s="361"/>
      <c r="AH2" s="361"/>
      <c r="AI2" s="361"/>
      <c r="AJ2" s="361"/>
      <c r="AK2" s="361"/>
      <c r="AL2" s="356"/>
      <c r="AM2" s="356"/>
      <c r="AN2" s="356"/>
      <c r="AO2" s="356"/>
      <c r="AP2" s="356"/>
      <c r="AQ2" s="356"/>
      <c r="AR2" s="356"/>
      <c r="AS2" s="266"/>
    </row>
    <row r="3" spans="1:45" ht="18">
      <c r="A3" s="492" t="s">
        <v>1937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4"/>
    </row>
    <row r="4" spans="1:45" ht="18">
      <c r="A4" s="492" t="s">
        <v>1938</v>
      </c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4"/>
    </row>
    <row r="5" spans="1:45" ht="18">
      <c r="A5" s="492" t="s">
        <v>1939</v>
      </c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4"/>
    </row>
    <row r="6" spans="1:45" ht="18">
      <c r="A6" s="342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4"/>
    </row>
    <row r="7" spans="1:45" ht="18">
      <c r="A7" s="492" t="s">
        <v>1639</v>
      </c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4"/>
    </row>
    <row r="8" spans="1:45" ht="18">
      <c r="A8" s="489" t="str">
        <f>CONCATENATE("VALORES UNITARIOS CALCULADOS :"," ",COT_PRECALCULOS!D24)</f>
        <v>VALORES UNITARIOS CALCULADOS : Precios Base Gravable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I8" s="490"/>
      <c r="AJ8" s="490"/>
      <c r="AK8" s="490"/>
      <c r="AL8" s="490"/>
      <c r="AM8" s="490"/>
      <c r="AN8" s="490"/>
      <c r="AO8" s="490"/>
      <c r="AP8" s="490"/>
      <c r="AQ8" s="490"/>
      <c r="AR8" s="490"/>
      <c r="AS8" s="491"/>
    </row>
    <row r="9" spans="1:45" ht="15.75" thickBot="1">
      <c r="A9" s="393"/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  <c r="Z9" s="394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453"/>
    </row>
    <row r="10" spans="1:45" ht="15.75">
      <c r="A10" s="212"/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91"/>
    </row>
    <row r="11" spans="1:45" ht="15.75">
      <c r="A11" s="361"/>
      <c r="B11" s="361"/>
      <c r="C11" s="361"/>
      <c r="D11" s="361"/>
      <c r="E11" s="361"/>
      <c r="F11" s="361"/>
      <c r="G11" s="361"/>
      <c r="H11" s="264"/>
      <c r="I11" s="264"/>
      <c r="J11" s="264"/>
      <c r="K11" s="435">
        <f>SUM(K16:K405)</f>
        <v>364689</v>
      </c>
      <c r="L11" s="435">
        <f>SUM(L16:L405)</f>
        <v>962</v>
      </c>
      <c r="M11" s="435">
        <f>SUM(M16:M405)</f>
        <v>6145827</v>
      </c>
      <c r="N11" s="264"/>
      <c r="O11" s="436">
        <f>SUM(O16:O405)</f>
        <v>2720.1119999999978</v>
      </c>
      <c r="P11" s="436">
        <f>SUM(P16:P405)</f>
        <v>47.937291840000086</v>
      </c>
      <c r="Q11" s="436">
        <f>SUM(Q16:Q405)</f>
        <v>58500</v>
      </c>
      <c r="R11" s="436">
        <f>SUM(R16:R405)</f>
        <v>1315831167</v>
      </c>
      <c r="S11" s="436">
        <f>SUM(S16:S405)</f>
        <v>1381023668</v>
      </c>
      <c r="T11" s="264"/>
      <c r="U11" s="264"/>
      <c r="V11" s="264"/>
      <c r="W11" s="435">
        <f>SUM(W16:W405)</f>
        <v>406601</v>
      </c>
      <c r="X11" s="435">
        <f>SUM(X16:X405)</f>
        <v>5629</v>
      </c>
      <c r="Y11" s="435">
        <f>SUM(Y16:Y405)</f>
        <v>6863086</v>
      </c>
      <c r="Z11" s="264"/>
      <c r="AA11" s="436">
        <f>SUM(AA16:AA405)</f>
        <v>5058.1199999999953</v>
      </c>
      <c r="AB11" s="436">
        <f>SUM(AB16:AB405)</f>
        <v>89.140658400000177</v>
      </c>
      <c r="AC11" s="436">
        <f>SUM(AC16:AC405)</f>
        <v>108810</v>
      </c>
      <c r="AD11" s="436">
        <f>SUM(AD16:AD405)</f>
        <v>1853046730</v>
      </c>
      <c r="AE11" s="436">
        <f>SUM(AE16:AE405)</f>
        <v>1945014360</v>
      </c>
      <c r="AF11" s="264"/>
      <c r="AG11" s="264"/>
      <c r="AH11" s="264"/>
      <c r="AI11" s="435">
        <f>SUM(AI16:AI405)</f>
        <v>604097</v>
      </c>
      <c r="AJ11" s="435">
        <f>SUM(AJ16:AJ405)</f>
        <v>8879</v>
      </c>
      <c r="AK11" s="435">
        <f>SUM(AK16:AK405)</f>
        <v>10197884</v>
      </c>
      <c r="AL11" s="264"/>
      <c r="AM11" s="436">
        <f t="shared" ref="AM11:AS11" si="0">SUM(AM16:AM405)</f>
        <v>5058.1199999999953</v>
      </c>
      <c r="AN11" s="436">
        <f t="shared" si="0"/>
        <v>89.140658400000177</v>
      </c>
      <c r="AO11" s="436">
        <f t="shared" si="0"/>
        <v>108810</v>
      </c>
      <c r="AP11" s="436">
        <f t="shared" si="0"/>
        <v>2753484386</v>
      </c>
      <c r="AQ11" s="436">
        <f t="shared" si="0"/>
        <v>2890141344</v>
      </c>
      <c r="AR11" s="436">
        <f t="shared" si="0"/>
        <v>5922362283</v>
      </c>
      <c r="AS11" s="436">
        <f t="shared" si="0"/>
        <v>6216179372</v>
      </c>
    </row>
    <row r="12" spans="1:45" ht="6.75" customHeight="1">
      <c r="A12" s="361"/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  <c r="AS12" s="361"/>
    </row>
    <row r="13" spans="1:45" ht="15.75">
      <c r="A13" s="361"/>
      <c r="B13" s="361"/>
      <c r="C13" s="361"/>
      <c r="D13" s="361"/>
      <c r="E13" s="361"/>
      <c r="F13" s="361"/>
      <c r="G13" s="361"/>
      <c r="H13" s="495" t="s">
        <v>1640</v>
      </c>
      <c r="I13" s="495"/>
      <c r="J13" s="495"/>
      <c r="K13" s="495"/>
      <c r="L13" s="495"/>
      <c r="M13" s="495"/>
      <c r="N13" s="495"/>
      <c r="O13" s="495"/>
      <c r="P13" s="495"/>
      <c r="Q13" s="495"/>
      <c r="R13" s="495"/>
      <c r="S13" s="495"/>
      <c r="T13" s="496" t="s">
        <v>1641</v>
      </c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5" t="s">
        <v>1642</v>
      </c>
      <c r="AG13" s="495"/>
      <c r="AH13" s="495"/>
      <c r="AI13" s="495"/>
      <c r="AJ13" s="495"/>
      <c r="AK13" s="495"/>
      <c r="AL13" s="495"/>
      <c r="AM13" s="495"/>
      <c r="AN13" s="495"/>
      <c r="AO13" s="495"/>
      <c r="AP13" s="495"/>
      <c r="AQ13" s="495"/>
      <c r="AR13" s="361"/>
      <c r="AS13" s="361"/>
    </row>
    <row r="14" spans="1:45" ht="7.5" customHeight="1">
      <c r="A14" s="361"/>
      <c r="B14" s="361"/>
      <c r="C14" s="361"/>
      <c r="D14" s="361"/>
      <c r="E14" s="361"/>
      <c r="F14" s="361"/>
      <c r="G14" s="36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2"/>
      <c r="U14" s="312"/>
      <c r="V14" s="341"/>
      <c r="W14" s="341"/>
      <c r="X14" s="341"/>
      <c r="Y14" s="341"/>
      <c r="Z14" s="341"/>
      <c r="AA14" s="312"/>
      <c r="AB14" s="312"/>
      <c r="AC14" s="312"/>
      <c r="AD14" s="312"/>
      <c r="AE14" s="34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61"/>
      <c r="AS14" s="361"/>
    </row>
    <row r="15" spans="1:45" ht="51">
      <c r="A15" s="383" t="s">
        <v>2462</v>
      </c>
      <c r="B15" s="383" t="s">
        <v>2401</v>
      </c>
      <c r="C15" s="383" t="s">
        <v>1331</v>
      </c>
      <c r="D15" s="383" t="s">
        <v>2463</v>
      </c>
      <c r="E15" s="232" t="s">
        <v>1977</v>
      </c>
      <c r="F15" s="232" t="s">
        <v>1645</v>
      </c>
      <c r="G15" s="232" t="s">
        <v>8</v>
      </c>
      <c r="H15" s="257" t="s">
        <v>2461</v>
      </c>
      <c r="I15" s="257" t="s">
        <v>2466</v>
      </c>
      <c r="J15" s="257" t="s">
        <v>2467</v>
      </c>
      <c r="K15" s="257" t="s">
        <v>2468</v>
      </c>
      <c r="L15" s="257" t="s">
        <v>2469</v>
      </c>
      <c r="M15" s="257" t="s">
        <v>2465</v>
      </c>
      <c r="N15" s="451" t="s">
        <v>2479</v>
      </c>
      <c r="O15" s="451" t="s">
        <v>2477</v>
      </c>
      <c r="P15" s="451" t="s">
        <v>2478</v>
      </c>
      <c r="Q15" s="451" t="s">
        <v>2480</v>
      </c>
      <c r="R15" s="257" t="s">
        <v>2481</v>
      </c>
      <c r="S15" s="257" t="s">
        <v>2482</v>
      </c>
      <c r="T15" s="350" t="s">
        <v>2461</v>
      </c>
      <c r="U15" s="350" t="s">
        <v>2466</v>
      </c>
      <c r="V15" s="232" t="s">
        <v>2467</v>
      </c>
      <c r="W15" s="232" t="s">
        <v>2468</v>
      </c>
      <c r="X15" s="232" t="s">
        <v>2469</v>
      </c>
      <c r="Y15" s="303" t="s">
        <v>2465</v>
      </c>
      <c r="Z15" s="455" t="s">
        <v>2479</v>
      </c>
      <c r="AA15" s="455" t="s">
        <v>2477</v>
      </c>
      <c r="AB15" s="451" t="s">
        <v>2478</v>
      </c>
      <c r="AC15" s="451" t="s">
        <v>2480</v>
      </c>
      <c r="AD15" s="303" t="s">
        <v>2481</v>
      </c>
      <c r="AE15" s="232" t="s">
        <v>2482</v>
      </c>
      <c r="AF15" s="257" t="s">
        <v>2461</v>
      </c>
      <c r="AG15" s="257" t="s">
        <v>2466</v>
      </c>
      <c r="AH15" s="257" t="s">
        <v>2467</v>
      </c>
      <c r="AI15" s="257" t="s">
        <v>2468</v>
      </c>
      <c r="AJ15" s="257" t="s">
        <v>2469</v>
      </c>
      <c r="AK15" s="257" t="s">
        <v>2465</v>
      </c>
      <c r="AL15" s="451" t="s">
        <v>2479</v>
      </c>
      <c r="AM15" s="451" t="s">
        <v>2477</v>
      </c>
      <c r="AN15" s="451" t="s">
        <v>2478</v>
      </c>
      <c r="AO15" s="451" t="s">
        <v>2480</v>
      </c>
      <c r="AP15" s="451" t="s">
        <v>2481</v>
      </c>
      <c r="AQ15" s="257" t="s">
        <v>2482</v>
      </c>
      <c r="AR15" s="303" t="s">
        <v>2483</v>
      </c>
      <c r="AS15" s="303" t="s">
        <v>2482</v>
      </c>
    </row>
    <row r="16" spans="1:45" ht="15.75">
      <c r="A16" s="228">
        <v>1</v>
      </c>
      <c r="B16" s="228" t="str">
        <f t="shared" ref="B16:B51" si="1">CONCATENATE(D16,"_",A16)</f>
        <v>FRUTA_1</v>
      </c>
      <c r="C16" s="338" t="str">
        <f t="shared" ref="C16:C51" si="2">CONCATENATE(E16,"_",A16)</f>
        <v>7_1</v>
      </c>
      <c r="D16" s="398" t="s">
        <v>1</v>
      </c>
      <c r="E16" s="228">
        <v>7</v>
      </c>
      <c r="F16" s="332" t="s">
        <v>57</v>
      </c>
      <c r="G16" s="228" t="s">
        <v>9</v>
      </c>
      <c r="H16" s="427">
        <f t="shared" ref="H16:H51" si="3">SUMIF(MNU_CODIGO_ALIMENTO_ENTREGA,CONCATENATE($E16,"_","S_"),MNU_FRECUENCIAS_LAV_TIPOA)</f>
        <v>31</v>
      </c>
      <c r="I16" s="427">
        <f t="shared" ref="I16:I51" si="4">SUMIF(MNU_CODIGO_ALIMENTO_ENTREGA,CONCATENATE($E16,"_","S_"),MNU_FRECUENCIAS_FDS_TIPOA)</f>
        <v>0</v>
      </c>
      <c r="J16" s="428">
        <f t="array" ref="J16">MAX((IF(MNU_CODIGO_ALIMENTO_ENTREGA=CONCATENATE($E16,"_","S_"),MNU_GRAMAJE_REQUERIDO_TIPOA,"")))</f>
        <v>100</v>
      </c>
      <c r="K16" s="229">
        <f t="shared" ref="K16:K51" si="5">SUMIF(VOL_GRUPO,CONCATENATE($A16,"1052-2NO"),VOL_TIPOA)</f>
        <v>0</v>
      </c>
      <c r="L16" s="229">
        <f t="shared" ref="L16:L51" si="6">SUMIF(VOL_GRUPO,CONCATENATE($A16,"1052-2SI"),VOL_TIPOA)</f>
        <v>0</v>
      </c>
      <c r="M16" s="229">
        <f t="shared" ref="M16:M51" si="7">(H16*K16)+(I16*L16)</f>
        <v>0</v>
      </c>
      <c r="N16" s="454">
        <f t="shared" ref="N16:N51" si="8">IF(ISERROR(AVERAGEIFS(MNU_COSTO_UNITARIO_TIPOA_SELECCIONADO,MNU_CODIGO_ALIMENTO_ENTREGA,CONCATENATE($E16,"_","S_"))),0,AVERAGEIFS(MNU_COSTO_UNITARIO_TIPOA_SELECCIONADO,MNU_CODIGO_ALIMENTO_ENTREGA,CONCATENATE($E16,"_","S_")))</f>
        <v>107</v>
      </c>
      <c r="O16" s="454">
        <f t="shared" ref="O16:O51" si="9">(N16*0.01)+(N16*0.005)+(N16*0.02)+(N16*(13.8/1000))</f>
        <v>5.2216000000000005</v>
      </c>
      <c r="P16" s="454">
        <f t="shared" ref="P16:P51" si="10">((N16+O16)*0.00071)+((N16+O16)*0.00011)</f>
        <v>9.2021712000000006E-2</v>
      </c>
      <c r="Q16" s="454">
        <f t="shared" ref="Q16:Q51" si="11">ROUND(N16+O16+P16,0)</f>
        <v>112</v>
      </c>
      <c r="R16" s="230">
        <f t="shared" ref="R16:R51" si="12">(H16*K16*N16)+(I16*L16*N16)</f>
        <v>0</v>
      </c>
      <c r="S16" s="230">
        <f t="shared" ref="S16:S51" si="13">(H16*K16*Q16)+(I16*L16*Q16)</f>
        <v>0</v>
      </c>
      <c r="T16" s="429">
        <f t="shared" ref="T16:T51" si="14">SUMIF(MNU_CODIGO_ALIMENTO_ENTREGA,CONCATENATE($E16,"_","S_"),MNU_FRECUENCIAS_LAV_TIPOB)</f>
        <v>11</v>
      </c>
      <c r="U16" s="429">
        <f t="shared" ref="U16:U51" si="15">SUMIF(MNU_CODIGO_ALIMENTO_ENTREGA,CONCATENATE($E16,"_","S_"),MNU_FRECUENCIAS_FDS_TIPOB)</f>
        <v>0</v>
      </c>
      <c r="V16" s="430">
        <f t="array" ref="V16">MAX((IF(MNU_CODIGO_ALIMENTO_ENTREGA=CONCATENATE($E16,"_","S_"),MNU_GRAMAJE_REQUERIDO_TIPOB,"")))</f>
        <v>100</v>
      </c>
      <c r="W16" s="397">
        <f t="shared" ref="W16:W51" si="16">SUMIF(VOL_GRUPO,CONCATENATE($A16,"1052-2NO"),VOL_TIPOB)</f>
        <v>0</v>
      </c>
      <c r="X16" s="397">
        <f t="shared" ref="X16:X51" si="17">SUMIF(VOL_GRUPO,CONCATENATE($A16,"1052-2SI"),VOL_TIPOB)</f>
        <v>0</v>
      </c>
      <c r="Y16" s="397">
        <f t="shared" ref="Y16:Y51" si="18">(T16*W16)+(U16*X16)</f>
        <v>0</v>
      </c>
      <c r="Z16" s="454">
        <f t="shared" ref="Z16:Z51" si="19">IF(ISERROR(AVERAGEIFS(MNU_COSTO_UNITARIO_TIPOB_SELECCIONADO,MNU_CODIGO_ALIMENTO_ENTREGA,CONCATENATE($E16,"_","S_"))),0,AVERAGEIFS(MNU_COSTO_UNITARIO_TIPOB_SELECCIONADO,MNU_CODIGO_ALIMENTO_ENTREGA,CONCATENATE($E16,"_","S_")))</f>
        <v>107</v>
      </c>
      <c r="AA16" s="454">
        <f t="shared" ref="AA16:AA51" si="20">(Z16*0.01)+(Z16*0.005)+(Z16*0.02)+(Z16*(13.8/1000))</f>
        <v>5.2216000000000005</v>
      </c>
      <c r="AB16" s="454">
        <f t="shared" ref="AB16:AB51" si="21">((Z16+AA16)*0.00071)+((Z16+AA16)*0.00011)</f>
        <v>9.2021712000000006E-2</v>
      </c>
      <c r="AC16" s="454">
        <f t="shared" ref="AC16:AC51" si="22">ROUND(Z16+AA16+AB16,0)</f>
        <v>112</v>
      </c>
      <c r="AD16" s="231">
        <f t="shared" ref="AD16:AD51" si="23">(T16*W16*Z16)+(U16*X16*Z16)</f>
        <v>0</v>
      </c>
      <c r="AE16" s="231">
        <f t="shared" ref="AE16:AE51" si="24">(T16*W16*AC16)+(U16*X16*AC16)</f>
        <v>0</v>
      </c>
      <c r="AF16" s="427">
        <f t="shared" ref="AF16:AF51" si="25">SUMIF(MNU_CODIGO_ALIMENTO_ENTREGA,CONCATENATE($E16,"_","S_"),MNU_FRECUENCIAS_LAV_TIPOC)</f>
        <v>11</v>
      </c>
      <c r="AG16" s="427">
        <f t="shared" ref="AG16:AG51" si="26">SUMIF(MNU_CODIGO_ALIMENTO_ENTREGA,CONCATENATE($E16,"_","S_"),MNU_FRECUENCIAS_FDS_TIPOC)</f>
        <v>0</v>
      </c>
      <c r="AH16" s="428">
        <f t="array" ref="AH16">MAX((IF(MNU_CODIGO_ALIMENTO_ENTREGA=CONCATENATE($E16,"_","S_"),MNU_GRAMAJE_REQUERIDO_TIPOC,"")))</f>
        <v>100</v>
      </c>
      <c r="AI16" s="229">
        <f t="shared" ref="AI16:AI51" si="27">SUMIF(VOL_GRUPO,CONCATENATE($A16,"1052-2NO"),VOL_TIPOC)</f>
        <v>958</v>
      </c>
      <c r="AJ16" s="229">
        <f t="shared" ref="AJ16:AJ51" si="28">SUMIF(VOL_GRUPO,CONCATENATE($A16,"1052-2SI"),VOL_TIPOC)</f>
        <v>0</v>
      </c>
      <c r="AK16" s="229">
        <f t="shared" ref="AK16:AK51" si="29">(AF16*AI16)+(AG16*AJ16)</f>
        <v>10538</v>
      </c>
      <c r="AL16" s="454">
        <f t="shared" ref="AL16:AL51" si="30">IF(ISERROR(AVERAGEIFS(MNU_COSTO_UNITARIO_TIPOC_SELECCIONADO,MNU_CODIGO_ALIMENTO_ENTREGA,CONCATENATE($E16,"_","S_"))),0,AVERAGEIFS(MNU_COSTO_UNITARIO_TIPOC_SELECCIONADO,MNU_CODIGO_ALIMENTO_ENTREGA,CONCATENATE($E16,"_","S_")))</f>
        <v>107</v>
      </c>
      <c r="AM16" s="454">
        <f t="shared" ref="AM16:AM51" si="31">(AL16*0.01)+(AL16*0.005)+(AL16*0.02)+(AL16*(13.8/1000))</f>
        <v>5.2216000000000005</v>
      </c>
      <c r="AN16" s="454">
        <f t="shared" ref="AN16:AN51" si="32">((AL16+AM16)*0.00071)+((AL16+AM16)*0.00011)</f>
        <v>9.2021712000000006E-2</v>
      </c>
      <c r="AO16" s="454">
        <f t="shared" ref="AO16:AO51" si="33">ROUND(AL16+AM16+AN16,0)</f>
        <v>112</v>
      </c>
      <c r="AP16" s="454">
        <f t="shared" ref="AP16:AP51" si="34">(AF16*AI16*AL16)+(AG16*AJ16*AL16)</f>
        <v>1127566</v>
      </c>
      <c r="AQ16" s="230">
        <f t="shared" ref="AQ16:AQ51" si="35">(AF16*AI16*AO16)+(AG16*AJ16*AO16)</f>
        <v>1180256</v>
      </c>
      <c r="AR16" s="397">
        <f t="shared" ref="AR16:AR51" si="36">R16+AD16+AP16</f>
        <v>1127566</v>
      </c>
      <c r="AS16" s="397">
        <f t="shared" ref="AS16:AS51" si="37">S16+AE16+AQ16</f>
        <v>1180256</v>
      </c>
    </row>
    <row r="17" spans="1:45" ht="15.75">
      <c r="A17" s="228">
        <v>1</v>
      </c>
      <c r="B17" s="228" t="str">
        <f t="shared" si="1"/>
        <v>FRUTA_1</v>
      </c>
      <c r="C17" s="338" t="str">
        <f t="shared" si="2"/>
        <v>8_1</v>
      </c>
      <c r="D17" s="398" t="s">
        <v>1</v>
      </c>
      <c r="E17" s="228">
        <v>8</v>
      </c>
      <c r="F17" s="332" t="s">
        <v>55</v>
      </c>
      <c r="G17" s="228" t="s">
        <v>9</v>
      </c>
      <c r="H17" s="427">
        <f t="shared" si="3"/>
        <v>11</v>
      </c>
      <c r="I17" s="427">
        <f t="shared" si="4"/>
        <v>0</v>
      </c>
      <c r="J17" s="428">
        <f t="array" ref="J17">MAX((IF(MNU_CODIGO_ALIMENTO_ENTREGA=CONCATENATE($E17,"_","S_"),MNU_GRAMAJE_REQUERIDO_TIPOA,"")))</f>
        <v>100</v>
      </c>
      <c r="K17" s="229">
        <f t="shared" si="5"/>
        <v>0</v>
      </c>
      <c r="L17" s="229">
        <f t="shared" si="6"/>
        <v>0</v>
      </c>
      <c r="M17" s="229">
        <f t="shared" si="7"/>
        <v>0</v>
      </c>
      <c r="N17" s="454">
        <f t="shared" si="8"/>
        <v>134</v>
      </c>
      <c r="O17" s="454">
        <f t="shared" si="9"/>
        <v>6.539200000000001</v>
      </c>
      <c r="P17" s="454">
        <f t="shared" si="10"/>
        <v>0.115242144</v>
      </c>
      <c r="Q17" s="454">
        <f t="shared" si="11"/>
        <v>141</v>
      </c>
      <c r="R17" s="230">
        <f t="shared" si="12"/>
        <v>0</v>
      </c>
      <c r="S17" s="230">
        <f t="shared" si="13"/>
        <v>0</v>
      </c>
      <c r="T17" s="429">
        <f t="shared" si="14"/>
        <v>11</v>
      </c>
      <c r="U17" s="429">
        <f t="shared" si="15"/>
        <v>0</v>
      </c>
      <c r="V17" s="430">
        <f t="array" ref="V17">MAX((IF(MNU_CODIGO_ALIMENTO_ENTREGA=CONCATENATE($E17,"_","S_"),MNU_GRAMAJE_REQUERIDO_TIPOB,"")))</f>
        <v>100</v>
      </c>
      <c r="W17" s="397">
        <f t="shared" si="16"/>
        <v>0</v>
      </c>
      <c r="X17" s="397">
        <f t="shared" si="17"/>
        <v>0</v>
      </c>
      <c r="Y17" s="397">
        <f t="shared" si="18"/>
        <v>0</v>
      </c>
      <c r="Z17" s="454">
        <f t="shared" si="19"/>
        <v>134</v>
      </c>
      <c r="AA17" s="454">
        <f t="shared" si="20"/>
        <v>6.539200000000001</v>
      </c>
      <c r="AB17" s="454">
        <f t="shared" si="21"/>
        <v>0.115242144</v>
      </c>
      <c r="AC17" s="454">
        <f t="shared" si="22"/>
        <v>141</v>
      </c>
      <c r="AD17" s="231">
        <f t="shared" si="23"/>
        <v>0</v>
      </c>
      <c r="AE17" s="231">
        <f t="shared" si="24"/>
        <v>0</v>
      </c>
      <c r="AF17" s="427">
        <f t="shared" si="25"/>
        <v>11</v>
      </c>
      <c r="AG17" s="427">
        <f t="shared" si="26"/>
        <v>0</v>
      </c>
      <c r="AH17" s="428">
        <f t="array" ref="AH17">MAX((IF(MNU_CODIGO_ALIMENTO_ENTREGA=CONCATENATE($E17,"_","S_"),MNU_GRAMAJE_REQUERIDO_TIPOC,"")))</f>
        <v>100</v>
      </c>
      <c r="AI17" s="229">
        <f t="shared" si="27"/>
        <v>958</v>
      </c>
      <c r="AJ17" s="229">
        <f t="shared" si="28"/>
        <v>0</v>
      </c>
      <c r="AK17" s="229">
        <f t="shared" si="29"/>
        <v>10538</v>
      </c>
      <c r="AL17" s="454">
        <f t="shared" si="30"/>
        <v>134</v>
      </c>
      <c r="AM17" s="454">
        <f t="shared" si="31"/>
        <v>6.539200000000001</v>
      </c>
      <c r="AN17" s="454">
        <f t="shared" si="32"/>
        <v>0.115242144</v>
      </c>
      <c r="AO17" s="454">
        <f t="shared" si="33"/>
        <v>141</v>
      </c>
      <c r="AP17" s="454">
        <f t="shared" si="34"/>
        <v>1412092</v>
      </c>
      <c r="AQ17" s="230">
        <f t="shared" si="35"/>
        <v>1485858</v>
      </c>
      <c r="AR17" s="397">
        <f t="shared" si="36"/>
        <v>1412092</v>
      </c>
      <c r="AS17" s="397">
        <f t="shared" si="37"/>
        <v>1485858</v>
      </c>
    </row>
    <row r="18" spans="1:45" ht="15.75">
      <c r="A18" s="228">
        <v>1</v>
      </c>
      <c r="B18" s="228" t="str">
        <f t="shared" si="1"/>
        <v>FRUTA_1</v>
      </c>
      <c r="C18" s="338" t="str">
        <f t="shared" si="2"/>
        <v>17_1</v>
      </c>
      <c r="D18" s="398" t="s">
        <v>1</v>
      </c>
      <c r="E18" s="228">
        <v>17</v>
      </c>
      <c r="F18" s="332" t="s">
        <v>53</v>
      </c>
      <c r="G18" s="228" t="s">
        <v>9</v>
      </c>
      <c r="H18" s="427">
        <f t="shared" si="3"/>
        <v>0</v>
      </c>
      <c r="I18" s="427">
        <f t="shared" si="4"/>
        <v>0</v>
      </c>
      <c r="J18" s="428">
        <f t="array" ref="J18">MAX((IF(MNU_CODIGO_ALIMENTO_ENTREGA=CONCATENATE($E18,"_","S_"),MNU_GRAMAJE_REQUERIDO_TIPOA,"")))</f>
        <v>0</v>
      </c>
      <c r="K18" s="229">
        <f t="shared" si="5"/>
        <v>0</v>
      </c>
      <c r="L18" s="229">
        <f t="shared" si="6"/>
        <v>0</v>
      </c>
      <c r="M18" s="229">
        <f t="shared" si="7"/>
        <v>0</v>
      </c>
      <c r="N18" s="454">
        <f t="shared" si="8"/>
        <v>0</v>
      </c>
      <c r="O18" s="454">
        <f t="shared" si="9"/>
        <v>0</v>
      </c>
      <c r="P18" s="454">
        <f t="shared" si="10"/>
        <v>0</v>
      </c>
      <c r="Q18" s="454">
        <f t="shared" si="11"/>
        <v>0</v>
      </c>
      <c r="R18" s="230">
        <f t="shared" si="12"/>
        <v>0</v>
      </c>
      <c r="S18" s="230">
        <f t="shared" si="13"/>
        <v>0</v>
      </c>
      <c r="T18" s="429">
        <f t="shared" si="14"/>
        <v>23</v>
      </c>
      <c r="U18" s="429">
        <f t="shared" si="15"/>
        <v>4</v>
      </c>
      <c r="V18" s="430">
        <f t="array" ref="V18">MAX((IF(MNU_CODIGO_ALIMENTO_ENTREGA=CONCATENATE($E18,"_","S_"),MNU_GRAMAJE_REQUERIDO_TIPOB,"")))</f>
        <v>100</v>
      </c>
      <c r="W18" s="397">
        <f t="shared" si="16"/>
        <v>0</v>
      </c>
      <c r="X18" s="397">
        <f t="shared" si="17"/>
        <v>0</v>
      </c>
      <c r="Y18" s="397">
        <f t="shared" si="18"/>
        <v>0</v>
      </c>
      <c r="Z18" s="454">
        <f t="shared" si="19"/>
        <v>226</v>
      </c>
      <c r="AA18" s="454">
        <f t="shared" si="20"/>
        <v>11.0288</v>
      </c>
      <c r="AB18" s="454">
        <f t="shared" si="21"/>
        <v>0.19436361600000002</v>
      </c>
      <c r="AC18" s="454">
        <f t="shared" si="22"/>
        <v>237</v>
      </c>
      <c r="AD18" s="231">
        <f t="shared" si="23"/>
        <v>0</v>
      </c>
      <c r="AE18" s="231">
        <f t="shared" si="24"/>
        <v>0</v>
      </c>
      <c r="AF18" s="427">
        <f t="shared" si="25"/>
        <v>23</v>
      </c>
      <c r="AG18" s="427">
        <f t="shared" si="26"/>
        <v>4</v>
      </c>
      <c r="AH18" s="428">
        <f t="array" ref="AH18">MAX((IF(MNU_CODIGO_ALIMENTO_ENTREGA=CONCATENATE($E18,"_","S_"),MNU_GRAMAJE_REQUERIDO_TIPOC,"")))</f>
        <v>100</v>
      </c>
      <c r="AI18" s="229">
        <f t="shared" si="27"/>
        <v>958</v>
      </c>
      <c r="AJ18" s="229">
        <f t="shared" si="28"/>
        <v>0</v>
      </c>
      <c r="AK18" s="229">
        <f t="shared" si="29"/>
        <v>22034</v>
      </c>
      <c r="AL18" s="454">
        <f t="shared" si="30"/>
        <v>226</v>
      </c>
      <c r="AM18" s="454">
        <f t="shared" si="31"/>
        <v>11.0288</v>
      </c>
      <c r="AN18" s="454">
        <f t="shared" si="32"/>
        <v>0.19436361600000002</v>
      </c>
      <c r="AO18" s="454">
        <f t="shared" si="33"/>
        <v>237</v>
      </c>
      <c r="AP18" s="454">
        <f t="shared" si="34"/>
        <v>4979684</v>
      </c>
      <c r="AQ18" s="230">
        <f t="shared" si="35"/>
        <v>5222058</v>
      </c>
      <c r="AR18" s="397">
        <f t="shared" si="36"/>
        <v>4979684</v>
      </c>
      <c r="AS18" s="397">
        <f t="shared" si="37"/>
        <v>5222058</v>
      </c>
    </row>
    <row r="19" spans="1:45" ht="15.75">
      <c r="A19" s="228">
        <v>1</v>
      </c>
      <c r="B19" s="228" t="str">
        <f t="shared" si="1"/>
        <v>FRUTA_1</v>
      </c>
      <c r="C19" s="338" t="str">
        <f t="shared" si="2"/>
        <v>22_1</v>
      </c>
      <c r="D19" s="398" t="s">
        <v>1</v>
      </c>
      <c r="E19" s="228">
        <v>22</v>
      </c>
      <c r="F19" s="332" t="s">
        <v>51</v>
      </c>
      <c r="G19" s="228" t="s">
        <v>9</v>
      </c>
      <c r="H19" s="427">
        <f t="shared" si="3"/>
        <v>0</v>
      </c>
      <c r="I19" s="427">
        <f t="shared" si="4"/>
        <v>0</v>
      </c>
      <c r="J19" s="428">
        <f t="array" ref="J19">MAX((IF(MNU_CODIGO_ALIMENTO_ENTREGA=CONCATENATE($E19,"_","S_"),MNU_GRAMAJE_REQUERIDO_TIPOA,"")))</f>
        <v>0</v>
      </c>
      <c r="K19" s="229">
        <f t="shared" si="5"/>
        <v>0</v>
      </c>
      <c r="L19" s="229">
        <f t="shared" si="6"/>
        <v>0</v>
      </c>
      <c r="M19" s="229">
        <f t="shared" si="7"/>
        <v>0</v>
      </c>
      <c r="N19" s="454">
        <f t="shared" si="8"/>
        <v>0</v>
      </c>
      <c r="O19" s="454">
        <f t="shared" si="9"/>
        <v>0</v>
      </c>
      <c r="P19" s="454">
        <f t="shared" si="10"/>
        <v>0</v>
      </c>
      <c r="Q19" s="454">
        <f t="shared" si="11"/>
        <v>0</v>
      </c>
      <c r="R19" s="230">
        <f t="shared" si="12"/>
        <v>0</v>
      </c>
      <c r="S19" s="230">
        <f t="shared" si="13"/>
        <v>0</v>
      </c>
      <c r="T19" s="429">
        <f t="shared" si="14"/>
        <v>23</v>
      </c>
      <c r="U19" s="429">
        <f t="shared" si="15"/>
        <v>4</v>
      </c>
      <c r="V19" s="430">
        <f t="array" ref="V19">MAX((IF(MNU_CODIGO_ALIMENTO_ENTREGA=CONCATENATE($E19,"_","S_"),MNU_GRAMAJE_REQUERIDO_TIPOB,"")))</f>
        <v>100</v>
      </c>
      <c r="W19" s="397">
        <f t="shared" si="16"/>
        <v>0</v>
      </c>
      <c r="X19" s="397">
        <f t="shared" si="17"/>
        <v>0</v>
      </c>
      <c r="Y19" s="397">
        <f t="shared" si="18"/>
        <v>0</v>
      </c>
      <c r="Z19" s="454">
        <f t="shared" si="19"/>
        <v>525</v>
      </c>
      <c r="AA19" s="454">
        <f t="shared" si="20"/>
        <v>25.62</v>
      </c>
      <c r="AB19" s="454">
        <f t="shared" si="21"/>
        <v>0.45150840000000003</v>
      </c>
      <c r="AC19" s="454">
        <f t="shared" si="22"/>
        <v>551</v>
      </c>
      <c r="AD19" s="231">
        <f t="shared" si="23"/>
        <v>0</v>
      </c>
      <c r="AE19" s="231">
        <f t="shared" si="24"/>
        <v>0</v>
      </c>
      <c r="AF19" s="427">
        <f t="shared" si="25"/>
        <v>23</v>
      </c>
      <c r="AG19" s="427">
        <f t="shared" si="26"/>
        <v>4</v>
      </c>
      <c r="AH19" s="428">
        <f t="array" ref="AH19">MAX((IF(MNU_CODIGO_ALIMENTO_ENTREGA=CONCATENATE($E19,"_","S_"),MNU_GRAMAJE_REQUERIDO_TIPOC,"")))</f>
        <v>100</v>
      </c>
      <c r="AI19" s="229">
        <f t="shared" si="27"/>
        <v>958</v>
      </c>
      <c r="AJ19" s="229">
        <f t="shared" si="28"/>
        <v>0</v>
      </c>
      <c r="AK19" s="229">
        <f t="shared" si="29"/>
        <v>22034</v>
      </c>
      <c r="AL19" s="454">
        <f t="shared" si="30"/>
        <v>525</v>
      </c>
      <c r="AM19" s="454">
        <f t="shared" si="31"/>
        <v>25.62</v>
      </c>
      <c r="AN19" s="454">
        <f t="shared" si="32"/>
        <v>0.45150840000000003</v>
      </c>
      <c r="AO19" s="454">
        <f t="shared" si="33"/>
        <v>551</v>
      </c>
      <c r="AP19" s="454">
        <f t="shared" si="34"/>
        <v>11567850</v>
      </c>
      <c r="AQ19" s="230">
        <f t="shared" si="35"/>
        <v>12140734</v>
      </c>
      <c r="AR19" s="397">
        <f t="shared" si="36"/>
        <v>11567850</v>
      </c>
      <c r="AS19" s="397">
        <f t="shared" si="37"/>
        <v>12140734</v>
      </c>
    </row>
    <row r="20" spans="1:45" ht="15.75">
      <c r="A20" s="228">
        <v>1</v>
      </c>
      <c r="B20" s="228" t="str">
        <f t="shared" si="1"/>
        <v>FRUTA_1</v>
      </c>
      <c r="C20" s="338" t="str">
        <f t="shared" si="2"/>
        <v>33_1</v>
      </c>
      <c r="D20" s="398" t="s">
        <v>1</v>
      </c>
      <c r="E20" s="228">
        <v>33</v>
      </c>
      <c r="F20" s="332" t="s">
        <v>59</v>
      </c>
      <c r="G20" s="228" t="s">
        <v>48</v>
      </c>
      <c r="H20" s="427">
        <f t="shared" si="3"/>
        <v>29</v>
      </c>
      <c r="I20" s="427">
        <f t="shared" si="4"/>
        <v>5</v>
      </c>
      <c r="J20" s="428">
        <v>1</v>
      </c>
      <c r="K20" s="229">
        <f t="shared" si="5"/>
        <v>0</v>
      </c>
      <c r="L20" s="229">
        <f t="shared" si="6"/>
        <v>0</v>
      </c>
      <c r="M20" s="229">
        <f t="shared" si="7"/>
        <v>0</v>
      </c>
      <c r="N20" s="454">
        <f t="shared" si="8"/>
        <v>270</v>
      </c>
      <c r="O20" s="454">
        <f t="shared" si="9"/>
        <v>13.176000000000002</v>
      </c>
      <c r="P20" s="454">
        <f t="shared" si="10"/>
        <v>0.23220432000000002</v>
      </c>
      <c r="Q20" s="454">
        <f t="shared" si="11"/>
        <v>283</v>
      </c>
      <c r="R20" s="230">
        <f t="shared" si="12"/>
        <v>0</v>
      </c>
      <c r="S20" s="230">
        <f t="shared" si="13"/>
        <v>0</v>
      </c>
      <c r="T20" s="429">
        <f t="shared" si="14"/>
        <v>23</v>
      </c>
      <c r="U20" s="429">
        <f t="shared" si="15"/>
        <v>2</v>
      </c>
      <c r="V20" s="430">
        <v>1</v>
      </c>
      <c r="W20" s="397">
        <f t="shared" si="16"/>
        <v>0</v>
      </c>
      <c r="X20" s="397">
        <f t="shared" si="17"/>
        <v>0</v>
      </c>
      <c r="Y20" s="397">
        <f t="shared" si="18"/>
        <v>0</v>
      </c>
      <c r="Z20" s="454">
        <f t="shared" si="19"/>
        <v>270</v>
      </c>
      <c r="AA20" s="454">
        <f t="shared" si="20"/>
        <v>13.176000000000002</v>
      </c>
      <c r="AB20" s="454">
        <f t="shared" si="21"/>
        <v>0.23220432000000002</v>
      </c>
      <c r="AC20" s="454">
        <f t="shared" si="22"/>
        <v>283</v>
      </c>
      <c r="AD20" s="231">
        <f t="shared" si="23"/>
        <v>0</v>
      </c>
      <c r="AE20" s="231">
        <f t="shared" si="24"/>
        <v>0</v>
      </c>
      <c r="AF20" s="427">
        <f t="shared" si="25"/>
        <v>23</v>
      </c>
      <c r="AG20" s="427">
        <f t="shared" si="26"/>
        <v>2</v>
      </c>
      <c r="AH20" s="428">
        <v>1</v>
      </c>
      <c r="AI20" s="229">
        <f t="shared" si="27"/>
        <v>958</v>
      </c>
      <c r="AJ20" s="229">
        <f t="shared" si="28"/>
        <v>0</v>
      </c>
      <c r="AK20" s="229">
        <f t="shared" si="29"/>
        <v>22034</v>
      </c>
      <c r="AL20" s="454">
        <f t="shared" si="30"/>
        <v>270</v>
      </c>
      <c r="AM20" s="454">
        <f t="shared" si="31"/>
        <v>13.176000000000002</v>
      </c>
      <c r="AN20" s="454">
        <f t="shared" si="32"/>
        <v>0.23220432000000002</v>
      </c>
      <c r="AO20" s="454">
        <f t="shared" si="33"/>
        <v>283</v>
      </c>
      <c r="AP20" s="454">
        <f t="shared" si="34"/>
        <v>5949180</v>
      </c>
      <c r="AQ20" s="230">
        <f t="shared" si="35"/>
        <v>6235622</v>
      </c>
      <c r="AR20" s="397">
        <f t="shared" si="36"/>
        <v>5949180</v>
      </c>
      <c r="AS20" s="397">
        <f t="shared" si="37"/>
        <v>6235622</v>
      </c>
    </row>
    <row r="21" spans="1:45" ht="15.75">
      <c r="A21" s="228">
        <v>1</v>
      </c>
      <c r="B21" s="228" t="str">
        <f t="shared" si="1"/>
        <v>FRUTA_1</v>
      </c>
      <c r="C21" s="338" t="str">
        <f t="shared" si="2"/>
        <v>36_1</v>
      </c>
      <c r="D21" s="398" t="s">
        <v>1</v>
      </c>
      <c r="E21" s="228">
        <v>36</v>
      </c>
      <c r="F21" s="332" t="s">
        <v>1340</v>
      </c>
      <c r="G21" s="228" t="s">
        <v>9</v>
      </c>
      <c r="H21" s="427">
        <f t="shared" si="3"/>
        <v>8</v>
      </c>
      <c r="I21" s="427">
        <f t="shared" si="4"/>
        <v>0</v>
      </c>
      <c r="J21" s="428">
        <f t="array" ref="J21">MAX((IF(MNU_CODIGO_ALIMENTO_ENTREGA=CONCATENATE($E21,"_","S_"),MNU_GRAMAJE_REQUERIDO_TIPOA,"")))</f>
        <v>20</v>
      </c>
      <c r="K21" s="229">
        <f t="shared" si="5"/>
        <v>0</v>
      </c>
      <c r="L21" s="229">
        <f t="shared" si="6"/>
        <v>0</v>
      </c>
      <c r="M21" s="229">
        <f t="shared" si="7"/>
        <v>0</v>
      </c>
      <c r="N21" s="454">
        <f t="shared" si="8"/>
        <v>126</v>
      </c>
      <c r="O21" s="454">
        <f t="shared" si="9"/>
        <v>6.1488000000000005</v>
      </c>
      <c r="P21" s="454">
        <f t="shared" si="10"/>
        <v>0.10836201599999999</v>
      </c>
      <c r="Q21" s="454">
        <f t="shared" si="11"/>
        <v>132</v>
      </c>
      <c r="R21" s="230">
        <f t="shared" si="12"/>
        <v>0</v>
      </c>
      <c r="S21" s="230">
        <f t="shared" si="13"/>
        <v>0</v>
      </c>
      <c r="T21" s="429">
        <f t="shared" si="14"/>
        <v>8</v>
      </c>
      <c r="U21" s="429">
        <f t="shared" si="15"/>
        <v>0</v>
      </c>
      <c r="V21" s="430">
        <f t="array" ref="V21">MAX((IF(MNU_CODIGO_ALIMENTO_ENTREGA=CONCATENATE($E21,"_","S_"),MNU_GRAMAJE_REQUERIDO_TIPOB,"")))</f>
        <v>40</v>
      </c>
      <c r="W21" s="397">
        <f t="shared" si="16"/>
        <v>0</v>
      </c>
      <c r="X21" s="397">
        <f t="shared" si="17"/>
        <v>0</v>
      </c>
      <c r="Y21" s="397">
        <f t="shared" si="18"/>
        <v>0</v>
      </c>
      <c r="Z21" s="454">
        <f t="shared" si="19"/>
        <v>252</v>
      </c>
      <c r="AA21" s="454">
        <f t="shared" si="20"/>
        <v>12.297600000000001</v>
      </c>
      <c r="AB21" s="454">
        <f t="shared" si="21"/>
        <v>0.21672403199999998</v>
      </c>
      <c r="AC21" s="454">
        <f t="shared" si="22"/>
        <v>265</v>
      </c>
      <c r="AD21" s="231">
        <f t="shared" si="23"/>
        <v>0</v>
      </c>
      <c r="AE21" s="231">
        <f t="shared" si="24"/>
        <v>0</v>
      </c>
      <c r="AF21" s="427">
        <f t="shared" si="25"/>
        <v>8</v>
      </c>
      <c r="AG21" s="427">
        <f t="shared" si="26"/>
        <v>0</v>
      </c>
      <c r="AH21" s="428">
        <f t="array" ref="AH21">MAX((IF(MNU_CODIGO_ALIMENTO_ENTREGA=CONCATENATE($E21,"_","S_"),MNU_GRAMAJE_REQUERIDO_TIPOC,"")))</f>
        <v>40</v>
      </c>
      <c r="AI21" s="229">
        <f t="shared" si="27"/>
        <v>958</v>
      </c>
      <c r="AJ21" s="229">
        <f t="shared" si="28"/>
        <v>0</v>
      </c>
      <c r="AK21" s="229">
        <f t="shared" si="29"/>
        <v>7664</v>
      </c>
      <c r="AL21" s="454">
        <f t="shared" si="30"/>
        <v>252</v>
      </c>
      <c r="AM21" s="454">
        <f t="shared" si="31"/>
        <v>12.297600000000001</v>
      </c>
      <c r="AN21" s="454">
        <f t="shared" si="32"/>
        <v>0.21672403199999998</v>
      </c>
      <c r="AO21" s="454">
        <f t="shared" si="33"/>
        <v>265</v>
      </c>
      <c r="AP21" s="454">
        <f t="shared" si="34"/>
        <v>1931328</v>
      </c>
      <c r="AQ21" s="230">
        <f t="shared" si="35"/>
        <v>2030960</v>
      </c>
      <c r="AR21" s="397">
        <f t="shared" si="36"/>
        <v>1931328</v>
      </c>
      <c r="AS21" s="397">
        <f t="shared" si="37"/>
        <v>2030960</v>
      </c>
    </row>
    <row r="22" spans="1:45" ht="15.75">
      <c r="A22" s="228">
        <v>1</v>
      </c>
      <c r="B22" s="228" t="str">
        <f t="shared" si="1"/>
        <v>FRUTA_1</v>
      </c>
      <c r="C22" s="338" t="str">
        <f t="shared" si="2"/>
        <v>42_1</v>
      </c>
      <c r="D22" s="398" t="s">
        <v>1</v>
      </c>
      <c r="E22" s="228">
        <v>42</v>
      </c>
      <c r="F22" s="332" t="s">
        <v>61</v>
      </c>
      <c r="G22" s="228" t="s">
        <v>9</v>
      </c>
      <c r="H22" s="427">
        <f t="shared" si="3"/>
        <v>36</v>
      </c>
      <c r="I22" s="427">
        <f t="shared" si="4"/>
        <v>8</v>
      </c>
      <c r="J22" s="428">
        <f t="array" ref="J22">MAX((IF(MNU_CODIGO_ALIMENTO_ENTREGA=CONCATENATE($E22,"_","S_"),MNU_GRAMAJE_REQUERIDO_TIPOA,"")))</f>
        <v>100</v>
      </c>
      <c r="K22" s="229">
        <f t="shared" si="5"/>
        <v>0</v>
      </c>
      <c r="L22" s="229">
        <f t="shared" si="6"/>
        <v>0</v>
      </c>
      <c r="M22" s="229">
        <f t="shared" si="7"/>
        <v>0</v>
      </c>
      <c r="N22" s="454">
        <f t="shared" si="8"/>
        <v>194</v>
      </c>
      <c r="O22" s="454">
        <f t="shared" si="9"/>
        <v>9.4672000000000001</v>
      </c>
      <c r="P22" s="454">
        <f t="shared" si="10"/>
        <v>0.16684310399999999</v>
      </c>
      <c r="Q22" s="454">
        <f t="shared" si="11"/>
        <v>204</v>
      </c>
      <c r="R22" s="230">
        <f t="shared" si="12"/>
        <v>0</v>
      </c>
      <c r="S22" s="230">
        <f t="shared" si="13"/>
        <v>0</v>
      </c>
      <c r="T22" s="429">
        <f t="shared" si="14"/>
        <v>19</v>
      </c>
      <c r="U22" s="429">
        <f t="shared" si="15"/>
        <v>8</v>
      </c>
      <c r="V22" s="430">
        <f t="array" ref="V22">MAX((IF(MNU_CODIGO_ALIMENTO_ENTREGA=CONCATENATE($E22,"_","S_"),MNU_GRAMAJE_REQUERIDO_TIPOB,"")))</f>
        <v>100</v>
      </c>
      <c r="W22" s="397">
        <f t="shared" si="16"/>
        <v>0</v>
      </c>
      <c r="X22" s="397">
        <f t="shared" si="17"/>
        <v>0</v>
      </c>
      <c r="Y22" s="397">
        <f t="shared" si="18"/>
        <v>0</v>
      </c>
      <c r="Z22" s="454">
        <f t="shared" si="19"/>
        <v>194</v>
      </c>
      <c r="AA22" s="454">
        <f t="shared" si="20"/>
        <v>9.4672000000000001</v>
      </c>
      <c r="AB22" s="454">
        <f t="shared" si="21"/>
        <v>0.16684310399999999</v>
      </c>
      <c r="AC22" s="454">
        <f t="shared" si="22"/>
        <v>204</v>
      </c>
      <c r="AD22" s="231">
        <f t="shared" si="23"/>
        <v>0</v>
      </c>
      <c r="AE22" s="231">
        <f t="shared" si="24"/>
        <v>0</v>
      </c>
      <c r="AF22" s="427">
        <f t="shared" si="25"/>
        <v>19</v>
      </c>
      <c r="AG22" s="427">
        <f t="shared" si="26"/>
        <v>8</v>
      </c>
      <c r="AH22" s="428">
        <f t="array" ref="AH22">MAX((IF(MNU_CODIGO_ALIMENTO_ENTREGA=CONCATENATE($E22,"_","S_"),MNU_GRAMAJE_REQUERIDO_TIPOC,"")))</f>
        <v>100</v>
      </c>
      <c r="AI22" s="229">
        <f t="shared" si="27"/>
        <v>958</v>
      </c>
      <c r="AJ22" s="229">
        <f t="shared" si="28"/>
        <v>0</v>
      </c>
      <c r="AK22" s="229">
        <f t="shared" si="29"/>
        <v>18202</v>
      </c>
      <c r="AL22" s="454">
        <f t="shared" si="30"/>
        <v>194</v>
      </c>
      <c r="AM22" s="454">
        <f t="shared" si="31"/>
        <v>9.4672000000000001</v>
      </c>
      <c r="AN22" s="454">
        <f t="shared" si="32"/>
        <v>0.16684310399999999</v>
      </c>
      <c r="AO22" s="454">
        <f t="shared" si="33"/>
        <v>204</v>
      </c>
      <c r="AP22" s="454">
        <f t="shared" si="34"/>
        <v>3531188</v>
      </c>
      <c r="AQ22" s="230">
        <f t="shared" si="35"/>
        <v>3713208</v>
      </c>
      <c r="AR22" s="397">
        <f t="shared" si="36"/>
        <v>3531188</v>
      </c>
      <c r="AS22" s="397">
        <f t="shared" si="37"/>
        <v>3713208</v>
      </c>
    </row>
    <row r="23" spans="1:45" ht="15.75">
      <c r="A23" s="228">
        <v>1</v>
      </c>
      <c r="B23" s="228" t="str">
        <f t="shared" si="1"/>
        <v>FRUTA_1</v>
      </c>
      <c r="C23" s="338" t="str">
        <f t="shared" si="2"/>
        <v>43_1</v>
      </c>
      <c r="D23" s="398" t="s">
        <v>1</v>
      </c>
      <c r="E23" s="258">
        <v>43</v>
      </c>
      <c r="F23" s="328" t="s">
        <v>62</v>
      </c>
      <c r="G23" s="228" t="s">
        <v>9</v>
      </c>
      <c r="H23" s="427">
        <f t="shared" si="3"/>
        <v>29</v>
      </c>
      <c r="I23" s="427">
        <f t="shared" si="4"/>
        <v>6</v>
      </c>
      <c r="J23" s="428">
        <f t="array" ref="J23">MAX((IF(MNU_CODIGO_ALIMENTO_ENTREGA=CONCATENATE($E23,"_","S_"),MNU_GRAMAJE_REQUERIDO_TIPOA,"")))</f>
        <v>100</v>
      </c>
      <c r="K23" s="229">
        <f t="shared" si="5"/>
        <v>0</v>
      </c>
      <c r="L23" s="229">
        <f t="shared" si="6"/>
        <v>0</v>
      </c>
      <c r="M23" s="229">
        <f t="shared" si="7"/>
        <v>0</v>
      </c>
      <c r="N23" s="454">
        <f t="shared" si="8"/>
        <v>170</v>
      </c>
      <c r="O23" s="454">
        <f t="shared" si="9"/>
        <v>8.2959999999999994</v>
      </c>
      <c r="P23" s="454">
        <f t="shared" si="10"/>
        <v>0.14620272000000001</v>
      </c>
      <c r="Q23" s="454">
        <f t="shared" si="11"/>
        <v>178</v>
      </c>
      <c r="R23" s="230">
        <f t="shared" si="12"/>
        <v>0</v>
      </c>
      <c r="S23" s="230">
        <f t="shared" si="13"/>
        <v>0</v>
      </c>
      <c r="T23" s="429">
        <f t="shared" si="14"/>
        <v>23</v>
      </c>
      <c r="U23" s="429">
        <f t="shared" si="15"/>
        <v>1</v>
      </c>
      <c r="V23" s="430">
        <f t="array" ref="V23">MAX((IF(MNU_CODIGO_ALIMENTO_ENTREGA=CONCATENATE($E23,"_","S_"),MNU_GRAMAJE_REQUERIDO_TIPOB,"")))</f>
        <v>100</v>
      </c>
      <c r="W23" s="397">
        <f t="shared" si="16"/>
        <v>0</v>
      </c>
      <c r="X23" s="397">
        <f t="shared" si="17"/>
        <v>0</v>
      </c>
      <c r="Y23" s="397">
        <f t="shared" si="18"/>
        <v>0</v>
      </c>
      <c r="Z23" s="454">
        <f t="shared" si="19"/>
        <v>170</v>
      </c>
      <c r="AA23" s="454">
        <f t="shared" si="20"/>
        <v>8.2959999999999994</v>
      </c>
      <c r="AB23" s="454">
        <f t="shared" si="21"/>
        <v>0.14620272000000001</v>
      </c>
      <c r="AC23" s="454">
        <f t="shared" si="22"/>
        <v>178</v>
      </c>
      <c r="AD23" s="231">
        <f t="shared" si="23"/>
        <v>0</v>
      </c>
      <c r="AE23" s="231">
        <f t="shared" si="24"/>
        <v>0</v>
      </c>
      <c r="AF23" s="427">
        <f t="shared" si="25"/>
        <v>23</v>
      </c>
      <c r="AG23" s="427">
        <f t="shared" si="26"/>
        <v>1</v>
      </c>
      <c r="AH23" s="428">
        <f t="array" ref="AH23">MAX((IF(MNU_CODIGO_ALIMENTO_ENTREGA=CONCATENATE($E23,"_","S_"),MNU_GRAMAJE_REQUERIDO_TIPOC,"")))</f>
        <v>100</v>
      </c>
      <c r="AI23" s="229">
        <f t="shared" si="27"/>
        <v>958</v>
      </c>
      <c r="AJ23" s="229">
        <f t="shared" si="28"/>
        <v>0</v>
      </c>
      <c r="AK23" s="229">
        <f t="shared" si="29"/>
        <v>22034</v>
      </c>
      <c r="AL23" s="454">
        <f t="shared" si="30"/>
        <v>170</v>
      </c>
      <c r="AM23" s="454">
        <f t="shared" si="31"/>
        <v>8.2959999999999994</v>
      </c>
      <c r="AN23" s="454">
        <f t="shared" si="32"/>
        <v>0.14620272000000001</v>
      </c>
      <c r="AO23" s="454">
        <f t="shared" si="33"/>
        <v>178</v>
      </c>
      <c r="AP23" s="454">
        <f t="shared" si="34"/>
        <v>3745780</v>
      </c>
      <c r="AQ23" s="230">
        <f t="shared" si="35"/>
        <v>3922052</v>
      </c>
      <c r="AR23" s="397">
        <f t="shared" si="36"/>
        <v>3745780</v>
      </c>
      <c r="AS23" s="397">
        <f t="shared" si="37"/>
        <v>3922052</v>
      </c>
    </row>
    <row r="24" spans="1:45" ht="15.75">
      <c r="A24" s="228">
        <v>1</v>
      </c>
      <c r="B24" s="228" t="str">
        <f t="shared" si="1"/>
        <v>FRUTA_1</v>
      </c>
      <c r="C24" s="338" t="str">
        <f t="shared" si="2"/>
        <v>46_1</v>
      </c>
      <c r="D24" s="398" t="s">
        <v>1</v>
      </c>
      <c r="E24" s="228">
        <v>46</v>
      </c>
      <c r="F24" s="332" t="s">
        <v>64</v>
      </c>
      <c r="G24" s="228" t="s">
        <v>9</v>
      </c>
      <c r="H24" s="427">
        <f t="shared" si="3"/>
        <v>29</v>
      </c>
      <c r="I24" s="427">
        <f t="shared" si="4"/>
        <v>4</v>
      </c>
      <c r="J24" s="428">
        <f t="array" ref="J24">MAX((IF(MNU_CODIGO_ALIMENTO_ENTREGA=CONCATENATE($E24,"_","S_"),MNU_GRAMAJE_REQUERIDO_TIPOA,"")))</f>
        <v>100</v>
      </c>
      <c r="K24" s="229">
        <f t="shared" si="5"/>
        <v>0</v>
      </c>
      <c r="L24" s="229">
        <f t="shared" si="6"/>
        <v>0</v>
      </c>
      <c r="M24" s="229">
        <f t="shared" si="7"/>
        <v>0</v>
      </c>
      <c r="N24" s="454">
        <f t="shared" si="8"/>
        <v>398</v>
      </c>
      <c r="O24" s="454">
        <f t="shared" si="9"/>
        <v>19.4224</v>
      </c>
      <c r="P24" s="454">
        <f t="shared" si="10"/>
        <v>0.34228636800000001</v>
      </c>
      <c r="Q24" s="454">
        <f t="shared" si="11"/>
        <v>418</v>
      </c>
      <c r="R24" s="230">
        <f t="shared" si="12"/>
        <v>0</v>
      </c>
      <c r="S24" s="230">
        <f t="shared" si="13"/>
        <v>0</v>
      </c>
      <c r="T24" s="429">
        <f t="shared" si="14"/>
        <v>24</v>
      </c>
      <c r="U24" s="429">
        <f t="shared" si="15"/>
        <v>3</v>
      </c>
      <c r="V24" s="430">
        <f t="array" ref="V24">MAX((IF(MNU_CODIGO_ALIMENTO_ENTREGA=CONCATENATE($E24,"_","S_"),MNU_GRAMAJE_REQUERIDO_TIPOB,"")))</f>
        <v>100</v>
      </c>
      <c r="W24" s="397">
        <f t="shared" si="16"/>
        <v>0</v>
      </c>
      <c r="X24" s="397">
        <f t="shared" si="17"/>
        <v>0</v>
      </c>
      <c r="Y24" s="397">
        <f t="shared" si="18"/>
        <v>0</v>
      </c>
      <c r="Z24" s="454">
        <f t="shared" si="19"/>
        <v>398</v>
      </c>
      <c r="AA24" s="454">
        <f t="shared" si="20"/>
        <v>19.4224</v>
      </c>
      <c r="AB24" s="454">
        <f t="shared" si="21"/>
        <v>0.34228636800000001</v>
      </c>
      <c r="AC24" s="454">
        <f t="shared" si="22"/>
        <v>418</v>
      </c>
      <c r="AD24" s="231">
        <f t="shared" si="23"/>
        <v>0</v>
      </c>
      <c r="AE24" s="231">
        <f t="shared" si="24"/>
        <v>0</v>
      </c>
      <c r="AF24" s="427">
        <f t="shared" si="25"/>
        <v>24</v>
      </c>
      <c r="AG24" s="427">
        <f t="shared" si="26"/>
        <v>3</v>
      </c>
      <c r="AH24" s="428">
        <f t="array" ref="AH24">MAX((IF(MNU_CODIGO_ALIMENTO_ENTREGA=CONCATENATE($E24,"_","S_"),MNU_GRAMAJE_REQUERIDO_TIPOC,"")))</f>
        <v>100</v>
      </c>
      <c r="AI24" s="229">
        <f t="shared" si="27"/>
        <v>958</v>
      </c>
      <c r="AJ24" s="229">
        <f t="shared" si="28"/>
        <v>0</v>
      </c>
      <c r="AK24" s="229">
        <f t="shared" si="29"/>
        <v>22992</v>
      </c>
      <c r="AL24" s="454">
        <f t="shared" si="30"/>
        <v>398</v>
      </c>
      <c r="AM24" s="454">
        <f t="shared" si="31"/>
        <v>19.4224</v>
      </c>
      <c r="AN24" s="454">
        <f t="shared" si="32"/>
        <v>0.34228636800000001</v>
      </c>
      <c r="AO24" s="454">
        <f t="shared" si="33"/>
        <v>418</v>
      </c>
      <c r="AP24" s="454">
        <f t="shared" si="34"/>
        <v>9150816</v>
      </c>
      <c r="AQ24" s="230">
        <f t="shared" si="35"/>
        <v>9610656</v>
      </c>
      <c r="AR24" s="397">
        <f t="shared" si="36"/>
        <v>9150816</v>
      </c>
      <c r="AS24" s="397">
        <f t="shared" si="37"/>
        <v>9610656</v>
      </c>
    </row>
    <row r="25" spans="1:45" ht="15.75">
      <c r="A25" s="228">
        <v>1</v>
      </c>
      <c r="B25" s="228" t="str">
        <f t="shared" si="1"/>
        <v>FRUTA_1</v>
      </c>
      <c r="C25" s="338" t="str">
        <f t="shared" si="2"/>
        <v>58_1</v>
      </c>
      <c r="D25" s="398" t="s">
        <v>1</v>
      </c>
      <c r="E25" s="228">
        <v>58</v>
      </c>
      <c r="F25" s="332" t="s">
        <v>67</v>
      </c>
      <c r="G25" s="228" t="s">
        <v>9</v>
      </c>
      <c r="H25" s="427">
        <f t="shared" si="3"/>
        <v>28</v>
      </c>
      <c r="I25" s="427">
        <f t="shared" si="4"/>
        <v>5</v>
      </c>
      <c r="J25" s="428">
        <f t="array" ref="J25">MAX((IF(MNU_CODIGO_ALIMENTO_ENTREGA=CONCATENATE($E25,"_","S_"),MNU_GRAMAJE_REQUERIDO_TIPOA,"")))</f>
        <v>100</v>
      </c>
      <c r="K25" s="229">
        <f t="shared" si="5"/>
        <v>0</v>
      </c>
      <c r="L25" s="229">
        <f t="shared" si="6"/>
        <v>0</v>
      </c>
      <c r="M25" s="229">
        <f t="shared" si="7"/>
        <v>0</v>
      </c>
      <c r="N25" s="454">
        <f t="shared" si="8"/>
        <v>154</v>
      </c>
      <c r="O25" s="454">
        <f t="shared" si="9"/>
        <v>7.515200000000001</v>
      </c>
      <c r="P25" s="454">
        <f t="shared" si="10"/>
        <v>0.13244246400000001</v>
      </c>
      <c r="Q25" s="454">
        <f t="shared" si="11"/>
        <v>162</v>
      </c>
      <c r="R25" s="230">
        <f t="shared" si="12"/>
        <v>0</v>
      </c>
      <c r="S25" s="230">
        <f t="shared" si="13"/>
        <v>0</v>
      </c>
      <c r="T25" s="429">
        <f t="shared" si="14"/>
        <v>23</v>
      </c>
      <c r="U25" s="429">
        <f t="shared" si="15"/>
        <v>3</v>
      </c>
      <c r="V25" s="430">
        <f t="array" ref="V25">MAX((IF(MNU_CODIGO_ALIMENTO_ENTREGA=CONCATENATE($E25,"_","S_"),MNU_GRAMAJE_REQUERIDO_TIPOB,"")))</f>
        <v>100</v>
      </c>
      <c r="W25" s="397">
        <f t="shared" si="16"/>
        <v>0</v>
      </c>
      <c r="X25" s="397">
        <f t="shared" si="17"/>
        <v>0</v>
      </c>
      <c r="Y25" s="397">
        <f t="shared" si="18"/>
        <v>0</v>
      </c>
      <c r="Z25" s="454">
        <f t="shared" si="19"/>
        <v>154</v>
      </c>
      <c r="AA25" s="454">
        <f t="shared" si="20"/>
        <v>7.515200000000001</v>
      </c>
      <c r="AB25" s="454">
        <f t="shared" si="21"/>
        <v>0.13244246400000001</v>
      </c>
      <c r="AC25" s="454">
        <f t="shared" si="22"/>
        <v>162</v>
      </c>
      <c r="AD25" s="231">
        <f t="shared" si="23"/>
        <v>0</v>
      </c>
      <c r="AE25" s="231">
        <f t="shared" si="24"/>
        <v>0</v>
      </c>
      <c r="AF25" s="427">
        <f t="shared" si="25"/>
        <v>23</v>
      </c>
      <c r="AG25" s="427">
        <f t="shared" si="26"/>
        <v>3</v>
      </c>
      <c r="AH25" s="428">
        <f t="array" ref="AH25">MAX((IF(MNU_CODIGO_ALIMENTO_ENTREGA=CONCATENATE($E25,"_","S_"),MNU_GRAMAJE_REQUERIDO_TIPOC,"")))</f>
        <v>100</v>
      </c>
      <c r="AI25" s="229">
        <f t="shared" si="27"/>
        <v>958</v>
      </c>
      <c r="AJ25" s="229">
        <f t="shared" si="28"/>
        <v>0</v>
      </c>
      <c r="AK25" s="229">
        <f t="shared" si="29"/>
        <v>22034</v>
      </c>
      <c r="AL25" s="454">
        <f t="shared" si="30"/>
        <v>154</v>
      </c>
      <c r="AM25" s="454">
        <f t="shared" si="31"/>
        <v>7.515200000000001</v>
      </c>
      <c r="AN25" s="454">
        <f t="shared" si="32"/>
        <v>0.13244246400000001</v>
      </c>
      <c r="AO25" s="454">
        <f t="shared" si="33"/>
        <v>162</v>
      </c>
      <c r="AP25" s="454">
        <f t="shared" si="34"/>
        <v>3393236</v>
      </c>
      <c r="AQ25" s="230">
        <f t="shared" si="35"/>
        <v>3569508</v>
      </c>
      <c r="AR25" s="397">
        <f t="shared" si="36"/>
        <v>3393236</v>
      </c>
      <c r="AS25" s="397">
        <f t="shared" si="37"/>
        <v>3569508</v>
      </c>
    </row>
    <row r="26" spans="1:45" ht="15.75">
      <c r="A26" s="228">
        <v>1</v>
      </c>
      <c r="B26" s="228" t="str">
        <f t="shared" si="1"/>
        <v>FRUTA_1</v>
      </c>
      <c r="C26" s="338" t="str">
        <f t="shared" si="2"/>
        <v>59_1</v>
      </c>
      <c r="D26" s="398" t="s">
        <v>1</v>
      </c>
      <c r="E26" s="228">
        <v>59</v>
      </c>
      <c r="F26" s="332" t="s">
        <v>99</v>
      </c>
      <c r="G26" s="228" t="s">
        <v>9</v>
      </c>
      <c r="H26" s="427">
        <f t="shared" si="3"/>
        <v>0</v>
      </c>
      <c r="I26" s="427">
        <f t="shared" si="4"/>
        <v>0</v>
      </c>
      <c r="J26" s="428">
        <f t="array" ref="J26">MAX((IF(MNU_CODIGO_ALIMENTO_ENTREGA=CONCATENATE($E26,"_","S_"),MNU_GRAMAJE_REQUERIDO_TIPOA,"")))</f>
        <v>0</v>
      </c>
      <c r="K26" s="229">
        <f t="shared" si="5"/>
        <v>0</v>
      </c>
      <c r="L26" s="229">
        <f t="shared" si="6"/>
        <v>0</v>
      </c>
      <c r="M26" s="229">
        <f t="shared" si="7"/>
        <v>0</v>
      </c>
      <c r="N26" s="454">
        <f t="shared" si="8"/>
        <v>0</v>
      </c>
      <c r="O26" s="454">
        <f t="shared" si="9"/>
        <v>0</v>
      </c>
      <c r="P26" s="454">
        <f t="shared" si="10"/>
        <v>0</v>
      </c>
      <c r="Q26" s="454">
        <f t="shared" si="11"/>
        <v>0</v>
      </c>
      <c r="R26" s="230">
        <f t="shared" si="12"/>
        <v>0</v>
      </c>
      <c r="S26" s="230">
        <f t="shared" si="13"/>
        <v>0</v>
      </c>
      <c r="T26" s="429">
        <f t="shared" si="14"/>
        <v>11</v>
      </c>
      <c r="U26" s="429">
        <f t="shared" si="15"/>
        <v>0</v>
      </c>
      <c r="V26" s="430">
        <f t="array" ref="V26">MAX((IF(MNU_CODIGO_ALIMENTO_ENTREGA=CONCATENATE($E26,"_","S_"),MNU_GRAMAJE_REQUERIDO_TIPOB,"")))</f>
        <v>100</v>
      </c>
      <c r="W26" s="397">
        <f t="shared" si="16"/>
        <v>0</v>
      </c>
      <c r="X26" s="397">
        <f t="shared" si="17"/>
        <v>0</v>
      </c>
      <c r="Y26" s="397">
        <f t="shared" si="18"/>
        <v>0</v>
      </c>
      <c r="Z26" s="454">
        <f t="shared" si="19"/>
        <v>286</v>
      </c>
      <c r="AA26" s="454">
        <f t="shared" si="20"/>
        <v>13.956800000000001</v>
      </c>
      <c r="AB26" s="454">
        <f t="shared" si="21"/>
        <v>0.24596457599999999</v>
      </c>
      <c r="AC26" s="454">
        <f t="shared" si="22"/>
        <v>300</v>
      </c>
      <c r="AD26" s="231">
        <f t="shared" si="23"/>
        <v>0</v>
      </c>
      <c r="AE26" s="231">
        <f t="shared" si="24"/>
        <v>0</v>
      </c>
      <c r="AF26" s="427">
        <f t="shared" si="25"/>
        <v>11</v>
      </c>
      <c r="AG26" s="427">
        <f t="shared" si="26"/>
        <v>0</v>
      </c>
      <c r="AH26" s="428">
        <f t="array" ref="AH26">MAX((IF(MNU_CODIGO_ALIMENTO_ENTREGA=CONCATENATE($E26,"_","S_"),MNU_GRAMAJE_REQUERIDO_TIPOC,"")))</f>
        <v>100</v>
      </c>
      <c r="AI26" s="229">
        <f t="shared" si="27"/>
        <v>958</v>
      </c>
      <c r="AJ26" s="229">
        <f t="shared" si="28"/>
        <v>0</v>
      </c>
      <c r="AK26" s="229">
        <f t="shared" si="29"/>
        <v>10538</v>
      </c>
      <c r="AL26" s="454">
        <f t="shared" si="30"/>
        <v>286</v>
      </c>
      <c r="AM26" s="454">
        <f t="shared" si="31"/>
        <v>13.956800000000001</v>
      </c>
      <c r="AN26" s="454">
        <f t="shared" si="32"/>
        <v>0.24596457599999999</v>
      </c>
      <c r="AO26" s="454">
        <f t="shared" si="33"/>
        <v>300</v>
      </c>
      <c r="AP26" s="454">
        <f t="shared" si="34"/>
        <v>3013868</v>
      </c>
      <c r="AQ26" s="230">
        <f t="shared" si="35"/>
        <v>3161400</v>
      </c>
      <c r="AR26" s="397">
        <f t="shared" si="36"/>
        <v>3013868</v>
      </c>
      <c r="AS26" s="397">
        <f t="shared" si="37"/>
        <v>3161400</v>
      </c>
    </row>
    <row r="27" spans="1:45" ht="15.75">
      <c r="A27" s="228">
        <v>1</v>
      </c>
      <c r="B27" s="228" t="str">
        <f t="shared" si="1"/>
        <v>FRUTA_1</v>
      </c>
      <c r="C27" s="338" t="str">
        <f t="shared" si="2"/>
        <v>69_1</v>
      </c>
      <c r="D27" s="398" t="s">
        <v>1</v>
      </c>
      <c r="E27" s="228">
        <v>69</v>
      </c>
      <c r="F27" s="332" t="s">
        <v>70</v>
      </c>
      <c r="G27" s="228" t="s">
        <v>9</v>
      </c>
      <c r="H27" s="427">
        <f t="shared" si="3"/>
        <v>18</v>
      </c>
      <c r="I27" s="427">
        <f t="shared" si="4"/>
        <v>2</v>
      </c>
      <c r="J27" s="428">
        <f t="array" ref="J27">MAX((IF(MNU_CODIGO_ALIMENTO_ENTREGA=CONCATENATE($E27,"_","S_"),MNU_GRAMAJE_REQUERIDO_TIPOA,"")))</f>
        <v>100</v>
      </c>
      <c r="K27" s="229">
        <f t="shared" si="5"/>
        <v>0</v>
      </c>
      <c r="L27" s="229">
        <f t="shared" si="6"/>
        <v>0</v>
      </c>
      <c r="M27" s="229">
        <f t="shared" si="7"/>
        <v>0</v>
      </c>
      <c r="N27" s="454">
        <f t="shared" si="8"/>
        <v>305</v>
      </c>
      <c r="O27" s="454">
        <f t="shared" si="9"/>
        <v>14.884</v>
      </c>
      <c r="P27" s="454">
        <f t="shared" si="10"/>
        <v>0.26230488000000002</v>
      </c>
      <c r="Q27" s="454">
        <f t="shared" si="11"/>
        <v>320</v>
      </c>
      <c r="R27" s="230">
        <f t="shared" si="12"/>
        <v>0</v>
      </c>
      <c r="S27" s="230">
        <f t="shared" si="13"/>
        <v>0</v>
      </c>
      <c r="T27" s="429">
        <f t="shared" si="14"/>
        <v>12</v>
      </c>
      <c r="U27" s="429">
        <f t="shared" si="15"/>
        <v>2</v>
      </c>
      <c r="V27" s="430">
        <f t="array" ref="V27">MAX((IF(MNU_CODIGO_ALIMENTO_ENTREGA=CONCATENATE($E27,"_","S_"),MNU_GRAMAJE_REQUERIDO_TIPOB,"")))</f>
        <v>100</v>
      </c>
      <c r="W27" s="397">
        <f t="shared" si="16"/>
        <v>0</v>
      </c>
      <c r="X27" s="397">
        <f t="shared" si="17"/>
        <v>0</v>
      </c>
      <c r="Y27" s="397">
        <f t="shared" si="18"/>
        <v>0</v>
      </c>
      <c r="Z27" s="454">
        <f t="shared" si="19"/>
        <v>305</v>
      </c>
      <c r="AA27" s="454">
        <f t="shared" si="20"/>
        <v>14.884</v>
      </c>
      <c r="AB27" s="454">
        <f t="shared" si="21"/>
        <v>0.26230488000000002</v>
      </c>
      <c r="AC27" s="454">
        <f t="shared" si="22"/>
        <v>320</v>
      </c>
      <c r="AD27" s="231">
        <f t="shared" si="23"/>
        <v>0</v>
      </c>
      <c r="AE27" s="231">
        <f t="shared" si="24"/>
        <v>0</v>
      </c>
      <c r="AF27" s="427">
        <f t="shared" si="25"/>
        <v>12</v>
      </c>
      <c r="AG27" s="427">
        <f t="shared" si="26"/>
        <v>2</v>
      </c>
      <c r="AH27" s="428">
        <f t="array" ref="AH27">MAX((IF(MNU_CODIGO_ALIMENTO_ENTREGA=CONCATENATE($E27,"_","S_"),MNU_GRAMAJE_REQUERIDO_TIPOC,"")))</f>
        <v>100</v>
      </c>
      <c r="AI27" s="229">
        <f t="shared" si="27"/>
        <v>958</v>
      </c>
      <c r="AJ27" s="229">
        <f t="shared" si="28"/>
        <v>0</v>
      </c>
      <c r="AK27" s="229">
        <f t="shared" si="29"/>
        <v>11496</v>
      </c>
      <c r="AL27" s="454">
        <f t="shared" si="30"/>
        <v>305</v>
      </c>
      <c r="AM27" s="454">
        <f t="shared" si="31"/>
        <v>14.884</v>
      </c>
      <c r="AN27" s="454">
        <f t="shared" si="32"/>
        <v>0.26230488000000002</v>
      </c>
      <c r="AO27" s="454">
        <f t="shared" si="33"/>
        <v>320</v>
      </c>
      <c r="AP27" s="454">
        <f t="shared" si="34"/>
        <v>3506280</v>
      </c>
      <c r="AQ27" s="230">
        <f t="shared" si="35"/>
        <v>3678720</v>
      </c>
      <c r="AR27" s="397">
        <f t="shared" si="36"/>
        <v>3506280</v>
      </c>
      <c r="AS27" s="397">
        <f t="shared" si="37"/>
        <v>3678720</v>
      </c>
    </row>
    <row r="28" spans="1:45" ht="15.75">
      <c r="A28" s="228">
        <v>1</v>
      </c>
      <c r="B28" s="228" t="str">
        <f t="shared" si="1"/>
        <v>FRUTA_1</v>
      </c>
      <c r="C28" s="338" t="str">
        <f t="shared" si="2"/>
        <v>70_1</v>
      </c>
      <c r="D28" s="398" t="s">
        <v>1</v>
      </c>
      <c r="E28" s="228">
        <v>70</v>
      </c>
      <c r="F28" s="332" t="s">
        <v>71</v>
      </c>
      <c r="G28" s="228" t="s">
        <v>9</v>
      </c>
      <c r="H28" s="427">
        <f t="shared" si="3"/>
        <v>0</v>
      </c>
      <c r="I28" s="427">
        <f t="shared" si="4"/>
        <v>0</v>
      </c>
      <c r="J28" s="428">
        <f t="array" ref="J28">MAX((IF(MNU_CODIGO_ALIMENTO_ENTREGA=CONCATENATE($E28,"_","S_"),MNU_GRAMAJE_REQUERIDO_TIPOA,"")))</f>
        <v>0</v>
      </c>
      <c r="K28" s="229">
        <f t="shared" si="5"/>
        <v>0</v>
      </c>
      <c r="L28" s="229">
        <f t="shared" si="6"/>
        <v>0</v>
      </c>
      <c r="M28" s="229">
        <f t="shared" si="7"/>
        <v>0</v>
      </c>
      <c r="N28" s="454">
        <f t="shared" si="8"/>
        <v>0</v>
      </c>
      <c r="O28" s="454">
        <f t="shared" si="9"/>
        <v>0</v>
      </c>
      <c r="P28" s="454">
        <f t="shared" si="10"/>
        <v>0</v>
      </c>
      <c r="Q28" s="454">
        <f t="shared" si="11"/>
        <v>0</v>
      </c>
      <c r="R28" s="230">
        <f t="shared" si="12"/>
        <v>0</v>
      </c>
      <c r="S28" s="230">
        <f t="shared" si="13"/>
        <v>0</v>
      </c>
      <c r="T28" s="429">
        <f t="shared" si="14"/>
        <v>8</v>
      </c>
      <c r="U28" s="429">
        <f t="shared" si="15"/>
        <v>4</v>
      </c>
      <c r="V28" s="430">
        <f t="array" ref="V28">MAX((IF(MNU_CODIGO_ALIMENTO_ENTREGA=CONCATENATE($E28,"_","S_"),MNU_GRAMAJE_REQUERIDO_TIPOB,"")))</f>
        <v>100</v>
      </c>
      <c r="W28" s="397">
        <f t="shared" si="16"/>
        <v>0</v>
      </c>
      <c r="X28" s="397">
        <f t="shared" si="17"/>
        <v>0</v>
      </c>
      <c r="Y28" s="397">
        <f t="shared" si="18"/>
        <v>0</v>
      </c>
      <c r="Z28" s="454">
        <f t="shared" si="19"/>
        <v>434</v>
      </c>
      <c r="AA28" s="454">
        <f t="shared" si="20"/>
        <v>21.179200000000002</v>
      </c>
      <c r="AB28" s="454">
        <f t="shared" si="21"/>
        <v>0.37324694399999997</v>
      </c>
      <c r="AC28" s="454">
        <f t="shared" si="22"/>
        <v>456</v>
      </c>
      <c r="AD28" s="231">
        <f t="shared" si="23"/>
        <v>0</v>
      </c>
      <c r="AE28" s="231">
        <f t="shared" si="24"/>
        <v>0</v>
      </c>
      <c r="AF28" s="427">
        <f t="shared" si="25"/>
        <v>8</v>
      </c>
      <c r="AG28" s="427">
        <f t="shared" si="26"/>
        <v>4</v>
      </c>
      <c r="AH28" s="428">
        <f t="array" ref="AH28">MAX((IF(MNU_CODIGO_ALIMENTO_ENTREGA=CONCATENATE($E28,"_","S_"),MNU_GRAMAJE_REQUERIDO_TIPOC,"")))</f>
        <v>100</v>
      </c>
      <c r="AI28" s="229">
        <f t="shared" si="27"/>
        <v>958</v>
      </c>
      <c r="AJ28" s="229">
        <f t="shared" si="28"/>
        <v>0</v>
      </c>
      <c r="AK28" s="229">
        <f t="shared" si="29"/>
        <v>7664</v>
      </c>
      <c r="AL28" s="454">
        <f t="shared" si="30"/>
        <v>434</v>
      </c>
      <c r="AM28" s="454">
        <f t="shared" si="31"/>
        <v>21.179200000000002</v>
      </c>
      <c r="AN28" s="454">
        <f t="shared" si="32"/>
        <v>0.37324694399999997</v>
      </c>
      <c r="AO28" s="454">
        <f t="shared" si="33"/>
        <v>456</v>
      </c>
      <c r="AP28" s="454">
        <f t="shared" si="34"/>
        <v>3326176</v>
      </c>
      <c r="AQ28" s="230">
        <f t="shared" si="35"/>
        <v>3494784</v>
      </c>
      <c r="AR28" s="397">
        <f t="shared" si="36"/>
        <v>3326176</v>
      </c>
      <c r="AS28" s="397">
        <f t="shared" si="37"/>
        <v>3494784</v>
      </c>
    </row>
    <row r="29" spans="1:45" ht="15.75">
      <c r="A29" s="228">
        <v>2</v>
      </c>
      <c r="B29" s="228" t="str">
        <f t="shared" si="1"/>
        <v>FRUTA_2</v>
      </c>
      <c r="C29" s="338" t="str">
        <f t="shared" si="2"/>
        <v>7_2</v>
      </c>
      <c r="D29" s="398" t="s">
        <v>1</v>
      </c>
      <c r="E29" s="228">
        <v>7</v>
      </c>
      <c r="F29" s="332" t="s">
        <v>57</v>
      </c>
      <c r="G29" s="228" t="s">
        <v>9</v>
      </c>
      <c r="H29" s="427">
        <f t="shared" si="3"/>
        <v>31</v>
      </c>
      <c r="I29" s="427">
        <f t="shared" si="4"/>
        <v>0</v>
      </c>
      <c r="J29" s="428">
        <f t="array" ref="J29">MAX((IF(MNU_CODIGO_ALIMENTO_ENTREGA=CONCATENATE($E29,"_","S_"),MNU_GRAMAJE_REQUERIDO_TIPOA,"")))</f>
        <v>100</v>
      </c>
      <c r="K29" s="229">
        <f t="shared" si="5"/>
        <v>737</v>
      </c>
      <c r="L29" s="229">
        <f t="shared" si="6"/>
        <v>0</v>
      </c>
      <c r="M29" s="229">
        <f t="shared" si="7"/>
        <v>22847</v>
      </c>
      <c r="N29" s="454">
        <f t="shared" si="8"/>
        <v>107</v>
      </c>
      <c r="O29" s="454">
        <f t="shared" si="9"/>
        <v>5.2216000000000005</v>
      </c>
      <c r="P29" s="454">
        <f t="shared" si="10"/>
        <v>9.2021712000000006E-2</v>
      </c>
      <c r="Q29" s="454">
        <f t="shared" si="11"/>
        <v>112</v>
      </c>
      <c r="R29" s="230">
        <f t="shared" si="12"/>
        <v>2444629</v>
      </c>
      <c r="S29" s="230">
        <f t="shared" si="13"/>
        <v>2558864</v>
      </c>
      <c r="T29" s="429">
        <f t="shared" si="14"/>
        <v>11</v>
      </c>
      <c r="U29" s="429">
        <f t="shared" si="15"/>
        <v>0</v>
      </c>
      <c r="V29" s="430">
        <f t="array" ref="V29">MAX((IF(MNU_CODIGO_ALIMENTO_ENTREGA=CONCATENATE($E29,"_","S_"),MNU_GRAMAJE_REQUERIDO_TIPOB,"")))</f>
        <v>100</v>
      </c>
      <c r="W29" s="397">
        <f t="shared" si="16"/>
        <v>689</v>
      </c>
      <c r="X29" s="397">
        <f t="shared" si="17"/>
        <v>0</v>
      </c>
      <c r="Y29" s="397">
        <f t="shared" si="18"/>
        <v>7579</v>
      </c>
      <c r="Z29" s="454">
        <f t="shared" si="19"/>
        <v>107</v>
      </c>
      <c r="AA29" s="454">
        <f t="shared" si="20"/>
        <v>5.2216000000000005</v>
      </c>
      <c r="AB29" s="454">
        <f t="shared" si="21"/>
        <v>9.2021712000000006E-2</v>
      </c>
      <c r="AC29" s="454">
        <f t="shared" si="22"/>
        <v>112</v>
      </c>
      <c r="AD29" s="231">
        <f t="shared" si="23"/>
        <v>810953</v>
      </c>
      <c r="AE29" s="231">
        <f t="shared" si="24"/>
        <v>848848</v>
      </c>
      <c r="AF29" s="427">
        <f t="shared" si="25"/>
        <v>11</v>
      </c>
      <c r="AG29" s="427">
        <f t="shared" si="26"/>
        <v>0</v>
      </c>
      <c r="AH29" s="428">
        <f t="array" ref="AH29">MAX((IF(MNU_CODIGO_ALIMENTO_ENTREGA=CONCATENATE($E29,"_","S_"),MNU_GRAMAJE_REQUERIDO_TIPOC,"")))</f>
        <v>100</v>
      </c>
      <c r="AI29" s="229">
        <f t="shared" si="27"/>
        <v>1686</v>
      </c>
      <c r="AJ29" s="229">
        <f t="shared" si="28"/>
        <v>0</v>
      </c>
      <c r="AK29" s="229">
        <f t="shared" si="29"/>
        <v>18546</v>
      </c>
      <c r="AL29" s="454">
        <f t="shared" si="30"/>
        <v>107</v>
      </c>
      <c r="AM29" s="454">
        <f t="shared" si="31"/>
        <v>5.2216000000000005</v>
      </c>
      <c r="AN29" s="454">
        <f t="shared" si="32"/>
        <v>9.2021712000000006E-2</v>
      </c>
      <c r="AO29" s="454">
        <f t="shared" si="33"/>
        <v>112</v>
      </c>
      <c r="AP29" s="454">
        <f t="shared" si="34"/>
        <v>1984422</v>
      </c>
      <c r="AQ29" s="230">
        <f t="shared" si="35"/>
        <v>2077152</v>
      </c>
      <c r="AR29" s="397">
        <f t="shared" si="36"/>
        <v>5240004</v>
      </c>
      <c r="AS29" s="397">
        <f t="shared" si="37"/>
        <v>5484864</v>
      </c>
    </row>
    <row r="30" spans="1:45" ht="15.75">
      <c r="A30" s="228">
        <v>2</v>
      </c>
      <c r="B30" s="228" t="str">
        <f t="shared" si="1"/>
        <v>FRUTA_2</v>
      </c>
      <c r="C30" s="338" t="str">
        <f t="shared" si="2"/>
        <v>8_2</v>
      </c>
      <c r="D30" s="398" t="s">
        <v>1</v>
      </c>
      <c r="E30" s="228">
        <v>8</v>
      </c>
      <c r="F30" s="332" t="s">
        <v>55</v>
      </c>
      <c r="G30" s="228" t="s">
        <v>9</v>
      </c>
      <c r="H30" s="427">
        <f t="shared" si="3"/>
        <v>11</v>
      </c>
      <c r="I30" s="427">
        <f t="shared" si="4"/>
        <v>0</v>
      </c>
      <c r="J30" s="428">
        <f t="array" ref="J30">MAX((IF(MNU_CODIGO_ALIMENTO_ENTREGA=CONCATENATE($E30,"_","S_"),MNU_GRAMAJE_REQUERIDO_TIPOA,"")))</f>
        <v>100</v>
      </c>
      <c r="K30" s="229">
        <f t="shared" si="5"/>
        <v>737</v>
      </c>
      <c r="L30" s="229">
        <f t="shared" si="6"/>
        <v>0</v>
      </c>
      <c r="M30" s="229">
        <f t="shared" si="7"/>
        <v>8107</v>
      </c>
      <c r="N30" s="454">
        <f t="shared" si="8"/>
        <v>134</v>
      </c>
      <c r="O30" s="454">
        <f t="shared" si="9"/>
        <v>6.539200000000001</v>
      </c>
      <c r="P30" s="454">
        <f t="shared" si="10"/>
        <v>0.115242144</v>
      </c>
      <c r="Q30" s="454">
        <f t="shared" si="11"/>
        <v>141</v>
      </c>
      <c r="R30" s="230">
        <f t="shared" si="12"/>
        <v>1086338</v>
      </c>
      <c r="S30" s="230">
        <f t="shared" si="13"/>
        <v>1143087</v>
      </c>
      <c r="T30" s="429">
        <f t="shared" si="14"/>
        <v>11</v>
      </c>
      <c r="U30" s="429">
        <f t="shared" si="15"/>
        <v>0</v>
      </c>
      <c r="V30" s="430">
        <f t="array" ref="V30">MAX((IF(MNU_CODIGO_ALIMENTO_ENTREGA=CONCATENATE($E30,"_","S_"),MNU_GRAMAJE_REQUERIDO_TIPOB,"")))</f>
        <v>100</v>
      </c>
      <c r="W30" s="397">
        <f t="shared" si="16"/>
        <v>689</v>
      </c>
      <c r="X30" s="397">
        <f t="shared" si="17"/>
        <v>0</v>
      </c>
      <c r="Y30" s="397">
        <f t="shared" si="18"/>
        <v>7579</v>
      </c>
      <c r="Z30" s="454">
        <f t="shared" si="19"/>
        <v>134</v>
      </c>
      <c r="AA30" s="454">
        <f t="shared" si="20"/>
        <v>6.539200000000001</v>
      </c>
      <c r="AB30" s="454">
        <f t="shared" si="21"/>
        <v>0.115242144</v>
      </c>
      <c r="AC30" s="454">
        <f t="shared" si="22"/>
        <v>141</v>
      </c>
      <c r="AD30" s="231">
        <f t="shared" si="23"/>
        <v>1015586</v>
      </c>
      <c r="AE30" s="231">
        <f t="shared" si="24"/>
        <v>1068639</v>
      </c>
      <c r="AF30" s="427">
        <f t="shared" si="25"/>
        <v>11</v>
      </c>
      <c r="AG30" s="427">
        <f t="shared" si="26"/>
        <v>0</v>
      </c>
      <c r="AH30" s="428">
        <f t="array" ref="AH30">MAX((IF(MNU_CODIGO_ALIMENTO_ENTREGA=CONCATENATE($E30,"_","S_"),MNU_GRAMAJE_REQUERIDO_TIPOC,"")))</f>
        <v>100</v>
      </c>
      <c r="AI30" s="229">
        <f t="shared" si="27"/>
        <v>1686</v>
      </c>
      <c r="AJ30" s="229">
        <f t="shared" si="28"/>
        <v>0</v>
      </c>
      <c r="AK30" s="229">
        <f t="shared" si="29"/>
        <v>18546</v>
      </c>
      <c r="AL30" s="454">
        <f t="shared" si="30"/>
        <v>134</v>
      </c>
      <c r="AM30" s="454">
        <f t="shared" si="31"/>
        <v>6.539200000000001</v>
      </c>
      <c r="AN30" s="454">
        <f t="shared" si="32"/>
        <v>0.115242144</v>
      </c>
      <c r="AO30" s="454">
        <f t="shared" si="33"/>
        <v>141</v>
      </c>
      <c r="AP30" s="454">
        <f t="shared" si="34"/>
        <v>2485164</v>
      </c>
      <c r="AQ30" s="230">
        <f t="shared" si="35"/>
        <v>2614986</v>
      </c>
      <c r="AR30" s="397">
        <f t="shared" si="36"/>
        <v>4587088</v>
      </c>
      <c r="AS30" s="397">
        <f t="shared" si="37"/>
        <v>4826712</v>
      </c>
    </row>
    <row r="31" spans="1:45" ht="15.75">
      <c r="A31" s="228">
        <v>2</v>
      </c>
      <c r="B31" s="228" t="str">
        <f t="shared" si="1"/>
        <v>FRUTA_2</v>
      </c>
      <c r="C31" s="338" t="str">
        <f t="shared" si="2"/>
        <v>17_2</v>
      </c>
      <c r="D31" s="398" t="s">
        <v>1</v>
      </c>
      <c r="E31" s="228">
        <v>17</v>
      </c>
      <c r="F31" s="332" t="s">
        <v>53</v>
      </c>
      <c r="G31" s="228" t="s">
        <v>9</v>
      </c>
      <c r="H31" s="427">
        <f t="shared" si="3"/>
        <v>0</v>
      </c>
      <c r="I31" s="427">
        <f t="shared" si="4"/>
        <v>0</v>
      </c>
      <c r="J31" s="428">
        <f t="array" ref="J31">MAX((IF(MNU_CODIGO_ALIMENTO_ENTREGA=CONCATENATE($E31,"_","S_"),MNU_GRAMAJE_REQUERIDO_TIPOA,"")))</f>
        <v>0</v>
      </c>
      <c r="K31" s="229">
        <f t="shared" si="5"/>
        <v>737</v>
      </c>
      <c r="L31" s="229">
        <f t="shared" si="6"/>
        <v>0</v>
      </c>
      <c r="M31" s="229">
        <f t="shared" si="7"/>
        <v>0</v>
      </c>
      <c r="N31" s="454">
        <f t="shared" si="8"/>
        <v>0</v>
      </c>
      <c r="O31" s="454">
        <f t="shared" si="9"/>
        <v>0</v>
      </c>
      <c r="P31" s="454">
        <f t="shared" si="10"/>
        <v>0</v>
      </c>
      <c r="Q31" s="454">
        <f t="shared" si="11"/>
        <v>0</v>
      </c>
      <c r="R31" s="230">
        <f t="shared" si="12"/>
        <v>0</v>
      </c>
      <c r="S31" s="230">
        <f t="shared" si="13"/>
        <v>0</v>
      </c>
      <c r="T31" s="429">
        <f t="shared" si="14"/>
        <v>23</v>
      </c>
      <c r="U31" s="429">
        <f t="shared" si="15"/>
        <v>4</v>
      </c>
      <c r="V31" s="430">
        <f t="array" ref="V31">MAX((IF(MNU_CODIGO_ALIMENTO_ENTREGA=CONCATENATE($E31,"_","S_"),MNU_GRAMAJE_REQUERIDO_TIPOB,"")))</f>
        <v>100</v>
      </c>
      <c r="W31" s="397">
        <f t="shared" si="16"/>
        <v>689</v>
      </c>
      <c r="X31" s="397">
        <f t="shared" si="17"/>
        <v>0</v>
      </c>
      <c r="Y31" s="397">
        <f t="shared" si="18"/>
        <v>15847</v>
      </c>
      <c r="Z31" s="454">
        <f t="shared" si="19"/>
        <v>226</v>
      </c>
      <c r="AA31" s="454">
        <f t="shared" si="20"/>
        <v>11.0288</v>
      </c>
      <c r="AB31" s="454">
        <f t="shared" si="21"/>
        <v>0.19436361600000002</v>
      </c>
      <c r="AC31" s="454">
        <f t="shared" si="22"/>
        <v>237</v>
      </c>
      <c r="AD31" s="231">
        <f t="shared" si="23"/>
        <v>3581422</v>
      </c>
      <c r="AE31" s="231">
        <f t="shared" si="24"/>
        <v>3755739</v>
      </c>
      <c r="AF31" s="427">
        <f t="shared" si="25"/>
        <v>23</v>
      </c>
      <c r="AG31" s="427">
        <f t="shared" si="26"/>
        <v>4</v>
      </c>
      <c r="AH31" s="428">
        <f t="array" ref="AH31">MAX((IF(MNU_CODIGO_ALIMENTO_ENTREGA=CONCATENATE($E31,"_","S_"),MNU_GRAMAJE_REQUERIDO_TIPOC,"")))</f>
        <v>100</v>
      </c>
      <c r="AI31" s="229">
        <f t="shared" si="27"/>
        <v>1686</v>
      </c>
      <c r="AJ31" s="229">
        <f t="shared" si="28"/>
        <v>0</v>
      </c>
      <c r="AK31" s="229">
        <f t="shared" si="29"/>
        <v>38778</v>
      </c>
      <c r="AL31" s="454">
        <f t="shared" si="30"/>
        <v>226</v>
      </c>
      <c r="AM31" s="454">
        <f t="shared" si="31"/>
        <v>11.0288</v>
      </c>
      <c r="AN31" s="454">
        <f t="shared" si="32"/>
        <v>0.19436361600000002</v>
      </c>
      <c r="AO31" s="454">
        <f t="shared" si="33"/>
        <v>237</v>
      </c>
      <c r="AP31" s="454">
        <f t="shared" si="34"/>
        <v>8763828</v>
      </c>
      <c r="AQ31" s="230">
        <f t="shared" si="35"/>
        <v>9190386</v>
      </c>
      <c r="AR31" s="397">
        <f t="shared" si="36"/>
        <v>12345250</v>
      </c>
      <c r="AS31" s="397">
        <f t="shared" si="37"/>
        <v>12946125</v>
      </c>
    </row>
    <row r="32" spans="1:45" ht="15.75">
      <c r="A32" s="228">
        <v>2</v>
      </c>
      <c r="B32" s="228" t="str">
        <f t="shared" si="1"/>
        <v>FRUTA_2</v>
      </c>
      <c r="C32" s="338" t="str">
        <f t="shared" si="2"/>
        <v>22_2</v>
      </c>
      <c r="D32" s="398" t="s">
        <v>1</v>
      </c>
      <c r="E32" s="228">
        <v>22</v>
      </c>
      <c r="F32" s="332" t="s">
        <v>51</v>
      </c>
      <c r="G32" s="228" t="s">
        <v>9</v>
      </c>
      <c r="H32" s="427">
        <f t="shared" si="3"/>
        <v>0</v>
      </c>
      <c r="I32" s="427">
        <f t="shared" si="4"/>
        <v>0</v>
      </c>
      <c r="J32" s="428">
        <f t="array" ref="J32">MAX((IF(MNU_CODIGO_ALIMENTO_ENTREGA=CONCATENATE($E32,"_","S_"),MNU_GRAMAJE_REQUERIDO_TIPOA,"")))</f>
        <v>0</v>
      </c>
      <c r="K32" s="229">
        <f t="shared" si="5"/>
        <v>737</v>
      </c>
      <c r="L32" s="229">
        <f t="shared" si="6"/>
        <v>0</v>
      </c>
      <c r="M32" s="229">
        <f t="shared" si="7"/>
        <v>0</v>
      </c>
      <c r="N32" s="454">
        <f t="shared" si="8"/>
        <v>0</v>
      </c>
      <c r="O32" s="454">
        <f t="shared" si="9"/>
        <v>0</v>
      </c>
      <c r="P32" s="454">
        <f t="shared" si="10"/>
        <v>0</v>
      </c>
      <c r="Q32" s="454">
        <f t="shared" si="11"/>
        <v>0</v>
      </c>
      <c r="R32" s="230">
        <f t="shared" si="12"/>
        <v>0</v>
      </c>
      <c r="S32" s="230">
        <f t="shared" si="13"/>
        <v>0</v>
      </c>
      <c r="T32" s="429">
        <f t="shared" si="14"/>
        <v>23</v>
      </c>
      <c r="U32" s="429">
        <f t="shared" si="15"/>
        <v>4</v>
      </c>
      <c r="V32" s="430">
        <f t="array" ref="V32">MAX((IF(MNU_CODIGO_ALIMENTO_ENTREGA=CONCATENATE($E32,"_","S_"),MNU_GRAMAJE_REQUERIDO_TIPOB,"")))</f>
        <v>100</v>
      </c>
      <c r="W32" s="397">
        <f t="shared" si="16"/>
        <v>689</v>
      </c>
      <c r="X32" s="397">
        <f t="shared" si="17"/>
        <v>0</v>
      </c>
      <c r="Y32" s="397">
        <f t="shared" si="18"/>
        <v>15847</v>
      </c>
      <c r="Z32" s="454">
        <f t="shared" si="19"/>
        <v>525</v>
      </c>
      <c r="AA32" s="454">
        <f t="shared" si="20"/>
        <v>25.62</v>
      </c>
      <c r="AB32" s="454">
        <f t="shared" si="21"/>
        <v>0.45150840000000003</v>
      </c>
      <c r="AC32" s="454">
        <f t="shared" si="22"/>
        <v>551</v>
      </c>
      <c r="AD32" s="231">
        <f t="shared" si="23"/>
        <v>8319675</v>
      </c>
      <c r="AE32" s="231">
        <f t="shared" si="24"/>
        <v>8731697</v>
      </c>
      <c r="AF32" s="427">
        <f t="shared" si="25"/>
        <v>23</v>
      </c>
      <c r="AG32" s="427">
        <f t="shared" si="26"/>
        <v>4</v>
      </c>
      <c r="AH32" s="428">
        <f t="array" ref="AH32">MAX((IF(MNU_CODIGO_ALIMENTO_ENTREGA=CONCATENATE($E32,"_","S_"),MNU_GRAMAJE_REQUERIDO_TIPOC,"")))</f>
        <v>100</v>
      </c>
      <c r="AI32" s="229">
        <f t="shared" si="27"/>
        <v>1686</v>
      </c>
      <c r="AJ32" s="229">
        <f t="shared" si="28"/>
        <v>0</v>
      </c>
      <c r="AK32" s="229">
        <f t="shared" si="29"/>
        <v>38778</v>
      </c>
      <c r="AL32" s="454">
        <f t="shared" si="30"/>
        <v>525</v>
      </c>
      <c r="AM32" s="454">
        <f t="shared" si="31"/>
        <v>25.62</v>
      </c>
      <c r="AN32" s="454">
        <f t="shared" si="32"/>
        <v>0.45150840000000003</v>
      </c>
      <c r="AO32" s="454">
        <f t="shared" si="33"/>
        <v>551</v>
      </c>
      <c r="AP32" s="454">
        <f t="shared" si="34"/>
        <v>20358450</v>
      </c>
      <c r="AQ32" s="230">
        <f t="shared" si="35"/>
        <v>21366678</v>
      </c>
      <c r="AR32" s="397">
        <f t="shared" si="36"/>
        <v>28678125</v>
      </c>
      <c r="AS32" s="397">
        <f t="shared" si="37"/>
        <v>30098375</v>
      </c>
    </row>
    <row r="33" spans="1:45" ht="15.75">
      <c r="A33" s="228">
        <v>2</v>
      </c>
      <c r="B33" s="228" t="str">
        <f t="shared" si="1"/>
        <v>FRUTA_2</v>
      </c>
      <c r="C33" s="338" t="str">
        <f t="shared" si="2"/>
        <v>33_2</v>
      </c>
      <c r="D33" s="398" t="s">
        <v>1</v>
      </c>
      <c r="E33" s="228">
        <v>33</v>
      </c>
      <c r="F33" s="332" t="s">
        <v>59</v>
      </c>
      <c r="G33" s="228" t="s">
        <v>48</v>
      </c>
      <c r="H33" s="427">
        <f t="shared" si="3"/>
        <v>29</v>
      </c>
      <c r="I33" s="427">
        <f t="shared" si="4"/>
        <v>5</v>
      </c>
      <c r="J33" s="428">
        <v>1</v>
      </c>
      <c r="K33" s="229">
        <f t="shared" si="5"/>
        <v>737</v>
      </c>
      <c r="L33" s="229">
        <f t="shared" si="6"/>
        <v>0</v>
      </c>
      <c r="M33" s="229">
        <f t="shared" si="7"/>
        <v>21373</v>
      </c>
      <c r="N33" s="454">
        <f t="shared" si="8"/>
        <v>270</v>
      </c>
      <c r="O33" s="454">
        <f t="shared" si="9"/>
        <v>13.176000000000002</v>
      </c>
      <c r="P33" s="454">
        <f t="shared" si="10"/>
        <v>0.23220432000000002</v>
      </c>
      <c r="Q33" s="454">
        <f t="shared" si="11"/>
        <v>283</v>
      </c>
      <c r="R33" s="230">
        <f t="shared" si="12"/>
        <v>5770710</v>
      </c>
      <c r="S33" s="230">
        <f t="shared" si="13"/>
        <v>6048559</v>
      </c>
      <c r="T33" s="429">
        <f t="shared" si="14"/>
        <v>23</v>
      </c>
      <c r="U33" s="429">
        <f t="shared" si="15"/>
        <v>2</v>
      </c>
      <c r="V33" s="430">
        <v>1</v>
      </c>
      <c r="W33" s="397">
        <f t="shared" si="16"/>
        <v>689</v>
      </c>
      <c r="X33" s="397">
        <f t="shared" si="17"/>
        <v>0</v>
      </c>
      <c r="Y33" s="397">
        <f t="shared" si="18"/>
        <v>15847</v>
      </c>
      <c r="Z33" s="454">
        <f t="shared" si="19"/>
        <v>270</v>
      </c>
      <c r="AA33" s="454">
        <f t="shared" si="20"/>
        <v>13.176000000000002</v>
      </c>
      <c r="AB33" s="454">
        <f t="shared" si="21"/>
        <v>0.23220432000000002</v>
      </c>
      <c r="AC33" s="454">
        <f t="shared" si="22"/>
        <v>283</v>
      </c>
      <c r="AD33" s="231">
        <f t="shared" si="23"/>
        <v>4278690</v>
      </c>
      <c r="AE33" s="231">
        <f t="shared" si="24"/>
        <v>4484701</v>
      </c>
      <c r="AF33" s="427">
        <f t="shared" si="25"/>
        <v>23</v>
      </c>
      <c r="AG33" s="427">
        <f t="shared" si="26"/>
        <v>2</v>
      </c>
      <c r="AH33" s="428">
        <v>1</v>
      </c>
      <c r="AI33" s="229">
        <f t="shared" si="27"/>
        <v>1686</v>
      </c>
      <c r="AJ33" s="229">
        <f t="shared" si="28"/>
        <v>0</v>
      </c>
      <c r="AK33" s="229">
        <f t="shared" si="29"/>
        <v>38778</v>
      </c>
      <c r="AL33" s="454">
        <f t="shared" si="30"/>
        <v>270</v>
      </c>
      <c r="AM33" s="454">
        <f t="shared" si="31"/>
        <v>13.176000000000002</v>
      </c>
      <c r="AN33" s="454">
        <f t="shared" si="32"/>
        <v>0.23220432000000002</v>
      </c>
      <c r="AO33" s="454">
        <f t="shared" si="33"/>
        <v>283</v>
      </c>
      <c r="AP33" s="454">
        <f t="shared" si="34"/>
        <v>10470060</v>
      </c>
      <c r="AQ33" s="230">
        <f t="shared" si="35"/>
        <v>10974174</v>
      </c>
      <c r="AR33" s="397">
        <f t="shared" si="36"/>
        <v>20519460</v>
      </c>
      <c r="AS33" s="397">
        <f t="shared" si="37"/>
        <v>21507434</v>
      </c>
    </row>
    <row r="34" spans="1:45" ht="15.75">
      <c r="A34" s="228">
        <v>2</v>
      </c>
      <c r="B34" s="228" t="str">
        <f t="shared" si="1"/>
        <v>FRUTA_2</v>
      </c>
      <c r="C34" s="338" t="str">
        <f t="shared" si="2"/>
        <v>36_2</v>
      </c>
      <c r="D34" s="398" t="s">
        <v>1</v>
      </c>
      <c r="E34" s="228">
        <v>36</v>
      </c>
      <c r="F34" s="332" t="s">
        <v>1340</v>
      </c>
      <c r="G34" s="228" t="s">
        <v>9</v>
      </c>
      <c r="H34" s="427">
        <f t="shared" si="3"/>
        <v>8</v>
      </c>
      <c r="I34" s="427">
        <f t="shared" si="4"/>
        <v>0</v>
      </c>
      <c r="J34" s="428">
        <f t="array" ref="J34">MAX((IF(MNU_CODIGO_ALIMENTO_ENTREGA=CONCATENATE($E34,"_","S_"),MNU_GRAMAJE_REQUERIDO_TIPOA,"")))</f>
        <v>20</v>
      </c>
      <c r="K34" s="229">
        <f t="shared" si="5"/>
        <v>737</v>
      </c>
      <c r="L34" s="229">
        <f t="shared" si="6"/>
        <v>0</v>
      </c>
      <c r="M34" s="229">
        <f t="shared" si="7"/>
        <v>5896</v>
      </c>
      <c r="N34" s="454">
        <f t="shared" si="8"/>
        <v>126</v>
      </c>
      <c r="O34" s="454">
        <f t="shared" si="9"/>
        <v>6.1488000000000005</v>
      </c>
      <c r="P34" s="454">
        <f t="shared" si="10"/>
        <v>0.10836201599999999</v>
      </c>
      <c r="Q34" s="454">
        <f t="shared" si="11"/>
        <v>132</v>
      </c>
      <c r="R34" s="230">
        <f t="shared" si="12"/>
        <v>742896</v>
      </c>
      <c r="S34" s="230">
        <f t="shared" si="13"/>
        <v>778272</v>
      </c>
      <c r="T34" s="429">
        <f t="shared" si="14"/>
        <v>8</v>
      </c>
      <c r="U34" s="429">
        <f t="shared" si="15"/>
        <v>0</v>
      </c>
      <c r="V34" s="430">
        <f t="array" ref="V34">MAX((IF(MNU_CODIGO_ALIMENTO_ENTREGA=CONCATENATE($E34,"_","S_"),MNU_GRAMAJE_REQUERIDO_TIPOB,"")))</f>
        <v>40</v>
      </c>
      <c r="W34" s="397">
        <f t="shared" si="16"/>
        <v>689</v>
      </c>
      <c r="X34" s="397">
        <f t="shared" si="17"/>
        <v>0</v>
      </c>
      <c r="Y34" s="397">
        <f t="shared" si="18"/>
        <v>5512</v>
      </c>
      <c r="Z34" s="454">
        <f t="shared" si="19"/>
        <v>252</v>
      </c>
      <c r="AA34" s="454">
        <f t="shared" si="20"/>
        <v>12.297600000000001</v>
      </c>
      <c r="AB34" s="454">
        <f t="shared" si="21"/>
        <v>0.21672403199999998</v>
      </c>
      <c r="AC34" s="454">
        <f t="shared" si="22"/>
        <v>265</v>
      </c>
      <c r="AD34" s="231">
        <f t="shared" si="23"/>
        <v>1389024</v>
      </c>
      <c r="AE34" s="231">
        <f t="shared" si="24"/>
        <v>1460680</v>
      </c>
      <c r="AF34" s="427">
        <f t="shared" si="25"/>
        <v>8</v>
      </c>
      <c r="AG34" s="427">
        <f t="shared" si="26"/>
        <v>0</v>
      </c>
      <c r="AH34" s="428">
        <f t="array" ref="AH34">MAX((IF(MNU_CODIGO_ALIMENTO_ENTREGA=CONCATENATE($E34,"_","S_"),MNU_GRAMAJE_REQUERIDO_TIPOC,"")))</f>
        <v>40</v>
      </c>
      <c r="AI34" s="229">
        <f t="shared" si="27"/>
        <v>1686</v>
      </c>
      <c r="AJ34" s="229">
        <f t="shared" si="28"/>
        <v>0</v>
      </c>
      <c r="AK34" s="229">
        <f t="shared" si="29"/>
        <v>13488</v>
      </c>
      <c r="AL34" s="454">
        <f t="shared" si="30"/>
        <v>252</v>
      </c>
      <c r="AM34" s="454">
        <f t="shared" si="31"/>
        <v>12.297600000000001</v>
      </c>
      <c r="AN34" s="454">
        <f t="shared" si="32"/>
        <v>0.21672403199999998</v>
      </c>
      <c r="AO34" s="454">
        <f t="shared" si="33"/>
        <v>265</v>
      </c>
      <c r="AP34" s="454">
        <f t="shared" si="34"/>
        <v>3398976</v>
      </c>
      <c r="AQ34" s="230">
        <f t="shared" si="35"/>
        <v>3574320</v>
      </c>
      <c r="AR34" s="397">
        <f t="shared" si="36"/>
        <v>5530896</v>
      </c>
      <c r="AS34" s="397">
        <f t="shared" si="37"/>
        <v>5813272</v>
      </c>
    </row>
    <row r="35" spans="1:45" ht="15.75">
      <c r="A35" s="228">
        <v>2</v>
      </c>
      <c r="B35" s="228" t="str">
        <f t="shared" si="1"/>
        <v>FRUTA_2</v>
      </c>
      <c r="C35" s="338" t="str">
        <f t="shared" si="2"/>
        <v>42_2</v>
      </c>
      <c r="D35" s="398" t="s">
        <v>1</v>
      </c>
      <c r="E35" s="228">
        <v>42</v>
      </c>
      <c r="F35" s="332" t="s">
        <v>61</v>
      </c>
      <c r="G35" s="228" t="s">
        <v>9</v>
      </c>
      <c r="H35" s="427">
        <f t="shared" si="3"/>
        <v>36</v>
      </c>
      <c r="I35" s="427">
        <f t="shared" si="4"/>
        <v>8</v>
      </c>
      <c r="J35" s="428">
        <f t="array" ref="J35">MAX((IF(MNU_CODIGO_ALIMENTO_ENTREGA=CONCATENATE($E35,"_","S_"),MNU_GRAMAJE_REQUERIDO_TIPOA,"")))</f>
        <v>100</v>
      </c>
      <c r="K35" s="229">
        <f t="shared" si="5"/>
        <v>737</v>
      </c>
      <c r="L35" s="229">
        <f t="shared" si="6"/>
        <v>0</v>
      </c>
      <c r="M35" s="229">
        <f t="shared" si="7"/>
        <v>26532</v>
      </c>
      <c r="N35" s="454">
        <f t="shared" si="8"/>
        <v>194</v>
      </c>
      <c r="O35" s="454">
        <f t="shared" si="9"/>
        <v>9.4672000000000001</v>
      </c>
      <c r="P35" s="454">
        <f t="shared" si="10"/>
        <v>0.16684310399999999</v>
      </c>
      <c r="Q35" s="454">
        <f t="shared" si="11"/>
        <v>204</v>
      </c>
      <c r="R35" s="230">
        <f t="shared" si="12"/>
        <v>5147208</v>
      </c>
      <c r="S35" s="230">
        <f t="shared" si="13"/>
        <v>5412528</v>
      </c>
      <c r="T35" s="429">
        <f t="shared" si="14"/>
        <v>19</v>
      </c>
      <c r="U35" s="429">
        <f t="shared" si="15"/>
        <v>8</v>
      </c>
      <c r="V35" s="430">
        <f t="array" ref="V35">MAX((IF(MNU_CODIGO_ALIMENTO_ENTREGA=CONCATENATE($E35,"_","S_"),MNU_GRAMAJE_REQUERIDO_TIPOB,"")))</f>
        <v>100</v>
      </c>
      <c r="W35" s="397">
        <f t="shared" si="16"/>
        <v>689</v>
      </c>
      <c r="X35" s="397">
        <f t="shared" si="17"/>
        <v>0</v>
      </c>
      <c r="Y35" s="397">
        <f t="shared" si="18"/>
        <v>13091</v>
      </c>
      <c r="Z35" s="454">
        <f t="shared" si="19"/>
        <v>194</v>
      </c>
      <c r="AA35" s="454">
        <f t="shared" si="20"/>
        <v>9.4672000000000001</v>
      </c>
      <c r="AB35" s="454">
        <f t="shared" si="21"/>
        <v>0.16684310399999999</v>
      </c>
      <c r="AC35" s="454">
        <f t="shared" si="22"/>
        <v>204</v>
      </c>
      <c r="AD35" s="231">
        <f t="shared" si="23"/>
        <v>2539654</v>
      </c>
      <c r="AE35" s="231">
        <f t="shared" si="24"/>
        <v>2670564</v>
      </c>
      <c r="AF35" s="427">
        <f t="shared" si="25"/>
        <v>19</v>
      </c>
      <c r="AG35" s="427">
        <f t="shared" si="26"/>
        <v>8</v>
      </c>
      <c r="AH35" s="428">
        <f t="array" ref="AH35">MAX((IF(MNU_CODIGO_ALIMENTO_ENTREGA=CONCATENATE($E35,"_","S_"),MNU_GRAMAJE_REQUERIDO_TIPOC,"")))</f>
        <v>100</v>
      </c>
      <c r="AI35" s="229">
        <f t="shared" si="27"/>
        <v>1686</v>
      </c>
      <c r="AJ35" s="229">
        <f t="shared" si="28"/>
        <v>0</v>
      </c>
      <c r="AK35" s="229">
        <f t="shared" si="29"/>
        <v>32034</v>
      </c>
      <c r="AL35" s="454">
        <f t="shared" si="30"/>
        <v>194</v>
      </c>
      <c r="AM35" s="454">
        <f t="shared" si="31"/>
        <v>9.4672000000000001</v>
      </c>
      <c r="AN35" s="454">
        <f t="shared" si="32"/>
        <v>0.16684310399999999</v>
      </c>
      <c r="AO35" s="454">
        <f t="shared" si="33"/>
        <v>204</v>
      </c>
      <c r="AP35" s="454">
        <f t="shared" si="34"/>
        <v>6214596</v>
      </c>
      <c r="AQ35" s="230">
        <f t="shared" si="35"/>
        <v>6534936</v>
      </c>
      <c r="AR35" s="397">
        <f t="shared" si="36"/>
        <v>13901458</v>
      </c>
      <c r="AS35" s="397">
        <f t="shared" si="37"/>
        <v>14618028</v>
      </c>
    </row>
    <row r="36" spans="1:45" ht="15.75">
      <c r="A36" s="228">
        <v>2</v>
      </c>
      <c r="B36" s="228" t="str">
        <f t="shared" si="1"/>
        <v>FRUTA_2</v>
      </c>
      <c r="C36" s="338" t="str">
        <f t="shared" si="2"/>
        <v>43_2</v>
      </c>
      <c r="D36" s="398" t="s">
        <v>1</v>
      </c>
      <c r="E36" s="228">
        <v>43</v>
      </c>
      <c r="F36" s="332" t="s">
        <v>62</v>
      </c>
      <c r="G36" s="228" t="s">
        <v>9</v>
      </c>
      <c r="H36" s="427">
        <f t="shared" si="3"/>
        <v>29</v>
      </c>
      <c r="I36" s="427">
        <f t="shared" si="4"/>
        <v>6</v>
      </c>
      <c r="J36" s="428">
        <f t="array" ref="J36">MAX((IF(MNU_CODIGO_ALIMENTO_ENTREGA=CONCATENATE($E36,"_","S_"),MNU_GRAMAJE_REQUERIDO_TIPOA,"")))</f>
        <v>100</v>
      </c>
      <c r="K36" s="229">
        <f t="shared" si="5"/>
        <v>737</v>
      </c>
      <c r="L36" s="229">
        <f t="shared" si="6"/>
        <v>0</v>
      </c>
      <c r="M36" s="229">
        <f t="shared" si="7"/>
        <v>21373</v>
      </c>
      <c r="N36" s="454">
        <f t="shared" si="8"/>
        <v>170</v>
      </c>
      <c r="O36" s="454">
        <f t="shared" si="9"/>
        <v>8.2959999999999994</v>
      </c>
      <c r="P36" s="454">
        <f t="shared" si="10"/>
        <v>0.14620272000000001</v>
      </c>
      <c r="Q36" s="454">
        <f t="shared" si="11"/>
        <v>178</v>
      </c>
      <c r="R36" s="230">
        <f t="shared" si="12"/>
        <v>3633410</v>
      </c>
      <c r="S36" s="230">
        <f t="shared" si="13"/>
        <v>3804394</v>
      </c>
      <c r="T36" s="429">
        <f t="shared" si="14"/>
        <v>23</v>
      </c>
      <c r="U36" s="429">
        <f t="shared" si="15"/>
        <v>1</v>
      </c>
      <c r="V36" s="430">
        <f t="array" ref="V36">MAX((IF(MNU_CODIGO_ALIMENTO_ENTREGA=CONCATENATE($E36,"_","S_"),MNU_GRAMAJE_REQUERIDO_TIPOB,"")))</f>
        <v>100</v>
      </c>
      <c r="W36" s="397">
        <f t="shared" si="16"/>
        <v>689</v>
      </c>
      <c r="X36" s="397">
        <f t="shared" si="17"/>
        <v>0</v>
      </c>
      <c r="Y36" s="397">
        <f t="shared" si="18"/>
        <v>15847</v>
      </c>
      <c r="Z36" s="454">
        <f t="shared" si="19"/>
        <v>170</v>
      </c>
      <c r="AA36" s="454">
        <f t="shared" si="20"/>
        <v>8.2959999999999994</v>
      </c>
      <c r="AB36" s="454">
        <f t="shared" si="21"/>
        <v>0.14620272000000001</v>
      </c>
      <c r="AC36" s="454">
        <f t="shared" si="22"/>
        <v>178</v>
      </c>
      <c r="AD36" s="231">
        <f t="shared" si="23"/>
        <v>2693990</v>
      </c>
      <c r="AE36" s="231">
        <f t="shared" si="24"/>
        <v>2820766</v>
      </c>
      <c r="AF36" s="427">
        <f t="shared" si="25"/>
        <v>23</v>
      </c>
      <c r="AG36" s="427">
        <f t="shared" si="26"/>
        <v>1</v>
      </c>
      <c r="AH36" s="428">
        <f t="array" ref="AH36">MAX((IF(MNU_CODIGO_ALIMENTO_ENTREGA=CONCATENATE($E36,"_","S_"),MNU_GRAMAJE_REQUERIDO_TIPOC,"")))</f>
        <v>100</v>
      </c>
      <c r="AI36" s="229">
        <f t="shared" si="27"/>
        <v>1686</v>
      </c>
      <c r="AJ36" s="229">
        <f t="shared" si="28"/>
        <v>0</v>
      </c>
      <c r="AK36" s="229">
        <f t="shared" si="29"/>
        <v>38778</v>
      </c>
      <c r="AL36" s="454">
        <f t="shared" si="30"/>
        <v>170</v>
      </c>
      <c r="AM36" s="454">
        <f t="shared" si="31"/>
        <v>8.2959999999999994</v>
      </c>
      <c r="AN36" s="454">
        <f t="shared" si="32"/>
        <v>0.14620272000000001</v>
      </c>
      <c r="AO36" s="454">
        <f t="shared" si="33"/>
        <v>178</v>
      </c>
      <c r="AP36" s="454">
        <f t="shared" si="34"/>
        <v>6592260</v>
      </c>
      <c r="AQ36" s="230">
        <f t="shared" si="35"/>
        <v>6902484</v>
      </c>
      <c r="AR36" s="397">
        <f t="shared" si="36"/>
        <v>12919660</v>
      </c>
      <c r="AS36" s="397">
        <f t="shared" si="37"/>
        <v>13527644</v>
      </c>
    </row>
    <row r="37" spans="1:45" ht="15.75">
      <c r="A37" s="228">
        <v>2</v>
      </c>
      <c r="B37" s="228" t="str">
        <f t="shared" si="1"/>
        <v>FRUTA_2</v>
      </c>
      <c r="C37" s="338" t="str">
        <f t="shared" si="2"/>
        <v>46_2</v>
      </c>
      <c r="D37" s="398" t="s">
        <v>1</v>
      </c>
      <c r="E37" s="228">
        <v>46</v>
      </c>
      <c r="F37" s="332" t="s">
        <v>64</v>
      </c>
      <c r="G37" s="228" t="s">
        <v>9</v>
      </c>
      <c r="H37" s="427">
        <f t="shared" si="3"/>
        <v>29</v>
      </c>
      <c r="I37" s="427">
        <f t="shared" si="4"/>
        <v>4</v>
      </c>
      <c r="J37" s="428">
        <f t="array" ref="J37">MAX((IF(MNU_CODIGO_ALIMENTO_ENTREGA=CONCATENATE($E37,"_","S_"),MNU_GRAMAJE_REQUERIDO_TIPOA,"")))</f>
        <v>100</v>
      </c>
      <c r="K37" s="229">
        <f t="shared" si="5"/>
        <v>737</v>
      </c>
      <c r="L37" s="229">
        <f t="shared" si="6"/>
        <v>0</v>
      </c>
      <c r="M37" s="229">
        <f t="shared" si="7"/>
        <v>21373</v>
      </c>
      <c r="N37" s="454">
        <f t="shared" si="8"/>
        <v>398</v>
      </c>
      <c r="O37" s="454">
        <f t="shared" si="9"/>
        <v>19.4224</v>
      </c>
      <c r="P37" s="454">
        <f t="shared" si="10"/>
        <v>0.34228636800000001</v>
      </c>
      <c r="Q37" s="454">
        <f t="shared" si="11"/>
        <v>418</v>
      </c>
      <c r="R37" s="230">
        <f t="shared" si="12"/>
        <v>8506454</v>
      </c>
      <c r="S37" s="230">
        <f t="shared" si="13"/>
        <v>8933914</v>
      </c>
      <c r="T37" s="429">
        <f t="shared" si="14"/>
        <v>24</v>
      </c>
      <c r="U37" s="429">
        <f t="shared" si="15"/>
        <v>3</v>
      </c>
      <c r="V37" s="430">
        <f t="array" ref="V37">MAX((IF(MNU_CODIGO_ALIMENTO_ENTREGA=CONCATENATE($E37,"_","S_"),MNU_GRAMAJE_REQUERIDO_TIPOB,"")))</f>
        <v>100</v>
      </c>
      <c r="W37" s="397">
        <f t="shared" si="16"/>
        <v>689</v>
      </c>
      <c r="X37" s="397">
        <f t="shared" si="17"/>
        <v>0</v>
      </c>
      <c r="Y37" s="397">
        <f t="shared" si="18"/>
        <v>16536</v>
      </c>
      <c r="Z37" s="454">
        <f t="shared" si="19"/>
        <v>398</v>
      </c>
      <c r="AA37" s="454">
        <f t="shared" si="20"/>
        <v>19.4224</v>
      </c>
      <c r="AB37" s="454">
        <f t="shared" si="21"/>
        <v>0.34228636800000001</v>
      </c>
      <c r="AC37" s="454">
        <f t="shared" si="22"/>
        <v>418</v>
      </c>
      <c r="AD37" s="231">
        <f t="shared" si="23"/>
        <v>6581328</v>
      </c>
      <c r="AE37" s="231">
        <f t="shared" si="24"/>
        <v>6912048</v>
      </c>
      <c r="AF37" s="427">
        <f t="shared" si="25"/>
        <v>24</v>
      </c>
      <c r="AG37" s="427">
        <f t="shared" si="26"/>
        <v>3</v>
      </c>
      <c r="AH37" s="428">
        <f t="array" ref="AH37">MAX((IF(MNU_CODIGO_ALIMENTO_ENTREGA=CONCATENATE($E37,"_","S_"),MNU_GRAMAJE_REQUERIDO_TIPOC,"")))</f>
        <v>100</v>
      </c>
      <c r="AI37" s="229">
        <f t="shared" si="27"/>
        <v>1686</v>
      </c>
      <c r="AJ37" s="229">
        <f t="shared" si="28"/>
        <v>0</v>
      </c>
      <c r="AK37" s="229">
        <f t="shared" si="29"/>
        <v>40464</v>
      </c>
      <c r="AL37" s="454">
        <f t="shared" si="30"/>
        <v>398</v>
      </c>
      <c r="AM37" s="454">
        <f t="shared" si="31"/>
        <v>19.4224</v>
      </c>
      <c r="AN37" s="454">
        <f t="shared" si="32"/>
        <v>0.34228636800000001</v>
      </c>
      <c r="AO37" s="454">
        <f t="shared" si="33"/>
        <v>418</v>
      </c>
      <c r="AP37" s="454">
        <f t="shared" si="34"/>
        <v>16104672</v>
      </c>
      <c r="AQ37" s="230">
        <f t="shared" si="35"/>
        <v>16913952</v>
      </c>
      <c r="AR37" s="397">
        <f t="shared" si="36"/>
        <v>31192454</v>
      </c>
      <c r="AS37" s="397">
        <f t="shared" si="37"/>
        <v>32759914</v>
      </c>
    </row>
    <row r="38" spans="1:45" ht="15.75">
      <c r="A38" s="228">
        <v>2</v>
      </c>
      <c r="B38" s="228" t="str">
        <f t="shared" si="1"/>
        <v>FRUTA_2</v>
      </c>
      <c r="C38" s="338" t="str">
        <f t="shared" si="2"/>
        <v>58_2</v>
      </c>
      <c r="D38" s="398" t="s">
        <v>1</v>
      </c>
      <c r="E38" s="228">
        <v>58</v>
      </c>
      <c r="F38" s="332" t="s">
        <v>67</v>
      </c>
      <c r="G38" s="228" t="s">
        <v>9</v>
      </c>
      <c r="H38" s="427">
        <f t="shared" si="3"/>
        <v>28</v>
      </c>
      <c r="I38" s="427">
        <f t="shared" si="4"/>
        <v>5</v>
      </c>
      <c r="J38" s="428">
        <f t="array" ref="J38">MAX((IF(MNU_CODIGO_ALIMENTO_ENTREGA=CONCATENATE($E38,"_","S_"),MNU_GRAMAJE_REQUERIDO_TIPOA,"")))</f>
        <v>100</v>
      </c>
      <c r="K38" s="229">
        <f t="shared" si="5"/>
        <v>737</v>
      </c>
      <c r="L38" s="229">
        <f t="shared" si="6"/>
        <v>0</v>
      </c>
      <c r="M38" s="229">
        <f t="shared" si="7"/>
        <v>20636</v>
      </c>
      <c r="N38" s="454">
        <f t="shared" si="8"/>
        <v>154</v>
      </c>
      <c r="O38" s="454">
        <f t="shared" si="9"/>
        <v>7.515200000000001</v>
      </c>
      <c r="P38" s="454">
        <f t="shared" si="10"/>
        <v>0.13244246400000001</v>
      </c>
      <c r="Q38" s="454">
        <f t="shared" si="11"/>
        <v>162</v>
      </c>
      <c r="R38" s="230">
        <f t="shared" si="12"/>
        <v>3177944</v>
      </c>
      <c r="S38" s="230">
        <f t="shared" si="13"/>
        <v>3343032</v>
      </c>
      <c r="T38" s="429">
        <f t="shared" si="14"/>
        <v>23</v>
      </c>
      <c r="U38" s="429">
        <f t="shared" si="15"/>
        <v>3</v>
      </c>
      <c r="V38" s="430">
        <f t="array" ref="V38">MAX((IF(MNU_CODIGO_ALIMENTO_ENTREGA=CONCATENATE($E38,"_","S_"),MNU_GRAMAJE_REQUERIDO_TIPOB,"")))</f>
        <v>100</v>
      </c>
      <c r="W38" s="397">
        <f t="shared" si="16"/>
        <v>689</v>
      </c>
      <c r="X38" s="397">
        <f t="shared" si="17"/>
        <v>0</v>
      </c>
      <c r="Y38" s="397">
        <f t="shared" si="18"/>
        <v>15847</v>
      </c>
      <c r="Z38" s="454">
        <f t="shared" si="19"/>
        <v>154</v>
      </c>
      <c r="AA38" s="454">
        <f t="shared" si="20"/>
        <v>7.515200000000001</v>
      </c>
      <c r="AB38" s="454">
        <f t="shared" si="21"/>
        <v>0.13244246400000001</v>
      </c>
      <c r="AC38" s="454">
        <f t="shared" si="22"/>
        <v>162</v>
      </c>
      <c r="AD38" s="231">
        <f t="shared" si="23"/>
        <v>2440438</v>
      </c>
      <c r="AE38" s="231">
        <f t="shared" si="24"/>
        <v>2567214</v>
      </c>
      <c r="AF38" s="427">
        <f t="shared" si="25"/>
        <v>23</v>
      </c>
      <c r="AG38" s="427">
        <f t="shared" si="26"/>
        <v>3</v>
      </c>
      <c r="AH38" s="428">
        <f t="array" ref="AH38">MAX((IF(MNU_CODIGO_ALIMENTO_ENTREGA=CONCATENATE($E38,"_","S_"),MNU_GRAMAJE_REQUERIDO_TIPOC,"")))</f>
        <v>100</v>
      </c>
      <c r="AI38" s="229">
        <f t="shared" si="27"/>
        <v>1686</v>
      </c>
      <c r="AJ38" s="229">
        <f t="shared" si="28"/>
        <v>0</v>
      </c>
      <c r="AK38" s="229">
        <f t="shared" si="29"/>
        <v>38778</v>
      </c>
      <c r="AL38" s="454">
        <f t="shared" si="30"/>
        <v>154</v>
      </c>
      <c r="AM38" s="454">
        <f t="shared" si="31"/>
        <v>7.515200000000001</v>
      </c>
      <c r="AN38" s="454">
        <f t="shared" si="32"/>
        <v>0.13244246400000001</v>
      </c>
      <c r="AO38" s="454">
        <f t="shared" si="33"/>
        <v>162</v>
      </c>
      <c r="AP38" s="454">
        <f t="shared" si="34"/>
        <v>5971812</v>
      </c>
      <c r="AQ38" s="230">
        <f t="shared" si="35"/>
        <v>6282036</v>
      </c>
      <c r="AR38" s="397">
        <f t="shared" si="36"/>
        <v>11590194</v>
      </c>
      <c r="AS38" s="397">
        <f t="shared" si="37"/>
        <v>12192282</v>
      </c>
    </row>
    <row r="39" spans="1:45" ht="15.75">
      <c r="A39" s="228">
        <v>2</v>
      </c>
      <c r="B39" s="228" t="str">
        <f t="shared" si="1"/>
        <v>FRUTA_2</v>
      </c>
      <c r="C39" s="338" t="str">
        <f t="shared" si="2"/>
        <v>59_2</v>
      </c>
      <c r="D39" s="398" t="s">
        <v>1</v>
      </c>
      <c r="E39" s="228">
        <v>59</v>
      </c>
      <c r="F39" s="332" t="s">
        <v>99</v>
      </c>
      <c r="G39" s="228" t="s">
        <v>9</v>
      </c>
      <c r="H39" s="427">
        <f t="shared" si="3"/>
        <v>0</v>
      </c>
      <c r="I39" s="427">
        <f t="shared" si="4"/>
        <v>0</v>
      </c>
      <c r="J39" s="428">
        <f t="array" ref="J39">MAX((IF(MNU_CODIGO_ALIMENTO_ENTREGA=CONCATENATE($E39,"_","S_"),MNU_GRAMAJE_REQUERIDO_TIPOA,"")))</f>
        <v>0</v>
      </c>
      <c r="K39" s="229">
        <f t="shared" si="5"/>
        <v>737</v>
      </c>
      <c r="L39" s="229">
        <f t="shared" si="6"/>
        <v>0</v>
      </c>
      <c r="M39" s="229">
        <f t="shared" si="7"/>
        <v>0</v>
      </c>
      <c r="N39" s="454">
        <f t="shared" si="8"/>
        <v>0</v>
      </c>
      <c r="O39" s="454">
        <f t="shared" si="9"/>
        <v>0</v>
      </c>
      <c r="P39" s="454">
        <f t="shared" si="10"/>
        <v>0</v>
      </c>
      <c r="Q39" s="454">
        <f t="shared" si="11"/>
        <v>0</v>
      </c>
      <c r="R39" s="230">
        <f t="shared" si="12"/>
        <v>0</v>
      </c>
      <c r="S39" s="230">
        <f t="shared" si="13"/>
        <v>0</v>
      </c>
      <c r="T39" s="429">
        <f t="shared" si="14"/>
        <v>11</v>
      </c>
      <c r="U39" s="429">
        <f t="shared" si="15"/>
        <v>0</v>
      </c>
      <c r="V39" s="430">
        <f t="array" ref="V39">MAX((IF(MNU_CODIGO_ALIMENTO_ENTREGA=CONCATENATE($E39,"_","S_"),MNU_GRAMAJE_REQUERIDO_TIPOB,"")))</f>
        <v>100</v>
      </c>
      <c r="W39" s="397">
        <f t="shared" si="16"/>
        <v>689</v>
      </c>
      <c r="X39" s="397">
        <f t="shared" si="17"/>
        <v>0</v>
      </c>
      <c r="Y39" s="397">
        <f t="shared" si="18"/>
        <v>7579</v>
      </c>
      <c r="Z39" s="454">
        <f t="shared" si="19"/>
        <v>286</v>
      </c>
      <c r="AA39" s="454">
        <f t="shared" si="20"/>
        <v>13.956800000000001</v>
      </c>
      <c r="AB39" s="454">
        <f t="shared" si="21"/>
        <v>0.24596457599999999</v>
      </c>
      <c r="AC39" s="454">
        <f t="shared" si="22"/>
        <v>300</v>
      </c>
      <c r="AD39" s="231">
        <f t="shared" si="23"/>
        <v>2167594</v>
      </c>
      <c r="AE39" s="231">
        <f t="shared" si="24"/>
        <v>2273700</v>
      </c>
      <c r="AF39" s="427">
        <f t="shared" si="25"/>
        <v>11</v>
      </c>
      <c r="AG39" s="427">
        <f t="shared" si="26"/>
        <v>0</v>
      </c>
      <c r="AH39" s="428">
        <f t="array" ref="AH39">MAX((IF(MNU_CODIGO_ALIMENTO_ENTREGA=CONCATENATE($E39,"_","S_"),MNU_GRAMAJE_REQUERIDO_TIPOC,"")))</f>
        <v>100</v>
      </c>
      <c r="AI39" s="229">
        <f t="shared" si="27"/>
        <v>1686</v>
      </c>
      <c r="AJ39" s="229">
        <f t="shared" si="28"/>
        <v>0</v>
      </c>
      <c r="AK39" s="229">
        <f t="shared" si="29"/>
        <v>18546</v>
      </c>
      <c r="AL39" s="454">
        <f t="shared" si="30"/>
        <v>286</v>
      </c>
      <c r="AM39" s="454">
        <f t="shared" si="31"/>
        <v>13.956800000000001</v>
      </c>
      <c r="AN39" s="454">
        <f t="shared" si="32"/>
        <v>0.24596457599999999</v>
      </c>
      <c r="AO39" s="454">
        <f t="shared" si="33"/>
        <v>300</v>
      </c>
      <c r="AP39" s="454">
        <f t="shared" si="34"/>
        <v>5304156</v>
      </c>
      <c r="AQ39" s="230">
        <f t="shared" si="35"/>
        <v>5563800</v>
      </c>
      <c r="AR39" s="397">
        <f t="shared" si="36"/>
        <v>7471750</v>
      </c>
      <c r="AS39" s="397">
        <f t="shared" si="37"/>
        <v>7837500</v>
      </c>
    </row>
    <row r="40" spans="1:45" ht="15.75">
      <c r="A40" s="228">
        <v>2</v>
      </c>
      <c r="B40" s="228" t="str">
        <f t="shared" si="1"/>
        <v>FRUTA_2</v>
      </c>
      <c r="C40" s="338" t="str">
        <f t="shared" si="2"/>
        <v>69_2</v>
      </c>
      <c r="D40" s="398" t="s">
        <v>1</v>
      </c>
      <c r="E40" s="228">
        <v>69</v>
      </c>
      <c r="F40" s="332" t="s">
        <v>70</v>
      </c>
      <c r="G40" s="228" t="s">
        <v>9</v>
      </c>
      <c r="H40" s="427">
        <f t="shared" si="3"/>
        <v>18</v>
      </c>
      <c r="I40" s="427">
        <f t="shared" si="4"/>
        <v>2</v>
      </c>
      <c r="J40" s="428">
        <f t="array" ref="J40">MAX((IF(MNU_CODIGO_ALIMENTO_ENTREGA=CONCATENATE($E40,"_","S_"),MNU_GRAMAJE_REQUERIDO_TIPOA,"")))</f>
        <v>100</v>
      </c>
      <c r="K40" s="229">
        <f t="shared" si="5"/>
        <v>737</v>
      </c>
      <c r="L40" s="229">
        <f t="shared" si="6"/>
        <v>0</v>
      </c>
      <c r="M40" s="229">
        <f t="shared" si="7"/>
        <v>13266</v>
      </c>
      <c r="N40" s="454">
        <f t="shared" si="8"/>
        <v>305</v>
      </c>
      <c r="O40" s="454">
        <f t="shared" si="9"/>
        <v>14.884</v>
      </c>
      <c r="P40" s="454">
        <f t="shared" si="10"/>
        <v>0.26230488000000002</v>
      </c>
      <c r="Q40" s="454">
        <f t="shared" si="11"/>
        <v>320</v>
      </c>
      <c r="R40" s="230">
        <f t="shared" si="12"/>
        <v>4046130</v>
      </c>
      <c r="S40" s="230">
        <f t="shared" si="13"/>
        <v>4245120</v>
      </c>
      <c r="T40" s="429">
        <f t="shared" si="14"/>
        <v>12</v>
      </c>
      <c r="U40" s="429">
        <f t="shared" si="15"/>
        <v>2</v>
      </c>
      <c r="V40" s="430">
        <f t="array" ref="V40">MAX((IF(MNU_CODIGO_ALIMENTO_ENTREGA=CONCATENATE($E40,"_","S_"),MNU_GRAMAJE_REQUERIDO_TIPOB,"")))</f>
        <v>100</v>
      </c>
      <c r="W40" s="397">
        <f t="shared" si="16"/>
        <v>689</v>
      </c>
      <c r="X40" s="397">
        <f t="shared" si="17"/>
        <v>0</v>
      </c>
      <c r="Y40" s="397">
        <f t="shared" si="18"/>
        <v>8268</v>
      </c>
      <c r="Z40" s="454">
        <f t="shared" si="19"/>
        <v>305</v>
      </c>
      <c r="AA40" s="454">
        <f t="shared" si="20"/>
        <v>14.884</v>
      </c>
      <c r="AB40" s="454">
        <f t="shared" si="21"/>
        <v>0.26230488000000002</v>
      </c>
      <c r="AC40" s="454">
        <f t="shared" si="22"/>
        <v>320</v>
      </c>
      <c r="AD40" s="231">
        <f t="shared" si="23"/>
        <v>2521740</v>
      </c>
      <c r="AE40" s="231">
        <f t="shared" si="24"/>
        <v>2645760</v>
      </c>
      <c r="AF40" s="427">
        <f t="shared" si="25"/>
        <v>12</v>
      </c>
      <c r="AG40" s="427">
        <f t="shared" si="26"/>
        <v>2</v>
      </c>
      <c r="AH40" s="428">
        <f t="array" ref="AH40">MAX((IF(MNU_CODIGO_ALIMENTO_ENTREGA=CONCATENATE($E40,"_","S_"),MNU_GRAMAJE_REQUERIDO_TIPOC,"")))</f>
        <v>100</v>
      </c>
      <c r="AI40" s="229">
        <f t="shared" si="27"/>
        <v>1686</v>
      </c>
      <c r="AJ40" s="229">
        <f t="shared" si="28"/>
        <v>0</v>
      </c>
      <c r="AK40" s="229">
        <f t="shared" si="29"/>
        <v>20232</v>
      </c>
      <c r="AL40" s="454">
        <f t="shared" si="30"/>
        <v>305</v>
      </c>
      <c r="AM40" s="454">
        <f t="shared" si="31"/>
        <v>14.884</v>
      </c>
      <c r="AN40" s="454">
        <f t="shared" si="32"/>
        <v>0.26230488000000002</v>
      </c>
      <c r="AO40" s="454">
        <f t="shared" si="33"/>
        <v>320</v>
      </c>
      <c r="AP40" s="454">
        <f t="shared" si="34"/>
        <v>6170760</v>
      </c>
      <c r="AQ40" s="230">
        <f t="shared" si="35"/>
        <v>6474240</v>
      </c>
      <c r="AR40" s="397">
        <f t="shared" si="36"/>
        <v>12738630</v>
      </c>
      <c r="AS40" s="397">
        <f t="shared" si="37"/>
        <v>13365120</v>
      </c>
    </row>
    <row r="41" spans="1:45" ht="15.75">
      <c r="A41" s="228">
        <v>2</v>
      </c>
      <c r="B41" s="228" t="str">
        <f t="shared" si="1"/>
        <v>FRUTA_2</v>
      </c>
      <c r="C41" s="338" t="str">
        <f t="shared" si="2"/>
        <v>70_2</v>
      </c>
      <c r="D41" s="398" t="s">
        <v>1</v>
      </c>
      <c r="E41" s="228">
        <v>70</v>
      </c>
      <c r="F41" s="332" t="s">
        <v>71</v>
      </c>
      <c r="G41" s="228" t="s">
        <v>9</v>
      </c>
      <c r="H41" s="427">
        <f t="shared" si="3"/>
        <v>0</v>
      </c>
      <c r="I41" s="427">
        <f t="shared" si="4"/>
        <v>0</v>
      </c>
      <c r="J41" s="428">
        <f t="array" ref="J41">MAX((IF(MNU_CODIGO_ALIMENTO_ENTREGA=CONCATENATE($E41,"_","S_"),MNU_GRAMAJE_REQUERIDO_TIPOA,"")))</f>
        <v>0</v>
      </c>
      <c r="K41" s="229">
        <f t="shared" si="5"/>
        <v>737</v>
      </c>
      <c r="L41" s="229">
        <f t="shared" si="6"/>
        <v>0</v>
      </c>
      <c r="M41" s="229">
        <f t="shared" si="7"/>
        <v>0</v>
      </c>
      <c r="N41" s="454">
        <f t="shared" si="8"/>
        <v>0</v>
      </c>
      <c r="O41" s="454">
        <f t="shared" si="9"/>
        <v>0</v>
      </c>
      <c r="P41" s="454">
        <f t="shared" si="10"/>
        <v>0</v>
      </c>
      <c r="Q41" s="454">
        <f t="shared" si="11"/>
        <v>0</v>
      </c>
      <c r="R41" s="230">
        <f t="shared" si="12"/>
        <v>0</v>
      </c>
      <c r="S41" s="230">
        <f t="shared" si="13"/>
        <v>0</v>
      </c>
      <c r="T41" s="429">
        <f t="shared" si="14"/>
        <v>8</v>
      </c>
      <c r="U41" s="429">
        <f t="shared" si="15"/>
        <v>4</v>
      </c>
      <c r="V41" s="430">
        <f t="array" ref="V41">MAX((IF(MNU_CODIGO_ALIMENTO_ENTREGA=CONCATENATE($E41,"_","S_"),MNU_GRAMAJE_REQUERIDO_TIPOB,"")))</f>
        <v>100</v>
      </c>
      <c r="W41" s="397">
        <f t="shared" si="16"/>
        <v>689</v>
      </c>
      <c r="X41" s="397">
        <f t="shared" si="17"/>
        <v>0</v>
      </c>
      <c r="Y41" s="397">
        <f t="shared" si="18"/>
        <v>5512</v>
      </c>
      <c r="Z41" s="454">
        <f t="shared" si="19"/>
        <v>434</v>
      </c>
      <c r="AA41" s="454">
        <f t="shared" si="20"/>
        <v>21.179200000000002</v>
      </c>
      <c r="AB41" s="454">
        <f t="shared" si="21"/>
        <v>0.37324694399999997</v>
      </c>
      <c r="AC41" s="454">
        <f t="shared" si="22"/>
        <v>456</v>
      </c>
      <c r="AD41" s="231">
        <f t="shared" si="23"/>
        <v>2392208</v>
      </c>
      <c r="AE41" s="231">
        <f t="shared" si="24"/>
        <v>2513472</v>
      </c>
      <c r="AF41" s="427">
        <f t="shared" si="25"/>
        <v>8</v>
      </c>
      <c r="AG41" s="427">
        <f t="shared" si="26"/>
        <v>4</v>
      </c>
      <c r="AH41" s="428">
        <f t="array" ref="AH41">MAX((IF(MNU_CODIGO_ALIMENTO_ENTREGA=CONCATENATE($E41,"_","S_"),MNU_GRAMAJE_REQUERIDO_TIPOC,"")))</f>
        <v>100</v>
      </c>
      <c r="AI41" s="229">
        <f t="shared" si="27"/>
        <v>1686</v>
      </c>
      <c r="AJ41" s="229">
        <f t="shared" si="28"/>
        <v>0</v>
      </c>
      <c r="AK41" s="229">
        <f t="shared" si="29"/>
        <v>13488</v>
      </c>
      <c r="AL41" s="454">
        <f t="shared" si="30"/>
        <v>434</v>
      </c>
      <c r="AM41" s="454">
        <f t="shared" si="31"/>
        <v>21.179200000000002</v>
      </c>
      <c r="AN41" s="454">
        <f t="shared" si="32"/>
        <v>0.37324694399999997</v>
      </c>
      <c r="AO41" s="454">
        <f t="shared" si="33"/>
        <v>456</v>
      </c>
      <c r="AP41" s="454">
        <f t="shared" si="34"/>
        <v>5853792</v>
      </c>
      <c r="AQ41" s="230">
        <f t="shared" si="35"/>
        <v>6150528</v>
      </c>
      <c r="AR41" s="397">
        <f t="shared" si="36"/>
        <v>8246000</v>
      </c>
      <c r="AS41" s="397">
        <f t="shared" si="37"/>
        <v>8664000</v>
      </c>
    </row>
    <row r="42" spans="1:45" ht="15.75">
      <c r="A42" s="228">
        <v>3</v>
      </c>
      <c r="B42" s="228" t="str">
        <f t="shared" si="1"/>
        <v>FRUTA_3</v>
      </c>
      <c r="C42" s="338" t="str">
        <f t="shared" si="2"/>
        <v>7_3</v>
      </c>
      <c r="D42" s="398" t="s">
        <v>1</v>
      </c>
      <c r="E42" s="228">
        <v>7</v>
      </c>
      <c r="F42" s="332" t="s">
        <v>57</v>
      </c>
      <c r="G42" s="228" t="s">
        <v>9</v>
      </c>
      <c r="H42" s="427">
        <f t="shared" si="3"/>
        <v>31</v>
      </c>
      <c r="I42" s="427">
        <f t="shared" si="4"/>
        <v>0</v>
      </c>
      <c r="J42" s="428">
        <f t="array" ref="J42">MAX((IF(MNU_CODIGO_ALIMENTO_ENTREGA=CONCATENATE($E42,"_","S_"),MNU_GRAMAJE_REQUERIDO_TIPOA,"")))</f>
        <v>100</v>
      </c>
      <c r="K42" s="229">
        <f t="shared" si="5"/>
        <v>432</v>
      </c>
      <c r="L42" s="229">
        <f t="shared" si="6"/>
        <v>0</v>
      </c>
      <c r="M42" s="229">
        <f t="shared" si="7"/>
        <v>13392</v>
      </c>
      <c r="N42" s="454">
        <f t="shared" si="8"/>
        <v>107</v>
      </c>
      <c r="O42" s="454">
        <f t="shared" si="9"/>
        <v>5.2216000000000005</v>
      </c>
      <c r="P42" s="454">
        <f t="shared" si="10"/>
        <v>9.2021712000000006E-2</v>
      </c>
      <c r="Q42" s="454">
        <f t="shared" si="11"/>
        <v>112</v>
      </c>
      <c r="R42" s="230">
        <f t="shared" si="12"/>
        <v>1432944</v>
      </c>
      <c r="S42" s="230">
        <f t="shared" si="13"/>
        <v>1499904</v>
      </c>
      <c r="T42" s="429">
        <f t="shared" si="14"/>
        <v>11</v>
      </c>
      <c r="U42" s="429">
        <f t="shared" si="15"/>
        <v>0</v>
      </c>
      <c r="V42" s="430">
        <f t="array" ref="V42">MAX((IF(MNU_CODIGO_ALIMENTO_ENTREGA=CONCATENATE($E42,"_","S_"),MNU_GRAMAJE_REQUERIDO_TIPOB,"")))</f>
        <v>100</v>
      </c>
      <c r="W42" s="397">
        <f t="shared" si="16"/>
        <v>406</v>
      </c>
      <c r="X42" s="397">
        <f t="shared" si="17"/>
        <v>0</v>
      </c>
      <c r="Y42" s="397">
        <f t="shared" si="18"/>
        <v>4466</v>
      </c>
      <c r="Z42" s="454">
        <f t="shared" si="19"/>
        <v>107</v>
      </c>
      <c r="AA42" s="454">
        <f t="shared" si="20"/>
        <v>5.2216000000000005</v>
      </c>
      <c r="AB42" s="454">
        <f t="shared" si="21"/>
        <v>9.2021712000000006E-2</v>
      </c>
      <c r="AC42" s="454">
        <f t="shared" si="22"/>
        <v>112</v>
      </c>
      <c r="AD42" s="231">
        <f t="shared" si="23"/>
        <v>477862</v>
      </c>
      <c r="AE42" s="231">
        <f t="shared" si="24"/>
        <v>500192</v>
      </c>
      <c r="AF42" s="427">
        <f t="shared" si="25"/>
        <v>11</v>
      </c>
      <c r="AG42" s="427">
        <f t="shared" si="26"/>
        <v>0</v>
      </c>
      <c r="AH42" s="428">
        <f t="array" ref="AH42">MAX((IF(MNU_CODIGO_ALIMENTO_ENTREGA=CONCATENATE($E42,"_","S_"),MNU_GRAMAJE_REQUERIDO_TIPOC,"")))</f>
        <v>100</v>
      </c>
      <c r="AI42" s="229">
        <f t="shared" si="27"/>
        <v>1013</v>
      </c>
      <c r="AJ42" s="229">
        <f t="shared" si="28"/>
        <v>0</v>
      </c>
      <c r="AK42" s="229">
        <f t="shared" si="29"/>
        <v>11143</v>
      </c>
      <c r="AL42" s="454">
        <f t="shared" si="30"/>
        <v>107</v>
      </c>
      <c r="AM42" s="454">
        <f t="shared" si="31"/>
        <v>5.2216000000000005</v>
      </c>
      <c r="AN42" s="454">
        <f t="shared" si="32"/>
        <v>9.2021712000000006E-2</v>
      </c>
      <c r="AO42" s="454">
        <f t="shared" si="33"/>
        <v>112</v>
      </c>
      <c r="AP42" s="454">
        <f t="shared" si="34"/>
        <v>1192301</v>
      </c>
      <c r="AQ42" s="230">
        <f t="shared" si="35"/>
        <v>1248016</v>
      </c>
      <c r="AR42" s="397">
        <f t="shared" si="36"/>
        <v>3103107</v>
      </c>
      <c r="AS42" s="397">
        <f t="shared" si="37"/>
        <v>3248112</v>
      </c>
    </row>
    <row r="43" spans="1:45" ht="15.75">
      <c r="A43" s="228">
        <v>3</v>
      </c>
      <c r="B43" s="228" t="str">
        <f t="shared" si="1"/>
        <v>FRUTA_3</v>
      </c>
      <c r="C43" s="338" t="str">
        <f t="shared" si="2"/>
        <v>8_3</v>
      </c>
      <c r="D43" s="398" t="s">
        <v>1</v>
      </c>
      <c r="E43" s="228">
        <v>8</v>
      </c>
      <c r="F43" s="332" t="s">
        <v>55</v>
      </c>
      <c r="G43" s="228" t="s">
        <v>9</v>
      </c>
      <c r="H43" s="427">
        <f t="shared" si="3"/>
        <v>11</v>
      </c>
      <c r="I43" s="427">
        <f t="shared" si="4"/>
        <v>0</v>
      </c>
      <c r="J43" s="428">
        <f t="array" ref="J43">MAX((IF(MNU_CODIGO_ALIMENTO_ENTREGA=CONCATENATE($E43,"_","S_"),MNU_GRAMAJE_REQUERIDO_TIPOA,"")))</f>
        <v>100</v>
      </c>
      <c r="K43" s="229">
        <f t="shared" si="5"/>
        <v>432</v>
      </c>
      <c r="L43" s="229">
        <f t="shared" si="6"/>
        <v>0</v>
      </c>
      <c r="M43" s="229">
        <f t="shared" si="7"/>
        <v>4752</v>
      </c>
      <c r="N43" s="454">
        <f t="shared" si="8"/>
        <v>134</v>
      </c>
      <c r="O43" s="454">
        <f t="shared" si="9"/>
        <v>6.539200000000001</v>
      </c>
      <c r="P43" s="454">
        <f t="shared" si="10"/>
        <v>0.115242144</v>
      </c>
      <c r="Q43" s="454">
        <f t="shared" si="11"/>
        <v>141</v>
      </c>
      <c r="R43" s="230">
        <f t="shared" si="12"/>
        <v>636768</v>
      </c>
      <c r="S43" s="230">
        <f t="shared" si="13"/>
        <v>670032</v>
      </c>
      <c r="T43" s="429">
        <f t="shared" si="14"/>
        <v>11</v>
      </c>
      <c r="U43" s="429">
        <f t="shared" si="15"/>
        <v>0</v>
      </c>
      <c r="V43" s="430">
        <f t="array" ref="V43">MAX((IF(MNU_CODIGO_ALIMENTO_ENTREGA=CONCATENATE($E43,"_","S_"),MNU_GRAMAJE_REQUERIDO_TIPOB,"")))</f>
        <v>100</v>
      </c>
      <c r="W43" s="397">
        <f t="shared" si="16"/>
        <v>406</v>
      </c>
      <c r="X43" s="397">
        <f t="shared" si="17"/>
        <v>0</v>
      </c>
      <c r="Y43" s="397">
        <f t="shared" si="18"/>
        <v>4466</v>
      </c>
      <c r="Z43" s="454">
        <f t="shared" si="19"/>
        <v>134</v>
      </c>
      <c r="AA43" s="454">
        <f t="shared" si="20"/>
        <v>6.539200000000001</v>
      </c>
      <c r="AB43" s="454">
        <f t="shared" si="21"/>
        <v>0.115242144</v>
      </c>
      <c r="AC43" s="454">
        <f t="shared" si="22"/>
        <v>141</v>
      </c>
      <c r="AD43" s="231">
        <f t="shared" si="23"/>
        <v>598444</v>
      </c>
      <c r="AE43" s="231">
        <f t="shared" si="24"/>
        <v>629706</v>
      </c>
      <c r="AF43" s="427">
        <f t="shared" si="25"/>
        <v>11</v>
      </c>
      <c r="AG43" s="427">
        <f t="shared" si="26"/>
        <v>0</v>
      </c>
      <c r="AH43" s="428">
        <f t="array" ref="AH43">MAX((IF(MNU_CODIGO_ALIMENTO_ENTREGA=CONCATENATE($E43,"_","S_"),MNU_GRAMAJE_REQUERIDO_TIPOC,"")))</f>
        <v>100</v>
      </c>
      <c r="AI43" s="229">
        <f t="shared" si="27"/>
        <v>1013</v>
      </c>
      <c r="AJ43" s="229">
        <f t="shared" si="28"/>
        <v>0</v>
      </c>
      <c r="AK43" s="229">
        <f t="shared" si="29"/>
        <v>11143</v>
      </c>
      <c r="AL43" s="454">
        <f t="shared" si="30"/>
        <v>134</v>
      </c>
      <c r="AM43" s="454">
        <f t="shared" si="31"/>
        <v>6.539200000000001</v>
      </c>
      <c r="AN43" s="454">
        <f t="shared" si="32"/>
        <v>0.115242144</v>
      </c>
      <c r="AO43" s="454">
        <f t="shared" si="33"/>
        <v>141</v>
      </c>
      <c r="AP43" s="454">
        <f t="shared" si="34"/>
        <v>1493162</v>
      </c>
      <c r="AQ43" s="230">
        <f t="shared" si="35"/>
        <v>1571163</v>
      </c>
      <c r="AR43" s="397">
        <f t="shared" si="36"/>
        <v>2728374</v>
      </c>
      <c r="AS43" s="397">
        <f t="shared" si="37"/>
        <v>2870901</v>
      </c>
    </row>
    <row r="44" spans="1:45" ht="15.75">
      <c r="A44" s="228">
        <v>3</v>
      </c>
      <c r="B44" s="228" t="str">
        <f t="shared" si="1"/>
        <v>FRUTA_3</v>
      </c>
      <c r="C44" s="338" t="str">
        <f t="shared" si="2"/>
        <v>17_3</v>
      </c>
      <c r="D44" s="398" t="s">
        <v>1</v>
      </c>
      <c r="E44" s="228">
        <v>17</v>
      </c>
      <c r="F44" s="332" t="s">
        <v>53</v>
      </c>
      <c r="G44" s="228" t="s">
        <v>9</v>
      </c>
      <c r="H44" s="427">
        <f t="shared" si="3"/>
        <v>0</v>
      </c>
      <c r="I44" s="427">
        <f t="shared" si="4"/>
        <v>0</v>
      </c>
      <c r="J44" s="428">
        <f t="array" ref="J44">MAX((IF(MNU_CODIGO_ALIMENTO_ENTREGA=CONCATENATE($E44,"_","S_"),MNU_GRAMAJE_REQUERIDO_TIPOA,"")))</f>
        <v>0</v>
      </c>
      <c r="K44" s="229">
        <f t="shared" si="5"/>
        <v>432</v>
      </c>
      <c r="L44" s="229">
        <f t="shared" si="6"/>
        <v>0</v>
      </c>
      <c r="M44" s="229">
        <f t="shared" si="7"/>
        <v>0</v>
      </c>
      <c r="N44" s="454">
        <f t="shared" si="8"/>
        <v>0</v>
      </c>
      <c r="O44" s="454">
        <f t="shared" si="9"/>
        <v>0</v>
      </c>
      <c r="P44" s="454">
        <f t="shared" si="10"/>
        <v>0</v>
      </c>
      <c r="Q44" s="454">
        <f t="shared" si="11"/>
        <v>0</v>
      </c>
      <c r="R44" s="230">
        <f t="shared" si="12"/>
        <v>0</v>
      </c>
      <c r="S44" s="230">
        <f t="shared" si="13"/>
        <v>0</v>
      </c>
      <c r="T44" s="429">
        <f t="shared" si="14"/>
        <v>23</v>
      </c>
      <c r="U44" s="429">
        <f t="shared" si="15"/>
        <v>4</v>
      </c>
      <c r="V44" s="430">
        <f t="array" ref="V44">MAX((IF(MNU_CODIGO_ALIMENTO_ENTREGA=CONCATENATE($E44,"_","S_"),MNU_GRAMAJE_REQUERIDO_TIPOB,"")))</f>
        <v>100</v>
      </c>
      <c r="W44" s="397">
        <f t="shared" si="16"/>
        <v>406</v>
      </c>
      <c r="X44" s="397">
        <f t="shared" si="17"/>
        <v>0</v>
      </c>
      <c r="Y44" s="397">
        <f t="shared" si="18"/>
        <v>9338</v>
      </c>
      <c r="Z44" s="454">
        <f t="shared" si="19"/>
        <v>226</v>
      </c>
      <c r="AA44" s="454">
        <f t="shared" si="20"/>
        <v>11.0288</v>
      </c>
      <c r="AB44" s="454">
        <f t="shared" si="21"/>
        <v>0.19436361600000002</v>
      </c>
      <c r="AC44" s="454">
        <f t="shared" si="22"/>
        <v>237</v>
      </c>
      <c r="AD44" s="231">
        <f t="shared" si="23"/>
        <v>2110388</v>
      </c>
      <c r="AE44" s="231">
        <f t="shared" si="24"/>
        <v>2213106</v>
      </c>
      <c r="AF44" s="427">
        <f t="shared" si="25"/>
        <v>23</v>
      </c>
      <c r="AG44" s="427">
        <f t="shared" si="26"/>
        <v>4</v>
      </c>
      <c r="AH44" s="428">
        <f t="array" ref="AH44">MAX((IF(MNU_CODIGO_ALIMENTO_ENTREGA=CONCATENATE($E44,"_","S_"),MNU_GRAMAJE_REQUERIDO_TIPOC,"")))</f>
        <v>100</v>
      </c>
      <c r="AI44" s="229">
        <f t="shared" si="27"/>
        <v>1013</v>
      </c>
      <c r="AJ44" s="229">
        <f t="shared" si="28"/>
        <v>0</v>
      </c>
      <c r="AK44" s="229">
        <f t="shared" si="29"/>
        <v>23299</v>
      </c>
      <c r="AL44" s="454">
        <f t="shared" si="30"/>
        <v>226</v>
      </c>
      <c r="AM44" s="454">
        <f t="shared" si="31"/>
        <v>11.0288</v>
      </c>
      <c r="AN44" s="454">
        <f t="shared" si="32"/>
        <v>0.19436361600000002</v>
      </c>
      <c r="AO44" s="454">
        <f t="shared" si="33"/>
        <v>237</v>
      </c>
      <c r="AP44" s="454">
        <f t="shared" si="34"/>
        <v>5265574</v>
      </c>
      <c r="AQ44" s="230">
        <f t="shared" si="35"/>
        <v>5521863</v>
      </c>
      <c r="AR44" s="397">
        <f t="shared" si="36"/>
        <v>7375962</v>
      </c>
      <c r="AS44" s="397">
        <f t="shared" si="37"/>
        <v>7734969</v>
      </c>
    </row>
    <row r="45" spans="1:45" ht="15.75">
      <c r="A45" s="228">
        <v>3</v>
      </c>
      <c r="B45" s="228" t="str">
        <f t="shared" si="1"/>
        <v>FRUTA_3</v>
      </c>
      <c r="C45" s="338" t="str">
        <f t="shared" si="2"/>
        <v>22_3</v>
      </c>
      <c r="D45" s="398" t="s">
        <v>1</v>
      </c>
      <c r="E45" s="228">
        <v>22</v>
      </c>
      <c r="F45" s="332" t="s">
        <v>51</v>
      </c>
      <c r="G45" s="228" t="s">
        <v>9</v>
      </c>
      <c r="H45" s="427">
        <f t="shared" si="3"/>
        <v>0</v>
      </c>
      <c r="I45" s="427">
        <f t="shared" si="4"/>
        <v>0</v>
      </c>
      <c r="J45" s="428">
        <f t="array" ref="J45">MAX((IF(MNU_CODIGO_ALIMENTO_ENTREGA=CONCATENATE($E45,"_","S_"),MNU_GRAMAJE_REQUERIDO_TIPOA,"")))</f>
        <v>0</v>
      </c>
      <c r="K45" s="229">
        <f t="shared" si="5"/>
        <v>432</v>
      </c>
      <c r="L45" s="229">
        <f t="shared" si="6"/>
        <v>0</v>
      </c>
      <c r="M45" s="229">
        <f t="shared" si="7"/>
        <v>0</v>
      </c>
      <c r="N45" s="454">
        <f t="shared" si="8"/>
        <v>0</v>
      </c>
      <c r="O45" s="454">
        <f t="shared" si="9"/>
        <v>0</v>
      </c>
      <c r="P45" s="454">
        <f t="shared" si="10"/>
        <v>0</v>
      </c>
      <c r="Q45" s="454">
        <f t="shared" si="11"/>
        <v>0</v>
      </c>
      <c r="R45" s="230">
        <f t="shared" si="12"/>
        <v>0</v>
      </c>
      <c r="S45" s="230">
        <f t="shared" si="13"/>
        <v>0</v>
      </c>
      <c r="T45" s="429">
        <f t="shared" si="14"/>
        <v>23</v>
      </c>
      <c r="U45" s="429">
        <f t="shared" si="15"/>
        <v>4</v>
      </c>
      <c r="V45" s="430">
        <f t="array" ref="V45">MAX((IF(MNU_CODIGO_ALIMENTO_ENTREGA=CONCATENATE($E45,"_","S_"),MNU_GRAMAJE_REQUERIDO_TIPOB,"")))</f>
        <v>100</v>
      </c>
      <c r="W45" s="397">
        <f t="shared" si="16"/>
        <v>406</v>
      </c>
      <c r="X45" s="397">
        <f t="shared" si="17"/>
        <v>0</v>
      </c>
      <c r="Y45" s="397">
        <f t="shared" si="18"/>
        <v>9338</v>
      </c>
      <c r="Z45" s="454">
        <f t="shared" si="19"/>
        <v>525</v>
      </c>
      <c r="AA45" s="454">
        <f t="shared" si="20"/>
        <v>25.62</v>
      </c>
      <c r="AB45" s="454">
        <f t="shared" si="21"/>
        <v>0.45150840000000003</v>
      </c>
      <c r="AC45" s="454">
        <f t="shared" si="22"/>
        <v>551</v>
      </c>
      <c r="AD45" s="231">
        <f t="shared" si="23"/>
        <v>4902450</v>
      </c>
      <c r="AE45" s="231">
        <f t="shared" si="24"/>
        <v>5145238</v>
      </c>
      <c r="AF45" s="427">
        <f t="shared" si="25"/>
        <v>23</v>
      </c>
      <c r="AG45" s="427">
        <f t="shared" si="26"/>
        <v>4</v>
      </c>
      <c r="AH45" s="428">
        <f t="array" ref="AH45">MAX((IF(MNU_CODIGO_ALIMENTO_ENTREGA=CONCATENATE($E45,"_","S_"),MNU_GRAMAJE_REQUERIDO_TIPOC,"")))</f>
        <v>100</v>
      </c>
      <c r="AI45" s="229">
        <f t="shared" si="27"/>
        <v>1013</v>
      </c>
      <c r="AJ45" s="229">
        <f t="shared" si="28"/>
        <v>0</v>
      </c>
      <c r="AK45" s="229">
        <f t="shared" si="29"/>
        <v>23299</v>
      </c>
      <c r="AL45" s="454">
        <f t="shared" si="30"/>
        <v>525</v>
      </c>
      <c r="AM45" s="454">
        <f t="shared" si="31"/>
        <v>25.62</v>
      </c>
      <c r="AN45" s="454">
        <f t="shared" si="32"/>
        <v>0.45150840000000003</v>
      </c>
      <c r="AO45" s="454">
        <f t="shared" si="33"/>
        <v>551</v>
      </c>
      <c r="AP45" s="454">
        <f t="shared" si="34"/>
        <v>12231975</v>
      </c>
      <c r="AQ45" s="230">
        <f t="shared" si="35"/>
        <v>12837749</v>
      </c>
      <c r="AR45" s="397">
        <f t="shared" si="36"/>
        <v>17134425</v>
      </c>
      <c r="AS45" s="397">
        <f t="shared" si="37"/>
        <v>17982987</v>
      </c>
    </row>
    <row r="46" spans="1:45" ht="15.75">
      <c r="A46" s="228">
        <v>3</v>
      </c>
      <c r="B46" s="228" t="str">
        <f t="shared" si="1"/>
        <v>FRUTA_3</v>
      </c>
      <c r="C46" s="338" t="str">
        <f t="shared" si="2"/>
        <v>33_3</v>
      </c>
      <c r="D46" s="398" t="s">
        <v>1</v>
      </c>
      <c r="E46" s="228">
        <v>33</v>
      </c>
      <c r="F46" s="332" t="s">
        <v>59</v>
      </c>
      <c r="G46" s="228" t="s">
        <v>48</v>
      </c>
      <c r="H46" s="427">
        <f t="shared" si="3"/>
        <v>29</v>
      </c>
      <c r="I46" s="427">
        <f t="shared" si="4"/>
        <v>5</v>
      </c>
      <c r="J46" s="428">
        <v>1</v>
      </c>
      <c r="K46" s="229">
        <f t="shared" si="5"/>
        <v>432</v>
      </c>
      <c r="L46" s="229">
        <f t="shared" si="6"/>
        <v>0</v>
      </c>
      <c r="M46" s="229">
        <f t="shared" si="7"/>
        <v>12528</v>
      </c>
      <c r="N46" s="454">
        <f t="shared" si="8"/>
        <v>270</v>
      </c>
      <c r="O46" s="454">
        <f t="shared" si="9"/>
        <v>13.176000000000002</v>
      </c>
      <c r="P46" s="454">
        <f t="shared" si="10"/>
        <v>0.23220432000000002</v>
      </c>
      <c r="Q46" s="454">
        <f t="shared" si="11"/>
        <v>283</v>
      </c>
      <c r="R46" s="230">
        <f t="shared" si="12"/>
        <v>3382560</v>
      </c>
      <c r="S46" s="230">
        <f t="shared" si="13"/>
        <v>3545424</v>
      </c>
      <c r="T46" s="429">
        <f t="shared" si="14"/>
        <v>23</v>
      </c>
      <c r="U46" s="429">
        <f t="shared" si="15"/>
        <v>2</v>
      </c>
      <c r="V46" s="430">
        <v>1</v>
      </c>
      <c r="W46" s="397">
        <f t="shared" si="16"/>
        <v>406</v>
      </c>
      <c r="X46" s="397">
        <f t="shared" si="17"/>
        <v>0</v>
      </c>
      <c r="Y46" s="397">
        <f t="shared" si="18"/>
        <v>9338</v>
      </c>
      <c r="Z46" s="454">
        <f t="shared" si="19"/>
        <v>270</v>
      </c>
      <c r="AA46" s="454">
        <f t="shared" si="20"/>
        <v>13.176000000000002</v>
      </c>
      <c r="AB46" s="454">
        <f t="shared" si="21"/>
        <v>0.23220432000000002</v>
      </c>
      <c r="AC46" s="454">
        <f t="shared" si="22"/>
        <v>283</v>
      </c>
      <c r="AD46" s="231">
        <f t="shared" si="23"/>
        <v>2521260</v>
      </c>
      <c r="AE46" s="231">
        <f t="shared" si="24"/>
        <v>2642654</v>
      </c>
      <c r="AF46" s="427">
        <f t="shared" si="25"/>
        <v>23</v>
      </c>
      <c r="AG46" s="427">
        <f t="shared" si="26"/>
        <v>2</v>
      </c>
      <c r="AH46" s="428">
        <v>1</v>
      </c>
      <c r="AI46" s="229">
        <f t="shared" si="27"/>
        <v>1013</v>
      </c>
      <c r="AJ46" s="229">
        <f t="shared" si="28"/>
        <v>0</v>
      </c>
      <c r="AK46" s="229">
        <f t="shared" si="29"/>
        <v>23299</v>
      </c>
      <c r="AL46" s="454">
        <f t="shared" si="30"/>
        <v>270</v>
      </c>
      <c r="AM46" s="454">
        <f t="shared" si="31"/>
        <v>13.176000000000002</v>
      </c>
      <c r="AN46" s="454">
        <f t="shared" si="32"/>
        <v>0.23220432000000002</v>
      </c>
      <c r="AO46" s="454">
        <f t="shared" si="33"/>
        <v>283</v>
      </c>
      <c r="AP46" s="454">
        <f t="shared" si="34"/>
        <v>6290730</v>
      </c>
      <c r="AQ46" s="230">
        <f t="shared" si="35"/>
        <v>6593617</v>
      </c>
      <c r="AR46" s="397">
        <f t="shared" si="36"/>
        <v>12194550</v>
      </c>
      <c r="AS46" s="397">
        <f t="shared" si="37"/>
        <v>12781695</v>
      </c>
    </row>
    <row r="47" spans="1:45" ht="15.75">
      <c r="A47" s="228">
        <v>3</v>
      </c>
      <c r="B47" s="228" t="str">
        <f t="shared" si="1"/>
        <v>FRUTA_3</v>
      </c>
      <c r="C47" s="338" t="str">
        <f t="shared" si="2"/>
        <v>36_3</v>
      </c>
      <c r="D47" s="398" t="s">
        <v>1</v>
      </c>
      <c r="E47" s="228">
        <v>36</v>
      </c>
      <c r="F47" s="332" t="s">
        <v>1340</v>
      </c>
      <c r="G47" s="228" t="s">
        <v>9</v>
      </c>
      <c r="H47" s="427">
        <f t="shared" si="3"/>
        <v>8</v>
      </c>
      <c r="I47" s="427">
        <f t="shared" si="4"/>
        <v>0</v>
      </c>
      <c r="J47" s="428">
        <f t="array" ref="J47">MAX((IF(MNU_CODIGO_ALIMENTO_ENTREGA=CONCATENATE($E47,"_","S_"),MNU_GRAMAJE_REQUERIDO_TIPOA,"")))</f>
        <v>20</v>
      </c>
      <c r="K47" s="229">
        <f t="shared" si="5"/>
        <v>432</v>
      </c>
      <c r="L47" s="229">
        <f t="shared" si="6"/>
        <v>0</v>
      </c>
      <c r="M47" s="229">
        <f t="shared" si="7"/>
        <v>3456</v>
      </c>
      <c r="N47" s="454">
        <f t="shared" si="8"/>
        <v>126</v>
      </c>
      <c r="O47" s="454">
        <f t="shared" si="9"/>
        <v>6.1488000000000005</v>
      </c>
      <c r="P47" s="454">
        <f t="shared" si="10"/>
        <v>0.10836201599999999</v>
      </c>
      <c r="Q47" s="454">
        <f t="shared" si="11"/>
        <v>132</v>
      </c>
      <c r="R47" s="230">
        <f t="shared" si="12"/>
        <v>435456</v>
      </c>
      <c r="S47" s="230">
        <f t="shared" si="13"/>
        <v>456192</v>
      </c>
      <c r="T47" s="429">
        <f t="shared" si="14"/>
        <v>8</v>
      </c>
      <c r="U47" s="429">
        <f t="shared" si="15"/>
        <v>0</v>
      </c>
      <c r="V47" s="430">
        <f t="array" ref="V47">MAX((IF(MNU_CODIGO_ALIMENTO_ENTREGA=CONCATENATE($E47,"_","S_"),MNU_GRAMAJE_REQUERIDO_TIPOB,"")))</f>
        <v>40</v>
      </c>
      <c r="W47" s="397">
        <f t="shared" si="16"/>
        <v>406</v>
      </c>
      <c r="X47" s="397">
        <f t="shared" si="17"/>
        <v>0</v>
      </c>
      <c r="Y47" s="397">
        <f t="shared" si="18"/>
        <v>3248</v>
      </c>
      <c r="Z47" s="454">
        <f t="shared" si="19"/>
        <v>252</v>
      </c>
      <c r="AA47" s="454">
        <f t="shared" si="20"/>
        <v>12.297600000000001</v>
      </c>
      <c r="AB47" s="454">
        <f t="shared" si="21"/>
        <v>0.21672403199999998</v>
      </c>
      <c r="AC47" s="454">
        <f t="shared" si="22"/>
        <v>265</v>
      </c>
      <c r="AD47" s="231">
        <f t="shared" si="23"/>
        <v>818496</v>
      </c>
      <c r="AE47" s="231">
        <f t="shared" si="24"/>
        <v>860720</v>
      </c>
      <c r="AF47" s="427">
        <f t="shared" si="25"/>
        <v>8</v>
      </c>
      <c r="AG47" s="427">
        <f t="shared" si="26"/>
        <v>0</v>
      </c>
      <c r="AH47" s="428">
        <f t="array" ref="AH47">MAX((IF(MNU_CODIGO_ALIMENTO_ENTREGA=CONCATENATE($E47,"_","S_"),MNU_GRAMAJE_REQUERIDO_TIPOC,"")))</f>
        <v>40</v>
      </c>
      <c r="AI47" s="229">
        <f t="shared" si="27"/>
        <v>1013</v>
      </c>
      <c r="AJ47" s="229">
        <f t="shared" si="28"/>
        <v>0</v>
      </c>
      <c r="AK47" s="229">
        <f t="shared" si="29"/>
        <v>8104</v>
      </c>
      <c r="AL47" s="454">
        <f t="shared" si="30"/>
        <v>252</v>
      </c>
      <c r="AM47" s="454">
        <f t="shared" si="31"/>
        <v>12.297600000000001</v>
      </c>
      <c r="AN47" s="454">
        <f t="shared" si="32"/>
        <v>0.21672403199999998</v>
      </c>
      <c r="AO47" s="454">
        <f t="shared" si="33"/>
        <v>265</v>
      </c>
      <c r="AP47" s="454">
        <f t="shared" si="34"/>
        <v>2042208</v>
      </c>
      <c r="AQ47" s="230">
        <f t="shared" si="35"/>
        <v>2147560</v>
      </c>
      <c r="AR47" s="397">
        <f t="shared" si="36"/>
        <v>3296160</v>
      </c>
      <c r="AS47" s="397">
        <f t="shared" si="37"/>
        <v>3464472</v>
      </c>
    </row>
    <row r="48" spans="1:45" ht="15.75">
      <c r="A48" s="228">
        <v>3</v>
      </c>
      <c r="B48" s="228" t="str">
        <f t="shared" si="1"/>
        <v>FRUTA_3</v>
      </c>
      <c r="C48" s="338" t="str">
        <f t="shared" si="2"/>
        <v>42_3</v>
      </c>
      <c r="D48" s="398" t="s">
        <v>1</v>
      </c>
      <c r="E48" s="228">
        <v>42</v>
      </c>
      <c r="F48" s="332" t="s">
        <v>61</v>
      </c>
      <c r="G48" s="228" t="s">
        <v>9</v>
      </c>
      <c r="H48" s="427">
        <f t="shared" si="3"/>
        <v>36</v>
      </c>
      <c r="I48" s="427">
        <f t="shared" si="4"/>
        <v>8</v>
      </c>
      <c r="J48" s="428">
        <f t="array" ref="J48">MAX((IF(MNU_CODIGO_ALIMENTO_ENTREGA=CONCATENATE($E48,"_","S_"),MNU_GRAMAJE_REQUERIDO_TIPOA,"")))</f>
        <v>100</v>
      </c>
      <c r="K48" s="229">
        <f t="shared" si="5"/>
        <v>432</v>
      </c>
      <c r="L48" s="229">
        <f t="shared" si="6"/>
        <v>0</v>
      </c>
      <c r="M48" s="229">
        <f t="shared" si="7"/>
        <v>15552</v>
      </c>
      <c r="N48" s="454">
        <f t="shared" si="8"/>
        <v>194</v>
      </c>
      <c r="O48" s="454">
        <f t="shared" si="9"/>
        <v>9.4672000000000001</v>
      </c>
      <c r="P48" s="454">
        <f t="shared" si="10"/>
        <v>0.16684310399999999</v>
      </c>
      <c r="Q48" s="454">
        <f t="shared" si="11"/>
        <v>204</v>
      </c>
      <c r="R48" s="230">
        <f t="shared" si="12"/>
        <v>3017088</v>
      </c>
      <c r="S48" s="230">
        <f t="shared" si="13"/>
        <v>3172608</v>
      </c>
      <c r="T48" s="429">
        <f t="shared" si="14"/>
        <v>19</v>
      </c>
      <c r="U48" s="429">
        <f t="shared" si="15"/>
        <v>8</v>
      </c>
      <c r="V48" s="430">
        <f t="array" ref="V48">MAX((IF(MNU_CODIGO_ALIMENTO_ENTREGA=CONCATENATE($E48,"_","S_"),MNU_GRAMAJE_REQUERIDO_TIPOB,"")))</f>
        <v>100</v>
      </c>
      <c r="W48" s="397">
        <f t="shared" si="16"/>
        <v>406</v>
      </c>
      <c r="X48" s="397">
        <f t="shared" si="17"/>
        <v>0</v>
      </c>
      <c r="Y48" s="397">
        <f t="shared" si="18"/>
        <v>7714</v>
      </c>
      <c r="Z48" s="454">
        <f t="shared" si="19"/>
        <v>194</v>
      </c>
      <c r="AA48" s="454">
        <f t="shared" si="20"/>
        <v>9.4672000000000001</v>
      </c>
      <c r="AB48" s="454">
        <f t="shared" si="21"/>
        <v>0.16684310399999999</v>
      </c>
      <c r="AC48" s="454">
        <f t="shared" si="22"/>
        <v>204</v>
      </c>
      <c r="AD48" s="231">
        <f t="shared" si="23"/>
        <v>1496516</v>
      </c>
      <c r="AE48" s="231">
        <f t="shared" si="24"/>
        <v>1573656</v>
      </c>
      <c r="AF48" s="427">
        <f t="shared" si="25"/>
        <v>19</v>
      </c>
      <c r="AG48" s="427">
        <f t="shared" si="26"/>
        <v>8</v>
      </c>
      <c r="AH48" s="428">
        <f t="array" ref="AH48">MAX((IF(MNU_CODIGO_ALIMENTO_ENTREGA=CONCATENATE($E48,"_","S_"),MNU_GRAMAJE_REQUERIDO_TIPOC,"")))</f>
        <v>100</v>
      </c>
      <c r="AI48" s="229">
        <f t="shared" si="27"/>
        <v>1013</v>
      </c>
      <c r="AJ48" s="229">
        <f t="shared" si="28"/>
        <v>0</v>
      </c>
      <c r="AK48" s="229">
        <f t="shared" si="29"/>
        <v>19247</v>
      </c>
      <c r="AL48" s="454">
        <f t="shared" si="30"/>
        <v>194</v>
      </c>
      <c r="AM48" s="454">
        <f t="shared" si="31"/>
        <v>9.4672000000000001</v>
      </c>
      <c r="AN48" s="454">
        <f t="shared" si="32"/>
        <v>0.16684310399999999</v>
      </c>
      <c r="AO48" s="454">
        <f t="shared" si="33"/>
        <v>204</v>
      </c>
      <c r="AP48" s="454">
        <f t="shared" si="34"/>
        <v>3733918</v>
      </c>
      <c r="AQ48" s="230">
        <f t="shared" si="35"/>
        <v>3926388</v>
      </c>
      <c r="AR48" s="397">
        <f t="shared" si="36"/>
        <v>8247522</v>
      </c>
      <c r="AS48" s="397">
        <f t="shared" si="37"/>
        <v>8672652</v>
      </c>
    </row>
    <row r="49" spans="1:45" ht="15.75">
      <c r="A49" s="228">
        <v>3</v>
      </c>
      <c r="B49" s="228" t="str">
        <f t="shared" si="1"/>
        <v>FRUTA_3</v>
      </c>
      <c r="C49" s="338" t="str">
        <f t="shared" si="2"/>
        <v>43_3</v>
      </c>
      <c r="D49" s="398" t="s">
        <v>1</v>
      </c>
      <c r="E49" s="228">
        <v>43</v>
      </c>
      <c r="F49" s="332" t="s">
        <v>62</v>
      </c>
      <c r="G49" s="228" t="s">
        <v>9</v>
      </c>
      <c r="H49" s="427">
        <f t="shared" si="3"/>
        <v>29</v>
      </c>
      <c r="I49" s="427">
        <f t="shared" si="4"/>
        <v>6</v>
      </c>
      <c r="J49" s="428">
        <f t="array" ref="J49">MAX((IF(MNU_CODIGO_ALIMENTO_ENTREGA=CONCATENATE($E49,"_","S_"),MNU_GRAMAJE_REQUERIDO_TIPOA,"")))</f>
        <v>100</v>
      </c>
      <c r="K49" s="229">
        <f t="shared" si="5"/>
        <v>432</v>
      </c>
      <c r="L49" s="229">
        <f t="shared" si="6"/>
        <v>0</v>
      </c>
      <c r="M49" s="229">
        <f t="shared" si="7"/>
        <v>12528</v>
      </c>
      <c r="N49" s="454">
        <f t="shared" si="8"/>
        <v>170</v>
      </c>
      <c r="O49" s="454">
        <f t="shared" si="9"/>
        <v>8.2959999999999994</v>
      </c>
      <c r="P49" s="454">
        <f t="shared" si="10"/>
        <v>0.14620272000000001</v>
      </c>
      <c r="Q49" s="454">
        <f t="shared" si="11"/>
        <v>178</v>
      </c>
      <c r="R49" s="230">
        <f t="shared" si="12"/>
        <v>2129760</v>
      </c>
      <c r="S49" s="230">
        <f t="shared" si="13"/>
        <v>2229984</v>
      </c>
      <c r="T49" s="429">
        <f t="shared" si="14"/>
        <v>23</v>
      </c>
      <c r="U49" s="429">
        <f t="shared" si="15"/>
        <v>1</v>
      </c>
      <c r="V49" s="430">
        <f t="array" ref="V49">MAX((IF(MNU_CODIGO_ALIMENTO_ENTREGA=CONCATENATE($E49,"_","S_"),MNU_GRAMAJE_REQUERIDO_TIPOB,"")))</f>
        <v>100</v>
      </c>
      <c r="W49" s="397">
        <f t="shared" si="16"/>
        <v>406</v>
      </c>
      <c r="X49" s="397">
        <f t="shared" si="17"/>
        <v>0</v>
      </c>
      <c r="Y49" s="397">
        <f t="shared" si="18"/>
        <v>9338</v>
      </c>
      <c r="Z49" s="454">
        <f t="shared" si="19"/>
        <v>170</v>
      </c>
      <c r="AA49" s="454">
        <f t="shared" si="20"/>
        <v>8.2959999999999994</v>
      </c>
      <c r="AB49" s="454">
        <f t="shared" si="21"/>
        <v>0.14620272000000001</v>
      </c>
      <c r="AC49" s="454">
        <f t="shared" si="22"/>
        <v>178</v>
      </c>
      <c r="AD49" s="231">
        <f t="shared" si="23"/>
        <v>1587460</v>
      </c>
      <c r="AE49" s="231">
        <f t="shared" si="24"/>
        <v>1662164</v>
      </c>
      <c r="AF49" s="427">
        <f t="shared" si="25"/>
        <v>23</v>
      </c>
      <c r="AG49" s="427">
        <f t="shared" si="26"/>
        <v>1</v>
      </c>
      <c r="AH49" s="428">
        <f t="array" ref="AH49">MAX((IF(MNU_CODIGO_ALIMENTO_ENTREGA=CONCATENATE($E49,"_","S_"),MNU_GRAMAJE_REQUERIDO_TIPOC,"")))</f>
        <v>100</v>
      </c>
      <c r="AI49" s="229">
        <f t="shared" si="27"/>
        <v>1013</v>
      </c>
      <c r="AJ49" s="229">
        <f t="shared" si="28"/>
        <v>0</v>
      </c>
      <c r="AK49" s="229">
        <f t="shared" si="29"/>
        <v>23299</v>
      </c>
      <c r="AL49" s="454">
        <f t="shared" si="30"/>
        <v>170</v>
      </c>
      <c r="AM49" s="454">
        <f t="shared" si="31"/>
        <v>8.2959999999999994</v>
      </c>
      <c r="AN49" s="454">
        <f t="shared" si="32"/>
        <v>0.14620272000000001</v>
      </c>
      <c r="AO49" s="454">
        <f t="shared" si="33"/>
        <v>178</v>
      </c>
      <c r="AP49" s="454">
        <f t="shared" si="34"/>
        <v>3960830</v>
      </c>
      <c r="AQ49" s="230">
        <f t="shared" si="35"/>
        <v>4147222</v>
      </c>
      <c r="AR49" s="397">
        <f t="shared" si="36"/>
        <v>7678050</v>
      </c>
      <c r="AS49" s="397">
        <f t="shared" si="37"/>
        <v>8039370</v>
      </c>
    </row>
    <row r="50" spans="1:45" ht="15.75">
      <c r="A50" s="228">
        <v>3</v>
      </c>
      <c r="B50" s="228" t="str">
        <f t="shared" si="1"/>
        <v>FRUTA_3</v>
      </c>
      <c r="C50" s="338" t="str">
        <f t="shared" si="2"/>
        <v>46_3</v>
      </c>
      <c r="D50" s="398" t="s">
        <v>1</v>
      </c>
      <c r="E50" s="228">
        <v>46</v>
      </c>
      <c r="F50" s="332" t="s">
        <v>64</v>
      </c>
      <c r="G50" s="228" t="s">
        <v>9</v>
      </c>
      <c r="H50" s="427">
        <f t="shared" si="3"/>
        <v>29</v>
      </c>
      <c r="I50" s="427">
        <f t="shared" si="4"/>
        <v>4</v>
      </c>
      <c r="J50" s="428">
        <f t="array" ref="J50">MAX((IF(MNU_CODIGO_ALIMENTO_ENTREGA=CONCATENATE($E50,"_","S_"),MNU_GRAMAJE_REQUERIDO_TIPOA,"")))</f>
        <v>100</v>
      </c>
      <c r="K50" s="229">
        <f t="shared" si="5"/>
        <v>432</v>
      </c>
      <c r="L50" s="229">
        <f t="shared" si="6"/>
        <v>0</v>
      </c>
      <c r="M50" s="229">
        <f t="shared" si="7"/>
        <v>12528</v>
      </c>
      <c r="N50" s="454">
        <f t="shared" si="8"/>
        <v>398</v>
      </c>
      <c r="O50" s="454">
        <f t="shared" si="9"/>
        <v>19.4224</v>
      </c>
      <c r="P50" s="454">
        <f t="shared" si="10"/>
        <v>0.34228636800000001</v>
      </c>
      <c r="Q50" s="454">
        <f t="shared" si="11"/>
        <v>418</v>
      </c>
      <c r="R50" s="230">
        <f t="shared" si="12"/>
        <v>4986144</v>
      </c>
      <c r="S50" s="230">
        <f t="shared" si="13"/>
        <v>5236704</v>
      </c>
      <c r="T50" s="429">
        <f t="shared" si="14"/>
        <v>24</v>
      </c>
      <c r="U50" s="429">
        <f t="shared" si="15"/>
        <v>3</v>
      </c>
      <c r="V50" s="430">
        <f t="array" ref="V50">MAX((IF(MNU_CODIGO_ALIMENTO_ENTREGA=CONCATENATE($E50,"_","S_"),MNU_GRAMAJE_REQUERIDO_TIPOB,"")))</f>
        <v>100</v>
      </c>
      <c r="W50" s="397">
        <f t="shared" si="16"/>
        <v>406</v>
      </c>
      <c r="X50" s="397">
        <f t="shared" si="17"/>
        <v>0</v>
      </c>
      <c r="Y50" s="397">
        <f t="shared" si="18"/>
        <v>9744</v>
      </c>
      <c r="Z50" s="454">
        <f t="shared" si="19"/>
        <v>398</v>
      </c>
      <c r="AA50" s="454">
        <f t="shared" si="20"/>
        <v>19.4224</v>
      </c>
      <c r="AB50" s="454">
        <f t="shared" si="21"/>
        <v>0.34228636800000001</v>
      </c>
      <c r="AC50" s="454">
        <f t="shared" si="22"/>
        <v>418</v>
      </c>
      <c r="AD50" s="231">
        <f t="shared" si="23"/>
        <v>3878112</v>
      </c>
      <c r="AE50" s="231">
        <f t="shared" si="24"/>
        <v>4072992</v>
      </c>
      <c r="AF50" s="427">
        <f t="shared" si="25"/>
        <v>24</v>
      </c>
      <c r="AG50" s="427">
        <f t="shared" si="26"/>
        <v>3</v>
      </c>
      <c r="AH50" s="428">
        <f t="array" ref="AH50">MAX((IF(MNU_CODIGO_ALIMENTO_ENTREGA=CONCATENATE($E50,"_","S_"),MNU_GRAMAJE_REQUERIDO_TIPOC,"")))</f>
        <v>100</v>
      </c>
      <c r="AI50" s="229">
        <f t="shared" si="27"/>
        <v>1013</v>
      </c>
      <c r="AJ50" s="229">
        <f t="shared" si="28"/>
        <v>0</v>
      </c>
      <c r="AK50" s="229">
        <f t="shared" si="29"/>
        <v>24312</v>
      </c>
      <c r="AL50" s="454">
        <f t="shared" si="30"/>
        <v>398</v>
      </c>
      <c r="AM50" s="454">
        <f t="shared" si="31"/>
        <v>19.4224</v>
      </c>
      <c r="AN50" s="454">
        <f t="shared" si="32"/>
        <v>0.34228636800000001</v>
      </c>
      <c r="AO50" s="454">
        <f t="shared" si="33"/>
        <v>418</v>
      </c>
      <c r="AP50" s="454">
        <f t="shared" si="34"/>
        <v>9676176</v>
      </c>
      <c r="AQ50" s="230">
        <f t="shared" si="35"/>
        <v>10162416</v>
      </c>
      <c r="AR50" s="397">
        <f t="shared" si="36"/>
        <v>18540432</v>
      </c>
      <c r="AS50" s="397">
        <f t="shared" si="37"/>
        <v>19472112</v>
      </c>
    </row>
    <row r="51" spans="1:45" ht="15.75">
      <c r="A51" s="228">
        <v>3</v>
      </c>
      <c r="B51" s="228" t="str">
        <f t="shared" si="1"/>
        <v>FRUTA_3</v>
      </c>
      <c r="C51" s="338" t="str">
        <f t="shared" si="2"/>
        <v>58_3</v>
      </c>
      <c r="D51" s="398" t="s">
        <v>1</v>
      </c>
      <c r="E51" s="228">
        <v>58</v>
      </c>
      <c r="F51" s="332" t="s">
        <v>67</v>
      </c>
      <c r="G51" s="228" t="s">
        <v>9</v>
      </c>
      <c r="H51" s="427">
        <f t="shared" si="3"/>
        <v>28</v>
      </c>
      <c r="I51" s="427">
        <f t="shared" si="4"/>
        <v>5</v>
      </c>
      <c r="J51" s="428">
        <f t="array" ref="J51">MAX((IF(MNU_CODIGO_ALIMENTO_ENTREGA=CONCATENATE($E51,"_","S_"),MNU_GRAMAJE_REQUERIDO_TIPOA,"")))</f>
        <v>100</v>
      </c>
      <c r="K51" s="229">
        <f t="shared" si="5"/>
        <v>432</v>
      </c>
      <c r="L51" s="229">
        <f t="shared" si="6"/>
        <v>0</v>
      </c>
      <c r="M51" s="229">
        <f t="shared" si="7"/>
        <v>12096</v>
      </c>
      <c r="N51" s="454">
        <f t="shared" si="8"/>
        <v>154</v>
      </c>
      <c r="O51" s="454">
        <f t="shared" si="9"/>
        <v>7.515200000000001</v>
      </c>
      <c r="P51" s="454">
        <f t="shared" si="10"/>
        <v>0.13244246400000001</v>
      </c>
      <c r="Q51" s="454">
        <f t="shared" si="11"/>
        <v>162</v>
      </c>
      <c r="R51" s="230">
        <f t="shared" si="12"/>
        <v>1862784</v>
      </c>
      <c r="S51" s="230">
        <f t="shared" si="13"/>
        <v>1959552</v>
      </c>
      <c r="T51" s="429">
        <f t="shared" si="14"/>
        <v>23</v>
      </c>
      <c r="U51" s="429">
        <f t="shared" si="15"/>
        <v>3</v>
      </c>
      <c r="V51" s="430">
        <f t="array" ref="V51">MAX((IF(MNU_CODIGO_ALIMENTO_ENTREGA=CONCATENATE($E51,"_","S_"),MNU_GRAMAJE_REQUERIDO_TIPOB,"")))</f>
        <v>100</v>
      </c>
      <c r="W51" s="397">
        <f t="shared" si="16"/>
        <v>406</v>
      </c>
      <c r="X51" s="397">
        <f t="shared" si="17"/>
        <v>0</v>
      </c>
      <c r="Y51" s="397">
        <f t="shared" si="18"/>
        <v>9338</v>
      </c>
      <c r="Z51" s="454">
        <f t="shared" si="19"/>
        <v>154</v>
      </c>
      <c r="AA51" s="454">
        <f t="shared" si="20"/>
        <v>7.515200000000001</v>
      </c>
      <c r="AB51" s="454">
        <f t="shared" si="21"/>
        <v>0.13244246400000001</v>
      </c>
      <c r="AC51" s="454">
        <f t="shared" si="22"/>
        <v>162</v>
      </c>
      <c r="AD51" s="231">
        <f t="shared" si="23"/>
        <v>1438052</v>
      </c>
      <c r="AE51" s="231">
        <f t="shared" si="24"/>
        <v>1512756</v>
      </c>
      <c r="AF51" s="427">
        <f t="shared" si="25"/>
        <v>23</v>
      </c>
      <c r="AG51" s="427">
        <f t="shared" si="26"/>
        <v>3</v>
      </c>
      <c r="AH51" s="428">
        <f t="array" ref="AH51">MAX((IF(MNU_CODIGO_ALIMENTO_ENTREGA=CONCATENATE($E51,"_","S_"),MNU_GRAMAJE_REQUERIDO_TIPOC,"")))</f>
        <v>100</v>
      </c>
      <c r="AI51" s="229">
        <f t="shared" si="27"/>
        <v>1013</v>
      </c>
      <c r="AJ51" s="229">
        <f t="shared" si="28"/>
        <v>0</v>
      </c>
      <c r="AK51" s="229">
        <f t="shared" si="29"/>
        <v>23299</v>
      </c>
      <c r="AL51" s="454">
        <f t="shared" si="30"/>
        <v>154</v>
      </c>
      <c r="AM51" s="454">
        <f t="shared" si="31"/>
        <v>7.515200000000001</v>
      </c>
      <c r="AN51" s="454">
        <f t="shared" si="32"/>
        <v>0.13244246400000001</v>
      </c>
      <c r="AO51" s="454">
        <f t="shared" si="33"/>
        <v>162</v>
      </c>
      <c r="AP51" s="454">
        <f t="shared" si="34"/>
        <v>3588046</v>
      </c>
      <c r="AQ51" s="230">
        <f t="shared" si="35"/>
        <v>3774438</v>
      </c>
      <c r="AR51" s="397">
        <f t="shared" si="36"/>
        <v>6888882</v>
      </c>
      <c r="AS51" s="397">
        <f t="shared" si="37"/>
        <v>7246746</v>
      </c>
    </row>
    <row r="52" spans="1:45" ht="15.75">
      <c r="A52" s="228">
        <v>3</v>
      </c>
      <c r="B52" s="228" t="str">
        <f t="shared" ref="B52:B115" si="38">CONCATENATE(D52,"_",A52)</f>
        <v>FRUTA_3</v>
      </c>
      <c r="C52" s="338" t="str">
        <f t="shared" ref="C52:C115" si="39">CONCATENATE(E52,"_",A52)</f>
        <v>59_3</v>
      </c>
      <c r="D52" s="398" t="s">
        <v>1</v>
      </c>
      <c r="E52" s="228">
        <v>59</v>
      </c>
      <c r="F52" s="332" t="s">
        <v>99</v>
      </c>
      <c r="G52" s="228" t="s">
        <v>9</v>
      </c>
      <c r="H52" s="427">
        <f t="shared" ref="H52:H115" si="40">SUMIF(MNU_CODIGO_ALIMENTO_ENTREGA,CONCATENATE($E52,"_","S_"),MNU_FRECUENCIAS_LAV_TIPOA)</f>
        <v>0</v>
      </c>
      <c r="I52" s="427">
        <f t="shared" ref="I52:I115" si="41">SUMIF(MNU_CODIGO_ALIMENTO_ENTREGA,CONCATENATE($E52,"_","S_"),MNU_FRECUENCIAS_FDS_TIPOA)</f>
        <v>0</v>
      </c>
      <c r="J52" s="428">
        <f t="array" ref="J52">MAX((IF(MNU_CODIGO_ALIMENTO_ENTREGA=CONCATENATE($E52,"_","S_"),MNU_GRAMAJE_REQUERIDO_TIPOA,"")))</f>
        <v>0</v>
      </c>
      <c r="K52" s="229">
        <f t="shared" ref="K52:K115" si="42">SUMIF(VOL_GRUPO,CONCATENATE($A52,"1052-2NO"),VOL_TIPOA)</f>
        <v>432</v>
      </c>
      <c r="L52" s="229">
        <f t="shared" ref="L52:L115" si="43">SUMIF(VOL_GRUPO,CONCATENATE($A52,"1052-2SI"),VOL_TIPOA)</f>
        <v>0</v>
      </c>
      <c r="M52" s="229">
        <f t="shared" ref="M52:M115" si="44">(H52*K52)+(I52*L52)</f>
        <v>0</v>
      </c>
      <c r="N52" s="454">
        <f t="shared" ref="N52:N115" si="45">IF(ISERROR(AVERAGEIFS(MNU_COSTO_UNITARIO_TIPOA_SELECCIONADO,MNU_CODIGO_ALIMENTO_ENTREGA,CONCATENATE($E52,"_","S_"))),0,AVERAGEIFS(MNU_COSTO_UNITARIO_TIPOA_SELECCIONADO,MNU_CODIGO_ALIMENTO_ENTREGA,CONCATENATE($E52,"_","S_")))</f>
        <v>0</v>
      </c>
      <c r="O52" s="454">
        <f t="shared" ref="O52:O115" si="46">(N52*0.01)+(N52*0.005)+(N52*0.02)+(N52*(13.8/1000))</f>
        <v>0</v>
      </c>
      <c r="P52" s="454">
        <f t="shared" ref="P52:P115" si="47">((N52+O52)*0.00071)+((N52+O52)*0.00011)</f>
        <v>0</v>
      </c>
      <c r="Q52" s="454">
        <f t="shared" ref="Q52:Q115" si="48">ROUND(N52+O52+P52,0)</f>
        <v>0</v>
      </c>
      <c r="R52" s="230">
        <f t="shared" ref="R52:R115" si="49">(H52*K52*N52)+(I52*L52*N52)</f>
        <v>0</v>
      </c>
      <c r="S52" s="230">
        <f t="shared" ref="S52:S115" si="50">(H52*K52*Q52)+(I52*L52*Q52)</f>
        <v>0</v>
      </c>
      <c r="T52" s="429">
        <f t="shared" ref="T52:T115" si="51">SUMIF(MNU_CODIGO_ALIMENTO_ENTREGA,CONCATENATE($E52,"_","S_"),MNU_FRECUENCIAS_LAV_TIPOB)</f>
        <v>11</v>
      </c>
      <c r="U52" s="429">
        <f t="shared" ref="U52:U115" si="52">SUMIF(MNU_CODIGO_ALIMENTO_ENTREGA,CONCATENATE($E52,"_","S_"),MNU_FRECUENCIAS_FDS_TIPOB)</f>
        <v>0</v>
      </c>
      <c r="V52" s="430">
        <f t="array" ref="V52">MAX((IF(MNU_CODIGO_ALIMENTO_ENTREGA=CONCATENATE($E52,"_","S_"),MNU_GRAMAJE_REQUERIDO_TIPOB,"")))</f>
        <v>100</v>
      </c>
      <c r="W52" s="397">
        <f t="shared" ref="W52:W115" si="53">SUMIF(VOL_GRUPO,CONCATENATE($A52,"1052-2NO"),VOL_TIPOB)</f>
        <v>406</v>
      </c>
      <c r="X52" s="397">
        <f t="shared" ref="X52:X115" si="54">SUMIF(VOL_GRUPO,CONCATENATE($A52,"1052-2SI"),VOL_TIPOB)</f>
        <v>0</v>
      </c>
      <c r="Y52" s="397">
        <f t="shared" ref="Y52:Y115" si="55">(T52*W52)+(U52*X52)</f>
        <v>4466</v>
      </c>
      <c r="Z52" s="454">
        <f t="shared" ref="Z52:Z115" si="56">IF(ISERROR(AVERAGEIFS(MNU_COSTO_UNITARIO_TIPOB_SELECCIONADO,MNU_CODIGO_ALIMENTO_ENTREGA,CONCATENATE($E52,"_","S_"))),0,AVERAGEIFS(MNU_COSTO_UNITARIO_TIPOB_SELECCIONADO,MNU_CODIGO_ALIMENTO_ENTREGA,CONCATENATE($E52,"_","S_")))</f>
        <v>286</v>
      </c>
      <c r="AA52" s="454">
        <f t="shared" ref="AA52:AA115" si="57">(Z52*0.01)+(Z52*0.005)+(Z52*0.02)+(Z52*(13.8/1000))</f>
        <v>13.956800000000001</v>
      </c>
      <c r="AB52" s="454">
        <f t="shared" ref="AB52:AB115" si="58">((Z52+AA52)*0.00071)+((Z52+AA52)*0.00011)</f>
        <v>0.24596457599999999</v>
      </c>
      <c r="AC52" s="454">
        <f t="shared" ref="AC52:AC115" si="59">ROUND(Z52+AA52+AB52,0)</f>
        <v>300</v>
      </c>
      <c r="AD52" s="231">
        <f t="shared" ref="AD52:AD115" si="60">(T52*W52*Z52)+(U52*X52*Z52)</f>
        <v>1277276</v>
      </c>
      <c r="AE52" s="231">
        <f t="shared" ref="AE52:AE115" si="61">(T52*W52*AC52)+(U52*X52*AC52)</f>
        <v>1339800</v>
      </c>
      <c r="AF52" s="427">
        <f t="shared" ref="AF52:AF115" si="62">SUMIF(MNU_CODIGO_ALIMENTO_ENTREGA,CONCATENATE($E52,"_","S_"),MNU_FRECUENCIAS_LAV_TIPOC)</f>
        <v>11</v>
      </c>
      <c r="AG52" s="427">
        <f t="shared" ref="AG52:AG115" si="63">SUMIF(MNU_CODIGO_ALIMENTO_ENTREGA,CONCATENATE($E52,"_","S_"),MNU_FRECUENCIAS_FDS_TIPOC)</f>
        <v>0</v>
      </c>
      <c r="AH52" s="428">
        <f t="array" ref="AH52">MAX((IF(MNU_CODIGO_ALIMENTO_ENTREGA=CONCATENATE($E52,"_","S_"),MNU_GRAMAJE_REQUERIDO_TIPOC,"")))</f>
        <v>100</v>
      </c>
      <c r="AI52" s="229">
        <f t="shared" ref="AI52:AI115" si="64">SUMIF(VOL_GRUPO,CONCATENATE($A52,"1052-2NO"),VOL_TIPOC)</f>
        <v>1013</v>
      </c>
      <c r="AJ52" s="229">
        <f t="shared" ref="AJ52:AJ115" si="65">SUMIF(VOL_GRUPO,CONCATENATE($A52,"1052-2SI"),VOL_TIPOC)</f>
        <v>0</v>
      </c>
      <c r="AK52" s="229">
        <f t="shared" ref="AK52:AK115" si="66">(AF52*AI52)+(AG52*AJ52)</f>
        <v>11143</v>
      </c>
      <c r="AL52" s="454">
        <f t="shared" ref="AL52:AL115" si="67">IF(ISERROR(AVERAGEIFS(MNU_COSTO_UNITARIO_TIPOC_SELECCIONADO,MNU_CODIGO_ALIMENTO_ENTREGA,CONCATENATE($E52,"_","S_"))),0,AVERAGEIFS(MNU_COSTO_UNITARIO_TIPOC_SELECCIONADO,MNU_CODIGO_ALIMENTO_ENTREGA,CONCATENATE($E52,"_","S_")))</f>
        <v>286</v>
      </c>
      <c r="AM52" s="454">
        <f t="shared" ref="AM52:AM115" si="68">(AL52*0.01)+(AL52*0.005)+(AL52*0.02)+(AL52*(13.8/1000))</f>
        <v>13.956800000000001</v>
      </c>
      <c r="AN52" s="454">
        <f t="shared" ref="AN52:AN115" si="69">((AL52+AM52)*0.00071)+((AL52+AM52)*0.00011)</f>
        <v>0.24596457599999999</v>
      </c>
      <c r="AO52" s="454">
        <f t="shared" ref="AO52:AO115" si="70">ROUND(AL52+AM52+AN52,0)</f>
        <v>300</v>
      </c>
      <c r="AP52" s="454">
        <f t="shared" ref="AP52:AP115" si="71">(AF52*AI52*AL52)+(AG52*AJ52*AL52)</f>
        <v>3186898</v>
      </c>
      <c r="AQ52" s="230">
        <f t="shared" ref="AQ52:AQ115" si="72">(AF52*AI52*AO52)+(AG52*AJ52*AO52)</f>
        <v>3342900</v>
      </c>
      <c r="AR52" s="397">
        <f t="shared" ref="AR52:AR115" si="73">R52+AD52+AP52</f>
        <v>4464174</v>
      </c>
      <c r="AS52" s="397">
        <f t="shared" ref="AS52:AS115" si="74">S52+AE52+AQ52</f>
        <v>4682700</v>
      </c>
    </row>
    <row r="53" spans="1:45" ht="15.75">
      <c r="A53" s="228">
        <v>3</v>
      </c>
      <c r="B53" s="228" t="str">
        <f t="shared" si="38"/>
        <v>FRUTA_3</v>
      </c>
      <c r="C53" s="338" t="str">
        <f t="shared" si="39"/>
        <v>69_3</v>
      </c>
      <c r="D53" s="398" t="s">
        <v>1</v>
      </c>
      <c r="E53" s="228">
        <v>69</v>
      </c>
      <c r="F53" s="332" t="s">
        <v>70</v>
      </c>
      <c r="G53" s="228" t="s">
        <v>9</v>
      </c>
      <c r="H53" s="427">
        <f t="shared" si="40"/>
        <v>18</v>
      </c>
      <c r="I53" s="427">
        <f t="shared" si="41"/>
        <v>2</v>
      </c>
      <c r="J53" s="428">
        <f t="array" ref="J53">MAX((IF(MNU_CODIGO_ALIMENTO_ENTREGA=CONCATENATE($E53,"_","S_"),MNU_GRAMAJE_REQUERIDO_TIPOA,"")))</f>
        <v>100</v>
      </c>
      <c r="K53" s="229">
        <f t="shared" si="42"/>
        <v>432</v>
      </c>
      <c r="L53" s="229">
        <f t="shared" si="43"/>
        <v>0</v>
      </c>
      <c r="M53" s="229">
        <f t="shared" si="44"/>
        <v>7776</v>
      </c>
      <c r="N53" s="454">
        <f t="shared" si="45"/>
        <v>305</v>
      </c>
      <c r="O53" s="454">
        <f t="shared" si="46"/>
        <v>14.884</v>
      </c>
      <c r="P53" s="454">
        <f t="shared" si="47"/>
        <v>0.26230488000000002</v>
      </c>
      <c r="Q53" s="454">
        <f t="shared" si="48"/>
        <v>320</v>
      </c>
      <c r="R53" s="230">
        <f t="shared" si="49"/>
        <v>2371680</v>
      </c>
      <c r="S53" s="230">
        <f t="shared" si="50"/>
        <v>2488320</v>
      </c>
      <c r="T53" s="429">
        <f t="shared" si="51"/>
        <v>12</v>
      </c>
      <c r="U53" s="429">
        <f t="shared" si="52"/>
        <v>2</v>
      </c>
      <c r="V53" s="430">
        <f t="array" ref="V53">MAX((IF(MNU_CODIGO_ALIMENTO_ENTREGA=CONCATENATE($E53,"_","S_"),MNU_GRAMAJE_REQUERIDO_TIPOB,"")))</f>
        <v>100</v>
      </c>
      <c r="W53" s="397">
        <f t="shared" si="53"/>
        <v>406</v>
      </c>
      <c r="X53" s="397">
        <f t="shared" si="54"/>
        <v>0</v>
      </c>
      <c r="Y53" s="397">
        <f t="shared" si="55"/>
        <v>4872</v>
      </c>
      <c r="Z53" s="454">
        <f t="shared" si="56"/>
        <v>305</v>
      </c>
      <c r="AA53" s="454">
        <f t="shared" si="57"/>
        <v>14.884</v>
      </c>
      <c r="AB53" s="454">
        <f t="shared" si="58"/>
        <v>0.26230488000000002</v>
      </c>
      <c r="AC53" s="454">
        <f t="shared" si="59"/>
        <v>320</v>
      </c>
      <c r="AD53" s="231">
        <f t="shared" si="60"/>
        <v>1485960</v>
      </c>
      <c r="AE53" s="231">
        <f t="shared" si="61"/>
        <v>1559040</v>
      </c>
      <c r="AF53" s="427">
        <f t="shared" si="62"/>
        <v>12</v>
      </c>
      <c r="AG53" s="427">
        <f t="shared" si="63"/>
        <v>2</v>
      </c>
      <c r="AH53" s="428">
        <f t="array" ref="AH53">MAX((IF(MNU_CODIGO_ALIMENTO_ENTREGA=CONCATENATE($E53,"_","S_"),MNU_GRAMAJE_REQUERIDO_TIPOC,"")))</f>
        <v>100</v>
      </c>
      <c r="AI53" s="229">
        <f t="shared" si="64"/>
        <v>1013</v>
      </c>
      <c r="AJ53" s="229">
        <f t="shared" si="65"/>
        <v>0</v>
      </c>
      <c r="AK53" s="229">
        <f t="shared" si="66"/>
        <v>12156</v>
      </c>
      <c r="AL53" s="454">
        <f t="shared" si="67"/>
        <v>305</v>
      </c>
      <c r="AM53" s="454">
        <f t="shared" si="68"/>
        <v>14.884</v>
      </c>
      <c r="AN53" s="454">
        <f t="shared" si="69"/>
        <v>0.26230488000000002</v>
      </c>
      <c r="AO53" s="454">
        <f t="shared" si="70"/>
        <v>320</v>
      </c>
      <c r="AP53" s="454">
        <f t="shared" si="71"/>
        <v>3707580</v>
      </c>
      <c r="AQ53" s="230">
        <f t="shared" si="72"/>
        <v>3889920</v>
      </c>
      <c r="AR53" s="397">
        <f t="shared" si="73"/>
        <v>7565220</v>
      </c>
      <c r="AS53" s="397">
        <f t="shared" si="74"/>
        <v>7937280</v>
      </c>
    </row>
    <row r="54" spans="1:45" ht="15.75">
      <c r="A54" s="228">
        <v>3</v>
      </c>
      <c r="B54" s="228" t="str">
        <f t="shared" si="38"/>
        <v>FRUTA_3</v>
      </c>
      <c r="C54" s="338" t="str">
        <f t="shared" si="39"/>
        <v>70_3</v>
      </c>
      <c r="D54" s="398" t="s">
        <v>1</v>
      </c>
      <c r="E54" s="228">
        <v>70</v>
      </c>
      <c r="F54" s="332" t="s">
        <v>71</v>
      </c>
      <c r="G54" s="228" t="s">
        <v>9</v>
      </c>
      <c r="H54" s="427">
        <f t="shared" si="40"/>
        <v>0</v>
      </c>
      <c r="I54" s="427">
        <f t="shared" si="41"/>
        <v>0</v>
      </c>
      <c r="J54" s="428">
        <f t="array" ref="J54">MAX((IF(MNU_CODIGO_ALIMENTO_ENTREGA=CONCATENATE($E54,"_","S_"),MNU_GRAMAJE_REQUERIDO_TIPOA,"")))</f>
        <v>0</v>
      </c>
      <c r="K54" s="229">
        <f t="shared" si="42"/>
        <v>432</v>
      </c>
      <c r="L54" s="229">
        <f t="shared" si="43"/>
        <v>0</v>
      </c>
      <c r="M54" s="229">
        <f t="shared" si="44"/>
        <v>0</v>
      </c>
      <c r="N54" s="454">
        <f t="shared" si="45"/>
        <v>0</v>
      </c>
      <c r="O54" s="454">
        <f t="shared" si="46"/>
        <v>0</v>
      </c>
      <c r="P54" s="454">
        <f t="shared" si="47"/>
        <v>0</v>
      </c>
      <c r="Q54" s="454">
        <f t="shared" si="48"/>
        <v>0</v>
      </c>
      <c r="R54" s="230">
        <f t="shared" si="49"/>
        <v>0</v>
      </c>
      <c r="S54" s="230">
        <f t="shared" si="50"/>
        <v>0</v>
      </c>
      <c r="T54" s="429">
        <f t="shared" si="51"/>
        <v>8</v>
      </c>
      <c r="U54" s="429">
        <f t="shared" si="52"/>
        <v>4</v>
      </c>
      <c r="V54" s="430">
        <f t="array" ref="V54">MAX((IF(MNU_CODIGO_ALIMENTO_ENTREGA=CONCATENATE($E54,"_","S_"),MNU_GRAMAJE_REQUERIDO_TIPOB,"")))</f>
        <v>100</v>
      </c>
      <c r="W54" s="397">
        <f t="shared" si="53"/>
        <v>406</v>
      </c>
      <c r="X54" s="397">
        <f t="shared" si="54"/>
        <v>0</v>
      </c>
      <c r="Y54" s="397">
        <f t="shared" si="55"/>
        <v>3248</v>
      </c>
      <c r="Z54" s="454">
        <f t="shared" si="56"/>
        <v>434</v>
      </c>
      <c r="AA54" s="454">
        <f t="shared" si="57"/>
        <v>21.179200000000002</v>
      </c>
      <c r="AB54" s="454">
        <f t="shared" si="58"/>
        <v>0.37324694399999997</v>
      </c>
      <c r="AC54" s="454">
        <f t="shared" si="59"/>
        <v>456</v>
      </c>
      <c r="AD54" s="231">
        <f t="shared" si="60"/>
        <v>1409632</v>
      </c>
      <c r="AE54" s="231">
        <f t="shared" si="61"/>
        <v>1481088</v>
      </c>
      <c r="AF54" s="427">
        <f t="shared" si="62"/>
        <v>8</v>
      </c>
      <c r="AG54" s="427">
        <f t="shared" si="63"/>
        <v>4</v>
      </c>
      <c r="AH54" s="428">
        <f t="array" ref="AH54">MAX((IF(MNU_CODIGO_ALIMENTO_ENTREGA=CONCATENATE($E54,"_","S_"),MNU_GRAMAJE_REQUERIDO_TIPOC,"")))</f>
        <v>100</v>
      </c>
      <c r="AI54" s="229">
        <f t="shared" si="64"/>
        <v>1013</v>
      </c>
      <c r="AJ54" s="229">
        <f t="shared" si="65"/>
        <v>0</v>
      </c>
      <c r="AK54" s="229">
        <f t="shared" si="66"/>
        <v>8104</v>
      </c>
      <c r="AL54" s="454">
        <f t="shared" si="67"/>
        <v>434</v>
      </c>
      <c r="AM54" s="454">
        <f t="shared" si="68"/>
        <v>21.179200000000002</v>
      </c>
      <c r="AN54" s="454">
        <f t="shared" si="69"/>
        <v>0.37324694399999997</v>
      </c>
      <c r="AO54" s="454">
        <f t="shared" si="70"/>
        <v>456</v>
      </c>
      <c r="AP54" s="454">
        <f t="shared" si="71"/>
        <v>3517136</v>
      </c>
      <c r="AQ54" s="230">
        <f t="shared" si="72"/>
        <v>3695424</v>
      </c>
      <c r="AR54" s="397">
        <f t="shared" si="73"/>
        <v>4926768</v>
      </c>
      <c r="AS54" s="397">
        <f t="shared" si="74"/>
        <v>5176512</v>
      </c>
    </row>
    <row r="55" spans="1:45" ht="15.75">
      <c r="A55" s="228">
        <v>4</v>
      </c>
      <c r="B55" s="228" t="str">
        <f t="shared" si="38"/>
        <v>FRUTA_4</v>
      </c>
      <c r="C55" s="338" t="str">
        <f t="shared" si="39"/>
        <v>7_4</v>
      </c>
      <c r="D55" s="398" t="s">
        <v>1</v>
      </c>
      <c r="E55" s="228">
        <v>7</v>
      </c>
      <c r="F55" s="332" t="s">
        <v>57</v>
      </c>
      <c r="G55" s="228" t="s">
        <v>9</v>
      </c>
      <c r="H55" s="427">
        <f t="shared" si="40"/>
        <v>31</v>
      </c>
      <c r="I55" s="427">
        <f t="shared" si="41"/>
        <v>0</v>
      </c>
      <c r="J55" s="428">
        <f t="array" ref="J55">MAX((IF(MNU_CODIGO_ALIMENTO_ENTREGA=CONCATENATE($E55,"_","S_"),MNU_GRAMAJE_REQUERIDO_TIPOA,"")))</f>
        <v>100</v>
      </c>
      <c r="K55" s="229">
        <f t="shared" si="42"/>
        <v>452</v>
      </c>
      <c r="L55" s="229">
        <f t="shared" si="43"/>
        <v>0</v>
      </c>
      <c r="M55" s="229">
        <f t="shared" si="44"/>
        <v>14012</v>
      </c>
      <c r="N55" s="454">
        <f t="shared" si="45"/>
        <v>107</v>
      </c>
      <c r="O55" s="454">
        <f t="shared" si="46"/>
        <v>5.2216000000000005</v>
      </c>
      <c r="P55" s="454">
        <f t="shared" si="47"/>
        <v>9.2021712000000006E-2</v>
      </c>
      <c r="Q55" s="454">
        <f t="shared" si="48"/>
        <v>112</v>
      </c>
      <c r="R55" s="230">
        <f t="shared" si="49"/>
        <v>1499284</v>
      </c>
      <c r="S55" s="230">
        <f t="shared" si="50"/>
        <v>1569344</v>
      </c>
      <c r="T55" s="429">
        <f t="shared" si="51"/>
        <v>11</v>
      </c>
      <c r="U55" s="429">
        <f t="shared" si="52"/>
        <v>0</v>
      </c>
      <c r="V55" s="430">
        <f t="array" ref="V55">MAX((IF(MNU_CODIGO_ALIMENTO_ENTREGA=CONCATENATE($E55,"_","S_"),MNU_GRAMAJE_REQUERIDO_TIPOB,"")))</f>
        <v>100</v>
      </c>
      <c r="W55" s="397">
        <f t="shared" si="53"/>
        <v>446</v>
      </c>
      <c r="X55" s="397">
        <f t="shared" si="54"/>
        <v>0</v>
      </c>
      <c r="Y55" s="397">
        <f t="shared" si="55"/>
        <v>4906</v>
      </c>
      <c r="Z55" s="454">
        <f t="shared" si="56"/>
        <v>107</v>
      </c>
      <c r="AA55" s="454">
        <f t="shared" si="57"/>
        <v>5.2216000000000005</v>
      </c>
      <c r="AB55" s="454">
        <f t="shared" si="58"/>
        <v>9.2021712000000006E-2</v>
      </c>
      <c r="AC55" s="454">
        <f t="shared" si="59"/>
        <v>112</v>
      </c>
      <c r="AD55" s="231">
        <f t="shared" si="60"/>
        <v>524942</v>
      </c>
      <c r="AE55" s="231">
        <f t="shared" si="61"/>
        <v>549472</v>
      </c>
      <c r="AF55" s="427">
        <f t="shared" si="62"/>
        <v>11</v>
      </c>
      <c r="AG55" s="427">
        <f t="shared" si="63"/>
        <v>0</v>
      </c>
      <c r="AH55" s="428">
        <f t="array" ref="AH55">MAX((IF(MNU_CODIGO_ALIMENTO_ENTREGA=CONCATENATE($E55,"_","S_"),MNU_GRAMAJE_REQUERIDO_TIPOC,"")))</f>
        <v>100</v>
      </c>
      <c r="AI55" s="229">
        <f t="shared" si="64"/>
        <v>1525</v>
      </c>
      <c r="AJ55" s="229">
        <f t="shared" si="65"/>
        <v>0</v>
      </c>
      <c r="AK55" s="229">
        <f t="shared" si="66"/>
        <v>16775</v>
      </c>
      <c r="AL55" s="454">
        <f t="shared" si="67"/>
        <v>107</v>
      </c>
      <c r="AM55" s="454">
        <f t="shared" si="68"/>
        <v>5.2216000000000005</v>
      </c>
      <c r="AN55" s="454">
        <f t="shared" si="69"/>
        <v>9.2021712000000006E-2</v>
      </c>
      <c r="AO55" s="454">
        <f t="shared" si="70"/>
        <v>112</v>
      </c>
      <c r="AP55" s="454">
        <f t="shared" si="71"/>
        <v>1794925</v>
      </c>
      <c r="AQ55" s="230">
        <f t="shared" si="72"/>
        <v>1878800</v>
      </c>
      <c r="AR55" s="397">
        <f t="shared" si="73"/>
        <v>3819151</v>
      </c>
      <c r="AS55" s="397">
        <f t="shared" si="74"/>
        <v>3997616</v>
      </c>
    </row>
    <row r="56" spans="1:45" ht="15.75">
      <c r="A56" s="228">
        <v>4</v>
      </c>
      <c r="B56" s="228" t="str">
        <f t="shared" si="38"/>
        <v>FRUTA_4</v>
      </c>
      <c r="C56" s="338" t="str">
        <f t="shared" si="39"/>
        <v>8_4</v>
      </c>
      <c r="D56" s="398" t="s">
        <v>1</v>
      </c>
      <c r="E56" s="228">
        <v>8</v>
      </c>
      <c r="F56" s="332" t="s">
        <v>55</v>
      </c>
      <c r="G56" s="228" t="s">
        <v>9</v>
      </c>
      <c r="H56" s="427">
        <f t="shared" si="40"/>
        <v>11</v>
      </c>
      <c r="I56" s="427">
        <f t="shared" si="41"/>
        <v>0</v>
      </c>
      <c r="J56" s="428">
        <f t="array" ref="J56">MAX((IF(MNU_CODIGO_ALIMENTO_ENTREGA=CONCATENATE($E56,"_","S_"),MNU_GRAMAJE_REQUERIDO_TIPOA,"")))</f>
        <v>100</v>
      </c>
      <c r="K56" s="229">
        <f t="shared" si="42"/>
        <v>452</v>
      </c>
      <c r="L56" s="229">
        <f t="shared" si="43"/>
        <v>0</v>
      </c>
      <c r="M56" s="229">
        <f t="shared" si="44"/>
        <v>4972</v>
      </c>
      <c r="N56" s="454">
        <f t="shared" si="45"/>
        <v>134</v>
      </c>
      <c r="O56" s="454">
        <f t="shared" si="46"/>
        <v>6.539200000000001</v>
      </c>
      <c r="P56" s="454">
        <f t="shared" si="47"/>
        <v>0.115242144</v>
      </c>
      <c r="Q56" s="454">
        <f t="shared" si="48"/>
        <v>141</v>
      </c>
      <c r="R56" s="230">
        <f t="shared" si="49"/>
        <v>666248</v>
      </c>
      <c r="S56" s="230">
        <f t="shared" si="50"/>
        <v>701052</v>
      </c>
      <c r="T56" s="429">
        <f t="shared" si="51"/>
        <v>11</v>
      </c>
      <c r="U56" s="429">
        <f t="shared" si="52"/>
        <v>0</v>
      </c>
      <c r="V56" s="430">
        <f t="array" ref="V56">MAX((IF(MNU_CODIGO_ALIMENTO_ENTREGA=CONCATENATE($E56,"_","S_"),MNU_GRAMAJE_REQUERIDO_TIPOB,"")))</f>
        <v>100</v>
      </c>
      <c r="W56" s="397">
        <f t="shared" si="53"/>
        <v>446</v>
      </c>
      <c r="X56" s="397">
        <f t="shared" si="54"/>
        <v>0</v>
      </c>
      <c r="Y56" s="397">
        <f t="shared" si="55"/>
        <v>4906</v>
      </c>
      <c r="Z56" s="454">
        <f t="shared" si="56"/>
        <v>134</v>
      </c>
      <c r="AA56" s="454">
        <f t="shared" si="57"/>
        <v>6.539200000000001</v>
      </c>
      <c r="AB56" s="454">
        <f t="shared" si="58"/>
        <v>0.115242144</v>
      </c>
      <c r="AC56" s="454">
        <f t="shared" si="59"/>
        <v>141</v>
      </c>
      <c r="AD56" s="231">
        <f t="shared" si="60"/>
        <v>657404</v>
      </c>
      <c r="AE56" s="231">
        <f t="shared" si="61"/>
        <v>691746</v>
      </c>
      <c r="AF56" s="427">
        <f t="shared" si="62"/>
        <v>11</v>
      </c>
      <c r="AG56" s="427">
        <f t="shared" si="63"/>
        <v>0</v>
      </c>
      <c r="AH56" s="428">
        <f t="array" ref="AH56">MAX((IF(MNU_CODIGO_ALIMENTO_ENTREGA=CONCATENATE($E56,"_","S_"),MNU_GRAMAJE_REQUERIDO_TIPOC,"")))</f>
        <v>100</v>
      </c>
      <c r="AI56" s="229">
        <f t="shared" si="64"/>
        <v>1525</v>
      </c>
      <c r="AJ56" s="229">
        <f t="shared" si="65"/>
        <v>0</v>
      </c>
      <c r="AK56" s="229">
        <f t="shared" si="66"/>
        <v>16775</v>
      </c>
      <c r="AL56" s="454">
        <f t="shared" si="67"/>
        <v>134</v>
      </c>
      <c r="AM56" s="454">
        <f t="shared" si="68"/>
        <v>6.539200000000001</v>
      </c>
      <c r="AN56" s="454">
        <f t="shared" si="69"/>
        <v>0.115242144</v>
      </c>
      <c r="AO56" s="454">
        <f t="shared" si="70"/>
        <v>141</v>
      </c>
      <c r="AP56" s="454">
        <f t="shared" si="71"/>
        <v>2247850</v>
      </c>
      <c r="AQ56" s="230">
        <f t="shared" si="72"/>
        <v>2365275</v>
      </c>
      <c r="AR56" s="397">
        <f t="shared" si="73"/>
        <v>3571502</v>
      </c>
      <c r="AS56" s="397">
        <f t="shared" si="74"/>
        <v>3758073</v>
      </c>
    </row>
    <row r="57" spans="1:45" ht="15.75">
      <c r="A57" s="228">
        <v>4</v>
      </c>
      <c r="B57" s="228" t="str">
        <f t="shared" si="38"/>
        <v>FRUTA_4</v>
      </c>
      <c r="C57" s="338" t="str">
        <f t="shared" si="39"/>
        <v>17_4</v>
      </c>
      <c r="D57" s="398" t="s">
        <v>1</v>
      </c>
      <c r="E57" s="228">
        <v>17</v>
      </c>
      <c r="F57" s="332" t="s">
        <v>53</v>
      </c>
      <c r="G57" s="228" t="s">
        <v>9</v>
      </c>
      <c r="H57" s="427">
        <f t="shared" si="40"/>
        <v>0</v>
      </c>
      <c r="I57" s="427">
        <f t="shared" si="41"/>
        <v>0</v>
      </c>
      <c r="J57" s="428">
        <f t="array" ref="J57">MAX((IF(MNU_CODIGO_ALIMENTO_ENTREGA=CONCATENATE($E57,"_","S_"),MNU_GRAMAJE_REQUERIDO_TIPOA,"")))</f>
        <v>0</v>
      </c>
      <c r="K57" s="229">
        <f t="shared" si="42"/>
        <v>452</v>
      </c>
      <c r="L57" s="229">
        <f t="shared" si="43"/>
        <v>0</v>
      </c>
      <c r="M57" s="229">
        <f t="shared" si="44"/>
        <v>0</v>
      </c>
      <c r="N57" s="454">
        <f t="shared" si="45"/>
        <v>0</v>
      </c>
      <c r="O57" s="454">
        <f t="shared" si="46"/>
        <v>0</v>
      </c>
      <c r="P57" s="454">
        <f t="shared" si="47"/>
        <v>0</v>
      </c>
      <c r="Q57" s="454">
        <f t="shared" si="48"/>
        <v>0</v>
      </c>
      <c r="R57" s="230">
        <f t="shared" si="49"/>
        <v>0</v>
      </c>
      <c r="S57" s="230">
        <f t="shared" si="50"/>
        <v>0</v>
      </c>
      <c r="T57" s="429">
        <f t="shared" si="51"/>
        <v>23</v>
      </c>
      <c r="U57" s="429">
        <f t="shared" si="52"/>
        <v>4</v>
      </c>
      <c r="V57" s="430">
        <f t="array" ref="V57">MAX((IF(MNU_CODIGO_ALIMENTO_ENTREGA=CONCATENATE($E57,"_","S_"),MNU_GRAMAJE_REQUERIDO_TIPOB,"")))</f>
        <v>100</v>
      </c>
      <c r="W57" s="397">
        <f t="shared" si="53"/>
        <v>446</v>
      </c>
      <c r="X57" s="397">
        <f t="shared" si="54"/>
        <v>0</v>
      </c>
      <c r="Y57" s="397">
        <f t="shared" si="55"/>
        <v>10258</v>
      </c>
      <c r="Z57" s="454">
        <f t="shared" si="56"/>
        <v>226</v>
      </c>
      <c r="AA57" s="454">
        <f t="shared" si="57"/>
        <v>11.0288</v>
      </c>
      <c r="AB57" s="454">
        <f t="shared" si="58"/>
        <v>0.19436361600000002</v>
      </c>
      <c r="AC57" s="454">
        <f t="shared" si="59"/>
        <v>237</v>
      </c>
      <c r="AD57" s="231">
        <f t="shared" si="60"/>
        <v>2318308</v>
      </c>
      <c r="AE57" s="231">
        <f t="shared" si="61"/>
        <v>2431146</v>
      </c>
      <c r="AF57" s="427">
        <f t="shared" si="62"/>
        <v>23</v>
      </c>
      <c r="AG57" s="427">
        <f t="shared" si="63"/>
        <v>4</v>
      </c>
      <c r="AH57" s="428">
        <f t="array" ref="AH57">MAX((IF(MNU_CODIGO_ALIMENTO_ENTREGA=CONCATENATE($E57,"_","S_"),MNU_GRAMAJE_REQUERIDO_TIPOC,"")))</f>
        <v>100</v>
      </c>
      <c r="AI57" s="229">
        <f t="shared" si="64"/>
        <v>1525</v>
      </c>
      <c r="AJ57" s="229">
        <f t="shared" si="65"/>
        <v>0</v>
      </c>
      <c r="AK57" s="229">
        <f t="shared" si="66"/>
        <v>35075</v>
      </c>
      <c r="AL57" s="454">
        <f t="shared" si="67"/>
        <v>226</v>
      </c>
      <c r="AM57" s="454">
        <f t="shared" si="68"/>
        <v>11.0288</v>
      </c>
      <c r="AN57" s="454">
        <f t="shared" si="69"/>
        <v>0.19436361600000002</v>
      </c>
      <c r="AO57" s="454">
        <f t="shared" si="70"/>
        <v>237</v>
      </c>
      <c r="AP57" s="454">
        <f t="shared" si="71"/>
        <v>7926950</v>
      </c>
      <c r="AQ57" s="230">
        <f t="shared" si="72"/>
        <v>8312775</v>
      </c>
      <c r="AR57" s="397">
        <f t="shared" si="73"/>
        <v>10245258</v>
      </c>
      <c r="AS57" s="397">
        <f t="shared" si="74"/>
        <v>10743921</v>
      </c>
    </row>
    <row r="58" spans="1:45" ht="15.75">
      <c r="A58" s="228">
        <v>4</v>
      </c>
      <c r="B58" s="228" t="str">
        <f t="shared" si="38"/>
        <v>FRUTA_4</v>
      </c>
      <c r="C58" s="338" t="str">
        <f t="shared" si="39"/>
        <v>22_4</v>
      </c>
      <c r="D58" s="398" t="s">
        <v>1</v>
      </c>
      <c r="E58" s="228">
        <v>22</v>
      </c>
      <c r="F58" s="332" t="s">
        <v>51</v>
      </c>
      <c r="G58" s="228" t="s">
        <v>9</v>
      </c>
      <c r="H58" s="427">
        <f t="shared" si="40"/>
        <v>0</v>
      </c>
      <c r="I58" s="427">
        <f t="shared" si="41"/>
        <v>0</v>
      </c>
      <c r="J58" s="428">
        <f t="array" ref="J58">MAX((IF(MNU_CODIGO_ALIMENTO_ENTREGA=CONCATENATE($E58,"_","S_"),MNU_GRAMAJE_REQUERIDO_TIPOA,"")))</f>
        <v>0</v>
      </c>
      <c r="K58" s="229">
        <f t="shared" si="42"/>
        <v>452</v>
      </c>
      <c r="L58" s="229">
        <f t="shared" si="43"/>
        <v>0</v>
      </c>
      <c r="M58" s="229">
        <f t="shared" si="44"/>
        <v>0</v>
      </c>
      <c r="N58" s="454">
        <f t="shared" si="45"/>
        <v>0</v>
      </c>
      <c r="O58" s="454">
        <f t="shared" si="46"/>
        <v>0</v>
      </c>
      <c r="P58" s="454">
        <f t="shared" si="47"/>
        <v>0</v>
      </c>
      <c r="Q58" s="454">
        <f t="shared" si="48"/>
        <v>0</v>
      </c>
      <c r="R58" s="230">
        <f t="shared" si="49"/>
        <v>0</v>
      </c>
      <c r="S58" s="230">
        <f t="shared" si="50"/>
        <v>0</v>
      </c>
      <c r="T58" s="429">
        <f t="shared" si="51"/>
        <v>23</v>
      </c>
      <c r="U58" s="429">
        <f t="shared" si="52"/>
        <v>4</v>
      </c>
      <c r="V58" s="430">
        <f t="array" ref="V58">MAX((IF(MNU_CODIGO_ALIMENTO_ENTREGA=CONCATENATE($E58,"_","S_"),MNU_GRAMAJE_REQUERIDO_TIPOB,"")))</f>
        <v>100</v>
      </c>
      <c r="W58" s="397">
        <f t="shared" si="53"/>
        <v>446</v>
      </c>
      <c r="X58" s="397">
        <f t="shared" si="54"/>
        <v>0</v>
      </c>
      <c r="Y58" s="397">
        <f t="shared" si="55"/>
        <v>10258</v>
      </c>
      <c r="Z58" s="454">
        <f t="shared" si="56"/>
        <v>525</v>
      </c>
      <c r="AA58" s="454">
        <f t="shared" si="57"/>
        <v>25.62</v>
      </c>
      <c r="AB58" s="454">
        <f t="shared" si="58"/>
        <v>0.45150840000000003</v>
      </c>
      <c r="AC58" s="454">
        <f t="shared" si="59"/>
        <v>551</v>
      </c>
      <c r="AD58" s="231">
        <f t="shared" si="60"/>
        <v>5385450</v>
      </c>
      <c r="AE58" s="231">
        <f t="shared" si="61"/>
        <v>5652158</v>
      </c>
      <c r="AF58" s="427">
        <f t="shared" si="62"/>
        <v>23</v>
      </c>
      <c r="AG58" s="427">
        <f t="shared" si="63"/>
        <v>4</v>
      </c>
      <c r="AH58" s="428">
        <f t="array" ref="AH58">MAX((IF(MNU_CODIGO_ALIMENTO_ENTREGA=CONCATENATE($E58,"_","S_"),MNU_GRAMAJE_REQUERIDO_TIPOC,"")))</f>
        <v>100</v>
      </c>
      <c r="AI58" s="229">
        <f t="shared" si="64"/>
        <v>1525</v>
      </c>
      <c r="AJ58" s="229">
        <f t="shared" si="65"/>
        <v>0</v>
      </c>
      <c r="AK58" s="229">
        <f t="shared" si="66"/>
        <v>35075</v>
      </c>
      <c r="AL58" s="454">
        <f t="shared" si="67"/>
        <v>525</v>
      </c>
      <c r="AM58" s="454">
        <f t="shared" si="68"/>
        <v>25.62</v>
      </c>
      <c r="AN58" s="454">
        <f t="shared" si="69"/>
        <v>0.45150840000000003</v>
      </c>
      <c r="AO58" s="454">
        <f t="shared" si="70"/>
        <v>551</v>
      </c>
      <c r="AP58" s="454">
        <f t="shared" si="71"/>
        <v>18414375</v>
      </c>
      <c r="AQ58" s="230">
        <f t="shared" si="72"/>
        <v>19326325</v>
      </c>
      <c r="AR58" s="397">
        <f t="shared" si="73"/>
        <v>23799825</v>
      </c>
      <c r="AS58" s="397">
        <f t="shared" si="74"/>
        <v>24978483</v>
      </c>
    </row>
    <row r="59" spans="1:45" ht="15.75">
      <c r="A59" s="228">
        <v>4</v>
      </c>
      <c r="B59" s="228" t="str">
        <f t="shared" si="38"/>
        <v>FRUTA_4</v>
      </c>
      <c r="C59" s="338" t="str">
        <f t="shared" si="39"/>
        <v>33_4</v>
      </c>
      <c r="D59" s="398" t="s">
        <v>1</v>
      </c>
      <c r="E59" s="228">
        <v>33</v>
      </c>
      <c r="F59" s="332" t="s">
        <v>59</v>
      </c>
      <c r="G59" s="228" t="s">
        <v>48</v>
      </c>
      <c r="H59" s="427">
        <f t="shared" si="40"/>
        <v>29</v>
      </c>
      <c r="I59" s="427">
        <f t="shared" si="41"/>
        <v>5</v>
      </c>
      <c r="J59" s="428">
        <v>1</v>
      </c>
      <c r="K59" s="229">
        <f t="shared" si="42"/>
        <v>452</v>
      </c>
      <c r="L59" s="229">
        <f t="shared" si="43"/>
        <v>0</v>
      </c>
      <c r="M59" s="229">
        <f t="shared" si="44"/>
        <v>13108</v>
      </c>
      <c r="N59" s="454">
        <f t="shared" si="45"/>
        <v>270</v>
      </c>
      <c r="O59" s="454">
        <f t="shared" si="46"/>
        <v>13.176000000000002</v>
      </c>
      <c r="P59" s="454">
        <f t="shared" si="47"/>
        <v>0.23220432000000002</v>
      </c>
      <c r="Q59" s="454">
        <f t="shared" si="48"/>
        <v>283</v>
      </c>
      <c r="R59" s="230">
        <f t="shared" si="49"/>
        <v>3539160</v>
      </c>
      <c r="S59" s="230">
        <f t="shared" si="50"/>
        <v>3709564</v>
      </c>
      <c r="T59" s="429">
        <f t="shared" si="51"/>
        <v>23</v>
      </c>
      <c r="U59" s="429">
        <f t="shared" si="52"/>
        <v>2</v>
      </c>
      <c r="V59" s="430">
        <v>1</v>
      </c>
      <c r="W59" s="397">
        <f t="shared" si="53"/>
        <v>446</v>
      </c>
      <c r="X59" s="397">
        <f t="shared" si="54"/>
        <v>0</v>
      </c>
      <c r="Y59" s="397">
        <f t="shared" si="55"/>
        <v>10258</v>
      </c>
      <c r="Z59" s="454">
        <f t="shared" si="56"/>
        <v>270</v>
      </c>
      <c r="AA59" s="454">
        <f t="shared" si="57"/>
        <v>13.176000000000002</v>
      </c>
      <c r="AB59" s="454">
        <f t="shared" si="58"/>
        <v>0.23220432000000002</v>
      </c>
      <c r="AC59" s="454">
        <f t="shared" si="59"/>
        <v>283</v>
      </c>
      <c r="AD59" s="231">
        <f t="shared" si="60"/>
        <v>2769660</v>
      </c>
      <c r="AE59" s="231">
        <f t="shared" si="61"/>
        <v>2903014</v>
      </c>
      <c r="AF59" s="427">
        <f t="shared" si="62"/>
        <v>23</v>
      </c>
      <c r="AG59" s="427">
        <f t="shared" si="63"/>
        <v>2</v>
      </c>
      <c r="AH59" s="428">
        <v>1</v>
      </c>
      <c r="AI59" s="229">
        <f t="shared" si="64"/>
        <v>1525</v>
      </c>
      <c r="AJ59" s="229">
        <f t="shared" si="65"/>
        <v>0</v>
      </c>
      <c r="AK59" s="229">
        <f t="shared" si="66"/>
        <v>35075</v>
      </c>
      <c r="AL59" s="454">
        <f t="shared" si="67"/>
        <v>270</v>
      </c>
      <c r="AM59" s="454">
        <f t="shared" si="68"/>
        <v>13.176000000000002</v>
      </c>
      <c r="AN59" s="454">
        <f t="shared" si="69"/>
        <v>0.23220432000000002</v>
      </c>
      <c r="AO59" s="454">
        <f t="shared" si="70"/>
        <v>283</v>
      </c>
      <c r="AP59" s="454">
        <f t="shared" si="71"/>
        <v>9470250</v>
      </c>
      <c r="AQ59" s="230">
        <f t="shared" si="72"/>
        <v>9926225</v>
      </c>
      <c r="AR59" s="397">
        <f t="shared" si="73"/>
        <v>15779070</v>
      </c>
      <c r="AS59" s="397">
        <f t="shared" si="74"/>
        <v>16538803</v>
      </c>
    </row>
    <row r="60" spans="1:45" ht="15.75">
      <c r="A60" s="228">
        <v>4</v>
      </c>
      <c r="B60" s="228" t="str">
        <f t="shared" si="38"/>
        <v>FRUTA_4</v>
      </c>
      <c r="C60" s="338" t="str">
        <f t="shared" si="39"/>
        <v>36_4</v>
      </c>
      <c r="D60" s="398" t="s">
        <v>1</v>
      </c>
      <c r="E60" s="228">
        <v>36</v>
      </c>
      <c r="F60" s="332" t="s">
        <v>1340</v>
      </c>
      <c r="G60" s="228" t="s">
        <v>9</v>
      </c>
      <c r="H60" s="427">
        <f t="shared" si="40"/>
        <v>8</v>
      </c>
      <c r="I60" s="427">
        <f t="shared" si="41"/>
        <v>0</v>
      </c>
      <c r="J60" s="428">
        <f t="array" ref="J60">MAX((IF(MNU_CODIGO_ALIMENTO_ENTREGA=CONCATENATE($E60,"_","S_"),MNU_GRAMAJE_REQUERIDO_TIPOA,"")))</f>
        <v>20</v>
      </c>
      <c r="K60" s="229">
        <f t="shared" si="42"/>
        <v>452</v>
      </c>
      <c r="L60" s="229">
        <f t="shared" si="43"/>
        <v>0</v>
      </c>
      <c r="M60" s="229">
        <f t="shared" si="44"/>
        <v>3616</v>
      </c>
      <c r="N60" s="454">
        <f t="shared" si="45"/>
        <v>126</v>
      </c>
      <c r="O60" s="454">
        <f t="shared" si="46"/>
        <v>6.1488000000000005</v>
      </c>
      <c r="P60" s="454">
        <f t="shared" si="47"/>
        <v>0.10836201599999999</v>
      </c>
      <c r="Q60" s="454">
        <f t="shared" si="48"/>
        <v>132</v>
      </c>
      <c r="R60" s="230">
        <f t="shared" si="49"/>
        <v>455616</v>
      </c>
      <c r="S60" s="230">
        <f t="shared" si="50"/>
        <v>477312</v>
      </c>
      <c r="T60" s="429">
        <f t="shared" si="51"/>
        <v>8</v>
      </c>
      <c r="U60" s="429">
        <f t="shared" si="52"/>
        <v>0</v>
      </c>
      <c r="V60" s="430">
        <f t="array" ref="V60">MAX((IF(MNU_CODIGO_ALIMENTO_ENTREGA=CONCATENATE($E60,"_","S_"),MNU_GRAMAJE_REQUERIDO_TIPOB,"")))</f>
        <v>40</v>
      </c>
      <c r="W60" s="397">
        <f t="shared" si="53"/>
        <v>446</v>
      </c>
      <c r="X60" s="397">
        <f t="shared" si="54"/>
        <v>0</v>
      </c>
      <c r="Y60" s="397">
        <f t="shared" si="55"/>
        <v>3568</v>
      </c>
      <c r="Z60" s="454">
        <f t="shared" si="56"/>
        <v>252</v>
      </c>
      <c r="AA60" s="454">
        <f t="shared" si="57"/>
        <v>12.297600000000001</v>
      </c>
      <c r="AB60" s="454">
        <f t="shared" si="58"/>
        <v>0.21672403199999998</v>
      </c>
      <c r="AC60" s="454">
        <f t="shared" si="59"/>
        <v>265</v>
      </c>
      <c r="AD60" s="231">
        <f t="shared" si="60"/>
        <v>899136</v>
      </c>
      <c r="AE60" s="231">
        <f t="shared" si="61"/>
        <v>945520</v>
      </c>
      <c r="AF60" s="427">
        <f t="shared" si="62"/>
        <v>8</v>
      </c>
      <c r="AG60" s="427">
        <f t="shared" si="63"/>
        <v>0</v>
      </c>
      <c r="AH60" s="428">
        <f t="array" ref="AH60">MAX((IF(MNU_CODIGO_ALIMENTO_ENTREGA=CONCATENATE($E60,"_","S_"),MNU_GRAMAJE_REQUERIDO_TIPOC,"")))</f>
        <v>40</v>
      </c>
      <c r="AI60" s="229">
        <f t="shared" si="64"/>
        <v>1525</v>
      </c>
      <c r="AJ60" s="229">
        <f t="shared" si="65"/>
        <v>0</v>
      </c>
      <c r="AK60" s="229">
        <f t="shared" si="66"/>
        <v>12200</v>
      </c>
      <c r="AL60" s="454">
        <f t="shared" si="67"/>
        <v>252</v>
      </c>
      <c r="AM60" s="454">
        <f t="shared" si="68"/>
        <v>12.297600000000001</v>
      </c>
      <c r="AN60" s="454">
        <f t="shared" si="69"/>
        <v>0.21672403199999998</v>
      </c>
      <c r="AO60" s="454">
        <f t="shared" si="70"/>
        <v>265</v>
      </c>
      <c r="AP60" s="454">
        <f t="shared" si="71"/>
        <v>3074400</v>
      </c>
      <c r="AQ60" s="230">
        <f t="shared" si="72"/>
        <v>3233000</v>
      </c>
      <c r="AR60" s="397">
        <f t="shared" si="73"/>
        <v>4429152</v>
      </c>
      <c r="AS60" s="397">
        <f t="shared" si="74"/>
        <v>4655832</v>
      </c>
    </row>
    <row r="61" spans="1:45" ht="15.75">
      <c r="A61" s="228">
        <v>4</v>
      </c>
      <c r="B61" s="228" t="str">
        <f t="shared" si="38"/>
        <v>FRUTA_4</v>
      </c>
      <c r="C61" s="338" t="str">
        <f t="shared" si="39"/>
        <v>42_4</v>
      </c>
      <c r="D61" s="398" t="s">
        <v>1</v>
      </c>
      <c r="E61" s="228">
        <v>42</v>
      </c>
      <c r="F61" s="332" t="s">
        <v>61</v>
      </c>
      <c r="G61" s="228" t="s">
        <v>9</v>
      </c>
      <c r="H61" s="427">
        <f t="shared" si="40"/>
        <v>36</v>
      </c>
      <c r="I61" s="427">
        <f t="shared" si="41"/>
        <v>8</v>
      </c>
      <c r="J61" s="428">
        <f t="array" ref="J61">MAX((IF(MNU_CODIGO_ALIMENTO_ENTREGA=CONCATENATE($E61,"_","S_"),MNU_GRAMAJE_REQUERIDO_TIPOA,"")))</f>
        <v>100</v>
      </c>
      <c r="K61" s="229">
        <f t="shared" si="42"/>
        <v>452</v>
      </c>
      <c r="L61" s="229">
        <f t="shared" si="43"/>
        <v>0</v>
      </c>
      <c r="M61" s="229">
        <f t="shared" si="44"/>
        <v>16272</v>
      </c>
      <c r="N61" s="454">
        <f t="shared" si="45"/>
        <v>194</v>
      </c>
      <c r="O61" s="454">
        <f t="shared" si="46"/>
        <v>9.4672000000000001</v>
      </c>
      <c r="P61" s="454">
        <f t="shared" si="47"/>
        <v>0.16684310399999999</v>
      </c>
      <c r="Q61" s="454">
        <f t="shared" si="48"/>
        <v>204</v>
      </c>
      <c r="R61" s="230">
        <f t="shared" si="49"/>
        <v>3156768</v>
      </c>
      <c r="S61" s="230">
        <f t="shared" si="50"/>
        <v>3319488</v>
      </c>
      <c r="T61" s="429">
        <f t="shared" si="51"/>
        <v>19</v>
      </c>
      <c r="U61" s="429">
        <f t="shared" si="52"/>
        <v>8</v>
      </c>
      <c r="V61" s="430">
        <f t="array" ref="V61">MAX((IF(MNU_CODIGO_ALIMENTO_ENTREGA=CONCATENATE($E61,"_","S_"),MNU_GRAMAJE_REQUERIDO_TIPOB,"")))</f>
        <v>100</v>
      </c>
      <c r="W61" s="397">
        <f t="shared" si="53"/>
        <v>446</v>
      </c>
      <c r="X61" s="397">
        <f t="shared" si="54"/>
        <v>0</v>
      </c>
      <c r="Y61" s="397">
        <f t="shared" si="55"/>
        <v>8474</v>
      </c>
      <c r="Z61" s="454">
        <f t="shared" si="56"/>
        <v>194</v>
      </c>
      <c r="AA61" s="454">
        <f t="shared" si="57"/>
        <v>9.4672000000000001</v>
      </c>
      <c r="AB61" s="454">
        <f t="shared" si="58"/>
        <v>0.16684310399999999</v>
      </c>
      <c r="AC61" s="454">
        <f t="shared" si="59"/>
        <v>204</v>
      </c>
      <c r="AD61" s="231">
        <f t="shared" si="60"/>
        <v>1643956</v>
      </c>
      <c r="AE61" s="231">
        <f t="shared" si="61"/>
        <v>1728696</v>
      </c>
      <c r="AF61" s="427">
        <f t="shared" si="62"/>
        <v>19</v>
      </c>
      <c r="AG61" s="427">
        <f t="shared" si="63"/>
        <v>8</v>
      </c>
      <c r="AH61" s="428">
        <f t="array" ref="AH61">MAX((IF(MNU_CODIGO_ALIMENTO_ENTREGA=CONCATENATE($E61,"_","S_"),MNU_GRAMAJE_REQUERIDO_TIPOC,"")))</f>
        <v>100</v>
      </c>
      <c r="AI61" s="229">
        <f t="shared" si="64"/>
        <v>1525</v>
      </c>
      <c r="AJ61" s="229">
        <f t="shared" si="65"/>
        <v>0</v>
      </c>
      <c r="AK61" s="229">
        <f t="shared" si="66"/>
        <v>28975</v>
      </c>
      <c r="AL61" s="454">
        <f t="shared" si="67"/>
        <v>194</v>
      </c>
      <c r="AM61" s="454">
        <f t="shared" si="68"/>
        <v>9.4672000000000001</v>
      </c>
      <c r="AN61" s="454">
        <f t="shared" si="69"/>
        <v>0.16684310399999999</v>
      </c>
      <c r="AO61" s="454">
        <f t="shared" si="70"/>
        <v>204</v>
      </c>
      <c r="AP61" s="454">
        <f t="shared" si="71"/>
        <v>5621150</v>
      </c>
      <c r="AQ61" s="230">
        <f t="shared" si="72"/>
        <v>5910900</v>
      </c>
      <c r="AR61" s="397">
        <f t="shared" si="73"/>
        <v>10421874</v>
      </c>
      <c r="AS61" s="397">
        <f t="shared" si="74"/>
        <v>10959084</v>
      </c>
    </row>
    <row r="62" spans="1:45" ht="15.75">
      <c r="A62" s="228">
        <v>4</v>
      </c>
      <c r="B62" s="228" t="str">
        <f t="shared" si="38"/>
        <v>FRUTA_4</v>
      </c>
      <c r="C62" s="338" t="str">
        <f t="shared" si="39"/>
        <v>43_4</v>
      </c>
      <c r="D62" s="398" t="s">
        <v>1</v>
      </c>
      <c r="E62" s="228">
        <v>43</v>
      </c>
      <c r="F62" s="332" t="s">
        <v>62</v>
      </c>
      <c r="G62" s="228" t="s">
        <v>9</v>
      </c>
      <c r="H62" s="427">
        <f t="shared" si="40"/>
        <v>29</v>
      </c>
      <c r="I62" s="427">
        <f t="shared" si="41"/>
        <v>6</v>
      </c>
      <c r="J62" s="428">
        <f t="array" ref="J62">MAX((IF(MNU_CODIGO_ALIMENTO_ENTREGA=CONCATENATE($E62,"_","S_"),MNU_GRAMAJE_REQUERIDO_TIPOA,"")))</f>
        <v>100</v>
      </c>
      <c r="K62" s="229">
        <f t="shared" si="42"/>
        <v>452</v>
      </c>
      <c r="L62" s="229">
        <f t="shared" si="43"/>
        <v>0</v>
      </c>
      <c r="M62" s="229">
        <f t="shared" si="44"/>
        <v>13108</v>
      </c>
      <c r="N62" s="454">
        <f t="shared" si="45"/>
        <v>170</v>
      </c>
      <c r="O62" s="454">
        <f t="shared" si="46"/>
        <v>8.2959999999999994</v>
      </c>
      <c r="P62" s="454">
        <f t="shared" si="47"/>
        <v>0.14620272000000001</v>
      </c>
      <c r="Q62" s="454">
        <f t="shared" si="48"/>
        <v>178</v>
      </c>
      <c r="R62" s="230">
        <f t="shared" si="49"/>
        <v>2228360</v>
      </c>
      <c r="S62" s="230">
        <f t="shared" si="50"/>
        <v>2333224</v>
      </c>
      <c r="T62" s="429">
        <f t="shared" si="51"/>
        <v>23</v>
      </c>
      <c r="U62" s="429">
        <f t="shared" si="52"/>
        <v>1</v>
      </c>
      <c r="V62" s="430">
        <f t="array" ref="V62">MAX((IF(MNU_CODIGO_ALIMENTO_ENTREGA=CONCATENATE($E62,"_","S_"),MNU_GRAMAJE_REQUERIDO_TIPOB,"")))</f>
        <v>100</v>
      </c>
      <c r="W62" s="397">
        <f t="shared" si="53"/>
        <v>446</v>
      </c>
      <c r="X62" s="397">
        <f t="shared" si="54"/>
        <v>0</v>
      </c>
      <c r="Y62" s="397">
        <f t="shared" si="55"/>
        <v>10258</v>
      </c>
      <c r="Z62" s="454">
        <f t="shared" si="56"/>
        <v>170</v>
      </c>
      <c r="AA62" s="454">
        <f t="shared" si="57"/>
        <v>8.2959999999999994</v>
      </c>
      <c r="AB62" s="454">
        <f t="shared" si="58"/>
        <v>0.14620272000000001</v>
      </c>
      <c r="AC62" s="454">
        <f t="shared" si="59"/>
        <v>178</v>
      </c>
      <c r="AD62" s="231">
        <f t="shared" si="60"/>
        <v>1743860</v>
      </c>
      <c r="AE62" s="231">
        <f t="shared" si="61"/>
        <v>1825924</v>
      </c>
      <c r="AF62" s="427">
        <f t="shared" si="62"/>
        <v>23</v>
      </c>
      <c r="AG62" s="427">
        <f t="shared" si="63"/>
        <v>1</v>
      </c>
      <c r="AH62" s="428">
        <f t="array" ref="AH62">MAX((IF(MNU_CODIGO_ALIMENTO_ENTREGA=CONCATENATE($E62,"_","S_"),MNU_GRAMAJE_REQUERIDO_TIPOC,"")))</f>
        <v>100</v>
      </c>
      <c r="AI62" s="229">
        <f t="shared" si="64"/>
        <v>1525</v>
      </c>
      <c r="AJ62" s="229">
        <f t="shared" si="65"/>
        <v>0</v>
      </c>
      <c r="AK62" s="229">
        <f t="shared" si="66"/>
        <v>35075</v>
      </c>
      <c r="AL62" s="454">
        <f t="shared" si="67"/>
        <v>170</v>
      </c>
      <c r="AM62" s="454">
        <f t="shared" si="68"/>
        <v>8.2959999999999994</v>
      </c>
      <c r="AN62" s="454">
        <f t="shared" si="69"/>
        <v>0.14620272000000001</v>
      </c>
      <c r="AO62" s="454">
        <f t="shared" si="70"/>
        <v>178</v>
      </c>
      <c r="AP62" s="454">
        <f t="shared" si="71"/>
        <v>5962750</v>
      </c>
      <c r="AQ62" s="230">
        <f t="shared" si="72"/>
        <v>6243350</v>
      </c>
      <c r="AR62" s="397">
        <f t="shared" si="73"/>
        <v>9934970</v>
      </c>
      <c r="AS62" s="397">
        <f t="shared" si="74"/>
        <v>10402498</v>
      </c>
    </row>
    <row r="63" spans="1:45" ht="15.75">
      <c r="A63" s="228">
        <v>4</v>
      </c>
      <c r="B63" s="228" t="str">
        <f t="shared" si="38"/>
        <v>FRUTA_4</v>
      </c>
      <c r="C63" s="338" t="str">
        <f t="shared" si="39"/>
        <v>46_4</v>
      </c>
      <c r="D63" s="398" t="s">
        <v>1</v>
      </c>
      <c r="E63" s="228">
        <v>46</v>
      </c>
      <c r="F63" s="332" t="s">
        <v>64</v>
      </c>
      <c r="G63" s="228" t="s">
        <v>9</v>
      </c>
      <c r="H63" s="427">
        <f t="shared" si="40"/>
        <v>29</v>
      </c>
      <c r="I63" s="427">
        <f t="shared" si="41"/>
        <v>4</v>
      </c>
      <c r="J63" s="428">
        <f t="array" ref="J63">MAX((IF(MNU_CODIGO_ALIMENTO_ENTREGA=CONCATENATE($E63,"_","S_"),MNU_GRAMAJE_REQUERIDO_TIPOA,"")))</f>
        <v>100</v>
      </c>
      <c r="K63" s="229">
        <f t="shared" si="42"/>
        <v>452</v>
      </c>
      <c r="L63" s="229">
        <f t="shared" si="43"/>
        <v>0</v>
      </c>
      <c r="M63" s="229">
        <f t="shared" si="44"/>
        <v>13108</v>
      </c>
      <c r="N63" s="454">
        <f t="shared" si="45"/>
        <v>398</v>
      </c>
      <c r="O63" s="454">
        <f t="shared" si="46"/>
        <v>19.4224</v>
      </c>
      <c r="P63" s="454">
        <f t="shared" si="47"/>
        <v>0.34228636800000001</v>
      </c>
      <c r="Q63" s="454">
        <f t="shared" si="48"/>
        <v>418</v>
      </c>
      <c r="R63" s="230">
        <f t="shared" si="49"/>
        <v>5216984</v>
      </c>
      <c r="S63" s="230">
        <f t="shared" si="50"/>
        <v>5479144</v>
      </c>
      <c r="T63" s="429">
        <f t="shared" si="51"/>
        <v>24</v>
      </c>
      <c r="U63" s="429">
        <f t="shared" si="52"/>
        <v>3</v>
      </c>
      <c r="V63" s="430">
        <f t="array" ref="V63">MAX((IF(MNU_CODIGO_ALIMENTO_ENTREGA=CONCATENATE($E63,"_","S_"),MNU_GRAMAJE_REQUERIDO_TIPOB,"")))</f>
        <v>100</v>
      </c>
      <c r="W63" s="397">
        <f t="shared" si="53"/>
        <v>446</v>
      </c>
      <c r="X63" s="397">
        <f t="shared" si="54"/>
        <v>0</v>
      </c>
      <c r="Y63" s="397">
        <f t="shared" si="55"/>
        <v>10704</v>
      </c>
      <c r="Z63" s="454">
        <f t="shared" si="56"/>
        <v>398</v>
      </c>
      <c r="AA63" s="454">
        <f t="shared" si="57"/>
        <v>19.4224</v>
      </c>
      <c r="AB63" s="454">
        <f t="shared" si="58"/>
        <v>0.34228636800000001</v>
      </c>
      <c r="AC63" s="454">
        <f t="shared" si="59"/>
        <v>418</v>
      </c>
      <c r="AD63" s="231">
        <f t="shared" si="60"/>
        <v>4260192</v>
      </c>
      <c r="AE63" s="231">
        <f t="shared" si="61"/>
        <v>4474272</v>
      </c>
      <c r="AF63" s="427">
        <f t="shared" si="62"/>
        <v>24</v>
      </c>
      <c r="AG63" s="427">
        <f t="shared" si="63"/>
        <v>3</v>
      </c>
      <c r="AH63" s="428">
        <f t="array" ref="AH63">MAX((IF(MNU_CODIGO_ALIMENTO_ENTREGA=CONCATENATE($E63,"_","S_"),MNU_GRAMAJE_REQUERIDO_TIPOC,"")))</f>
        <v>100</v>
      </c>
      <c r="AI63" s="229">
        <f t="shared" si="64"/>
        <v>1525</v>
      </c>
      <c r="AJ63" s="229">
        <f t="shared" si="65"/>
        <v>0</v>
      </c>
      <c r="AK63" s="229">
        <f t="shared" si="66"/>
        <v>36600</v>
      </c>
      <c r="AL63" s="454">
        <f t="shared" si="67"/>
        <v>398</v>
      </c>
      <c r="AM63" s="454">
        <f t="shared" si="68"/>
        <v>19.4224</v>
      </c>
      <c r="AN63" s="454">
        <f t="shared" si="69"/>
        <v>0.34228636800000001</v>
      </c>
      <c r="AO63" s="454">
        <f t="shared" si="70"/>
        <v>418</v>
      </c>
      <c r="AP63" s="454">
        <f t="shared" si="71"/>
        <v>14566800</v>
      </c>
      <c r="AQ63" s="230">
        <f t="shared" si="72"/>
        <v>15298800</v>
      </c>
      <c r="AR63" s="397">
        <f t="shared" si="73"/>
        <v>24043976</v>
      </c>
      <c r="AS63" s="397">
        <f t="shared" si="74"/>
        <v>25252216</v>
      </c>
    </row>
    <row r="64" spans="1:45" ht="15.75">
      <c r="A64" s="228">
        <v>4</v>
      </c>
      <c r="B64" s="228" t="str">
        <f t="shared" si="38"/>
        <v>FRUTA_4</v>
      </c>
      <c r="C64" s="338" t="str">
        <f t="shared" si="39"/>
        <v>58_4</v>
      </c>
      <c r="D64" s="398" t="s">
        <v>1</v>
      </c>
      <c r="E64" s="228">
        <v>58</v>
      </c>
      <c r="F64" s="332" t="s">
        <v>67</v>
      </c>
      <c r="G64" s="228" t="s">
        <v>9</v>
      </c>
      <c r="H64" s="427">
        <f t="shared" si="40"/>
        <v>28</v>
      </c>
      <c r="I64" s="427">
        <f t="shared" si="41"/>
        <v>5</v>
      </c>
      <c r="J64" s="428">
        <f t="array" ref="J64">MAX((IF(MNU_CODIGO_ALIMENTO_ENTREGA=CONCATENATE($E64,"_","S_"),MNU_GRAMAJE_REQUERIDO_TIPOA,"")))</f>
        <v>100</v>
      </c>
      <c r="K64" s="229">
        <f t="shared" si="42"/>
        <v>452</v>
      </c>
      <c r="L64" s="229">
        <f t="shared" si="43"/>
        <v>0</v>
      </c>
      <c r="M64" s="229">
        <f t="shared" si="44"/>
        <v>12656</v>
      </c>
      <c r="N64" s="454">
        <f t="shared" si="45"/>
        <v>154</v>
      </c>
      <c r="O64" s="454">
        <f t="shared" si="46"/>
        <v>7.515200000000001</v>
      </c>
      <c r="P64" s="454">
        <f t="shared" si="47"/>
        <v>0.13244246400000001</v>
      </c>
      <c r="Q64" s="454">
        <f t="shared" si="48"/>
        <v>162</v>
      </c>
      <c r="R64" s="230">
        <f t="shared" si="49"/>
        <v>1949024</v>
      </c>
      <c r="S64" s="230">
        <f t="shared" si="50"/>
        <v>2050272</v>
      </c>
      <c r="T64" s="429">
        <f t="shared" si="51"/>
        <v>23</v>
      </c>
      <c r="U64" s="429">
        <f t="shared" si="52"/>
        <v>3</v>
      </c>
      <c r="V64" s="430">
        <f t="array" ref="V64">MAX((IF(MNU_CODIGO_ALIMENTO_ENTREGA=CONCATENATE($E64,"_","S_"),MNU_GRAMAJE_REQUERIDO_TIPOB,"")))</f>
        <v>100</v>
      </c>
      <c r="W64" s="397">
        <f t="shared" si="53"/>
        <v>446</v>
      </c>
      <c r="X64" s="397">
        <f t="shared" si="54"/>
        <v>0</v>
      </c>
      <c r="Y64" s="397">
        <f t="shared" si="55"/>
        <v>10258</v>
      </c>
      <c r="Z64" s="454">
        <f t="shared" si="56"/>
        <v>154</v>
      </c>
      <c r="AA64" s="454">
        <f t="shared" si="57"/>
        <v>7.515200000000001</v>
      </c>
      <c r="AB64" s="454">
        <f t="shared" si="58"/>
        <v>0.13244246400000001</v>
      </c>
      <c r="AC64" s="454">
        <f t="shared" si="59"/>
        <v>162</v>
      </c>
      <c r="AD64" s="231">
        <f t="shared" si="60"/>
        <v>1579732</v>
      </c>
      <c r="AE64" s="231">
        <f t="shared" si="61"/>
        <v>1661796</v>
      </c>
      <c r="AF64" s="427">
        <f t="shared" si="62"/>
        <v>23</v>
      </c>
      <c r="AG64" s="427">
        <f t="shared" si="63"/>
        <v>3</v>
      </c>
      <c r="AH64" s="428">
        <f t="array" ref="AH64">MAX((IF(MNU_CODIGO_ALIMENTO_ENTREGA=CONCATENATE($E64,"_","S_"),MNU_GRAMAJE_REQUERIDO_TIPOC,"")))</f>
        <v>100</v>
      </c>
      <c r="AI64" s="229">
        <f t="shared" si="64"/>
        <v>1525</v>
      </c>
      <c r="AJ64" s="229">
        <f t="shared" si="65"/>
        <v>0</v>
      </c>
      <c r="AK64" s="229">
        <f t="shared" si="66"/>
        <v>35075</v>
      </c>
      <c r="AL64" s="454">
        <f t="shared" si="67"/>
        <v>154</v>
      </c>
      <c r="AM64" s="454">
        <f t="shared" si="68"/>
        <v>7.515200000000001</v>
      </c>
      <c r="AN64" s="454">
        <f t="shared" si="69"/>
        <v>0.13244246400000001</v>
      </c>
      <c r="AO64" s="454">
        <f t="shared" si="70"/>
        <v>162</v>
      </c>
      <c r="AP64" s="454">
        <f t="shared" si="71"/>
        <v>5401550</v>
      </c>
      <c r="AQ64" s="230">
        <f t="shared" si="72"/>
        <v>5682150</v>
      </c>
      <c r="AR64" s="397">
        <f t="shared" si="73"/>
        <v>8930306</v>
      </c>
      <c r="AS64" s="397">
        <f t="shared" si="74"/>
        <v>9394218</v>
      </c>
    </row>
    <row r="65" spans="1:45" ht="15.75">
      <c r="A65" s="228">
        <v>4</v>
      </c>
      <c r="B65" s="228" t="str">
        <f t="shared" si="38"/>
        <v>FRUTA_4</v>
      </c>
      <c r="C65" s="338" t="str">
        <f t="shared" si="39"/>
        <v>59_4</v>
      </c>
      <c r="D65" s="398" t="s">
        <v>1</v>
      </c>
      <c r="E65" s="228">
        <v>59</v>
      </c>
      <c r="F65" s="332" t="s">
        <v>99</v>
      </c>
      <c r="G65" s="228" t="s">
        <v>9</v>
      </c>
      <c r="H65" s="427">
        <f t="shared" si="40"/>
        <v>0</v>
      </c>
      <c r="I65" s="427">
        <f t="shared" si="41"/>
        <v>0</v>
      </c>
      <c r="J65" s="428">
        <f t="array" ref="J65">MAX((IF(MNU_CODIGO_ALIMENTO_ENTREGA=CONCATENATE($E65,"_","S_"),MNU_GRAMAJE_REQUERIDO_TIPOA,"")))</f>
        <v>0</v>
      </c>
      <c r="K65" s="229">
        <f t="shared" si="42"/>
        <v>452</v>
      </c>
      <c r="L65" s="229">
        <f t="shared" si="43"/>
        <v>0</v>
      </c>
      <c r="M65" s="229">
        <f t="shared" si="44"/>
        <v>0</v>
      </c>
      <c r="N65" s="454">
        <f t="shared" si="45"/>
        <v>0</v>
      </c>
      <c r="O65" s="454">
        <f t="shared" si="46"/>
        <v>0</v>
      </c>
      <c r="P65" s="454">
        <f t="shared" si="47"/>
        <v>0</v>
      </c>
      <c r="Q65" s="454">
        <f t="shared" si="48"/>
        <v>0</v>
      </c>
      <c r="R65" s="230">
        <f t="shared" si="49"/>
        <v>0</v>
      </c>
      <c r="S65" s="230">
        <f t="shared" si="50"/>
        <v>0</v>
      </c>
      <c r="T65" s="429">
        <f t="shared" si="51"/>
        <v>11</v>
      </c>
      <c r="U65" s="429">
        <f t="shared" si="52"/>
        <v>0</v>
      </c>
      <c r="V65" s="430">
        <f t="array" ref="V65">MAX((IF(MNU_CODIGO_ALIMENTO_ENTREGA=CONCATENATE($E65,"_","S_"),MNU_GRAMAJE_REQUERIDO_TIPOB,"")))</f>
        <v>100</v>
      </c>
      <c r="W65" s="397">
        <f t="shared" si="53"/>
        <v>446</v>
      </c>
      <c r="X65" s="397">
        <f t="shared" si="54"/>
        <v>0</v>
      </c>
      <c r="Y65" s="397">
        <f t="shared" si="55"/>
        <v>4906</v>
      </c>
      <c r="Z65" s="454">
        <f t="shared" si="56"/>
        <v>286</v>
      </c>
      <c r="AA65" s="454">
        <f t="shared" si="57"/>
        <v>13.956800000000001</v>
      </c>
      <c r="AB65" s="454">
        <f t="shared" si="58"/>
        <v>0.24596457599999999</v>
      </c>
      <c r="AC65" s="454">
        <f t="shared" si="59"/>
        <v>300</v>
      </c>
      <c r="AD65" s="231">
        <f t="shared" si="60"/>
        <v>1403116</v>
      </c>
      <c r="AE65" s="231">
        <f t="shared" si="61"/>
        <v>1471800</v>
      </c>
      <c r="AF65" s="427">
        <f t="shared" si="62"/>
        <v>11</v>
      </c>
      <c r="AG65" s="427">
        <f t="shared" si="63"/>
        <v>0</v>
      </c>
      <c r="AH65" s="428">
        <f t="array" ref="AH65">MAX((IF(MNU_CODIGO_ALIMENTO_ENTREGA=CONCATENATE($E65,"_","S_"),MNU_GRAMAJE_REQUERIDO_TIPOC,"")))</f>
        <v>100</v>
      </c>
      <c r="AI65" s="229">
        <f t="shared" si="64"/>
        <v>1525</v>
      </c>
      <c r="AJ65" s="229">
        <f t="shared" si="65"/>
        <v>0</v>
      </c>
      <c r="AK65" s="229">
        <f t="shared" si="66"/>
        <v>16775</v>
      </c>
      <c r="AL65" s="454">
        <f t="shared" si="67"/>
        <v>286</v>
      </c>
      <c r="AM65" s="454">
        <f t="shared" si="68"/>
        <v>13.956800000000001</v>
      </c>
      <c r="AN65" s="454">
        <f t="shared" si="69"/>
        <v>0.24596457599999999</v>
      </c>
      <c r="AO65" s="454">
        <f t="shared" si="70"/>
        <v>300</v>
      </c>
      <c r="AP65" s="454">
        <f t="shared" si="71"/>
        <v>4797650</v>
      </c>
      <c r="AQ65" s="230">
        <f t="shared" si="72"/>
        <v>5032500</v>
      </c>
      <c r="AR65" s="397">
        <f t="shared" si="73"/>
        <v>6200766</v>
      </c>
      <c r="AS65" s="397">
        <f t="shared" si="74"/>
        <v>6504300</v>
      </c>
    </row>
    <row r="66" spans="1:45" ht="15.75">
      <c r="A66" s="228">
        <v>4</v>
      </c>
      <c r="B66" s="228" t="str">
        <f t="shared" si="38"/>
        <v>FRUTA_4</v>
      </c>
      <c r="C66" s="338" t="str">
        <f t="shared" si="39"/>
        <v>69_4</v>
      </c>
      <c r="D66" s="398" t="s">
        <v>1</v>
      </c>
      <c r="E66" s="228">
        <v>69</v>
      </c>
      <c r="F66" s="332" t="s">
        <v>70</v>
      </c>
      <c r="G66" s="228" t="s">
        <v>9</v>
      </c>
      <c r="H66" s="427">
        <f t="shared" si="40"/>
        <v>18</v>
      </c>
      <c r="I66" s="427">
        <f t="shared" si="41"/>
        <v>2</v>
      </c>
      <c r="J66" s="428">
        <f t="array" ref="J66">MAX((IF(MNU_CODIGO_ALIMENTO_ENTREGA=CONCATENATE($E66,"_","S_"),MNU_GRAMAJE_REQUERIDO_TIPOA,"")))</f>
        <v>100</v>
      </c>
      <c r="K66" s="229">
        <f t="shared" si="42"/>
        <v>452</v>
      </c>
      <c r="L66" s="229">
        <f t="shared" si="43"/>
        <v>0</v>
      </c>
      <c r="M66" s="229">
        <f t="shared" si="44"/>
        <v>8136</v>
      </c>
      <c r="N66" s="454">
        <f t="shared" si="45"/>
        <v>305</v>
      </c>
      <c r="O66" s="454">
        <f t="shared" si="46"/>
        <v>14.884</v>
      </c>
      <c r="P66" s="454">
        <f t="shared" si="47"/>
        <v>0.26230488000000002</v>
      </c>
      <c r="Q66" s="454">
        <f t="shared" si="48"/>
        <v>320</v>
      </c>
      <c r="R66" s="230">
        <f t="shared" si="49"/>
        <v>2481480</v>
      </c>
      <c r="S66" s="230">
        <f t="shared" si="50"/>
        <v>2603520</v>
      </c>
      <c r="T66" s="429">
        <f t="shared" si="51"/>
        <v>12</v>
      </c>
      <c r="U66" s="429">
        <f t="shared" si="52"/>
        <v>2</v>
      </c>
      <c r="V66" s="430">
        <f t="array" ref="V66">MAX((IF(MNU_CODIGO_ALIMENTO_ENTREGA=CONCATENATE($E66,"_","S_"),MNU_GRAMAJE_REQUERIDO_TIPOB,"")))</f>
        <v>100</v>
      </c>
      <c r="W66" s="397">
        <f t="shared" si="53"/>
        <v>446</v>
      </c>
      <c r="X66" s="397">
        <f t="shared" si="54"/>
        <v>0</v>
      </c>
      <c r="Y66" s="397">
        <f t="shared" si="55"/>
        <v>5352</v>
      </c>
      <c r="Z66" s="454">
        <f t="shared" si="56"/>
        <v>305</v>
      </c>
      <c r="AA66" s="454">
        <f t="shared" si="57"/>
        <v>14.884</v>
      </c>
      <c r="AB66" s="454">
        <f t="shared" si="58"/>
        <v>0.26230488000000002</v>
      </c>
      <c r="AC66" s="454">
        <f t="shared" si="59"/>
        <v>320</v>
      </c>
      <c r="AD66" s="231">
        <f t="shared" si="60"/>
        <v>1632360</v>
      </c>
      <c r="AE66" s="231">
        <f t="shared" si="61"/>
        <v>1712640</v>
      </c>
      <c r="AF66" s="427">
        <f t="shared" si="62"/>
        <v>12</v>
      </c>
      <c r="AG66" s="427">
        <f t="shared" si="63"/>
        <v>2</v>
      </c>
      <c r="AH66" s="428">
        <f t="array" ref="AH66">MAX((IF(MNU_CODIGO_ALIMENTO_ENTREGA=CONCATENATE($E66,"_","S_"),MNU_GRAMAJE_REQUERIDO_TIPOC,"")))</f>
        <v>100</v>
      </c>
      <c r="AI66" s="229">
        <f t="shared" si="64"/>
        <v>1525</v>
      </c>
      <c r="AJ66" s="229">
        <f t="shared" si="65"/>
        <v>0</v>
      </c>
      <c r="AK66" s="229">
        <f t="shared" si="66"/>
        <v>18300</v>
      </c>
      <c r="AL66" s="454">
        <f t="shared" si="67"/>
        <v>305</v>
      </c>
      <c r="AM66" s="454">
        <f t="shared" si="68"/>
        <v>14.884</v>
      </c>
      <c r="AN66" s="454">
        <f t="shared" si="69"/>
        <v>0.26230488000000002</v>
      </c>
      <c r="AO66" s="454">
        <f t="shared" si="70"/>
        <v>320</v>
      </c>
      <c r="AP66" s="454">
        <f t="shared" si="71"/>
        <v>5581500</v>
      </c>
      <c r="AQ66" s="230">
        <f t="shared" si="72"/>
        <v>5856000</v>
      </c>
      <c r="AR66" s="397">
        <f t="shared" si="73"/>
        <v>9695340</v>
      </c>
      <c r="AS66" s="397">
        <f t="shared" si="74"/>
        <v>10172160</v>
      </c>
    </row>
    <row r="67" spans="1:45" ht="15.75">
      <c r="A67" s="228">
        <v>4</v>
      </c>
      <c r="B67" s="228" t="str">
        <f t="shared" si="38"/>
        <v>FRUTA_4</v>
      </c>
      <c r="C67" s="338" t="str">
        <f t="shared" si="39"/>
        <v>70_4</v>
      </c>
      <c r="D67" s="398" t="s">
        <v>1</v>
      </c>
      <c r="E67" s="228">
        <v>70</v>
      </c>
      <c r="F67" s="332" t="s">
        <v>71</v>
      </c>
      <c r="G67" s="228" t="s">
        <v>9</v>
      </c>
      <c r="H67" s="427">
        <f t="shared" si="40"/>
        <v>0</v>
      </c>
      <c r="I67" s="427">
        <f t="shared" si="41"/>
        <v>0</v>
      </c>
      <c r="J67" s="428">
        <f t="array" ref="J67">MAX((IF(MNU_CODIGO_ALIMENTO_ENTREGA=CONCATENATE($E67,"_","S_"),MNU_GRAMAJE_REQUERIDO_TIPOA,"")))</f>
        <v>0</v>
      </c>
      <c r="K67" s="229">
        <f t="shared" si="42"/>
        <v>452</v>
      </c>
      <c r="L67" s="229">
        <f t="shared" si="43"/>
        <v>0</v>
      </c>
      <c r="M67" s="229">
        <f t="shared" si="44"/>
        <v>0</v>
      </c>
      <c r="N67" s="454">
        <f t="shared" si="45"/>
        <v>0</v>
      </c>
      <c r="O67" s="454">
        <f t="shared" si="46"/>
        <v>0</v>
      </c>
      <c r="P67" s="454">
        <f t="shared" si="47"/>
        <v>0</v>
      </c>
      <c r="Q67" s="454">
        <f t="shared" si="48"/>
        <v>0</v>
      </c>
      <c r="R67" s="230">
        <f t="shared" si="49"/>
        <v>0</v>
      </c>
      <c r="S67" s="230">
        <f t="shared" si="50"/>
        <v>0</v>
      </c>
      <c r="T67" s="429">
        <f t="shared" si="51"/>
        <v>8</v>
      </c>
      <c r="U67" s="429">
        <f t="shared" si="52"/>
        <v>4</v>
      </c>
      <c r="V67" s="430">
        <f t="array" ref="V67">MAX((IF(MNU_CODIGO_ALIMENTO_ENTREGA=CONCATENATE($E67,"_","S_"),MNU_GRAMAJE_REQUERIDO_TIPOB,"")))</f>
        <v>100</v>
      </c>
      <c r="W67" s="397">
        <f t="shared" si="53"/>
        <v>446</v>
      </c>
      <c r="X67" s="397">
        <f t="shared" si="54"/>
        <v>0</v>
      </c>
      <c r="Y67" s="397">
        <f t="shared" si="55"/>
        <v>3568</v>
      </c>
      <c r="Z67" s="454">
        <f t="shared" si="56"/>
        <v>434</v>
      </c>
      <c r="AA67" s="454">
        <f t="shared" si="57"/>
        <v>21.179200000000002</v>
      </c>
      <c r="AB67" s="454">
        <f t="shared" si="58"/>
        <v>0.37324694399999997</v>
      </c>
      <c r="AC67" s="454">
        <f t="shared" si="59"/>
        <v>456</v>
      </c>
      <c r="AD67" s="231">
        <f t="shared" si="60"/>
        <v>1548512</v>
      </c>
      <c r="AE67" s="231">
        <f t="shared" si="61"/>
        <v>1627008</v>
      </c>
      <c r="AF67" s="427">
        <f t="shared" si="62"/>
        <v>8</v>
      </c>
      <c r="AG67" s="427">
        <f t="shared" si="63"/>
        <v>4</v>
      </c>
      <c r="AH67" s="428">
        <f t="array" ref="AH67">MAX((IF(MNU_CODIGO_ALIMENTO_ENTREGA=CONCATENATE($E67,"_","S_"),MNU_GRAMAJE_REQUERIDO_TIPOC,"")))</f>
        <v>100</v>
      </c>
      <c r="AI67" s="229">
        <f t="shared" si="64"/>
        <v>1525</v>
      </c>
      <c r="AJ67" s="229">
        <f t="shared" si="65"/>
        <v>0</v>
      </c>
      <c r="AK67" s="229">
        <f t="shared" si="66"/>
        <v>12200</v>
      </c>
      <c r="AL67" s="454">
        <f t="shared" si="67"/>
        <v>434</v>
      </c>
      <c r="AM67" s="454">
        <f t="shared" si="68"/>
        <v>21.179200000000002</v>
      </c>
      <c r="AN67" s="454">
        <f t="shared" si="69"/>
        <v>0.37324694399999997</v>
      </c>
      <c r="AO67" s="454">
        <f t="shared" si="70"/>
        <v>456</v>
      </c>
      <c r="AP67" s="454">
        <f t="shared" si="71"/>
        <v>5294800</v>
      </c>
      <c r="AQ67" s="230">
        <f t="shared" si="72"/>
        <v>5563200</v>
      </c>
      <c r="AR67" s="397">
        <f t="shared" si="73"/>
        <v>6843312</v>
      </c>
      <c r="AS67" s="397">
        <f t="shared" si="74"/>
        <v>7190208</v>
      </c>
    </row>
    <row r="68" spans="1:45" ht="15.75">
      <c r="A68" s="228">
        <v>5</v>
      </c>
      <c r="B68" s="228" t="str">
        <f t="shared" si="38"/>
        <v>FRUTA_5</v>
      </c>
      <c r="C68" s="338" t="str">
        <f t="shared" si="39"/>
        <v>7_5</v>
      </c>
      <c r="D68" s="398" t="s">
        <v>1</v>
      </c>
      <c r="E68" s="228">
        <v>7</v>
      </c>
      <c r="F68" s="332" t="s">
        <v>57</v>
      </c>
      <c r="G68" s="228" t="s">
        <v>9</v>
      </c>
      <c r="H68" s="427">
        <f t="shared" si="40"/>
        <v>31</v>
      </c>
      <c r="I68" s="427">
        <f t="shared" si="41"/>
        <v>0</v>
      </c>
      <c r="J68" s="428">
        <f t="array" ref="J68">MAX((IF(MNU_CODIGO_ALIMENTO_ENTREGA=CONCATENATE($E68,"_","S_"),MNU_GRAMAJE_REQUERIDO_TIPOA,"")))</f>
        <v>100</v>
      </c>
      <c r="K68" s="229">
        <f t="shared" si="42"/>
        <v>710</v>
      </c>
      <c r="L68" s="229">
        <f t="shared" si="43"/>
        <v>0</v>
      </c>
      <c r="M68" s="229">
        <f t="shared" si="44"/>
        <v>22010</v>
      </c>
      <c r="N68" s="454">
        <f t="shared" si="45"/>
        <v>107</v>
      </c>
      <c r="O68" s="454">
        <f t="shared" si="46"/>
        <v>5.2216000000000005</v>
      </c>
      <c r="P68" s="454">
        <f t="shared" si="47"/>
        <v>9.2021712000000006E-2</v>
      </c>
      <c r="Q68" s="454">
        <f t="shared" si="48"/>
        <v>112</v>
      </c>
      <c r="R68" s="230">
        <f t="shared" si="49"/>
        <v>2355070</v>
      </c>
      <c r="S68" s="230">
        <f t="shared" si="50"/>
        <v>2465120</v>
      </c>
      <c r="T68" s="429">
        <f t="shared" si="51"/>
        <v>11</v>
      </c>
      <c r="U68" s="429">
        <f t="shared" si="52"/>
        <v>0</v>
      </c>
      <c r="V68" s="430">
        <f t="array" ref="V68">MAX((IF(MNU_CODIGO_ALIMENTO_ENTREGA=CONCATENATE($E68,"_","S_"),MNU_GRAMAJE_REQUERIDO_TIPOB,"")))</f>
        <v>100</v>
      </c>
      <c r="W68" s="397">
        <f t="shared" si="53"/>
        <v>1296</v>
      </c>
      <c r="X68" s="397">
        <f t="shared" si="54"/>
        <v>0</v>
      </c>
      <c r="Y68" s="397">
        <f t="shared" si="55"/>
        <v>14256</v>
      </c>
      <c r="Z68" s="454">
        <f t="shared" si="56"/>
        <v>107</v>
      </c>
      <c r="AA68" s="454">
        <f t="shared" si="57"/>
        <v>5.2216000000000005</v>
      </c>
      <c r="AB68" s="454">
        <f t="shared" si="58"/>
        <v>9.2021712000000006E-2</v>
      </c>
      <c r="AC68" s="454">
        <f t="shared" si="59"/>
        <v>112</v>
      </c>
      <c r="AD68" s="231">
        <f t="shared" si="60"/>
        <v>1525392</v>
      </c>
      <c r="AE68" s="231">
        <f t="shared" si="61"/>
        <v>1596672</v>
      </c>
      <c r="AF68" s="427">
        <f t="shared" si="62"/>
        <v>11</v>
      </c>
      <c r="AG68" s="427">
        <f t="shared" si="63"/>
        <v>0</v>
      </c>
      <c r="AH68" s="428">
        <f t="array" ref="AH68">MAX((IF(MNU_CODIGO_ALIMENTO_ENTREGA=CONCATENATE($E68,"_","S_"),MNU_GRAMAJE_REQUERIDO_TIPOC,"")))</f>
        <v>100</v>
      </c>
      <c r="AI68" s="229">
        <f t="shared" si="64"/>
        <v>1707</v>
      </c>
      <c r="AJ68" s="229">
        <f t="shared" si="65"/>
        <v>0</v>
      </c>
      <c r="AK68" s="229">
        <f t="shared" si="66"/>
        <v>18777</v>
      </c>
      <c r="AL68" s="454">
        <f t="shared" si="67"/>
        <v>107</v>
      </c>
      <c r="AM68" s="454">
        <f t="shared" si="68"/>
        <v>5.2216000000000005</v>
      </c>
      <c r="AN68" s="454">
        <f t="shared" si="69"/>
        <v>9.2021712000000006E-2</v>
      </c>
      <c r="AO68" s="454">
        <f t="shared" si="70"/>
        <v>112</v>
      </c>
      <c r="AP68" s="454">
        <f t="shared" si="71"/>
        <v>2009139</v>
      </c>
      <c r="AQ68" s="230">
        <f t="shared" si="72"/>
        <v>2103024</v>
      </c>
      <c r="AR68" s="397">
        <f t="shared" si="73"/>
        <v>5889601</v>
      </c>
      <c r="AS68" s="397">
        <f t="shared" si="74"/>
        <v>6164816</v>
      </c>
    </row>
    <row r="69" spans="1:45" ht="15.75">
      <c r="A69" s="228">
        <v>5</v>
      </c>
      <c r="B69" s="228" t="str">
        <f t="shared" si="38"/>
        <v>FRUTA_5</v>
      </c>
      <c r="C69" s="338" t="str">
        <f t="shared" si="39"/>
        <v>8_5</v>
      </c>
      <c r="D69" s="398" t="s">
        <v>1</v>
      </c>
      <c r="E69" s="258">
        <v>8</v>
      </c>
      <c r="F69" s="328" t="s">
        <v>55</v>
      </c>
      <c r="G69" s="228" t="s">
        <v>9</v>
      </c>
      <c r="H69" s="427">
        <f t="shared" si="40"/>
        <v>11</v>
      </c>
      <c r="I69" s="427">
        <f t="shared" si="41"/>
        <v>0</v>
      </c>
      <c r="J69" s="428">
        <f t="array" ref="J69">MAX((IF(MNU_CODIGO_ALIMENTO_ENTREGA=CONCATENATE($E69,"_","S_"),MNU_GRAMAJE_REQUERIDO_TIPOA,"")))</f>
        <v>100</v>
      </c>
      <c r="K69" s="229">
        <f t="shared" si="42"/>
        <v>710</v>
      </c>
      <c r="L69" s="229">
        <f t="shared" si="43"/>
        <v>0</v>
      </c>
      <c r="M69" s="229">
        <f t="shared" si="44"/>
        <v>7810</v>
      </c>
      <c r="N69" s="454">
        <f t="shared" si="45"/>
        <v>134</v>
      </c>
      <c r="O69" s="454">
        <f t="shared" si="46"/>
        <v>6.539200000000001</v>
      </c>
      <c r="P69" s="454">
        <f t="shared" si="47"/>
        <v>0.115242144</v>
      </c>
      <c r="Q69" s="454">
        <f t="shared" si="48"/>
        <v>141</v>
      </c>
      <c r="R69" s="230">
        <f t="shared" si="49"/>
        <v>1046540</v>
      </c>
      <c r="S69" s="230">
        <f t="shared" si="50"/>
        <v>1101210</v>
      </c>
      <c r="T69" s="429">
        <f t="shared" si="51"/>
        <v>11</v>
      </c>
      <c r="U69" s="429">
        <f t="shared" si="52"/>
        <v>0</v>
      </c>
      <c r="V69" s="430">
        <f t="array" ref="V69">MAX((IF(MNU_CODIGO_ALIMENTO_ENTREGA=CONCATENATE($E69,"_","S_"),MNU_GRAMAJE_REQUERIDO_TIPOB,"")))</f>
        <v>100</v>
      </c>
      <c r="W69" s="397">
        <f t="shared" si="53"/>
        <v>1296</v>
      </c>
      <c r="X69" s="397">
        <f t="shared" si="54"/>
        <v>0</v>
      </c>
      <c r="Y69" s="397">
        <f t="shared" si="55"/>
        <v>14256</v>
      </c>
      <c r="Z69" s="454">
        <f t="shared" si="56"/>
        <v>134</v>
      </c>
      <c r="AA69" s="454">
        <f t="shared" si="57"/>
        <v>6.539200000000001</v>
      </c>
      <c r="AB69" s="454">
        <f t="shared" si="58"/>
        <v>0.115242144</v>
      </c>
      <c r="AC69" s="454">
        <f t="shared" si="59"/>
        <v>141</v>
      </c>
      <c r="AD69" s="231">
        <f t="shared" si="60"/>
        <v>1910304</v>
      </c>
      <c r="AE69" s="231">
        <f t="shared" si="61"/>
        <v>2010096</v>
      </c>
      <c r="AF69" s="427">
        <f t="shared" si="62"/>
        <v>11</v>
      </c>
      <c r="AG69" s="427">
        <f t="shared" si="63"/>
        <v>0</v>
      </c>
      <c r="AH69" s="428">
        <f t="array" ref="AH69">MAX((IF(MNU_CODIGO_ALIMENTO_ENTREGA=CONCATENATE($E69,"_","S_"),MNU_GRAMAJE_REQUERIDO_TIPOC,"")))</f>
        <v>100</v>
      </c>
      <c r="AI69" s="229">
        <f t="shared" si="64"/>
        <v>1707</v>
      </c>
      <c r="AJ69" s="229">
        <f t="shared" si="65"/>
        <v>0</v>
      </c>
      <c r="AK69" s="229">
        <f t="shared" si="66"/>
        <v>18777</v>
      </c>
      <c r="AL69" s="454">
        <f t="shared" si="67"/>
        <v>134</v>
      </c>
      <c r="AM69" s="454">
        <f t="shared" si="68"/>
        <v>6.539200000000001</v>
      </c>
      <c r="AN69" s="454">
        <f t="shared" si="69"/>
        <v>0.115242144</v>
      </c>
      <c r="AO69" s="454">
        <f t="shared" si="70"/>
        <v>141</v>
      </c>
      <c r="AP69" s="454">
        <f t="shared" si="71"/>
        <v>2516118</v>
      </c>
      <c r="AQ69" s="230">
        <f t="shared" si="72"/>
        <v>2647557</v>
      </c>
      <c r="AR69" s="397">
        <f t="shared" si="73"/>
        <v>5472962</v>
      </c>
      <c r="AS69" s="397">
        <f t="shared" si="74"/>
        <v>5758863</v>
      </c>
    </row>
    <row r="70" spans="1:45" ht="15.75">
      <c r="A70" s="228">
        <v>5</v>
      </c>
      <c r="B70" s="228" t="str">
        <f t="shared" si="38"/>
        <v>FRUTA_5</v>
      </c>
      <c r="C70" s="338" t="str">
        <f t="shared" si="39"/>
        <v>17_5</v>
      </c>
      <c r="D70" s="398" t="s">
        <v>1</v>
      </c>
      <c r="E70" s="228">
        <v>17</v>
      </c>
      <c r="F70" s="332" t="s">
        <v>53</v>
      </c>
      <c r="G70" s="228" t="s">
        <v>9</v>
      </c>
      <c r="H70" s="427">
        <f t="shared" si="40"/>
        <v>0</v>
      </c>
      <c r="I70" s="427">
        <f t="shared" si="41"/>
        <v>0</v>
      </c>
      <c r="J70" s="428">
        <f t="array" ref="J70">MAX((IF(MNU_CODIGO_ALIMENTO_ENTREGA=CONCATENATE($E70,"_","S_"),MNU_GRAMAJE_REQUERIDO_TIPOA,"")))</f>
        <v>0</v>
      </c>
      <c r="K70" s="229">
        <f t="shared" si="42"/>
        <v>710</v>
      </c>
      <c r="L70" s="229">
        <f t="shared" si="43"/>
        <v>0</v>
      </c>
      <c r="M70" s="229">
        <f t="shared" si="44"/>
        <v>0</v>
      </c>
      <c r="N70" s="454">
        <f t="shared" si="45"/>
        <v>0</v>
      </c>
      <c r="O70" s="454">
        <f t="shared" si="46"/>
        <v>0</v>
      </c>
      <c r="P70" s="454">
        <f t="shared" si="47"/>
        <v>0</v>
      </c>
      <c r="Q70" s="454">
        <f t="shared" si="48"/>
        <v>0</v>
      </c>
      <c r="R70" s="230">
        <f t="shared" si="49"/>
        <v>0</v>
      </c>
      <c r="S70" s="230">
        <f t="shared" si="50"/>
        <v>0</v>
      </c>
      <c r="T70" s="429">
        <f t="shared" si="51"/>
        <v>23</v>
      </c>
      <c r="U70" s="429">
        <f t="shared" si="52"/>
        <v>4</v>
      </c>
      <c r="V70" s="430">
        <f t="array" ref="V70">MAX((IF(MNU_CODIGO_ALIMENTO_ENTREGA=CONCATENATE($E70,"_","S_"),MNU_GRAMAJE_REQUERIDO_TIPOB,"")))</f>
        <v>100</v>
      </c>
      <c r="W70" s="397">
        <f t="shared" si="53"/>
        <v>1296</v>
      </c>
      <c r="X70" s="397">
        <f t="shared" si="54"/>
        <v>0</v>
      </c>
      <c r="Y70" s="397">
        <f t="shared" si="55"/>
        <v>29808</v>
      </c>
      <c r="Z70" s="454">
        <f t="shared" si="56"/>
        <v>226</v>
      </c>
      <c r="AA70" s="454">
        <f t="shared" si="57"/>
        <v>11.0288</v>
      </c>
      <c r="AB70" s="454">
        <f t="shared" si="58"/>
        <v>0.19436361600000002</v>
      </c>
      <c r="AC70" s="454">
        <f t="shared" si="59"/>
        <v>237</v>
      </c>
      <c r="AD70" s="231">
        <f t="shared" si="60"/>
        <v>6736608</v>
      </c>
      <c r="AE70" s="231">
        <f t="shared" si="61"/>
        <v>7064496</v>
      </c>
      <c r="AF70" s="427">
        <f t="shared" si="62"/>
        <v>23</v>
      </c>
      <c r="AG70" s="427">
        <f t="shared" si="63"/>
        <v>4</v>
      </c>
      <c r="AH70" s="428">
        <f t="array" ref="AH70">MAX((IF(MNU_CODIGO_ALIMENTO_ENTREGA=CONCATENATE($E70,"_","S_"),MNU_GRAMAJE_REQUERIDO_TIPOC,"")))</f>
        <v>100</v>
      </c>
      <c r="AI70" s="229">
        <f t="shared" si="64"/>
        <v>1707</v>
      </c>
      <c r="AJ70" s="229">
        <f t="shared" si="65"/>
        <v>0</v>
      </c>
      <c r="AK70" s="229">
        <f t="shared" si="66"/>
        <v>39261</v>
      </c>
      <c r="AL70" s="454">
        <f t="shared" si="67"/>
        <v>226</v>
      </c>
      <c r="AM70" s="454">
        <f t="shared" si="68"/>
        <v>11.0288</v>
      </c>
      <c r="AN70" s="454">
        <f t="shared" si="69"/>
        <v>0.19436361600000002</v>
      </c>
      <c r="AO70" s="454">
        <f t="shared" si="70"/>
        <v>237</v>
      </c>
      <c r="AP70" s="454">
        <f t="shared" si="71"/>
        <v>8872986</v>
      </c>
      <c r="AQ70" s="230">
        <f t="shared" si="72"/>
        <v>9304857</v>
      </c>
      <c r="AR70" s="397">
        <f t="shared" si="73"/>
        <v>15609594</v>
      </c>
      <c r="AS70" s="397">
        <f t="shared" si="74"/>
        <v>16369353</v>
      </c>
    </row>
    <row r="71" spans="1:45" ht="15.75">
      <c r="A71" s="228">
        <v>5</v>
      </c>
      <c r="B71" s="228" t="str">
        <f t="shared" si="38"/>
        <v>FRUTA_5</v>
      </c>
      <c r="C71" s="338" t="str">
        <f t="shared" si="39"/>
        <v>22_5</v>
      </c>
      <c r="D71" s="398" t="s">
        <v>1</v>
      </c>
      <c r="E71" s="228">
        <v>22</v>
      </c>
      <c r="F71" s="332" t="s">
        <v>51</v>
      </c>
      <c r="G71" s="228" t="s">
        <v>9</v>
      </c>
      <c r="H71" s="427">
        <f t="shared" si="40"/>
        <v>0</v>
      </c>
      <c r="I71" s="427">
        <f t="shared" si="41"/>
        <v>0</v>
      </c>
      <c r="J71" s="428">
        <f t="array" ref="J71">MAX((IF(MNU_CODIGO_ALIMENTO_ENTREGA=CONCATENATE($E71,"_","S_"),MNU_GRAMAJE_REQUERIDO_TIPOA,"")))</f>
        <v>0</v>
      </c>
      <c r="K71" s="229">
        <f t="shared" si="42"/>
        <v>710</v>
      </c>
      <c r="L71" s="229">
        <f t="shared" si="43"/>
        <v>0</v>
      </c>
      <c r="M71" s="229">
        <f t="shared" si="44"/>
        <v>0</v>
      </c>
      <c r="N71" s="454">
        <f t="shared" si="45"/>
        <v>0</v>
      </c>
      <c r="O71" s="454">
        <f t="shared" si="46"/>
        <v>0</v>
      </c>
      <c r="P71" s="454">
        <f t="shared" si="47"/>
        <v>0</v>
      </c>
      <c r="Q71" s="454">
        <f t="shared" si="48"/>
        <v>0</v>
      </c>
      <c r="R71" s="230">
        <f t="shared" si="49"/>
        <v>0</v>
      </c>
      <c r="S71" s="230">
        <f t="shared" si="50"/>
        <v>0</v>
      </c>
      <c r="T71" s="429">
        <f t="shared" si="51"/>
        <v>23</v>
      </c>
      <c r="U71" s="429">
        <f t="shared" si="52"/>
        <v>4</v>
      </c>
      <c r="V71" s="430">
        <f t="array" ref="V71">MAX((IF(MNU_CODIGO_ALIMENTO_ENTREGA=CONCATENATE($E71,"_","S_"),MNU_GRAMAJE_REQUERIDO_TIPOB,"")))</f>
        <v>100</v>
      </c>
      <c r="W71" s="397">
        <f t="shared" si="53"/>
        <v>1296</v>
      </c>
      <c r="X71" s="397">
        <f t="shared" si="54"/>
        <v>0</v>
      </c>
      <c r="Y71" s="397">
        <f t="shared" si="55"/>
        <v>29808</v>
      </c>
      <c r="Z71" s="454">
        <f t="shared" si="56"/>
        <v>525</v>
      </c>
      <c r="AA71" s="454">
        <f t="shared" si="57"/>
        <v>25.62</v>
      </c>
      <c r="AB71" s="454">
        <f t="shared" si="58"/>
        <v>0.45150840000000003</v>
      </c>
      <c r="AC71" s="454">
        <f t="shared" si="59"/>
        <v>551</v>
      </c>
      <c r="AD71" s="231">
        <f t="shared" si="60"/>
        <v>15649200</v>
      </c>
      <c r="AE71" s="231">
        <f t="shared" si="61"/>
        <v>16424208</v>
      </c>
      <c r="AF71" s="427">
        <f t="shared" si="62"/>
        <v>23</v>
      </c>
      <c r="AG71" s="427">
        <f t="shared" si="63"/>
        <v>4</v>
      </c>
      <c r="AH71" s="428">
        <f t="array" ref="AH71">MAX((IF(MNU_CODIGO_ALIMENTO_ENTREGA=CONCATENATE($E71,"_","S_"),MNU_GRAMAJE_REQUERIDO_TIPOC,"")))</f>
        <v>100</v>
      </c>
      <c r="AI71" s="229">
        <f t="shared" si="64"/>
        <v>1707</v>
      </c>
      <c r="AJ71" s="229">
        <f t="shared" si="65"/>
        <v>0</v>
      </c>
      <c r="AK71" s="229">
        <f t="shared" si="66"/>
        <v>39261</v>
      </c>
      <c r="AL71" s="454">
        <f t="shared" si="67"/>
        <v>525</v>
      </c>
      <c r="AM71" s="454">
        <f t="shared" si="68"/>
        <v>25.62</v>
      </c>
      <c r="AN71" s="454">
        <f t="shared" si="69"/>
        <v>0.45150840000000003</v>
      </c>
      <c r="AO71" s="454">
        <f t="shared" si="70"/>
        <v>551</v>
      </c>
      <c r="AP71" s="454">
        <f t="shared" si="71"/>
        <v>20612025</v>
      </c>
      <c r="AQ71" s="230">
        <f t="shared" si="72"/>
        <v>21632811</v>
      </c>
      <c r="AR71" s="397">
        <f t="shared" si="73"/>
        <v>36261225</v>
      </c>
      <c r="AS71" s="397">
        <f t="shared" si="74"/>
        <v>38057019</v>
      </c>
    </row>
    <row r="72" spans="1:45" ht="15.75">
      <c r="A72" s="228">
        <v>5</v>
      </c>
      <c r="B72" s="228" t="str">
        <f t="shared" si="38"/>
        <v>FRUTA_5</v>
      </c>
      <c r="C72" s="338" t="str">
        <f t="shared" si="39"/>
        <v>33_5</v>
      </c>
      <c r="D72" s="398" t="s">
        <v>1</v>
      </c>
      <c r="E72" s="228">
        <v>33</v>
      </c>
      <c r="F72" s="332" t="s">
        <v>59</v>
      </c>
      <c r="G72" s="228" t="s">
        <v>48</v>
      </c>
      <c r="H72" s="427">
        <f t="shared" si="40"/>
        <v>29</v>
      </c>
      <c r="I72" s="427">
        <f t="shared" si="41"/>
        <v>5</v>
      </c>
      <c r="J72" s="428">
        <v>1</v>
      </c>
      <c r="K72" s="229">
        <f t="shared" si="42"/>
        <v>710</v>
      </c>
      <c r="L72" s="229">
        <f t="shared" si="43"/>
        <v>0</v>
      </c>
      <c r="M72" s="229">
        <f t="shared" si="44"/>
        <v>20590</v>
      </c>
      <c r="N72" s="454">
        <f t="shared" si="45"/>
        <v>270</v>
      </c>
      <c r="O72" s="454">
        <f t="shared" si="46"/>
        <v>13.176000000000002</v>
      </c>
      <c r="P72" s="454">
        <f t="shared" si="47"/>
        <v>0.23220432000000002</v>
      </c>
      <c r="Q72" s="454">
        <f t="shared" si="48"/>
        <v>283</v>
      </c>
      <c r="R72" s="230">
        <f t="shared" si="49"/>
        <v>5559300</v>
      </c>
      <c r="S72" s="230">
        <f t="shared" si="50"/>
        <v>5826970</v>
      </c>
      <c r="T72" s="429">
        <f t="shared" si="51"/>
        <v>23</v>
      </c>
      <c r="U72" s="429">
        <f t="shared" si="52"/>
        <v>2</v>
      </c>
      <c r="V72" s="430">
        <v>1</v>
      </c>
      <c r="W72" s="397">
        <f t="shared" si="53"/>
        <v>1296</v>
      </c>
      <c r="X72" s="397">
        <f t="shared" si="54"/>
        <v>0</v>
      </c>
      <c r="Y72" s="397">
        <f t="shared" si="55"/>
        <v>29808</v>
      </c>
      <c r="Z72" s="454">
        <f t="shared" si="56"/>
        <v>270</v>
      </c>
      <c r="AA72" s="454">
        <f t="shared" si="57"/>
        <v>13.176000000000002</v>
      </c>
      <c r="AB72" s="454">
        <f t="shared" si="58"/>
        <v>0.23220432000000002</v>
      </c>
      <c r="AC72" s="454">
        <f t="shared" si="59"/>
        <v>283</v>
      </c>
      <c r="AD72" s="231">
        <f t="shared" si="60"/>
        <v>8048160</v>
      </c>
      <c r="AE72" s="231">
        <f t="shared" si="61"/>
        <v>8435664</v>
      </c>
      <c r="AF72" s="427">
        <f t="shared" si="62"/>
        <v>23</v>
      </c>
      <c r="AG72" s="427">
        <f t="shared" si="63"/>
        <v>2</v>
      </c>
      <c r="AH72" s="428">
        <v>1</v>
      </c>
      <c r="AI72" s="229">
        <f t="shared" si="64"/>
        <v>1707</v>
      </c>
      <c r="AJ72" s="229">
        <f t="shared" si="65"/>
        <v>0</v>
      </c>
      <c r="AK72" s="229">
        <f t="shared" si="66"/>
        <v>39261</v>
      </c>
      <c r="AL72" s="454">
        <f t="shared" si="67"/>
        <v>270</v>
      </c>
      <c r="AM72" s="454">
        <f t="shared" si="68"/>
        <v>13.176000000000002</v>
      </c>
      <c r="AN72" s="454">
        <f t="shared" si="69"/>
        <v>0.23220432000000002</v>
      </c>
      <c r="AO72" s="454">
        <f t="shared" si="70"/>
        <v>283</v>
      </c>
      <c r="AP72" s="454">
        <f t="shared" si="71"/>
        <v>10600470</v>
      </c>
      <c r="AQ72" s="230">
        <f t="shared" si="72"/>
        <v>11110863</v>
      </c>
      <c r="AR72" s="397">
        <f t="shared" si="73"/>
        <v>24207930</v>
      </c>
      <c r="AS72" s="397">
        <f t="shared" si="74"/>
        <v>25373497</v>
      </c>
    </row>
    <row r="73" spans="1:45" ht="15.75">
      <c r="A73" s="228">
        <v>5</v>
      </c>
      <c r="B73" s="228" t="str">
        <f t="shared" si="38"/>
        <v>FRUTA_5</v>
      </c>
      <c r="C73" s="338" t="str">
        <f t="shared" si="39"/>
        <v>36_5</v>
      </c>
      <c r="D73" s="398" t="s">
        <v>1</v>
      </c>
      <c r="E73" s="228">
        <v>36</v>
      </c>
      <c r="F73" s="332" t="s">
        <v>1340</v>
      </c>
      <c r="G73" s="228" t="s">
        <v>9</v>
      </c>
      <c r="H73" s="427">
        <f t="shared" si="40"/>
        <v>8</v>
      </c>
      <c r="I73" s="427">
        <f t="shared" si="41"/>
        <v>0</v>
      </c>
      <c r="J73" s="428">
        <f t="array" ref="J73">MAX((IF(MNU_CODIGO_ALIMENTO_ENTREGA=CONCATENATE($E73,"_","S_"),MNU_GRAMAJE_REQUERIDO_TIPOA,"")))</f>
        <v>20</v>
      </c>
      <c r="K73" s="229">
        <f t="shared" si="42"/>
        <v>710</v>
      </c>
      <c r="L73" s="229">
        <f t="shared" si="43"/>
        <v>0</v>
      </c>
      <c r="M73" s="229">
        <f t="shared" si="44"/>
        <v>5680</v>
      </c>
      <c r="N73" s="454">
        <f t="shared" si="45"/>
        <v>126</v>
      </c>
      <c r="O73" s="454">
        <f t="shared" si="46"/>
        <v>6.1488000000000005</v>
      </c>
      <c r="P73" s="454">
        <f t="shared" si="47"/>
        <v>0.10836201599999999</v>
      </c>
      <c r="Q73" s="454">
        <f t="shared" si="48"/>
        <v>132</v>
      </c>
      <c r="R73" s="230">
        <f t="shared" si="49"/>
        <v>715680</v>
      </c>
      <c r="S73" s="230">
        <f t="shared" si="50"/>
        <v>749760</v>
      </c>
      <c r="T73" s="429">
        <f t="shared" si="51"/>
        <v>8</v>
      </c>
      <c r="U73" s="429">
        <f t="shared" si="52"/>
        <v>0</v>
      </c>
      <c r="V73" s="430">
        <f t="array" ref="V73">MAX((IF(MNU_CODIGO_ALIMENTO_ENTREGA=CONCATENATE($E73,"_","S_"),MNU_GRAMAJE_REQUERIDO_TIPOB,"")))</f>
        <v>40</v>
      </c>
      <c r="W73" s="397">
        <f t="shared" si="53"/>
        <v>1296</v>
      </c>
      <c r="X73" s="397">
        <f t="shared" si="54"/>
        <v>0</v>
      </c>
      <c r="Y73" s="397">
        <f t="shared" si="55"/>
        <v>10368</v>
      </c>
      <c r="Z73" s="454">
        <f t="shared" si="56"/>
        <v>252</v>
      </c>
      <c r="AA73" s="454">
        <f t="shared" si="57"/>
        <v>12.297600000000001</v>
      </c>
      <c r="AB73" s="454">
        <f t="shared" si="58"/>
        <v>0.21672403199999998</v>
      </c>
      <c r="AC73" s="454">
        <f t="shared" si="59"/>
        <v>265</v>
      </c>
      <c r="AD73" s="231">
        <f t="shared" si="60"/>
        <v>2612736</v>
      </c>
      <c r="AE73" s="231">
        <f t="shared" si="61"/>
        <v>2747520</v>
      </c>
      <c r="AF73" s="427">
        <f t="shared" si="62"/>
        <v>8</v>
      </c>
      <c r="AG73" s="427">
        <f t="shared" si="63"/>
        <v>0</v>
      </c>
      <c r="AH73" s="428">
        <f t="array" ref="AH73">MAX((IF(MNU_CODIGO_ALIMENTO_ENTREGA=CONCATENATE($E73,"_","S_"),MNU_GRAMAJE_REQUERIDO_TIPOC,"")))</f>
        <v>40</v>
      </c>
      <c r="AI73" s="229">
        <f t="shared" si="64"/>
        <v>1707</v>
      </c>
      <c r="AJ73" s="229">
        <f t="shared" si="65"/>
        <v>0</v>
      </c>
      <c r="AK73" s="229">
        <f t="shared" si="66"/>
        <v>13656</v>
      </c>
      <c r="AL73" s="454">
        <f t="shared" si="67"/>
        <v>252</v>
      </c>
      <c r="AM73" s="454">
        <f t="shared" si="68"/>
        <v>12.297600000000001</v>
      </c>
      <c r="AN73" s="454">
        <f t="shared" si="69"/>
        <v>0.21672403199999998</v>
      </c>
      <c r="AO73" s="454">
        <f t="shared" si="70"/>
        <v>265</v>
      </c>
      <c r="AP73" s="454">
        <f t="shared" si="71"/>
        <v>3441312</v>
      </c>
      <c r="AQ73" s="230">
        <f t="shared" si="72"/>
        <v>3618840</v>
      </c>
      <c r="AR73" s="397">
        <f t="shared" si="73"/>
        <v>6769728</v>
      </c>
      <c r="AS73" s="397">
        <f t="shared" si="74"/>
        <v>7116120</v>
      </c>
    </row>
    <row r="74" spans="1:45" ht="15.75">
      <c r="A74" s="228">
        <v>5</v>
      </c>
      <c r="B74" s="228" t="str">
        <f t="shared" si="38"/>
        <v>FRUTA_5</v>
      </c>
      <c r="C74" s="338" t="str">
        <f t="shared" si="39"/>
        <v>42_5</v>
      </c>
      <c r="D74" s="398" t="s">
        <v>1</v>
      </c>
      <c r="E74" s="228">
        <v>42</v>
      </c>
      <c r="F74" s="332" t="s">
        <v>61</v>
      </c>
      <c r="G74" s="228" t="s">
        <v>9</v>
      </c>
      <c r="H74" s="427">
        <f t="shared" si="40"/>
        <v>36</v>
      </c>
      <c r="I74" s="427">
        <f t="shared" si="41"/>
        <v>8</v>
      </c>
      <c r="J74" s="428">
        <f t="array" ref="J74">MAX((IF(MNU_CODIGO_ALIMENTO_ENTREGA=CONCATENATE($E74,"_","S_"),MNU_GRAMAJE_REQUERIDO_TIPOA,"")))</f>
        <v>100</v>
      </c>
      <c r="K74" s="229">
        <f t="shared" si="42"/>
        <v>710</v>
      </c>
      <c r="L74" s="229">
        <f t="shared" si="43"/>
        <v>0</v>
      </c>
      <c r="M74" s="229">
        <f t="shared" si="44"/>
        <v>25560</v>
      </c>
      <c r="N74" s="454">
        <f t="shared" si="45"/>
        <v>194</v>
      </c>
      <c r="O74" s="454">
        <f t="shared" si="46"/>
        <v>9.4672000000000001</v>
      </c>
      <c r="P74" s="454">
        <f t="shared" si="47"/>
        <v>0.16684310399999999</v>
      </c>
      <c r="Q74" s="454">
        <f t="shared" si="48"/>
        <v>204</v>
      </c>
      <c r="R74" s="230">
        <f t="shared" si="49"/>
        <v>4958640</v>
      </c>
      <c r="S74" s="230">
        <f t="shared" si="50"/>
        <v>5214240</v>
      </c>
      <c r="T74" s="429">
        <f t="shared" si="51"/>
        <v>19</v>
      </c>
      <c r="U74" s="429">
        <f t="shared" si="52"/>
        <v>8</v>
      </c>
      <c r="V74" s="430">
        <f t="array" ref="V74">MAX((IF(MNU_CODIGO_ALIMENTO_ENTREGA=CONCATENATE($E74,"_","S_"),MNU_GRAMAJE_REQUERIDO_TIPOB,"")))</f>
        <v>100</v>
      </c>
      <c r="W74" s="397">
        <f t="shared" si="53"/>
        <v>1296</v>
      </c>
      <c r="X74" s="397">
        <f t="shared" si="54"/>
        <v>0</v>
      </c>
      <c r="Y74" s="397">
        <f t="shared" si="55"/>
        <v>24624</v>
      </c>
      <c r="Z74" s="454">
        <f t="shared" si="56"/>
        <v>194</v>
      </c>
      <c r="AA74" s="454">
        <f t="shared" si="57"/>
        <v>9.4672000000000001</v>
      </c>
      <c r="AB74" s="454">
        <f t="shared" si="58"/>
        <v>0.16684310399999999</v>
      </c>
      <c r="AC74" s="454">
        <f t="shared" si="59"/>
        <v>204</v>
      </c>
      <c r="AD74" s="231">
        <f t="shared" si="60"/>
        <v>4777056</v>
      </c>
      <c r="AE74" s="231">
        <f t="shared" si="61"/>
        <v>5023296</v>
      </c>
      <c r="AF74" s="427">
        <f t="shared" si="62"/>
        <v>19</v>
      </c>
      <c r="AG74" s="427">
        <f t="shared" si="63"/>
        <v>8</v>
      </c>
      <c r="AH74" s="428">
        <f t="array" ref="AH74">MAX((IF(MNU_CODIGO_ALIMENTO_ENTREGA=CONCATENATE($E74,"_","S_"),MNU_GRAMAJE_REQUERIDO_TIPOC,"")))</f>
        <v>100</v>
      </c>
      <c r="AI74" s="229">
        <f t="shared" si="64"/>
        <v>1707</v>
      </c>
      <c r="AJ74" s="229">
        <f t="shared" si="65"/>
        <v>0</v>
      </c>
      <c r="AK74" s="229">
        <f t="shared" si="66"/>
        <v>32433</v>
      </c>
      <c r="AL74" s="454">
        <f t="shared" si="67"/>
        <v>194</v>
      </c>
      <c r="AM74" s="454">
        <f t="shared" si="68"/>
        <v>9.4672000000000001</v>
      </c>
      <c r="AN74" s="454">
        <f t="shared" si="69"/>
        <v>0.16684310399999999</v>
      </c>
      <c r="AO74" s="454">
        <f t="shared" si="70"/>
        <v>204</v>
      </c>
      <c r="AP74" s="454">
        <f t="shared" si="71"/>
        <v>6292002</v>
      </c>
      <c r="AQ74" s="230">
        <f t="shared" si="72"/>
        <v>6616332</v>
      </c>
      <c r="AR74" s="397">
        <f t="shared" si="73"/>
        <v>16027698</v>
      </c>
      <c r="AS74" s="397">
        <f t="shared" si="74"/>
        <v>16853868</v>
      </c>
    </row>
    <row r="75" spans="1:45" ht="15.75">
      <c r="A75" s="228">
        <v>5</v>
      </c>
      <c r="B75" s="228" t="str">
        <f t="shared" si="38"/>
        <v>FRUTA_5</v>
      </c>
      <c r="C75" s="338" t="str">
        <f t="shared" si="39"/>
        <v>43_5</v>
      </c>
      <c r="D75" s="398" t="s">
        <v>1</v>
      </c>
      <c r="E75" s="228">
        <v>43</v>
      </c>
      <c r="F75" s="332" t="s">
        <v>62</v>
      </c>
      <c r="G75" s="228" t="s">
        <v>9</v>
      </c>
      <c r="H75" s="427">
        <f t="shared" si="40"/>
        <v>29</v>
      </c>
      <c r="I75" s="427">
        <f t="shared" si="41"/>
        <v>6</v>
      </c>
      <c r="J75" s="428">
        <f t="array" ref="J75">MAX((IF(MNU_CODIGO_ALIMENTO_ENTREGA=CONCATENATE($E75,"_","S_"),MNU_GRAMAJE_REQUERIDO_TIPOA,"")))</f>
        <v>100</v>
      </c>
      <c r="K75" s="229">
        <f t="shared" si="42"/>
        <v>710</v>
      </c>
      <c r="L75" s="229">
        <f t="shared" si="43"/>
        <v>0</v>
      </c>
      <c r="M75" s="229">
        <f t="shared" si="44"/>
        <v>20590</v>
      </c>
      <c r="N75" s="454">
        <f t="shared" si="45"/>
        <v>170</v>
      </c>
      <c r="O75" s="454">
        <f t="shared" si="46"/>
        <v>8.2959999999999994</v>
      </c>
      <c r="P75" s="454">
        <f t="shared" si="47"/>
        <v>0.14620272000000001</v>
      </c>
      <c r="Q75" s="454">
        <f t="shared" si="48"/>
        <v>178</v>
      </c>
      <c r="R75" s="230">
        <f t="shared" si="49"/>
        <v>3500300</v>
      </c>
      <c r="S75" s="230">
        <f t="shared" si="50"/>
        <v>3665020</v>
      </c>
      <c r="T75" s="429">
        <f t="shared" si="51"/>
        <v>23</v>
      </c>
      <c r="U75" s="429">
        <f t="shared" si="52"/>
        <v>1</v>
      </c>
      <c r="V75" s="430">
        <f t="array" ref="V75">MAX((IF(MNU_CODIGO_ALIMENTO_ENTREGA=CONCATENATE($E75,"_","S_"),MNU_GRAMAJE_REQUERIDO_TIPOB,"")))</f>
        <v>100</v>
      </c>
      <c r="W75" s="397">
        <f t="shared" si="53"/>
        <v>1296</v>
      </c>
      <c r="X75" s="397">
        <f t="shared" si="54"/>
        <v>0</v>
      </c>
      <c r="Y75" s="397">
        <f t="shared" si="55"/>
        <v>29808</v>
      </c>
      <c r="Z75" s="454">
        <f t="shared" si="56"/>
        <v>170</v>
      </c>
      <c r="AA75" s="454">
        <f t="shared" si="57"/>
        <v>8.2959999999999994</v>
      </c>
      <c r="AB75" s="454">
        <f t="shared" si="58"/>
        <v>0.14620272000000001</v>
      </c>
      <c r="AC75" s="454">
        <f t="shared" si="59"/>
        <v>178</v>
      </c>
      <c r="AD75" s="231">
        <f t="shared" si="60"/>
        <v>5067360</v>
      </c>
      <c r="AE75" s="231">
        <f t="shared" si="61"/>
        <v>5305824</v>
      </c>
      <c r="AF75" s="427">
        <f t="shared" si="62"/>
        <v>23</v>
      </c>
      <c r="AG75" s="427">
        <f t="shared" si="63"/>
        <v>1</v>
      </c>
      <c r="AH75" s="428">
        <f t="array" ref="AH75">MAX((IF(MNU_CODIGO_ALIMENTO_ENTREGA=CONCATENATE($E75,"_","S_"),MNU_GRAMAJE_REQUERIDO_TIPOC,"")))</f>
        <v>100</v>
      </c>
      <c r="AI75" s="229">
        <f t="shared" si="64"/>
        <v>1707</v>
      </c>
      <c r="AJ75" s="229">
        <f t="shared" si="65"/>
        <v>0</v>
      </c>
      <c r="AK75" s="229">
        <f t="shared" si="66"/>
        <v>39261</v>
      </c>
      <c r="AL75" s="454">
        <f t="shared" si="67"/>
        <v>170</v>
      </c>
      <c r="AM75" s="454">
        <f t="shared" si="68"/>
        <v>8.2959999999999994</v>
      </c>
      <c r="AN75" s="454">
        <f t="shared" si="69"/>
        <v>0.14620272000000001</v>
      </c>
      <c r="AO75" s="454">
        <f t="shared" si="70"/>
        <v>178</v>
      </c>
      <c r="AP75" s="454">
        <f t="shared" si="71"/>
        <v>6674370</v>
      </c>
      <c r="AQ75" s="230">
        <f t="shared" si="72"/>
        <v>6988458</v>
      </c>
      <c r="AR75" s="397">
        <f t="shared" si="73"/>
        <v>15242030</v>
      </c>
      <c r="AS75" s="397">
        <f t="shared" si="74"/>
        <v>15959302</v>
      </c>
    </row>
    <row r="76" spans="1:45" ht="15.75">
      <c r="A76" s="228">
        <v>5</v>
      </c>
      <c r="B76" s="228" t="str">
        <f t="shared" si="38"/>
        <v>FRUTA_5</v>
      </c>
      <c r="C76" s="338" t="str">
        <f t="shared" si="39"/>
        <v>46_5</v>
      </c>
      <c r="D76" s="398" t="s">
        <v>1</v>
      </c>
      <c r="E76" s="228">
        <v>46</v>
      </c>
      <c r="F76" s="332" t="s">
        <v>64</v>
      </c>
      <c r="G76" s="228" t="s">
        <v>9</v>
      </c>
      <c r="H76" s="427">
        <f t="shared" si="40"/>
        <v>29</v>
      </c>
      <c r="I76" s="427">
        <f t="shared" si="41"/>
        <v>4</v>
      </c>
      <c r="J76" s="428">
        <f t="array" ref="J76">MAX((IF(MNU_CODIGO_ALIMENTO_ENTREGA=CONCATENATE($E76,"_","S_"),MNU_GRAMAJE_REQUERIDO_TIPOA,"")))</f>
        <v>100</v>
      </c>
      <c r="K76" s="229">
        <f t="shared" si="42"/>
        <v>710</v>
      </c>
      <c r="L76" s="229">
        <f t="shared" si="43"/>
        <v>0</v>
      </c>
      <c r="M76" s="229">
        <f t="shared" si="44"/>
        <v>20590</v>
      </c>
      <c r="N76" s="454">
        <f t="shared" si="45"/>
        <v>398</v>
      </c>
      <c r="O76" s="454">
        <f t="shared" si="46"/>
        <v>19.4224</v>
      </c>
      <c r="P76" s="454">
        <f t="shared" si="47"/>
        <v>0.34228636800000001</v>
      </c>
      <c r="Q76" s="454">
        <f t="shared" si="48"/>
        <v>418</v>
      </c>
      <c r="R76" s="230">
        <f t="shared" si="49"/>
        <v>8194820</v>
      </c>
      <c r="S76" s="230">
        <f t="shared" si="50"/>
        <v>8606620</v>
      </c>
      <c r="T76" s="429">
        <f t="shared" si="51"/>
        <v>24</v>
      </c>
      <c r="U76" s="429">
        <f t="shared" si="52"/>
        <v>3</v>
      </c>
      <c r="V76" s="430">
        <f t="array" ref="V76">MAX((IF(MNU_CODIGO_ALIMENTO_ENTREGA=CONCATENATE($E76,"_","S_"),MNU_GRAMAJE_REQUERIDO_TIPOB,"")))</f>
        <v>100</v>
      </c>
      <c r="W76" s="397">
        <f t="shared" si="53"/>
        <v>1296</v>
      </c>
      <c r="X76" s="397">
        <f t="shared" si="54"/>
        <v>0</v>
      </c>
      <c r="Y76" s="397">
        <f t="shared" si="55"/>
        <v>31104</v>
      </c>
      <c r="Z76" s="454">
        <f t="shared" si="56"/>
        <v>398</v>
      </c>
      <c r="AA76" s="454">
        <f t="shared" si="57"/>
        <v>19.4224</v>
      </c>
      <c r="AB76" s="454">
        <f t="shared" si="58"/>
        <v>0.34228636800000001</v>
      </c>
      <c r="AC76" s="454">
        <f t="shared" si="59"/>
        <v>418</v>
      </c>
      <c r="AD76" s="231">
        <f t="shared" si="60"/>
        <v>12379392</v>
      </c>
      <c r="AE76" s="231">
        <f t="shared" si="61"/>
        <v>13001472</v>
      </c>
      <c r="AF76" s="427">
        <f t="shared" si="62"/>
        <v>24</v>
      </c>
      <c r="AG76" s="427">
        <f t="shared" si="63"/>
        <v>3</v>
      </c>
      <c r="AH76" s="428">
        <f t="array" ref="AH76">MAX((IF(MNU_CODIGO_ALIMENTO_ENTREGA=CONCATENATE($E76,"_","S_"),MNU_GRAMAJE_REQUERIDO_TIPOC,"")))</f>
        <v>100</v>
      </c>
      <c r="AI76" s="229">
        <f t="shared" si="64"/>
        <v>1707</v>
      </c>
      <c r="AJ76" s="229">
        <f t="shared" si="65"/>
        <v>0</v>
      </c>
      <c r="AK76" s="229">
        <f t="shared" si="66"/>
        <v>40968</v>
      </c>
      <c r="AL76" s="454">
        <f t="shared" si="67"/>
        <v>398</v>
      </c>
      <c r="AM76" s="454">
        <f t="shared" si="68"/>
        <v>19.4224</v>
      </c>
      <c r="AN76" s="454">
        <f t="shared" si="69"/>
        <v>0.34228636800000001</v>
      </c>
      <c r="AO76" s="454">
        <f t="shared" si="70"/>
        <v>418</v>
      </c>
      <c r="AP76" s="454">
        <f t="shared" si="71"/>
        <v>16305264</v>
      </c>
      <c r="AQ76" s="230">
        <f t="shared" si="72"/>
        <v>17124624</v>
      </c>
      <c r="AR76" s="397">
        <f t="shared" si="73"/>
        <v>36879476</v>
      </c>
      <c r="AS76" s="397">
        <f t="shared" si="74"/>
        <v>38732716</v>
      </c>
    </row>
    <row r="77" spans="1:45" ht="15.75">
      <c r="A77" s="228">
        <v>5</v>
      </c>
      <c r="B77" s="228" t="str">
        <f t="shared" si="38"/>
        <v>FRUTA_5</v>
      </c>
      <c r="C77" s="338" t="str">
        <f t="shared" si="39"/>
        <v>58_5</v>
      </c>
      <c r="D77" s="398" t="s">
        <v>1</v>
      </c>
      <c r="E77" s="228">
        <v>58</v>
      </c>
      <c r="F77" s="332" t="s">
        <v>67</v>
      </c>
      <c r="G77" s="228" t="s">
        <v>9</v>
      </c>
      <c r="H77" s="427">
        <f t="shared" si="40"/>
        <v>28</v>
      </c>
      <c r="I77" s="427">
        <f t="shared" si="41"/>
        <v>5</v>
      </c>
      <c r="J77" s="428">
        <f t="array" ref="J77">MAX((IF(MNU_CODIGO_ALIMENTO_ENTREGA=CONCATENATE($E77,"_","S_"),MNU_GRAMAJE_REQUERIDO_TIPOA,"")))</f>
        <v>100</v>
      </c>
      <c r="K77" s="229">
        <f t="shared" si="42"/>
        <v>710</v>
      </c>
      <c r="L77" s="229">
        <f t="shared" si="43"/>
        <v>0</v>
      </c>
      <c r="M77" s="229">
        <f t="shared" si="44"/>
        <v>19880</v>
      </c>
      <c r="N77" s="454">
        <f t="shared" si="45"/>
        <v>154</v>
      </c>
      <c r="O77" s="454">
        <f t="shared" si="46"/>
        <v>7.515200000000001</v>
      </c>
      <c r="P77" s="454">
        <f t="shared" si="47"/>
        <v>0.13244246400000001</v>
      </c>
      <c r="Q77" s="454">
        <f t="shared" si="48"/>
        <v>162</v>
      </c>
      <c r="R77" s="230">
        <f t="shared" si="49"/>
        <v>3061520</v>
      </c>
      <c r="S77" s="230">
        <f t="shared" si="50"/>
        <v>3220560</v>
      </c>
      <c r="T77" s="429">
        <f t="shared" si="51"/>
        <v>23</v>
      </c>
      <c r="U77" s="429">
        <f t="shared" si="52"/>
        <v>3</v>
      </c>
      <c r="V77" s="430">
        <f t="array" ref="V77">MAX((IF(MNU_CODIGO_ALIMENTO_ENTREGA=CONCATENATE($E77,"_","S_"),MNU_GRAMAJE_REQUERIDO_TIPOB,"")))</f>
        <v>100</v>
      </c>
      <c r="W77" s="397">
        <f t="shared" si="53"/>
        <v>1296</v>
      </c>
      <c r="X77" s="397">
        <f t="shared" si="54"/>
        <v>0</v>
      </c>
      <c r="Y77" s="397">
        <f t="shared" si="55"/>
        <v>29808</v>
      </c>
      <c r="Z77" s="454">
        <f t="shared" si="56"/>
        <v>154</v>
      </c>
      <c r="AA77" s="454">
        <f t="shared" si="57"/>
        <v>7.515200000000001</v>
      </c>
      <c r="AB77" s="454">
        <f t="shared" si="58"/>
        <v>0.13244246400000001</v>
      </c>
      <c r="AC77" s="454">
        <f t="shared" si="59"/>
        <v>162</v>
      </c>
      <c r="AD77" s="231">
        <f t="shared" si="60"/>
        <v>4590432</v>
      </c>
      <c r="AE77" s="231">
        <f t="shared" si="61"/>
        <v>4828896</v>
      </c>
      <c r="AF77" s="427">
        <f t="shared" si="62"/>
        <v>23</v>
      </c>
      <c r="AG77" s="427">
        <f t="shared" si="63"/>
        <v>3</v>
      </c>
      <c r="AH77" s="428">
        <f t="array" ref="AH77">MAX((IF(MNU_CODIGO_ALIMENTO_ENTREGA=CONCATENATE($E77,"_","S_"),MNU_GRAMAJE_REQUERIDO_TIPOC,"")))</f>
        <v>100</v>
      </c>
      <c r="AI77" s="229">
        <f t="shared" si="64"/>
        <v>1707</v>
      </c>
      <c r="AJ77" s="229">
        <f t="shared" si="65"/>
        <v>0</v>
      </c>
      <c r="AK77" s="229">
        <f t="shared" si="66"/>
        <v>39261</v>
      </c>
      <c r="AL77" s="454">
        <f t="shared" si="67"/>
        <v>154</v>
      </c>
      <c r="AM77" s="454">
        <f t="shared" si="68"/>
        <v>7.515200000000001</v>
      </c>
      <c r="AN77" s="454">
        <f t="shared" si="69"/>
        <v>0.13244246400000001</v>
      </c>
      <c r="AO77" s="454">
        <f t="shared" si="70"/>
        <v>162</v>
      </c>
      <c r="AP77" s="454">
        <f t="shared" si="71"/>
        <v>6046194</v>
      </c>
      <c r="AQ77" s="230">
        <f t="shared" si="72"/>
        <v>6360282</v>
      </c>
      <c r="AR77" s="397">
        <f t="shared" si="73"/>
        <v>13698146</v>
      </c>
      <c r="AS77" s="397">
        <f t="shared" si="74"/>
        <v>14409738</v>
      </c>
    </row>
    <row r="78" spans="1:45" ht="15.75">
      <c r="A78" s="228">
        <v>5</v>
      </c>
      <c r="B78" s="228" t="str">
        <f t="shared" si="38"/>
        <v>FRUTA_5</v>
      </c>
      <c r="C78" s="338" t="str">
        <f t="shared" si="39"/>
        <v>59_5</v>
      </c>
      <c r="D78" s="398" t="s">
        <v>1</v>
      </c>
      <c r="E78" s="228">
        <v>59</v>
      </c>
      <c r="F78" s="332" t="s">
        <v>99</v>
      </c>
      <c r="G78" s="228" t="s">
        <v>9</v>
      </c>
      <c r="H78" s="427">
        <f t="shared" si="40"/>
        <v>0</v>
      </c>
      <c r="I78" s="427">
        <f t="shared" si="41"/>
        <v>0</v>
      </c>
      <c r="J78" s="428">
        <f t="array" ref="J78">MAX((IF(MNU_CODIGO_ALIMENTO_ENTREGA=CONCATENATE($E78,"_","S_"),MNU_GRAMAJE_REQUERIDO_TIPOA,"")))</f>
        <v>0</v>
      </c>
      <c r="K78" s="229">
        <f t="shared" si="42"/>
        <v>710</v>
      </c>
      <c r="L78" s="229">
        <f t="shared" si="43"/>
        <v>0</v>
      </c>
      <c r="M78" s="229">
        <f t="shared" si="44"/>
        <v>0</v>
      </c>
      <c r="N78" s="454">
        <f t="shared" si="45"/>
        <v>0</v>
      </c>
      <c r="O78" s="454">
        <f t="shared" si="46"/>
        <v>0</v>
      </c>
      <c r="P78" s="454">
        <f t="shared" si="47"/>
        <v>0</v>
      </c>
      <c r="Q78" s="454">
        <f t="shared" si="48"/>
        <v>0</v>
      </c>
      <c r="R78" s="230">
        <f t="shared" si="49"/>
        <v>0</v>
      </c>
      <c r="S78" s="230">
        <f t="shared" si="50"/>
        <v>0</v>
      </c>
      <c r="T78" s="429">
        <f t="shared" si="51"/>
        <v>11</v>
      </c>
      <c r="U78" s="429">
        <f t="shared" si="52"/>
        <v>0</v>
      </c>
      <c r="V78" s="430">
        <f t="array" ref="V78">MAX((IF(MNU_CODIGO_ALIMENTO_ENTREGA=CONCATENATE($E78,"_","S_"),MNU_GRAMAJE_REQUERIDO_TIPOB,"")))</f>
        <v>100</v>
      </c>
      <c r="W78" s="397">
        <f t="shared" si="53"/>
        <v>1296</v>
      </c>
      <c r="X78" s="397">
        <f t="shared" si="54"/>
        <v>0</v>
      </c>
      <c r="Y78" s="397">
        <f t="shared" si="55"/>
        <v>14256</v>
      </c>
      <c r="Z78" s="454">
        <f t="shared" si="56"/>
        <v>286</v>
      </c>
      <c r="AA78" s="454">
        <f t="shared" si="57"/>
        <v>13.956800000000001</v>
      </c>
      <c r="AB78" s="454">
        <f t="shared" si="58"/>
        <v>0.24596457599999999</v>
      </c>
      <c r="AC78" s="454">
        <f t="shared" si="59"/>
        <v>300</v>
      </c>
      <c r="AD78" s="231">
        <f t="shared" si="60"/>
        <v>4077216</v>
      </c>
      <c r="AE78" s="231">
        <f t="shared" si="61"/>
        <v>4276800</v>
      </c>
      <c r="AF78" s="427">
        <f t="shared" si="62"/>
        <v>11</v>
      </c>
      <c r="AG78" s="427">
        <f t="shared" si="63"/>
        <v>0</v>
      </c>
      <c r="AH78" s="428">
        <f t="array" ref="AH78">MAX((IF(MNU_CODIGO_ALIMENTO_ENTREGA=CONCATENATE($E78,"_","S_"),MNU_GRAMAJE_REQUERIDO_TIPOC,"")))</f>
        <v>100</v>
      </c>
      <c r="AI78" s="229">
        <f t="shared" si="64"/>
        <v>1707</v>
      </c>
      <c r="AJ78" s="229">
        <f t="shared" si="65"/>
        <v>0</v>
      </c>
      <c r="AK78" s="229">
        <f t="shared" si="66"/>
        <v>18777</v>
      </c>
      <c r="AL78" s="454">
        <f t="shared" si="67"/>
        <v>286</v>
      </c>
      <c r="AM78" s="454">
        <f t="shared" si="68"/>
        <v>13.956800000000001</v>
      </c>
      <c r="AN78" s="454">
        <f t="shared" si="69"/>
        <v>0.24596457599999999</v>
      </c>
      <c r="AO78" s="454">
        <f t="shared" si="70"/>
        <v>300</v>
      </c>
      <c r="AP78" s="454">
        <f t="shared" si="71"/>
        <v>5370222</v>
      </c>
      <c r="AQ78" s="230">
        <f t="shared" si="72"/>
        <v>5633100</v>
      </c>
      <c r="AR78" s="397">
        <f t="shared" si="73"/>
        <v>9447438</v>
      </c>
      <c r="AS78" s="397">
        <f t="shared" si="74"/>
        <v>9909900</v>
      </c>
    </row>
    <row r="79" spans="1:45" ht="15.75">
      <c r="A79" s="228">
        <v>5</v>
      </c>
      <c r="B79" s="228" t="str">
        <f t="shared" si="38"/>
        <v>FRUTA_5</v>
      </c>
      <c r="C79" s="338" t="str">
        <f t="shared" si="39"/>
        <v>69_5</v>
      </c>
      <c r="D79" s="398" t="s">
        <v>1</v>
      </c>
      <c r="E79" s="228">
        <v>69</v>
      </c>
      <c r="F79" s="332" t="s">
        <v>70</v>
      </c>
      <c r="G79" s="228" t="s">
        <v>9</v>
      </c>
      <c r="H79" s="427">
        <f t="shared" si="40"/>
        <v>18</v>
      </c>
      <c r="I79" s="427">
        <f t="shared" si="41"/>
        <v>2</v>
      </c>
      <c r="J79" s="428">
        <f t="array" ref="J79">MAX((IF(MNU_CODIGO_ALIMENTO_ENTREGA=CONCATENATE($E79,"_","S_"),MNU_GRAMAJE_REQUERIDO_TIPOA,"")))</f>
        <v>100</v>
      </c>
      <c r="K79" s="229">
        <f t="shared" si="42"/>
        <v>710</v>
      </c>
      <c r="L79" s="229">
        <f t="shared" si="43"/>
        <v>0</v>
      </c>
      <c r="M79" s="229">
        <f t="shared" si="44"/>
        <v>12780</v>
      </c>
      <c r="N79" s="454">
        <f t="shared" si="45"/>
        <v>305</v>
      </c>
      <c r="O79" s="454">
        <f t="shared" si="46"/>
        <v>14.884</v>
      </c>
      <c r="P79" s="454">
        <f t="shared" si="47"/>
        <v>0.26230488000000002</v>
      </c>
      <c r="Q79" s="454">
        <f t="shared" si="48"/>
        <v>320</v>
      </c>
      <c r="R79" s="230">
        <f t="shared" si="49"/>
        <v>3897900</v>
      </c>
      <c r="S79" s="230">
        <f t="shared" si="50"/>
        <v>4089600</v>
      </c>
      <c r="T79" s="429">
        <f t="shared" si="51"/>
        <v>12</v>
      </c>
      <c r="U79" s="429">
        <f t="shared" si="52"/>
        <v>2</v>
      </c>
      <c r="V79" s="430">
        <f t="array" ref="V79">MAX((IF(MNU_CODIGO_ALIMENTO_ENTREGA=CONCATENATE($E79,"_","S_"),MNU_GRAMAJE_REQUERIDO_TIPOB,"")))</f>
        <v>100</v>
      </c>
      <c r="W79" s="397">
        <f t="shared" si="53"/>
        <v>1296</v>
      </c>
      <c r="X79" s="397">
        <f t="shared" si="54"/>
        <v>0</v>
      </c>
      <c r="Y79" s="397">
        <f t="shared" si="55"/>
        <v>15552</v>
      </c>
      <c r="Z79" s="454">
        <f t="shared" si="56"/>
        <v>305</v>
      </c>
      <c r="AA79" s="454">
        <f t="shared" si="57"/>
        <v>14.884</v>
      </c>
      <c r="AB79" s="454">
        <f t="shared" si="58"/>
        <v>0.26230488000000002</v>
      </c>
      <c r="AC79" s="454">
        <f t="shared" si="59"/>
        <v>320</v>
      </c>
      <c r="AD79" s="231">
        <f t="shared" si="60"/>
        <v>4743360</v>
      </c>
      <c r="AE79" s="231">
        <f t="shared" si="61"/>
        <v>4976640</v>
      </c>
      <c r="AF79" s="427">
        <f t="shared" si="62"/>
        <v>12</v>
      </c>
      <c r="AG79" s="427">
        <f t="shared" si="63"/>
        <v>2</v>
      </c>
      <c r="AH79" s="428">
        <f t="array" ref="AH79">MAX((IF(MNU_CODIGO_ALIMENTO_ENTREGA=CONCATENATE($E79,"_","S_"),MNU_GRAMAJE_REQUERIDO_TIPOC,"")))</f>
        <v>100</v>
      </c>
      <c r="AI79" s="229">
        <f t="shared" si="64"/>
        <v>1707</v>
      </c>
      <c r="AJ79" s="229">
        <f t="shared" si="65"/>
        <v>0</v>
      </c>
      <c r="AK79" s="229">
        <f t="shared" si="66"/>
        <v>20484</v>
      </c>
      <c r="AL79" s="454">
        <f t="shared" si="67"/>
        <v>305</v>
      </c>
      <c r="AM79" s="454">
        <f t="shared" si="68"/>
        <v>14.884</v>
      </c>
      <c r="AN79" s="454">
        <f t="shared" si="69"/>
        <v>0.26230488000000002</v>
      </c>
      <c r="AO79" s="454">
        <f t="shared" si="70"/>
        <v>320</v>
      </c>
      <c r="AP79" s="454">
        <f t="shared" si="71"/>
        <v>6247620</v>
      </c>
      <c r="AQ79" s="230">
        <f t="shared" si="72"/>
        <v>6554880</v>
      </c>
      <c r="AR79" s="397">
        <f t="shared" si="73"/>
        <v>14888880</v>
      </c>
      <c r="AS79" s="397">
        <f t="shared" si="74"/>
        <v>15621120</v>
      </c>
    </row>
    <row r="80" spans="1:45" ht="15.75">
      <c r="A80" s="228">
        <v>5</v>
      </c>
      <c r="B80" s="228" t="str">
        <f t="shared" si="38"/>
        <v>FRUTA_5</v>
      </c>
      <c r="C80" s="338" t="str">
        <f t="shared" si="39"/>
        <v>70_5</v>
      </c>
      <c r="D80" s="398" t="s">
        <v>1</v>
      </c>
      <c r="E80" s="228">
        <v>70</v>
      </c>
      <c r="F80" s="332" t="s">
        <v>71</v>
      </c>
      <c r="G80" s="228" t="s">
        <v>9</v>
      </c>
      <c r="H80" s="427">
        <f t="shared" si="40"/>
        <v>0</v>
      </c>
      <c r="I80" s="427">
        <f t="shared" si="41"/>
        <v>0</v>
      </c>
      <c r="J80" s="428">
        <f t="array" ref="J80">MAX((IF(MNU_CODIGO_ALIMENTO_ENTREGA=CONCATENATE($E80,"_","S_"),MNU_GRAMAJE_REQUERIDO_TIPOA,"")))</f>
        <v>0</v>
      </c>
      <c r="K80" s="229">
        <f t="shared" si="42"/>
        <v>710</v>
      </c>
      <c r="L80" s="229">
        <f t="shared" si="43"/>
        <v>0</v>
      </c>
      <c r="M80" s="229">
        <f t="shared" si="44"/>
        <v>0</v>
      </c>
      <c r="N80" s="454">
        <f t="shared" si="45"/>
        <v>0</v>
      </c>
      <c r="O80" s="454">
        <f t="shared" si="46"/>
        <v>0</v>
      </c>
      <c r="P80" s="454">
        <f t="shared" si="47"/>
        <v>0</v>
      </c>
      <c r="Q80" s="454">
        <f t="shared" si="48"/>
        <v>0</v>
      </c>
      <c r="R80" s="230">
        <f t="shared" si="49"/>
        <v>0</v>
      </c>
      <c r="S80" s="230">
        <f t="shared" si="50"/>
        <v>0</v>
      </c>
      <c r="T80" s="429">
        <f t="shared" si="51"/>
        <v>8</v>
      </c>
      <c r="U80" s="429">
        <f t="shared" si="52"/>
        <v>4</v>
      </c>
      <c r="V80" s="430">
        <f t="array" ref="V80">MAX((IF(MNU_CODIGO_ALIMENTO_ENTREGA=CONCATENATE($E80,"_","S_"),MNU_GRAMAJE_REQUERIDO_TIPOB,"")))</f>
        <v>100</v>
      </c>
      <c r="W80" s="397">
        <f t="shared" si="53"/>
        <v>1296</v>
      </c>
      <c r="X80" s="397">
        <f t="shared" si="54"/>
        <v>0</v>
      </c>
      <c r="Y80" s="397">
        <f t="shared" si="55"/>
        <v>10368</v>
      </c>
      <c r="Z80" s="454">
        <f t="shared" si="56"/>
        <v>434</v>
      </c>
      <c r="AA80" s="454">
        <f t="shared" si="57"/>
        <v>21.179200000000002</v>
      </c>
      <c r="AB80" s="454">
        <f t="shared" si="58"/>
        <v>0.37324694399999997</v>
      </c>
      <c r="AC80" s="454">
        <f t="shared" si="59"/>
        <v>456</v>
      </c>
      <c r="AD80" s="231">
        <f t="shared" si="60"/>
        <v>4499712</v>
      </c>
      <c r="AE80" s="231">
        <f t="shared" si="61"/>
        <v>4727808</v>
      </c>
      <c r="AF80" s="427">
        <f t="shared" si="62"/>
        <v>8</v>
      </c>
      <c r="AG80" s="427">
        <f t="shared" si="63"/>
        <v>4</v>
      </c>
      <c r="AH80" s="428">
        <f t="array" ref="AH80">MAX((IF(MNU_CODIGO_ALIMENTO_ENTREGA=CONCATENATE($E80,"_","S_"),MNU_GRAMAJE_REQUERIDO_TIPOC,"")))</f>
        <v>100</v>
      </c>
      <c r="AI80" s="229">
        <f t="shared" si="64"/>
        <v>1707</v>
      </c>
      <c r="AJ80" s="229">
        <f t="shared" si="65"/>
        <v>0</v>
      </c>
      <c r="AK80" s="229">
        <f t="shared" si="66"/>
        <v>13656</v>
      </c>
      <c r="AL80" s="454">
        <f t="shared" si="67"/>
        <v>434</v>
      </c>
      <c r="AM80" s="454">
        <f t="shared" si="68"/>
        <v>21.179200000000002</v>
      </c>
      <c r="AN80" s="454">
        <f t="shared" si="69"/>
        <v>0.37324694399999997</v>
      </c>
      <c r="AO80" s="454">
        <f t="shared" si="70"/>
        <v>456</v>
      </c>
      <c r="AP80" s="454">
        <f t="shared" si="71"/>
        <v>5926704</v>
      </c>
      <c r="AQ80" s="230">
        <f t="shared" si="72"/>
        <v>6227136</v>
      </c>
      <c r="AR80" s="397">
        <f t="shared" si="73"/>
        <v>10426416</v>
      </c>
      <c r="AS80" s="397">
        <f t="shared" si="74"/>
        <v>10954944</v>
      </c>
    </row>
    <row r="81" spans="1:45" ht="15.75">
      <c r="A81" s="228">
        <v>6</v>
      </c>
      <c r="B81" s="228" t="str">
        <f t="shared" si="38"/>
        <v>FRUTA_6</v>
      </c>
      <c r="C81" s="338" t="str">
        <f t="shared" si="39"/>
        <v>7_6</v>
      </c>
      <c r="D81" s="398" t="s">
        <v>1</v>
      </c>
      <c r="E81" s="228">
        <v>7</v>
      </c>
      <c r="F81" s="332" t="s">
        <v>57</v>
      </c>
      <c r="G81" s="228" t="s">
        <v>9</v>
      </c>
      <c r="H81" s="427">
        <f t="shared" si="40"/>
        <v>31</v>
      </c>
      <c r="I81" s="427">
        <f t="shared" si="41"/>
        <v>0</v>
      </c>
      <c r="J81" s="428">
        <f t="array" ref="J81">MAX((IF(MNU_CODIGO_ALIMENTO_ENTREGA=CONCATENATE($E81,"_","S_"),MNU_GRAMAJE_REQUERIDO_TIPOA,"")))</f>
        <v>100</v>
      </c>
      <c r="K81" s="229">
        <f t="shared" si="42"/>
        <v>1068</v>
      </c>
      <c r="L81" s="229">
        <f t="shared" si="43"/>
        <v>0</v>
      </c>
      <c r="M81" s="229">
        <f t="shared" si="44"/>
        <v>33108</v>
      </c>
      <c r="N81" s="454">
        <f t="shared" si="45"/>
        <v>107</v>
      </c>
      <c r="O81" s="454">
        <f t="shared" si="46"/>
        <v>5.2216000000000005</v>
      </c>
      <c r="P81" s="454">
        <f t="shared" si="47"/>
        <v>9.2021712000000006E-2</v>
      </c>
      <c r="Q81" s="454">
        <f t="shared" si="48"/>
        <v>112</v>
      </c>
      <c r="R81" s="230">
        <f t="shared" si="49"/>
        <v>3542556</v>
      </c>
      <c r="S81" s="230">
        <f t="shared" si="50"/>
        <v>3708096</v>
      </c>
      <c r="T81" s="429">
        <f t="shared" si="51"/>
        <v>11</v>
      </c>
      <c r="U81" s="429">
        <f t="shared" si="52"/>
        <v>0</v>
      </c>
      <c r="V81" s="430">
        <f t="array" ref="V81">MAX((IF(MNU_CODIGO_ALIMENTO_ENTREGA=CONCATENATE($E81,"_","S_"),MNU_GRAMAJE_REQUERIDO_TIPOB,"")))</f>
        <v>100</v>
      </c>
      <c r="W81" s="397">
        <f t="shared" si="53"/>
        <v>1613</v>
      </c>
      <c r="X81" s="397">
        <f t="shared" si="54"/>
        <v>0</v>
      </c>
      <c r="Y81" s="397">
        <f t="shared" si="55"/>
        <v>17743</v>
      </c>
      <c r="Z81" s="454">
        <f t="shared" si="56"/>
        <v>107</v>
      </c>
      <c r="AA81" s="454">
        <f t="shared" si="57"/>
        <v>5.2216000000000005</v>
      </c>
      <c r="AB81" s="454">
        <f t="shared" si="58"/>
        <v>9.2021712000000006E-2</v>
      </c>
      <c r="AC81" s="454">
        <f t="shared" si="59"/>
        <v>112</v>
      </c>
      <c r="AD81" s="231">
        <f t="shared" si="60"/>
        <v>1898501</v>
      </c>
      <c r="AE81" s="231">
        <f t="shared" si="61"/>
        <v>1987216</v>
      </c>
      <c r="AF81" s="427">
        <f t="shared" si="62"/>
        <v>11</v>
      </c>
      <c r="AG81" s="427">
        <f t="shared" si="63"/>
        <v>0</v>
      </c>
      <c r="AH81" s="428">
        <f t="array" ref="AH81">MAX((IF(MNU_CODIGO_ALIMENTO_ENTREGA=CONCATENATE($E81,"_","S_"),MNU_GRAMAJE_REQUERIDO_TIPOC,"")))</f>
        <v>100</v>
      </c>
      <c r="AI81" s="229">
        <f t="shared" si="64"/>
        <v>2015</v>
      </c>
      <c r="AJ81" s="229">
        <f t="shared" si="65"/>
        <v>0</v>
      </c>
      <c r="AK81" s="229">
        <f t="shared" si="66"/>
        <v>22165</v>
      </c>
      <c r="AL81" s="454">
        <f t="shared" si="67"/>
        <v>107</v>
      </c>
      <c r="AM81" s="454">
        <f t="shared" si="68"/>
        <v>5.2216000000000005</v>
      </c>
      <c r="AN81" s="454">
        <f t="shared" si="69"/>
        <v>9.2021712000000006E-2</v>
      </c>
      <c r="AO81" s="454">
        <f t="shared" si="70"/>
        <v>112</v>
      </c>
      <c r="AP81" s="454">
        <f t="shared" si="71"/>
        <v>2371655</v>
      </c>
      <c r="AQ81" s="230">
        <f t="shared" si="72"/>
        <v>2482480</v>
      </c>
      <c r="AR81" s="397">
        <f t="shared" si="73"/>
        <v>7812712</v>
      </c>
      <c r="AS81" s="397">
        <f t="shared" si="74"/>
        <v>8177792</v>
      </c>
    </row>
    <row r="82" spans="1:45" ht="15.75">
      <c r="A82" s="228">
        <v>6</v>
      </c>
      <c r="B82" s="228" t="str">
        <f t="shared" si="38"/>
        <v>FRUTA_6</v>
      </c>
      <c r="C82" s="338" t="str">
        <f t="shared" si="39"/>
        <v>8_6</v>
      </c>
      <c r="D82" s="398" t="s">
        <v>1</v>
      </c>
      <c r="E82" s="228">
        <v>8</v>
      </c>
      <c r="F82" s="332" t="s">
        <v>55</v>
      </c>
      <c r="G82" s="228" t="s">
        <v>9</v>
      </c>
      <c r="H82" s="427">
        <f t="shared" si="40"/>
        <v>11</v>
      </c>
      <c r="I82" s="427">
        <f t="shared" si="41"/>
        <v>0</v>
      </c>
      <c r="J82" s="428">
        <f t="array" ref="J82">MAX((IF(MNU_CODIGO_ALIMENTO_ENTREGA=CONCATENATE($E82,"_","S_"),MNU_GRAMAJE_REQUERIDO_TIPOA,"")))</f>
        <v>100</v>
      </c>
      <c r="K82" s="229">
        <f t="shared" si="42"/>
        <v>1068</v>
      </c>
      <c r="L82" s="229">
        <f t="shared" si="43"/>
        <v>0</v>
      </c>
      <c r="M82" s="229">
        <f t="shared" si="44"/>
        <v>11748</v>
      </c>
      <c r="N82" s="454">
        <f t="shared" si="45"/>
        <v>134</v>
      </c>
      <c r="O82" s="454">
        <f t="shared" si="46"/>
        <v>6.539200000000001</v>
      </c>
      <c r="P82" s="454">
        <f t="shared" si="47"/>
        <v>0.115242144</v>
      </c>
      <c r="Q82" s="454">
        <f t="shared" si="48"/>
        <v>141</v>
      </c>
      <c r="R82" s="230">
        <f t="shared" si="49"/>
        <v>1574232</v>
      </c>
      <c r="S82" s="230">
        <f t="shared" si="50"/>
        <v>1656468</v>
      </c>
      <c r="T82" s="429">
        <f t="shared" si="51"/>
        <v>11</v>
      </c>
      <c r="U82" s="429">
        <f t="shared" si="52"/>
        <v>0</v>
      </c>
      <c r="V82" s="430">
        <f t="array" ref="V82">MAX((IF(MNU_CODIGO_ALIMENTO_ENTREGA=CONCATENATE($E82,"_","S_"),MNU_GRAMAJE_REQUERIDO_TIPOB,"")))</f>
        <v>100</v>
      </c>
      <c r="W82" s="397">
        <f t="shared" si="53"/>
        <v>1613</v>
      </c>
      <c r="X82" s="397">
        <f t="shared" si="54"/>
        <v>0</v>
      </c>
      <c r="Y82" s="397">
        <f t="shared" si="55"/>
        <v>17743</v>
      </c>
      <c r="Z82" s="454">
        <f t="shared" si="56"/>
        <v>134</v>
      </c>
      <c r="AA82" s="454">
        <f t="shared" si="57"/>
        <v>6.539200000000001</v>
      </c>
      <c r="AB82" s="454">
        <f t="shared" si="58"/>
        <v>0.115242144</v>
      </c>
      <c r="AC82" s="454">
        <f t="shared" si="59"/>
        <v>141</v>
      </c>
      <c r="AD82" s="231">
        <f t="shared" si="60"/>
        <v>2377562</v>
      </c>
      <c r="AE82" s="231">
        <f t="shared" si="61"/>
        <v>2501763</v>
      </c>
      <c r="AF82" s="427">
        <f t="shared" si="62"/>
        <v>11</v>
      </c>
      <c r="AG82" s="427">
        <f t="shared" si="63"/>
        <v>0</v>
      </c>
      <c r="AH82" s="428">
        <f t="array" ref="AH82">MAX((IF(MNU_CODIGO_ALIMENTO_ENTREGA=CONCATENATE($E82,"_","S_"),MNU_GRAMAJE_REQUERIDO_TIPOC,"")))</f>
        <v>100</v>
      </c>
      <c r="AI82" s="229">
        <f t="shared" si="64"/>
        <v>2015</v>
      </c>
      <c r="AJ82" s="229">
        <f t="shared" si="65"/>
        <v>0</v>
      </c>
      <c r="AK82" s="229">
        <f t="shared" si="66"/>
        <v>22165</v>
      </c>
      <c r="AL82" s="454">
        <f t="shared" si="67"/>
        <v>134</v>
      </c>
      <c r="AM82" s="454">
        <f t="shared" si="68"/>
        <v>6.539200000000001</v>
      </c>
      <c r="AN82" s="454">
        <f t="shared" si="69"/>
        <v>0.115242144</v>
      </c>
      <c r="AO82" s="454">
        <f t="shared" si="70"/>
        <v>141</v>
      </c>
      <c r="AP82" s="454">
        <f t="shared" si="71"/>
        <v>2970110</v>
      </c>
      <c r="AQ82" s="230">
        <f t="shared" si="72"/>
        <v>3125265</v>
      </c>
      <c r="AR82" s="397">
        <f t="shared" si="73"/>
        <v>6921904</v>
      </c>
      <c r="AS82" s="397">
        <f t="shared" si="74"/>
        <v>7283496</v>
      </c>
    </row>
    <row r="83" spans="1:45" ht="15.75">
      <c r="A83" s="228">
        <v>6</v>
      </c>
      <c r="B83" s="228" t="str">
        <f t="shared" si="38"/>
        <v>FRUTA_6</v>
      </c>
      <c r="C83" s="338" t="str">
        <f t="shared" si="39"/>
        <v>17_6</v>
      </c>
      <c r="D83" s="398" t="s">
        <v>1</v>
      </c>
      <c r="E83" s="228">
        <v>17</v>
      </c>
      <c r="F83" s="332" t="s">
        <v>53</v>
      </c>
      <c r="G83" s="228" t="s">
        <v>9</v>
      </c>
      <c r="H83" s="427">
        <f t="shared" si="40"/>
        <v>0</v>
      </c>
      <c r="I83" s="427">
        <f t="shared" si="41"/>
        <v>0</v>
      </c>
      <c r="J83" s="428">
        <f t="array" ref="J83">MAX((IF(MNU_CODIGO_ALIMENTO_ENTREGA=CONCATENATE($E83,"_","S_"),MNU_GRAMAJE_REQUERIDO_TIPOA,"")))</f>
        <v>0</v>
      </c>
      <c r="K83" s="229">
        <f t="shared" si="42"/>
        <v>1068</v>
      </c>
      <c r="L83" s="229">
        <f t="shared" si="43"/>
        <v>0</v>
      </c>
      <c r="M83" s="229">
        <f t="shared" si="44"/>
        <v>0</v>
      </c>
      <c r="N83" s="454">
        <f t="shared" si="45"/>
        <v>0</v>
      </c>
      <c r="O83" s="454">
        <f t="shared" si="46"/>
        <v>0</v>
      </c>
      <c r="P83" s="454">
        <f t="shared" si="47"/>
        <v>0</v>
      </c>
      <c r="Q83" s="454">
        <f t="shared" si="48"/>
        <v>0</v>
      </c>
      <c r="R83" s="230">
        <f t="shared" si="49"/>
        <v>0</v>
      </c>
      <c r="S83" s="230">
        <f t="shared" si="50"/>
        <v>0</v>
      </c>
      <c r="T83" s="429">
        <f t="shared" si="51"/>
        <v>23</v>
      </c>
      <c r="U83" s="429">
        <f t="shared" si="52"/>
        <v>4</v>
      </c>
      <c r="V83" s="430">
        <f t="array" ref="V83">MAX((IF(MNU_CODIGO_ALIMENTO_ENTREGA=CONCATENATE($E83,"_","S_"),MNU_GRAMAJE_REQUERIDO_TIPOB,"")))</f>
        <v>100</v>
      </c>
      <c r="W83" s="397">
        <f t="shared" si="53"/>
        <v>1613</v>
      </c>
      <c r="X83" s="397">
        <f t="shared" si="54"/>
        <v>0</v>
      </c>
      <c r="Y83" s="397">
        <f t="shared" si="55"/>
        <v>37099</v>
      </c>
      <c r="Z83" s="454">
        <f t="shared" si="56"/>
        <v>226</v>
      </c>
      <c r="AA83" s="454">
        <f t="shared" si="57"/>
        <v>11.0288</v>
      </c>
      <c r="AB83" s="454">
        <f t="shared" si="58"/>
        <v>0.19436361600000002</v>
      </c>
      <c r="AC83" s="454">
        <f t="shared" si="59"/>
        <v>237</v>
      </c>
      <c r="AD83" s="231">
        <f t="shared" si="60"/>
        <v>8384374</v>
      </c>
      <c r="AE83" s="231">
        <f t="shared" si="61"/>
        <v>8792463</v>
      </c>
      <c r="AF83" s="427">
        <f t="shared" si="62"/>
        <v>23</v>
      </c>
      <c r="AG83" s="427">
        <f t="shared" si="63"/>
        <v>4</v>
      </c>
      <c r="AH83" s="428">
        <f t="array" ref="AH83">MAX((IF(MNU_CODIGO_ALIMENTO_ENTREGA=CONCATENATE($E83,"_","S_"),MNU_GRAMAJE_REQUERIDO_TIPOC,"")))</f>
        <v>100</v>
      </c>
      <c r="AI83" s="229">
        <f t="shared" si="64"/>
        <v>2015</v>
      </c>
      <c r="AJ83" s="229">
        <f t="shared" si="65"/>
        <v>0</v>
      </c>
      <c r="AK83" s="229">
        <f t="shared" si="66"/>
        <v>46345</v>
      </c>
      <c r="AL83" s="454">
        <f t="shared" si="67"/>
        <v>226</v>
      </c>
      <c r="AM83" s="454">
        <f t="shared" si="68"/>
        <v>11.0288</v>
      </c>
      <c r="AN83" s="454">
        <f t="shared" si="69"/>
        <v>0.19436361600000002</v>
      </c>
      <c r="AO83" s="454">
        <f t="shared" si="70"/>
        <v>237</v>
      </c>
      <c r="AP83" s="454">
        <f t="shared" si="71"/>
        <v>10473970</v>
      </c>
      <c r="AQ83" s="230">
        <f t="shared" si="72"/>
        <v>10983765</v>
      </c>
      <c r="AR83" s="397">
        <f t="shared" si="73"/>
        <v>18858344</v>
      </c>
      <c r="AS83" s="397">
        <f t="shared" si="74"/>
        <v>19776228</v>
      </c>
    </row>
    <row r="84" spans="1:45" ht="15.75">
      <c r="A84" s="228">
        <v>6</v>
      </c>
      <c r="B84" s="228" t="str">
        <f t="shared" si="38"/>
        <v>FRUTA_6</v>
      </c>
      <c r="C84" s="338" t="str">
        <f t="shared" si="39"/>
        <v>22_6</v>
      </c>
      <c r="D84" s="398" t="s">
        <v>1</v>
      </c>
      <c r="E84" s="228">
        <v>22</v>
      </c>
      <c r="F84" s="332" t="s">
        <v>51</v>
      </c>
      <c r="G84" s="228" t="s">
        <v>9</v>
      </c>
      <c r="H84" s="427">
        <f t="shared" si="40"/>
        <v>0</v>
      </c>
      <c r="I84" s="427">
        <f t="shared" si="41"/>
        <v>0</v>
      </c>
      <c r="J84" s="428">
        <f t="array" ref="J84">MAX((IF(MNU_CODIGO_ALIMENTO_ENTREGA=CONCATENATE($E84,"_","S_"),MNU_GRAMAJE_REQUERIDO_TIPOA,"")))</f>
        <v>0</v>
      </c>
      <c r="K84" s="229">
        <f t="shared" si="42"/>
        <v>1068</v>
      </c>
      <c r="L84" s="229">
        <f t="shared" si="43"/>
        <v>0</v>
      </c>
      <c r="M84" s="229">
        <f t="shared" si="44"/>
        <v>0</v>
      </c>
      <c r="N84" s="454">
        <f t="shared" si="45"/>
        <v>0</v>
      </c>
      <c r="O84" s="454">
        <f t="shared" si="46"/>
        <v>0</v>
      </c>
      <c r="P84" s="454">
        <f t="shared" si="47"/>
        <v>0</v>
      </c>
      <c r="Q84" s="454">
        <f t="shared" si="48"/>
        <v>0</v>
      </c>
      <c r="R84" s="230">
        <f t="shared" si="49"/>
        <v>0</v>
      </c>
      <c r="S84" s="230">
        <f t="shared" si="50"/>
        <v>0</v>
      </c>
      <c r="T84" s="429">
        <f t="shared" si="51"/>
        <v>23</v>
      </c>
      <c r="U84" s="429">
        <f t="shared" si="52"/>
        <v>4</v>
      </c>
      <c r="V84" s="430">
        <f t="array" ref="V84">MAX((IF(MNU_CODIGO_ALIMENTO_ENTREGA=CONCATENATE($E84,"_","S_"),MNU_GRAMAJE_REQUERIDO_TIPOB,"")))</f>
        <v>100</v>
      </c>
      <c r="W84" s="397">
        <f t="shared" si="53"/>
        <v>1613</v>
      </c>
      <c r="X84" s="397">
        <f t="shared" si="54"/>
        <v>0</v>
      </c>
      <c r="Y84" s="397">
        <f t="shared" si="55"/>
        <v>37099</v>
      </c>
      <c r="Z84" s="454">
        <f t="shared" si="56"/>
        <v>525</v>
      </c>
      <c r="AA84" s="454">
        <f t="shared" si="57"/>
        <v>25.62</v>
      </c>
      <c r="AB84" s="454">
        <f t="shared" si="58"/>
        <v>0.45150840000000003</v>
      </c>
      <c r="AC84" s="454">
        <f t="shared" si="59"/>
        <v>551</v>
      </c>
      <c r="AD84" s="231">
        <f t="shared" si="60"/>
        <v>19476975</v>
      </c>
      <c r="AE84" s="231">
        <f t="shared" si="61"/>
        <v>20441549</v>
      </c>
      <c r="AF84" s="427">
        <f t="shared" si="62"/>
        <v>23</v>
      </c>
      <c r="AG84" s="427">
        <f t="shared" si="63"/>
        <v>4</v>
      </c>
      <c r="AH84" s="428">
        <f t="array" ref="AH84">MAX((IF(MNU_CODIGO_ALIMENTO_ENTREGA=CONCATENATE($E84,"_","S_"),MNU_GRAMAJE_REQUERIDO_TIPOC,"")))</f>
        <v>100</v>
      </c>
      <c r="AI84" s="229">
        <f t="shared" si="64"/>
        <v>2015</v>
      </c>
      <c r="AJ84" s="229">
        <f t="shared" si="65"/>
        <v>0</v>
      </c>
      <c r="AK84" s="229">
        <f t="shared" si="66"/>
        <v>46345</v>
      </c>
      <c r="AL84" s="454">
        <f t="shared" si="67"/>
        <v>525</v>
      </c>
      <c r="AM84" s="454">
        <f t="shared" si="68"/>
        <v>25.62</v>
      </c>
      <c r="AN84" s="454">
        <f t="shared" si="69"/>
        <v>0.45150840000000003</v>
      </c>
      <c r="AO84" s="454">
        <f t="shared" si="70"/>
        <v>551</v>
      </c>
      <c r="AP84" s="454">
        <f t="shared" si="71"/>
        <v>24331125</v>
      </c>
      <c r="AQ84" s="230">
        <f t="shared" si="72"/>
        <v>25536095</v>
      </c>
      <c r="AR84" s="397">
        <f t="shared" si="73"/>
        <v>43808100</v>
      </c>
      <c r="AS84" s="397">
        <f t="shared" si="74"/>
        <v>45977644</v>
      </c>
    </row>
    <row r="85" spans="1:45" ht="15.75">
      <c r="A85" s="228">
        <v>6</v>
      </c>
      <c r="B85" s="228" t="str">
        <f t="shared" si="38"/>
        <v>FRUTA_6</v>
      </c>
      <c r="C85" s="338" t="str">
        <f t="shared" si="39"/>
        <v>33_6</v>
      </c>
      <c r="D85" s="398" t="s">
        <v>1</v>
      </c>
      <c r="E85" s="228">
        <v>33</v>
      </c>
      <c r="F85" s="332" t="s">
        <v>59</v>
      </c>
      <c r="G85" s="228" t="s">
        <v>48</v>
      </c>
      <c r="H85" s="427">
        <f t="shared" si="40"/>
        <v>29</v>
      </c>
      <c r="I85" s="427">
        <f t="shared" si="41"/>
        <v>5</v>
      </c>
      <c r="J85" s="428">
        <v>1</v>
      </c>
      <c r="K85" s="229">
        <f t="shared" si="42"/>
        <v>1068</v>
      </c>
      <c r="L85" s="229">
        <f t="shared" si="43"/>
        <v>0</v>
      </c>
      <c r="M85" s="229">
        <f t="shared" si="44"/>
        <v>30972</v>
      </c>
      <c r="N85" s="454">
        <f t="shared" si="45"/>
        <v>270</v>
      </c>
      <c r="O85" s="454">
        <f t="shared" si="46"/>
        <v>13.176000000000002</v>
      </c>
      <c r="P85" s="454">
        <f t="shared" si="47"/>
        <v>0.23220432000000002</v>
      </c>
      <c r="Q85" s="454">
        <f t="shared" si="48"/>
        <v>283</v>
      </c>
      <c r="R85" s="230">
        <f t="shared" si="49"/>
        <v>8362440</v>
      </c>
      <c r="S85" s="230">
        <f t="shared" si="50"/>
        <v>8765076</v>
      </c>
      <c r="T85" s="429">
        <f t="shared" si="51"/>
        <v>23</v>
      </c>
      <c r="U85" s="429">
        <f t="shared" si="52"/>
        <v>2</v>
      </c>
      <c r="V85" s="430">
        <v>1</v>
      </c>
      <c r="W85" s="397">
        <f t="shared" si="53"/>
        <v>1613</v>
      </c>
      <c r="X85" s="397">
        <f t="shared" si="54"/>
        <v>0</v>
      </c>
      <c r="Y85" s="397">
        <f t="shared" si="55"/>
        <v>37099</v>
      </c>
      <c r="Z85" s="454">
        <f t="shared" si="56"/>
        <v>270</v>
      </c>
      <c r="AA85" s="454">
        <f t="shared" si="57"/>
        <v>13.176000000000002</v>
      </c>
      <c r="AB85" s="454">
        <f t="shared" si="58"/>
        <v>0.23220432000000002</v>
      </c>
      <c r="AC85" s="454">
        <f t="shared" si="59"/>
        <v>283</v>
      </c>
      <c r="AD85" s="231">
        <f t="shared" si="60"/>
        <v>10016730</v>
      </c>
      <c r="AE85" s="231">
        <f t="shared" si="61"/>
        <v>10499017</v>
      </c>
      <c r="AF85" s="427">
        <f t="shared" si="62"/>
        <v>23</v>
      </c>
      <c r="AG85" s="427">
        <f t="shared" si="63"/>
        <v>2</v>
      </c>
      <c r="AH85" s="428">
        <v>1</v>
      </c>
      <c r="AI85" s="229">
        <f t="shared" si="64"/>
        <v>2015</v>
      </c>
      <c r="AJ85" s="229">
        <f t="shared" si="65"/>
        <v>0</v>
      </c>
      <c r="AK85" s="229">
        <f t="shared" si="66"/>
        <v>46345</v>
      </c>
      <c r="AL85" s="454">
        <f t="shared" si="67"/>
        <v>270</v>
      </c>
      <c r="AM85" s="454">
        <f t="shared" si="68"/>
        <v>13.176000000000002</v>
      </c>
      <c r="AN85" s="454">
        <f t="shared" si="69"/>
        <v>0.23220432000000002</v>
      </c>
      <c r="AO85" s="454">
        <f t="shared" si="70"/>
        <v>283</v>
      </c>
      <c r="AP85" s="454">
        <f t="shared" si="71"/>
        <v>12513150</v>
      </c>
      <c r="AQ85" s="230">
        <f t="shared" si="72"/>
        <v>13115635</v>
      </c>
      <c r="AR85" s="397">
        <f t="shared" si="73"/>
        <v>30892320</v>
      </c>
      <c r="AS85" s="397">
        <f t="shared" si="74"/>
        <v>32379728</v>
      </c>
    </row>
    <row r="86" spans="1:45" ht="15.75">
      <c r="A86" s="228">
        <v>6</v>
      </c>
      <c r="B86" s="228" t="str">
        <f t="shared" si="38"/>
        <v>FRUTA_6</v>
      </c>
      <c r="C86" s="338" t="str">
        <f t="shared" si="39"/>
        <v>36_6</v>
      </c>
      <c r="D86" s="398" t="s">
        <v>1</v>
      </c>
      <c r="E86" s="228">
        <v>36</v>
      </c>
      <c r="F86" s="332" t="s">
        <v>1340</v>
      </c>
      <c r="G86" s="228" t="s">
        <v>9</v>
      </c>
      <c r="H86" s="427">
        <f t="shared" si="40"/>
        <v>8</v>
      </c>
      <c r="I86" s="427">
        <f t="shared" si="41"/>
        <v>0</v>
      </c>
      <c r="J86" s="428">
        <f t="array" ref="J86">MAX((IF(MNU_CODIGO_ALIMENTO_ENTREGA=CONCATENATE($E86,"_","S_"),MNU_GRAMAJE_REQUERIDO_TIPOA,"")))</f>
        <v>20</v>
      </c>
      <c r="K86" s="229">
        <f t="shared" si="42"/>
        <v>1068</v>
      </c>
      <c r="L86" s="229">
        <f t="shared" si="43"/>
        <v>0</v>
      </c>
      <c r="M86" s="229">
        <f t="shared" si="44"/>
        <v>8544</v>
      </c>
      <c r="N86" s="454">
        <f t="shared" si="45"/>
        <v>126</v>
      </c>
      <c r="O86" s="454">
        <f t="shared" si="46"/>
        <v>6.1488000000000005</v>
      </c>
      <c r="P86" s="454">
        <f t="shared" si="47"/>
        <v>0.10836201599999999</v>
      </c>
      <c r="Q86" s="454">
        <f t="shared" si="48"/>
        <v>132</v>
      </c>
      <c r="R86" s="230">
        <f t="shared" si="49"/>
        <v>1076544</v>
      </c>
      <c r="S86" s="230">
        <f t="shared" si="50"/>
        <v>1127808</v>
      </c>
      <c r="T86" s="429">
        <f t="shared" si="51"/>
        <v>8</v>
      </c>
      <c r="U86" s="429">
        <f t="shared" si="52"/>
        <v>0</v>
      </c>
      <c r="V86" s="430">
        <f t="array" ref="V86">MAX((IF(MNU_CODIGO_ALIMENTO_ENTREGA=CONCATENATE($E86,"_","S_"),MNU_GRAMAJE_REQUERIDO_TIPOB,"")))</f>
        <v>40</v>
      </c>
      <c r="W86" s="397">
        <f t="shared" si="53"/>
        <v>1613</v>
      </c>
      <c r="X86" s="397">
        <f t="shared" si="54"/>
        <v>0</v>
      </c>
      <c r="Y86" s="397">
        <f t="shared" si="55"/>
        <v>12904</v>
      </c>
      <c r="Z86" s="454">
        <f t="shared" si="56"/>
        <v>252</v>
      </c>
      <c r="AA86" s="454">
        <f t="shared" si="57"/>
        <v>12.297600000000001</v>
      </c>
      <c r="AB86" s="454">
        <f t="shared" si="58"/>
        <v>0.21672403199999998</v>
      </c>
      <c r="AC86" s="454">
        <f t="shared" si="59"/>
        <v>265</v>
      </c>
      <c r="AD86" s="231">
        <f t="shared" si="60"/>
        <v>3251808</v>
      </c>
      <c r="AE86" s="231">
        <f t="shared" si="61"/>
        <v>3419560</v>
      </c>
      <c r="AF86" s="427">
        <f t="shared" si="62"/>
        <v>8</v>
      </c>
      <c r="AG86" s="427">
        <f t="shared" si="63"/>
        <v>0</v>
      </c>
      <c r="AH86" s="428">
        <f t="array" ref="AH86">MAX((IF(MNU_CODIGO_ALIMENTO_ENTREGA=CONCATENATE($E86,"_","S_"),MNU_GRAMAJE_REQUERIDO_TIPOC,"")))</f>
        <v>40</v>
      </c>
      <c r="AI86" s="229">
        <f t="shared" si="64"/>
        <v>2015</v>
      </c>
      <c r="AJ86" s="229">
        <f t="shared" si="65"/>
        <v>0</v>
      </c>
      <c r="AK86" s="229">
        <f t="shared" si="66"/>
        <v>16120</v>
      </c>
      <c r="AL86" s="454">
        <f t="shared" si="67"/>
        <v>252</v>
      </c>
      <c r="AM86" s="454">
        <f t="shared" si="68"/>
        <v>12.297600000000001</v>
      </c>
      <c r="AN86" s="454">
        <f t="shared" si="69"/>
        <v>0.21672403199999998</v>
      </c>
      <c r="AO86" s="454">
        <f t="shared" si="70"/>
        <v>265</v>
      </c>
      <c r="AP86" s="454">
        <f t="shared" si="71"/>
        <v>4062240</v>
      </c>
      <c r="AQ86" s="230">
        <f t="shared" si="72"/>
        <v>4271800</v>
      </c>
      <c r="AR86" s="397">
        <f t="shared" si="73"/>
        <v>8390592</v>
      </c>
      <c r="AS86" s="397">
        <f t="shared" si="74"/>
        <v>8819168</v>
      </c>
    </row>
    <row r="87" spans="1:45" ht="15.75">
      <c r="A87" s="228">
        <v>6</v>
      </c>
      <c r="B87" s="228" t="str">
        <f t="shared" si="38"/>
        <v>FRUTA_6</v>
      </c>
      <c r="C87" s="338" t="str">
        <f t="shared" si="39"/>
        <v>42_6</v>
      </c>
      <c r="D87" s="398" t="s">
        <v>1</v>
      </c>
      <c r="E87" s="228">
        <v>42</v>
      </c>
      <c r="F87" s="332" t="s">
        <v>61</v>
      </c>
      <c r="G87" s="228" t="s">
        <v>9</v>
      </c>
      <c r="H87" s="427">
        <f t="shared" si="40"/>
        <v>36</v>
      </c>
      <c r="I87" s="427">
        <f t="shared" si="41"/>
        <v>8</v>
      </c>
      <c r="J87" s="428">
        <f t="array" ref="J87">MAX((IF(MNU_CODIGO_ALIMENTO_ENTREGA=CONCATENATE($E87,"_","S_"),MNU_GRAMAJE_REQUERIDO_TIPOA,"")))</f>
        <v>100</v>
      </c>
      <c r="K87" s="229">
        <f t="shared" si="42"/>
        <v>1068</v>
      </c>
      <c r="L87" s="229">
        <f t="shared" si="43"/>
        <v>0</v>
      </c>
      <c r="M87" s="229">
        <f t="shared" si="44"/>
        <v>38448</v>
      </c>
      <c r="N87" s="454">
        <f t="shared" si="45"/>
        <v>194</v>
      </c>
      <c r="O87" s="454">
        <f t="shared" si="46"/>
        <v>9.4672000000000001</v>
      </c>
      <c r="P87" s="454">
        <f t="shared" si="47"/>
        <v>0.16684310399999999</v>
      </c>
      <c r="Q87" s="454">
        <f t="shared" si="48"/>
        <v>204</v>
      </c>
      <c r="R87" s="230">
        <f t="shared" si="49"/>
        <v>7458912</v>
      </c>
      <c r="S87" s="230">
        <f t="shared" si="50"/>
        <v>7843392</v>
      </c>
      <c r="T87" s="429">
        <f t="shared" si="51"/>
        <v>19</v>
      </c>
      <c r="U87" s="429">
        <f t="shared" si="52"/>
        <v>8</v>
      </c>
      <c r="V87" s="430">
        <f t="array" ref="V87">MAX((IF(MNU_CODIGO_ALIMENTO_ENTREGA=CONCATENATE($E87,"_","S_"),MNU_GRAMAJE_REQUERIDO_TIPOB,"")))</f>
        <v>100</v>
      </c>
      <c r="W87" s="397">
        <f t="shared" si="53"/>
        <v>1613</v>
      </c>
      <c r="X87" s="397">
        <f t="shared" si="54"/>
        <v>0</v>
      </c>
      <c r="Y87" s="397">
        <f t="shared" si="55"/>
        <v>30647</v>
      </c>
      <c r="Z87" s="454">
        <f t="shared" si="56"/>
        <v>194</v>
      </c>
      <c r="AA87" s="454">
        <f t="shared" si="57"/>
        <v>9.4672000000000001</v>
      </c>
      <c r="AB87" s="454">
        <f t="shared" si="58"/>
        <v>0.16684310399999999</v>
      </c>
      <c r="AC87" s="454">
        <f t="shared" si="59"/>
        <v>204</v>
      </c>
      <c r="AD87" s="231">
        <f t="shared" si="60"/>
        <v>5945518</v>
      </c>
      <c r="AE87" s="231">
        <f t="shared" si="61"/>
        <v>6251988</v>
      </c>
      <c r="AF87" s="427">
        <f t="shared" si="62"/>
        <v>19</v>
      </c>
      <c r="AG87" s="427">
        <f t="shared" si="63"/>
        <v>8</v>
      </c>
      <c r="AH87" s="428">
        <f t="array" ref="AH87">MAX((IF(MNU_CODIGO_ALIMENTO_ENTREGA=CONCATENATE($E87,"_","S_"),MNU_GRAMAJE_REQUERIDO_TIPOC,"")))</f>
        <v>100</v>
      </c>
      <c r="AI87" s="229">
        <f t="shared" si="64"/>
        <v>2015</v>
      </c>
      <c r="AJ87" s="229">
        <f t="shared" si="65"/>
        <v>0</v>
      </c>
      <c r="AK87" s="229">
        <f t="shared" si="66"/>
        <v>38285</v>
      </c>
      <c r="AL87" s="454">
        <f t="shared" si="67"/>
        <v>194</v>
      </c>
      <c r="AM87" s="454">
        <f t="shared" si="68"/>
        <v>9.4672000000000001</v>
      </c>
      <c r="AN87" s="454">
        <f t="shared" si="69"/>
        <v>0.16684310399999999</v>
      </c>
      <c r="AO87" s="454">
        <f t="shared" si="70"/>
        <v>204</v>
      </c>
      <c r="AP87" s="454">
        <f t="shared" si="71"/>
        <v>7427290</v>
      </c>
      <c r="AQ87" s="230">
        <f t="shared" si="72"/>
        <v>7810140</v>
      </c>
      <c r="AR87" s="397">
        <f t="shared" si="73"/>
        <v>20831720</v>
      </c>
      <c r="AS87" s="397">
        <f t="shared" si="74"/>
        <v>21905520</v>
      </c>
    </row>
    <row r="88" spans="1:45" ht="15.75">
      <c r="A88" s="228">
        <v>6</v>
      </c>
      <c r="B88" s="228" t="str">
        <f t="shared" si="38"/>
        <v>FRUTA_6</v>
      </c>
      <c r="C88" s="338" t="str">
        <f t="shared" si="39"/>
        <v>43_6</v>
      </c>
      <c r="D88" s="398" t="s">
        <v>1</v>
      </c>
      <c r="E88" s="228">
        <v>43</v>
      </c>
      <c r="F88" s="332" t="s">
        <v>62</v>
      </c>
      <c r="G88" s="228" t="s">
        <v>9</v>
      </c>
      <c r="H88" s="427">
        <f t="shared" si="40"/>
        <v>29</v>
      </c>
      <c r="I88" s="427">
        <f t="shared" si="41"/>
        <v>6</v>
      </c>
      <c r="J88" s="428">
        <f t="array" ref="J88">MAX((IF(MNU_CODIGO_ALIMENTO_ENTREGA=CONCATENATE($E88,"_","S_"),MNU_GRAMAJE_REQUERIDO_TIPOA,"")))</f>
        <v>100</v>
      </c>
      <c r="K88" s="229">
        <f t="shared" si="42"/>
        <v>1068</v>
      </c>
      <c r="L88" s="229">
        <f t="shared" si="43"/>
        <v>0</v>
      </c>
      <c r="M88" s="229">
        <f t="shared" si="44"/>
        <v>30972</v>
      </c>
      <c r="N88" s="454">
        <f t="shared" si="45"/>
        <v>170</v>
      </c>
      <c r="O88" s="454">
        <f t="shared" si="46"/>
        <v>8.2959999999999994</v>
      </c>
      <c r="P88" s="454">
        <f t="shared" si="47"/>
        <v>0.14620272000000001</v>
      </c>
      <c r="Q88" s="454">
        <f t="shared" si="48"/>
        <v>178</v>
      </c>
      <c r="R88" s="230">
        <f t="shared" si="49"/>
        <v>5265240</v>
      </c>
      <c r="S88" s="230">
        <f t="shared" si="50"/>
        <v>5513016</v>
      </c>
      <c r="T88" s="429">
        <f t="shared" si="51"/>
        <v>23</v>
      </c>
      <c r="U88" s="429">
        <f t="shared" si="52"/>
        <v>1</v>
      </c>
      <c r="V88" s="430">
        <f t="array" ref="V88">MAX((IF(MNU_CODIGO_ALIMENTO_ENTREGA=CONCATENATE($E88,"_","S_"),MNU_GRAMAJE_REQUERIDO_TIPOB,"")))</f>
        <v>100</v>
      </c>
      <c r="W88" s="397">
        <f t="shared" si="53"/>
        <v>1613</v>
      </c>
      <c r="X88" s="397">
        <f t="shared" si="54"/>
        <v>0</v>
      </c>
      <c r="Y88" s="397">
        <f t="shared" si="55"/>
        <v>37099</v>
      </c>
      <c r="Z88" s="454">
        <f t="shared" si="56"/>
        <v>170</v>
      </c>
      <c r="AA88" s="454">
        <f t="shared" si="57"/>
        <v>8.2959999999999994</v>
      </c>
      <c r="AB88" s="454">
        <f t="shared" si="58"/>
        <v>0.14620272000000001</v>
      </c>
      <c r="AC88" s="454">
        <f t="shared" si="59"/>
        <v>178</v>
      </c>
      <c r="AD88" s="231">
        <f t="shared" si="60"/>
        <v>6306830</v>
      </c>
      <c r="AE88" s="231">
        <f t="shared" si="61"/>
        <v>6603622</v>
      </c>
      <c r="AF88" s="427">
        <f t="shared" si="62"/>
        <v>23</v>
      </c>
      <c r="AG88" s="427">
        <f t="shared" si="63"/>
        <v>1</v>
      </c>
      <c r="AH88" s="428">
        <f t="array" ref="AH88">MAX((IF(MNU_CODIGO_ALIMENTO_ENTREGA=CONCATENATE($E88,"_","S_"),MNU_GRAMAJE_REQUERIDO_TIPOC,"")))</f>
        <v>100</v>
      </c>
      <c r="AI88" s="229">
        <f t="shared" si="64"/>
        <v>2015</v>
      </c>
      <c r="AJ88" s="229">
        <f t="shared" si="65"/>
        <v>0</v>
      </c>
      <c r="AK88" s="229">
        <f t="shared" si="66"/>
        <v>46345</v>
      </c>
      <c r="AL88" s="454">
        <f t="shared" si="67"/>
        <v>170</v>
      </c>
      <c r="AM88" s="454">
        <f t="shared" si="68"/>
        <v>8.2959999999999994</v>
      </c>
      <c r="AN88" s="454">
        <f t="shared" si="69"/>
        <v>0.14620272000000001</v>
      </c>
      <c r="AO88" s="454">
        <f t="shared" si="70"/>
        <v>178</v>
      </c>
      <c r="AP88" s="454">
        <f t="shared" si="71"/>
        <v>7878650</v>
      </c>
      <c r="AQ88" s="230">
        <f t="shared" si="72"/>
        <v>8249410</v>
      </c>
      <c r="AR88" s="397">
        <f t="shared" si="73"/>
        <v>19450720</v>
      </c>
      <c r="AS88" s="397">
        <f t="shared" si="74"/>
        <v>20366048</v>
      </c>
    </row>
    <row r="89" spans="1:45" ht="15.75">
      <c r="A89" s="228">
        <v>6</v>
      </c>
      <c r="B89" s="228" t="str">
        <f t="shared" si="38"/>
        <v>FRUTA_6</v>
      </c>
      <c r="C89" s="338" t="str">
        <f t="shared" si="39"/>
        <v>46_6</v>
      </c>
      <c r="D89" s="398" t="s">
        <v>1</v>
      </c>
      <c r="E89" s="228">
        <v>46</v>
      </c>
      <c r="F89" s="332" t="s">
        <v>64</v>
      </c>
      <c r="G89" s="228" t="s">
        <v>9</v>
      </c>
      <c r="H89" s="427">
        <f t="shared" si="40"/>
        <v>29</v>
      </c>
      <c r="I89" s="427">
        <f t="shared" si="41"/>
        <v>4</v>
      </c>
      <c r="J89" s="428">
        <f t="array" ref="J89">MAX((IF(MNU_CODIGO_ALIMENTO_ENTREGA=CONCATENATE($E89,"_","S_"),MNU_GRAMAJE_REQUERIDO_TIPOA,"")))</f>
        <v>100</v>
      </c>
      <c r="K89" s="229">
        <f t="shared" si="42"/>
        <v>1068</v>
      </c>
      <c r="L89" s="229">
        <f t="shared" si="43"/>
        <v>0</v>
      </c>
      <c r="M89" s="229">
        <f t="shared" si="44"/>
        <v>30972</v>
      </c>
      <c r="N89" s="454">
        <f t="shared" si="45"/>
        <v>398</v>
      </c>
      <c r="O89" s="454">
        <f t="shared" si="46"/>
        <v>19.4224</v>
      </c>
      <c r="P89" s="454">
        <f t="shared" si="47"/>
        <v>0.34228636800000001</v>
      </c>
      <c r="Q89" s="454">
        <f t="shared" si="48"/>
        <v>418</v>
      </c>
      <c r="R89" s="230">
        <f t="shared" si="49"/>
        <v>12326856</v>
      </c>
      <c r="S89" s="230">
        <f t="shared" si="50"/>
        <v>12946296</v>
      </c>
      <c r="T89" s="429">
        <f t="shared" si="51"/>
        <v>24</v>
      </c>
      <c r="U89" s="429">
        <f t="shared" si="52"/>
        <v>3</v>
      </c>
      <c r="V89" s="430">
        <f t="array" ref="V89">MAX((IF(MNU_CODIGO_ALIMENTO_ENTREGA=CONCATENATE($E89,"_","S_"),MNU_GRAMAJE_REQUERIDO_TIPOB,"")))</f>
        <v>100</v>
      </c>
      <c r="W89" s="397">
        <f t="shared" si="53"/>
        <v>1613</v>
      </c>
      <c r="X89" s="397">
        <f t="shared" si="54"/>
        <v>0</v>
      </c>
      <c r="Y89" s="397">
        <f t="shared" si="55"/>
        <v>38712</v>
      </c>
      <c r="Z89" s="454">
        <f t="shared" si="56"/>
        <v>398</v>
      </c>
      <c r="AA89" s="454">
        <f t="shared" si="57"/>
        <v>19.4224</v>
      </c>
      <c r="AB89" s="454">
        <f t="shared" si="58"/>
        <v>0.34228636800000001</v>
      </c>
      <c r="AC89" s="454">
        <f t="shared" si="59"/>
        <v>418</v>
      </c>
      <c r="AD89" s="231">
        <f t="shared" si="60"/>
        <v>15407376</v>
      </c>
      <c r="AE89" s="231">
        <f t="shared" si="61"/>
        <v>16181616</v>
      </c>
      <c r="AF89" s="427">
        <f t="shared" si="62"/>
        <v>24</v>
      </c>
      <c r="AG89" s="427">
        <f t="shared" si="63"/>
        <v>3</v>
      </c>
      <c r="AH89" s="428">
        <f t="array" ref="AH89">MAX((IF(MNU_CODIGO_ALIMENTO_ENTREGA=CONCATENATE($E89,"_","S_"),MNU_GRAMAJE_REQUERIDO_TIPOC,"")))</f>
        <v>100</v>
      </c>
      <c r="AI89" s="229">
        <f t="shared" si="64"/>
        <v>2015</v>
      </c>
      <c r="AJ89" s="229">
        <f t="shared" si="65"/>
        <v>0</v>
      </c>
      <c r="AK89" s="229">
        <f t="shared" si="66"/>
        <v>48360</v>
      </c>
      <c r="AL89" s="454">
        <f t="shared" si="67"/>
        <v>398</v>
      </c>
      <c r="AM89" s="454">
        <f t="shared" si="68"/>
        <v>19.4224</v>
      </c>
      <c r="AN89" s="454">
        <f t="shared" si="69"/>
        <v>0.34228636800000001</v>
      </c>
      <c r="AO89" s="454">
        <f t="shared" si="70"/>
        <v>418</v>
      </c>
      <c r="AP89" s="454">
        <f t="shared" si="71"/>
        <v>19247280</v>
      </c>
      <c r="AQ89" s="230">
        <f t="shared" si="72"/>
        <v>20214480</v>
      </c>
      <c r="AR89" s="397">
        <f t="shared" si="73"/>
        <v>46981512</v>
      </c>
      <c r="AS89" s="397">
        <f t="shared" si="74"/>
        <v>49342392</v>
      </c>
    </row>
    <row r="90" spans="1:45" ht="15.75">
      <c r="A90" s="228">
        <v>6</v>
      </c>
      <c r="B90" s="228" t="str">
        <f t="shared" si="38"/>
        <v>FRUTA_6</v>
      </c>
      <c r="C90" s="338" t="str">
        <f t="shared" si="39"/>
        <v>58_6</v>
      </c>
      <c r="D90" s="398" t="s">
        <v>1</v>
      </c>
      <c r="E90" s="228">
        <v>58</v>
      </c>
      <c r="F90" s="332" t="s">
        <v>67</v>
      </c>
      <c r="G90" s="228" t="s">
        <v>9</v>
      </c>
      <c r="H90" s="427">
        <f t="shared" si="40"/>
        <v>28</v>
      </c>
      <c r="I90" s="427">
        <f t="shared" si="41"/>
        <v>5</v>
      </c>
      <c r="J90" s="428">
        <f t="array" ref="J90">MAX((IF(MNU_CODIGO_ALIMENTO_ENTREGA=CONCATENATE($E90,"_","S_"),MNU_GRAMAJE_REQUERIDO_TIPOA,"")))</f>
        <v>100</v>
      </c>
      <c r="K90" s="229">
        <f t="shared" si="42"/>
        <v>1068</v>
      </c>
      <c r="L90" s="229">
        <f t="shared" si="43"/>
        <v>0</v>
      </c>
      <c r="M90" s="229">
        <f t="shared" si="44"/>
        <v>29904</v>
      </c>
      <c r="N90" s="454">
        <f t="shared" si="45"/>
        <v>154</v>
      </c>
      <c r="O90" s="454">
        <f t="shared" si="46"/>
        <v>7.515200000000001</v>
      </c>
      <c r="P90" s="454">
        <f t="shared" si="47"/>
        <v>0.13244246400000001</v>
      </c>
      <c r="Q90" s="454">
        <f t="shared" si="48"/>
        <v>162</v>
      </c>
      <c r="R90" s="230">
        <f t="shared" si="49"/>
        <v>4605216</v>
      </c>
      <c r="S90" s="230">
        <f t="shared" si="50"/>
        <v>4844448</v>
      </c>
      <c r="T90" s="429">
        <f t="shared" si="51"/>
        <v>23</v>
      </c>
      <c r="U90" s="429">
        <f t="shared" si="52"/>
        <v>3</v>
      </c>
      <c r="V90" s="430">
        <f t="array" ref="V90">MAX((IF(MNU_CODIGO_ALIMENTO_ENTREGA=CONCATENATE($E90,"_","S_"),MNU_GRAMAJE_REQUERIDO_TIPOB,"")))</f>
        <v>100</v>
      </c>
      <c r="W90" s="397">
        <f t="shared" si="53"/>
        <v>1613</v>
      </c>
      <c r="X90" s="397">
        <f t="shared" si="54"/>
        <v>0</v>
      </c>
      <c r="Y90" s="397">
        <f t="shared" si="55"/>
        <v>37099</v>
      </c>
      <c r="Z90" s="454">
        <f t="shared" si="56"/>
        <v>154</v>
      </c>
      <c r="AA90" s="454">
        <f t="shared" si="57"/>
        <v>7.515200000000001</v>
      </c>
      <c r="AB90" s="454">
        <f t="shared" si="58"/>
        <v>0.13244246400000001</v>
      </c>
      <c r="AC90" s="454">
        <f t="shared" si="59"/>
        <v>162</v>
      </c>
      <c r="AD90" s="231">
        <f t="shared" si="60"/>
        <v>5713246</v>
      </c>
      <c r="AE90" s="231">
        <f t="shared" si="61"/>
        <v>6010038</v>
      </c>
      <c r="AF90" s="427">
        <f t="shared" si="62"/>
        <v>23</v>
      </c>
      <c r="AG90" s="427">
        <f t="shared" si="63"/>
        <v>3</v>
      </c>
      <c r="AH90" s="428">
        <f t="array" ref="AH90">MAX((IF(MNU_CODIGO_ALIMENTO_ENTREGA=CONCATENATE($E90,"_","S_"),MNU_GRAMAJE_REQUERIDO_TIPOC,"")))</f>
        <v>100</v>
      </c>
      <c r="AI90" s="229">
        <f t="shared" si="64"/>
        <v>2015</v>
      </c>
      <c r="AJ90" s="229">
        <f t="shared" si="65"/>
        <v>0</v>
      </c>
      <c r="AK90" s="229">
        <f t="shared" si="66"/>
        <v>46345</v>
      </c>
      <c r="AL90" s="454">
        <f t="shared" si="67"/>
        <v>154</v>
      </c>
      <c r="AM90" s="454">
        <f t="shared" si="68"/>
        <v>7.515200000000001</v>
      </c>
      <c r="AN90" s="454">
        <f t="shared" si="69"/>
        <v>0.13244246400000001</v>
      </c>
      <c r="AO90" s="454">
        <f t="shared" si="70"/>
        <v>162</v>
      </c>
      <c r="AP90" s="454">
        <f t="shared" si="71"/>
        <v>7137130</v>
      </c>
      <c r="AQ90" s="230">
        <f t="shared" si="72"/>
        <v>7507890</v>
      </c>
      <c r="AR90" s="397">
        <f t="shared" si="73"/>
        <v>17455592</v>
      </c>
      <c r="AS90" s="397">
        <f t="shared" si="74"/>
        <v>18362376</v>
      </c>
    </row>
    <row r="91" spans="1:45" ht="15.75">
      <c r="A91" s="228">
        <v>6</v>
      </c>
      <c r="B91" s="228" t="str">
        <f t="shared" si="38"/>
        <v>FRUTA_6</v>
      </c>
      <c r="C91" s="338" t="str">
        <f t="shared" si="39"/>
        <v>59_6</v>
      </c>
      <c r="D91" s="398" t="s">
        <v>1</v>
      </c>
      <c r="E91" s="228">
        <v>59</v>
      </c>
      <c r="F91" s="332" t="s">
        <v>99</v>
      </c>
      <c r="G91" s="228" t="s">
        <v>9</v>
      </c>
      <c r="H91" s="427">
        <f t="shared" si="40"/>
        <v>0</v>
      </c>
      <c r="I91" s="427">
        <f t="shared" si="41"/>
        <v>0</v>
      </c>
      <c r="J91" s="428">
        <f t="array" ref="J91">MAX((IF(MNU_CODIGO_ALIMENTO_ENTREGA=CONCATENATE($E91,"_","S_"),MNU_GRAMAJE_REQUERIDO_TIPOA,"")))</f>
        <v>0</v>
      </c>
      <c r="K91" s="229">
        <f t="shared" si="42"/>
        <v>1068</v>
      </c>
      <c r="L91" s="229">
        <f t="shared" si="43"/>
        <v>0</v>
      </c>
      <c r="M91" s="229">
        <f t="shared" si="44"/>
        <v>0</v>
      </c>
      <c r="N91" s="454">
        <f t="shared" si="45"/>
        <v>0</v>
      </c>
      <c r="O91" s="454">
        <f t="shared" si="46"/>
        <v>0</v>
      </c>
      <c r="P91" s="454">
        <f t="shared" si="47"/>
        <v>0</v>
      </c>
      <c r="Q91" s="454">
        <f t="shared" si="48"/>
        <v>0</v>
      </c>
      <c r="R91" s="230">
        <f t="shared" si="49"/>
        <v>0</v>
      </c>
      <c r="S91" s="230">
        <f t="shared" si="50"/>
        <v>0</v>
      </c>
      <c r="T91" s="429">
        <f t="shared" si="51"/>
        <v>11</v>
      </c>
      <c r="U91" s="429">
        <f t="shared" si="52"/>
        <v>0</v>
      </c>
      <c r="V91" s="430">
        <f t="array" ref="V91">MAX((IF(MNU_CODIGO_ALIMENTO_ENTREGA=CONCATENATE($E91,"_","S_"),MNU_GRAMAJE_REQUERIDO_TIPOB,"")))</f>
        <v>100</v>
      </c>
      <c r="W91" s="397">
        <f t="shared" si="53"/>
        <v>1613</v>
      </c>
      <c r="X91" s="397">
        <f t="shared" si="54"/>
        <v>0</v>
      </c>
      <c r="Y91" s="397">
        <f t="shared" si="55"/>
        <v>17743</v>
      </c>
      <c r="Z91" s="454">
        <f t="shared" si="56"/>
        <v>286</v>
      </c>
      <c r="AA91" s="454">
        <f t="shared" si="57"/>
        <v>13.956800000000001</v>
      </c>
      <c r="AB91" s="454">
        <f t="shared" si="58"/>
        <v>0.24596457599999999</v>
      </c>
      <c r="AC91" s="454">
        <f t="shared" si="59"/>
        <v>300</v>
      </c>
      <c r="AD91" s="231">
        <f t="shared" si="60"/>
        <v>5074498</v>
      </c>
      <c r="AE91" s="231">
        <f t="shared" si="61"/>
        <v>5322900</v>
      </c>
      <c r="AF91" s="427">
        <f t="shared" si="62"/>
        <v>11</v>
      </c>
      <c r="AG91" s="427">
        <f t="shared" si="63"/>
        <v>0</v>
      </c>
      <c r="AH91" s="428">
        <f t="array" ref="AH91">MAX((IF(MNU_CODIGO_ALIMENTO_ENTREGA=CONCATENATE($E91,"_","S_"),MNU_GRAMAJE_REQUERIDO_TIPOC,"")))</f>
        <v>100</v>
      </c>
      <c r="AI91" s="229">
        <f t="shared" si="64"/>
        <v>2015</v>
      </c>
      <c r="AJ91" s="229">
        <f t="shared" si="65"/>
        <v>0</v>
      </c>
      <c r="AK91" s="229">
        <f t="shared" si="66"/>
        <v>22165</v>
      </c>
      <c r="AL91" s="454">
        <f t="shared" si="67"/>
        <v>286</v>
      </c>
      <c r="AM91" s="454">
        <f t="shared" si="68"/>
        <v>13.956800000000001</v>
      </c>
      <c r="AN91" s="454">
        <f t="shared" si="69"/>
        <v>0.24596457599999999</v>
      </c>
      <c r="AO91" s="454">
        <f t="shared" si="70"/>
        <v>300</v>
      </c>
      <c r="AP91" s="454">
        <f t="shared" si="71"/>
        <v>6339190</v>
      </c>
      <c r="AQ91" s="230">
        <f t="shared" si="72"/>
        <v>6649500</v>
      </c>
      <c r="AR91" s="397">
        <f t="shared" si="73"/>
        <v>11413688</v>
      </c>
      <c r="AS91" s="397">
        <f t="shared" si="74"/>
        <v>11972400</v>
      </c>
    </row>
    <row r="92" spans="1:45" ht="15.75">
      <c r="A92" s="228">
        <v>6</v>
      </c>
      <c r="B92" s="228" t="str">
        <f t="shared" si="38"/>
        <v>FRUTA_6</v>
      </c>
      <c r="C92" s="338" t="str">
        <f t="shared" si="39"/>
        <v>69_6</v>
      </c>
      <c r="D92" s="398" t="s">
        <v>1</v>
      </c>
      <c r="E92" s="228">
        <v>69</v>
      </c>
      <c r="F92" s="332" t="s">
        <v>70</v>
      </c>
      <c r="G92" s="228" t="s">
        <v>9</v>
      </c>
      <c r="H92" s="427">
        <f t="shared" si="40"/>
        <v>18</v>
      </c>
      <c r="I92" s="427">
        <f t="shared" si="41"/>
        <v>2</v>
      </c>
      <c r="J92" s="428">
        <f t="array" ref="J92">MAX((IF(MNU_CODIGO_ALIMENTO_ENTREGA=CONCATENATE($E92,"_","S_"),MNU_GRAMAJE_REQUERIDO_TIPOA,"")))</f>
        <v>100</v>
      </c>
      <c r="K92" s="229">
        <f t="shared" si="42"/>
        <v>1068</v>
      </c>
      <c r="L92" s="229">
        <f t="shared" si="43"/>
        <v>0</v>
      </c>
      <c r="M92" s="229">
        <f t="shared" si="44"/>
        <v>19224</v>
      </c>
      <c r="N92" s="454">
        <f t="shared" si="45"/>
        <v>305</v>
      </c>
      <c r="O92" s="454">
        <f t="shared" si="46"/>
        <v>14.884</v>
      </c>
      <c r="P92" s="454">
        <f t="shared" si="47"/>
        <v>0.26230488000000002</v>
      </c>
      <c r="Q92" s="454">
        <f t="shared" si="48"/>
        <v>320</v>
      </c>
      <c r="R92" s="230">
        <f t="shared" si="49"/>
        <v>5863320</v>
      </c>
      <c r="S92" s="230">
        <f t="shared" si="50"/>
        <v>6151680</v>
      </c>
      <c r="T92" s="429">
        <f t="shared" si="51"/>
        <v>12</v>
      </c>
      <c r="U92" s="429">
        <f t="shared" si="52"/>
        <v>2</v>
      </c>
      <c r="V92" s="430">
        <f t="array" ref="V92">MAX((IF(MNU_CODIGO_ALIMENTO_ENTREGA=CONCATENATE($E92,"_","S_"),MNU_GRAMAJE_REQUERIDO_TIPOB,"")))</f>
        <v>100</v>
      </c>
      <c r="W92" s="397">
        <f t="shared" si="53"/>
        <v>1613</v>
      </c>
      <c r="X92" s="397">
        <f t="shared" si="54"/>
        <v>0</v>
      </c>
      <c r="Y92" s="397">
        <f t="shared" si="55"/>
        <v>19356</v>
      </c>
      <c r="Z92" s="454">
        <f t="shared" si="56"/>
        <v>305</v>
      </c>
      <c r="AA92" s="454">
        <f t="shared" si="57"/>
        <v>14.884</v>
      </c>
      <c r="AB92" s="454">
        <f t="shared" si="58"/>
        <v>0.26230488000000002</v>
      </c>
      <c r="AC92" s="454">
        <f t="shared" si="59"/>
        <v>320</v>
      </c>
      <c r="AD92" s="231">
        <f t="shared" si="60"/>
        <v>5903580</v>
      </c>
      <c r="AE92" s="231">
        <f t="shared" si="61"/>
        <v>6193920</v>
      </c>
      <c r="AF92" s="427">
        <f t="shared" si="62"/>
        <v>12</v>
      </c>
      <c r="AG92" s="427">
        <f t="shared" si="63"/>
        <v>2</v>
      </c>
      <c r="AH92" s="428">
        <f t="array" ref="AH92">MAX((IF(MNU_CODIGO_ALIMENTO_ENTREGA=CONCATENATE($E92,"_","S_"),MNU_GRAMAJE_REQUERIDO_TIPOC,"")))</f>
        <v>100</v>
      </c>
      <c r="AI92" s="229">
        <f t="shared" si="64"/>
        <v>2015</v>
      </c>
      <c r="AJ92" s="229">
        <f t="shared" si="65"/>
        <v>0</v>
      </c>
      <c r="AK92" s="229">
        <f t="shared" si="66"/>
        <v>24180</v>
      </c>
      <c r="AL92" s="454">
        <f t="shared" si="67"/>
        <v>305</v>
      </c>
      <c r="AM92" s="454">
        <f t="shared" si="68"/>
        <v>14.884</v>
      </c>
      <c r="AN92" s="454">
        <f t="shared" si="69"/>
        <v>0.26230488000000002</v>
      </c>
      <c r="AO92" s="454">
        <f t="shared" si="70"/>
        <v>320</v>
      </c>
      <c r="AP92" s="454">
        <f t="shared" si="71"/>
        <v>7374900</v>
      </c>
      <c r="AQ92" s="230">
        <f t="shared" si="72"/>
        <v>7737600</v>
      </c>
      <c r="AR92" s="397">
        <f t="shared" si="73"/>
        <v>19141800</v>
      </c>
      <c r="AS92" s="397">
        <f t="shared" si="74"/>
        <v>20083200</v>
      </c>
    </row>
    <row r="93" spans="1:45" ht="15.75">
      <c r="A93" s="228">
        <v>6</v>
      </c>
      <c r="B93" s="228" t="str">
        <f t="shared" si="38"/>
        <v>FRUTA_6</v>
      </c>
      <c r="C93" s="338" t="str">
        <f t="shared" si="39"/>
        <v>70_6</v>
      </c>
      <c r="D93" s="398" t="s">
        <v>1</v>
      </c>
      <c r="E93" s="228">
        <v>70</v>
      </c>
      <c r="F93" s="332" t="s">
        <v>71</v>
      </c>
      <c r="G93" s="228" t="s">
        <v>9</v>
      </c>
      <c r="H93" s="427">
        <f t="shared" si="40"/>
        <v>0</v>
      </c>
      <c r="I93" s="427">
        <f t="shared" si="41"/>
        <v>0</v>
      </c>
      <c r="J93" s="428">
        <f t="array" ref="J93">MAX((IF(MNU_CODIGO_ALIMENTO_ENTREGA=CONCATENATE($E93,"_","S_"),MNU_GRAMAJE_REQUERIDO_TIPOA,"")))</f>
        <v>0</v>
      </c>
      <c r="K93" s="229">
        <f t="shared" si="42"/>
        <v>1068</v>
      </c>
      <c r="L93" s="229">
        <f t="shared" si="43"/>
        <v>0</v>
      </c>
      <c r="M93" s="229">
        <f t="shared" si="44"/>
        <v>0</v>
      </c>
      <c r="N93" s="454">
        <f t="shared" si="45"/>
        <v>0</v>
      </c>
      <c r="O93" s="454">
        <f t="shared" si="46"/>
        <v>0</v>
      </c>
      <c r="P93" s="454">
        <f t="shared" si="47"/>
        <v>0</v>
      </c>
      <c r="Q93" s="454">
        <f t="shared" si="48"/>
        <v>0</v>
      </c>
      <c r="R93" s="230">
        <f t="shared" si="49"/>
        <v>0</v>
      </c>
      <c r="S93" s="230">
        <f t="shared" si="50"/>
        <v>0</v>
      </c>
      <c r="T93" s="429">
        <f t="shared" si="51"/>
        <v>8</v>
      </c>
      <c r="U93" s="429">
        <f t="shared" si="52"/>
        <v>4</v>
      </c>
      <c r="V93" s="430">
        <f t="array" ref="V93">MAX((IF(MNU_CODIGO_ALIMENTO_ENTREGA=CONCATENATE($E93,"_","S_"),MNU_GRAMAJE_REQUERIDO_TIPOB,"")))</f>
        <v>100</v>
      </c>
      <c r="W93" s="397">
        <f t="shared" si="53"/>
        <v>1613</v>
      </c>
      <c r="X93" s="397">
        <f t="shared" si="54"/>
        <v>0</v>
      </c>
      <c r="Y93" s="397">
        <f t="shared" si="55"/>
        <v>12904</v>
      </c>
      <c r="Z93" s="454">
        <f t="shared" si="56"/>
        <v>434</v>
      </c>
      <c r="AA93" s="454">
        <f t="shared" si="57"/>
        <v>21.179200000000002</v>
      </c>
      <c r="AB93" s="454">
        <f t="shared" si="58"/>
        <v>0.37324694399999997</v>
      </c>
      <c r="AC93" s="454">
        <f t="shared" si="59"/>
        <v>456</v>
      </c>
      <c r="AD93" s="231">
        <f t="shared" si="60"/>
        <v>5600336</v>
      </c>
      <c r="AE93" s="231">
        <f t="shared" si="61"/>
        <v>5884224</v>
      </c>
      <c r="AF93" s="427">
        <f t="shared" si="62"/>
        <v>8</v>
      </c>
      <c r="AG93" s="427">
        <f t="shared" si="63"/>
        <v>4</v>
      </c>
      <c r="AH93" s="428">
        <f t="array" ref="AH93">MAX((IF(MNU_CODIGO_ALIMENTO_ENTREGA=CONCATENATE($E93,"_","S_"),MNU_GRAMAJE_REQUERIDO_TIPOC,"")))</f>
        <v>100</v>
      </c>
      <c r="AI93" s="229">
        <f t="shared" si="64"/>
        <v>2015</v>
      </c>
      <c r="AJ93" s="229">
        <f t="shared" si="65"/>
        <v>0</v>
      </c>
      <c r="AK93" s="229">
        <f t="shared" si="66"/>
        <v>16120</v>
      </c>
      <c r="AL93" s="454">
        <f t="shared" si="67"/>
        <v>434</v>
      </c>
      <c r="AM93" s="454">
        <f t="shared" si="68"/>
        <v>21.179200000000002</v>
      </c>
      <c r="AN93" s="454">
        <f t="shared" si="69"/>
        <v>0.37324694399999997</v>
      </c>
      <c r="AO93" s="454">
        <f t="shared" si="70"/>
        <v>456</v>
      </c>
      <c r="AP93" s="454">
        <f t="shared" si="71"/>
        <v>6996080</v>
      </c>
      <c r="AQ93" s="230">
        <f t="shared" si="72"/>
        <v>7350720</v>
      </c>
      <c r="AR93" s="397">
        <f t="shared" si="73"/>
        <v>12596416</v>
      </c>
      <c r="AS93" s="397">
        <f t="shared" si="74"/>
        <v>13234944</v>
      </c>
    </row>
    <row r="94" spans="1:45" ht="15.75">
      <c r="A94" s="228">
        <v>7</v>
      </c>
      <c r="B94" s="228" t="str">
        <f t="shared" si="38"/>
        <v>FRUTA_7</v>
      </c>
      <c r="C94" s="338" t="str">
        <f t="shared" si="39"/>
        <v>7_7</v>
      </c>
      <c r="D94" s="398" t="s">
        <v>1</v>
      </c>
      <c r="E94" s="228">
        <v>7</v>
      </c>
      <c r="F94" s="332" t="s">
        <v>57</v>
      </c>
      <c r="G94" s="228" t="s">
        <v>9</v>
      </c>
      <c r="H94" s="427">
        <f t="shared" si="40"/>
        <v>31</v>
      </c>
      <c r="I94" s="427">
        <f t="shared" si="41"/>
        <v>0</v>
      </c>
      <c r="J94" s="428">
        <f t="array" ref="J94">MAX((IF(MNU_CODIGO_ALIMENTO_ENTREGA=CONCATENATE($E94,"_","S_"),MNU_GRAMAJE_REQUERIDO_TIPOA,"")))</f>
        <v>100</v>
      </c>
      <c r="K94" s="229">
        <f t="shared" si="42"/>
        <v>974</v>
      </c>
      <c r="L94" s="229">
        <f t="shared" si="43"/>
        <v>0</v>
      </c>
      <c r="M94" s="229">
        <f t="shared" si="44"/>
        <v>30194</v>
      </c>
      <c r="N94" s="454">
        <f t="shared" si="45"/>
        <v>107</v>
      </c>
      <c r="O94" s="454">
        <f t="shared" si="46"/>
        <v>5.2216000000000005</v>
      </c>
      <c r="P94" s="454">
        <f t="shared" si="47"/>
        <v>9.2021712000000006E-2</v>
      </c>
      <c r="Q94" s="454">
        <f t="shared" si="48"/>
        <v>112</v>
      </c>
      <c r="R94" s="230">
        <f t="shared" si="49"/>
        <v>3230758</v>
      </c>
      <c r="S94" s="230">
        <f t="shared" si="50"/>
        <v>3381728</v>
      </c>
      <c r="T94" s="429">
        <f t="shared" si="51"/>
        <v>11</v>
      </c>
      <c r="U94" s="429">
        <f t="shared" si="52"/>
        <v>0</v>
      </c>
      <c r="V94" s="430">
        <f t="array" ref="V94">MAX((IF(MNU_CODIGO_ALIMENTO_ENTREGA=CONCATENATE($E94,"_","S_"),MNU_GRAMAJE_REQUERIDO_TIPOB,"")))</f>
        <v>100</v>
      </c>
      <c r="W94" s="397">
        <f t="shared" si="53"/>
        <v>1150</v>
      </c>
      <c r="X94" s="397">
        <f t="shared" si="54"/>
        <v>0</v>
      </c>
      <c r="Y94" s="397">
        <f t="shared" si="55"/>
        <v>12650</v>
      </c>
      <c r="Z94" s="454">
        <f t="shared" si="56"/>
        <v>107</v>
      </c>
      <c r="AA94" s="454">
        <f t="shared" si="57"/>
        <v>5.2216000000000005</v>
      </c>
      <c r="AB94" s="454">
        <f t="shared" si="58"/>
        <v>9.2021712000000006E-2</v>
      </c>
      <c r="AC94" s="454">
        <f t="shared" si="59"/>
        <v>112</v>
      </c>
      <c r="AD94" s="231">
        <f t="shared" si="60"/>
        <v>1353550</v>
      </c>
      <c r="AE94" s="231">
        <f t="shared" si="61"/>
        <v>1416800</v>
      </c>
      <c r="AF94" s="427">
        <f t="shared" si="62"/>
        <v>11</v>
      </c>
      <c r="AG94" s="427">
        <f t="shared" si="63"/>
        <v>0</v>
      </c>
      <c r="AH94" s="428">
        <f t="array" ref="AH94">MAX((IF(MNU_CODIGO_ALIMENTO_ENTREGA=CONCATENATE($E94,"_","S_"),MNU_GRAMAJE_REQUERIDO_TIPOC,"")))</f>
        <v>100</v>
      </c>
      <c r="AI94" s="229">
        <f t="shared" si="64"/>
        <v>2117</v>
      </c>
      <c r="AJ94" s="229">
        <f t="shared" si="65"/>
        <v>0</v>
      </c>
      <c r="AK94" s="229">
        <f t="shared" si="66"/>
        <v>23287</v>
      </c>
      <c r="AL94" s="454">
        <f t="shared" si="67"/>
        <v>107</v>
      </c>
      <c r="AM94" s="454">
        <f t="shared" si="68"/>
        <v>5.2216000000000005</v>
      </c>
      <c r="AN94" s="454">
        <f t="shared" si="69"/>
        <v>9.2021712000000006E-2</v>
      </c>
      <c r="AO94" s="454">
        <f t="shared" si="70"/>
        <v>112</v>
      </c>
      <c r="AP94" s="454">
        <f t="shared" si="71"/>
        <v>2491709</v>
      </c>
      <c r="AQ94" s="230">
        <f t="shared" si="72"/>
        <v>2608144</v>
      </c>
      <c r="AR94" s="397">
        <f t="shared" si="73"/>
        <v>7076017</v>
      </c>
      <c r="AS94" s="397">
        <f t="shared" si="74"/>
        <v>7406672</v>
      </c>
    </row>
    <row r="95" spans="1:45" ht="15.75">
      <c r="A95" s="228">
        <v>7</v>
      </c>
      <c r="B95" s="228" t="str">
        <f t="shared" si="38"/>
        <v>FRUTA_7</v>
      </c>
      <c r="C95" s="338" t="str">
        <f t="shared" si="39"/>
        <v>8_7</v>
      </c>
      <c r="D95" s="398" t="s">
        <v>1</v>
      </c>
      <c r="E95" s="228">
        <v>8</v>
      </c>
      <c r="F95" s="332" t="s">
        <v>55</v>
      </c>
      <c r="G95" s="228" t="s">
        <v>9</v>
      </c>
      <c r="H95" s="427">
        <f t="shared" si="40"/>
        <v>11</v>
      </c>
      <c r="I95" s="427">
        <f t="shared" si="41"/>
        <v>0</v>
      </c>
      <c r="J95" s="428">
        <f t="array" ref="J95">MAX((IF(MNU_CODIGO_ALIMENTO_ENTREGA=CONCATENATE($E95,"_","S_"),MNU_GRAMAJE_REQUERIDO_TIPOA,"")))</f>
        <v>100</v>
      </c>
      <c r="K95" s="229">
        <f t="shared" si="42"/>
        <v>974</v>
      </c>
      <c r="L95" s="229">
        <f t="shared" si="43"/>
        <v>0</v>
      </c>
      <c r="M95" s="229">
        <f t="shared" si="44"/>
        <v>10714</v>
      </c>
      <c r="N95" s="454">
        <f t="shared" si="45"/>
        <v>134</v>
      </c>
      <c r="O95" s="454">
        <f t="shared" si="46"/>
        <v>6.539200000000001</v>
      </c>
      <c r="P95" s="454">
        <f t="shared" si="47"/>
        <v>0.115242144</v>
      </c>
      <c r="Q95" s="454">
        <f t="shared" si="48"/>
        <v>141</v>
      </c>
      <c r="R95" s="230">
        <f t="shared" si="49"/>
        <v>1435676</v>
      </c>
      <c r="S95" s="230">
        <f t="shared" si="50"/>
        <v>1510674</v>
      </c>
      <c r="T95" s="429">
        <f t="shared" si="51"/>
        <v>11</v>
      </c>
      <c r="U95" s="429">
        <f t="shared" si="52"/>
        <v>0</v>
      </c>
      <c r="V95" s="430">
        <f t="array" ref="V95">MAX((IF(MNU_CODIGO_ALIMENTO_ENTREGA=CONCATENATE($E95,"_","S_"),MNU_GRAMAJE_REQUERIDO_TIPOB,"")))</f>
        <v>100</v>
      </c>
      <c r="W95" s="397">
        <f t="shared" si="53"/>
        <v>1150</v>
      </c>
      <c r="X95" s="397">
        <f t="shared" si="54"/>
        <v>0</v>
      </c>
      <c r="Y95" s="397">
        <f t="shared" si="55"/>
        <v>12650</v>
      </c>
      <c r="Z95" s="454">
        <f t="shared" si="56"/>
        <v>134</v>
      </c>
      <c r="AA95" s="454">
        <f t="shared" si="57"/>
        <v>6.539200000000001</v>
      </c>
      <c r="AB95" s="454">
        <f t="shared" si="58"/>
        <v>0.115242144</v>
      </c>
      <c r="AC95" s="454">
        <f t="shared" si="59"/>
        <v>141</v>
      </c>
      <c r="AD95" s="231">
        <f t="shared" si="60"/>
        <v>1695100</v>
      </c>
      <c r="AE95" s="231">
        <f t="shared" si="61"/>
        <v>1783650</v>
      </c>
      <c r="AF95" s="427">
        <f t="shared" si="62"/>
        <v>11</v>
      </c>
      <c r="AG95" s="427">
        <f t="shared" si="63"/>
        <v>0</v>
      </c>
      <c r="AH95" s="428">
        <f t="array" ref="AH95">MAX((IF(MNU_CODIGO_ALIMENTO_ENTREGA=CONCATENATE($E95,"_","S_"),MNU_GRAMAJE_REQUERIDO_TIPOC,"")))</f>
        <v>100</v>
      </c>
      <c r="AI95" s="229">
        <f t="shared" si="64"/>
        <v>2117</v>
      </c>
      <c r="AJ95" s="229">
        <f t="shared" si="65"/>
        <v>0</v>
      </c>
      <c r="AK95" s="229">
        <f t="shared" si="66"/>
        <v>23287</v>
      </c>
      <c r="AL95" s="454">
        <f t="shared" si="67"/>
        <v>134</v>
      </c>
      <c r="AM95" s="454">
        <f t="shared" si="68"/>
        <v>6.539200000000001</v>
      </c>
      <c r="AN95" s="454">
        <f t="shared" si="69"/>
        <v>0.115242144</v>
      </c>
      <c r="AO95" s="454">
        <f t="shared" si="70"/>
        <v>141</v>
      </c>
      <c r="AP95" s="454">
        <f t="shared" si="71"/>
        <v>3120458</v>
      </c>
      <c r="AQ95" s="230">
        <f t="shared" si="72"/>
        <v>3283467</v>
      </c>
      <c r="AR95" s="397">
        <f t="shared" si="73"/>
        <v>6251234</v>
      </c>
      <c r="AS95" s="397">
        <f t="shared" si="74"/>
        <v>6577791</v>
      </c>
    </row>
    <row r="96" spans="1:45" ht="15.75">
      <c r="A96" s="228">
        <v>7</v>
      </c>
      <c r="B96" s="228" t="str">
        <f t="shared" si="38"/>
        <v>FRUTA_7</v>
      </c>
      <c r="C96" s="338" t="str">
        <f t="shared" si="39"/>
        <v>17_7</v>
      </c>
      <c r="D96" s="398" t="s">
        <v>1</v>
      </c>
      <c r="E96" s="228">
        <v>17</v>
      </c>
      <c r="F96" s="332" t="s">
        <v>53</v>
      </c>
      <c r="G96" s="228" t="s">
        <v>9</v>
      </c>
      <c r="H96" s="427">
        <f t="shared" si="40"/>
        <v>0</v>
      </c>
      <c r="I96" s="427">
        <f t="shared" si="41"/>
        <v>0</v>
      </c>
      <c r="J96" s="428">
        <f t="array" ref="J96">MAX((IF(MNU_CODIGO_ALIMENTO_ENTREGA=CONCATENATE($E96,"_","S_"),MNU_GRAMAJE_REQUERIDO_TIPOA,"")))</f>
        <v>0</v>
      </c>
      <c r="K96" s="229">
        <f t="shared" si="42"/>
        <v>974</v>
      </c>
      <c r="L96" s="229">
        <f t="shared" si="43"/>
        <v>0</v>
      </c>
      <c r="M96" s="229">
        <f t="shared" si="44"/>
        <v>0</v>
      </c>
      <c r="N96" s="454">
        <f t="shared" si="45"/>
        <v>0</v>
      </c>
      <c r="O96" s="454">
        <f t="shared" si="46"/>
        <v>0</v>
      </c>
      <c r="P96" s="454">
        <f t="shared" si="47"/>
        <v>0</v>
      </c>
      <c r="Q96" s="454">
        <f t="shared" si="48"/>
        <v>0</v>
      </c>
      <c r="R96" s="230">
        <f t="shared" si="49"/>
        <v>0</v>
      </c>
      <c r="S96" s="230">
        <f t="shared" si="50"/>
        <v>0</v>
      </c>
      <c r="T96" s="429">
        <f t="shared" si="51"/>
        <v>23</v>
      </c>
      <c r="U96" s="429">
        <f t="shared" si="52"/>
        <v>4</v>
      </c>
      <c r="V96" s="430">
        <f t="array" ref="V96">MAX((IF(MNU_CODIGO_ALIMENTO_ENTREGA=CONCATENATE($E96,"_","S_"),MNU_GRAMAJE_REQUERIDO_TIPOB,"")))</f>
        <v>100</v>
      </c>
      <c r="W96" s="397">
        <f t="shared" si="53"/>
        <v>1150</v>
      </c>
      <c r="X96" s="397">
        <f t="shared" si="54"/>
        <v>0</v>
      </c>
      <c r="Y96" s="397">
        <f t="shared" si="55"/>
        <v>26450</v>
      </c>
      <c r="Z96" s="454">
        <f t="shared" si="56"/>
        <v>226</v>
      </c>
      <c r="AA96" s="454">
        <f t="shared" si="57"/>
        <v>11.0288</v>
      </c>
      <c r="AB96" s="454">
        <f t="shared" si="58"/>
        <v>0.19436361600000002</v>
      </c>
      <c r="AC96" s="454">
        <f t="shared" si="59"/>
        <v>237</v>
      </c>
      <c r="AD96" s="231">
        <f t="shared" si="60"/>
        <v>5977700</v>
      </c>
      <c r="AE96" s="231">
        <f t="shared" si="61"/>
        <v>6268650</v>
      </c>
      <c r="AF96" s="427">
        <f t="shared" si="62"/>
        <v>23</v>
      </c>
      <c r="AG96" s="427">
        <f t="shared" si="63"/>
        <v>4</v>
      </c>
      <c r="AH96" s="428">
        <f t="array" ref="AH96">MAX((IF(MNU_CODIGO_ALIMENTO_ENTREGA=CONCATENATE($E96,"_","S_"),MNU_GRAMAJE_REQUERIDO_TIPOC,"")))</f>
        <v>100</v>
      </c>
      <c r="AI96" s="229">
        <f t="shared" si="64"/>
        <v>2117</v>
      </c>
      <c r="AJ96" s="229">
        <f t="shared" si="65"/>
        <v>0</v>
      </c>
      <c r="AK96" s="229">
        <f t="shared" si="66"/>
        <v>48691</v>
      </c>
      <c r="AL96" s="454">
        <f t="shared" si="67"/>
        <v>226</v>
      </c>
      <c r="AM96" s="454">
        <f t="shared" si="68"/>
        <v>11.0288</v>
      </c>
      <c r="AN96" s="454">
        <f t="shared" si="69"/>
        <v>0.19436361600000002</v>
      </c>
      <c r="AO96" s="454">
        <f t="shared" si="70"/>
        <v>237</v>
      </c>
      <c r="AP96" s="454">
        <f t="shared" si="71"/>
        <v>11004166</v>
      </c>
      <c r="AQ96" s="230">
        <f t="shared" si="72"/>
        <v>11539767</v>
      </c>
      <c r="AR96" s="397">
        <f t="shared" si="73"/>
        <v>16981866</v>
      </c>
      <c r="AS96" s="397">
        <f t="shared" si="74"/>
        <v>17808417</v>
      </c>
    </row>
    <row r="97" spans="1:45" ht="15.75">
      <c r="A97" s="228">
        <v>7</v>
      </c>
      <c r="B97" s="228" t="str">
        <f t="shared" si="38"/>
        <v>FRUTA_7</v>
      </c>
      <c r="C97" s="338" t="str">
        <f t="shared" si="39"/>
        <v>22_7</v>
      </c>
      <c r="D97" s="398" t="s">
        <v>1</v>
      </c>
      <c r="E97" s="228">
        <v>22</v>
      </c>
      <c r="F97" s="332" t="s">
        <v>51</v>
      </c>
      <c r="G97" s="228" t="s">
        <v>9</v>
      </c>
      <c r="H97" s="427">
        <f t="shared" si="40"/>
        <v>0</v>
      </c>
      <c r="I97" s="427">
        <f t="shared" si="41"/>
        <v>0</v>
      </c>
      <c r="J97" s="428">
        <f t="array" ref="J97">MAX((IF(MNU_CODIGO_ALIMENTO_ENTREGA=CONCATENATE($E97,"_","S_"),MNU_GRAMAJE_REQUERIDO_TIPOA,"")))</f>
        <v>0</v>
      </c>
      <c r="K97" s="229">
        <f t="shared" si="42"/>
        <v>974</v>
      </c>
      <c r="L97" s="229">
        <f t="shared" si="43"/>
        <v>0</v>
      </c>
      <c r="M97" s="229">
        <f t="shared" si="44"/>
        <v>0</v>
      </c>
      <c r="N97" s="454">
        <f t="shared" si="45"/>
        <v>0</v>
      </c>
      <c r="O97" s="454">
        <f t="shared" si="46"/>
        <v>0</v>
      </c>
      <c r="P97" s="454">
        <f t="shared" si="47"/>
        <v>0</v>
      </c>
      <c r="Q97" s="454">
        <f t="shared" si="48"/>
        <v>0</v>
      </c>
      <c r="R97" s="230">
        <f t="shared" si="49"/>
        <v>0</v>
      </c>
      <c r="S97" s="230">
        <f t="shared" si="50"/>
        <v>0</v>
      </c>
      <c r="T97" s="429">
        <f t="shared" si="51"/>
        <v>23</v>
      </c>
      <c r="U97" s="429">
        <f t="shared" si="52"/>
        <v>4</v>
      </c>
      <c r="V97" s="430">
        <f t="array" ref="V97">MAX((IF(MNU_CODIGO_ALIMENTO_ENTREGA=CONCATENATE($E97,"_","S_"),MNU_GRAMAJE_REQUERIDO_TIPOB,"")))</f>
        <v>100</v>
      </c>
      <c r="W97" s="397">
        <f t="shared" si="53"/>
        <v>1150</v>
      </c>
      <c r="X97" s="397">
        <f t="shared" si="54"/>
        <v>0</v>
      </c>
      <c r="Y97" s="397">
        <f t="shared" si="55"/>
        <v>26450</v>
      </c>
      <c r="Z97" s="454">
        <f t="shared" si="56"/>
        <v>525</v>
      </c>
      <c r="AA97" s="454">
        <f t="shared" si="57"/>
        <v>25.62</v>
      </c>
      <c r="AB97" s="454">
        <f t="shared" si="58"/>
        <v>0.45150840000000003</v>
      </c>
      <c r="AC97" s="454">
        <f t="shared" si="59"/>
        <v>551</v>
      </c>
      <c r="AD97" s="231">
        <f t="shared" si="60"/>
        <v>13886250</v>
      </c>
      <c r="AE97" s="231">
        <f t="shared" si="61"/>
        <v>14573950</v>
      </c>
      <c r="AF97" s="427">
        <f t="shared" si="62"/>
        <v>23</v>
      </c>
      <c r="AG97" s="427">
        <f t="shared" si="63"/>
        <v>4</v>
      </c>
      <c r="AH97" s="428">
        <f t="array" ref="AH97">MAX((IF(MNU_CODIGO_ALIMENTO_ENTREGA=CONCATENATE($E97,"_","S_"),MNU_GRAMAJE_REQUERIDO_TIPOC,"")))</f>
        <v>100</v>
      </c>
      <c r="AI97" s="229">
        <f t="shared" si="64"/>
        <v>2117</v>
      </c>
      <c r="AJ97" s="229">
        <f t="shared" si="65"/>
        <v>0</v>
      </c>
      <c r="AK97" s="229">
        <f t="shared" si="66"/>
        <v>48691</v>
      </c>
      <c r="AL97" s="454">
        <f t="shared" si="67"/>
        <v>525</v>
      </c>
      <c r="AM97" s="454">
        <f t="shared" si="68"/>
        <v>25.62</v>
      </c>
      <c r="AN97" s="454">
        <f t="shared" si="69"/>
        <v>0.45150840000000003</v>
      </c>
      <c r="AO97" s="454">
        <f t="shared" si="70"/>
        <v>551</v>
      </c>
      <c r="AP97" s="454">
        <f t="shared" si="71"/>
        <v>25562775</v>
      </c>
      <c r="AQ97" s="230">
        <f t="shared" si="72"/>
        <v>26828741</v>
      </c>
      <c r="AR97" s="397">
        <f t="shared" si="73"/>
        <v>39449025</v>
      </c>
      <c r="AS97" s="397">
        <f t="shared" si="74"/>
        <v>41402691</v>
      </c>
    </row>
    <row r="98" spans="1:45" ht="15.75">
      <c r="A98" s="228">
        <v>7</v>
      </c>
      <c r="B98" s="228" t="str">
        <f t="shared" si="38"/>
        <v>FRUTA_7</v>
      </c>
      <c r="C98" s="338" t="str">
        <f t="shared" si="39"/>
        <v>33_7</v>
      </c>
      <c r="D98" s="398" t="s">
        <v>1</v>
      </c>
      <c r="E98" s="228">
        <v>33</v>
      </c>
      <c r="F98" s="332" t="s">
        <v>59</v>
      </c>
      <c r="G98" s="228" t="s">
        <v>48</v>
      </c>
      <c r="H98" s="427">
        <f t="shared" si="40"/>
        <v>29</v>
      </c>
      <c r="I98" s="427">
        <f t="shared" si="41"/>
        <v>5</v>
      </c>
      <c r="J98" s="428">
        <v>1</v>
      </c>
      <c r="K98" s="229">
        <f t="shared" si="42"/>
        <v>974</v>
      </c>
      <c r="L98" s="229">
        <f t="shared" si="43"/>
        <v>0</v>
      </c>
      <c r="M98" s="229">
        <f t="shared" si="44"/>
        <v>28246</v>
      </c>
      <c r="N98" s="454">
        <f t="shared" si="45"/>
        <v>270</v>
      </c>
      <c r="O98" s="454">
        <f t="shared" si="46"/>
        <v>13.176000000000002</v>
      </c>
      <c r="P98" s="454">
        <f t="shared" si="47"/>
        <v>0.23220432000000002</v>
      </c>
      <c r="Q98" s="454">
        <f t="shared" si="48"/>
        <v>283</v>
      </c>
      <c r="R98" s="230">
        <f t="shared" si="49"/>
        <v>7626420</v>
      </c>
      <c r="S98" s="230">
        <f t="shared" si="50"/>
        <v>7993618</v>
      </c>
      <c r="T98" s="429">
        <f t="shared" si="51"/>
        <v>23</v>
      </c>
      <c r="U98" s="429">
        <f t="shared" si="52"/>
        <v>2</v>
      </c>
      <c r="V98" s="430">
        <v>1</v>
      </c>
      <c r="W98" s="397">
        <f t="shared" si="53"/>
        <v>1150</v>
      </c>
      <c r="X98" s="397">
        <f t="shared" si="54"/>
        <v>0</v>
      </c>
      <c r="Y98" s="397">
        <f t="shared" si="55"/>
        <v>26450</v>
      </c>
      <c r="Z98" s="454">
        <f t="shared" si="56"/>
        <v>270</v>
      </c>
      <c r="AA98" s="454">
        <f t="shared" si="57"/>
        <v>13.176000000000002</v>
      </c>
      <c r="AB98" s="454">
        <f t="shared" si="58"/>
        <v>0.23220432000000002</v>
      </c>
      <c r="AC98" s="454">
        <f t="shared" si="59"/>
        <v>283</v>
      </c>
      <c r="AD98" s="231">
        <f t="shared" si="60"/>
        <v>7141500</v>
      </c>
      <c r="AE98" s="231">
        <f t="shared" si="61"/>
        <v>7485350</v>
      </c>
      <c r="AF98" s="427">
        <f t="shared" si="62"/>
        <v>23</v>
      </c>
      <c r="AG98" s="427">
        <f t="shared" si="63"/>
        <v>2</v>
      </c>
      <c r="AH98" s="428">
        <v>1</v>
      </c>
      <c r="AI98" s="229">
        <f t="shared" si="64"/>
        <v>2117</v>
      </c>
      <c r="AJ98" s="229">
        <f t="shared" si="65"/>
        <v>0</v>
      </c>
      <c r="AK98" s="229">
        <f t="shared" si="66"/>
        <v>48691</v>
      </c>
      <c r="AL98" s="454">
        <f t="shared" si="67"/>
        <v>270</v>
      </c>
      <c r="AM98" s="454">
        <f t="shared" si="68"/>
        <v>13.176000000000002</v>
      </c>
      <c r="AN98" s="454">
        <f t="shared" si="69"/>
        <v>0.23220432000000002</v>
      </c>
      <c r="AO98" s="454">
        <f t="shared" si="70"/>
        <v>283</v>
      </c>
      <c r="AP98" s="454">
        <f t="shared" si="71"/>
        <v>13146570</v>
      </c>
      <c r="AQ98" s="230">
        <f t="shared" si="72"/>
        <v>13779553</v>
      </c>
      <c r="AR98" s="397">
        <f t="shared" si="73"/>
        <v>27914490</v>
      </c>
      <c r="AS98" s="397">
        <f t="shared" si="74"/>
        <v>29258521</v>
      </c>
    </row>
    <row r="99" spans="1:45" ht="15.75">
      <c r="A99" s="228">
        <v>7</v>
      </c>
      <c r="B99" s="228" t="str">
        <f t="shared" si="38"/>
        <v>FRUTA_7</v>
      </c>
      <c r="C99" s="338" t="str">
        <f t="shared" si="39"/>
        <v>36_7</v>
      </c>
      <c r="D99" s="398" t="s">
        <v>1</v>
      </c>
      <c r="E99" s="228">
        <v>36</v>
      </c>
      <c r="F99" s="332" t="s">
        <v>1340</v>
      </c>
      <c r="G99" s="228" t="s">
        <v>9</v>
      </c>
      <c r="H99" s="427">
        <f t="shared" si="40"/>
        <v>8</v>
      </c>
      <c r="I99" s="427">
        <f t="shared" si="41"/>
        <v>0</v>
      </c>
      <c r="J99" s="428">
        <f t="array" ref="J99">MAX((IF(MNU_CODIGO_ALIMENTO_ENTREGA=CONCATENATE($E99,"_","S_"),MNU_GRAMAJE_REQUERIDO_TIPOA,"")))</f>
        <v>20</v>
      </c>
      <c r="K99" s="229">
        <f t="shared" si="42"/>
        <v>974</v>
      </c>
      <c r="L99" s="229">
        <f t="shared" si="43"/>
        <v>0</v>
      </c>
      <c r="M99" s="229">
        <f t="shared" si="44"/>
        <v>7792</v>
      </c>
      <c r="N99" s="454">
        <f t="shared" si="45"/>
        <v>126</v>
      </c>
      <c r="O99" s="454">
        <f t="shared" si="46"/>
        <v>6.1488000000000005</v>
      </c>
      <c r="P99" s="454">
        <f t="shared" si="47"/>
        <v>0.10836201599999999</v>
      </c>
      <c r="Q99" s="454">
        <f t="shared" si="48"/>
        <v>132</v>
      </c>
      <c r="R99" s="230">
        <f t="shared" si="49"/>
        <v>981792</v>
      </c>
      <c r="S99" s="230">
        <f t="shared" si="50"/>
        <v>1028544</v>
      </c>
      <c r="T99" s="429">
        <f t="shared" si="51"/>
        <v>8</v>
      </c>
      <c r="U99" s="429">
        <f t="shared" si="52"/>
        <v>0</v>
      </c>
      <c r="V99" s="430">
        <f t="array" ref="V99">MAX((IF(MNU_CODIGO_ALIMENTO_ENTREGA=CONCATENATE($E99,"_","S_"),MNU_GRAMAJE_REQUERIDO_TIPOB,"")))</f>
        <v>40</v>
      </c>
      <c r="W99" s="397">
        <f t="shared" si="53"/>
        <v>1150</v>
      </c>
      <c r="X99" s="397">
        <f t="shared" si="54"/>
        <v>0</v>
      </c>
      <c r="Y99" s="397">
        <f t="shared" si="55"/>
        <v>9200</v>
      </c>
      <c r="Z99" s="454">
        <f t="shared" si="56"/>
        <v>252</v>
      </c>
      <c r="AA99" s="454">
        <f t="shared" si="57"/>
        <v>12.297600000000001</v>
      </c>
      <c r="AB99" s="454">
        <f t="shared" si="58"/>
        <v>0.21672403199999998</v>
      </c>
      <c r="AC99" s="454">
        <f t="shared" si="59"/>
        <v>265</v>
      </c>
      <c r="AD99" s="231">
        <f t="shared" si="60"/>
        <v>2318400</v>
      </c>
      <c r="AE99" s="231">
        <f t="shared" si="61"/>
        <v>2438000</v>
      </c>
      <c r="AF99" s="427">
        <f t="shared" si="62"/>
        <v>8</v>
      </c>
      <c r="AG99" s="427">
        <f t="shared" si="63"/>
        <v>0</v>
      </c>
      <c r="AH99" s="428">
        <f t="array" ref="AH99">MAX((IF(MNU_CODIGO_ALIMENTO_ENTREGA=CONCATENATE($E99,"_","S_"),MNU_GRAMAJE_REQUERIDO_TIPOC,"")))</f>
        <v>40</v>
      </c>
      <c r="AI99" s="229">
        <f t="shared" si="64"/>
        <v>2117</v>
      </c>
      <c r="AJ99" s="229">
        <f t="shared" si="65"/>
        <v>0</v>
      </c>
      <c r="AK99" s="229">
        <f t="shared" si="66"/>
        <v>16936</v>
      </c>
      <c r="AL99" s="454">
        <f t="shared" si="67"/>
        <v>252</v>
      </c>
      <c r="AM99" s="454">
        <f t="shared" si="68"/>
        <v>12.297600000000001</v>
      </c>
      <c r="AN99" s="454">
        <f t="shared" si="69"/>
        <v>0.21672403199999998</v>
      </c>
      <c r="AO99" s="454">
        <f t="shared" si="70"/>
        <v>265</v>
      </c>
      <c r="AP99" s="454">
        <f t="shared" si="71"/>
        <v>4267872</v>
      </c>
      <c r="AQ99" s="230">
        <f t="shared" si="72"/>
        <v>4488040</v>
      </c>
      <c r="AR99" s="397">
        <f t="shared" si="73"/>
        <v>7568064</v>
      </c>
      <c r="AS99" s="397">
        <f t="shared" si="74"/>
        <v>7954584</v>
      </c>
    </row>
    <row r="100" spans="1:45" ht="15.75">
      <c r="A100" s="228">
        <v>7</v>
      </c>
      <c r="B100" s="228" t="str">
        <f t="shared" si="38"/>
        <v>FRUTA_7</v>
      </c>
      <c r="C100" s="338" t="str">
        <f t="shared" si="39"/>
        <v>42_7</v>
      </c>
      <c r="D100" s="398" t="s">
        <v>1</v>
      </c>
      <c r="E100" s="228">
        <v>42</v>
      </c>
      <c r="F100" s="332" t="s">
        <v>61</v>
      </c>
      <c r="G100" s="228" t="s">
        <v>9</v>
      </c>
      <c r="H100" s="427">
        <f t="shared" si="40"/>
        <v>36</v>
      </c>
      <c r="I100" s="427">
        <f t="shared" si="41"/>
        <v>8</v>
      </c>
      <c r="J100" s="428">
        <f t="array" ref="J100">MAX((IF(MNU_CODIGO_ALIMENTO_ENTREGA=CONCATENATE($E100,"_","S_"),MNU_GRAMAJE_REQUERIDO_TIPOA,"")))</f>
        <v>100</v>
      </c>
      <c r="K100" s="229">
        <f t="shared" si="42"/>
        <v>974</v>
      </c>
      <c r="L100" s="229">
        <f t="shared" si="43"/>
        <v>0</v>
      </c>
      <c r="M100" s="229">
        <f t="shared" si="44"/>
        <v>35064</v>
      </c>
      <c r="N100" s="454">
        <f t="shared" si="45"/>
        <v>194</v>
      </c>
      <c r="O100" s="454">
        <f t="shared" si="46"/>
        <v>9.4672000000000001</v>
      </c>
      <c r="P100" s="454">
        <f t="shared" si="47"/>
        <v>0.16684310399999999</v>
      </c>
      <c r="Q100" s="454">
        <f t="shared" si="48"/>
        <v>204</v>
      </c>
      <c r="R100" s="230">
        <f t="shared" si="49"/>
        <v>6802416</v>
      </c>
      <c r="S100" s="230">
        <f t="shared" si="50"/>
        <v>7153056</v>
      </c>
      <c r="T100" s="429">
        <f t="shared" si="51"/>
        <v>19</v>
      </c>
      <c r="U100" s="429">
        <f t="shared" si="52"/>
        <v>8</v>
      </c>
      <c r="V100" s="430">
        <f t="array" ref="V100">MAX((IF(MNU_CODIGO_ALIMENTO_ENTREGA=CONCATENATE($E100,"_","S_"),MNU_GRAMAJE_REQUERIDO_TIPOB,"")))</f>
        <v>100</v>
      </c>
      <c r="W100" s="397">
        <f t="shared" si="53"/>
        <v>1150</v>
      </c>
      <c r="X100" s="397">
        <f t="shared" si="54"/>
        <v>0</v>
      </c>
      <c r="Y100" s="397">
        <f t="shared" si="55"/>
        <v>21850</v>
      </c>
      <c r="Z100" s="454">
        <f t="shared" si="56"/>
        <v>194</v>
      </c>
      <c r="AA100" s="454">
        <f t="shared" si="57"/>
        <v>9.4672000000000001</v>
      </c>
      <c r="AB100" s="454">
        <f t="shared" si="58"/>
        <v>0.16684310399999999</v>
      </c>
      <c r="AC100" s="454">
        <f t="shared" si="59"/>
        <v>204</v>
      </c>
      <c r="AD100" s="231">
        <f t="shared" si="60"/>
        <v>4238900</v>
      </c>
      <c r="AE100" s="231">
        <f t="shared" si="61"/>
        <v>4457400</v>
      </c>
      <c r="AF100" s="427">
        <f t="shared" si="62"/>
        <v>19</v>
      </c>
      <c r="AG100" s="427">
        <f t="shared" si="63"/>
        <v>8</v>
      </c>
      <c r="AH100" s="428">
        <f t="array" ref="AH100">MAX((IF(MNU_CODIGO_ALIMENTO_ENTREGA=CONCATENATE($E100,"_","S_"),MNU_GRAMAJE_REQUERIDO_TIPOC,"")))</f>
        <v>100</v>
      </c>
      <c r="AI100" s="229">
        <f t="shared" si="64"/>
        <v>2117</v>
      </c>
      <c r="AJ100" s="229">
        <f t="shared" si="65"/>
        <v>0</v>
      </c>
      <c r="AK100" s="229">
        <f t="shared" si="66"/>
        <v>40223</v>
      </c>
      <c r="AL100" s="454">
        <f t="shared" si="67"/>
        <v>194</v>
      </c>
      <c r="AM100" s="454">
        <f t="shared" si="68"/>
        <v>9.4672000000000001</v>
      </c>
      <c r="AN100" s="454">
        <f t="shared" si="69"/>
        <v>0.16684310399999999</v>
      </c>
      <c r="AO100" s="454">
        <f t="shared" si="70"/>
        <v>204</v>
      </c>
      <c r="AP100" s="454">
        <f t="shared" si="71"/>
        <v>7803262</v>
      </c>
      <c r="AQ100" s="230">
        <f t="shared" si="72"/>
        <v>8205492</v>
      </c>
      <c r="AR100" s="397">
        <f t="shared" si="73"/>
        <v>18844578</v>
      </c>
      <c r="AS100" s="397">
        <f t="shared" si="74"/>
        <v>19815948</v>
      </c>
    </row>
    <row r="101" spans="1:45" ht="15.75">
      <c r="A101" s="228">
        <v>7</v>
      </c>
      <c r="B101" s="228" t="str">
        <f t="shared" si="38"/>
        <v>FRUTA_7</v>
      </c>
      <c r="C101" s="338" t="str">
        <f t="shared" si="39"/>
        <v>43_7</v>
      </c>
      <c r="D101" s="398" t="s">
        <v>1</v>
      </c>
      <c r="E101" s="228">
        <v>43</v>
      </c>
      <c r="F101" s="332" t="s">
        <v>62</v>
      </c>
      <c r="G101" s="228" t="s">
        <v>9</v>
      </c>
      <c r="H101" s="427">
        <f t="shared" si="40"/>
        <v>29</v>
      </c>
      <c r="I101" s="427">
        <f t="shared" si="41"/>
        <v>6</v>
      </c>
      <c r="J101" s="428">
        <f t="array" ref="J101">MAX((IF(MNU_CODIGO_ALIMENTO_ENTREGA=CONCATENATE($E101,"_","S_"),MNU_GRAMAJE_REQUERIDO_TIPOA,"")))</f>
        <v>100</v>
      </c>
      <c r="K101" s="229">
        <f t="shared" si="42"/>
        <v>974</v>
      </c>
      <c r="L101" s="229">
        <f t="shared" si="43"/>
        <v>0</v>
      </c>
      <c r="M101" s="229">
        <f t="shared" si="44"/>
        <v>28246</v>
      </c>
      <c r="N101" s="454">
        <f t="shared" si="45"/>
        <v>170</v>
      </c>
      <c r="O101" s="454">
        <f t="shared" si="46"/>
        <v>8.2959999999999994</v>
      </c>
      <c r="P101" s="454">
        <f t="shared" si="47"/>
        <v>0.14620272000000001</v>
      </c>
      <c r="Q101" s="454">
        <f t="shared" si="48"/>
        <v>178</v>
      </c>
      <c r="R101" s="230">
        <f t="shared" si="49"/>
        <v>4801820</v>
      </c>
      <c r="S101" s="230">
        <f t="shared" si="50"/>
        <v>5027788</v>
      </c>
      <c r="T101" s="429">
        <f t="shared" si="51"/>
        <v>23</v>
      </c>
      <c r="U101" s="429">
        <f t="shared" si="52"/>
        <v>1</v>
      </c>
      <c r="V101" s="430">
        <f t="array" ref="V101">MAX((IF(MNU_CODIGO_ALIMENTO_ENTREGA=CONCATENATE($E101,"_","S_"),MNU_GRAMAJE_REQUERIDO_TIPOB,"")))</f>
        <v>100</v>
      </c>
      <c r="W101" s="397">
        <f t="shared" si="53"/>
        <v>1150</v>
      </c>
      <c r="X101" s="397">
        <f t="shared" si="54"/>
        <v>0</v>
      </c>
      <c r="Y101" s="397">
        <f t="shared" si="55"/>
        <v>26450</v>
      </c>
      <c r="Z101" s="454">
        <f t="shared" si="56"/>
        <v>170</v>
      </c>
      <c r="AA101" s="454">
        <f t="shared" si="57"/>
        <v>8.2959999999999994</v>
      </c>
      <c r="AB101" s="454">
        <f t="shared" si="58"/>
        <v>0.14620272000000001</v>
      </c>
      <c r="AC101" s="454">
        <f t="shared" si="59"/>
        <v>178</v>
      </c>
      <c r="AD101" s="231">
        <f t="shared" si="60"/>
        <v>4496500</v>
      </c>
      <c r="AE101" s="231">
        <f t="shared" si="61"/>
        <v>4708100</v>
      </c>
      <c r="AF101" s="427">
        <f t="shared" si="62"/>
        <v>23</v>
      </c>
      <c r="AG101" s="427">
        <f t="shared" si="63"/>
        <v>1</v>
      </c>
      <c r="AH101" s="428">
        <f t="array" ref="AH101">MAX((IF(MNU_CODIGO_ALIMENTO_ENTREGA=CONCATENATE($E101,"_","S_"),MNU_GRAMAJE_REQUERIDO_TIPOC,"")))</f>
        <v>100</v>
      </c>
      <c r="AI101" s="229">
        <f t="shared" si="64"/>
        <v>2117</v>
      </c>
      <c r="AJ101" s="229">
        <f t="shared" si="65"/>
        <v>0</v>
      </c>
      <c r="AK101" s="229">
        <f t="shared" si="66"/>
        <v>48691</v>
      </c>
      <c r="AL101" s="454">
        <f t="shared" si="67"/>
        <v>170</v>
      </c>
      <c r="AM101" s="454">
        <f t="shared" si="68"/>
        <v>8.2959999999999994</v>
      </c>
      <c r="AN101" s="454">
        <f t="shared" si="69"/>
        <v>0.14620272000000001</v>
      </c>
      <c r="AO101" s="454">
        <f t="shared" si="70"/>
        <v>178</v>
      </c>
      <c r="AP101" s="454">
        <f t="shared" si="71"/>
        <v>8277470</v>
      </c>
      <c r="AQ101" s="230">
        <f t="shared" si="72"/>
        <v>8666998</v>
      </c>
      <c r="AR101" s="397">
        <f t="shared" si="73"/>
        <v>17575790</v>
      </c>
      <c r="AS101" s="397">
        <f t="shared" si="74"/>
        <v>18402886</v>
      </c>
    </row>
    <row r="102" spans="1:45" ht="15.75">
      <c r="A102" s="228">
        <v>7</v>
      </c>
      <c r="B102" s="228" t="str">
        <f t="shared" si="38"/>
        <v>FRUTA_7</v>
      </c>
      <c r="C102" s="338" t="str">
        <f t="shared" si="39"/>
        <v>46_7</v>
      </c>
      <c r="D102" s="398" t="s">
        <v>1</v>
      </c>
      <c r="E102" s="228">
        <v>46</v>
      </c>
      <c r="F102" s="332" t="s">
        <v>64</v>
      </c>
      <c r="G102" s="228" t="s">
        <v>9</v>
      </c>
      <c r="H102" s="427">
        <f t="shared" si="40"/>
        <v>29</v>
      </c>
      <c r="I102" s="427">
        <f t="shared" si="41"/>
        <v>4</v>
      </c>
      <c r="J102" s="428">
        <f t="array" ref="J102">MAX((IF(MNU_CODIGO_ALIMENTO_ENTREGA=CONCATENATE($E102,"_","S_"),MNU_GRAMAJE_REQUERIDO_TIPOA,"")))</f>
        <v>100</v>
      </c>
      <c r="K102" s="229">
        <f t="shared" si="42"/>
        <v>974</v>
      </c>
      <c r="L102" s="229">
        <f t="shared" si="43"/>
        <v>0</v>
      </c>
      <c r="M102" s="229">
        <f t="shared" si="44"/>
        <v>28246</v>
      </c>
      <c r="N102" s="454">
        <f t="shared" si="45"/>
        <v>398</v>
      </c>
      <c r="O102" s="454">
        <f t="shared" si="46"/>
        <v>19.4224</v>
      </c>
      <c r="P102" s="454">
        <f t="shared" si="47"/>
        <v>0.34228636800000001</v>
      </c>
      <c r="Q102" s="454">
        <f t="shared" si="48"/>
        <v>418</v>
      </c>
      <c r="R102" s="230">
        <f t="shared" si="49"/>
        <v>11241908</v>
      </c>
      <c r="S102" s="230">
        <f t="shared" si="50"/>
        <v>11806828</v>
      </c>
      <c r="T102" s="429">
        <f t="shared" si="51"/>
        <v>24</v>
      </c>
      <c r="U102" s="429">
        <f t="shared" si="52"/>
        <v>3</v>
      </c>
      <c r="V102" s="430">
        <f t="array" ref="V102">MAX((IF(MNU_CODIGO_ALIMENTO_ENTREGA=CONCATENATE($E102,"_","S_"),MNU_GRAMAJE_REQUERIDO_TIPOB,"")))</f>
        <v>100</v>
      </c>
      <c r="W102" s="397">
        <f t="shared" si="53"/>
        <v>1150</v>
      </c>
      <c r="X102" s="397">
        <f t="shared" si="54"/>
        <v>0</v>
      </c>
      <c r="Y102" s="397">
        <f t="shared" si="55"/>
        <v>27600</v>
      </c>
      <c r="Z102" s="454">
        <f t="shared" si="56"/>
        <v>398</v>
      </c>
      <c r="AA102" s="454">
        <f t="shared" si="57"/>
        <v>19.4224</v>
      </c>
      <c r="AB102" s="454">
        <f t="shared" si="58"/>
        <v>0.34228636800000001</v>
      </c>
      <c r="AC102" s="454">
        <f t="shared" si="59"/>
        <v>418</v>
      </c>
      <c r="AD102" s="231">
        <f t="shared" si="60"/>
        <v>10984800</v>
      </c>
      <c r="AE102" s="231">
        <f t="shared" si="61"/>
        <v>11536800</v>
      </c>
      <c r="AF102" s="427">
        <f t="shared" si="62"/>
        <v>24</v>
      </c>
      <c r="AG102" s="427">
        <f t="shared" si="63"/>
        <v>3</v>
      </c>
      <c r="AH102" s="428">
        <f t="array" ref="AH102">MAX((IF(MNU_CODIGO_ALIMENTO_ENTREGA=CONCATENATE($E102,"_","S_"),MNU_GRAMAJE_REQUERIDO_TIPOC,"")))</f>
        <v>100</v>
      </c>
      <c r="AI102" s="229">
        <f t="shared" si="64"/>
        <v>2117</v>
      </c>
      <c r="AJ102" s="229">
        <f t="shared" si="65"/>
        <v>0</v>
      </c>
      <c r="AK102" s="229">
        <f t="shared" si="66"/>
        <v>50808</v>
      </c>
      <c r="AL102" s="454">
        <f t="shared" si="67"/>
        <v>398</v>
      </c>
      <c r="AM102" s="454">
        <f t="shared" si="68"/>
        <v>19.4224</v>
      </c>
      <c r="AN102" s="454">
        <f t="shared" si="69"/>
        <v>0.34228636800000001</v>
      </c>
      <c r="AO102" s="454">
        <f t="shared" si="70"/>
        <v>418</v>
      </c>
      <c r="AP102" s="454">
        <f t="shared" si="71"/>
        <v>20221584</v>
      </c>
      <c r="AQ102" s="230">
        <f t="shared" si="72"/>
        <v>21237744</v>
      </c>
      <c r="AR102" s="397">
        <f t="shared" si="73"/>
        <v>42448292</v>
      </c>
      <c r="AS102" s="397">
        <f t="shared" si="74"/>
        <v>44581372</v>
      </c>
    </row>
    <row r="103" spans="1:45" ht="15.75">
      <c r="A103" s="228">
        <v>7</v>
      </c>
      <c r="B103" s="228" t="str">
        <f t="shared" si="38"/>
        <v>FRUTA_7</v>
      </c>
      <c r="C103" s="338" t="str">
        <f t="shared" si="39"/>
        <v>58_7</v>
      </c>
      <c r="D103" s="398" t="s">
        <v>1</v>
      </c>
      <c r="E103" s="228">
        <v>58</v>
      </c>
      <c r="F103" s="332" t="s">
        <v>67</v>
      </c>
      <c r="G103" s="228" t="s">
        <v>9</v>
      </c>
      <c r="H103" s="427">
        <f t="shared" si="40"/>
        <v>28</v>
      </c>
      <c r="I103" s="427">
        <f t="shared" si="41"/>
        <v>5</v>
      </c>
      <c r="J103" s="428">
        <f t="array" ref="J103">MAX((IF(MNU_CODIGO_ALIMENTO_ENTREGA=CONCATENATE($E103,"_","S_"),MNU_GRAMAJE_REQUERIDO_TIPOA,"")))</f>
        <v>100</v>
      </c>
      <c r="K103" s="229">
        <f t="shared" si="42"/>
        <v>974</v>
      </c>
      <c r="L103" s="229">
        <f t="shared" si="43"/>
        <v>0</v>
      </c>
      <c r="M103" s="229">
        <f t="shared" si="44"/>
        <v>27272</v>
      </c>
      <c r="N103" s="454">
        <f t="shared" si="45"/>
        <v>154</v>
      </c>
      <c r="O103" s="454">
        <f t="shared" si="46"/>
        <v>7.515200000000001</v>
      </c>
      <c r="P103" s="454">
        <f t="shared" si="47"/>
        <v>0.13244246400000001</v>
      </c>
      <c r="Q103" s="454">
        <f t="shared" si="48"/>
        <v>162</v>
      </c>
      <c r="R103" s="230">
        <f t="shared" si="49"/>
        <v>4199888</v>
      </c>
      <c r="S103" s="230">
        <f t="shared" si="50"/>
        <v>4418064</v>
      </c>
      <c r="T103" s="429">
        <f t="shared" si="51"/>
        <v>23</v>
      </c>
      <c r="U103" s="429">
        <f t="shared" si="52"/>
        <v>3</v>
      </c>
      <c r="V103" s="430">
        <f t="array" ref="V103">MAX((IF(MNU_CODIGO_ALIMENTO_ENTREGA=CONCATENATE($E103,"_","S_"),MNU_GRAMAJE_REQUERIDO_TIPOB,"")))</f>
        <v>100</v>
      </c>
      <c r="W103" s="397">
        <f t="shared" si="53"/>
        <v>1150</v>
      </c>
      <c r="X103" s="397">
        <f t="shared" si="54"/>
        <v>0</v>
      </c>
      <c r="Y103" s="397">
        <f t="shared" si="55"/>
        <v>26450</v>
      </c>
      <c r="Z103" s="454">
        <f t="shared" si="56"/>
        <v>154</v>
      </c>
      <c r="AA103" s="454">
        <f t="shared" si="57"/>
        <v>7.515200000000001</v>
      </c>
      <c r="AB103" s="454">
        <f t="shared" si="58"/>
        <v>0.13244246400000001</v>
      </c>
      <c r="AC103" s="454">
        <f t="shared" si="59"/>
        <v>162</v>
      </c>
      <c r="AD103" s="231">
        <f t="shared" si="60"/>
        <v>4073300</v>
      </c>
      <c r="AE103" s="231">
        <f t="shared" si="61"/>
        <v>4284900</v>
      </c>
      <c r="AF103" s="427">
        <f t="shared" si="62"/>
        <v>23</v>
      </c>
      <c r="AG103" s="427">
        <f t="shared" si="63"/>
        <v>3</v>
      </c>
      <c r="AH103" s="428">
        <f t="array" ref="AH103">MAX((IF(MNU_CODIGO_ALIMENTO_ENTREGA=CONCATENATE($E103,"_","S_"),MNU_GRAMAJE_REQUERIDO_TIPOC,"")))</f>
        <v>100</v>
      </c>
      <c r="AI103" s="229">
        <f t="shared" si="64"/>
        <v>2117</v>
      </c>
      <c r="AJ103" s="229">
        <f t="shared" si="65"/>
        <v>0</v>
      </c>
      <c r="AK103" s="229">
        <f t="shared" si="66"/>
        <v>48691</v>
      </c>
      <c r="AL103" s="454">
        <f t="shared" si="67"/>
        <v>154</v>
      </c>
      <c r="AM103" s="454">
        <f t="shared" si="68"/>
        <v>7.515200000000001</v>
      </c>
      <c r="AN103" s="454">
        <f t="shared" si="69"/>
        <v>0.13244246400000001</v>
      </c>
      <c r="AO103" s="454">
        <f t="shared" si="70"/>
        <v>162</v>
      </c>
      <c r="AP103" s="454">
        <f t="shared" si="71"/>
        <v>7498414</v>
      </c>
      <c r="AQ103" s="230">
        <f t="shared" si="72"/>
        <v>7887942</v>
      </c>
      <c r="AR103" s="397">
        <f t="shared" si="73"/>
        <v>15771602</v>
      </c>
      <c r="AS103" s="397">
        <f t="shared" si="74"/>
        <v>16590906</v>
      </c>
    </row>
    <row r="104" spans="1:45" ht="15.75">
      <c r="A104" s="228">
        <v>7</v>
      </c>
      <c r="B104" s="228" t="str">
        <f t="shared" si="38"/>
        <v>FRUTA_7</v>
      </c>
      <c r="C104" s="338" t="str">
        <f t="shared" si="39"/>
        <v>59_7</v>
      </c>
      <c r="D104" s="398" t="s">
        <v>1</v>
      </c>
      <c r="E104" s="228">
        <v>59</v>
      </c>
      <c r="F104" s="332" t="s">
        <v>99</v>
      </c>
      <c r="G104" s="228" t="s">
        <v>9</v>
      </c>
      <c r="H104" s="427">
        <f t="shared" si="40"/>
        <v>0</v>
      </c>
      <c r="I104" s="427">
        <f t="shared" si="41"/>
        <v>0</v>
      </c>
      <c r="J104" s="428">
        <f t="array" ref="J104">MAX((IF(MNU_CODIGO_ALIMENTO_ENTREGA=CONCATENATE($E104,"_","S_"),MNU_GRAMAJE_REQUERIDO_TIPOA,"")))</f>
        <v>0</v>
      </c>
      <c r="K104" s="229">
        <f t="shared" si="42"/>
        <v>974</v>
      </c>
      <c r="L104" s="229">
        <f t="shared" si="43"/>
        <v>0</v>
      </c>
      <c r="M104" s="229">
        <f t="shared" si="44"/>
        <v>0</v>
      </c>
      <c r="N104" s="454">
        <f t="shared" si="45"/>
        <v>0</v>
      </c>
      <c r="O104" s="454">
        <f t="shared" si="46"/>
        <v>0</v>
      </c>
      <c r="P104" s="454">
        <f t="shared" si="47"/>
        <v>0</v>
      </c>
      <c r="Q104" s="454">
        <f t="shared" si="48"/>
        <v>0</v>
      </c>
      <c r="R104" s="230">
        <f t="shared" si="49"/>
        <v>0</v>
      </c>
      <c r="S104" s="230">
        <f t="shared" si="50"/>
        <v>0</v>
      </c>
      <c r="T104" s="429">
        <f t="shared" si="51"/>
        <v>11</v>
      </c>
      <c r="U104" s="429">
        <f t="shared" si="52"/>
        <v>0</v>
      </c>
      <c r="V104" s="430">
        <f t="array" ref="V104">MAX((IF(MNU_CODIGO_ALIMENTO_ENTREGA=CONCATENATE($E104,"_","S_"),MNU_GRAMAJE_REQUERIDO_TIPOB,"")))</f>
        <v>100</v>
      </c>
      <c r="W104" s="397">
        <f t="shared" si="53"/>
        <v>1150</v>
      </c>
      <c r="X104" s="397">
        <f t="shared" si="54"/>
        <v>0</v>
      </c>
      <c r="Y104" s="397">
        <f t="shared" si="55"/>
        <v>12650</v>
      </c>
      <c r="Z104" s="454">
        <f t="shared" si="56"/>
        <v>286</v>
      </c>
      <c r="AA104" s="454">
        <f t="shared" si="57"/>
        <v>13.956800000000001</v>
      </c>
      <c r="AB104" s="454">
        <f t="shared" si="58"/>
        <v>0.24596457599999999</v>
      </c>
      <c r="AC104" s="454">
        <f t="shared" si="59"/>
        <v>300</v>
      </c>
      <c r="AD104" s="231">
        <f t="shared" si="60"/>
        <v>3617900</v>
      </c>
      <c r="AE104" s="231">
        <f t="shared" si="61"/>
        <v>3795000</v>
      </c>
      <c r="AF104" s="427">
        <f t="shared" si="62"/>
        <v>11</v>
      </c>
      <c r="AG104" s="427">
        <f t="shared" si="63"/>
        <v>0</v>
      </c>
      <c r="AH104" s="428">
        <f t="array" ref="AH104">MAX((IF(MNU_CODIGO_ALIMENTO_ENTREGA=CONCATENATE($E104,"_","S_"),MNU_GRAMAJE_REQUERIDO_TIPOC,"")))</f>
        <v>100</v>
      </c>
      <c r="AI104" s="229">
        <f t="shared" si="64"/>
        <v>2117</v>
      </c>
      <c r="AJ104" s="229">
        <f t="shared" si="65"/>
        <v>0</v>
      </c>
      <c r="AK104" s="229">
        <f t="shared" si="66"/>
        <v>23287</v>
      </c>
      <c r="AL104" s="454">
        <f t="shared" si="67"/>
        <v>286</v>
      </c>
      <c r="AM104" s="454">
        <f t="shared" si="68"/>
        <v>13.956800000000001</v>
      </c>
      <c r="AN104" s="454">
        <f t="shared" si="69"/>
        <v>0.24596457599999999</v>
      </c>
      <c r="AO104" s="454">
        <f t="shared" si="70"/>
        <v>300</v>
      </c>
      <c r="AP104" s="454">
        <f t="shared" si="71"/>
        <v>6660082</v>
      </c>
      <c r="AQ104" s="230">
        <f t="shared" si="72"/>
        <v>6986100</v>
      </c>
      <c r="AR104" s="397">
        <f t="shared" si="73"/>
        <v>10277982</v>
      </c>
      <c r="AS104" s="397">
        <f t="shared" si="74"/>
        <v>10781100</v>
      </c>
    </row>
    <row r="105" spans="1:45" ht="15.75">
      <c r="A105" s="228">
        <v>7</v>
      </c>
      <c r="B105" s="228" t="str">
        <f t="shared" si="38"/>
        <v>FRUTA_7</v>
      </c>
      <c r="C105" s="338" t="str">
        <f t="shared" si="39"/>
        <v>69_7</v>
      </c>
      <c r="D105" s="398" t="s">
        <v>1</v>
      </c>
      <c r="E105" s="228">
        <v>69</v>
      </c>
      <c r="F105" s="332" t="s">
        <v>70</v>
      </c>
      <c r="G105" s="228" t="s">
        <v>9</v>
      </c>
      <c r="H105" s="427">
        <f t="shared" si="40"/>
        <v>18</v>
      </c>
      <c r="I105" s="427">
        <f t="shared" si="41"/>
        <v>2</v>
      </c>
      <c r="J105" s="428">
        <f t="array" ref="J105">MAX((IF(MNU_CODIGO_ALIMENTO_ENTREGA=CONCATENATE($E105,"_","S_"),MNU_GRAMAJE_REQUERIDO_TIPOA,"")))</f>
        <v>100</v>
      </c>
      <c r="K105" s="229">
        <f t="shared" si="42"/>
        <v>974</v>
      </c>
      <c r="L105" s="229">
        <f t="shared" si="43"/>
        <v>0</v>
      </c>
      <c r="M105" s="229">
        <f t="shared" si="44"/>
        <v>17532</v>
      </c>
      <c r="N105" s="454">
        <f t="shared" si="45"/>
        <v>305</v>
      </c>
      <c r="O105" s="454">
        <f t="shared" si="46"/>
        <v>14.884</v>
      </c>
      <c r="P105" s="454">
        <f t="shared" si="47"/>
        <v>0.26230488000000002</v>
      </c>
      <c r="Q105" s="454">
        <f t="shared" si="48"/>
        <v>320</v>
      </c>
      <c r="R105" s="230">
        <f t="shared" si="49"/>
        <v>5347260</v>
      </c>
      <c r="S105" s="230">
        <f t="shared" si="50"/>
        <v>5610240</v>
      </c>
      <c r="T105" s="429">
        <f t="shared" si="51"/>
        <v>12</v>
      </c>
      <c r="U105" s="429">
        <f t="shared" si="52"/>
        <v>2</v>
      </c>
      <c r="V105" s="430">
        <f t="array" ref="V105">MAX((IF(MNU_CODIGO_ALIMENTO_ENTREGA=CONCATENATE($E105,"_","S_"),MNU_GRAMAJE_REQUERIDO_TIPOB,"")))</f>
        <v>100</v>
      </c>
      <c r="W105" s="397">
        <f t="shared" si="53"/>
        <v>1150</v>
      </c>
      <c r="X105" s="397">
        <f t="shared" si="54"/>
        <v>0</v>
      </c>
      <c r="Y105" s="397">
        <f t="shared" si="55"/>
        <v>13800</v>
      </c>
      <c r="Z105" s="454">
        <f t="shared" si="56"/>
        <v>305</v>
      </c>
      <c r="AA105" s="454">
        <f t="shared" si="57"/>
        <v>14.884</v>
      </c>
      <c r="AB105" s="454">
        <f t="shared" si="58"/>
        <v>0.26230488000000002</v>
      </c>
      <c r="AC105" s="454">
        <f t="shared" si="59"/>
        <v>320</v>
      </c>
      <c r="AD105" s="231">
        <f t="shared" si="60"/>
        <v>4209000</v>
      </c>
      <c r="AE105" s="231">
        <f t="shared" si="61"/>
        <v>4416000</v>
      </c>
      <c r="AF105" s="427">
        <f t="shared" si="62"/>
        <v>12</v>
      </c>
      <c r="AG105" s="427">
        <f t="shared" si="63"/>
        <v>2</v>
      </c>
      <c r="AH105" s="428">
        <f t="array" ref="AH105">MAX((IF(MNU_CODIGO_ALIMENTO_ENTREGA=CONCATENATE($E105,"_","S_"),MNU_GRAMAJE_REQUERIDO_TIPOC,"")))</f>
        <v>100</v>
      </c>
      <c r="AI105" s="229">
        <f t="shared" si="64"/>
        <v>2117</v>
      </c>
      <c r="AJ105" s="229">
        <f t="shared" si="65"/>
        <v>0</v>
      </c>
      <c r="AK105" s="229">
        <f t="shared" si="66"/>
        <v>25404</v>
      </c>
      <c r="AL105" s="454">
        <f t="shared" si="67"/>
        <v>305</v>
      </c>
      <c r="AM105" s="454">
        <f t="shared" si="68"/>
        <v>14.884</v>
      </c>
      <c r="AN105" s="454">
        <f t="shared" si="69"/>
        <v>0.26230488000000002</v>
      </c>
      <c r="AO105" s="454">
        <f t="shared" si="70"/>
        <v>320</v>
      </c>
      <c r="AP105" s="454">
        <f t="shared" si="71"/>
        <v>7748220</v>
      </c>
      <c r="AQ105" s="230">
        <f t="shared" si="72"/>
        <v>8129280</v>
      </c>
      <c r="AR105" s="397">
        <f t="shared" si="73"/>
        <v>17304480</v>
      </c>
      <c r="AS105" s="397">
        <f t="shared" si="74"/>
        <v>18155520</v>
      </c>
    </row>
    <row r="106" spans="1:45" ht="15.75">
      <c r="A106" s="228">
        <v>7</v>
      </c>
      <c r="B106" s="228" t="str">
        <f t="shared" si="38"/>
        <v>FRUTA_7</v>
      </c>
      <c r="C106" s="338" t="str">
        <f t="shared" si="39"/>
        <v>70_7</v>
      </c>
      <c r="D106" s="398" t="s">
        <v>1</v>
      </c>
      <c r="E106" s="228">
        <v>70</v>
      </c>
      <c r="F106" s="332" t="s">
        <v>71</v>
      </c>
      <c r="G106" s="228" t="s">
        <v>9</v>
      </c>
      <c r="H106" s="427">
        <f t="shared" si="40"/>
        <v>0</v>
      </c>
      <c r="I106" s="427">
        <f t="shared" si="41"/>
        <v>0</v>
      </c>
      <c r="J106" s="428">
        <f t="array" ref="J106">MAX((IF(MNU_CODIGO_ALIMENTO_ENTREGA=CONCATENATE($E106,"_","S_"),MNU_GRAMAJE_REQUERIDO_TIPOA,"")))</f>
        <v>0</v>
      </c>
      <c r="K106" s="229">
        <f t="shared" si="42"/>
        <v>974</v>
      </c>
      <c r="L106" s="229">
        <f t="shared" si="43"/>
        <v>0</v>
      </c>
      <c r="M106" s="229">
        <f t="shared" si="44"/>
        <v>0</v>
      </c>
      <c r="N106" s="454">
        <f t="shared" si="45"/>
        <v>0</v>
      </c>
      <c r="O106" s="454">
        <f t="shared" si="46"/>
        <v>0</v>
      </c>
      <c r="P106" s="454">
        <f t="shared" si="47"/>
        <v>0</v>
      </c>
      <c r="Q106" s="454">
        <f t="shared" si="48"/>
        <v>0</v>
      </c>
      <c r="R106" s="230">
        <f t="shared" si="49"/>
        <v>0</v>
      </c>
      <c r="S106" s="230">
        <f t="shared" si="50"/>
        <v>0</v>
      </c>
      <c r="T106" s="429">
        <f t="shared" si="51"/>
        <v>8</v>
      </c>
      <c r="U106" s="429">
        <f t="shared" si="52"/>
        <v>4</v>
      </c>
      <c r="V106" s="430">
        <f t="array" ref="V106">MAX((IF(MNU_CODIGO_ALIMENTO_ENTREGA=CONCATENATE($E106,"_","S_"),MNU_GRAMAJE_REQUERIDO_TIPOB,"")))</f>
        <v>100</v>
      </c>
      <c r="W106" s="397">
        <f t="shared" si="53"/>
        <v>1150</v>
      </c>
      <c r="X106" s="397">
        <f t="shared" si="54"/>
        <v>0</v>
      </c>
      <c r="Y106" s="397">
        <f t="shared" si="55"/>
        <v>9200</v>
      </c>
      <c r="Z106" s="454">
        <f t="shared" si="56"/>
        <v>434</v>
      </c>
      <c r="AA106" s="454">
        <f t="shared" si="57"/>
        <v>21.179200000000002</v>
      </c>
      <c r="AB106" s="454">
        <f t="shared" si="58"/>
        <v>0.37324694399999997</v>
      </c>
      <c r="AC106" s="454">
        <f t="shared" si="59"/>
        <v>456</v>
      </c>
      <c r="AD106" s="231">
        <f t="shared" si="60"/>
        <v>3992800</v>
      </c>
      <c r="AE106" s="231">
        <f t="shared" si="61"/>
        <v>4195200</v>
      </c>
      <c r="AF106" s="427">
        <f t="shared" si="62"/>
        <v>8</v>
      </c>
      <c r="AG106" s="427">
        <f t="shared" si="63"/>
        <v>4</v>
      </c>
      <c r="AH106" s="428">
        <f t="array" ref="AH106">MAX((IF(MNU_CODIGO_ALIMENTO_ENTREGA=CONCATENATE($E106,"_","S_"),MNU_GRAMAJE_REQUERIDO_TIPOC,"")))</f>
        <v>100</v>
      </c>
      <c r="AI106" s="229">
        <f t="shared" si="64"/>
        <v>2117</v>
      </c>
      <c r="AJ106" s="229">
        <f t="shared" si="65"/>
        <v>0</v>
      </c>
      <c r="AK106" s="229">
        <f t="shared" si="66"/>
        <v>16936</v>
      </c>
      <c r="AL106" s="454">
        <f t="shared" si="67"/>
        <v>434</v>
      </c>
      <c r="AM106" s="454">
        <f t="shared" si="68"/>
        <v>21.179200000000002</v>
      </c>
      <c r="AN106" s="454">
        <f t="shared" si="69"/>
        <v>0.37324694399999997</v>
      </c>
      <c r="AO106" s="454">
        <f t="shared" si="70"/>
        <v>456</v>
      </c>
      <c r="AP106" s="454">
        <f t="shared" si="71"/>
        <v>7350224</v>
      </c>
      <c r="AQ106" s="230">
        <f t="shared" si="72"/>
        <v>7722816</v>
      </c>
      <c r="AR106" s="397">
        <f t="shared" si="73"/>
        <v>11343024</v>
      </c>
      <c r="AS106" s="397">
        <f t="shared" si="74"/>
        <v>11918016</v>
      </c>
    </row>
    <row r="107" spans="1:45" ht="15.75">
      <c r="A107" s="228">
        <v>8</v>
      </c>
      <c r="B107" s="228" t="str">
        <f t="shared" si="38"/>
        <v>FRUTA_8</v>
      </c>
      <c r="C107" s="338" t="str">
        <f t="shared" si="39"/>
        <v>7_8</v>
      </c>
      <c r="D107" s="398" t="s">
        <v>1</v>
      </c>
      <c r="E107" s="228">
        <v>7</v>
      </c>
      <c r="F107" s="332" t="s">
        <v>57</v>
      </c>
      <c r="G107" s="228" t="s">
        <v>9</v>
      </c>
      <c r="H107" s="427">
        <f t="shared" si="40"/>
        <v>31</v>
      </c>
      <c r="I107" s="427">
        <f t="shared" si="41"/>
        <v>0</v>
      </c>
      <c r="J107" s="428">
        <f t="array" ref="J107">MAX((IF(MNU_CODIGO_ALIMENTO_ENTREGA=CONCATENATE($E107,"_","S_"),MNU_GRAMAJE_REQUERIDO_TIPOA,"")))</f>
        <v>100</v>
      </c>
      <c r="K107" s="229">
        <f t="shared" si="42"/>
        <v>1584</v>
      </c>
      <c r="L107" s="229">
        <f t="shared" si="43"/>
        <v>0</v>
      </c>
      <c r="M107" s="229">
        <f t="shared" si="44"/>
        <v>49104</v>
      </c>
      <c r="N107" s="454">
        <f t="shared" si="45"/>
        <v>107</v>
      </c>
      <c r="O107" s="454">
        <f t="shared" si="46"/>
        <v>5.2216000000000005</v>
      </c>
      <c r="P107" s="454">
        <f t="shared" si="47"/>
        <v>9.2021712000000006E-2</v>
      </c>
      <c r="Q107" s="454">
        <f t="shared" si="48"/>
        <v>112</v>
      </c>
      <c r="R107" s="230">
        <f t="shared" si="49"/>
        <v>5254128</v>
      </c>
      <c r="S107" s="230">
        <f t="shared" si="50"/>
        <v>5499648</v>
      </c>
      <c r="T107" s="429">
        <f t="shared" si="51"/>
        <v>11</v>
      </c>
      <c r="U107" s="429">
        <f t="shared" si="52"/>
        <v>0</v>
      </c>
      <c r="V107" s="430">
        <f t="array" ref="V107">MAX((IF(MNU_CODIGO_ALIMENTO_ENTREGA=CONCATENATE($E107,"_","S_"),MNU_GRAMAJE_REQUERIDO_TIPOB,"")))</f>
        <v>100</v>
      </c>
      <c r="W107" s="397">
        <f t="shared" si="53"/>
        <v>3132</v>
      </c>
      <c r="X107" s="397">
        <f t="shared" si="54"/>
        <v>0</v>
      </c>
      <c r="Y107" s="397">
        <f t="shared" si="55"/>
        <v>34452</v>
      </c>
      <c r="Z107" s="454">
        <f t="shared" si="56"/>
        <v>107</v>
      </c>
      <c r="AA107" s="454">
        <f t="shared" si="57"/>
        <v>5.2216000000000005</v>
      </c>
      <c r="AB107" s="454">
        <f t="shared" si="58"/>
        <v>9.2021712000000006E-2</v>
      </c>
      <c r="AC107" s="454">
        <f t="shared" si="59"/>
        <v>112</v>
      </c>
      <c r="AD107" s="231">
        <f t="shared" si="60"/>
        <v>3686364</v>
      </c>
      <c r="AE107" s="231">
        <f t="shared" si="61"/>
        <v>3858624</v>
      </c>
      <c r="AF107" s="427">
        <f t="shared" si="62"/>
        <v>11</v>
      </c>
      <c r="AG107" s="427">
        <f t="shared" si="63"/>
        <v>0</v>
      </c>
      <c r="AH107" s="428">
        <f t="array" ref="AH107">MAX((IF(MNU_CODIGO_ALIMENTO_ENTREGA=CONCATENATE($E107,"_","S_"),MNU_GRAMAJE_REQUERIDO_TIPOC,"")))</f>
        <v>100</v>
      </c>
      <c r="AI107" s="229">
        <f t="shared" si="64"/>
        <v>3180</v>
      </c>
      <c r="AJ107" s="229">
        <f t="shared" si="65"/>
        <v>0</v>
      </c>
      <c r="AK107" s="229">
        <f t="shared" si="66"/>
        <v>34980</v>
      </c>
      <c r="AL107" s="454">
        <f t="shared" si="67"/>
        <v>107</v>
      </c>
      <c r="AM107" s="454">
        <f t="shared" si="68"/>
        <v>5.2216000000000005</v>
      </c>
      <c r="AN107" s="454">
        <f t="shared" si="69"/>
        <v>9.2021712000000006E-2</v>
      </c>
      <c r="AO107" s="454">
        <f t="shared" si="70"/>
        <v>112</v>
      </c>
      <c r="AP107" s="454">
        <f t="shared" si="71"/>
        <v>3742860</v>
      </c>
      <c r="AQ107" s="230">
        <f t="shared" si="72"/>
        <v>3917760</v>
      </c>
      <c r="AR107" s="397">
        <f t="shared" si="73"/>
        <v>12683352</v>
      </c>
      <c r="AS107" s="397">
        <f t="shared" si="74"/>
        <v>13276032</v>
      </c>
    </row>
    <row r="108" spans="1:45" ht="15.75">
      <c r="A108" s="228">
        <v>8</v>
      </c>
      <c r="B108" s="228" t="str">
        <f t="shared" si="38"/>
        <v>FRUTA_8</v>
      </c>
      <c r="C108" s="338" t="str">
        <f t="shared" si="39"/>
        <v>8_8</v>
      </c>
      <c r="D108" s="398" t="s">
        <v>1</v>
      </c>
      <c r="E108" s="228">
        <v>8</v>
      </c>
      <c r="F108" s="332" t="s">
        <v>55</v>
      </c>
      <c r="G108" s="228" t="s">
        <v>9</v>
      </c>
      <c r="H108" s="427">
        <f t="shared" si="40"/>
        <v>11</v>
      </c>
      <c r="I108" s="427">
        <f t="shared" si="41"/>
        <v>0</v>
      </c>
      <c r="J108" s="428">
        <f t="array" ref="J108">MAX((IF(MNU_CODIGO_ALIMENTO_ENTREGA=CONCATENATE($E108,"_","S_"),MNU_GRAMAJE_REQUERIDO_TIPOA,"")))</f>
        <v>100</v>
      </c>
      <c r="K108" s="229">
        <f t="shared" si="42"/>
        <v>1584</v>
      </c>
      <c r="L108" s="229">
        <f t="shared" si="43"/>
        <v>0</v>
      </c>
      <c r="M108" s="229">
        <f t="shared" si="44"/>
        <v>17424</v>
      </c>
      <c r="N108" s="454">
        <f t="shared" si="45"/>
        <v>134</v>
      </c>
      <c r="O108" s="454">
        <f t="shared" si="46"/>
        <v>6.539200000000001</v>
      </c>
      <c r="P108" s="454">
        <f t="shared" si="47"/>
        <v>0.115242144</v>
      </c>
      <c r="Q108" s="454">
        <f t="shared" si="48"/>
        <v>141</v>
      </c>
      <c r="R108" s="230">
        <f t="shared" si="49"/>
        <v>2334816</v>
      </c>
      <c r="S108" s="230">
        <f t="shared" si="50"/>
        <v>2456784</v>
      </c>
      <c r="T108" s="429">
        <f t="shared" si="51"/>
        <v>11</v>
      </c>
      <c r="U108" s="429">
        <f t="shared" si="52"/>
        <v>0</v>
      </c>
      <c r="V108" s="430">
        <f t="array" ref="V108">MAX((IF(MNU_CODIGO_ALIMENTO_ENTREGA=CONCATENATE($E108,"_","S_"),MNU_GRAMAJE_REQUERIDO_TIPOB,"")))</f>
        <v>100</v>
      </c>
      <c r="W108" s="397">
        <f t="shared" si="53"/>
        <v>3132</v>
      </c>
      <c r="X108" s="397">
        <f t="shared" si="54"/>
        <v>0</v>
      </c>
      <c r="Y108" s="397">
        <f t="shared" si="55"/>
        <v>34452</v>
      </c>
      <c r="Z108" s="454">
        <f t="shared" si="56"/>
        <v>134</v>
      </c>
      <c r="AA108" s="454">
        <f t="shared" si="57"/>
        <v>6.539200000000001</v>
      </c>
      <c r="AB108" s="454">
        <f t="shared" si="58"/>
        <v>0.115242144</v>
      </c>
      <c r="AC108" s="454">
        <f t="shared" si="59"/>
        <v>141</v>
      </c>
      <c r="AD108" s="231">
        <f t="shared" si="60"/>
        <v>4616568</v>
      </c>
      <c r="AE108" s="231">
        <f t="shared" si="61"/>
        <v>4857732</v>
      </c>
      <c r="AF108" s="427">
        <f t="shared" si="62"/>
        <v>11</v>
      </c>
      <c r="AG108" s="427">
        <f t="shared" si="63"/>
        <v>0</v>
      </c>
      <c r="AH108" s="428">
        <f t="array" ref="AH108">MAX((IF(MNU_CODIGO_ALIMENTO_ENTREGA=CONCATENATE($E108,"_","S_"),MNU_GRAMAJE_REQUERIDO_TIPOC,"")))</f>
        <v>100</v>
      </c>
      <c r="AI108" s="229">
        <f t="shared" si="64"/>
        <v>3180</v>
      </c>
      <c r="AJ108" s="229">
        <f t="shared" si="65"/>
        <v>0</v>
      </c>
      <c r="AK108" s="229">
        <f t="shared" si="66"/>
        <v>34980</v>
      </c>
      <c r="AL108" s="454">
        <f t="shared" si="67"/>
        <v>134</v>
      </c>
      <c r="AM108" s="454">
        <f t="shared" si="68"/>
        <v>6.539200000000001</v>
      </c>
      <c r="AN108" s="454">
        <f t="shared" si="69"/>
        <v>0.115242144</v>
      </c>
      <c r="AO108" s="454">
        <f t="shared" si="70"/>
        <v>141</v>
      </c>
      <c r="AP108" s="454">
        <f t="shared" si="71"/>
        <v>4687320</v>
      </c>
      <c r="AQ108" s="230">
        <f t="shared" si="72"/>
        <v>4932180</v>
      </c>
      <c r="AR108" s="397">
        <f t="shared" si="73"/>
        <v>11638704</v>
      </c>
      <c r="AS108" s="397">
        <f t="shared" si="74"/>
        <v>12246696</v>
      </c>
    </row>
    <row r="109" spans="1:45" ht="15.75">
      <c r="A109" s="228">
        <v>8</v>
      </c>
      <c r="B109" s="228" t="str">
        <f t="shared" si="38"/>
        <v>FRUTA_8</v>
      </c>
      <c r="C109" s="338" t="str">
        <f t="shared" si="39"/>
        <v>17_8</v>
      </c>
      <c r="D109" s="398" t="s">
        <v>1</v>
      </c>
      <c r="E109" s="228">
        <v>17</v>
      </c>
      <c r="F109" s="332" t="s">
        <v>53</v>
      </c>
      <c r="G109" s="228" t="s">
        <v>9</v>
      </c>
      <c r="H109" s="427">
        <f t="shared" si="40"/>
        <v>0</v>
      </c>
      <c r="I109" s="427">
        <f t="shared" si="41"/>
        <v>0</v>
      </c>
      <c r="J109" s="428">
        <f t="array" ref="J109">MAX((IF(MNU_CODIGO_ALIMENTO_ENTREGA=CONCATENATE($E109,"_","S_"),MNU_GRAMAJE_REQUERIDO_TIPOA,"")))</f>
        <v>0</v>
      </c>
      <c r="K109" s="229">
        <f t="shared" si="42"/>
        <v>1584</v>
      </c>
      <c r="L109" s="229">
        <f t="shared" si="43"/>
        <v>0</v>
      </c>
      <c r="M109" s="229">
        <f t="shared" si="44"/>
        <v>0</v>
      </c>
      <c r="N109" s="454">
        <f t="shared" si="45"/>
        <v>0</v>
      </c>
      <c r="O109" s="454">
        <f t="shared" si="46"/>
        <v>0</v>
      </c>
      <c r="P109" s="454">
        <f t="shared" si="47"/>
        <v>0</v>
      </c>
      <c r="Q109" s="454">
        <f t="shared" si="48"/>
        <v>0</v>
      </c>
      <c r="R109" s="230">
        <f t="shared" si="49"/>
        <v>0</v>
      </c>
      <c r="S109" s="230">
        <f t="shared" si="50"/>
        <v>0</v>
      </c>
      <c r="T109" s="429">
        <f t="shared" si="51"/>
        <v>23</v>
      </c>
      <c r="U109" s="429">
        <f t="shared" si="52"/>
        <v>4</v>
      </c>
      <c r="V109" s="430">
        <f t="array" ref="V109">MAX((IF(MNU_CODIGO_ALIMENTO_ENTREGA=CONCATENATE($E109,"_","S_"),MNU_GRAMAJE_REQUERIDO_TIPOB,"")))</f>
        <v>100</v>
      </c>
      <c r="W109" s="397">
        <f t="shared" si="53"/>
        <v>3132</v>
      </c>
      <c r="X109" s="397">
        <f t="shared" si="54"/>
        <v>0</v>
      </c>
      <c r="Y109" s="397">
        <f t="shared" si="55"/>
        <v>72036</v>
      </c>
      <c r="Z109" s="454">
        <f t="shared" si="56"/>
        <v>226</v>
      </c>
      <c r="AA109" s="454">
        <f t="shared" si="57"/>
        <v>11.0288</v>
      </c>
      <c r="AB109" s="454">
        <f t="shared" si="58"/>
        <v>0.19436361600000002</v>
      </c>
      <c r="AC109" s="454">
        <f t="shared" si="59"/>
        <v>237</v>
      </c>
      <c r="AD109" s="231">
        <f t="shared" si="60"/>
        <v>16280136</v>
      </c>
      <c r="AE109" s="231">
        <f t="shared" si="61"/>
        <v>17072532</v>
      </c>
      <c r="AF109" s="427">
        <f t="shared" si="62"/>
        <v>23</v>
      </c>
      <c r="AG109" s="427">
        <f t="shared" si="63"/>
        <v>4</v>
      </c>
      <c r="AH109" s="428">
        <f t="array" ref="AH109">MAX((IF(MNU_CODIGO_ALIMENTO_ENTREGA=CONCATENATE($E109,"_","S_"),MNU_GRAMAJE_REQUERIDO_TIPOC,"")))</f>
        <v>100</v>
      </c>
      <c r="AI109" s="229">
        <f t="shared" si="64"/>
        <v>3180</v>
      </c>
      <c r="AJ109" s="229">
        <f t="shared" si="65"/>
        <v>0</v>
      </c>
      <c r="AK109" s="229">
        <f t="shared" si="66"/>
        <v>73140</v>
      </c>
      <c r="AL109" s="454">
        <f t="shared" si="67"/>
        <v>226</v>
      </c>
      <c r="AM109" s="454">
        <f t="shared" si="68"/>
        <v>11.0288</v>
      </c>
      <c r="AN109" s="454">
        <f t="shared" si="69"/>
        <v>0.19436361600000002</v>
      </c>
      <c r="AO109" s="454">
        <f t="shared" si="70"/>
        <v>237</v>
      </c>
      <c r="AP109" s="454">
        <f t="shared" si="71"/>
        <v>16529640</v>
      </c>
      <c r="AQ109" s="230">
        <f t="shared" si="72"/>
        <v>17334180</v>
      </c>
      <c r="AR109" s="397">
        <f t="shared" si="73"/>
        <v>32809776</v>
      </c>
      <c r="AS109" s="397">
        <f t="shared" si="74"/>
        <v>34406712</v>
      </c>
    </row>
    <row r="110" spans="1:45" ht="15.75">
      <c r="A110" s="228">
        <v>8</v>
      </c>
      <c r="B110" s="228" t="str">
        <f t="shared" si="38"/>
        <v>FRUTA_8</v>
      </c>
      <c r="C110" s="338" t="str">
        <f t="shared" si="39"/>
        <v>22_8</v>
      </c>
      <c r="D110" s="398" t="s">
        <v>1</v>
      </c>
      <c r="E110" s="228">
        <v>22</v>
      </c>
      <c r="F110" s="332" t="s">
        <v>51</v>
      </c>
      <c r="G110" s="228" t="s">
        <v>9</v>
      </c>
      <c r="H110" s="427">
        <f t="shared" si="40"/>
        <v>0</v>
      </c>
      <c r="I110" s="427">
        <f t="shared" si="41"/>
        <v>0</v>
      </c>
      <c r="J110" s="428">
        <f t="array" ref="J110">MAX((IF(MNU_CODIGO_ALIMENTO_ENTREGA=CONCATENATE($E110,"_","S_"),MNU_GRAMAJE_REQUERIDO_TIPOA,"")))</f>
        <v>0</v>
      </c>
      <c r="K110" s="229">
        <f t="shared" si="42"/>
        <v>1584</v>
      </c>
      <c r="L110" s="229">
        <f t="shared" si="43"/>
        <v>0</v>
      </c>
      <c r="M110" s="229">
        <f t="shared" si="44"/>
        <v>0</v>
      </c>
      <c r="N110" s="454">
        <f t="shared" si="45"/>
        <v>0</v>
      </c>
      <c r="O110" s="454">
        <f t="shared" si="46"/>
        <v>0</v>
      </c>
      <c r="P110" s="454">
        <f t="shared" si="47"/>
        <v>0</v>
      </c>
      <c r="Q110" s="454">
        <f t="shared" si="48"/>
        <v>0</v>
      </c>
      <c r="R110" s="230">
        <f t="shared" si="49"/>
        <v>0</v>
      </c>
      <c r="S110" s="230">
        <f t="shared" si="50"/>
        <v>0</v>
      </c>
      <c r="T110" s="429">
        <f t="shared" si="51"/>
        <v>23</v>
      </c>
      <c r="U110" s="429">
        <f t="shared" si="52"/>
        <v>4</v>
      </c>
      <c r="V110" s="430">
        <f t="array" ref="V110">MAX((IF(MNU_CODIGO_ALIMENTO_ENTREGA=CONCATENATE($E110,"_","S_"),MNU_GRAMAJE_REQUERIDO_TIPOB,"")))</f>
        <v>100</v>
      </c>
      <c r="W110" s="397">
        <f t="shared" si="53"/>
        <v>3132</v>
      </c>
      <c r="X110" s="397">
        <f t="shared" si="54"/>
        <v>0</v>
      </c>
      <c r="Y110" s="397">
        <f t="shared" si="55"/>
        <v>72036</v>
      </c>
      <c r="Z110" s="454">
        <f t="shared" si="56"/>
        <v>525</v>
      </c>
      <c r="AA110" s="454">
        <f t="shared" si="57"/>
        <v>25.62</v>
      </c>
      <c r="AB110" s="454">
        <f t="shared" si="58"/>
        <v>0.45150840000000003</v>
      </c>
      <c r="AC110" s="454">
        <f t="shared" si="59"/>
        <v>551</v>
      </c>
      <c r="AD110" s="231">
        <f t="shared" si="60"/>
        <v>37818900</v>
      </c>
      <c r="AE110" s="231">
        <f t="shared" si="61"/>
        <v>39691836</v>
      </c>
      <c r="AF110" s="427">
        <f t="shared" si="62"/>
        <v>23</v>
      </c>
      <c r="AG110" s="427">
        <f t="shared" si="63"/>
        <v>4</v>
      </c>
      <c r="AH110" s="428">
        <f t="array" ref="AH110">MAX((IF(MNU_CODIGO_ALIMENTO_ENTREGA=CONCATENATE($E110,"_","S_"),MNU_GRAMAJE_REQUERIDO_TIPOC,"")))</f>
        <v>100</v>
      </c>
      <c r="AI110" s="229">
        <f t="shared" si="64"/>
        <v>3180</v>
      </c>
      <c r="AJ110" s="229">
        <f t="shared" si="65"/>
        <v>0</v>
      </c>
      <c r="AK110" s="229">
        <f t="shared" si="66"/>
        <v>73140</v>
      </c>
      <c r="AL110" s="454">
        <f t="shared" si="67"/>
        <v>525</v>
      </c>
      <c r="AM110" s="454">
        <f t="shared" si="68"/>
        <v>25.62</v>
      </c>
      <c r="AN110" s="454">
        <f t="shared" si="69"/>
        <v>0.45150840000000003</v>
      </c>
      <c r="AO110" s="454">
        <f t="shared" si="70"/>
        <v>551</v>
      </c>
      <c r="AP110" s="454">
        <f t="shared" si="71"/>
        <v>38398500</v>
      </c>
      <c r="AQ110" s="230">
        <f t="shared" si="72"/>
        <v>40300140</v>
      </c>
      <c r="AR110" s="397">
        <f t="shared" si="73"/>
        <v>76217400</v>
      </c>
      <c r="AS110" s="397">
        <f t="shared" si="74"/>
        <v>79991976</v>
      </c>
    </row>
    <row r="111" spans="1:45" ht="15.75">
      <c r="A111" s="228">
        <v>8</v>
      </c>
      <c r="B111" s="228" t="str">
        <f t="shared" si="38"/>
        <v>FRUTA_8</v>
      </c>
      <c r="C111" s="338" t="str">
        <f t="shared" si="39"/>
        <v>33_8</v>
      </c>
      <c r="D111" s="398" t="s">
        <v>1</v>
      </c>
      <c r="E111" s="228">
        <v>33</v>
      </c>
      <c r="F111" s="332" t="s">
        <v>59</v>
      </c>
      <c r="G111" s="228" t="s">
        <v>48</v>
      </c>
      <c r="H111" s="427">
        <f t="shared" si="40"/>
        <v>29</v>
      </c>
      <c r="I111" s="427">
        <f t="shared" si="41"/>
        <v>5</v>
      </c>
      <c r="J111" s="428">
        <v>1</v>
      </c>
      <c r="K111" s="229">
        <f t="shared" si="42"/>
        <v>1584</v>
      </c>
      <c r="L111" s="229">
        <f t="shared" si="43"/>
        <v>0</v>
      </c>
      <c r="M111" s="229">
        <f t="shared" si="44"/>
        <v>45936</v>
      </c>
      <c r="N111" s="454">
        <f t="shared" si="45"/>
        <v>270</v>
      </c>
      <c r="O111" s="454">
        <f t="shared" si="46"/>
        <v>13.176000000000002</v>
      </c>
      <c r="P111" s="454">
        <f t="shared" si="47"/>
        <v>0.23220432000000002</v>
      </c>
      <c r="Q111" s="454">
        <f t="shared" si="48"/>
        <v>283</v>
      </c>
      <c r="R111" s="230">
        <f t="shared" si="49"/>
        <v>12402720</v>
      </c>
      <c r="S111" s="230">
        <f t="shared" si="50"/>
        <v>12999888</v>
      </c>
      <c r="T111" s="429">
        <f t="shared" si="51"/>
        <v>23</v>
      </c>
      <c r="U111" s="429">
        <f t="shared" si="52"/>
        <v>2</v>
      </c>
      <c r="V111" s="430">
        <v>1</v>
      </c>
      <c r="W111" s="397">
        <f t="shared" si="53"/>
        <v>3132</v>
      </c>
      <c r="X111" s="397">
        <f t="shared" si="54"/>
        <v>0</v>
      </c>
      <c r="Y111" s="397">
        <f t="shared" si="55"/>
        <v>72036</v>
      </c>
      <c r="Z111" s="454">
        <f t="shared" si="56"/>
        <v>270</v>
      </c>
      <c r="AA111" s="454">
        <f t="shared" si="57"/>
        <v>13.176000000000002</v>
      </c>
      <c r="AB111" s="454">
        <f t="shared" si="58"/>
        <v>0.23220432000000002</v>
      </c>
      <c r="AC111" s="454">
        <f t="shared" si="59"/>
        <v>283</v>
      </c>
      <c r="AD111" s="231">
        <f t="shared" si="60"/>
        <v>19449720</v>
      </c>
      <c r="AE111" s="231">
        <f t="shared" si="61"/>
        <v>20386188</v>
      </c>
      <c r="AF111" s="427">
        <f t="shared" si="62"/>
        <v>23</v>
      </c>
      <c r="AG111" s="427">
        <f t="shared" si="63"/>
        <v>2</v>
      </c>
      <c r="AH111" s="428">
        <v>1</v>
      </c>
      <c r="AI111" s="229">
        <f t="shared" si="64"/>
        <v>3180</v>
      </c>
      <c r="AJ111" s="229">
        <f t="shared" si="65"/>
        <v>0</v>
      </c>
      <c r="AK111" s="229">
        <f t="shared" si="66"/>
        <v>73140</v>
      </c>
      <c r="AL111" s="454">
        <f t="shared" si="67"/>
        <v>270</v>
      </c>
      <c r="AM111" s="454">
        <f t="shared" si="68"/>
        <v>13.176000000000002</v>
      </c>
      <c r="AN111" s="454">
        <f t="shared" si="69"/>
        <v>0.23220432000000002</v>
      </c>
      <c r="AO111" s="454">
        <f t="shared" si="70"/>
        <v>283</v>
      </c>
      <c r="AP111" s="454">
        <f t="shared" si="71"/>
        <v>19747800</v>
      </c>
      <c r="AQ111" s="230">
        <f t="shared" si="72"/>
        <v>20698620</v>
      </c>
      <c r="AR111" s="397">
        <f t="shared" si="73"/>
        <v>51600240</v>
      </c>
      <c r="AS111" s="397">
        <f t="shared" si="74"/>
        <v>54084696</v>
      </c>
    </row>
    <row r="112" spans="1:45" ht="15.75">
      <c r="A112" s="228">
        <v>8</v>
      </c>
      <c r="B112" s="228" t="str">
        <f t="shared" si="38"/>
        <v>FRUTA_8</v>
      </c>
      <c r="C112" s="338" t="str">
        <f t="shared" si="39"/>
        <v>36_8</v>
      </c>
      <c r="D112" s="398" t="s">
        <v>1</v>
      </c>
      <c r="E112" s="228">
        <v>36</v>
      </c>
      <c r="F112" s="332" t="s">
        <v>1340</v>
      </c>
      <c r="G112" s="228" t="s">
        <v>9</v>
      </c>
      <c r="H112" s="427">
        <f t="shared" si="40"/>
        <v>8</v>
      </c>
      <c r="I112" s="427">
        <f t="shared" si="41"/>
        <v>0</v>
      </c>
      <c r="J112" s="428">
        <f t="array" ref="J112">MAX((IF(MNU_CODIGO_ALIMENTO_ENTREGA=CONCATENATE($E112,"_","S_"),MNU_GRAMAJE_REQUERIDO_TIPOA,"")))</f>
        <v>20</v>
      </c>
      <c r="K112" s="229">
        <f t="shared" si="42"/>
        <v>1584</v>
      </c>
      <c r="L112" s="229">
        <f t="shared" si="43"/>
        <v>0</v>
      </c>
      <c r="M112" s="229">
        <f t="shared" si="44"/>
        <v>12672</v>
      </c>
      <c r="N112" s="454">
        <f t="shared" si="45"/>
        <v>126</v>
      </c>
      <c r="O112" s="454">
        <f t="shared" si="46"/>
        <v>6.1488000000000005</v>
      </c>
      <c r="P112" s="454">
        <f t="shared" si="47"/>
        <v>0.10836201599999999</v>
      </c>
      <c r="Q112" s="454">
        <f t="shared" si="48"/>
        <v>132</v>
      </c>
      <c r="R112" s="230">
        <f t="shared" si="49"/>
        <v>1596672</v>
      </c>
      <c r="S112" s="230">
        <f t="shared" si="50"/>
        <v>1672704</v>
      </c>
      <c r="T112" s="429">
        <f t="shared" si="51"/>
        <v>8</v>
      </c>
      <c r="U112" s="429">
        <f t="shared" si="52"/>
        <v>0</v>
      </c>
      <c r="V112" s="430">
        <f t="array" ref="V112">MAX((IF(MNU_CODIGO_ALIMENTO_ENTREGA=CONCATENATE($E112,"_","S_"),MNU_GRAMAJE_REQUERIDO_TIPOB,"")))</f>
        <v>40</v>
      </c>
      <c r="W112" s="397">
        <f t="shared" si="53"/>
        <v>3132</v>
      </c>
      <c r="X112" s="397">
        <f t="shared" si="54"/>
        <v>0</v>
      </c>
      <c r="Y112" s="397">
        <f t="shared" si="55"/>
        <v>25056</v>
      </c>
      <c r="Z112" s="454">
        <f t="shared" si="56"/>
        <v>252</v>
      </c>
      <c r="AA112" s="454">
        <f t="shared" si="57"/>
        <v>12.297600000000001</v>
      </c>
      <c r="AB112" s="454">
        <f t="shared" si="58"/>
        <v>0.21672403199999998</v>
      </c>
      <c r="AC112" s="454">
        <f t="shared" si="59"/>
        <v>265</v>
      </c>
      <c r="AD112" s="231">
        <f t="shared" si="60"/>
        <v>6314112</v>
      </c>
      <c r="AE112" s="231">
        <f t="shared" si="61"/>
        <v>6639840</v>
      </c>
      <c r="AF112" s="427">
        <f t="shared" si="62"/>
        <v>8</v>
      </c>
      <c r="AG112" s="427">
        <f t="shared" si="63"/>
        <v>0</v>
      </c>
      <c r="AH112" s="428">
        <f t="array" ref="AH112">MAX((IF(MNU_CODIGO_ALIMENTO_ENTREGA=CONCATENATE($E112,"_","S_"),MNU_GRAMAJE_REQUERIDO_TIPOC,"")))</f>
        <v>40</v>
      </c>
      <c r="AI112" s="229">
        <f t="shared" si="64"/>
        <v>3180</v>
      </c>
      <c r="AJ112" s="229">
        <f t="shared" si="65"/>
        <v>0</v>
      </c>
      <c r="AK112" s="229">
        <f t="shared" si="66"/>
        <v>25440</v>
      </c>
      <c r="AL112" s="454">
        <f t="shared" si="67"/>
        <v>252</v>
      </c>
      <c r="AM112" s="454">
        <f t="shared" si="68"/>
        <v>12.297600000000001</v>
      </c>
      <c r="AN112" s="454">
        <f t="shared" si="69"/>
        <v>0.21672403199999998</v>
      </c>
      <c r="AO112" s="454">
        <f t="shared" si="70"/>
        <v>265</v>
      </c>
      <c r="AP112" s="454">
        <f t="shared" si="71"/>
        <v>6410880</v>
      </c>
      <c r="AQ112" s="230">
        <f t="shared" si="72"/>
        <v>6741600</v>
      </c>
      <c r="AR112" s="397">
        <f t="shared" si="73"/>
        <v>14321664</v>
      </c>
      <c r="AS112" s="397">
        <f t="shared" si="74"/>
        <v>15054144</v>
      </c>
    </row>
    <row r="113" spans="1:45" ht="15.75">
      <c r="A113" s="228">
        <v>8</v>
      </c>
      <c r="B113" s="228" t="str">
        <f t="shared" si="38"/>
        <v>FRUTA_8</v>
      </c>
      <c r="C113" s="338" t="str">
        <f t="shared" si="39"/>
        <v>42_8</v>
      </c>
      <c r="D113" s="398" t="s">
        <v>1</v>
      </c>
      <c r="E113" s="228">
        <v>42</v>
      </c>
      <c r="F113" s="332" t="s">
        <v>61</v>
      </c>
      <c r="G113" s="228" t="s">
        <v>9</v>
      </c>
      <c r="H113" s="427">
        <f t="shared" si="40"/>
        <v>36</v>
      </c>
      <c r="I113" s="427">
        <f t="shared" si="41"/>
        <v>8</v>
      </c>
      <c r="J113" s="428">
        <f t="array" ref="J113">MAX((IF(MNU_CODIGO_ALIMENTO_ENTREGA=CONCATENATE($E113,"_","S_"),MNU_GRAMAJE_REQUERIDO_TIPOA,"")))</f>
        <v>100</v>
      </c>
      <c r="K113" s="229">
        <f t="shared" si="42"/>
        <v>1584</v>
      </c>
      <c r="L113" s="229">
        <f t="shared" si="43"/>
        <v>0</v>
      </c>
      <c r="M113" s="229">
        <f t="shared" si="44"/>
        <v>57024</v>
      </c>
      <c r="N113" s="454">
        <f t="shared" si="45"/>
        <v>194</v>
      </c>
      <c r="O113" s="454">
        <f t="shared" si="46"/>
        <v>9.4672000000000001</v>
      </c>
      <c r="P113" s="454">
        <f t="shared" si="47"/>
        <v>0.16684310399999999</v>
      </c>
      <c r="Q113" s="454">
        <f t="shared" si="48"/>
        <v>204</v>
      </c>
      <c r="R113" s="230">
        <f t="shared" si="49"/>
        <v>11062656</v>
      </c>
      <c r="S113" s="230">
        <f t="shared" si="50"/>
        <v>11632896</v>
      </c>
      <c r="T113" s="429">
        <f t="shared" si="51"/>
        <v>19</v>
      </c>
      <c r="U113" s="429">
        <f t="shared" si="52"/>
        <v>8</v>
      </c>
      <c r="V113" s="430">
        <f t="array" ref="V113">MAX((IF(MNU_CODIGO_ALIMENTO_ENTREGA=CONCATENATE($E113,"_","S_"),MNU_GRAMAJE_REQUERIDO_TIPOB,"")))</f>
        <v>100</v>
      </c>
      <c r="W113" s="397">
        <f t="shared" si="53"/>
        <v>3132</v>
      </c>
      <c r="X113" s="397">
        <f t="shared" si="54"/>
        <v>0</v>
      </c>
      <c r="Y113" s="397">
        <f t="shared" si="55"/>
        <v>59508</v>
      </c>
      <c r="Z113" s="454">
        <f t="shared" si="56"/>
        <v>194</v>
      </c>
      <c r="AA113" s="454">
        <f t="shared" si="57"/>
        <v>9.4672000000000001</v>
      </c>
      <c r="AB113" s="454">
        <f t="shared" si="58"/>
        <v>0.16684310399999999</v>
      </c>
      <c r="AC113" s="454">
        <f t="shared" si="59"/>
        <v>204</v>
      </c>
      <c r="AD113" s="231">
        <f t="shared" si="60"/>
        <v>11544552</v>
      </c>
      <c r="AE113" s="231">
        <f t="shared" si="61"/>
        <v>12139632</v>
      </c>
      <c r="AF113" s="427">
        <f t="shared" si="62"/>
        <v>19</v>
      </c>
      <c r="AG113" s="427">
        <f t="shared" si="63"/>
        <v>8</v>
      </c>
      <c r="AH113" s="428">
        <f t="array" ref="AH113">MAX((IF(MNU_CODIGO_ALIMENTO_ENTREGA=CONCATENATE($E113,"_","S_"),MNU_GRAMAJE_REQUERIDO_TIPOC,"")))</f>
        <v>100</v>
      </c>
      <c r="AI113" s="229">
        <f t="shared" si="64"/>
        <v>3180</v>
      </c>
      <c r="AJ113" s="229">
        <f t="shared" si="65"/>
        <v>0</v>
      </c>
      <c r="AK113" s="229">
        <f t="shared" si="66"/>
        <v>60420</v>
      </c>
      <c r="AL113" s="454">
        <f t="shared" si="67"/>
        <v>194</v>
      </c>
      <c r="AM113" s="454">
        <f t="shared" si="68"/>
        <v>9.4672000000000001</v>
      </c>
      <c r="AN113" s="454">
        <f t="shared" si="69"/>
        <v>0.16684310399999999</v>
      </c>
      <c r="AO113" s="454">
        <f t="shared" si="70"/>
        <v>204</v>
      </c>
      <c r="AP113" s="454">
        <f t="shared" si="71"/>
        <v>11721480</v>
      </c>
      <c r="AQ113" s="230">
        <f t="shared" si="72"/>
        <v>12325680</v>
      </c>
      <c r="AR113" s="397">
        <f t="shared" si="73"/>
        <v>34328688</v>
      </c>
      <c r="AS113" s="397">
        <f t="shared" si="74"/>
        <v>36098208</v>
      </c>
    </row>
    <row r="114" spans="1:45" ht="15.75">
      <c r="A114" s="228">
        <v>8</v>
      </c>
      <c r="B114" s="228" t="str">
        <f t="shared" si="38"/>
        <v>FRUTA_8</v>
      </c>
      <c r="C114" s="338" t="str">
        <f t="shared" si="39"/>
        <v>43_8</v>
      </c>
      <c r="D114" s="398" t="s">
        <v>1</v>
      </c>
      <c r="E114" s="228">
        <v>43</v>
      </c>
      <c r="F114" s="332" t="s">
        <v>62</v>
      </c>
      <c r="G114" s="228" t="s">
        <v>9</v>
      </c>
      <c r="H114" s="427">
        <f t="shared" si="40"/>
        <v>29</v>
      </c>
      <c r="I114" s="427">
        <f t="shared" si="41"/>
        <v>6</v>
      </c>
      <c r="J114" s="428">
        <f t="array" ref="J114">MAX((IF(MNU_CODIGO_ALIMENTO_ENTREGA=CONCATENATE($E114,"_","S_"),MNU_GRAMAJE_REQUERIDO_TIPOA,"")))</f>
        <v>100</v>
      </c>
      <c r="K114" s="229">
        <f t="shared" si="42"/>
        <v>1584</v>
      </c>
      <c r="L114" s="229">
        <f t="shared" si="43"/>
        <v>0</v>
      </c>
      <c r="M114" s="229">
        <f t="shared" si="44"/>
        <v>45936</v>
      </c>
      <c r="N114" s="454">
        <f t="shared" si="45"/>
        <v>170</v>
      </c>
      <c r="O114" s="454">
        <f t="shared" si="46"/>
        <v>8.2959999999999994</v>
      </c>
      <c r="P114" s="454">
        <f t="shared" si="47"/>
        <v>0.14620272000000001</v>
      </c>
      <c r="Q114" s="454">
        <f t="shared" si="48"/>
        <v>178</v>
      </c>
      <c r="R114" s="230">
        <f t="shared" si="49"/>
        <v>7809120</v>
      </c>
      <c r="S114" s="230">
        <f t="shared" si="50"/>
        <v>8176608</v>
      </c>
      <c r="T114" s="429">
        <f t="shared" si="51"/>
        <v>23</v>
      </c>
      <c r="U114" s="429">
        <f t="shared" si="52"/>
        <v>1</v>
      </c>
      <c r="V114" s="430">
        <f t="array" ref="V114">MAX((IF(MNU_CODIGO_ALIMENTO_ENTREGA=CONCATENATE($E114,"_","S_"),MNU_GRAMAJE_REQUERIDO_TIPOB,"")))</f>
        <v>100</v>
      </c>
      <c r="W114" s="397">
        <f t="shared" si="53"/>
        <v>3132</v>
      </c>
      <c r="X114" s="397">
        <f t="shared" si="54"/>
        <v>0</v>
      </c>
      <c r="Y114" s="397">
        <f t="shared" si="55"/>
        <v>72036</v>
      </c>
      <c r="Z114" s="454">
        <f t="shared" si="56"/>
        <v>170</v>
      </c>
      <c r="AA114" s="454">
        <f t="shared" si="57"/>
        <v>8.2959999999999994</v>
      </c>
      <c r="AB114" s="454">
        <f t="shared" si="58"/>
        <v>0.14620272000000001</v>
      </c>
      <c r="AC114" s="454">
        <f t="shared" si="59"/>
        <v>178</v>
      </c>
      <c r="AD114" s="231">
        <f t="shared" si="60"/>
        <v>12246120</v>
      </c>
      <c r="AE114" s="231">
        <f t="shared" si="61"/>
        <v>12822408</v>
      </c>
      <c r="AF114" s="427">
        <f t="shared" si="62"/>
        <v>23</v>
      </c>
      <c r="AG114" s="427">
        <f t="shared" si="63"/>
        <v>1</v>
      </c>
      <c r="AH114" s="428">
        <f t="array" ref="AH114">MAX((IF(MNU_CODIGO_ALIMENTO_ENTREGA=CONCATENATE($E114,"_","S_"),MNU_GRAMAJE_REQUERIDO_TIPOC,"")))</f>
        <v>100</v>
      </c>
      <c r="AI114" s="229">
        <f t="shared" si="64"/>
        <v>3180</v>
      </c>
      <c r="AJ114" s="229">
        <f t="shared" si="65"/>
        <v>0</v>
      </c>
      <c r="AK114" s="229">
        <f t="shared" si="66"/>
        <v>73140</v>
      </c>
      <c r="AL114" s="454">
        <f t="shared" si="67"/>
        <v>170</v>
      </c>
      <c r="AM114" s="454">
        <f t="shared" si="68"/>
        <v>8.2959999999999994</v>
      </c>
      <c r="AN114" s="454">
        <f t="shared" si="69"/>
        <v>0.14620272000000001</v>
      </c>
      <c r="AO114" s="454">
        <f t="shared" si="70"/>
        <v>178</v>
      </c>
      <c r="AP114" s="454">
        <f t="shared" si="71"/>
        <v>12433800</v>
      </c>
      <c r="AQ114" s="230">
        <f t="shared" si="72"/>
        <v>13018920</v>
      </c>
      <c r="AR114" s="397">
        <f t="shared" si="73"/>
        <v>32489040</v>
      </c>
      <c r="AS114" s="397">
        <f t="shared" si="74"/>
        <v>34017936</v>
      </c>
    </row>
    <row r="115" spans="1:45" ht="15.75">
      <c r="A115" s="228">
        <v>8</v>
      </c>
      <c r="B115" s="228" t="str">
        <f t="shared" si="38"/>
        <v>FRUTA_8</v>
      </c>
      <c r="C115" s="338" t="str">
        <f t="shared" si="39"/>
        <v>46_8</v>
      </c>
      <c r="D115" s="398" t="s">
        <v>1</v>
      </c>
      <c r="E115" s="258">
        <v>46</v>
      </c>
      <c r="F115" s="328" t="s">
        <v>64</v>
      </c>
      <c r="G115" s="228" t="s">
        <v>9</v>
      </c>
      <c r="H115" s="427">
        <f t="shared" si="40"/>
        <v>29</v>
      </c>
      <c r="I115" s="427">
        <f t="shared" si="41"/>
        <v>4</v>
      </c>
      <c r="J115" s="428">
        <f t="array" ref="J115">MAX((IF(MNU_CODIGO_ALIMENTO_ENTREGA=CONCATENATE($E115,"_","S_"),MNU_GRAMAJE_REQUERIDO_TIPOA,"")))</f>
        <v>100</v>
      </c>
      <c r="K115" s="229">
        <f t="shared" si="42"/>
        <v>1584</v>
      </c>
      <c r="L115" s="229">
        <f t="shared" si="43"/>
        <v>0</v>
      </c>
      <c r="M115" s="229">
        <f t="shared" si="44"/>
        <v>45936</v>
      </c>
      <c r="N115" s="454">
        <f t="shared" si="45"/>
        <v>398</v>
      </c>
      <c r="O115" s="454">
        <f t="shared" si="46"/>
        <v>19.4224</v>
      </c>
      <c r="P115" s="454">
        <f t="shared" si="47"/>
        <v>0.34228636800000001</v>
      </c>
      <c r="Q115" s="454">
        <f t="shared" si="48"/>
        <v>418</v>
      </c>
      <c r="R115" s="230">
        <f t="shared" si="49"/>
        <v>18282528</v>
      </c>
      <c r="S115" s="230">
        <f t="shared" si="50"/>
        <v>19201248</v>
      </c>
      <c r="T115" s="429">
        <f t="shared" si="51"/>
        <v>24</v>
      </c>
      <c r="U115" s="429">
        <f t="shared" si="52"/>
        <v>3</v>
      </c>
      <c r="V115" s="430">
        <f t="array" ref="V115">MAX((IF(MNU_CODIGO_ALIMENTO_ENTREGA=CONCATENATE($E115,"_","S_"),MNU_GRAMAJE_REQUERIDO_TIPOB,"")))</f>
        <v>100</v>
      </c>
      <c r="W115" s="397">
        <f t="shared" si="53"/>
        <v>3132</v>
      </c>
      <c r="X115" s="397">
        <f t="shared" si="54"/>
        <v>0</v>
      </c>
      <c r="Y115" s="397">
        <f t="shared" si="55"/>
        <v>75168</v>
      </c>
      <c r="Z115" s="454">
        <f t="shared" si="56"/>
        <v>398</v>
      </c>
      <c r="AA115" s="454">
        <f t="shared" si="57"/>
        <v>19.4224</v>
      </c>
      <c r="AB115" s="454">
        <f t="shared" si="58"/>
        <v>0.34228636800000001</v>
      </c>
      <c r="AC115" s="454">
        <f t="shared" si="59"/>
        <v>418</v>
      </c>
      <c r="AD115" s="231">
        <f t="shared" si="60"/>
        <v>29916864</v>
      </c>
      <c r="AE115" s="231">
        <f t="shared" si="61"/>
        <v>31420224</v>
      </c>
      <c r="AF115" s="427">
        <f t="shared" si="62"/>
        <v>24</v>
      </c>
      <c r="AG115" s="427">
        <f t="shared" si="63"/>
        <v>3</v>
      </c>
      <c r="AH115" s="428">
        <f t="array" ref="AH115">MAX((IF(MNU_CODIGO_ALIMENTO_ENTREGA=CONCATENATE($E115,"_","S_"),MNU_GRAMAJE_REQUERIDO_TIPOC,"")))</f>
        <v>100</v>
      </c>
      <c r="AI115" s="229">
        <f t="shared" si="64"/>
        <v>3180</v>
      </c>
      <c r="AJ115" s="229">
        <f t="shared" si="65"/>
        <v>0</v>
      </c>
      <c r="AK115" s="229">
        <f t="shared" si="66"/>
        <v>76320</v>
      </c>
      <c r="AL115" s="454">
        <f t="shared" si="67"/>
        <v>398</v>
      </c>
      <c r="AM115" s="454">
        <f t="shared" si="68"/>
        <v>19.4224</v>
      </c>
      <c r="AN115" s="454">
        <f t="shared" si="69"/>
        <v>0.34228636800000001</v>
      </c>
      <c r="AO115" s="454">
        <f t="shared" si="70"/>
        <v>418</v>
      </c>
      <c r="AP115" s="454">
        <f t="shared" si="71"/>
        <v>30375360</v>
      </c>
      <c r="AQ115" s="230">
        <f t="shared" si="72"/>
        <v>31901760</v>
      </c>
      <c r="AR115" s="397">
        <f t="shared" si="73"/>
        <v>78574752</v>
      </c>
      <c r="AS115" s="397">
        <f t="shared" si="74"/>
        <v>82523232</v>
      </c>
    </row>
    <row r="116" spans="1:45" ht="15.75">
      <c r="A116" s="228">
        <v>8</v>
      </c>
      <c r="B116" s="228" t="str">
        <f t="shared" ref="B116:B179" si="75">CONCATENATE(D116,"_",A116)</f>
        <v>FRUTA_8</v>
      </c>
      <c r="C116" s="338" t="str">
        <f t="shared" ref="C116:C179" si="76">CONCATENATE(E116,"_",A116)</f>
        <v>58_8</v>
      </c>
      <c r="D116" s="398" t="s">
        <v>1</v>
      </c>
      <c r="E116" s="228">
        <v>58</v>
      </c>
      <c r="F116" s="332" t="s">
        <v>67</v>
      </c>
      <c r="G116" s="228" t="s">
        <v>9</v>
      </c>
      <c r="H116" s="427">
        <f t="shared" ref="H116:H179" si="77">SUMIF(MNU_CODIGO_ALIMENTO_ENTREGA,CONCATENATE($E116,"_","S_"),MNU_FRECUENCIAS_LAV_TIPOA)</f>
        <v>28</v>
      </c>
      <c r="I116" s="427">
        <f t="shared" ref="I116:I179" si="78">SUMIF(MNU_CODIGO_ALIMENTO_ENTREGA,CONCATENATE($E116,"_","S_"),MNU_FRECUENCIAS_FDS_TIPOA)</f>
        <v>5</v>
      </c>
      <c r="J116" s="428">
        <f t="array" ref="J116">MAX((IF(MNU_CODIGO_ALIMENTO_ENTREGA=CONCATENATE($E116,"_","S_"),MNU_GRAMAJE_REQUERIDO_TIPOA,"")))</f>
        <v>100</v>
      </c>
      <c r="K116" s="229">
        <f t="shared" ref="K116:K179" si="79">SUMIF(VOL_GRUPO,CONCATENATE($A116,"1052-2NO"),VOL_TIPOA)</f>
        <v>1584</v>
      </c>
      <c r="L116" s="229">
        <f t="shared" ref="L116:L179" si="80">SUMIF(VOL_GRUPO,CONCATENATE($A116,"1052-2SI"),VOL_TIPOA)</f>
        <v>0</v>
      </c>
      <c r="M116" s="229">
        <f t="shared" ref="M116:M179" si="81">(H116*K116)+(I116*L116)</f>
        <v>44352</v>
      </c>
      <c r="N116" s="454">
        <f t="shared" ref="N116:N179" si="82">IF(ISERROR(AVERAGEIFS(MNU_COSTO_UNITARIO_TIPOA_SELECCIONADO,MNU_CODIGO_ALIMENTO_ENTREGA,CONCATENATE($E116,"_","S_"))),0,AVERAGEIFS(MNU_COSTO_UNITARIO_TIPOA_SELECCIONADO,MNU_CODIGO_ALIMENTO_ENTREGA,CONCATENATE($E116,"_","S_")))</f>
        <v>154</v>
      </c>
      <c r="O116" s="454">
        <f t="shared" ref="O116:O179" si="83">(N116*0.01)+(N116*0.005)+(N116*0.02)+(N116*(13.8/1000))</f>
        <v>7.515200000000001</v>
      </c>
      <c r="P116" s="454">
        <f t="shared" ref="P116:P179" si="84">((N116+O116)*0.00071)+((N116+O116)*0.00011)</f>
        <v>0.13244246400000001</v>
      </c>
      <c r="Q116" s="454">
        <f t="shared" ref="Q116:Q179" si="85">ROUND(N116+O116+P116,0)</f>
        <v>162</v>
      </c>
      <c r="R116" s="230">
        <f t="shared" ref="R116:R179" si="86">(H116*K116*N116)+(I116*L116*N116)</f>
        <v>6830208</v>
      </c>
      <c r="S116" s="230">
        <f t="shared" ref="S116:S179" si="87">(H116*K116*Q116)+(I116*L116*Q116)</f>
        <v>7185024</v>
      </c>
      <c r="T116" s="429">
        <f t="shared" ref="T116:T179" si="88">SUMIF(MNU_CODIGO_ALIMENTO_ENTREGA,CONCATENATE($E116,"_","S_"),MNU_FRECUENCIAS_LAV_TIPOB)</f>
        <v>23</v>
      </c>
      <c r="U116" s="429">
        <f t="shared" ref="U116:U179" si="89">SUMIF(MNU_CODIGO_ALIMENTO_ENTREGA,CONCATENATE($E116,"_","S_"),MNU_FRECUENCIAS_FDS_TIPOB)</f>
        <v>3</v>
      </c>
      <c r="V116" s="430">
        <f t="array" ref="V116">MAX((IF(MNU_CODIGO_ALIMENTO_ENTREGA=CONCATENATE($E116,"_","S_"),MNU_GRAMAJE_REQUERIDO_TIPOB,"")))</f>
        <v>100</v>
      </c>
      <c r="W116" s="397">
        <f t="shared" ref="W116:W179" si="90">SUMIF(VOL_GRUPO,CONCATENATE($A116,"1052-2NO"),VOL_TIPOB)</f>
        <v>3132</v>
      </c>
      <c r="X116" s="397">
        <f t="shared" ref="X116:X179" si="91">SUMIF(VOL_GRUPO,CONCATENATE($A116,"1052-2SI"),VOL_TIPOB)</f>
        <v>0</v>
      </c>
      <c r="Y116" s="397">
        <f t="shared" ref="Y116:Y179" si="92">(T116*W116)+(U116*X116)</f>
        <v>72036</v>
      </c>
      <c r="Z116" s="454">
        <f t="shared" ref="Z116:Z179" si="93">IF(ISERROR(AVERAGEIFS(MNU_COSTO_UNITARIO_TIPOB_SELECCIONADO,MNU_CODIGO_ALIMENTO_ENTREGA,CONCATENATE($E116,"_","S_"))),0,AVERAGEIFS(MNU_COSTO_UNITARIO_TIPOB_SELECCIONADO,MNU_CODIGO_ALIMENTO_ENTREGA,CONCATENATE($E116,"_","S_")))</f>
        <v>154</v>
      </c>
      <c r="AA116" s="454">
        <f t="shared" ref="AA116:AA179" si="94">(Z116*0.01)+(Z116*0.005)+(Z116*0.02)+(Z116*(13.8/1000))</f>
        <v>7.515200000000001</v>
      </c>
      <c r="AB116" s="454">
        <f t="shared" ref="AB116:AB179" si="95">((Z116+AA116)*0.00071)+((Z116+AA116)*0.00011)</f>
        <v>0.13244246400000001</v>
      </c>
      <c r="AC116" s="454">
        <f t="shared" ref="AC116:AC179" si="96">ROUND(Z116+AA116+AB116,0)</f>
        <v>162</v>
      </c>
      <c r="AD116" s="231">
        <f t="shared" ref="AD116:AD179" si="97">(T116*W116*Z116)+(U116*X116*Z116)</f>
        <v>11093544</v>
      </c>
      <c r="AE116" s="231">
        <f t="shared" ref="AE116:AE179" si="98">(T116*W116*AC116)+(U116*X116*AC116)</f>
        <v>11669832</v>
      </c>
      <c r="AF116" s="427">
        <f t="shared" ref="AF116:AF179" si="99">SUMIF(MNU_CODIGO_ALIMENTO_ENTREGA,CONCATENATE($E116,"_","S_"),MNU_FRECUENCIAS_LAV_TIPOC)</f>
        <v>23</v>
      </c>
      <c r="AG116" s="427">
        <f t="shared" ref="AG116:AG179" si="100">SUMIF(MNU_CODIGO_ALIMENTO_ENTREGA,CONCATENATE($E116,"_","S_"),MNU_FRECUENCIAS_FDS_TIPOC)</f>
        <v>3</v>
      </c>
      <c r="AH116" s="428">
        <f t="array" ref="AH116">MAX((IF(MNU_CODIGO_ALIMENTO_ENTREGA=CONCATENATE($E116,"_","S_"),MNU_GRAMAJE_REQUERIDO_TIPOC,"")))</f>
        <v>100</v>
      </c>
      <c r="AI116" s="229">
        <f t="shared" ref="AI116:AI179" si="101">SUMIF(VOL_GRUPO,CONCATENATE($A116,"1052-2NO"),VOL_TIPOC)</f>
        <v>3180</v>
      </c>
      <c r="AJ116" s="229">
        <f t="shared" ref="AJ116:AJ179" si="102">SUMIF(VOL_GRUPO,CONCATENATE($A116,"1052-2SI"),VOL_TIPOC)</f>
        <v>0</v>
      </c>
      <c r="AK116" s="229">
        <f t="shared" ref="AK116:AK179" si="103">(AF116*AI116)+(AG116*AJ116)</f>
        <v>73140</v>
      </c>
      <c r="AL116" s="454">
        <f t="shared" ref="AL116:AL179" si="104">IF(ISERROR(AVERAGEIFS(MNU_COSTO_UNITARIO_TIPOC_SELECCIONADO,MNU_CODIGO_ALIMENTO_ENTREGA,CONCATENATE($E116,"_","S_"))),0,AVERAGEIFS(MNU_COSTO_UNITARIO_TIPOC_SELECCIONADO,MNU_CODIGO_ALIMENTO_ENTREGA,CONCATENATE($E116,"_","S_")))</f>
        <v>154</v>
      </c>
      <c r="AM116" s="454">
        <f t="shared" ref="AM116:AM179" si="105">(AL116*0.01)+(AL116*0.005)+(AL116*0.02)+(AL116*(13.8/1000))</f>
        <v>7.515200000000001</v>
      </c>
      <c r="AN116" s="454">
        <f t="shared" ref="AN116:AN179" si="106">((AL116+AM116)*0.00071)+((AL116+AM116)*0.00011)</f>
        <v>0.13244246400000001</v>
      </c>
      <c r="AO116" s="454">
        <f t="shared" ref="AO116:AO179" si="107">ROUND(AL116+AM116+AN116,0)</f>
        <v>162</v>
      </c>
      <c r="AP116" s="454">
        <f t="shared" ref="AP116:AP179" si="108">(AF116*AI116*AL116)+(AG116*AJ116*AL116)</f>
        <v>11263560</v>
      </c>
      <c r="AQ116" s="230">
        <f t="shared" ref="AQ116:AQ179" si="109">(AF116*AI116*AO116)+(AG116*AJ116*AO116)</f>
        <v>11848680</v>
      </c>
      <c r="AR116" s="397">
        <f t="shared" ref="AR116:AR179" si="110">R116+AD116+AP116</f>
        <v>29187312</v>
      </c>
      <c r="AS116" s="397">
        <f t="shared" ref="AS116:AS179" si="111">S116+AE116+AQ116</f>
        <v>30703536</v>
      </c>
    </row>
    <row r="117" spans="1:45" ht="15.75">
      <c r="A117" s="228">
        <v>8</v>
      </c>
      <c r="B117" s="228" t="str">
        <f t="shared" si="75"/>
        <v>FRUTA_8</v>
      </c>
      <c r="C117" s="338" t="str">
        <f t="shared" si="76"/>
        <v>59_8</v>
      </c>
      <c r="D117" s="398" t="s">
        <v>1</v>
      </c>
      <c r="E117" s="228">
        <v>59</v>
      </c>
      <c r="F117" s="332" t="s">
        <v>99</v>
      </c>
      <c r="G117" s="228" t="s">
        <v>9</v>
      </c>
      <c r="H117" s="427">
        <f t="shared" si="77"/>
        <v>0</v>
      </c>
      <c r="I117" s="427">
        <f t="shared" si="78"/>
        <v>0</v>
      </c>
      <c r="J117" s="428">
        <f t="array" ref="J117">MAX((IF(MNU_CODIGO_ALIMENTO_ENTREGA=CONCATENATE($E117,"_","S_"),MNU_GRAMAJE_REQUERIDO_TIPOA,"")))</f>
        <v>0</v>
      </c>
      <c r="K117" s="229">
        <f t="shared" si="79"/>
        <v>1584</v>
      </c>
      <c r="L117" s="229">
        <f t="shared" si="80"/>
        <v>0</v>
      </c>
      <c r="M117" s="229">
        <f t="shared" si="81"/>
        <v>0</v>
      </c>
      <c r="N117" s="454">
        <f t="shared" si="82"/>
        <v>0</v>
      </c>
      <c r="O117" s="454">
        <f t="shared" si="83"/>
        <v>0</v>
      </c>
      <c r="P117" s="454">
        <f t="shared" si="84"/>
        <v>0</v>
      </c>
      <c r="Q117" s="454">
        <f t="shared" si="85"/>
        <v>0</v>
      </c>
      <c r="R117" s="230">
        <f t="shared" si="86"/>
        <v>0</v>
      </c>
      <c r="S117" s="230">
        <f t="shared" si="87"/>
        <v>0</v>
      </c>
      <c r="T117" s="429">
        <f t="shared" si="88"/>
        <v>11</v>
      </c>
      <c r="U117" s="429">
        <f t="shared" si="89"/>
        <v>0</v>
      </c>
      <c r="V117" s="430">
        <f t="array" ref="V117">MAX((IF(MNU_CODIGO_ALIMENTO_ENTREGA=CONCATENATE($E117,"_","S_"),MNU_GRAMAJE_REQUERIDO_TIPOB,"")))</f>
        <v>100</v>
      </c>
      <c r="W117" s="397">
        <f t="shared" si="90"/>
        <v>3132</v>
      </c>
      <c r="X117" s="397">
        <f t="shared" si="91"/>
        <v>0</v>
      </c>
      <c r="Y117" s="397">
        <f t="shared" si="92"/>
        <v>34452</v>
      </c>
      <c r="Z117" s="454">
        <f t="shared" si="93"/>
        <v>286</v>
      </c>
      <c r="AA117" s="454">
        <f t="shared" si="94"/>
        <v>13.956800000000001</v>
      </c>
      <c r="AB117" s="454">
        <f t="shared" si="95"/>
        <v>0.24596457599999999</v>
      </c>
      <c r="AC117" s="454">
        <f t="shared" si="96"/>
        <v>300</v>
      </c>
      <c r="AD117" s="231">
        <f t="shared" si="97"/>
        <v>9853272</v>
      </c>
      <c r="AE117" s="231">
        <f t="shared" si="98"/>
        <v>10335600</v>
      </c>
      <c r="AF117" s="427">
        <f t="shared" si="99"/>
        <v>11</v>
      </c>
      <c r="AG117" s="427">
        <f t="shared" si="100"/>
        <v>0</v>
      </c>
      <c r="AH117" s="428">
        <f t="array" ref="AH117">MAX((IF(MNU_CODIGO_ALIMENTO_ENTREGA=CONCATENATE($E117,"_","S_"),MNU_GRAMAJE_REQUERIDO_TIPOC,"")))</f>
        <v>100</v>
      </c>
      <c r="AI117" s="229">
        <f t="shared" si="101"/>
        <v>3180</v>
      </c>
      <c r="AJ117" s="229">
        <f t="shared" si="102"/>
        <v>0</v>
      </c>
      <c r="AK117" s="229">
        <f t="shared" si="103"/>
        <v>34980</v>
      </c>
      <c r="AL117" s="454">
        <f t="shared" si="104"/>
        <v>286</v>
      </c>
      <c r="AM117" s="454">
        <f t="shared" si="105"/>
        <v>13.956800000000001</v>
      </c>
      <c r="AN117" s="454">
        <f t="shared" si="106"/>
        <v>0.24596457599999999</v>
      </c>
      <c r="AO117" s="454">
        <f t="shared" si="107"/>
        <v>300</v>
      </c>
      <c r="AP117" s="454">
        <f t="shared" si="108"/>
        <v>10004280</v>
      </c>
      <c r="AQ117" s="230">
        <f t="shared" si="109"/>
        <v>10494000</v>
      </c>
      <c r="AR117" s="397">
        <f t="shared" si="110"/>
        <v>19857552</v>
      </c>
      <c r="AS117" s="397">
        <f t="shared" si="111"/>
        <v>20829600</v>
      </c>
    </row>
    <row r="118" spans="1:45" ht="15.75">
      <c r="A118" s="228">
        <v>8</v>
      </c>
      <c r="B118" s="228" t="str">
        <f t="shared" si="75"/>
        <v>FRUTA_8</v>
      </c>
      <c r="C118" s="338" t="str">
        <f t="shared" si="76"/>
        <v>69_8</v>
      </c>
      <c r="D118" s="398" t="s">
        <v>1</v>
      </c>
      <c r="E118" s="228">
        <v>69</v>
      </c>
      <c r="F118" s="332" t="s">
        <v>70</v>
      </c>
      <c r="G118" s="228" t="s">
        <v>9</v>
      </c>
      <c r="H118" s="427">
        <f t="shared" si="77"/>
        <v>18</v>
      </c>
      <c r="I118" s="427">
        <f t="shared" si="78"/>
        <v>2</v>
      </c>
      <c r="J118" s="428">
        <f t="array" ref="J118">MAX((IF(MNU_CODIGO_ALIMENTO_ENTREGA=CONCATENATE($E118,"_","S_"),MNU_GRAMAJE_REQUERIDO_TIPOA,"")))</f>
        <v>100</v>
      </c>
      <c r="K118" s="229">
        <f t="shared" si="79"/>
        <v>1584</v>
      </c>
      <c r="L118" s="229">
        <f t="shared" si="80"/>
        <v>0</v>
      </c>
      <c r="M118" s="229">
        <f t="shared" si="81"/>
        <v>28512</v>
      </c>
      <c r="N118" s="454">
        <f t="shared" si="82"/>
        <v>305</v>
      </c>
      <c r="O118" s="454">
        <f t="shared" si="83"/>
        <v>14.884</v>
      </c>
      <c r="P118" s="454">
        <f t="shared" si="84"/>
        <v>0.26230488000000002</v>
      </c>
      <c r="Q118" s="454">
        <f t="shared" si="85"/>
        <v>320</v>
      </c>
      <c r="R118" s="230">
        <f t="shared" si="86"/>
        <v>8696160</v>
      </c>
      <c r="S118" s="230">
        <f t="shared" si="87"/>
        <v>9123840</v>
      </c>
      <c r="T118" s="429">
        <f t="shared" si="88"/>
        <v>12</v>
      </c>
      <c r="U118" s="429">
        <f t="shared" si="89"/>
        <v>2</v>
      </c>
      <c r="V118" s="430">
        <f t="array" ref="V118">MAX((IF(MNU_CODIGO_ALIMENTO_ENTREGA=CONCATENATE($E118,"_","S_"),MNU_GRAMAJE_REQUERIDO_TIPOB,"")))</f>
        <v>100</v>
      </c>
      <c r="W118" s="397">
        <f t="shared" si="90"/>
        <v>3132</v>
      </c>
      <c r="X118" s="397">
        <f t="shared" si="91"/>
        <v>0</v>
      </c>
      <c r="Y118" s="397">
        <f t="shared" si="92"/>
        <v>37584</v>
      </c>
      <c r="Z118" s="454">
        <f t="shared" si="93"/>
        <v>305</v>
      </c>
      <c r="AA118" s="454">
        <f t="shared" si="94"/>
        <v>14.884</v>
      </c>
      <c r="AB118" s="454">
        <f t="shared" si="95"/>
        <v>0.26230488000000002</v>
      </c>
      <c r="AC118" s="454">
        <f t="shared" si="96"/>
        <v>320</v>
      </c>
      <c r="AD118" s="231">
        <f t="shared" si="97"/>
        <v>11463120</v>
      </c>
      <c r="AE118" s="231">
        <f t="shared" si="98"/>
        <v>12026880</v>
      </c>
      <c r="AF118" s="427">
        <f t="shared" si="99"/>
        <v>12</v>
      </c>
      <c r="AG118" s="427">
        <f t="shared" si="100"/>
        <v>2</v>
      </c>
      <c r="AH118" s="428">
        <f t="array" ref="AH118">MAX((IF(MNU_CODIGO_ALIMENTO_ENTREGA=CONCATENATE($E118,"_","S_"),MNU_GRAMAJE_REQUERIDO_TIPOC,"")))</f>
        <v>100</v>
      </c>
      <c r="AI118" s="229">
        <f t="shared" si="101"/>
        <v>3180</v>
      </c>
      <c r="AJ118" s="229">
        <f t="shared" si="102"/>
        <v>0</v>
      </c>
      <c r="AK118" s="229">
        <f t="shared" si="103"/>
        <v>38160</v>
      </c>
      <c r="AL118" s="454">
        <f t="shared" si="104"/>
        <v>305</v>
      </c>
      <c r="AM118" s="454">
        <f t="shared" si="105"/>
        <v>14.884</v>
      </c>
      <c r="AN118" s="454">
        <f t="shared" si="106"/>
        <v>0.26230488000000002</v>
      </c>
      <c r="AO118" s="454">
        <f t="shared" si="107"/>
        <v>320</v>
      </c>
      <c r="AP118" s="454">
        <f t="shared" si="108"/>
        <v>11638800</v>
      </c>
      <c r="AQ118" s="230">
        <f t="shared" si="109"/>
        <v>12211200</v>
      </c>
      <c r="AR118" s="397">
        <f t="shared" si="110"/>
        <v>31798080</v>
      </c>
      <c r="AS118" s="397">
        <f t="shared" si="111"/>
        <v>33361920</v>
      </c>
    </row>
    <row r="119" spans="1:45" ht="15.75">
      <c r="A119" s="228">
        <v>8</v>
      </c>
      <c r="B119" s="228" t="str">
        <f t="shared" si="75"/>
        <v>FRUTA_8</v>
      </c>
      <c r="C119" s="338" t="str">
        <f t="shared" si="76"/>
        <v>70_8</v>
      </c>
      <c r="D119" s="398" t="s">
        <v>1</v>
      </c>
      <c r="E119" s="228">
        <v>70</v>
      </c>
      <c r="F119" s="332" t="s">
        <v>71</v>
      </c>
      <c r="G119" s="228" t="s">
        <v>9</v>
      </c>
      <c r="H119" s="427">
        <f t="shared" si="77"/>
        <v>0</v>
      </c>
      <c r="I119" s="427">
        <f t="shared" si="78"/>
        <v>0</v>
      </c>
      <c r="J119" s="428">
        <f t="array" ref="J119">MAX((IF(MNU_CODIGO_ALIMENTO_ENTREGA=CONCATENATE($E119,"_","S_"),MNU_GRAMAJE_REQUERIDO_TIPOA,"")))</f>
        <v>0</v>
      </c>
      <c r="K119" s="229">
        <f t="shared" si="79"/>
        <v>1584</v>
      </c>
      <c r="L119" s="229">
        <f t="shared" si="80"/>
        <v>0</v>
      </c>
      <c r="M119" s="229">
        <f t="shared" si="81"/>
        <v>0</v>
      </c>
      <c r="N119" s="454">
        <f t="shared" si="82"/>
        <v>0</v>
      </c>
      <c r="O119" s="454">
        <f t="shared" si="83"/>
        <v>0</v>
      </c>
      <c r="P119" s="454">
        <f t="shared" si="84"/>
        <v>0</v>
      </c>
      <c r="Q119" s="454">
        <f t="shared" si="85"/>
        <v>0</v>
      </c>
      <c r="R119" s="230">
        <f t="shared" si="86"/>
        <v>0</v>
      </c>
      <c r="S119" s="230">
        <f t="shared" si="87"/>
        <v>0</v>
      </c>
      <c r="T119" s="429">
        <f t="shared" si="88"/>
        <v>8</v>
      </c>
      <c r="U119" s="429">
        <f t="shared" si="89"/>
        <v>4</v>
      </c>
      <c r="V119" s="430">
        <f t="array" ref="V119">MAX((IF(MNU_CODIGO_ALIMENTO_ENTREGA=CONCATENATE($E119,"_","S_"),MNU_GRAMAJE_REQUERIDO_TIPOB,"")))</f>
        <v>100</v>
      </c>
      <c r="W119" s="397">
        <f t="shared" si="90"/>
        <v>3132</v>
      </c>
      <c r="X119" s="397">
        <f t="shared" si="91"/>
        <v>0</v>
      </c>
      <c r="Y119" s="397">
        <f t="shared" si="92"/>
        <v>25056</v>
      </c>
      <c r="Z119" s="454">
        <f t="shared" si="93"/>
        <v>434</v>
      </c>
      <c r="AA119" s="454">
        <f t="shared" si="94"/>
        <v>21.179200000000002</v>
      </c>
      <c r="AB119" s="454">
        <f t="shared" si="95"/>
        <v>0.37324694399999997</v>
      </c>
      <c r="AC119" s="454">
        <f t="shared" si="96"/>
        <v>456</v>
      </c>
      <c r="AD119" s="231">
        <f t="shared" si="97"/>
        <v>10874304</v>
      </c>
      <c r="AE119" s="231">
        <f t="shared" si="98"/>
        <v>11425536</v>
      </c>
      <c r="AF119" s="427">
        <f t="shared" si="99"/>
        <v>8</v>
      </c>
      <c r="AG119" s="427">
        <f t="shared" si="100"/>
        <v>4</v>
      </c>
      <c r="AH119" s="428">
        <f t="array" ref="AH119">MAX((IF(MNU_CODIGO_ALIMENTO_ENTREGA=CONCATENATE($E119,"_","S_"),MNU_GRAMAJE_REQUERIDO_TIPOC,"")))</f>
        <v>100</v>
      </c>
      <c r="AI119" s="229">
        <f t="shared" si="101"/>
        <v>3180</v>
      </c>
      <c r="AJ119" s="229">
        <f t="shared" si="102"/>
        <v>0</v>
      </c>
      <c r="AK119" s="229">
        <f t="shared" si="103"/>
        <v>25440</v>
      </c>
      <c r="AL119" s="454">
        <f t="shared" si="104"/>
        <v>434</v>
      </c>
      <c r="AM119" s="454">
        <f t="shared" si="105"/>
        <v>21.179200000000002</v>
      </c>
      <c r="AN119" s="454">
        <f t="shared" si="106"/>
        <v>0.37324694399999997</v>
      </c>
      <c r="AO119" s="454">
        <f t="shared" si="107"/>
        <v>456</v>
      </c>
      <c r="AP119" s="454">
        <f t="shared" si="108"/>
        <v>11040960</v>
      </c>
      <c r="AQ119" s="230">
        <f t="shared" si="109"/>
        <v>11600640</v>
      </c>
      <c r="AR119" s="397">
        <f t="shared" si="110"/>
        <v>21915264</v>
      </c>
      <c r="AS119" s="397">
        <f t="shared" si="111"/>
        <v>23026176</v>
      </c>
    </row>
    <row r="120" spans="1:45" ht="15.75">
      <c r="A120" s="228">
        <v>9</v>
      </c>
      <c r="B120" s="228" t="str">
        <f t="shared" si="75"/>
        <v>FRUTA_9</v>
      </c>
      <c r="C120" s="338" t="str">
        <f t="shared" si="76"/>
        <v>7_9</v>
      </c>
      <c r="D120" s="398" t="s">
        <v>1</v>
      </c>
      <c r="E120" s="228">
        <v>7</v>
      </c>
      <c r="F120" s="332" t="s">
        <v>57</v>
      </c>
      <c r="G120" s="228" t="s">
        <v>9</v>
      </c>
      <c r="H120" s="427">
        <f t="shared" si="77"/>
        <v>31</v>
      </c>
      <c r="I120" s="427">
        <f t="shared" si="78"/>
        <v>0</v>
      </c>
      <c r="J120" s="428">
        <f t="array" ref="J120">MAX((IF(MNU_CODIGO_ALIMENTO_ENTREGA=CONCATENATE($E120,"_","S_"),MNU_GRAMAJE_REQUERIDO_TIPOA,"")))</f>
        <v>100</v>
      </c>
      <c r="K120" s="229">
        <f t="shared" si="79"/>
        <v>783</v>
      </c>
      <c r="L120" s="229">
        <f t="shared" si="80"/>
        <v>0</v>
      </c>
      <c r="M120" s="229">
        <f t="shared" si="81"/>
        <v>24273</v>
      </c>
      <c r="N120" s="454">
        <f t="shared" si="82"/>
        <v>107</v>
      </c>
      <c r="O120" s="454">
        <f t="shared" si="83"/>
        <v>5.2216000000000005</v>
      </c>
      <c r="P120" s="454">
        <f t="shared" si="84"/>
        <v>9.2021712000000006E-2</v>
      </c>
      <c r="Q120" s="454">
        <f t="shared" si="85"/>
        <v>112</v>
      </c>
      <c r="R120" s="230">
        <f t="shared" si="86"/>
        <v>2597211</v>
      </c>
      <c r="S120" s="230">
        <f t="shared" si="87"/>
        <v>2718576</v>
      </c>
      <c r="T120" s="429">
        <f t="shared" si="88"/>
        <v>11</v>
      </c>
      <c r="U120" s="429">
        <f t="shared" si="89"/>
        <v>0</v>
      </c>
      <c r="V120" s="430">
        <f t="array" ref="V120">MAX((IF(MNU_CODIGO_ALIMENTO_ENTREGA=CONCATENATE($E120,"_","S_"),MNU_GRAMAJE_REQUERIDO_TIPOB,"")))</f>
        <v>100</v>
      </c>
      <c r="W120" s="397">
        <f t="shared" si="90"/>
        <v>1685</v>
      </c>
      <c r="X120" s="397">
        <f t="shared" si="91"/>
        <v>0</v>
      </c>
      <c r="Y120" s="397">
        <f t="shared" si="92"/>
        <v>18535</v>
      </c>
      <c r="Z120" s="454">
        <f t="shared" si="93"/>
        <v>107</v>
      </c>
      <c r="AA120" s="454">
        <f t="shared" si="94"/>
        <v>5.2216000000000005</v>
      </c>
      <c r="AB120" s="454">
        <f t="shared" si="95"/>
        <v>9.2021712000000006E-2</v>
      </c>
      <c r="AC120" s="454">
        <f t="shared" si="96"/>
        <v>112</v>
      </c>
      <c r="AD120" s="231">
        <f t="shared" si="97"/>
        <v>1983245</v>
      </c>
      <c r="AE120" s="231">
        <f t="shared" si="98"/>
        <v>2075920</v>
      </c>
      <c r="AF120" s="427">
        <f t="shared" si="99"/>
        <v>11</v>
      </c>
      <c r="AG120" s="427">
        <f t="shared" si="100"/>
        <v>0</v>
      </c>
      <c r="AH120" s="428">
        <f t="array" ref="AH120">MAX((IF(MNU_CODIGO_ALIMENTO_ENTREGA=CONCATENATE($E120,"_","S_"),MNU_GRAMAJE_REQUERIDO_TIPOC,"")))</f>
        <v>100</v>
      </c>
      <c r="AI120" s="229">
        <f t="shared" si="101"/>
        <v>2966</v>
      </c>
      <c r="AJ120" s="229">
        <f t="shared" si="102"/>
        <v>36</v>
      </c>
      <c r="AK120" s="229">
        <f t="shared" si="103"/>
        <v>32626</v>
      </c>
      <c r="AL120" s="454">
        <f t="shared" si="104"/>
        <v>107</v>
      </c>
      <c r="AM120" s="454">
        <f t="shared" si="105"/>
        <v>5.2216000000000005</v>
      </c>
      <c r="AN120" s="454">
        <f t="shared" si="106"/>
        <v>9.2021712000000006E-2</v>
      </c>
      <c r="AO120" s="454">
        <f t="shared" si="107"/>
        <v>112</v>
      </c>
      <c r="AP120" s="454">
        <f t="shared" si="108"/>
        <v>3490982</v>
      </c>
      <c r="AQ120" s="230">
        <f t="shared" si="109"/>
        <v>3654112</v>
      </c>
      <c r="AR120" s="397">
        <f t="shared" si="110"/>
        <v>8071438</v>
      </c>
      <c r="AS120" s="397">
        <f t="shared" si="111"/>
        <v>8448608</v>
      </c>
    </row>
    <row r="121" spans="1:45" ht="15.75">
      <c r="A121" s="228">
        <v>9</v>
      </c>
      <c r="B121" s="228" t="str">
        <f t="shared" si="75"/>
        <v>FRUTA_9</v>
      </c>
      <c r="C121" s="338" t="str">
        <f t="shared" si="76"/>
        <v>8_9</v>
      </c>
      <c r="D121" s="398" t="s">
        <v>1</v>
      </c>
      <c r="E121" s="228">
        <v>8</v>
      </c>
      <c r="F121" s="332" t="s">
        <v>55</v>
      </c>
      <c r="G121" s="228" t="s">
        <v>9</v>
      </c>
      <c r="H121" s="427">
        <f t="shared" si="77"/>
        <v>11</v>
      </c>
      <c r="I121" s="427">
        <f t="shared" si="78"/>
        <v>0</v>
      </c>
      <c r="J121" s="428">
        <f t="array" ref="J121">MAX((IF(MNU_CODIGO_ALIMENTO_ENTREGA=CONCATENATE($E121,"_","S_"),MNU_GRAMAJE_REQUERIDO_TIPOA,"")))</f>
        <v>100</v>
      </c>
      <c r="K121" s="229">
        <f t="shared" si="79"/>
        <v>783</v>
      </c>
      <c r="L121" s="229">
        <f t="shared" si="80"/>
        <v>0</v>
      </c>
      <c r="M121" s="229">
        <f t="shared" si="81"/>
        <v>8613</v>
      </c>
      <c r="N121" s="454">
        <f t="shared" si="82"/>
        <v>134</v>
      </c>
      <c r="O121" s="454">
        <f t="shared" si="83"/>
        <v>6.539200000000001</v>
      </c>
      <c r="P121" s="454">
        <f t="shared" si="84"/>
        <v>0.115242144</v>
      </c>
      <c r="Q121" s="454">
        <f t="shared" si="85"/>
        <v>141</v>
      </c>
      <c r="R121" s="230">
        <f t="shared" si="86"/>
        <v>1154142</v>
      </c>
      <c r="S121" s="230">
        <f t="shared" si="87"/>
        <v>1214433</v>
      </c>
      <c r="T121" s="429">
        <f t="shared" si="88"/>
        <v>11</v>
      </c>
      <c r="U121" s="429">
        <f t="shared" si="89"/>
        <v>0</v>
      </c>
      <c r="V121" s="430">
        <f t="array" ref="V121">MAX((IF(MNU_CODIGO_ALIMENTO_ENTREGA=CONCATENATE($E121,"_","S_"),MNU_GRAMAJE_REQUERIDO_TIPOB,"")))</f>
        <v>100</v>
      </c>
      <c r="W121" s="397">
        <f t="shared" si="90"/>
        <v>1685</v>
      </c>
      <c r="X121" s="397">
        <f t="shared" si="91"/>
        <v>0</v>
      </c>
      <c r="Y121" s="397">
        <f t="shared" si="92"/>
        <v>18535</v>
      </c>
      <c r="Z121" s="454">
        <f t="shared" si="93"/>
        <v>134</v>
      </c>
      <c r="AA121" s="454">
        <f t="shared" si="94"/>
        <v>6.539200000000001</v>
      </c>
      <c r="AB121" s="454">
        <f t="shared" si="95"/>
        <v>0.115242144</v>
      </c>
      <c r="AC121" s="454">
        <f t="shared" si="96"/>
        <v>141</v>
      </c>
      <c r="AD121" s="231">
        <f t="shared" si="97"/>
        <v>2483690</v>
      </c>
      <c r="AE121" s="231">
        <f t="shared" si="98"/>
        <v>2613435</v>
      </c>
      <c r="AF121" s="427">
        <f t="shared" si="99"/>
        <v>11</v>
      </c>
      <c r="AG121" s="427">
        <f t="shared" si="100"/>
        <v>0</v>
      </c>
      <c r="AH121" s="428">
        <f t="array" ref="AH121">MAX((IF(MNU_CODIGO_ALIMENTO_ENTREGA=CONCATENATE($E121,"_","S_"),MNU_GRAMAJE_REQUERIDO_TIPOC,"")))</f>
        <v>100</v>
      </c>
      <c r="AI121" s="229">
        <f t="shared" si="101"/>
        <v>2966</v>
      </c>
      <c r="AJ121" s="229">
        <f t="shared" si="102"/>
        <v>36</v>
      </c>
      <c r="AK121" s="229">
        <f t="shared" si="103"/>
        <v>32626</v>
      </c>
      <c r="AL121" s="454">
        <f t="shared" si="104"/>
        <v>134</v>
      </c>
      <c r="AM121" s="454">
        <f t="shared" si="105"/>
        <v>6.539200000000001</v>
      </c>
      <c r="AN121" s="454">
        <f t="shared" si="106"/>
        <v>0.115242144</v>
      </c>
      <c r="AO121" s="454">
        <f t="shared" si="107"/>
        <v>141</v>
      </c>
      <c r="AP121" s="454">
        <f t="shared" si="108"/>
        <v>4371884</v>
      </c>
      <c r="AQ121" s="230">
        <f t="shared" si="109"/>
        <v>4600266</v>
      </c>
      <c r="AR121" s="397">
        <f t="shared" si="110"/>
        <v>8009716</v>
      </c>
      <c r="AS121" s="397">
        <f t="shared" si="111"/>
        <v>8428134</v>
      </c>
    </row>
    <row r="122" spans="1:45" ht="15.75">
      <c r="A122" s="228">
        <v>9</v>
      </c>
      <c r="B122" s="228" t="str">
        <f t="shared" si="75"/>
        <v>FRUTA_9</v>
      </c>
      <c r="C122" s="338" t="str">
        <f t="shared" si="76"/>
        <v>17_9</v>
      </c>
      <c r="D122" s="398" t="s">
        <v>1</v>
      </c>
      <c r="E122" s="228">
        <v>17</v>
      </c>
      <c r="F122" s="332" t="s">
        <v>53</v>
      </c>
      <c r="G122" s="228" t="s">
        <v>9</v>
      </c>
      <c r="H122" s="427">
        <f t="shared" si="77"/>
        <v>0</v>
      </c>
      <c r="I122" s="427">
        <f t="shared" si="78"/>
        <v>0</v>
      </c>
      <c r="J122" s="428">
        <f t="array" ref="J122">MAX((IF(MNU_CODIGO_ALIMENTO_ENTREGA=CONCATENATE($E122,"_","S_"),MNU_GRAMAJE_REQUERIDO_TIPOA,"")))</f>
        <v>0</v>
      </c>
      <c r="K122" s="229">
        <f t="shared" si="79"/>
        <v>783</v>
      </c>
      <c r="L122" s="229">
        <f t="shared" si="80"/>
        <v>0</v>
      </c>
      <c r="M122" s="229">
        <f t="shared" si="81"/>
        <v>0</v>
      </c>
      <c r="N122" s="454">
        <f t="shared" si="82"/>
        <v>0</v>
      </c>
      <c r="O122" s="454">
        <f t="shared" si="83"/>
        <v>0</v>
      </c>
      <c r="P122" s="454">
        <f t="shared" si="84"/>
        <v>0</v>
      </c>
      <c r="Q122" s="454">
        <f t="shared" si="85"/>
        <v>0</v>
      </c>
      <c r="R122" s="230">
        <f t="shared" si="86"/>
        <v>0</v>
      </c>
      <c r="S122" s="230">
        <f t="shared" si="87"/>
        <v>0</v>
      </c>
      <c r="T122" s="429">
        <f t="shared" si="88"/>
        <v>23</v>
      </c>
      <c r="U122" s="429">
        <f t="shared" si="89"/>
        <v>4</v>
      </c>
      <c r="V122" s="430">
        <f t="array" ref="V122">MAX((IF(MNU_CODIGO_ALIMENTO_ENTREGA=CONCATENATE($E122,"_","S_"),MNU_GRAMAJE_REQUERIDO_TIPOB,"")))</f>
        <v>100</v>
      </c>
      <c r="W122" s="397">
        <f t="shared" si="90"/>
        <v>1685</v>
      </c>
      <c r="X122" s="397">
        <f t="shared" si="91"/>
        <v>0</v>
      </c>
      <c r="Y122" s="397">
        <f t="shared" si="92"/>
        <v>38755</v>
      </c>
      <c r="Z122" s="454">
        <f t="shared" si="93"/>
        <v>226</v>
      </c>
      <c r="AA122" s="454">
        <f t="shared" si="94"/>
        <v>11.0288</v>
      </c>
      <c r="AB122" s="454">
        <f t="shared" si="95"/>
        <v>0.19436361600000002</v>
      </c>
      <c r="AC122" s="454">
        <f t="shared" si="96"/>
        <v>237</v>
      </c>
      <c r="AD122" s="231">
        <f t="shared" si="97"/>
        <v>8758630</v>
      </c>
      <c r="AE122" s="231">
        <f t="shared" si="98"/>
        <v>9184935</v>
      </c>
      <c r="AF122" s="427">
        <f t="shared" si="99"/>
        <v>23</v>
      </c>
      <c r="AG122" s="427">
        <f t="shared" si="100"/>
        <v>4</v>
      </c>
      <c r="AH122" s="428">
        <f t="array" ref="AH122">MAX((IF(MNU_CODIGO_ALIMENTO_ENTREGA=CONCATENATE($E122,"_","S_"),MNU_GRAMAJE_REQUERIDO_TIPOC,"")))</f>
        <v>100</v>
      </c>
      <c r="AI122" s="229">
        <f t="shared" si="101"/>
        <v>2966</v>
      </c>
      <c r="AJ122" s="229">
        <f t="shared" si="102"/>
        <v>36</v>
      </c>
      <c r="AK122" s="229">
        <f t="shared" si="103"/>
        <v>68362</v>
      </c>
      <c r="AL122" s="454">
        <f t="shared" si="104"/>
        <v>226</v>
      </c>
      <c r="AM122" s="454">
        <f t="shared" si="105"/>
        <v>11.0288</v>
      </c>
      <c r="AN122" s="454">
        <f t="shared" si="106"/>
        <v>0.19436361600000002</v>
      </c>
      <c r="AO122" s="454">
        <f t="shared" si="107"/>
        <v>237</v>
      </c>
      <c r="AP122" s="454">
        <f t="shared" si="108"/>
        <v>15449812</v>
      </c>
      <c r="AQ122" s="230">
        <f t="shared" si="109"/>
        <v>16201794</v>
      </c>
      <c r="AR122" s="397">
        <f t="shared" si="110"/>
        <v>24208442</v>
      </c>
      <c r="AS122" s="397">
        <f t="shared" si="111"/>
        <v>25386729</v>
      </c>
    </row>
    <row r="123" spans="1:45" ht="15.75">
      <c r="A123" s="228">
        <v>9</v>
      </c>
      <c r="B123" s="228" t="str">
        <f t="shared" si="75"/>
        <v>FRUTA_9</v>
      </c>
      <c r="C123" s="338" t="str">
        <f t="shared" si="76"/>
        <v>22_9</v>
      </c>
      <c r="D123" s="398" t="s">
        <v>1</v>
      </c>
      <c r="E123" s="228">
        <v>22</v>
      </c>
      <c r="F123" s="332" t="s">
        <v>51</v>
      </c>
      <c r="G123" s="228" t="s">
        <v>9</v>
      </c>
      <c r="H123" s="427">
        <f t="shared" si="77"/>
        <v>0</v>
      </c>
      <c r="I123" s="427">
        <f t="shared" si="78"/>
        <v>0</v>
      </c>
      <c r="J123" s="428">
        <f t="array" ref="J123">MAX((IF(MNU_CODIGO_ALIMENTO_ENTREGA=CONCATENATE($E123,"_","S_"),MNU_GRAMAJE_REQUERIDO_TIPOA,"")))</f>
        <v>0</v>
      </c>
      <c r="K123" s="229">
        <f t="shared" si="79"/>
        <v>783</v>
      </c>
      <c r="L123" s="229">
        <f t="shared" si="80"/>
        <v>0</v>
      </c>
      <c r="M123" s="229">
        <f t="shared" si="81"/>
        <v>0</v>
      </c>
      <c r="N123" s="454">
        <f t="shared" si="82"/>
        <v>0</v>
      </c>
      <c r="O123" s="454">
        <f t="shared" si="83"/>
        <v>0</v>
      </c>
      <c r="P123" s="454">
        <f t="shared" si="84"/>
        <v>0</v>
      </c>
      <c r="Q123" s="454">
        <f t="shared" si="85"/>
        <v>0</v>
      </c>
      <c r="R123" s="230">
        <f t="shared" si="86"/>
        <v>0</v>
      </c>
      <c r="S123" s="230">
        <f t="shared" si="87"/>
        <v>0</v>
      </c>
      <c r="T123" s="429">
        <f t="shared" si="88"/>
        <v>23</v>
      </c>
      <c r="U123" s="429">
        <f t="shared" si="89"/>
        <v>4</v>
      </c>
      <c r="V123" s="430">
        <f t="array" ref="V123">MAX((IF(MNU_CODIGO_ALIMENTO_ENTREGA=CONCATENATE($E123,"_","S_"),MNU_GRAMAJE_REQUERIDO_TIPOB,"")))</f>
        <v>100</v>
      </c>
      <c r="W123" s="397">
        <f t="shared" si="90"/>
        <v>1685</v>
      </c>
      <c r="X123" s="397">
        <f t="shared" si="91"/>
        <v>0</v>
      </c>
      <c r="Y123" s="397">
        <f t="shared" si="92"/>
        <v>38755</v>
      </c>
      <c r="Z123" s="454">
        <f t="shared" si="93"/>
        <v>525</v>
      </c>
      <c r="AA123" s="454">
        <f t="shared" si="94"/>
        <v>25.62</v>
      </c>
      <c r="AB123" s="454">
        <f t="shared" si="95"/>
        <v>0.45150840000000003</v>
      </c>
      <c r="AC123" s="454">
        <f t="shared" si="96"/>
        <v>551</v>
      </c>
      <c r="AD123" s="231">
        <f t="shared" si="97"/>
        <v>20346375</v>
      </c>
      <c r="AE123" s="231">
        <f t="shared" si="98"/>
        <v>21354005</v>
      </c>
      <c r="AF123" s="427">
        <f t="shared" si="99"/>
        <v>23</v>
      </c>
      <c r="AG123" s="427">
        <f t="shared" si="100"/>
        <v>4</v>
      </c>
      <c r="AH123" s="428">
        <f t="array" ref="AH123">MAX((IF(MNU_CODIGO_ALIMENTO_ENTREGA=CONCATENATE($E123,"_","S_"),MNU_GRAMAJE_REQUERIDO_TIPOC,"")))</f>
        <v>100</v>
      </c>
      <c r="AI123" s="229">
        <f t="shared" si="101"/>
        <v>2966</v>
      </c>
      <c r="AJ123" s="229">
        <f t="shared" si="102"/>
        <v>36</v>
      </c>
      <c r="AK123" s="229">
        <f t="shared" si="103"/>
        <v>68362</v>
      </c>
      <c r="AL123" s="454">
        <f t="shared" si="104"/>
        <v>525</v>
      </c>
      <c r="AM123" s="454">
        <f t="shared" si="105"/>
        <v>25.62</v>
      </c>
      <c r="AN123" s="454">
        <f t="shared" si="106"/>
        <v>0.45150840000000003</v>
      </c>
      <c r="AO123" s="454">
        <f t="shared" si="107"/>
        <v>551</v>
      </c>
      <c r="AP123" s="454">
        <f t="shared" si="108"/>
        <v>35890050</v>
      </c>
      <c r="AQ123" s="230">
        <f t="shared" si="109"/>
        <v>37667462</v>
      </c>
      <c r="AR123" s="397">
        <f t="shared" si="110"/>
        <v>56236425</v>
      </c>
      <c r="AS123" s="397">
        <f t="shared" si="111"/>
        <v>59021467</v>
      </c>
    </row>
    <row r="124" spans="1:45" ht="15.75">
      <c r="A124" s="228">
        <v>9</v>
      </c>
      <c r="B124" s="228" t="str">
        <f t="shared" si="75"/>
        <v>FRUTA_9</v>
      </c>
      <c r="C124" s="338" t="str">
        <f t="shared" si="76"/>
        <v>33_9</v>
      </c>
      <c r="D124" s="398" t="s">
        <v>1</v>
      </c>
      <c r="E124" s="228">
        <v>33</v>
      </c>
      <c r="F124" s="332" t="s">
        <v>59</v>
      </c>
      <c r="G124" s="228" t="s">
        <v>48</v>
      </c>
      <c r="H124" s="427">
        <f t="shared" si="77"/>
        <v>29</v>
      </c>
      <c r="I124" s="427">
        <f t="shared" si="78"/>
        <v>5</v>
      </c>
      <c r="J124" s="428">
        <v>1</v>
      </c>
      <c r="K124" s="229">
        <f t="shared" si="79"/>
        <v>783</v>
      </c>
      <c r="L124" s="229">
        <f t="shared" si="80"/>
        <v>0</v>
      </c>
      <c r="M124" s="229">
        <f t="shared" si="81"/>
        <v>22707</v>
      </c>
      <c r="N124" s="454">
        <f t="shared" si="82"/>
        <v>270</v>
      </c>
      <c r="O124" s="454">
        <f t="shared" si="83"/>
        <v>13.176000000000002</v>
      </c>
      <c r="P124" s="454">
        <f t="shared" si="84"/>
        <v>0.23220432000000002</v>
      </c>
      <c r="Q124" s="454">
        <f t="shared" si="85"/>
        <v>283</v>
      </c>
      <c r="R124" s="230">
        <f t="shared" si="86"/>
        <v>6130890</v>
      </c>
      <c r="S124" s="230">
        <f t="shared" si="87"/>
        <v>6426081</v>
      </c>
      <c r="T124" s="429">
        <f t="shared" si="88"/>
        <v>23</v>
      </c>
      <c r="U124" s="429">
        <f t="shared" si="89"/>
        <v>2</v>
      </c>
      <c r="V124" s="430">
        <v>1</v>
      </c>
      <c r="W124" s="397">
        <f t="shared" si="90"/>
        <v>1685</v>
      </c>
      <c r="X124" s="397">
        <f t="shared" si="91"/>
        <v>0</v>
      </c>
      <c r="Y124" s="397">
        <f t="shared" si="92"/>
        <v>38755</v>
      </c>
      <c r="Z124" s="454">
        <f t="shared" si="93"/>
        <v>270</v>
      </c>
      <c r="AA124" s="454">
        <f t="shared" si="94"/>
        <v>13.176000000000002</v>
      </c>
      <c r="AB124" s="454">
        <f t="shared" si="95"/>
        <v>0.23220432000000002</v>
      </c>
      <c r="AC124" s="454">
        <f t="shared" si="96"/>
        <v>283</v>
      </c>
      <c r="AD124" s="231">
        <f t="shared" si="97"/>
        <v>10463850</v>
      </c>
      <c r="AE124" s="231">
        <f t="shared" si="98"/>
        <v>10967665</v>
      </c>
      <c r="AF124" s="427">
        <f t="shared" si="99"/>
        <v>23</v>
      </c>
      <c r="AG124" s="427">
        <f t="shared" si="100"/>
        <v>2</v>
      </c>
      <c r="AH124" s="428">
        <v>1</v>
      </c>
      <c r="AI124" s="229">
        <f t="shared" si="101"/>
        <v>2966</v>
      </c>
      <c r="AJ124" s="229">
        <f t="shared" si="102"/>
        <v>36</v>
      </c>
      <c r="AK124" s="229">
        <f t="shared" si="103"/>
        <v>68290</v>
      </c>
      <c r="AL124" s="454">
        <f t="shared" si="104"/>
        <v>270</v>
      </c>
      <c r="AM124" s="454">
        <f t="shared" si="105"/>
        <v>13.176000000000002</v>
      </c>
      <c r="AN124" s="454">
        <f t="shared" si="106"/>
        <v>0.23220432000000002</v>
      </c>
      <c r="AO124" s="454">
        <f t="shared" si="107"/>
        <v>283</v>
      </c>
      <c r="AP124" s="454">
        <f t="shared" si="108"/>
        <v>18438300</v>
      </c>
      <c r="AQ124" s="230">
        <f t="shared" si="109"/>
        <v>19326070</v>
      </c>
      <c r="AR124" s="397">
        <f t="shared" si="110"/>
        <v>35033040</v>
      </c>
      <c r="AS124" s="397">
        <f t="shared" si="111"/>
        <v>36719816</v>
      </c>
    </row>
    <row r="125" spans="1:45" ht="15.75">
      <c r="A125" s="228">
        <v>9</v>
      </c>
      <c r="B125" s="228" t="str">
        <f t="shared" si="75"/>
        <v>FRUTA_9</v>
      </c>
      <c r="C125" s="338" t="str">
        <f t="shared" si="76"/>
        <v>36_9</v>
      </c>
      <c r="D125" s="398" t="s">
        <v>1</v>
      </c>
      <c r="E125" s="228">
        <v>36</v>
      </c>
      <c r="F125" s="332" t="s">
        <v>1340</v>
      </c>
      <c r="G125" s="228" t="s">
        <v>9</v>
      </c>
      <c r="H125" s="427">
        <f t="shared" si="77"/>
        <v>8</v>
      </c>
      <c r="I125" s="427">
        <f t="shared" si="78"/>
        <v>0</v>
      </c>
      <c r="J125" s="428">
        <f t="array" ref="J125">MAX((IF(MNU_CODIGO_ALIMENTO_ENTREGA=CONCATENATE($E125,"_","S_"),MNU_GRAMAJE_REQUERIDO_TIPOA,"")))</f>
        <v>20</v>
      </c>
      <c r="K125" s="229">
        <f t="shared" si="79"/>
        <v>783</v>
      </c>
      <c r="L125" s="229">
        <f t="shared" si="80"/>
        <v>0</v>
      </c>
      <c r="M125" s="229">
        <f t="shared" si="81"/>
        <v>6264</v>
      </c>
      <c r="N125" s="454">
        <f t="shared" si="82"/>
        <v>126</v>
      </c>
      <c r="O125" s="454">
        <f t="shared" si="83"/>
        <v>6.1488000000000005</v>
      </c>
      <c r="P125" s="454">
        <f t="shared" si="84"/>
        <v>0.10836201599999999</v>
      </c>
      <c r="Q125" s="454">
        <f t="shared" si="85"/>
        <v>132</v>
      </c>
      <c r="R125" s="230">
        <f t="shared" si="86"/>
        <v>789264</v>
      </c>
      <c r="S125" s="230">
        <f t="shared" si="87"/>
        <v>826848</v>
      </c>
      <c r="T125" s="429">
        <f t="shared" si="88"/>
        <v>8</v>
      </c>
      <c r="U125" s="429">
        <f t="shared" si="89"/>
        <v>0</v>
      </c>
      <c r="V125" s="430">
        <f t="array" ref="V125">MAX((IF(MNU_CODIGO_ALIMENTO_ENTREGA=CONCATENATE($E125,"_","S_"),MNU_GRAMAJE_REQUERIDO_TIPOB,"")))</f>
        <v>40</v>
      </c>
      <c r="W125" s="397">
        <f t="shared" si="90"/>
        <v>1685</v>
      </c>
      <c r="X125" s="397">
        <f t="shared" si="91"/>
        <v>0</v>
      </c>
      <c r="Y125" s="397">
        <f t="shared" si="92"/>
        <v>13480</v>
      </c>
      <c r="Z125" s="454">
        <f t="shared" si="93"/>
        <v>252</v>
      </c>
      <c r="AA125" s="454">
        <f t="shared" si="94"/>
        <v>12.297600000000001</v>
      </c>
      <c r="AB125" s="454">
        <f t="shared" si="95"/>
        <v>0.21672403199999998</v>
      </c>
      <c r="AC125" s="454">
        <f t="shared" si="96"/>
        <v>265</v>
      </c>
      <c r="AD125" s="231">
        <f t="shared" si="97"/>
        <v>3396960</v>
      </c>
      <c r="AE125" s="231">
        <f t="shared" si="98"/>
        <v>3572200</v>
      </c>
      <c r="AF125" s="427">
        <f t="shared" si="99"/>
        <v>8</v>
      </c>
      <c r="AG125" s="427">
        <f t="shared" si="100"/>
        <v>0</v>
      </c>
      <c r="AH125" s="428">
        <f t="array" ref="AH125">MAX((IF(MNU_CODIGO_ALIMENTO_ENTREGA=CONCATENATE($E125,"_","S_"),MNU_GRAMAJE_REQUERIDO_TIPOC,"")))</f>
        <v>40</v>
      </c>
      <c r="AI125" s="229">
        <f t="shared" si="101"/>
        <v>2966</v>
      </c>
      <c r="AJ125" s="229">
        <f t="shared" si="102"/>
        <v>36</v>
      </c>
      <c r="AK125" s="229">
        <f t="shared" si="103"/>
        <v>23728</v>
      </c>
      <c r="AL125" s="454">
        <f t="shared" si="104"/>
        <v>252</v>
      </c>
      <c r="AM125" s="454">
        <f t="shared" si="105"/>
        <v>12.297600000000001</v>
      </c>
      <c r="AN125" s="454">
        <f t="shared" si="106"/>
        <v>0.21672403199999998</v>
      </c>
      <c r="AO125" s="454">
        <f t="shared" si="107"/>
        <v>265</v>
      </c>
      <c r="AP125" s="454">
        <f t="shared" si="108"/>
        <v>5979456</v>
      </c>
      <c r="AQ125" s="230">
        <f t="shared" si="109"/>
        <v>6287920</v>
      </c>
      <c r="AR125" s="397">
        <f t="shared" si="110"/>
        <v>10165680</v>
      </c>
      <c r="AS125" s="397">
        <f t="shared" si="111"/>
        <v>10686968</v>
      </c>
    </row>
    <row r="126" spans="1:45" ht="15.75">
      <c r="A126" s="228">
        <v>9</v>
      </c>
      <c r="B126" s="228" t="str">
        <f t="shared" si="75"/>
        <v>FRUTA_9</v>
      </c>
      <c r="C126" s="338" t="str">
        <f t="shared" si="76"/>
        <v>42_9</v>
      </c>
      <c r="D126" s="398" t="s">
        <v>1</v>
      </c>
      <c r="E126" s="228">
        <v>42</v>
      </c>
      <c r="F126" s="332" t="s">
        <v>61</v>
      </c>
      <c r="G126" s="228" t="s">
        <v>9</v>
      </c>
      <c r="H126" s="427">
        <f t="shared" si="77"/>
        <v>36</v>
      </c>
      <c r="I126" s="427">
        <f t="shared" si="78"/>
        <v>8</v>
      </c>
      <c r="J126" s="428">
        <f t="array" ref="J126">MAX((IF(MNU_CODIGO_ALIMENTO_ENTREGA=CONCATENATE($E126,"_","S_"),MNU_GRAMAJE_REQUERIDO_TIPOA,"")))</f>
        <v>100</v>
      </c>
      <c r="K126" s="229">
        <f t="shared" si="79"/>
        <v>783</v>
      </c>
      <c r="L126" s="229">
        <f t="shared" si="80"/>
        <v>0</v>
      </c>
      <c r="M126" s="229">
        <f t="shared" si="81"/>
        <v>28188</v>
      </c>
      <c r="N126" s="454">
        <f t="shared" si="82"/>
        <v>194</v>
      </c>
      <c r="O126" s="454">
        <f t="shared" si="83"/>
        <v>9.4672000000000001</v>
      </c>
      <c r="P126" s="454">
        <f t="shared" si="84"/>
        <v>0.16684310399999999</v>
      </c>
      <c r="Q126" s="454">
        <f t="shared" si="85"/>
        <v>204</v>
      </c>
      <c r="R126" s="230">
        <f t="shared" si="86"/>
        <v>5468472</v>
      </c>
      <c r="S126" s="230">
        <f t="shared" si="87"/>
        <v>5750352</v>
      </c>
      <c r="T126" s="429">
        <f t="shared" si="88"/>
        <v>19</v>
      </c>
      <c r="U126" s="429">
        <f t="shared" si="89"/>
        <v>8</v>
      </c>
      <c r="V126" s="430">
        <f t="array" ref="V126">MAX((IF(MNU_CODIGO_ALIMENTO_ENTREGA=CONCATENATE($E126,"_","S_"),MNU_GRAMAJE_REQUERIDO_TIPOB,"")))</f>
        <v>100</v>
      </c>
      <c r="W126" s="397">
        <f t="shared" si="90"/>
        <v>1685</v>
      </c>
      <c r="X126" s="397">
        <f t="shared" si="91"/>
        <v>0</v>
      </c>
      <c r="Y126" s="397">
        <f t="shared" si="92"/>
        <v>32015</v>
      </c>
      <c r="Z126" s="454">
        <f t="shared" si="93"/>
        <v>194</v>
      </c>
      <c r="AA126" s="454">
        <f t="shared" si="94"/>
        <v>9.4672000000000001</v>
      </c>
      <c r="AB126" s="454">
        <f t="shared" si="95"/>
        <v>0.16684310399999999</v>
      </c>
      <c r="AC126" s="454">
        <f t="shared" si="96"/>
        <v>204</v>
      </c>
      <c r="AD126" s="231">
        <f t="shared" si="97"/>
        <v>6210910</v>
      </c>
      <c r="AE126" s="231">
        <f t="shared" si="98"/>
        <v>6531060</v>
      </c>
      <c r="AF126" s="427">
        <f t="shared" si="99"/>
        <v>19</v>
      </c>
      <c r="AG126" s="427">
        <f t="shared" si="100"/>
        <v>8</v>
      </c>
      <c r="AH126" s="428">
        <f t="array" ref="AH126">MAX((IF(MNU_CODIGO_ALIMENTO_ENTREGA=CONCATENATE($E126,"_","S_"),MNU_GRAMAJE_REQUERIDO_TIPOC,"")))</f>
        <v>100</v>
      </c>
      <c r="AI126" s="229">
        <f t="shared" si="101"/>
        <v>2966</v>
      </c>
      <c r="AJ126" s="229">
        <f t="shared" si="102"/>
        <v>36</v>
      </c>
      <c r="AK126" s="229">
        <f t="shared" si="103"/>
        <v>56642</v>
      </c>
      <c r="AL126" s="454">
        <f t="shared" si="104"/>
        <v>194</v>
      </c>
      <c r="AM126" s="454">
        <f t="shared" si="105"/>
        <v>9.4672000000000001</v>
      </c>
      <c r="AN126" s="454">
        <f t="shared" si="106"/>
        <v>0.16684310399999999</v>
      </c>
      <c r="AO126" s="454">
        <f t="shared" si="107"/>
        <v>204</v>
      </c>
      <c r="AP126" s="454">
        <f t="shared" si="108"/>
        <v>10988548</v>
      </c>
      <c r="AQ126" s="230">
        <f t="shared" si="109"/>
        <v>11554968</v>
      </c>
      <c r="AR126" s="397">
        <f t="shared" si="110"/>
        <v>22667930</v>
      </c>
      <c r="AS126" s="397">
        <f t="shared" si="111"/>
        <v>23836380</v>
      </c>
    </row>
    <row r="127" spans="1:45" ht="15.75">
      <c r="A127" s="228">
        <v>9</v>
      </c>
      <c r="B127" s="228" t="str">
        <f t="shared" si="75"/>
        <v>FRUTA_9</v>
      </c>
      <c r="C127" s="338" t="str">
        <f t="shared" si="76"/>
        <v>43_9</v>
      </c>
      <c r="D127" s="398" t="s">
        <v>1</v>
      </c>
      <c r="E127" s="228">
        <v>43</v>
      </c>
      <c r="F127" s="332" t="s">
        <v>62</v>
      </c>
      <c r="G127" s="228" t="s">
        <v>9</v>
      </c>
      <c r="H127" s="427">
        <f t="shared" si="77"/>
        <v>29</v>
      </c>
      <c r="I127" s="427">
        <f t="shared" si="78"/>
        <v>6</v>
      </c>
      <c r="J127" s="428">
        <f t="array" ref="J127">MAX((IF(MNU_CODIGO_ALIMENTO_ENTREGA=CONCATENATE($E127,"_","S_"),MNU_GRAMAJE_REQUERIDO_TIPOA,"")))</f>
        <v>100</v>
      </c>
      <c r="K127" s="229">
        <f t="shared" si="79"/>
        <v>783</v>
      </c>
      <c r="L127" s="229">
        <f t="shared" si="80"/>
        <v>0</v>
      </c>
      <c r="M127" s="229">
        <f t="shared" si="81"/>
        <v>22707</v>
      </c>
      <c r="N127" s="454">
        <f t="shared" si="82"/>
        <v>170</v>
      </c>
      <c r="O127" s="454">
        <f t="shared" si="83"/>
        <v>8.2959999999999994</v>
      </c>
      <c r="P127" s="454">
        <f t="shared" si="84"/>
        <v>0.14620272000000001</v>
      </c>
      <c r="Q127" s="454">
        <f t="shared" si="85"/>
        <v>178</v>
      </c>
      <c r="R127" s="230">
        <f t="shared" si="86"/>
        <v>3860190</v>
      </c>
      <c r="S127" s="230">
        <f t="shared" si="87"/>
        <v>4041846</v>
      </c>
      <c r="T127" s="429">
        <f t="shared" si="88"/>
        <v>23</v>
      </c>
      <c r="U127" s="429">
        <f t="shared" si="89"/>
        <v>1</v>
      </c>
      <c r="V127" s="430">
        <f t="array" ref="V127">MAX((IF(MNU_CODIGO_ALIMENTO_ENTREGA=CONCATENATE($E127,"_","S_"),MNU_GRAMAJE_REQUERIDO_TIPOB,"")))</f>
        <v>100</v>
      </c>
      <c r="W127" s="397">
        <f t="shared" si="90"/>
        <v>1685</v>
      </c>
      <c r="X127" s="397">
        <f t="shared" si="91"/>
        <v>0</v>
      </c>
      <c r="Y127" s="397">
        <f t="shared" si="92"/>
        <v>38755</v>
      </c>
      <c r="Z127" s="454">
        <f t="shared" si="93"/>
        <v>170</v>
      </c>
      <c r="AA127" s="454">
        <f t="shared" si="94"/>
        <v>8.2959999999999994</v>
      </c>
      <c r="AB127" s="454">
        <f t="shared" si="95"/>
        <v>0.14620272000000001</v>
      </c>
      <c r="AC127" s="454">
        <f t="shared" si="96"/>
        <v>178</v>
      </c>
      <c r="AD127" s="231">
        <f t="shared" si="97"/>
        <v>6588350</v>
      </c>
      <c r="AE127" s="231">
        <f t="shared" si="98"/>
        <v>6898390</v>
      </c>
      <c r="AF127" s="427">
        <f t="shared" si="99"/>
        <v>23</v>
      </c>
      <c r="AG127" s="427">
        <f t="shared" si="100"/>
        <v>1</v>
      </c>
      <c r="AH127" s="428">
        <f t="array" ref="AH127">MAX((IF(MNU_CODIGO_ALIMENTO_ENTREGA=CONCATENATE($E127,"_","S_"),MNU_GRAMAJE_REQUERIDO_TIPOC,"")))</f>
        <v>100</v>
      </c>
      <c r="AI127" s="229">
        <f t="shared" si="101"/>
        <v>2966</v>
      </c>
      <c r="AJ127" s="229">
        <f t="shared" si="102"/>
        <v>36</v>
      </c>
      <c r="AK127" s="229">
        <f t="shared" si="103"/>
        <v>68254</v>
      </c>
      <c r="AL127" s="454">
        <f t="shared" si="104"/>
        <v>170</v>
      </c>
      <c r="AM127" s="454">
        <f t="shared" si="105"/>
        <v>8.2959999999999994</v>
      </c>
      <c r="AN127" s="454">
        <f t="shared" si="106"/>
        <v>0.14620272000000001</v>
      </c>
      <c r="AO127" s="454">
        <f t="shared" si="107"/>
        <v>178</v>
      </c>
      <c r="AP127" s="454">
        <f t="shared" si="108"/>
        <v>11603180</v>
      </c>
      <c r="AQ127" s="230">
        <f t="shared" si="109"/>
        <v>12149212</v>
      </c>
      <c r="AR127" s="397">
        <f t="shared" si="110"/>
        <v>22051720</v>
      </c>
      <c r="AS127" s="397">
        <f t="shared" si="111"/>
        <v>23089448</v>
      </c>
    </row>
    <row r="128" spans="1:45" ht="15.75">
      <c r="A128" s="228">
        <v>9</v>
      </c>
      <c r="B128" s="228" t="str">
        <f t="shared" si="75"/>
        <v>FRUTA_9</v>
      </c>
      <c r="C128" s="338" t="str">
        <f t="shared" si="76"/>
        <v>46_9</v>
      </c>
      <c r="D128" s="398" t="s">
        <v>1</v>
      </c>
      <c r="E128" s="228">
        <v>46</v>
      </c>
      <c r="F128" s="332" t="s">
        <v>64</v>
      </c>
      <c r="G128" s="228" t="s">
        <v>9</v>
      </c>
      <c r="H128" s="427">
        <f t="shared" si="77"/>
        <v>29</v>
      </c>
      <c r="I128" s="427">
        <f t="shared" si="78"/>
        <v>4</v>
      </c>
      <c r="J128" s="428">
        <f t="array" ref="J128">MAX((IF(MNU_CODIGO_ALIMENTO_ENTREGA=CONCATENATE($E128,"_","S_"),MNU_GRAMAJE_REQUERIDO_TIPOA,"")))</f>
        <v>100</v>
      </c>
      <c r="K128" s="229">
        <f t="shared" si="79"/>
        <v>783</v>
      </c>
      <c r="L128" s="229">
        <f t="shared" si="80"/>
        <v>0</v>
      </c>
      <c r="M128" s="229">
        <f t="shared" si="81"/>
        <v>22707</v>
      </c>
      <c r="N128" s="454">
        <f t="shared" si="82"/>
        <v>398</v>
      </c>
      <c r="O128" s="454">
        <f t="shared" si="83"/>
        <v>19.4224</v>
      </c>
      <c r="P128" s="454">
        <f t="shared" si="84"/>
        <v>0.34228636800000001</v>
      </c>
      <c r="Q128" s="454">
        <f t="shared" si="85"/>
        <v>418</v>
      </c>
      <c r="R128" s="230">
        <f t="shared" si="86"/>
        <v>9037386</v>
      </c>
      <c r="S128" s="230">
        <f t="shared" si="87"/>
        <v>9491526</v>
      </c>
      <c r="T128" s="429">
        <f t="shared" si="88"/>
        <v>24</v>
      </c>
      <c r="U128" s="429">
        <f t="shared" si="89"/>
        <v>3</v>
      </c>
      <c r="V128" s="430">
        <f t="array" ref="V128">MAX((IF(MNU_CODIGO_ALIMENTO_ENTREGA=CONCATENATE($E128,"_","S_"),MNU_GRAMAJE_REQUERIDO_TIPOB,"")))</f>
        <v>100</v>
      </c>
      <c r="W128" s="397">
        <f t="shared" si="90"/>
        <v>1685</v>
      </c>
      <c r="X128" s="397">
        <f t="shared" si="91"/>
        <v>0</v>
      </c>
      <c r="Y128" s="397">
        <f t="shared" si="92"/>
        <v>40440</v>
      </c>
      <c r="Z128" s="454">
        <f t="shared" si="93"/>
        <v>398</v>
      </c>
      <c r="AA128" s="454">
        <f t="shared" si="94"/>
        <v>19.4224</v>
      </c>
      <c r="AB128" s="454">
        <f t="shared" si="95"/>
        <v>0.34228636800000001</v>
      </c>
      <c r="AC128" s="454">
        <f t="shared" si="96"/>
        <v>418</v>
      </c>
      <c r="AD128" s="231">
        <f t="shared" si="97"/>
        <v>16095120</v>
      </c>
      <c r="AE128" s="231">
        <f t="shared" si="98"/>
        <v>16903920</v>
      </c>
      <c r="AF128" s="427">
        <f t="shared" si="99"/>
        <v>24</v>
      </c>
      <c r="AG128" s="427">
        <f t="shared" si="100"/>
        <v>3</v>
      </c>
      <c r="AH128" s="428">
        <f t="array" ref="AH128">MAX((IF(MNU_CODIGO_ALIMENTO_ENTREGA=CONCATENATE($E128,"_","S_"),MNU_GRAMAJE_REQUERIDO_TIPOC,"")))</f>
        <v>100</v>
      </c>
      <c r="AI128" s="229">
        <f t="shared" si="101"/>
        <v>2966</v>
      </c>
      <c r="AJ128" s="229">
        <f t="shared" si="102"/>
        <v>36</v>
      </c>
      <c r="AK128" s="229">
        <f t="shared" si="103"/>
        <v>71292</v>
      </c>
      <c r="AL128" s="454">
        <f t="shared" si="104"/>
        <v>398</v>
      </c>
      <c r="AM128" s="454">
        <f t="shared" si="105"/>
        <v>19.4224</v>
      </c>
      <c r="AN128" s="454">
        <f t="shared" si="106"/>
        <v>0.34228636800000001</v>
      </c>
      <c r="AO128" s="454">
        <f t="shared" si="107"/>
        <v>418</v>
      </c>
      <c r="AP128" s="454">
        <f t="shared" si="108"/>
        <v>28374216</v>
      </c>
      <c r="AQ128" s="230">
        <f t="shared" si="109"/>
        <v>29800056</v>
      </c>
      <c r="AR128" s="397">
        <f t="shared" si="110"/>
        <v>53506722</v>
      </c>
      <c r="AS128" s="397">
        <f t="shared" si="111"/>
        <v>56195502</v>
      </c>
    </row>
    <row r="129" spans="1:45" ht="15.75">
      <c r="A129" s="228">
        <v>9</v>
      </c>
      <c r="B129" s="228" t="str">
        <f t="shared" si="75"/>
        <v>FRUTA_9</v>
      </c>
      <c r="C129" s="338" t="str">
        <f t="shared" si="76"/>
        <v>58_9</v>
      </c>
      <c r="D129" s="398" t="s">
        <v>1</v>
      </c>
      <c r="E129" s="228">
        <v>58</v>
      </c>
      <c r="F129" s="332" t="s">
        <v>67</v>
      </c>
      <c r="G129" s="228" t="s">
        <v>9</v>
      </c>
      <c r="H129" s="427">
        <f t="shared" si="77"/>
        <v>28</v>
      </c>
      <c r="I129" s="427">
        <f t="shared" si="78"/>
        <v>5</v>
      </c>
      <c r="J129" s="428">
        <f t="array" ref="J129">MAX((IF(MNU_CODIGO_ALIMENTO_ENTREGA=CONCATENATE($E129,"_","S_"),MNU_GRAMAJE_REQUERIDO_TIPOA,"")))</f>
        <v>100</v>
      </c>
      <c r="K129" s="229">
        <f t="shared" si="79"/>
        <v>783</v>
      </c>
      <c r="L129" s="229">
        <f t="shared" si="80"/>
        <v>0</v>
      </c>
      <c r="M129" s="229">
        <f t="shared" si="81"/>
        <v>21924</v>
      </c>
      <c r="N129" s="454">
        <f t="shared" si="82"/>
        <v>154</v>
      </c>
      <c r="O129" s="454">
        <f t="shared" si="83"/>
        <v>7.515200000000001</v>
      </c>
      <c r="P129" s="454">
        <f t="shared" si="84"/>
        <v>0.13244246400000001</v>
      </c>
      <c r="Q129" s="454">
        <f t="shared" si="85"/>
        <v>162</v>
      </c>
      <c r="R129" s="230">
        <f t="shared" si="86"/>
        <v>3376296</v>
      </c>
      <c r="S129" s="230">
        <f t="shared" si="87"/>
        <v>3551688</v>
      </c>
      <c r="T129" s="429">
        <f t="shared" si="88"/>
        <v>23</v>
      </c>
      <c r="U129" s="429">
        <f t="shared" si="89"/>
        <v>3</v>
      </c>
      <c r="V129" s="430">
        <f t="array" ref="V129">MAX((IF(MNU_CODIGO_ALIMENTO_ENTREGA=CONCATENATE($E129,"_","S_"),MNU_GRAMAJE_REQUERIDO_TIPOB,"")))</f>
        <v>100</v>
      </c>
      <c r="W129" s="397">
        <f t="shared" si="90"/>
        <v>1685</v>
      </c>
      <c r="X129" s="397">
        <f t="shared" si="91"/>
        <v>0</v>
      </c>
      <c r="Y129" s="397">
        <f t="shared" si="92"/>
        <v>38755</v>
      </c>
      <c r="Z129" s="454">
        <f t="shared" si="93"/>
        <v>154</v>
      </c>
      <c r="AA129" s="454">
        <f t="shared" si="94"/>
        <v>7.515200000000001</v>
      </c>
      <c r="AB129" s="454">
        <f t="shared" si="95"/>
        <v>0.13244246400000001</v>
      </c>
      <c r="AC129" s="454">
        <f t="shared" si="96"/>
        <v>162</v>
      </c>
      <c r="AD129" s="231">
        <f t="shared" si="97"/>
        <v>5968270</v>
      </c>
      <c r="AE129" s="231">
        <f t="shared" si="98"/>
        <v>6278310</v>
      </c>
      <c r="AF129" s="427">
        <f t="shared" si="99"/>
        <v>23</v>
      </c>
      <c r="AG129" s="427">
        <f t="shared" si="100"/>
        <v>3</v>
      </c>
      <c r="AH129" s="428">
        <f t="array" ref="AH129">MAX((IF(MNU_CODIGO_ALIMENTO_ENTREGA=CONCATENATE($E129,"_","S_"),MNU_GRAMAJE_REQUERIDO_TIPOC,"")))</f>
        <v>100</v>
      </c>
      <c r="AI129" s="229">
        <f t="shared" si="101"/>
        <v>2966</v>
      </c>
      <c r="AJ129" s="229">
        <f t="shared" si="102"/>
        <v>36</v>
      </c>
      <c r="AK129" s="229">
        <f t="shared" si="103"/>
        <v>68326</v>
      </c>
      <c r="AL129" s="454">
        <f t="shared" si="104"/>
        <v>154</v>
      </c>
      <c r="AM129" s="454">
        <f t="shared" si="105"/>
        <v>7.515200000000001</v>
      </c>
      <c r="AN129" s="454">
        <f t="shared" si="106"/>
        <v>0.13244246400000001</v>
      </c>
      <c r="AO129" s="454">
        <f t="shared" si="107"/>
        <v>162</v>
      </c>
      <c r="AP129" s="454">
        <f t="shared" si="108"/>
        <v>10522204</v>
      </c>
      <c r="AQ129" s="230">
        <f t="shared" si="109"/>
        <v>11068812</v>
      </c>
      <c r="AR129" s="397">
        <f t="shared" si="110"/>
        <v>19866770</v>
      </c>
      <c r="AS129" s="397">
        <f t="shared" si="111"/>
        <v>20898810</v>
      </c>
    </row>
    <row r="130" spans="1:45" ht="15.75">
      <c r="A130" s="228">
        <v>9</v>
      </c>
      <c r="B130" s="228" t="str">
        <f t="shared" si="75"/>
        <v>FRUTA_9</v>
      </c>
      <c r="C130" s="338" t="str">
        <f t="shared" si="76"/>
        <v>59_9</v>
      </c>
      <c r="D130" s="398" t="s">
        <v>1</v>
      </c>
      <c r="E130" s="228">
        <v>59</v>
      </c>
      <c r="F130" s="332" t="s">
        <v>99</v>
      </c>
      <c r="G130" s="228" t="s">
        <v>9</v>
      </c>
      <c r="H130" s="427">
        <f t="shared" si="77"/>
        <v>0</v>
      </c>
      <c r="I130" s="427">
        <f t="shared" si="78"/>
        <v>0</v>
      </c>
      <c r="J130" s="428">
        <f t="array" ref="J130">MAX((IF(MNU_CODIGO_ALIMENTO_ENTREGA=CONCATENATE($E130,"_","S_"),MNU_GRAMAJE_REQUERIDO_TIPOA,"")))</f>
        <v>0</v>
      </c>
      <c r="K130" s="229">
        <f t="shared" si="79"/>
        <v>783</v>
      </c>
      <c r="L130" s="229">
        <f t="shared" si="80"/>
        <v>0</v>
      </c>
      <c r="M130" s="229">
        <f t="shared" si="81"/>
        <v>0</v>
      </c>
      <c r="N130" s="454">
        <f t="shared" si="82"/>
        <v>0</v>
      </c>
      <c r="O130" s="454">
        <f t="shared" si="83"/>
        <v>0</v>
      </c>
      <c r="P130" s="454">
        <f t="shared" si="84"/>
        <v>0</v>
      </c>
      <c r="Q130" s="454">
        <f t="shared" si="85"/>
        <v>0</v>
      </c>
      <c r="R130" s="230">
        <f t="shared" si="86"/>
        <v>0</v>
      </c>
      <c r="S130" s="230">
        <f t="shared" si="87"/>
        <v>0</v>
      </c>
      <c r="T130" s="429">
        <f t="shared" si="88"/>
        <v>11</v>
      </c>
      <c r="U130" s="429">
        <f t="shared" si="89"/>
        <v>0</v>
      </c>
      <c r="V130" s="430">
        <f t="array" ref="V130">MAX((IF(MNU_CODIGO_ALIMENTO_ENTREGA=CONCATENATE($E130,"_","S_"),MNU_GRAMAJE_REQUERIDO_TIPOB,"")))</f>
        <v>100</v>
      </c>
      <c r="W130" s="397">
        <f t="shared" si="90"/>
        <v>1685</v>
      </c>
      <c r="X130" s="397">
        <f t="shared" si="91"/>
        <v>0</v>
      </c>
      <c r="Y130" s="397">
        <f t="shared" si="92"/>
        <v>18535</v>
      </c>
      <c r="Z130" s="454">
        <f t="shared" si="93"/>
        <v>286</v>
      </c>
      <c r="AA130" s="454">
        <f t="shared" si="94"/>
        <v>13.956800000000001</v>
      </c>
      <c r="AB130" s="454">
        <f t="shared" si="95"/>
        <v>0.24596457599999999</v>
      </c>
      <c r="AC130" s="454">
        <f t="shared" si="96"/>
        <v>300</v>
      </c>
      <c r="AD130" s="231">
        <f t="shared" si="97"/>
        <v>5301010</v>
      </c>
      <c r="AE130" s="231">
        <f t="shared" si="98"/>
        <v>5560500</v>
      </c>
      <c r="AF130" s="427">
        <f t="shared" si="99"/>
        <v>11</v>
      </c>
      <c r="AG130" s="427">
        <f t="shared" si="100"/>
        <v>0</v>
      </c>
      <c r="AH130" s="428">
        <f t="array" ref="AH130">MAX((IF(MNU_CODIGO_ALIMENTO_ENTREGA=CONCATENATE($E130,"_","S_"),MNU_GRAMAJE_REQUERIDO_TIPOC,"")))</f>
        <v>100</v>
      </c>
      <c r="AI130" s="229">
        <f t="shared" si="101"/>
        <v>2966</v>
      </c>
      <c r="AJ130" s="229">
        <f t="shared" si="102"/>
        <v>36</v>
      </c>
      <c r="AK130" s="229">
        <f t="shared" si="103"/>
        <v>32626</v>
      </c>
      <c r="AL130" s="454">
        <f t="shared" si="104"/>
        <v>286</v>
      </c>
      <c r="AM130" s="454">
        <f t="shared" si="105"/>
        <v>13.956800000000001</v>
      </c>
      <c r="AN130" s="454">
        <f t="shared" si="106"/>
        <v>0.24596457599999999</v>
      </c>
      <c r="AO130" s="454">
        <f t="shared" si="107"/>
        <v>300</v>
      </c>
      <c r="AP130" s="454">
        <f t="shared" si="108"/>
        <v>9331036</v>
      </c>
      <c r="AQ130" s="230">
        <f t="shared" si="109"/>
        <v>9787800</v>
      </c>
      <c r="AR130" s="397">
        <f t="shared" si="110"/>
        <v>14632046</v>
      </c>
      <c r="AS130" s="397">
        <f t="shared" si="111"/>
        <v>15348300</v>
      </c>
    </row>
    <row r="131" spans="1:45" ht="15.75">
      <c r="A131" s="228">
        <v>9</v>
      </c>
      <c r="B131" s="228" t="str">
        <f t="shared" si="75"/>
        <v>FRUTA_9</v>
      </c>
      <c r="C131" s="338" t="str">
        <f t="shared" si="76"/>
        <v>69_9</v>
      </c>
      <c r="D131" s="398" t="s">
        <v>1</v>
      </c>
      <c r="E131" s="228">
        <v>69</v>
      </c>
      <c r="F131" s="332" t="s">
        <v>70</v>
      </c>
      <c r="G131" s="228" t="s">
        <v>9</v>
      </c>
      <c r="H131" s="427">
        <f t="shared" si="77"/>
        <v>18</v>
      </c>
      <c r="I131" s="427">
        <f t="shared" si="78"/>
        <v>2</v>
      </c>
      <c r="J131" s="428">
        <f t="array" ref="J131">MAX((IF(MNU_CODIGO_ALIMENTO_ENTREGA=CONCATENATE($E131,"_","S_"),MNU_GRAMAJE_REQUERIDO_TIPOA,"")))</f>
        <v>100</v>
      </c>
      <c r="K131" s="229">
        <f t="shared" si="79"/>
        <v>783</v>
      </c>
      <c r="L131" s="229">
        <f t="shared" si="80"/>
        <v>0</v>
      </c>
      <c r="M131" s="229">
        <f t="shared" si="81"/>
        <v>14094</v>
      </c>
      <c r="N131" s="454">
        <f t="shared" si="82"/>
        <v>305</v>
      </c>
      <c r="O131" s="454">
        <f t="shared" si="83"/>
        <v>14.884</v>
      </c>
      <c r="P131" s="454">
        <f t="shared" si="84"/>
        <v>0.26230488000000002</v>
      </c>
      <c r="Q131" s="454">
        <f t="shared" si="85"/>
        <v>320</v>
      </c>
      <c r="R131" s="230">
        <f t="shared" si="86"/>
        <v>4298670</v>
      </c>
      <c r="S131" s="230">
        <f t="shared" si="87"/>
        <v>4510080</v>
      </c>
      <c r="T131" s="429">
        <f t="shared" si="88"/>
        <v>12</v>
      </c>
      <c r="U131" s="429">
        <f t="shared" si="89"/>
        <v>2</v>
      </c>
      <c r="V131" s="430">
        <f t="array" ref="V131">MAX((IF(MNU_CODIGO_ALIMENTO_ENTREGA=CONCATENATE($E131,"_","S_"),MNU_GRAMAJE_REQUERIDO_TIPOB,"")))</f>
        <v>100</v>
      </c>
      <c r="W131" s="397">
        <f t="shared" si="90"/>
        <v>1685</v>
      </c>
      <c r="X131" s="397">
        <f t="shared" si="91"/>
        <v>0</v>
      </c>
      <c r="Y131" s="397">
        <f t="shared" si="92"/>
        <v>20220</v>
      </c>
      <c r="Z131" s="454">
        <f t="shared" si="93"/>
        <v>305</v>
      </c>
      <c r="AA131" s="454">
        <f t="shared" si="94"/>
        <v>14.884</v>
      </c>
      <c r="AB131" s="454">
        <f t="shared" si="95"/>
        <v>0.26230488000000002</v>
      </c>
      <c r="AC131" s="454">
        <f t="shared" si="96"/>
        <v>320</v>
      </c>
      <c r="AD131" s="231">
        <f t="shared" si="97"/>
        <v>6167100</v>
      </c>
      <c r="AE131" s="231">
        <f t="shared" si="98"/>
        <v>6470400</v>
      </c>
      <c r="AF131" s="427">
        <f t="shared" si="99"/>
        <v>12</v>
      </c>
      <c r="AG131" s="427">
        <f t="shared" si="100"/>
        <v>2</v>
      </c>
      <c r="AH131" s="428">
        <f t="array" ref="AH131">MAX((IF(MNU_CODIGO_ALIMENTO_ENTREGA=CONCATENATE($E131,"_","S_"),MNU_GRAMAJE_REQUERIDO_TIPOC,"")))</f>
        <v>100</v>
      </c>
      <c r="AI131" s="229">
        <f t="shared" si="101"/>
        <v>2966</v>
      </c>
      <c r="AJ131" s="229">
        <f t="shared" si="102"/>
        <v>36</v>
      </c>
      <c r="AK131" s="229">
        <f t="shared" si="103"/>
        <v>35664</v>
      </c>
      <c r="AL131" s="454">
        <f t="shared" si="104"/>
        <v>305</v>
      </c>
      <c r="AM131" s="454">
        <f t="shared" si="105"/>
        <v>14.884</v>
      </c>
      <c r="AN131" s="454">
        <f t="shared" si="106"/>
        <v>0.26230488000000002</v>
      </c>
      <c r="AO131" s="454">
        <f t="shared" si="107"/>
        <v>320</v>
      </c>
      <c r="AP131" s="454">
        <f t="shared" si="108"/>
        <v>10877520</v>
      </c>
      <c r="AQ131" s="230">
        <f t="shared" si="109"/>
        <v>11412480</v>
      </c>
      <c r="AR131" s="397">
        <f t="shared" si="110"/>
        <v>21343290</v>
      </c>
      <c r="AS131" s="397">
        <f t="shared" si="111"/>
        <v>22392960</v>
      </c>
    </row>
    <row r="132" spans="1:45" ht="15.75">
      <c r="A132" s="228">
        <v>9</v>
      </c>
      <c r="B132" s="228" t="str">
        <f t="shared" si="75"/>
        <v>FRUTA_9</v>
      </c>
      <c r="C132" s="338" t="str">
        <f t="shared" si="76"/>
        <v>70_9</v>
      </c>
      <c r="D132" s="398" t="s">
        <v>1</v>
      </c>
      <c r="E132" s="228">
        <v>70</v>
      </c>
      <c r="F132" s="332" t="s">
        <v>71</v>
      </c>
      <c r="G132" s="228" t="s">
        <v>9</v>
      </c>
      <c r="H132" s="427">
        <f t="shared" si="77"/>
        <v>0</v>
      </c>
      <c r="I132" s="427">
        <f t="shared" si="78"/>
        <v>0</v>
      </c>
      <c r="J132" s="428">
        <f t="array" ref="J132">MAX((IF(MNU_CODIGO_ALIMENTO_ENTREGA=CONCATENATE($E132,"_","S_"),MNU_GRAMAJE_REQUERIDO_TIPOA,"")))</f>
        <v>0</v>
      </c>
      <c r="K132" s="229">
        <f t="shared" si="79"/>
        <v>783</v>
      </c>
      <c r="L132" s="229">
        <f t="shared" si="80"/>
        <v>0</v>
      </c>
      <c r="M132" s="229">
        <f t="shared" si="81"/>
        <v>0</v>
      </c>
      <c r="N132" s="454">
        <f t="shared" si="82"/>
        <v>0</v>
      </c>
      <c r="O132" s="454">
        <f t="shared" si="83"/>
        <v>0</v>
      </c>
      <c r="P132" s="454">
        <f t="shared" si="84"/>
        <v>0</v>
      </c>
      <c r="Q132" s="454">
        <f t="shared" si="85"/>
        <v>0</v>
      </c>
      <c r="R132" s="230">
        <f t="shared" si="86"/>
        <v>0</v>
      </c>
      <c r="S132" s="230">
        <f t="shared" si="87"/>
        <v>0</v>
      </c>
      <c r="T132" s="429">
        <f t="shared" si="88"/>
        <v>8</v>
      </c>
      <c r="U132" s="429">
        <f t="shared" si="89"/>
        <v>4</v>
      </c>
      <c r="V132" s="430">
        <f t="array" ref="V132">MAX((IF(MNU_CODIGO_ALIMENTO_ENTREGA=CONCATENATE($E132,"_","S_"),MNU_GRAMAJE_REQUERIDO_TIPOB,"")))</f>
        <v>100</v>
      </c>
      <c r="W132" s="397">
        <f t="shared" si="90"/>
        <v>1685</v>
      </c>
      <c r="X132" s="397">
        <f t="shared" si="91"/>
        <v>0</v>
      </c>
      <c r="Y132" s="397">
        <f t="shared" si="92"/>
        <v>13480</v>
      </c>
      <c r="Z132" s="454">
        <f t="shared" si="93"/>
        <v>434</v>
      </c>
      <c r="AA132" s="454">
        <f t="shared" si="94"/>
        <v>21.179200000000002</v>
      </c>
      <c r="AB132" s="454">
        <f t="shared" si="95"/>
        <v>0.37324694399999997</v>
      </c>
      <c r="AC132" s="454">
        <f t="shared" si="96"/>
        <v>456</v>
      </c>
      <c r="AD132" s="231">
        <f t="shared" si="97"/>
        <v>5850320</v>
      </c>
      <c r="AE132" s="231">
        <f t="shared" si="98"/>
        <v>6146880</v>
      </c>
      <c r="AF132" s="427">
        <f t="shared" si="99"/>
        <v>8</v>
      </c>
      <c r="AG132" s="427">
        <f t="shared" si="100"/>
        <v>4</v>
      </c>
      <c r="AH132" s="428">
        <f t="array" ref="AH132">MAX((IF(MNU_CODIGO_ALIMENTO_ENTREGA=CONCATENATE($E132,"_","S_"),MNU_GRAMAJE_REQUERIDO_TIPOC,"")))</f>
        <v>100</v>
      </c>
      <c r="AI132" s="229">
        <f t="shared" si="101"/>
        <v>2966</v>
      </c>
      <c r="AJ132" s="229">
        <f t="shared" si="102"/>
        <v>36</v>
      </c>
      <c r="AK132" s="229">
        <f t="shared" si="103"/>
        <v>23872</v>
      </c>
      <c r="AL132" s="454">
        <f t="shared" si="104"/>
        <v>434</v>
      </c>
      <c r="AM132" s="454">
        <f t="shared" si="105"/>
        <v>21.179200000000002</v>
      </c>
      <c r="AN132" s="454">
        <f t="shared" si="106"/>
        <v>0.37324694399999997</v>
      </c>
      <c r="AO132" s="454">
        <f t="shared" si="107"/>
        <v>456</v>
      </c>
      <c r="AP132" s="454">
        <f t="shared" si="108"/>
        <v>10360448</v>
      </c>
      <c r="AQ132" s="230">
        <f t="shared" si="109"/>
        <v>10885632</v>
      </c>
      <c r="AR132" s="397">
        <f t="shared" si="110"/>
        <v>16210768</v>
      </c>
      <c r="AS132" s="397">
        <f t="shared" si="111"/>
        <v>17032512</v>
      </c>
    </row>
    <row r="133" spans="1:45" ht="15.75">
      <c r="A133" s="228">
        <v>10</v>
      </c>
      <c r="B133" s="228" t="str">
        <f t="shared" si="75"/>
        <v>FRUTA_10</v>
      </c>
      <c r="C133" s="338" t="str">
        <f t="shared" si="76"/>
        <v>7_10</v>
      </c>
      <c r="D133" s="398" t="s">
        <v>1</v>
      </c>
      <c r="E133" s="228">
        <v>7</v>
      </c>
      <c r="F133" s="332" t="s">
        <v>57</v>
      </c>
      <c r="G133" s="228" t="s">
        <v>9</v>
      </c>
      <c r="H133" s="427">
        <f t="shared" si="77"/>
        <v>31</v>
      </c>
      <c r="I133" s="427">
        <f t="shared" si="78"/>
        <v>0</v>
      </c>
      <c r="J133" s="428">
        <f t="array" ref="J133">MAX((IF(MNU_CODIGO_ALIMENTO_ENTREGA=CONCATENATE($E133,"_","S_"),MNU_GRAMAJE_REQUERIDO_TIPOA,"")))</f>
        <v>100</v>
      </c>
      <c r="K133" s="229">
        <f t="shared" si="79"/>
        <v>681</v>
      </c>
      <c r="L133" s="229">
        <f t="shared" si="80"/>
        <v>0</v>
      </c>
      <c r="M133" s="229">
        <f t="shared" si="81"/>
        <v>21111</v>
      </c>
      <c r="N133" s="454">
        <f t="shared" si="82"/>
        <v>107</v>
      </c>
      <c r="O133" s="454">
        <f t="shared" si="83"/>
        <v>5.2216000000000005</v>
      </c>
      <c r="P133" s="454">
        <f t="shared" si="84"/>
        <v>9.2021712000000006E-2</v>
      </c>
      <c r="Q133" s="454">
        <f t="shared" si="85"/>
        <v>112</v>
      </c>
      <c r="R133" s="230">
        <f t="shared" si="86"/>
        <v>2258877</v>
      </c>
      <c r="S133" s="230">
        <f t="shared" si="87"/>
        <v>2364432</v>
      </c>
      <c r="T133" s="429">
        <f t="shared" si="88"/>
        <v>11</v>
      </c>
      <c r="U133" s="429">
        <f t="shared" si="89"/>
        <v>0</v>
      </c>
      <c r="V133" s="430">
        <f t="array" ref="V133">MAX((IF(MNU_CODIGO_ALIMENTO_ENTREGA=CONCATENATE($E133,"_","S_"),MNU_GRAMAJE_REQUERIDO_TIPOB,"")))</f>
        <v>100</v>
      </c>
      <c r="W133" s="397">
        <f t="shared" si="90"/>
        <v>801</v>
      </c>
      <c r="X133" s="397">
        <f t="shared" si="91"/>
        <v>0</v>
      </c>
      <c r="Y133" s="397">
        <f t="shared" si="92"/>
        <v>8811</v>
      </c>
      <c r="Z133" s="454">
        <f t="shared" si="93"/>
        <v>107</v>
      </c>
      <c r="AA133" s="454">
        <f t="shared" si="94"/>
        <v>5.2216000000000005</v>
      </c>
      <c r="AB133" s="454">
        <f t="shared" si="95"/>
        <v>9.2021712000000006E-2</v>
      </c>
      <c r="AC133" s="454">
        <f t="shared" si="96"/>
        <v>112</v>
      </c>
      <c r="AD133" s="231">
        <f t="shared" si="97"/>
        <v>942777</v>
      </c>
      <c r="AE133" s="231">
        <f t="shared" si="98"/>
        <v>986832</v>
      </c>
      <c r="AF133" s="427">
        <f t="shared" si="99"/>
        <v>11</v>
      </c>
      <c r="AG133" s="427">
        <f t="shared" si="100"/>
        <v>0</v>
      </c>
      <c r="AH133" s="428">
        <f t="array" ref="AH133">MAX((IF(MNU_CODIGO_ALIMENTO_ENTREGA=CONCATENATE($E133,"_","S_"),MNU_GRAMAJE_REQUERIDO_TIPOC,"")))</f>
        <v>100</v>
      </c>
      <c r="AI133" s="229">
        <f t="shared" si="101"/>
        <v>877</v>
      </c>
      <c r="AJ133" s="229">
        <f t="shared" si="102"/>
        <v>0</v>
      </c>
      <c r="AK133" s="229">
        <f t="shared" si="103"/>
        <v>9647</v>
      </c>
      <c r="AL133" s="454">
        <f t="shared" si="104"/>
        <v>107</v>
      </c>
      <c r="AM133" s="454">
        <f t="shared" si="105"/>
        <v>5.2216000000000005</v>
      </c>
      <c r="AN133" s="454">
        <f t="shared" si="106"/>
        <v>9.2021712000000006E-2</v>
      </c>
      <c r="AO133" s="454">
        <f t="shared" si="107"/>
        <v>112</v>
      </c>
      <c r="AP133" s="454">
        <f t="shared" si="108"/>
        <v>1032229</v>
      </c>
      <c r="AQ133" s="230">
        <f t="shared" si="109"/>
        <v>1080464</v>
      </c>
      <c r="AR133" s="397">
        <f t="shared" si="110"/>
        <v>4233883</v>
      </c>
      <c r="AS133" s="397">
        <f t="shared" si="111"/>
        <v>4431728</v>
      </c>
    </row>
    <row r="134" spans="1:45" ht="15.75">
      <c r="A134" s="228">
        <v>10</v>
      </c>
      <c r="B134" s="228" t="str">
        <f t="shared" si="75"/>
        <v>FRUTA_10</v>
      </c>
      <c r="C134" s="338" t="str">
        <f t="shared" si="76"/>
        <v>8_10</v>
      </c>
      <c r="D134" s="398" t="s">
        <v>1</v>
      </c>
      <c r="E134" s="228">
        <v>8</v>
      </c>
      <c r="F134" s="332" t="s">
        <v>55</v>
      </c>
      <c r="G134" s="228" t="s">
        <v>9</v>
      </c>
      <c r="H134" s="427">
        <f t="shared" si="77"/>
        <v>11</v>
      </c>
      <c r="I134" s="427">
        <f t="shared" si="78"/>
        <v>0</v>
      </c>
      <c r="J134" s="428">
        <f t="array" ref="J134">MAX((IF(MNU_CODIGO_ALIMENTO_ENTREGA=CONCATENATE($E134,"_","S_"),MNU_GRAMAJE_REQUERIDO_TIPOA,"")))</f>
        <v>100</v>
      </c>
      <c r="K134" s="229">
        <f t="shared" si="79"/>
        <v>681</v>
      </c>
      <c r="L134" s="229">
        <f t="shared" si="80"/>
        <v>0</v>
      </c>
      <c r="M134" s="229">
        <f t="shared" si="81"/>
        <v>7491</v>
      </c>
      <c r="N134" s="454">
        <f t="shared" si="82"/>
        <v>134</v>
      </c>
      <c r="O134" s="454">
        <f t="shared" si="83"/>
        <v>6.539200000000001</v>
      </c>
      <c r="P134" s="454">
        <f t="shared" si="84"/>
        <v>0.115242144</v>
      </c>
      <c r="Q134" s="454">
        <f t="shared" si="85"/>
        <v>141</v>
      </c>
      <c r="R134" s="230">
        <f t="shared" si="86"/>
        <v>1003794</v>
      </c>
      <c r="S134" s="230">
        <f t="shared" si="87"/>
        <v>1056231</v>
      </c>
      <c r="T134" s="429">
        <f t="shared" si="88"/>
        <v>11</v>
      </c>
      <c r="U134" s="429">
        <f t="shared" si="89"/>
        <v>0</v>
      </c>
      <c r="V134" s="430">
        <f t="array" ref="V134">MAX((IF(MNU_CODIGO_ALIMENTO_ENTREGA=CONCATENATE($E134,"_","S_"),MNU_GRAMAJE_REQUERIDO_TIPOB,"")))</f>
        <v>100</v>
      </c>
      <c r="W134" s="397">
        <f t="shared" si="90"/>
        <v>801</v>
      </c>
      <c r="X134" s="397">
        <f t="shared" si="91"/>
        <v>0</v>
      </c>
      <c r="Y134" s="397">
        <f t="shared" si="92"/>
        <v>8811</v>
      </c>
      <c r="Z134" s="454">
        <f t="shared" si="93"/>
        <v>134</v>
      </c>
      <c r="AA134" s="454">
        <f t="shared" si="94"/>
        <v>6.539200000000001</v>
      </c>
      <c r="AB134" s="454">
        <f t="shared" si="95"/>
        <v>0.115242144</v>
      </c>
      <c r="AC134" s="454">
        <f t="shared" si="96"/>
        <v>141</v>
      </c>
      <c r="AD134" s="231">
        <f t="shared" si="97"/>
        <v>1180674</v>
      </c>
      <c r="AE134" s="231">
        <f t="shared" si="98"/>
        <v>1242351</v>
      </c>
      <c r="AF134" s="427">
        <f t="shared" si="99"/>
        <v>11</v>
      </c>
      <c r="AG134" s="427">
        <f t="shared" si="100"/>
        <v>0</v>
      </c>
      <c r="AH134" s="428">
        <f t="array" ref="AH134">MAX((IF(MNU_CODIGO_ALIMENTO_ENTREGA=CONCATENATE($E134,"_","S_"),MNU_GRAMAJE_REQUERIDO_TIPOC,"")))</f>
        <v>100</v>
      </c>
      <c r="AI134" s="229">
        <f t="shared" si="101"/>
        <v>877</v>
      </c>
      <c r="AJ134" s="229">
        <f t="shared" si="102"/>
        <v>0</v>
      </c>
      <c r="AK134" s="229">
        <f t="shared" si="103"/>
        <v>9647</v>
      </c>
      <c r="AL134" s="454">
        <f t="shared" si="104"/>
        <v>134</v>
      </c>
      <c r="AM134" s="454">
        <f t="shared" si="105"/>
        <v>6.539200000000001</v>
      </c>
      <c r="AN134" s="454">
        <f t="shared" si="106"/>
        <v>0.115242144</v>
      </c>
      <c r="AO134" s="454">
        <f t="shared" si="107"/>
        <v>141</v>
      </c>
      <c r="AP134" s="454">
        <f t="shared" si="108"/>
        <v>1292698</v>
      </c>
      <c r="AQ134" s="230">
        <f t="shared" si="109"/>
        <v>1360227</v>
      </c>
      <c r="AR134" s="397">
        <f t="shared" si="110"/>
        <v>3477166</v>
      </c>
      <c r="AS134" s="397">
        <f t="shared" si="111"/>
        <v>3658809</v>
      </c>
    </row>
    <row r="135" spans="1:45" ht="15.75">
      <c r="A135" s="228">
        <v>10</v>
      </c>
      <c r="B135" s="228" t="str">
        <f t="shared" si="75"/>
        <v>FRUTA_10</v>
      </c>
      <c r="C135" s="338" t="str">
        <f t="shared" si="76"/>
        <v>17_10</v>
      </c>
      <c r="D135" s="398" t="s">
        <v>1</v>
      </c>
      <c r="E135" s="228">
        <v>17</v>
      </c>
      <c r="F135" s="332" t="s">
        <v>53</v>
      </c>
      <c r="G135" s="228" t="s">
        <v>9</v>
      </c>
      <c r="H135" s="427">
        <f t="shared" si="77"/>
        <v>0</v>
      </c>
      <c r="I135" s="427">
        <f t="shared" si="78"/>
        <v>0</v>
      </c>
      <c r="J135" s="428">
        <f t="array" ref="J135">MAX((IF(MNU_CODIGO_ALIMENTO_ENTREGA=CONCATENATE($E135,"_","S_"),MNU_GRAMAJE_REQUERIDO_TIPOA,"")))</f>
        <v>0</v>
      </c>
      <c r="K135" s="229">
        <f t="shared" si="79"/>
        <v>681</v>
      </c>
      <c r="L135" s="229">
        <f t="shared" si="80"/>
        <v>0</v>
      </c>
      <c r="M135" s="229">
        <f t="shared" si="81"/>
        <v>0</v>
      </c>
      <c r="N135" s="454">
        <f t="shared" si="82"/>
        <v>0</v>
      </c>
      <c r="O135" s="454">
        <f t="shared" si="83"/>
        <v>0</v>
      </c>
      <c r="P135" s="454">
        <f t="shared" si="84"/>
        <v>0</v>
      </c>
      <c r="Q135" s="454">
        <f t="shared" si="85"/>
        <v>0</v>
      </c>
      <c r="R135" s="230">
        <f t="shared" si="86"/>
        <v>0</v>
      </c>
      <c r="S135" s="230">
        <f t="shared" si="87"/>
        <v>0</v>
      </c>
      <c r="T135" s="429">
        <f t="shared" si="88"/>
        <v>23</v>
      </c>
      <c r="U135" s="429">
        <f t="shared" si="89"/>
        <v>4</v>
      </c>
      <c r="V135" s="430">
        <f t="array" ref="V135">MAX((IF(MNU_CODIGO_ALIMENTO_ENTREGA=CONCATENATE($E135,"_","S_"),MNU_GRAMAJE_REQUERIDO_TIPOB,"")))</f>
        <v>100</v>
      </c>
      <c r="W135" s="397">
        <f t="shared" si="90"/>
        <v>801</v>
      </c>
      <c r="X135" s="397">
        <f t="shared" si="91"/>
        <v>0</v>
      </c>
      <c r="Y135" s="397">
        <f t="shared" si="92"/>
        <v>18423</v>
      </c>
      <c r="Z135" s="454">
        <f t="shared" si="93"/>
        <v>226</v>
      </c>
      <c r="AA135" s="454">
        <f t="shared" si="94"/>
        <v>11.0288</v>
      </c>
      <c r="AB135" s="454">
        <f t="shared" si="95"/>
        <v>0.19436361600000002</v>
      </c>
      <c r="AC135" s="454">
        <f t="shared" si="96"/>
        <v>237</v>
      </c>
      <c r="AD135" s="231">
        <f t="shared" si="97"/>
        <v>4163598</v>
      </c>
      <c r="AE135" s="231">
        <f t="shared" si="98"/>
        <v>4366251</v>
      </c>
      <c r="AF135" s="427">
        <f t="shared" si="99"/>
        <v>23</v>
      </c>
      <c r="AG135" s="427">
        <f t="shared" si="100"/>
        <v>4</v>
      </c>
      <c r="AH135" s="428">
        <f t="array" ref="AH135">MAX((IF(MNU_CODIGO_ALIMENTO_ENTREGA=CONCATENATE($E135,"_","S_"),MNU_GRAMAJE_REQUERIDO_TIPOC,"")))</f>
        <v>100</v>
      </c>
      <c r="AI135" s="229">
        <f t="shared" si="101"/>
        <v>877</v>
      </c>
      <c r="AJ135" s="229">
        <f t="shared" si="102"/>
        <v>0</v>
      </c>
      <c r="AK135" s="229">
        <f t="shared" si="103"/>
        <v>20171</v>
      </c>
      <c r="AL135" s="454">
        <f t="shared" si="104"/>
        <v>226</v>
      </c>
      <c r="AM135" s="454">
        <f t="shared" si="105"/>
        <v>11.0288</v>
      </c>
      <c r="AN135" s="454">
        <f t="shared" si="106"/>
        <v>0.19436361600000002</v>
      </c>
      <c r="AO135" s="454">
        <f t="shared" si="107"/>
        <v>237</v>
      </c>
      <c r="AP135" s="454">
        <f t="shared" si="108"/>
        <v>4558646</v>
      </c>
      <c r="AQ135" s="230">
        <f t="shared" si="109"/>
        <v>4780527</v>
      </c>
      <c r="AR135" s="397">
        <f t="shared" si="110"/>
        <v>8722244</v>
      </c>
      <c r="AS135" s="397">
        <f t="shared" si="111"/>
        <v>9146778</v>
      </c>
    </row>
    <row r="136" spans="1:45" ht="15.75">
      <c r="A136" s="228">
        <v>10</v>
      </c>
      <c r="B136" s="228" t="str">
        <f t="shared" si="75"/>
        <v>FRUTA_10</v>
      </c>
      <c r="C136" s="338" t="str">
        <f t="shared" si="76"/>
        <v>22_10</v>
      </c>
      <c r="D136" s="398" t="s">
        <v>1</v>
      </c>
      <c r="E136" s="228">
        <v>22</v>
      </c>
      <c r="F136" s="332" t="s">
        <v>51</v>
      </c>
      <c r="G136" s="228" t="s">
        <v>9</v>
      </c>
      <c r="H136" s="427">
        <f t="shared" si="77"/>
        <v>0</v>
      </c>
      <c r="I136" s="427">
        <f t="shared" si="78"/>
        <v>0</v>
      </c>
      <c r="J136" s="428">
        <f t="array" ref="J136">MAX((IF(MNU_CODIGO_ALIMENTO_ENTREGA=CONCATENATE($E136,"_","S_"),MNU_GRAMAJE_REQUERIDO_TIPOA,"")))</f>
        <v>0</v>
      </c>
      <c r="K136" s="229">
        <f t="shared" si="79"/>
        <v>681</v>
      </c>
      <c r="L136" s="229">
        <f t="shared" si="80"/>
        <v>0</v>
      </c>
      <c r="M136" s="229">
        <f t="shared" si="81"/>
        <v>0</v>
      </c>
      <c r="N136" s="454">
        <f t="shared" si="82"/>
        <v>0</v>
      </c>
      <c r="O136" s="454">
        <f t="shared" si="83"/>
        <v>0</v>
      </c>
      <c r="P136" s="454">
        <f t="shared" si="84"/>
        <v>0</v>
      </c>
      <c r="Q136" s="454">
        <f t="shared" si="85"/>
        <v>0</v>
      </c>
      <c r="R136" s="230">
        <f t="shared" si="86"/>
        <v>0</v>
      </c>
      <c r="S136" s="230">
        <f t="shared" si="87"/>
        <v>0</v>
      </c>
      <c r="T136" s="429">
        <f t="shared" si="88"/>
        <v>23</v>
      </c>
      <c r="U136" s="429">
        <f t="shared" si="89"/>
        <v>4</v>
      </c>
      <c r="V136" s="430">
        <f t="array" ref="V136">MAX((IF(MNU_CODIGO_ALIMENTO_ENTREGA=CONCATENATE($E136,"_","S_"),MNU_GRAMAJE_REQUERIDO_TIPOB,"")))</f>
        <v>100</v>
      </c>
      <c r="W136" s="397">
        <f t="shared" si="90"/>
        <v>801</v>
      </c>
      <c r="X136" s="397">
        <f t="shared" si="91"/>
        <v>0</v>
      </c>
      <c r="Y136" s="397">
        <f t="shared" si="92"/>
        <v>18423</v>
      </c>
      <c r="Z136" s="454">
        <f t="shared" si="93"/>
        <v>525</v>
      </c>
      <c r="AA136" s="454">
        <f t="shared" si="94"/>
        <v>25.62</v>
      </c>
      <c r="AB136" s="454">
        <f t="shared" si="95"/>
        <v>0.45150840000000003</v>
      </c>
      <c r="AC136" s="454">
        <f t="shared" si="96"/>
        <v>551</v>
      </c>
      <c r="AD136" s="231">
        <f t="shared" si="97"/>
        <v>9672075</v>
      </c>
      <c r="AE136" s="231">
        <f t="shared" si="98"/>
        <v>10151073</v>
      </c>
      <c r="AF136" s="427">
        <f t="shared" si="99"/>
        <v>23</v>
      </c>
      <c r="AG136" s="427">
        <f t="shared" si="100"/>
        <v>4</v>
      </c>
      <c r="AH136" s="428">
        <f t="array" ref="AH136">MAX((IF(MNU_CODIGO_ALIMENTO_ENTREGA=CONCATENATE($E136,"_","S_"),MNU_GRAMAJE_REQUERIDO_TIPOC,"")))</f>
        <v>100</v>
      </c>
      <c r="AI136" s="229">
        <f t="shared" si="101"/>
        <v>877</v>
      </c>
      <c r="AJ136" s="229">
        <f t="shared" si="102"/>
        <v>0</v>
      </c>
      <c r="AK136" s="229">
        <f t="shared" si="103"/>
        <v>20171</v>
      </c>
      <c r="AL136" s="454">
        <f t="shared" si="104"/>
        <v>525</v>
      </c>
      <c r="AM136" s="454">
        <f t="shared" si="105"/>
        <v>25.62</v>
      </c>
      <c r="AN136" s="454">
        <f t="shared" si="106"/>
        <v>0.45150840000000003</v>
      </c>
      <c r="AO136" s="454">
        <f t="shared" si="107"/>
        <v>551</v>
      </c>
      <c r="AP136" s="454">
        <f t="shared" si="108"/>
        <v>10589775</v>
      </c>
      <c r="AQ136" s="230">
        <f t="shared" si="109"/>
        <v>11114221</v>
      </c>
      <c r="AR136" s="397">
        <f t="shared" si="110"/>
        <v>20261850</v>
      </c>
      <c r="AS136" s="397">
        <f t="shared" si="111"/>
        <v>21265294</v>
      </c>
    </row>
    <row r="137" spans="1:45" ht="15.75">
      <c r="A137" s="228">
        <v>10</v>
      </c>
      <c r="B137" s="228" t="str">
        <f t="shared" si="75"/>
        <v>FRUTA_10</v>
      </c>
      <c r="C137" s="338" t="str">
        <f t="shared" si="76"/>
        <v>33_10</v>
      </c>
      <c r="D137" s="398" t="s">
        <v>1</v>
      </c>
      <c r="E137" s="228">
        <v>33</v>
      </c>
      <c r="F137" s="332" t="s">
        <v>59</v>
      </c>
      <c r="G137" s="228" t="s">
        <v>48</v>
      </c>
      <c r="H137" s="427">
        <f t="shared" si="77"/>
        <v>29</v>
      </c>
      <c r="I137" s="427">
        <f t="shared" si="78"/>
        <v>5</v>
      </c>
      <c r="J137" s="428">
        <v>1</v>
      </c>
      <c r="K137" s="229">
        <f t="shared" si="79"/>
        <v>681</v>
      </c>
      <c r="L137" s="229">
        <f t="shared" si="80"/>
        <v>0</v>
      </c>
      <c r="M137" s="229">
        <f t="shared" si="81"/>
        <v>19749</v>
      </c>
      <c r="N137" s="454">
        <f t="shared" si="82"/>
        <v>270</v>
      </c>
      <c r="O137" s="454">
        <f t="shared" si="83"/>
        <v>13.176000000000002</v>
      </c>
      <c r="P137" s="454">
        <f t="shared" si="84"/>
        <v>0.23220432000000002</v>
      </c>
      <c r="Q137" s="454">
        <f t="shared" si="85"/>
        <v>283</v>
      </c>
      <c r="R137" s="230">
        <f t="shared" si="86"/>
        <v>5332230</v>
      </c>
      <c r="S137" s="230">
        <f t="shared" si="87"/>
        <v>5588967</v>
      </c>
      <c r="T137" s="429">
        <f t="shared" si="88"/>
        <v>23</v>
      </c>
      <c r="U137" s="429">
        <f t="shared" si="89"/>
        <v>2</v>
      </c>
      <c r="V137" s="430">
        <v>1</v>
      </c>
      <c r="W137" s="397">
        <f t="shared" si="90"/>
        <v>801</v>
      </c>
      <c r="X137" s="397">
        <f t="shared" si="91"/>
        <v>0</v>
      </c>
      <c r="Y137" s="397">
        <f t="shared" si="92"/>
        <v>18423</v>
      </c>
      <c r="Z137" s="454">
        <f t="shared" si="93"/>
        <v>270</v>
      </c>
      <c r="AA137" s="454">
        <f t="shared" si="94"/>
        <v>13.176000000000002</v>
      </c>
      <c r="AB137" s="454">
        <f t="shared" si="95"/>
        <v>0.23220432000000002</v>
      </c>
      <c r="AC137" s="454">
        <f t="shared" si="96"/>
        <v>283</v>
      </c>
      <c r="AD137" s="231">
        <f t="shared" si="97"/>
        <v>4974210</v>
      </c>
      <c r="AE137" s="231">
        <f t="shared" si="98"/>
        <v>5213709</v>
      </c>
      <c r="AF137" s="427">
        <f t="shared" si="99"/>
        <v>23</v>
      </c>
      <c r="AG137" s="427">
        <f t="shared" si="100"/>
        <v>2</v>
      </c>
      <c r="AH137" s="428">
        <v>1</v>
      </c>
      <c r="AI137" s="229">
        <f t="shared" si="101"/>
        <v>877</v>
      </c>
      <c r="AJ137" s="229">
        <f t="shared" si="102"/>
        <v>0</v>
      </c>
      <c r="AK137" s="229">
        <f t="shared" si="103"/>
        <v>20171</v>
      </c>
      <c r="AL137" s="454">
        <f t="shared" si="104"/>
        <v>270</v>
      </c>
      <c r="AM137" s="454">
        <f t="shared" si="105"/>
        <v>13.176000000000002</v>
      </c>
      <c r="AN137" s="454">
        <f t="shared" si="106"/>
        <v>0.23220432000000002</v>
      </c>
      <c r="AO137" s="454">
        <f t="shared" si="107"/>
        <v>283</v>
      </c>
      <c r="AP137" s="454">
        <f t="shared" si="108"/>
        <v>5446170</v>
      </c>
      <c r="AQ137" s="230">
        <f t="shared" si="109"/>
        <v>5708393</v>
      </c>
      <c r="AR137" s="397">
        <f t="shared" si="110"/>
        <v>15752610</v>
      </c>
      <c r="AS137" s="397">
        <f t="shared" si="111"/>
        <v>16511069</v>
      </c>
    </row>
    <row r="138" spans="1:45" ht="15.75">
      <c r="A138" s="228">
        <v>10</v>
      </c>
      <c r="B138" s="228" t="str">
        <f t="shared" si="75"/>
        <v>FRUTA_10</v>
      </c>
      <c r="C138" s="338" t="str">
        <f t="shared" si="76"/>
        <v>36_10</v>
      </c>
      <c r="D138" s="398" t="s">
        <v>1</v>
      </c>
      <c r="E138" s="228">
        <v>36</v>
      </c>
      <c r="F138" s="332" t="s">
        <v>1340</v>
      </c>
      <c r="G138" s="228" t="s">
        <v>9</v>
      </c>
      <c r="H138" s="427">
        <f t="shared" si="77"/>
        <v>8</v>
      </c>
      <c r="I138" s="427">
        <f t="shared" si="78"/>
        <v>0</v>
      </c>
      <c r="J138" s="428">
        <f t="array" ref="J138">MAX((IF(MNU_CODIGO_ALIMENTO_ENTREGA=CONCATENATE($E138,"_","S_"),MNU_GRAMAJE_REQUERIDO_TIPOA,"")))</f>
        <v>20</v>
      </c>
      <c r="K138" s="229">
        <f t="shared" si="79"/>
        <v>681</v>
      </c>
      <c r="L138" s="229">
        <f t="shared" si="80"/>
        <v>0</v>
      </c>
      <c r="M138" s="229">
        <f t="shared" si="81"/>
        <v>5448</v>
      </c>
      <c r="N138" s="454">
        <f t="shared" si="82"/>
        <v>126</v>
      </c>
      <c r="O138" s="454">
        <f t="shared" si="83"/>
        <v>6.1488000000000005</v>
      </c>
      <c r="P138" s="454">
        <f t="shared" si="84"/>
        <v>0.10836201599999999</v>
      </c>
      <c r="Q138" s="454">
        <f t="shared" si="85"/>
        <v>132</v>
      </c>
      <c r="R138" s="230">
        <f t="shared" si="86"/>
        <v>686448</v>
      </c>
      <c r="S138" s="230">
        <f t="shared" si="87"/>
        <v>719136</v>
      </c>
      <c r="T138" s="429">
        <f t="shared" si="88"/>
        <v>8</v>
      </c>
      <c r="U138" s="429">
        <f t="shared" si="89"/>
        <v>0</v>
      </c>
      <c r="V138" s="430">
        <f t="array" ref="V138">MAX((IF(MNU_CODIGO_ALIMENTO_ENTREGA=CONCATENATE($E138,"_","S_"),MNU_GRAMAJE_REQUERIDO_TIPOB,"")))</f>
        <v>40</v>
      </c>
      <c r="W138" s="397">
        <f t="shared" si="90"/>
        <v>801</v>
      </c>
      <c r="X138" s="397">
        <f t="shared" si="91"/>
        <v>0</v>
      </c>
      <c r="Y138" s="397">
        <f t="shared" si="92"/>
        <v>6408</v>
      </c>
      <c r="Z138" s="454">
        <f t="shared" si="93"/>
        <v>252</v>
      </c>
      <c r="AA138" s="454">
        <f t="shared" si="94"/>
        <v>12.297600000000001</v>
      </c>
      <c r="AB138" s="454">
        <f t="shared" si="95"/>
        <v>0.21672403199999998</v>
      </c>
      <c r="AC138" s="454">
        <f t="shared" si="96"/>
        <v>265</v>
      </c>
      <c r="AD138" s="231">
        <f t="shared" si="97"/>
        <v>1614816</v>
      </c>
      <c r="AE138" s="231">
        <f t="shared" si="98"/>
        <v>1698120</v>
      </c>
      <c r="AF138" s="427">
        <f t="shared" si="99"/>
        <v>8</v>
      </c>
      <c r="AG138" s="427">
        <f t="shared" si="100"/>
        <v>0</v>
      </c>
      <c r="AH138" s="428">
        <f t="array" ref="AH138">MAX((IF(MNU_CODIGO_ALIMENTO_ENTREGA=CONCATENATE($E138,"_","S_"),MNU_GRAMAJE_REQUERIDO_TIPOC,"")))</f>
        <v>40</v>
      </c>
      <c r="AI138" s="229">
        <f t="shared" si="101"/>
        <v>877</v>
      </c>
      <c r="AJ138" s="229">
        <f t="shared" si="102"/>
        <v>0</v>
      </c>
      <c r="AK138" s="229">
        <f t="shared" si="103"/>
        <v>7016</v>
      </c>
      <c r="AL138" s="454">
        <f t="shared" si="104"/>
        <v>252</v>
      </c>
      <c r="AM138" s="454">
        <f t="shared" si="105"/>
        <v>12.297600000000001</v>
      </c>
      <c r="AN138" s="454">
        <f t="shared" si="106"/>
        <v>0.21672403199999998</v>
      </c>
      <c r="AO138" s="454">
        <f t="shared" si="107"/>
        <v>265</v>
      </c>
      <c r="AP138" s="454">
        <f t="shared" si="108"/>
        <v>1768032</v>
      </c>
      <c r="AQ138" s="230">
        <f t="shared" si="109"/>
        <v>1859240</v>
      </c>
      <c r="AR138" s="397">
        <f t="shared" si="110"/>
        <v>4069296</v>
      </c>
      <c r="AS138" s="397">
        <f t="shared" si="111"/>
        <v>4276496</v>
      </c>
    </row>
    <row r="139" spans="1:45" ht="15.75">
      <c r="A139" s="228">
        <v>10</v>
      </c>
      <c r="B139" s="228" t="str">
        <f t="shared" si="75"/>
        <v>FRUTA_10</v>
      </c>
      <c r="C139" s="338" t="str">
        <f t="shared" si="76"/>
        <v>42_10</v>
      </c>
      <c r="D139" s="398" t="s">
        <v>1</v>
      </c>
      <c r="E139" s="228">
        <v>42</v>
      </c>
      <c r="F139" s="332" t="s">
        <v>61</v>
      </c>
      <c r="G139" s="228" t="s">
        <v>9</v>
      </c>
      <c r="H139" s="427">
        <f t="shared" si="77"/>
        <v>36</v>
      </c>
      <c r="I139" s="427">
        <f t="shared" si="78"/>
        <v>8</v>
      </c>
      <c r="J139" s="428">
        <f t="array" ref="J139">MAX((IF(MNU_CODIGO_ALIMENTO_ENTREGA=CONCATENATE($E139,"_","S_"),MNU_GRAMAJE_REQUERIDO_TIPOA,"")))</f>
        <v>100</v>
      </c>
      <c r="K139" s="229">
        <f t="shared" si="79"/>
        <v>681</v>
      </c>
      <c r="L139" s="229">
        <f t="shared" si="80"/>
        <v>0</v>
      </c>
      <c r="M139" s="229">
        <f t="shared" si="81"/>
        <v>24516</v>
      </c>
      <c r="N139" s="454">
        <f t="shared" si="82"/>
        <v>194</v>
      </c>
      <c r="O139" s="454">
        <f t="shared" si="83"/>
        <v>9.4672000000000001</v>
      </c>
      <c r="P139" s="454">
        <f t="shared" si="84"/>
        <v>0.16684310399999999</v>
      </c>
      <c r="Q139" s="454">
        <f t="shared" si="85"/>
        <v>204</v>
      </c>
      <c r="R139" s="230">
        <f t="shared" si="86"/>
        <v>4756104</v>
      </c>
      <c r="S139" s="230">
        <f t="shared" si="87"/>
        <v>5001264</v>
      </c>
      <c r="T139" s="429">
        <f t="shared" si="88"/>
        <v>19</v>
      </c>
      <c r="U139" s="429">
        <f t="shared" si="89"/>
        <v>8</v>
      </c>
      <c r="V139" s="430">
        <f t="array" ref="V139">MAX((IF(MNU_CODIGO_ALIMENTO_ENTREGA=CONCATENATE($E139,"_","S_"),MNU_GRAMAJE_REQUERIDO_TIPOB,"")))</f>
        <v>100</v>
      </c>
      <c r="W139" s="397">
        <f t="shared" si="90"/>
        <v>801</v>
      </c>
      <c r="X139" s="397">
        <f t="shared" si="91"/>
        <v>0</v>
      </c>
      <c r="Y139" s="397">
        <f t="shared" si="92"/>
        <v>15219</v>
      </c>
      <c r="Z139" s="454">
        <f t="shared" si="93"/>
        <v>194</v>
      </c>
      <c r="AA139" s="454">
        <f t="shared" si="94"/>
        <v>9.4672000000000001</v>
      </c>
      <c r="AB139" s="454">
        <f t="shared" si="95"/>
        <v>0.16684310399999999</v>
      </c>
      <c r="AC139" s="454">
        <f t="shared" si="96"/>
        <v>204</v>
      </c>
      <c r="AD139" s="231">
        <f t="shared" si="97"/>
        <v>2952486</v>
      </c>
      <c r="AE139" s="231">
        <f t="shared" si="98"/>
        <v>3104676</v>
      </c>
      <c r="AF139" s="427">
        <f t="shared" si="99"/>
        <v>19</v>
      </c>
      <c r="AG139" s="427">
        <f t="shared" si="100"/>
        <v>8</v>
      </c>
      <c r="AH139" s="428">
        <f t="array" ref="AH139">MAX((IF(MNU_CODIGO_ALIMENTO_ENTREGA=CONCATENATE($E139,"_","S_"),MNU_GRAMAJE_REQUERIDO_TIPOC,"")))</f>
        <v>100</v>
      </c>
      <c r="AI139" s="229">
        <f t="shared" si="101"/>
        <v>877</v>
      </c>
      <c r="AJ139" s="229">
        <f t="shared" si="102"/>
        <v>0</v>
      </c>
      <c r="AK139" s="229">
        <f t="shared" si="103"/>
        <v>16663</v>
      </c>
      <c r="AL139" s="454">
        <f t="shared" si="104"/>
        <v>194</v>
      </c>
      <c r="AM139" s="454">
        <f t="shared" si="105"/>
        <v>9.4672000000000001</v>
      </c>
      <c r="AN139" s="454">
        <f t="shared" si="106"/>
        <v>0.16684310399999999</v>
      </c>
      <c r="AO139" s="454">
        <f t="shared" si="107"/>
        <v>204</v>
      </c>
      <c r="AP139" s="454">
        <f t="shared" si="108"/>
        <v>3232622</v>
      </c>
      <c r="AQ139" s="230">
        <f t="shared" si="109"/>
        <v>3399252</v>
      </c>
      <c r="AR139" s="397">
        <f t="shared" si="110"/>
        <v>10941212</v>
      </c>
      <c r="AS139" s="397">
        <f t="shared" si="111"/>
        <v>11505192</v>
      </c>
    </row>
    <row r="140" spans="1:45" ht="15.75">
      <c r="A140" s="228">
        <v>10</v>
      </c>
      <c r="B140" s="228" t="str">
        <f t="shared" si="75"/>
        <v>FRUTA_10</v>
      </c>
      <c r="C140" s="338" t="str">
        <f t="shared" si="76"/>
        <v>43_10</v>
      </c>
      <c r="D140" s="398" t="s">
        <v>1</v>
      </c>
      <c r="E140" s="228">
        <v>43</v>
      </c>
      <c r="F140" s="332" t="s">
        <v>62</v>
      </c>
      <c r="G140" s="228" t="s">
        <v>9</v>
      </c>
      <c r="H140" s="427">
        <f t="shared" si="77"/>
        <v>29</v>
      </c>
      <c r="I140" s="427">
        <f t="shared" si="78"/>
        <v>6</v>
      </c>
      <c r="J140" s="428">
        <f t="array" ref="J140">MAX((IF(MNU_CODIGO_ALIMENTO_ENTREGA=CONCATENATE($E140,"_","S_"),MNU_GRAMAJE_REQUERIDO_TIPOA,"")))</f>
        <v>100</v>
      </c>
      <c r="K140" s="229">
        <f t="shared" si="79"/>
        <v>681</v>
      </c>
      <c r="L140" s="229">
        <f t="shared" si="80"/>
        <v>0</v>
      </c>
      <c r="M140" s="229">
        <f t="shared" si="81"/>
        <v>19749</v>
      </c>
      <c r="N140" s="454">
        <f t="shared" si="82"/>
        <v>170</v>
      </c>
      <c r="O140" s="454">
        <f t="shared" si="83"/>
        <v>8.2959999999999994</v>
      </c>
      <c r="P140" s="454">
        <f t="shared" si="84"/>
        <v>0.14620272000000001</v>
      </c>
      <c r="Q140" s="454">
        <f t="shared" si="85"/>
        <v>178</v>
      </c>
      <c r="R140" s="230">
        <f t="shared" si="86"/>
        <v>3357330</v>
      </c>
      <c r="S140" s="230">
        <f t="shared" si="87"/>
        <v>3515322</v>
      </c>
      <c r="T140" s="429">
        <f t="shared" si="88"/>
        <v>23</v>
      </c>
      <c r="U140" s="429">
        <f t="shared" si="89"/>
        <v>1</v>
      </c>
      <c r="V140" s="430">
        <f t="array" ref="V140">MAX((IF(MNU_CODIGO_ALIMENTO_ENTREGA=CONCATENATE($E140,"_","S_"),MNU_GRAMAJE_REQUERIDO_TIPOB,"")))</f>
        <v>100</v>
      </c>
      <c r="W140" s="397">
        <f t="shared" si="90"/>
        <v>801</v>
      </c>
      <c r="X140" s="397">
        <f t="shared" si="91"/>
        <v>0</v>
      </c>
      <c r="Y140" s="397">
        <f t="shared" si="92"/>
        <v>18423</v>
      </c>
      <c r="Z140" s="454">
        <f t="shared" si="93"/>
        <v>170</v>
      </c>
      <c r="AA140" s="454">
        <f t="shared" si="94"/>
        <v>8.2959999999999994</v>
      </c>
      <c r="AB140" s="454">
        <f t="shared" si="95"/>
        <v>0.14620272000000001</v>
      </c>
      <c r="AC140" s="454">
        <f t="shared" si="96"/>
        <v>178</v>
      </c>
      <c r="AD140" s="231">
        <f t="shared" si="97"/>
        <v>3131910</v>
      </c>
      <c r="AE140" s="231">
        <f t="shared" si="98"/>
        <v>3279294</v>
      </c>
      <c r="AF140" s="427">
        <f t="shared" si="99"/>
        <v>23</v>
      </c>
      <c r="AG140" s="427">
        <f t="shared" si="100"/>
        <v>1</v>
      </c>
      <c r="AH140" s="428">
        <f t="array" ref="AH140">MAX((IF(MNU_CODIGO_ALIMENTO_ENTREGA=CONCATENATE($E140,"_","S_"),MNU_GRAMAJE_REQUERIDO_TIPOC,"")))</f>
        <v>100</v>
      </c>
      <c r="AI140" s="229">
        <f t="shared" si="101"/>
        <v>877</v>
      </c>
      <c r="AJ140" s="229">
        <f t="shared" si="102"/>
        <v>0</v>
      </c>
      <c r="AK140" s="229">
        <f t="shared" si="103"/>
        <v>20171</v>
      </c>
      <c r="AL140" s="454">
        <f t="shared" si="104"/>
        <v>170</v>
      </c>
      <c r="AM140" s="454">
        <f t="shared" si="105"/>
        <v>8.2959999999999994</v>
      </c>
      <c r="AN140" s="454">
        <f t="shared" si="106"/>
        <v>0.14620272000000001</v>
      </c>
      <c r="AO140" s="454">
        <f t="shared" si="107"/>
        <v>178</v>
      </c>
      <c r="AP140" s="454">
        <f t="shared" si="108"/>
        <v>3429070</v>
      </c>
      <c r="AQ140" s="230">
        <f t="shared" si="109"/>
        <v>3590438</v>
      </c>
      <c r="AR140" s="397">
        <f t="shared" si="110"/>
        <v>9918310</v>
      </c>
      <c r="AS140" s="397">
        <f t="shared" si="111"/>
        <v>10385054</v>
      </c>
    </row>
    <row r="141" spans="1:45" ht="15.75">
      <c r="A141" s="228">
        <v>10</v>
      </c>
      <c r="B141" s="228" t="str">
        <f t="shared" si="75"/>
        <v>FRUTA_10</v>
      </c>
      <c r="C141" s="338" t="str">
        <f t="shared" si="76"/>
        <v>46_10</v>
      </c>
      <c r="D141" s="398" t="s">
        <v>1</v>
      </c>
      <c r="E141" s="228">
        <v>46</v>
      </c>
      <c r="F141" s="332" t="s">
        <v>64</v>
      </c>
      <c r="G141" s="228" t="s">
        <v>9</v>
      </c>
      <c r="H141" s="427">
        <f t="shared" si="77"/>
        <v>29</v>
      </c>
      <c r="I141" s="427">
        <f t="shared" si="78"/>
        <v>4</v>
      </c>
      <c r="J141" s="428">
        <f t="array" ref="J141">MAX((IF(MNU_CODIGO_ALIMENTO_ENTREGA=CONCATENATE($E141,"_","S_"),MNU_GRAMAJE_REQUERIDO_TIPOA,"")))</f>
        <v>100</v>
      </c>
      <c r="K141" s="229">
        <f t="shared" si="79"/>
        <v>681</v>
      </c>
      <c r="L141" s="229">
        <f t="shared" si="80"/>
        <v>0</v>
      </c>
      <c r="M141" s="229">
        <f t="shared" si="81"/>
        <v>19749</v>
      </c>
      <c r="N141" s="454">
        <f t="shared" si="82"/>
        <v>398</v>
      </c>
      <c r="O141" s="454">
        <f t="shared" si="83"/>
        <v>19.4224</v>
      </c>
      <c r="P141" s="454">
        <f t="shared" si="84"/>
        <v>0.34228636800000001</v>
      </c>
      <c r="Q141" s="454">
        <f t="shared" si="85"/>
        <v>418</v>
      </c>
      <c r="R141" s="230">
        <f t="shared" si="86"/>
        <v>7860102</v>
      </c>
      <c r="S141" s="230">
        <f t="shared" si="87"/>
        <v>8255082</v>
      </c>
      <c r="T141" s="429">
        <f t="shared" si="88"/>
        <v>24</v>
      </c>
      <c r="U141" s="429">
        <f t="shared" si="89"/>
        <v>3</v>
      </c>
      <c r="V141" s="430">
        <f t="array" ref="V141">MAX((IF(MNU_CODIGO_ALIMENTO_ENTREGA=CONCATENATE($E141,"_","S_"),MNU_GRAMAJE_REQUERIDO_TIPOB,"")))</f>
        <v>100</v>
      </c>
      <c r="W141" s="397">
        <f t="shared" si="90"/>
        <v>801</v>
      </c>
      <c r="X141" s="397">
        <f t="shared" si="91"/>
        <v>0</v>
      </c>
      <c r="Y141" s="397">
        <f t="shared" si="92"/>
        <v>19224</v>
      </c>
      <c r="Z141" s="454">
        <f t="shared" si="93"/>
        <v>398</v>
      </c>
      <c r="AA141" s="454">
        <f t="shared" si="94"/>
        <v>19.4224</v>
      </c>
      <c r="AB141" s="454">
        <f t="shared" si="95"/>
        <v>0.34228636800000001</v>
      </c>
      <c r="AC141" s="454">
        <f t="shared" si="96"/>
        <v>418</v>
      </c>
      <c r="AD141" s="231">
        <f t="shared" si="97"/>
        <v>7651152</v>
      </c>
      <c r="AE141" s="231">
        <f t="shared" si="98"/>
        <v>8035632</v>
      </c>
      <c r="AF141" s="427">
        <f t="shared" si="99"/>
        <v>24</v>
      </c>
      <c r="AG141" s="427">
        <f t="shared" si="100"/>
        <v>3</v>
      </c>
      <c r="AH141" s="428">
        <f t="array" ref="AH141">MAX((IF(MNU_CODIGO_ALIMENTO_ENTREGA=CONCATENATE($E141,"_","S_"),MNU_GRAMAJE_REQUERIDO_TIPOC,"")))</f>
        <v>100</v>
      </c>
      <c r="AI141" s="229">
        <f t="shared" si="101"/>
        <v>877</v>
      </c>
      <c r="AJ141" s="229">
        <f t="shared" si="102"/>
        <v>0</v>
      </c>
      <c r="AK141" s="229">
        <f t="shared" si="103"/>
        <v>21048</v>
      </c>
      <c r="AL141" s="454">
        <f t="shared" si="104"/>
        <v>398</v>
      </c>
      <c r="AM141" s="454">
        <f t="shared" si="105"/>
        <v>19.4224</v>
      </c>
      <c r="AN141" s="454">
        <f t="shared" si="106"/>
        <v>0.34228636800000001</v>
      </c>
      <c r="AO141" s="454">
        <f t="shared" si="107"/>
        <v>418</v>
      </c>
      <c r="AP141" s="454">
        <f t="shared" si="108"/>
        <v>8377104</v>
      </c>
      <c r="AQ141" s="230">
        <f t="shared" si="109"/>
        <v>8798064</v>
      </c>
      <c r="AR141" s="397">
        <f t="shared" si="110"/>
        <v>23888358</v>
      </c>
      <c r="AS141" s="397">
        <f t="shared" si="111"/>
        <v>25088778</v>
      </c>
    </row>
    <row r="142" spans="1:45" ht="15.75">
      <c r="A142" s="228">
        <v>10</v>
      </c>
      <c r="B142" s="228" t="str">
        <f t="shared" si="75"/>
        <v>FRUTA_10</v>
      </c>
      <c r="C142" s="338" t="str">
        <f t="shared" si="76"/>
        <v>58_10</v>
      </c>
      <c r="D142" s="398" t="s">
        <v>1</v>
      </c>
      <c r="E142" s="228">
        <v>58</v>
      </c>
      <c r="F142" s="332" t="s">
        <v>67</v>
      </c>
      <c r="G142" s="228" t="s">
        <v>9</v>
      </c>
      <c r="H142" s="427">
        <f t="shared" si="77"/>
        <v>28</v>
      </c>
      <c r="I142" s="427">
        <f t="shared" si="78"/>
        <v>5</v>
      </c>
      <c r="J142" s="428">
        <f t="array" ref="J142">MAX((IF(MNU_CODIGO_ALIMENTO_ENTREGA=CONCATENATE($E142,"_","S_"),MNU_GRAMAJE_REQUERIDO_TIPOA,"")))</f>
        <v>100</v>
      </c>
      <c r="K142" s="229">
        <f t="shared" si="79"/>
        <v>681</v>
      </c>
      <c r="L142" s="229">
        <f t="shared" si="80"/>
        <v>0</v>
      </c>
      <c r="M142" s="229">
        <f t="shared" si="81"/>
        <v>19068</v>
      </c>
      <c r="N142" s="454">
        <f t="shared" si="82"/>
        <v>154</v>
      </c>
      <c r="O142" s="454">
        <f t="shared" si="83"/>
        <v>7.515200000000001</v>
      </c>
      <c r="P142" s="454">
        <f t="shared" si="84"/>
        <v>0.13244246400000001</v>
      </c>
      <c r="Q142" s="454">
        <f t="shared" si="85"/>
        <v>162</v>
      </c>
      <c r="R142" s="230">
        <f t="shared" si="86"/>
        <v>2936472</v>
      </c>
      <c r="S142" s="230">
        <f t="shared" si="87"/>
        <v>3089016</v>
      </c>
      <c r="T142" s="429">
        <f t="shared" si="88"/>
        <v>23</v>
      </c>
      <c r="U142" s="429">
        <f t="shared" si="89"/>
        <v>3</v>
      </c>
      <c r="V142" s="430">
        <f t="array" ref="V142">MAX((IF(MNU_CODIGO_ALIMENTO_ENTREGA=CONCATENATE($E142,"_","S_"),MNU_GRAMAJE_REQUERIDO_TIPOB,"")))</f>
        <v>100</v>
      </c>
      <c r="W142" s="397">
        <f t="shared" si="90"/>
        <v>801</v>
      </c>
      <c r="X142" s="397">
        <f t="shared" si="91"/>
        <v>0</v>
      </c>
      <c r="Y142" s="397">
        <f t="shared" si="92"/>
        <v>18423</v>
      </c>
      <c r="Z142" s="454">
        <f t="shared" si="93"/>
        <v>154</v>
      </c>
      <c r="AA142" s="454">
        <f t="shared" si="94"/>
        <v>7.515200000000001</v>
      </c>
      <c r="AB142" s="454">
        <f t="shared" si="95"/>
        <v>0.13244246400000001</v>
      </c>
      <c r="AC142" s="454">
        <f t="shared" si="96"/>
        <v>162</v>
      </c>
      <c r="AD142" s="231">
        <f t="shared" si="97"/>
        <v>2837142</v>
      </c>
      <c r="AE142" s="231">
        <f t="shared" si="98"/>
        <v>2984526</v>
      </c>
      <c r="AF142" s="427">
        <f t="shared" si="99"/>
        <v>23</v>
      </c>
      <c r="AG142" s="427">
        <f t="shared" si="100"/>
        <v>3</v>
      </c>
      <c r="AH142" s="428">
        <f t="array" ref="AH142">MAX((IF(MNU_CODIGO_ALIMENTO_ENTREGA=CONCATENATE($E142,"_","S_"),MNU_GRAMAJE_REQUERIDO_TIPOC,"")))</f>
        <v>100</v>
      </c>
      <c r="AI142" s="229">
        <f t="shared" si="101"/>
        <v>877</v>
      </c>
      <c r="AJ142" s="229">
        <f t="shared" si="102"/>
        <v>0</v>
      </c>
      <c r="AK142" s="229">
        <f t="shared" si="103"/>
        <v>20171</v>
      </c>
      <c r="AL142" s="454">
        <f t="shared" si="104"/>
        <v>154</v>
      </c>
      <c r="AM142" s="454">
        <f t="shared" si="105"/>
        <v>7.515200000000001</v>
      </c>
      <c r="AN142" s="454">
        <f t="shared" si="106"/>
        <v>0.13244246400000001</v>
      </c>
      <c r="AO142" s="454">
        <f t="shared" si="107"/>
        <v>162</v>
      </c>
      <c r="AP142" s="454">
        <f t="shared" si="108"/>
        <v>3106334</v>
      </c>
      <c r="AQ142" s="230">
        <f t="shared" si="109"/>
        <v>3267702</v>
      </c>
      <c r="AR142" s="397">
        <f t="shared" si="110"/>
        <v>8879948</v>
      </c>
      <c r="AS142" s="397">
        <f t="shared" si="111"/>
        <v>9341244</v>
      </c>
    </row>
    <row r="143" spans="1:45" ht="15.75">
      <c r="A143" s="228">
        <v>10</v>
      </c>
      <c r="B143" s="228" t="str">
        <f t="shared" si="75"/>
        <v>FRUTA_10</v>
      </c>
      <c r="C143" s="338" t="str">
        <f t="shared" si="76"/>
        <v>59_10</v>
      </c>
      <c r="D143" s="398" t="s">
        <v>1</v>
      </c>
      <c r="E143" s="228">
        <v>59</v>
      </c>
      <c r="F143" s="332" t="s">
        <v>99</v>
      </c>
      <c r="G143" s="228" t="s">
        <v>9</v>
      </c>
      <c r="H143" s="427">
        <f t="shared" si="77"/>
        <v>0</v>
      </c>
      <c r="I143" s="427">
        <f t="shared" si="78"/>
        <v>0</v>
      </c>
      <c r="J143" s="428">
        <f t="array" ref="J143">MAX((IF(MNU_CODIGO_ALIMENTO_ENTREGA=CONCATENATE($E143,"_","S_"),MNU_GRAMAJE_REQUERIDO_TIPOA,"")))</f>
        <v>0</v>
      </c>
      <c r="K143" s="229">
        <f t="shared" si="79"/>
        <v>681</v>
      </c>
      <c r="L143" s="229">
        <f t="shared" si="80"/>
        <v>0</v>
      </c>
      <c r="M143" s="229">
        <f t="shared" si="81"/>
        <v>0</v>
      </c>
      <c r="N143" s="454">
        <f t="shared" si="82"/>
        <v>0</v>
      </c>
      <c r="O143" s="454">
        <f t="shared" si="83"/>
        <v>0</v>
      </c>
      <c r="P143" s="454">
        <f t="shared" si="84"/>
        <v>0</v>
      </c>
      <c r="Q143" s="454">
        <f t="shared" si="85"/>
        <v>0</v>
      </c>
      <c r="R143" s="230">
        <f t="shared" si="86"/>
        <v>0</v>
      </c>
      <c r="S143" s="230">
        <f t="shared" si="87"/>
        <v>0</v>
      </c>
      <c r="T143" s="429">
        <f t="shared" si="88"/>
        <v>11</v>
      </c>
      <c r="U143" s="429">
        <f t="shared" si="89"/>
        <v>0</v>
      </c>
      <c r="V143" s="430">
        <f t="array" ref="V143">MAX((IF(MNU_CODIGO_ALIMENTO_ENTREGA=CONCATENATE($E143,"_","S_"),MNU_GRAMAJE_REQUERIDO_TIPOB,"")))</f>
        <v>100</v>
      </c>
      <c r="W143" s="397">
        <f t="shared" si="90"/>
        <v>801</v>
      </c>
      <c r="X143" s="397">
        <f t="shared" si="91"/>
        <v>0</v>
      </c>
      <c r="Y143" s="397">
        <f t="shared" si="92"/>
        <v>8811</v>
      </c>
      <c r="Z143" s="454">
        <f t="shared" si="93"/>
        <v>286</v>
      </c>
      <c r="AA143" s="454">
        <f t="shared" si="94"/>
        <v>13.956800000000001</v>
      </c>
      <c r="AB143" s="454">
        <f t="shared" si="95"/>
        <v>0.24596457599999999</v>
      </c>
      <c r="AC143" s="454">
        <f t="shared" si="96"/>
        <v>300</v>
      </c>
      <c r="AD143" s="231">
        <f t="shared" si="97"/>
        <v>2519946</v>
      </c>
      <c r="AE143" s="231">
        <f t="shared" si="98"/>
        <v>2643300</v>
      </c>
      <c r="AF143" s="427">
        <f t="shared" si="99"/>
        <v>11</v>
      </c>
      <c r="AG143" s="427">
        <f t="shared" si="100"/>
        <v>0</v>
      </c>
      <c r="AH143" s="428">
        <f t="array" ref="AH143">MAX((IF(MNU_CODIGO_ALIMENTO_ENTREGA=CONCATENATE($E143,"_","S_"),MNU_GRAMAJE_REQUERIDO_TIPOC,"")))</f>
        <v>100</v>
      </c>
      <c r="AI143" s="229">
        <f t="shared" si="101"/>
        <v>877</v>
      </c>
      <c r="AJ143" s="229">
        <f t="shared" si="102"/>
        <v>0</v>
      </c>
      <c r="AK143" s="229">
        <f t="shared" si="103"/>
        <v>9647</v>
      </c>
      <c r="AL143" s="454">
        <f t="shared" si="104"/>
        <v>286</v>
      </c>
      <c r="AM143" s="454">
        <f t="shared" si="105"/>
        <v>13.956800000000001</v>
      </c>
      <c r="AN143" s="454">
        <f t="shared" si="106"/>
        <v>0.24596457599999999</v>
      </c>
      <c r="AO143" s="454">
        <f t="shared" si="107"/>
        <v>300</v>
      </c>
      <c r="AP143" s="454">
        <f t="shared" si="108"/>
        <v>2759042</v>
      </c>
      <c r="AQ143" s="230">
        <f t="shared" si="109"/>
        <v>2894100</v>
      </c>
      <c r="AR143" s="397">
        <f t="shared" si="110"/>
        <v>5278988</v>
      </c>
      <c r="AS143" s="397">
        <f t="shared" si="111"/>
        <v>5537400</v>
      </c>
    </row>
    <row r="144" spans="1:45" ht="15.75">
      <c r="A144" s="228">
        <v>10</v>
      </c>
      <c r="B144" s="228" t="str">
        <f t="shared" si="75"/>
        <v>FRUTA_10</v>
      </c>
      <c r="C144" s="338" t="str">
        <f t="shared" si="76"/>
        <v>69_10</v>
      </c>
      <c r="D144" s="398" t="s">
        <v>1</v>
      </c>
      <c r="E144" s="228">
        <v>69</v>
      </c>
      <c r="F144" s="332" t="s">
        <v>70</v>
      </c>
      <c r="G144" s="228" t="s">
        <v>9</v>
      </c>
      <c r="H144" s="427">
        <f t="shared" si="77"/>
        <v>18</v>
      </c>
      <c r="I144" s="427">
        <f t="shared" si="78"/>
        <v>2</v>
      </c>
      <c r="J144" s="428">
        <f t="array" ref="J144">MAX((IF(MNU_CODIGO_ALIMENTO_ENTREGA=CONCATENATE($E144,"_","S_"),MNU_GRAMAJE_REQUERIDO_TIPOA,"")))</f>
        <v>100</v>
      </c>
      <c r="K144" s="229">
        <f t="shared" si="79"/>
        <v>681</v>
      </c>
      <c r="L144" s="229">
        <f t="shared" si="80"/>
        <v>0</v>
      </c>
      <c r="M144" s="229">
        <f t="shared" si="81"/>
        <v>12258</v>
      </c>
      <c r="N144" s="454">
        <f t="shared" si="82"/>
        <v>305</v>
      </c>
      <c r="O144" s="454">
        <f t="shared" si="83"/>
        <v>14.884</v>
      </c>
      <c r="P144" s="454">
        <f t="shared" si="84"/>
        <v>0.26230488000000002</v>
      </c>
      <c r="Q144" s="454">
        <f t="shared" si="85"/>
        <v>320</v>
      </c>
      <c r="R144" s="230">
        <f t="shared" si="86"/>
        <v>3738690</v>
      </c>
      <c r="S144" s="230">
        <f t="shared" si="87"/>
        <v>3922560</v>
      </c>
      <c r="T144" s="429">
        <f t="shared" si="88"/>
        <v>12</v>
      </c>
      <c r="U144" s="429">
        <f t="shared" si="89"/>
        <v>2</v>
      </c>
      <c r="V144" s="430">
        <f t="array" ref="V144">MAX((IF(MNU_CODIGO_ALIMENTO_ENTREGA=CONCATENATE($E144,"_","S_"),MNU_GRAMAJE_REQUERIDO_TIPOB,"")))</f>
        <v>100</v>
      </c>
      <c r="W144" s="397">
        <f t="shared" si="90"/>
        <v>801</v>
      </c>
      <c r="X144" s="397">
        <f t="shared" si="91"/>
        <v>0</v>
      </c>
      <c r="Y144" s="397">
        <f t="shared" si="92"/>
        <v>9612</v>
      </c>
      <c r="Z144" s="454">
        <f t="shared" si="93"/>
        <v>305</v>
      </c>
      <c r="AA144" s="454">
        <f t="shared" si="94"/>
        <v>14.884</v>
      </c>
      <c r="AB144" s="454">
        <f t="shared" si="95"/>
        <v>0.26230488000000002</v>
      </c>
      <c r="AC144" s="454">
        <f t="shared" si="96"/>
        <v>320</v>
      </c>
      <c r="AD144" s="231">
        <f t="shared" si="97"/>
        <v>2931660</v>
      </c>
      <c r="AE144" s="231">
        <f t="shared" si="98"/>
        <v>3075840</v>
      </c>
      <c r="AF144" s="427">
        <f t="shared" si="99"/>
        <v>12</v>
      </c>
      <c r="AG144" s="427">
        <f t="shared" si="100"/>
        <v>2</v>
      </c>
      <c r="AH144" s="428">
        <f t="array" ref="AH144">MAX((IF(MNU_CODIGO_ALIMENTO_ENTREGA=CONCATENATE($E144,"_","S_"),MNU_GRAMAJE_REQUERIDO_TIPOC,"")))</f>
        <v>100</v>
      </c>
      <c r="AI144" s="229">
        <f t="shared" si="101"/>
        <v>877</v>
      </c>
      <c r="AJ144" s="229">
        <f t="shared" si="102"/>
        <v>0</v>
      </c>
      <c r="AK144" s="229">
        <f t="shared" si="103"/>
        <v>10524</v>
      </c>
      <c r="AL144" s="454">
        <f t="shared" si="104"/>
        <v>305</v>
      </c>
      <c r="AM144" s="454">
        <f t="shared" si="105"/>
        <v>14.884</v>
      </c>
      <c r="AN144" s="454">
        <f t="shared" si="106"/>
        <v>0.26230488000000002</v>
      </c>
      <c r="AO144" s="454">
        <f t="shared" si="107"/>
        <v>320</v>
      </c>
      <c r="AP144" s="454">
        <f t="shared" si="108"/>
        <v>3209820</v>
      </c>
      <c r="AQ144" s="230">
        <f t="shared" si="109"/>
        <v>3367680</v>
      </c>
      <c r="AR144" s="397">
        <f t="shared" si="110"/>
        <v>9880170</v>
      </c>
      <c r="AS144" s="397">
        <f t="shared" si="111"/>
        <v>10366080</v>
      </c>
    </row>
    <row r="145" spans="1:45" ht="15.75">
      <c r="A145" s="228">
        <v>10</v>
      </c>
      <c r="B145" s="228" t="str">
        <f t="shared" si="75"/>
        <v>FRUTA_10</v>
      </c>
      <c r="C145" s="338" t="str">
        <f t="shared" si="76"/>
        <v>70_10</v>
      </c>
      <c r="D145" s="398" t="s">
        <v>1</v>
      </c>
      <c r="E145" s="228">
        <v>70</v>
      </c>
      <c r="F145" s="332" t="s">
        <v>71</v>
      </c>
      <c r="G145" s="228" t="s">
        <v>9</v>
      </c>
      <c r="H145" s="427">
        <f t="shared" si="77"/>
        <v>0</v>
      </c>
      <c r="I145" s="427">
        <f t="shared" si="78"/>
        <v>0</v>
      </c>
      <c r="J145" s="428">
        <f t="array" ref="J145">MAX((IF(MNU_CODIGO_ALIMENTO_ENTREGA=CONCATENATE($E145,"_","S_"),MNU_GRAMAJE_REQUERIDO_TIPOA,"")))</f>
        <v>0</v>
      </c>
      <c r="K145" s="229">
        <f t="shared" si="79"/>
        <v>681</v>
      </c>
      <c r="L145" s="229">
        <f t="shared" si="80"/>
        <v>0</v>
      </c>
      <c r="M145" s="229">
        <f t="shared" si="81"/>
        <v>0</v>
      </c>
      <c r="N145" s="454">
        <f t="shared" si="82"/>
        <v>0</v>
      </c>
      <c r="O145" s="454">
        <f t="shared" si="83"/>
        <v>0</v>
      </c>
      <c r="P145" s="454">
        <f t="shared" si="84"/>
        <v>0</v>
      </c>
      <c r="Q145" s="454">
        <f t="shared" si="85"/>
        <v>0</v>
      </c>
      <c r="R145" s="230">
        <f t="shared" si="86"/>
        <v>0</v>
      </c>
      <c r="S145" s="230">
        <f t="shared" si="87"/>
        <v>0</v>
      </c>
      <c r="T145" s="429">
        <f t="shared" si="88"/>
        <v>8</v>
      </c>
      <c r="U145" s="429">
        <f t="shared" si="89"/>
        <v>4</v>
      </c>
      <c r="V145" s="430">
        <f t="array" ref="V145">MAX((IF(MNU_CODIGO_ALIMENTO_ENTREGA=CONCATENATE($E145,"_","S_"),MNU_GRAMAJE_REQUERIDO_TIPOB,"")))</f>
        <v>100</v>
      </c>
      <c r="W145" s="397">
        <f t="shared" si="90"/>
        <v>801</v>
      </c>
      <c r="X145" s="397">
        <f t="shared" si="91"/>
        <v>0</v>
      </c>
      <c r="Y145" s="397">
        <f t="shared" si="92"/>
        <v>6408</v>
      </c>
      <c r="Z145" s="454">
        <f t="shared" si="93"/>
        <v>434</v>
      </c>
      <c r="AA145" s="454">
        <f t="shared" si="94"/>
        <v>21.179200000000002</v>
      </c>
      <c r="AB145" s="454">
        <f t="shared" si="95"/>
        <v>0.37324694399999997</v>
      </c>
      <c r="AC145" s="454">
        <f t="shared" si="96"/>
        <v>456</v>
      </c>
      <c r="AD145" s="231">
        <f t="shared" si="97"/>
        <v>2781072</v>
      </c>
      <c r="AE145" s="231">
        <f t="shared" si="98"/>
        <v>2922048</v>
      </c>
      <c r="AF145" s="427">
        <f t="shared" si="99"/>
        <v>8</v>
      </c>
      <c r="AG145" s="427">
        <f t="shared" si="100"/>
        <v>4</v>
      </c>
      <c r="AH145" s="428">
        <f t="array" ref="AH145">MAX((IF(MNU_CODIGO_ALIMENTO_ENTREGA=CONCATENATE($E145,"_","S_"),MNU_GRAMAJE_REQUERIDO_TIPOC,"")))</f>
        <v>100</v>
      </c>
      <c r="AI145" s="229">
        <f t="shared" si="101"/>
        <v>877</v>
      </c>
      <c r="AJ145" s="229">
        <f t="shared" si="102"/>
        <v>0</v>
      </c>
      <c r="AK145" s="229">
        <f t="shared" si="103"/>
        <v>7016</v>
      </c>
      <c r="AL145" s="454">
        <f t="shared" si="104"/>
        <v>434</v>
      </c>
      <c r="AM145" s="454">
        <f t="shared" si="105"/>
        <v>21.179200000000002</v>
      </c>
      <c r="AN145" s="454">
        <f t="shared" si="106"/>
        <v>0.37324694399999997</v>
      </c>
      <c r="AO145" s="454">
        <f t="shared" si="107"/>
        <v>456</v>
      </c>
      <c r="AP145" s="454">
        <f t="shared" si="108"/>
        <v>3044944</v>
      </c>
      <c r="AQ145" s="230">
        <f t="shared" si="109"/>
        <v>3199296</v>
      </c>
      <c r="AR145" s="397">
        <f t="shared" si="110"/>
        <v>5826016</v>
      </c>
      <c r="AS145" s="397">
        <f t="shared" si="111"/>
        <v>6121344</v>
      </c>
    </row>
    <row r="146" spans="1:45" ht="15.75">
      <c r="A146" s="228">
        <v>11</v>
      </c>
      <c r="B146" s="228" t="str">
        <f t="shared" si="75"/>
        <v>FRUTA_11</v>
      </c>
      <c r="C146" s="338" t="str">
        <f t="shared" si="76"/>
        <v>7_11</v>
      </c>
      <c r="D146" s="398" t="s">
        <v>1</v>
      </c>
      <c r="E146" s="228">
        <v>7</v>
      </c>
      <c r="F146" s="332" t="s">
        <v>57</v>
      </c>
      <c r="G146" s="228" t="s">
        <v>9</v>
      </c>
      <c r="H146" s="427">
        <f t="shared" si="77"/>
        <v>31</v>
      </c>
      <c r="I146" s="427">
        <f t="shared" si="78"/>
        <v>0</v>
      </c>
      <c r="J146" s="428">
        <f t="array" ref="J146">MAX((IF(MNU_CODIGO_ALIMENTO_ENTREGA=CONCATENATE($E146,"_","S_"),MNU_GRAMAJE_REQUERIDO_TIPOA,"")))</f>
        <v>100</v>
      </c>
      <c r="K146" s="229">
        <f t="shared" si="79"/>
        <v>305</v>
      </c>
      <c r="L146" s="229">
        <f t="shared" si="80"/>
        <v>0</v>
      </c>
      <c r="M146" s="229">
        <f t="shared" si="81"/>
        <v>9455</v>
      </c>
      <c r="N146" s="454">
        <f t="shared" si="82"/>
        <v>107</v>
      </c>
      <c r="O146" s="454">
        <f t="shared" si="83"/>
        <v>5.2216000000000005</v>
      </c>
      <c r="P146" s="454">
        <f t="shared" si="84"/>
        <v>9.2021712000000006E-2</v>
      </c>
      <c r="Q146" s="454">
        <f t="shared" si="85"/>
        <v>112</v>
      </c>
      <c r="R146" s="230">
        <f t="shared" si="86"/>
        <v>1011685</v>
      </c>
      <c r="S146" s="230">
        <f t="shared" si="87"/>
        <v>1058960</v>
      </c>
      <c r="T146" s="429">
        <f t="shared" si="88"/>
        <v>11</v>
      </c>
      <c r="U146" s="429">
        <f t="shared" si="89"/>
        <v>0</v>
      </c>
      <c r="V146" s="430">
        <f t="array" ref="V146">MAX((IF(MNU_CODIGO_ALIMENTO_ENTREGA=CONCATENATE($E146,"_","S_"),MNU_GRAMAJE_REQUERIDO_TIPOB,"")))</f>
        <v>100</v>
      </c>
      <c r="W146" s="397">
        <f t="shared" si="90"/>
        <v>75</v>
      </c>
      <c r="X146" s="397">
        <f t="shared" si="91"/>
        <v>0</v>
      </c>
      <c r="Y146" s="397">
        <f t="shared" si="92"/>
        <v>825</v>
      </c>
      <c r="Z146" s="454">
        <f t="shared" si="93"/>
        <v>107</v>
      </c>
      <c r="AA146" s="454">
        <f t="shared" si="94"/>
        <v>5.2216000000000005</v>
      </c>
      <c r="AB146" s="454">
        <f t="shared" si="95"/>
        <v>9.2021712000000006E-2</v>
      </c>
      <c r="AC146" s="454">
        <f t="shared" si="96"/>
        <v>112</v>
      </c>
      <c r="AD146" s="231">
        <f t="shared" si="97"/>
        <v>88275</v>
      </c>
      <c r="AE146" s="231">
        <f t="shared" si="98"/>
        <v>92400</v>
      </c>
      <c r="AF146" s="427">
        <f t="shared" si="99"/>
        <v>11</v>
      </c>
      <c r="AG146" s="427">
        <f t="shared" si="100"/>
        <v>0</v>
      </c>
      <c r="AH146" s="428">
        <f t="array" ref="AH146">MAX((IF(MNU_CODIGO_ALIMENTO_ENTREGA=CONCATENATE($E146,"_","S_"),MNU_GRAMAJE_REQUERIDO_TIPOC,"")))</f>
        <v>100</v>
      </c>
      <c r="AI146" s="229">
        <f t="shared" si="101"/>
        <v>1633</v>
      </c>
      <c r="AJ146" s="229">
        <f t="shared" si="102"/>
        <v>0</v>
      </c>
      <c r="AK146" s="229">
        <f t="shared" si="103"/>
        <v>17963</v>
      </c>
      <c r="AL146" s="454">
        <f t="shared" si="104"/>
        <v>107</v>
      </c>
      <c r="AM146" s="454">
        <f t="shared" si="105"/>
        <v>5.2216000000000005</v>
      </c>
      <c r="AN146" s="454">
        <f t="shared" si="106"/>
        <v>9.2021712000000006E-2</v>
      </c>
      <c r="AO146" s="454">
        <f t="shared" si="107"/>
        <v>112</v>
      </c>
      <c r="AP146" s="454">
        <f t="shared" si="108"/>
        <v>1922041</v>
      </c>
      <c r="AQ146" s="230">
        <f t="shared" si="109"/>
        <v>2011856</v>
      </c>
      <c r="AR146" s="397">
        <f t="shared" si="110"/>
        <v>3022001</v>
      </c>
      <c r="AS146" s="397">
        <f t="shared" si="111"/>
        <v>3163216</v>
      </c>
    </row>
    <row r="147" spans="1:45" ht="15.75">
      <c r="A147" s="228">
        <v>11</v>
      </c>
      <c r="B147" s="228" t="str">
        <f t="shared" si="75"/>
        <v>FRUTA_11</v>
      </c>
      <c r="C147" s="338" t="str">
        <f t="shared" si="76"/>
        <v>8_11</v>
      </c>
      <c r="D147" s="398" t="s">
        <v>1</v>
      </c>
      <c r="E147" s="228">
        <v>8</v>
      </c>
      <c r="F147" s="332" t="s">
        <v>55</v>
      </c>
      <c r="G147" s="228" t="s">
        <v>9</v>
      </c>
      <c r="H147" s="427">
        <f t="shared" si="77"/>
        <v>11</v>
      </c>
      <c r="I147" s="427">
        <f t="shared" si="78"/>
        <v>0</v>
      </c>
      <c r="J147" s="428">
        <f t="array" ref="J147">MAX((IF(MNU_CODIGO_ALIMENTO_ENTREGA=CONCATENATE($E147,"_","S_"),MNU_GRAMAJE_REQUERIDO_TIPOA,"")))</f>
        <v>100</v>
      </c>
      <c r="K147" s="229">
        <f t="shared" si="79"/>
        <v>305</v>
      </c>
      <c r="L147" s="229">
        <f t="shared" si="80"/>
        <v>0</v>
      </c>
      <c r="M147" s="229">
        <f t="shared" si="81"/>
        <v>3355</v>
      </c>
      <c r="N147" s="454">
        <f t="shared" si="82"/>
        <v>134</v>
      </c>
      <c r="O147" s="454">
        <f t="shared" si="83"/>
        <v>6.539200000000001</v>
      </c>
      <c r="P147" s="454">
        <f t="shared" si="84"/>
        <v>0.115242144</v>
      </c>
      <c r="Q147" s="454">
        <f t="shared" si="85"/>
        <v>141</v>
      </c>
      <c r="R147" s="230">
        <f t="shared" si="86"/>
        <v>449570</v>
      </c>
      <c r="S147" s="230">
        <f t="shared" si="87"/>
        <v>473055</v>
      </c>
      <c r="T147" s="429">
        <f t="shared" si="88"/>
        <v>11</v>
      </c>
      <c r="U147" s="429">
        <f t="shared" si="89"/>
        <v>0</v>
      </c>
      <c r="V147" s="430">
        <f t="array" ref="V147">MAX((IF(MNU_CODIGO_ALIMENTO_ENTREGA=CONCATENATE($E147,"_","S_"),MNU_GRAMAJE_REQUERIDO_TIPOB,"")))</f>
        <v>100</v>
      </c>
      <c r="W147" s="397">
        <f t="shared" si="90"/>
        <v>75</v>
      </c>
      <c r="X147" s="397">
        <f t="shared" si="91"/>
        <v>0</v>
      </c>
      <c r="Y147" s="397">
        <f t="shared" si="92"/>
        <v>825</v>
      </c>
      <c r="Z147" s="454">
        <f t="shared" si="93"/>
        <v>134</v>
      </c>
      <c r="AA147" s="454">
        <f t="shared" si="94"/>
        <v>6.539200000000001</v>
      </c>
      <c r="AB147" s="454">
        <f t="shared" si="95"/>
        <v>0.115242144</v>
      </c>
      <c r="AC147" s="454">
        <f t="shared" si="96"/>
        <v>141</v>
      </c>
      <c r="AD147" s="231">
        <f t="shared" si="97"/>
        <v>110550</v>
      </c>
      <c r="AE147" s="231">
        <f t="shared" si="98"/>
        <v>116325</v>
      </c>
      <c r="AF147" s="427">
        <f t="shared" si="99"/>
        <v>11</v>
      </c>
      <c r="AG147" s="427">
        <f t="shared" si="100"/>
        <v>0</v>
      </c>
      <c r="AH147" s="428">
        <f t="array" ref="AH147">MAX((IF(MNU_CODIGO_ALIMENTO_ENTREGA=CONCATENATE($E147,"_","S_"),MNU_GRAMAJE_REQUERIDO_TIPOC,"")))</f>
        <v>100</v>
      </c>
      <c r="AI147" s="229">
        <f t="shared" si="101"/>
        <v>1633</v>
      </c>
      <c r="AJ147" s="229">
        <f t="shared" si="102"/>
        <v>0</v>
      </c>
      <c r="AK147" s="229">
        <f t="shared" si="103"/>
        <v>17963</v>
      </c>
      <c r="AL147" s="454">
        <f t="shared" si="104"/>
        <v>134</v>
      </c>
      <c r="AM147" s="454">
        <f t="shared" si="105"/>
        <v>6.539200000000001</v>
      </c>
      <c r="AN147" s="454">
        <f t="shared" si="106"/>
        <v>0.115242144</v>
      </c>
      <c r="AO147" s="454">
        <f t="shared" si="107"/>
        <v>141</v>
      </c>
      <c r="AP147" s="454">
        <f t="shared" si="108"/>
        <v>2407042</v>
      </c>
      <c r="AQ147" s="230">
        <f t="shared" si="109"/>
        <v>2532783</v>
      </c>
      <c r="AR147" s="397">
        <f t="shared" si="110"/>
        <v>2967162</v>
      </c>
      <c r="AS147" s="397">
        <f t="shared" si="111"/>
        <v>3122163</v>
      </c>
    </row>
    <row r="148" spans="1:45" ht="15.75">
      <c r="A148" s="228">
        <v>11</v>
      </c>
      <c r="B148" s="228" t="str">
        <f t="shared" si="75"/>
        <v>FRUTA_11</v>
      </c>
      <c r="C148" s="338" t="str">
        <f t="shared" si="76"/>
        <v>17_11</v>
      </c>
      <c r="D148" s="398" t="s">
        <v>1</v>
      </c>
      <c r="E148" s="228">
        <v>17</v>
      </c>
      <c r="F148" s="332" t="s">
        <v>53</v>
      </c>
      <c r="G148" s="228" t="s">
        <v>9</v>
      </c>
      <c r="H148" s="427">
        <f t="shared" si="77"/>
        <v>0</v>
      </c>
      <c r="I148" s="427">
        <f t="shared" si="78"/>
        <v>0</v>
      </c>
      <c r="J148" s="428">
        <f t="array" ref="J148">MAX((IF(MNU_CODIGO_ALIMENTO_ENTREGA=CONCATENATE($E148,"_","S_"),MNU_GRAMAJE_REQUERIDO_TIPOA,"")))</f>
        <v>0</v>
      </c>
      <c r="K148" s="229">
        <f t="shared" si="79"/>
        <v>305</v>
      </c>
      <c r="L148" s="229">
        <f t="shared" si="80"/>
        <v>0</v>
      </c>
      <c r="M148" s="229">
        <f t="shared" si="81"/>
        <v>0</v>
      </c>
      <c r="N148" s="454">
        <f t="shared" si="82"/>
        <v>0</v>
      </c>
      <c r="O148" s="454">
        <f t="shared" si="83"/>
        <v>0</v>
      </c>
      <c r="P148" s="454">
        <f t="shared" si="84"/>
        <v>0</v>
      </c>
      <c r="Q148" s="454">
        <f t="shared" si="85"/>
        <v>0</v>
      </c>
      <c r="R148" s="230">
        <f t="shared" si="86"/>
        <v>0</v>
      </c>
      <c r="S148" s="230">
        <f t="shared" si="87"/>
        <v>0</v>
      </c>
      <c r="T148" s="429">
        <f t="shared" si="88"/>
        <v>23</v>
      </c>
      <c r="U148" s="429">
        <f t="shared" si="89"/>
        <v>4</v>
      </c>
      <c r="V148" s="430">
        <f t="array" ref="V148">MAX((IF(MNU_CODIGO_ALIMENTO_ENTREGA=CONCATENATE($E148,"_","S_"),MNU_GRAMAJE_REQUERIDO_TIPOB,"")))</f>
        <v>100</v>
      </c>
      <c r="W148" s="397">
        <f t="shared" si="90"/>
        <v>75</v>
      </c>
      <c r="X148" s="397">
        <f t="shared" si="91"/>
        <v>0</v>
      </c>
      <c r="Y148" s="397">
        <f t="shared" si="92"/>
        <v>1725</v>
      </c>
      <c r="Z148" s="454">
        <f t="shared" si="93"/>
        <v>226</v>
      </c>
      <c r="AA148" s="454">
        <f t="shared" si="94"/>
        <v>11.0288</v>
      </c>
      <c r="AB148" s="454">
        <f t="shared" si="95"/>
        <v>0.19436361600000002</v>
      </c>
      <c r="AC148" s="454">
        <f t="shared" si="96"/>
        <v>237</v>
      </c>
      <c r="AD148" s="231">
        <f t="shared" si="97"/>
        <v>389850</v>
      </c>
      <c r="AE148" s="231">
        <f t="shared" si="98"/>
        <v>408825</v>
      </c>
      <c r="AF148" s="427">
        <f t="shared" si="99"/>
        <v>23</v>
      </c>
      <c r="AG148" s="427">
        <f t="shared" si="100"/>
        <v>4</v>
      </c>
      <c r="AH148" s="428">
        <f t="array" ref="AH148">MAX((IF(MNU_CODIGO_ALIMENTO_ENTREGA=CONCATENATE($E148,"_","S_"),MNU_GRAMAJE_REQUERIDO_TIPOC,"")))</f>
        <v>100</v>
      </c>
      <c r="AI148" s="229">
        <f t="shared" si="101"/>
        <v>1633</v>
      </c>
      <c r="AJ148" s="229">
        <f t="shared" si="102"/>
        <v>0</v>
      </c>
      <c r="AK148" s="229">
        <f t="shared" si="103"/>
        <v>37559</v>
      </c>
      <c r="AL148" s="454">
        <f t="shared" si="104"/>
        <v>226</v>
      </c>
      <c r="AM148" s="454">
        <f t="shared" si="105"/>
        <v>11.0288</v>
      </c>
      <c r="AN148" s="454">
        <f t="shared" si="106"/>
        <v>0.19436361600000002</v>
      </c>
      <c r="AO148" s="454">
        <f t="shared" si="107"/>
        <v>237</v>
      </c>
      <c r="AP148" s="454">
        <f t="shared" si="108"/>
        <v>8488334</v>
      </c>
      <c r="AQ148" s="230">
        <f t="shared" si="109"/>
        <v>8901483</v>
      </c>
      <c r="AR148" s="397">
        <f t="shared" si="110"/>
        <v>8878184</v>
      </c>
      <c r="AS148" s="397">
        <f t="shared" si="111"/>
        <v>9310308</v>
      </c>
    </row>
    <row r="149" spans="1:45" ht="15.75">
      <c r="A149" s="228">
        <v>11</v>
      </c>
      <c r="B149" s="228" t="str">
        <f t="shared" si="75"/>
        <v>FRUTA_11</v>
      </c>
      <c r="C149" s="338" t="str">
        <f t="shared" si="76"/>
        <v>22_11</v>
      </c>
      <c r="D149" s="398" t="s">
        <v>1</v>
      </c>
      <c r="E149" s="228">
        <v>22</v>
      </c>
      <c r="F149" s="332" t="s">
        <v>51</v>
      </c>
      <c r="G149" s="228" t="s">
        <v>9</v>
      </c>
      <c r="H149" s="427">
        <f t="shared" si="77"/>
        <v>0</v>
      </c>
      <c r="I149" s="427">
        <f t="shared" si="78"/>
        <v>0</v>
      </c>
      <c r="J149" s="428">
        <f t="array" ref="J149">MAX((IF(MNU_CODIGO_ALIMENTO_ENTREGA=CONCATENATE($E149,"_","S_"),MNU_GRAMAJE_REQUERIDO_TIPOA,"")))</f>
        <v>0</v>
      </c>
      <c r="K149" s="229">
        <f t="shared" si="79"/>
        <v>305</v>
      </c>
      <c r="L149" s="229">
        <f t="shared" si="80"/>
        <v>0</v>
      </c>
      <c r="M149" s="229">
        <f t="shared" si="81"/>
        <v>0</v>
      </c>
      <c r="N149" s="454">
        <f t="shared" si="82"/>
        <v>0</v>
      </c>
      <c r="O149" s="454">
        <f t="shared" si="83"/>
        <v>0</v>
      </c>
      <c r="P149" s="454">
        <f t="shared" si="84"/>
        <v>0</v>
      </c>
      <c r="Q149" s="454">
        <f t="shared" si="85"/>
        <v>0</v>
      </c>
      <c r="R149" s="230">
        <f t="shared" si="86"/>
        <v>0</v>
      </c>
      <c r="S149" s="230">
        <f t="shared" si="87"/>
        <v>0</v>
      </c>
      <c r="T149" s="429">
        <f t="shared" si="88"/>
        <v>23</v>
      </c>
      <c r="U149" s="429">
        <f t="shared" si="89"/>
        <v>4</v>
      </c>
      <c r="V149" s="430">
        <f t="array" ref="V149">MAX((IF(MNU_CODIGO_ALIMENTO_ENTREGA=CONCATENATE($E149,"_","S_"),MNU_GRAMAJE_REQUERIDO_TIPOB,"")))</f>
        <v>100</v>
      </c>
      <c r="W149" s="397">
        <f t="shared" si="90"/>
        <v>75</v>
      </c>
      <c r="X149" s="397">
        <f t="shared" si="91"/>
        <v>0</v>
      </c>
      <c r="Y149" s="397">
        <f t="shared" si="92"/>
        <v>1725</v>
      </c>
      <c r="Z149" s="454">
        <f t="shared" si="93"/>
        <v>525</v>
      </c>
      <c r="AA149" s="454">
        <f t="shared" si="94"/>
        <v>25.62</v>
      </c>
      <c r="AB149" s="454">
        <f t="shared" si="95"/>
        <v>0.45150840000000003</v>
      </c>
      <c r="AC149" s="454">
        <f t="shared" si="96"/>
        <v>551</v>
      </c>
      <c r="AD149" s="231">
        <f t="shared" si="97"/>
        <v>905625</v>
      </c>
      <c r="AE149" s="231">
        <f t="shared" si="98"/>
        <v>950475</v>
      </c>
      <c r="AF149" s="427">
        <f t="shared" si="99"/>
        <v>23</v>
      </c>
      <c r="AG149" s="427">
        <f t="shared" si="100"/>
        <v>4</v>
      </c>
      <c r="AH149" s="428">
        <f t="array" ref="AH149">MAX((IF(MNU_CODIGO_ALIMENTO_ENTREGA=CONCATENATE($E149,"_","S_"),MNU_GRAMAJE_REQUERIDO_TIPOC,"")))</f>
        <v>100</v>
      </c>
      <c r="AI149" s="229">
        <f t="shared" si="101"/>
        <v>1633</v>
      </c>
      <c r="AJ149" s="229">
        <f t="shared" si="102"/>
        <v>0</v>
      </c>
      <c r="AK149" s="229">
        <f t="shared" si="103"/>
        <v>37559</v>
      </c>
      <c r="AL149" s="454">
        <f t="shared" si="104"/>
        <v>525</v>
      </c>
      <c r="AM149" s="454">
        <f t="shared" si="105"/>
        <v>25.62</v>
      </c>
      <c r="AN149" s="454">
        <f t="shared" si="106"/>
        <v>0.45150840000000003</v>
      </c>
      <c r="AO149" s="454">
        <f t="shared" si="107"/>
        <v>551</v>
      </c>
      <c r="AP149" s="454">
        <f t="shared" si="108"/>
        <v>19718475</v>
      </c>
      <c r="AQ149" s="230">
        <f t="shared" si="109"/>
        <v>20695009</v>
      </c>
      <c r="AR149" s="397">
        <f t="shared" si="110"/>
        <v>20624100</v>
      </c>
      <c r="AS149" s="397">
        <f t="shared" si="111"/>
        <v>21645484</v>
      </c>
    </row>
    <row r="150" spans="1:45" ht="15.75">
      <c r="A150" s="228">
        <v>11</v>
      </c>
      <c r="B150" s="228" t="str">
        <f t="shared" si="75"/>
        <v>FRUTA_11</v>
      </c>
      <c r="C150" s="338" t="str">
        <f t="shared" si="76"/>
        <v>33_11</v>
      </c>
      <c r="D150" s="398" t="s">
        <v>1</v>
      </c>
      <c r="E150" s="228">
        <v>33</v>
      </c>
      <c r="F150" s="332" t="s">
        <v>59</v>
      </c>
      <c r="G150" s="228" t="s">
        <v>48</v>
      </c>
      <c r="H150" s="427">
        <f t="shared" si="77"/>
        <v>29</v>
      </c>
      <c r="I150" s="427">
        <f t="shared" si="78"/>
        <v>5</v>
      </c>
      <c r="J150" s="428">
        <v>1</v>
      </c>
      <c r="K150" s="229">
        <f t="shared" si="79"/>
        <v>305</v>
      </c>
      <c r="L150" s="229">
        <f t="shared" si="80"/>
        <v>0</v>
      </c>
      <c r="M150" s="229">
        <f t="shared" si="81"/>
        <v>8845</v>
      </c>
      <c r="N150" s="454">
        <f t="shared" si="82"/>
        <v>270</v>
      </c>
      <c r="O150" s="454">
        <f t="shared" si="83"/>
        <v>13.176000000000002</v>
      </c>
      <c r="P150" s="454">
        <f t="shared" si="84"/>
        <v>0.23220432000000002</v>
      </c>
      <c r="Q150" s="454">
        <f t="shared" si="85"/>
        <v>283</v>
      </c>
      <c r="R150" s="230">
        <f t="shared" si="86"/>
        <v>2388150</v>
      </c>
      <c r="S150" s="230">
        <f t="shared" si="87"/>
        <v>2503135</v>
      </c>
      <c r="T150" s="429">
        <f t="shared" si="88"/>
        <v>23</v>
      </c>
      <c r="U150" s="429">
        <f t="shared" si="89"/>
        <v>2</v>
      </c>
      <c r="V150" s="430">
        <v>1</v>
      </c>
      <c r="W150" s="397">
        <f t="shared" si="90"/>
        <v>75</v>
      </c>
      <c r="X150" s="397">
        <f t="shared" si="91"/>
        <v>0</v>
      </c>
      <c r="Y150" s="397">
        <f t="shared" si="92"/>
        <v>1725</v>
      </c>
      <c r="Z150" s="454">
        <f t="shared" si="93"/>
        <v>270</v>
      </c>
      <c r="AA150" s="454">
        <f t="shared" si="94"/>
        <v>13.176000000000002</v>
      </c>
      <c r="AB150" s="454">
        <f t="shared" si="95"/>
        <v>0.23220432000000002</v>
      </c>
      <c r="AC150" s="454">
        <f t="shared" si="96"/>
        <v>283</v>
      </c>
      <c r="AD150" s="231">
        <f t="shared" si="97"/>
        <v>465750</v>
      </c>
      <c r="AE150" s="231">
        <f t="shared" si="98"/>
        <v>488175</v>
      </c>
      <c r="AF150" s="427">
        <f t="shared" si="99"/>
        <v>23</v>
      </c>
      <c r="AG150" s="427">
        <f t="shared" si="100"/>
        <v>2</v>
      </c>
      <c r="AH150" s="428">
        <v>1</v>
      </c>
      <c r="AI150" s="229">
        <f t="shared" si="101"/>
        <v>1633</v>
      </c>
      <c r="AJ150" s="229">
        <f t="shared" si="102"/>
        <v>0</v>
      </c>
      <c r="AK150" s="229">
        <f t="shared" si="103"/>
        <v>37559</v>
      </c>
      <c r="AL150" s="454">
        <f t="shared" si="104"/>
        <v>270</v>
      </c>
      <c r="AM150" s="454">
        <f t="shared" si="105"/>
        <v>13.176000000000002</v>
      </c>
      <c r="AN150" s="454">
        <f t="shared" si="106"/>
        <v>0.23220432000000002</v>
      </c>
      <c r="AO150" s="454">
        <f t="shared" si="107"/>
        <v>283</v>
      </c>
      <c r="AP150" s="454">
        <f t="shared" si="108"/>
        <v>10140930</v>
      </c>
      <c r="AQ150" s="230">
        <f t="shared" si="109"/>
        <v>10629197</v>
      </c>
      <c r="AR150" s="397">
        <f t="shared" si="110"/>
        <v>12994830</v>
      </c>
      <c r="AS150" s="397">
        <f t="shared" si="111"/>
        <v>13620507</v>
      </c>
    </row>
    <row r="151" spans="1:45" ht="15.75">
      <c r="A151" s="228">
        <v>11</v>
      </c>
      <c r="B151" s="228" t="str">
        <f t="shared" si="75"/>
        <v>FRUTA_11</v>
      </c>
      <c r="C151" s="338" t="str">
        <f t="shared" si="76"/>
        <v>36_11</v>
      </c>
      <c r="D151" s="398" t="s">
        <v>1</v>
      </c>
      <c r="E151" s="228">
        <v>36</v>
      </c>
      <c r="F151" s="332" t="s">
        <v>1340</v>
      </c>
      <c r="G151" s="228" t="s">
        <v>9</v>
      </c>
      <c r="H151" s="427">
        <f t="shared" si="77"/>
        <v>8</v>
      </c>
      <c r="I151" s="427">
        <f t="shared" si="78"/>
        <v>0</v>
      </c>
      <c r="J151" s="428">
        <f t="array" ref="J151">MAX((IF(MNU_CODIGO_ALIMENTO_ENTREGA=CONCATENATE($E151,"_","S_"),MNU_GRAMAJE_REQUERIDO_TIPOA,"")))</f>
        <v>20</v>
      </c>
      <c r="K151" s="229">
        <f t="shared" si="79"/>
        <v>305</v>
      </c>
      <c r="L151" s="229">
        <f t="shared" si="80"/>
        <v>0</v>
      </c>
      <c r="M151" s="229">
        <f t="shared" si="81"/>
        <v>2440</v>
      </c>
      <c r="N151" s="454">
        <f t="shared" si="82"/>
        <v>126</v>
      </c>
      <c r="O151" s="454">
        <f t="shared" si="83"/>
        <v>6.1488000000000005</v>
      </c>
      <c r="P151" s="454">
        <f t="shared" si="84"/>
        <v>0.10836201599999999</v>
      </c>
      <c r="Q151" s="454">
        <f t="shared" si="85"/>
        <v>132</v>
      </c>
      <c r="R151" s="230">
        <f t="shared" si="86"/>
        <v>307440</v>
      </c>
      <c r="S151" s="230">
        <f t="shared" si="87"/>
        <v>322080</v>
      </c>
      <c r="T151" s="429">
        <f t="shared" si="88"/>
        <v>8</v>
      </c>
      <c r="U151" s="429">
        <f t="shared" si="89"/>
        <v>0</v>
      </c>
      <c r="V151" s="430">
        <f t="array" ref="V151">MAX((IF(MNU_CODIGO_ALIMENTO_ENTREGA=CONCATENATE($E151,"_","S_"),MNU_GRAMAJE_REQUERIDO_TIPOB,"")))</f>
        <v>40</v>
      </c>
      <c r="W151" s="397">
        <f t="shared" si="90"/>
        <v>75</v>
      </c>
      <c r="X151" s="397">
        <f t="shared" si="91"/>
        <v>0</v>
      </c>
      <c r="Y151" s="397">
        <f t="shared" si="92"/>
        <v>600</v>
      </c>
      <c r="Z151" s="454">
        <f t="shared" si="93"/>
        <v>252</v>
      </c>
      <c r="AA151" s="454">
        <f t="shared" si="94"/>
        <v>12.297600000000001</v>
      </c>
      <c r="AB151" s="454">
        <f t="shared" si="95"/>
        <v>0.21672403199999998</v>
      </c>
      <c r="AC151" s="454">
        <f t="shared" si="96"/>
        <v>265</v>
      </c>
      <c r="AD151" s="231">
        <f t="shared" si="97"/>
        <v>151200</v>
      </c>
      <c r="AE151" s="231">
        <f t="shared" si="98"/>
        <v>159000</v>
      </c>
      <c r="AF151" s="427">
        <f t="shared" si="99"/>
        <v>8</v>
      </c>
      <c r="AG151" s="427">
        <f t="shared" si="100"/>
        <v>0</v>
      </c>
      <c r="AH151" s="428">
        <f t="array" ref="AH151">MAX((IF(MNU_CODIGO_ALIMENTO_ENTREGA=CONCATENATE($E151,"_","S_"),MNU_GRAMAJE_REQUERIDO_TIPOC,"")))</f>
        <v>40</v>
      </c>
      <c r="AI151" s="229">
        <f t="shared" si="101"/>
        <v>1633</v>
      </c>
      <c r="AJ151" s="229">
        <f t="shared" si="102"/>
        <v>0</v>
      </c>
      <c r="AK151" s="229">
        <f t="shared" si="103"/>
        <v>13064</v>
      </c>
      <c r="AL151" s="454">
        <f t="shared" si="104"/>
        <v>252</v>
      </c>
      <c r="AM151" s="454">
        <f t="shared" si="105"/>
        <v>12.297600000000001</v>
      </c>
      <c r="AN151" s="454">
        <f t="shared" si="106"/>
        <v>0.21672403199999998</v>
      </c>
      <c r="AO151" s="454">
        <f t="shared" si="107"/>
        <v>265</v>
      </c>
      <c r="AP151" s="454">
        <f t="shared" si="108"/>
        <v>3292128</v>
      </c>
      <c r="AQ151" s="230">
        <f t="shared" si="109"/>
        <v>3461960</v>
      </c>
      <c r="AR151" s="397">
        <f t="shared" si="110"/>
        <v>3750768</v>
      </c>
      <c r="AS151" s="397">
        <f t="shared" si="111"/>
        <v>3943040</v>
      </c>
    </row>
    <row r="152" spans="1:45" ht="15.75">
      <c r="A152" s="228">
        <v>11</v>
      </c>
      <c r="B152" s="228" t="str">
        <f t="shared" si="75"/>
        <v>FRUTA_11</v>
      </c>
      <c r="C152" s="338" t="str">
        <f t="shared" si="76"/>
        <v>42_11</v>
      </c>
      <c r="D152" s="398" t="s">
        <v>1</v>
      </c>
      <c r="E152" s="228">
        <v>42</v>
      </c>
      <c r="F152" s="332" t="s">
        <v>61</v>
      </c>
      <c r="G152" s="228" t="s">
        <v>9</v>
      </c>
      <c r="H152" s="427">
        <f t="shared" si="77"/>
        <v>36</v>
      </c>
      <c r="I152" s="427">
        <f t="shared" si="78"/>
        <v>8</v>
      </c>
      <c r="J152" s="428">
        <f t="array" ref="J152">MAX((IF(MNU_CODIGO_ALIMENTO_ENTREGA=CONCATENATE($E152,"_","S_"),MNU_GRAMAJE_REQUERIDO_TIPOA,"")))</f>
        <v>100</v>
      </c>
      <c r="K152" s="229">
        <f t="shared" si="79"/>
        <v>305</v>
      </c>
      <c r="L152" s="229">
        <f t="shared" si="80"/>
        <v>0</v>
      </c>
      <c r="M152" s="229">
        <f t="shared" si="81"/>
        <v>10980</v>
      </c>
      <c r="N152" s="454">
        <f t="shared" si="82"/>
        <v>194</v>
      </c>
      <c r="O152" s="454">
        <f t="shared" si="83"/>
        <v>9.4672000000000001</v>
      </c>
      <c r="P152" s="454">
        <f t="shared" si="84"/>
        <v>0.16684310399999999</v>
      </c>
      <c r="Q152" s="454">
        <f t="shared" si="85"/>
        <v>204</v>
      </c>
      <c r="R152" s="230">
        <f t="shared" si="86"/>
        <v>2130120</v>
      </c>
      <c r="S152" s="230">
        <f t="shared" si="87"/>
        <v>2239920</v>
      </c>
      <c r="T152" s="429">
        <f t="shared" si="88"/>
        <v>19</v>
      </c>
      <c r="U152" s="429">
        <f t="shared" si="89"/>
        <v>8</v>
      </c>
      <c r="V152" s="430">
        <f t="array" ref="V152">MAX((IF(MNU_CODIGO_ALIMENTO_ENTREGA=CONCATENATE($E152,"_","S_"),MNU_GRAMAJE_REQUERIDO_TIPOB,"")))</f>
        <v>100</v>
      </c>
      <c r="W152" s="397">
        <f t="shared" si="90"/>
        <v>75</v>
      </c>
      <c r="X152" s="397">
        <f t="shared" si="91"/>
        <v>0</v>
      </c>
      <c r="Y152" s="397">
        <f t="shared" si="92"/>
        <v>1425</v>
      </c>
      <c r="Z152" s="454">
        <f t="shared" si="93"/>
        <v>194</v>
      </c>
      <c r="AA152" s="454">
        <f t="shared" si="94"/>
        <v>9.4672000000000001</v>
      </c>
      <c r="AB152" s="454">
        <f t="shared" si="95"/>
        <v>0.16684310399999999</v>
      </c>
      <c r="AC152" s="454">
        <f t="shared" si="96"/>
        <v>204</v>
      </c>
      <c r="AD152" s="231">
        <f t="shared" si="97"/>
        <v>276450</v>
      </c>
      <c r="AE152" s="231">
        <f t="shared" si="98"/>
        <v>290700</v>
      </c>
      <c r="AF152" s="427">
        <f t="shared" si="99"/>
        <v>19</v>
      </c>
      <c r="AG152" s="427">
        <f t="shared" si="100"/>
        <v>8</v>
      </c>
      <c r="AH152" s="428">
        <f t="array" ref="AH152">MAX((IF(MNU_CODIGO_ALIMENTO_ENTREGA=CONCATENATE($E152,"_","S_"),MNU_GRAMAJE_REQUERIDO_TIPOC,"")))</f>
        <v>100</v>
      </c>
      <c r="AI152" s="229">
        <f t="shared" si="101"/>
        <v>1633</v>
      </c>
      <c r="AJ152" s="229">
        <f t="shared" si="102"/>
        <v>0</v>
      </c>
      <c r="AK152" s="229">
        <f t="shared" si="103"/>
        <v>31027</v>
      </c>
      <c r="AL152" s="454">
        <f t="shared" si="104"/>
        <v>194</v>
      </c>
      <c r="AM152" s="454">
        <f t="shared" si="105"/>
        <v>9.4672000000000001</v>
      </c>
      <c r="AN152" s="454">
        <f t="shared" si="106"/>
        <v>0.16684310399999999</v>
      </c>
      <c r="AO152" s="454">
        <f t="shared" si="107"/>
        <v>204</v>
      </c>
      <c r="AP152" s="454">
        <f t="shared" si="108"/>
        <v>6019238</v>
      </c>
      <c r="AQ152" s="230">
        <f t="shared" si="109"/>
        <v>6329508</v>
      </c>
      <c r="AR152" s="397">
        <f t="shared" si="110"/>
        <v>8425808</v>
      </c>
      <c r="AS152" s="397">
        <f t="shared" si="111"/>
        <v>8860128</v>
      </c>
    </row>
    <row r="153" spans="1:45" ht="15.75">
      <c r="A153" s="228">
        <v>11</v>
      </c>
      <c r="B153" s="228" t="str">
        <f t="shared" si="75"/>
        <v>FRUTA_11</v>
      </c>
      <c r="C153" s="338" t="str">
        <f t="shared" si="76"/>
        <v>43_11</v>
      </c>
      <c r="D153" s="398" t="s">
        <v>1</v>
      </c>
      <c r="E153" s="228">
        <v>43</v>
      </c>
      <c r="F153" s="332" t="s">
        <v>62</v>
      </c>
      <c r="G153" s="228" t="s">
        <v>9</v>
      </c>
      <c r="H153" s="427">
        <f t="shared" si="77"/>
        <v>29</v>
      </c>
      <c r="I153" s="427">
        <f t="shared" si="78"/>
        <v>6</v>
      </c>
      <c r="J153" s="428">
        <f t="array" ref="J153">MAX((IF(MNU_CODIGO_ALIMENTO_ENTREGA=CONCATENATE($E153,"_","S_"),MNU_GRAMAJE_REQUERIDO_TIPOA,"")))</f>
        <v>100</v>
      </c>
      <c r="K153" s="229">
        <f t="shared" si="79"/>
        <v>305</v>
      </c>
      <c r="L153" s="229">
        <f t="shared" si="80"/>
        <v>0</v>
      </c>
      <c r="M153" s="229">
        <f t="shared" si="81"/>
        <v>8845</v>
      </c>
      <c r="N153" s="454">
        <f t="shared" si="82"/>
        <v>170</v>
      </c>
      <c r="O153" s="454">
        <f t="shared" si="83"/>
        <v>8.2959999999999994</v>
      </c>
      <c r="P153" s="454">
        <f t="shared" si="84"/>
        <v>0.14620272000000001</v>
      </c>
      <c r="Q153" s="454">
        <f t="shared" si="85"/>
        <v>178</v>
      </c>
      <c r="R153" s="230">
        <f t="shared" si="86"/>
        <v>1503650</v>
      </c>
      <c r="S153" s="230">
        <f t="shared" si="87"/>
        <v>1574410</v>
      </c>
      <c r="T153" s="429">
        <f t="shared" si="88"/>
        <v>23</v>
      </c>
      <c r="U153" s="429">
        <f t="shared" si="89"/>
        <v>1</v>
      </c>
      <c r="V153" s="430">
        <f t="array" ref="V153">MAX((IF(MNU_CODIGO_ALIMENTO_ENTREGA=CONCATENATE($E153,"_","S_"),MNU_GRAMAJE_REQUERIDO_TIPOB,"")))</f>
        <v>100</v>
      </c>
      <c r="W153" s="397">
        <f t="shared" si="90"/>
        <v>75</v>
      </c>
      <c r="X153" s="397">
        <f t="shared" si="91"/>
        <v>0</v>
      </c>
      <c r="Y153" s="397">
        <f t="shared" si="92"/>
        <v>1725</v>
      </c>
      <c r="Z153" s="454">
        <f t="shared" si="93"/>
        <v>170</v>
      </c>
      <c r="AA153" s="454">
        <f t="shared" si="94"/>
        <v>8.2959999999999994</v>
      </c>
      <c r="AB153" s="454">
        <f t="shared" si="95"/>
        <v>0.14620272000000001</v>
      </c>
      <c r="AC153" s="454">
        <f t="shared" si="96"/>
        <v>178</v>
      </c>
      <c r="AD153" s="231">
        <f t="shared" si="97"/>
        <v>293250</v>
      </c>
      <c r="AE153" s="231">
        <f t="shared" si="98"/>
        <v>307050</v>
      </c>
      <c r="AF153" s="427">
        <f t="shared" si="99"/>
        <v>23</v>
      </c>
      <c r="AG153" s="427">
        <f t="shared" si="100"/>
        <v>1</v>
      </c>
      <c r="AH153" s="428">
        <f t="array" ref="AH153">MAX((IF(MNU_CODIGO_ALIMENTO_ENTREGA=CONCATENATE($E153,"_","S_"),MNU_GRAMAJE_REQUERIDO_TIPOC,"")))</f>
        <v>100</v>
      </c>
      <c r="AI153" s="229">
        <f t="shared" si="101"/>
        <v>1633</v>
      </c>
      <c r="AJ153" s="229">
        <f t="shared" si="102"/>
        <v>0</v>
      </c>
      <c r="AK153" s="229">
        <f t="shared" si="103"/>
        <v>37559</v>
      </c>
      <c r="AL153" s="454">
        <f t="shared" si="104"/>
        <v>170</v>
      </c>
      <c r="AM153" s="454">
        <f t="shared" si="105"/>
        <v>8.2959999999999994</v>
      </c>
      <c r="AN153" s="454">
        <f t="shared" si="106"/>
        <v>0.14620272000000001</v>
      </c>
      <c r="AO153" s="454">
        <f t="shared" si="107"/>
        <v>178</v>
      </c>
      <c r="AP153" s="454">
        <f t="shared" si="108"/>
        <v>6385030</v>
      </c>
      <c r="AQ153" s="230">
        <f t="shared" si="109"/>
        <v>6685502</v>
      </c>
      <c r="AR153" s="397">
        <f t="shared" si="110"/>
        <v>8181930</v>
      </c>
      <c r="AS153" s="397">
        <f t="shared" si="111"/>
        <v>8566962</v>
      </c>
    </row>
    <row r="154" spans="1:45" ht="15.75">
      <c r="A154" s="228">
        <v>11</v>
      </c>
      <c r="B154" s="228" t="str">
        <f t="shared" si="75"/>
        <v>FRUTA_11</v>
      </c>
      <c r="C154" s="338" t="str">
        <f t="shared" si="76"/>
        <v>46_11</v>
      </c>
      <c r="D154" s="398" t="s">
        <v>1</v>
      </c>
      <c r="E154" s="228">
        <v>46</v>
      </c>
      <c r="F154" s="332" t="s">
        <v>64</v>
      </c>
      <c r="G154" s="228" t="s">
        <v>9</v>
      </c>
      <c r="H154" s="427">
        <f t="shared" si="77"/>
        <v>29</v>
      </c>
      <c r="I154" s="427">
        <f t="shared" si="78"/>
        <v>4</v>
      </c>
      <c r="J154" s="428">
        <f t="array" ref="J154">MAX((IF(MNU_CODIGO_ALIMENTO_ENTREGA=CONCATENATE($E154,"_","S_"),MNU_GRAMAJE_REQUERIDO_TIPOA,"")))</f>
        <v>100</v>
      </c>
      <c r="K154" s="229">
        <f t="shared" si="79"/>
        <v>305</v>
      </c>
      <c r="L154" s="229">
        <f t="shared" si="80"/>
        <v>0</v>
      </c>
      <c r="M154" s="229">
        <f t="shared" si="81"/>
        <v>8845</v>
      </c>
      <c r="N154" s="454">
        <f t="shared" si="82"/>
        <v>398</v>
      </c>
      <c r="O154" s="454">
        <f t="shared" si="83"/>
        <v>19.4224</v>
      </c>
      <c r="P154" s="454">
        <f t="shared" si="84"/>
        <v>0.34228636800000001</v>
      </c>
      <c r="Q154" s="454">
        <f t="shared" si="85"/>
        <v>418</v>
      </c>
      <c r="R154" s="230">
        <f t="shared" si="86"/>
        <v>3520310</v>
      </c>
      <c r="S154" s="230">
        <f t="shared" si="87"/>
        <v>3697210</v>
      </c>
      <c r="T154" s="429">
        <f t="shared" si="88"/>
        <v>24</v>
      </c>
      <c r="U154" s="429">
        <f t="shared" si="89"/>
        <v>3</v>
      </c>
      <c r="V154" s="430">
        <f t="array" ref="V154">MAX((IF(MNU_CODIGO_ALIMENTO_ENTREGA=CONCATENATE($E154,"_","S_"),MNU_GRAMAJE_REQUERIDO_TIPOB,"")))</f>
        <v>100</v>
      </c>
      <c r="W154" s="397">
        <f t="shared" si="90"/>
        <v>75</v>
      </c>
      <c r="X154" s="397">
        <f t="shared" si="91"/>
        <v>0</v>
      </c>
      <c r="Y154" s="397">
        <f t="shared" si="92"/>
        <v>1800</v>
      </c>
      <c r="Z154" s="454">
        <f t="shared" si="93"/>
        <v>398</v>
      </c>
      <c r="AA154" s="454">
        <f t="shared" si="94"/>
        <v>19.4224</v>
      </c>
      <c r="AB154" s="454">
        <f t="shared" si="95"/>
        <v>0.34228636800000001</v>
      </c>
      <c r="AC154" s="454">
        <f t="shared" si="96"/>
        <v>418</v>
      </c>
      <c r="AD154" s="231">
        <f t="shared" si="97"/>
        <v>716400</v>
      </c>
      <c r="AE154" s="231">
        <f t="shared" si="98"/>
        <v>752400</v>
      </c>
      <c r="AF154" s="427">
        <f t="shared" si="99"/>
        <v>24</v>
      </c>
      <c r="AG154" s="427">
        <f t="shared" si="100"/>
        <v>3</v>
      </c>
      <c r="AH154" s="428">
        <f t="array" ref="AH154">MAX((IF(MNU_CODIGO_ALIMENTO_ENTREGA=CONCATENATE($E154,"_","S_"),MNU_GRAMAJE_REQUERIDO_TIPOC,"")))</f>
        <v>100</v>
      </c>
      <c r="AI154" s="229">
        <f t="shared" si="101"/>
        <v>1633</v>
      </c>
      <c r="AJ154" s="229">
        <f t="shared" si="102"/>
        <v>0</v>
      </c>
      <c r="AK154" s="229">
        <f t="shared" si="103"/>
        <v>39192</v>
      </c>
      <c r="AL154" s="454">
        <f t="shared" si="104"/>
        <v>398</v>
      </c>
      <c r="AM154" s="454">
        <f t="shared" si="105"/>
        <v>19.4224</v>
      </c>
      <c r="AN154" s="454">
        <f t="shared" si="106"/>
        <v>0.34228636800000001</v>
      </c>
      <c r="AO154" s="454">
        <f t="shared" si="107"/>
        <v>418</v>
      </c>
      <c r="AP154" s="454">
        <f t="shared" si="108"/>
        <v>15598416</v>
      </c>
      <c r="AQ154" s="230">
        <f t="shared" si="109"/>
        <v>16382256</v>
      </c>
      <c r="AR154" s="397">
        <f t="shared" si="110"/>
        <v>19835126</v>
      </c>
      <c r="AS154" s="397">
        <f t="shared" si="111"/>
        <v>20831866</v>
      </c>
    </row>
    <row r="155" spans="1:45" ht="15.75">
      <c r="A155" s="228">
        <v>11</v>
      </c>
      <c r="B155" s="228" t="str">
        <f t="shared" si="75"/>
        <v>FRUTA_11</v>
      </c>
      <c r="C155" s="338" t="str">
        <f t="shared" si="76"/>
        <v>58_11</v>
      </c>
      <c r="D155" s="398" t="s">
        <v>1</v>
      </c>
      <c r="E155" s="228">
        <v>58</v>
      </c>
      <c r="F155" s="332" t="s">
        <v>67</v>
      </c>
      <c r="G155" s="228" t="s">
        <v>9</v>
      </c>
      <c r="H155" s="427">
        <f t="shared" si="77"/>
        <v>28</v>
      </c>
      <c r="I155" s="427">
        <f t="shared" si="78"/>
        <v>5</v>
      </c>
      <c r="J155" s="428">
        <f t="array" ref="J155">MAX((IF(MNU_CODIGO_ALIMENTO_ENTREGA=CONCATENATE($E155,"_","S_"),MNU_GRAMAJE_REQUERIDO_TIPOA,"")))</f>
        <v>100</v>
      </c>
      <c r="K155" s="229">
        <f t="shared" si="79"/>
        <v>305</v>
      </c>
      <c r="L155" s="229">
        <f t="shared" si="80"/>
        <v>0</v>
      </c>
      <c r="M155" s="229">
        <f t="shared" si="81"/>
        <v>8540</v>
      </c>
      <c r="N155" s="454">
        <f t="shared" si="82"/>
        <v>154</v>
      </c>
      <c r="O155" s="454">
        <f t="shared" si="83"/>
        <v>7.515200000000001</v>
      </c>
      <c r="P155" s="454">
        <f t="shared" si="84"/>
        <v>0.13244246400000001</v>
      </c>
      <c r="Q155" s="454">
        <f t="shared" si="85"/>
        <v>162</v>
      </c>
      <c r="R155" s="230">
        <f t="shared" si="86"/>
        <v>1315160</v>
      </c>
      <c r="S155" s="230">
        <f t="shared" si="87"/>
        <v>1383480</v>
      </c>
      <c r="T155" s="429">
        <f t="shared" si="88"/>
        <v>23</v>
      </c>
      <c r="U155" s="429">
        <f t="shared" si="89"/>
        <v>3</v>
      </c>
      <c r="V155" s="430">
        <f t="array" ref="V155">MAX((IF(MNU_CODIGO_ALIMENTO_ENTREGA=CONCATENATE($E155,"_","S_"),MNU_GRAMAJE_REQUERIDO_TIPOB,"")))</f>
        <v>100</v>
      </c>
      <c r="W155" s="397">
        <f t="shared" si="90"/>
        <v>75</v>
      </c>
      <c r="X155" s="397">
        <f t="shared" si="91"/>
        <v>0</v>
      </c>
      <c r="Y155" s="397">
        <f t="shared" si="92"/>
        <v>1725</v>
      </c>
      <c r="Z155" s="454">
        <f t="shared" si="93"/>
        <v>154</v>
      </c>
      <c r="AA155" s="454">
        <f t="shared" si="94"/>
        <v>7.515200000000001</v>
      </c>
      <c r="AB155" s="454">
        <f t="shared" si="95"/>
        <v>0.13244246400000001</v>
      </c>
      <c r="AC155" s="454">
        <f t="shared" si="96"/>
        <v>162</v>
      </c>
      <c r="AD155" s="231">
        <f t="shared" si="97"/>
        <v>265650</v>
      </c>
      <c r="AE155" s="231">
        <f t="shared" si="98"/>
        <v>279450</v>
      </c>
      <c r="AF155" s="427">
        <f t="shared" si="99"/>
        <v>23</v>
      </c>
      <c r="AG155" s="427">
        <f t="shared" si="100"/>
        <v>3</v>
      </c>
      <c r="AH155" s="428">
        <f t="array" ref="AH155">MAX((IF(MNU_CODIGO_ALIMENTO_ENTREGA=CONCATENATE($E155,"_","S_"),MNU_GRAMAJE_REQUERIDO_TIPOC,"")))</f>
        <v>100</v>
      </c>
      <c r="AI155" s="229">
        <f t="shared" si="101"/>
        <v>1633</v>
      </c>
      <c r="AJ155" s="229">
        <f t="shared" si="102"/>
        <v>0</v>
      </c>
      <c r="AK155" s="229">
        <f t="shared" si="103"/>
        <v>37559</v>
      </c>
      <c r="AL155" s="454">
        <f t="shared" si="104"/>
        <v>154</v>
      </c>
      <c r="AM155" s="454">
        <f t="shared" si="105"/>
        <v>7.515200000000001</v>
      </c>
      <c r="AN155" s="454">
        <f t="shared" si="106"/>
        <v>0.13244246400000001</v>
      </c>
      <c r="AO155" s="454">
        <f t="shared" si="107"/>
        <v>162</v>
      </c>
      <c r="AP155" s="454">
        <f t="shared" si="108"/>
        <v>5784086</v>
      </c>
      <c r="AQ155" s="230">
        <f t="shared" si="109"/>
        <v>6084558</v>
      </c>
      <c r="AR155" s="397">
        <f t="shared" si="110"/>
        <v>7364896</v>
      </c>
      <c r="AS155" s="397">
        <f t="shared" si="111"/>
        <v>7747488</v>
      </c>
    </row>
    <row r="156" spans="1:45" ht="15.75">
      <c r="A156" s="228">
        <v>11</v>
      </c>
      <c r="B156" s="228" t="str">
        <f t="shared" si="75"/>
        <v>FRUTA_11</v>
      </c>
      <c r="C156" s="338" t="str">
        <f t="shared" si="76"/>
        <v>59_11</v>
      </c>
      <c r="D156" s="398" t="s">
        <v>1</v>
      </c>
      <c r="E156" s="228">
        <v>59</v>
      </c>
      <c r="F156" s="332" t="s">
        <v>99</v>
      </c>
      <c r="G156" s="228" t="s">
        <v>9</v>
      </c>
      <c r="H156" s="427">
        <f t="shared" si="77"/>
        <v>0</v>
      </c>
      <c r="I156" s="427">
        <f t="shared" si="78"/>
        <v>0</v>
      </c>
      <c r="J156" s="428">
        <f t="array" ref="J156">MAX((IF(MNU_CODIGO_ALIMENTO_ENTREGA=CONCATENATE($E156,"_","S_"),MNU_GRAMAJE_REQUERIDO_TIPOA,"")))</f>
        <v>0</v>
      </c>
      <c r="K156" s="229">
        <f t="shared" si="79"/>
        <v>305</v>
      </c>
      <c r="L156" s="229">
        <f t="shared" si="80"/>
        <v>0</v>
      </c>
      <c r="M156" s="229">
        <f t="shared" si="81"/>
        <v>0</v>
      </c>
      <c r="N156" s="454">
        <f t="shared" si="82"/>
        <v>0</v>
      </c>
      <c r="O156" s="454">
        <f t="shared" si="83"/>
        <v>0</v>
      </c>
      <c r="P156" s="454">
        <f t="shared" si="84"/>
        <v>0</v>
      </c>
      <c r="Q156" s="454">
        <f t="shared" si="85"/>
        <v>0</v>
      </c>
      <c r="R156" s="230">
        <f t="shared" si="86"/>
        <v>0</v>
      </c>
      <c r="S156" s="230">
        <f t="shared" si="87"/>
        <v>0</v>
      </c>
      <c r="T156" s="429">
        <f t="shared" si="88"/>
        <v>11</v>
      </c>
      <c r="U156" s="429">
        <f t="shared" si="89"/>
        <v>0</v>
      </c>
      <c r="V156" s="430">
        <f t="array" ref="V156">MAX((IF(MNU_CODIGO_ALIMENTO_ENTREGA=CONCATENATE($E156,"_","S_"),MNU_GRAMAJE_REQUERIDO_TIPOB,"")))</f>
        <v>100</v>
      </c>
      <c r="W156" s="397">
        <f t="shared" si="90"/>
        <v>75</v>
      </c>
      <c r="X156" s="397">
        <f t="shared" si="91"/>
        <v>0</v>
      </c>
      <c r="Y156" s="397">
        <f t="shared" si="92"/>
        <v>825</v>
      </c>
      <c r="Z156" s="454">
        <f t="shared" si="93"/>
        <v>286</v>
      </c>
      <c r="AA156" s="454">
        <f t="shared" si="94"/>
        <v>13.956800000000001</v>
      </c>
      <c r="AB156" s="454">
        <f t="shared" si="95"/>
        <v>0.24596457599999999</v>
      </c>
      <c r="AC156" s="454">
        <f t="shared" si="96"/>
        <v>300</v>
      </c>
      <c r="AD156" s="231">
        <f t="shared" si="97"/>
        <v>235950</v>
      </c>
      <c r="AE156" s="231">
        <f t="shared" si="98"/>
        <v>247500</v>
      </c>
      <c r="AF156" s="427">
        <f t="shared" si="99"/>
        <v>11</v>
      </c>
      <c r="AG156" s="427">
        <f t="shared" si="100"/>
        <v>0</v>
      </c>
      <c r="AH156" s="428">
        <f t="array" ref="AH156">MAX((IF(MNU_CODIGO_ALIMENTO_ENTREGA=CONCATENATE($E156,"_","S_"),MNU_GRAMAJE_REQUERIDO_TIPOC,"")))</f>
        <v>100</v>
      </c>
      <c r="AI156" s="229">
        <f t="shared" si="101"/>
        <v>1633</v>
      </c>
      <c r="AJ156" s="229">
        <f t="shared" si="102"/>
        <v>0</v>
      </c>
      <c r="AK156" s="229">
        <f t="shared" si="103"/>
        <v>17963</v>
      </c>
      <c r="AL156" s="454">
        <f t="shared" si="104"/>
        <v>286</v>
      </c>
      <c r="AM156" s="454">
        <f t="shared" si="105"/>
        <v>13.956800000000001</v>
      </c>
      <c r="AN156" s="454">
        <f t="shared" si="106"/>
        <v>0.24596457599999999</v>
      </c>
      <c r="AO156" s="454">
        <f t="shared" si="107"/>
        <v>300</v>
      </c>
      <c r="AP156" s="454">
        <f t="shared" si="108"/>
        <v>5137418</v>
      </c>
      <c r="AQ156" s="230">
        <f t="shared" si="109"/>
        <v>5388900</v>
      </c>
      <c r="AR156" s="397">
        <f t="shared" si="110"/>
        <v>5373368</v>
      </c>
      <c r="AS156" s="397">
        <f t="shared" si="111"/>
        <v>5636400</v>
      </c>
    </row>
    <row r="157" spans="1:45" ht="15.75">
      <c r="A157" s="228">
        <v>11</v>
      </c>
      <c r="B157" s="228" t="str">
        <f t="shared" si="75"/>
        <v>FRUTA_11</v>
      </c>
      <c r="C157" s="338" t="str">
        <f t="shared" si="76"/>
        <v>69_11</v>
      </c>
      <c r="D157" s="398" t="s">
        <v>1</v>
      </c>
      <c r="E157" s="228">
        <v>69</v>
      </c>
      <c r="F157" s="332" t="s">
        <v>70</v>
      </c>
      <c r="G157" s="228" t="s">
        <v>9</v>
      </c>
      <c r="H157" s="427">
        <f t="shared" si="77"/>
        <v>18</v>
      </c>
      <c r="I157" s="427">
        <f t="shared" si="78"/>
        <v>2</v>
      </c>
      <c r="J157" s="428">
        <f t="array" ref="J157">MAX((IF(MNU_CODIGO_ALIMENTO_ENTREGA=CONCATENATE($E157,"_","S_"),MNU_GRAMAJE_REQUERIDO_TIPOA,"")))</f>
        <v>100</v>
      </c>
      <c r="K157" s="229">
        <f t="shared" si="79"/>
        <v>305</v>
      </c>
      <c r="L157" s="229">
        <f t="shared" si="80"/>
        <v>0</v>
      </c>
      <c r="M157" s="229">
        <f t="shared" si="81"/>
        <v>5490</v>
      </c>
      <c r="N157" s="454">
        <f t="shared" si="82"/>
        <v>305</v>
      </c>
      <c r="O157" s="454">
        <f t="shared" si="83"/>
        <v>14.884</v>
      </c>
      <c r="P157" s="454">
        <f t="shared" si="84"/>
        <v>0.26230488000000002</v>
      </c>
      <c r="Q157" s="454">
        <f t="shared" si="85"/>
        <v>320</v>
      </c>
      <c r="R157" s="230">
        <f t="shared" si="86"/>
        <v>1674450</v>
      </c>
      <c r="S157" s="230">
        <f t="shared" si="87"/>
        <v>1756800</v>
      </c>
      <c r="T157" s="429">
        <f t="shared" si="88"/>
        <v>12</v>
      </c>
      <c r="U157" s="429">
        <f t="shared" si="89"/>
        <v>2</v>
      </c>
      <c r="V157" s="430">
        <f t="array" ref="V157">MAX((IF(MNU_CODIGO_ALIMENTO_ENTREGA=CONCATENATE($E157,"_","S_"),MNU_GRAMAJE_REQUERIDO_TIPOB,"")))</f>
        <v>100</v>
      </c>
      <c r="W157" s="397">
        <f t="shared" si="90"/>
        <v>75</v>
      </c>
      <c r="X157" s="397">
        <f t="shared" si="91"/>
        <v>0</v>
      </c>
      <c r="Y157" s="397">
        <f t="shared" si="92"/>
        <v>900</v>
      </c>
      <c r="Z157" s="454">
        <f t="shared" si="93"/>
        <v>305</v>
      </c>
      <c r="AA157" s="454">
        <f t="shared" si="94"/>
        <v>14.884</v>
      </c>
      <c r="AB157" s="454">
        <f t="shared" si="95"/>
        <v>0.26230488000000002</v>
      </c>
      <c r="AC157" s="454">
        <f t="shared" si="96"/>
        <v>320</v>
      </c>
      <c r="AD157" s="231">
        <f t="shared" si="97"/>
        <v>274500</v>
      </c>
      <c r="AE157" s="231">
        <f t="shared" si="98"/>
        <v>288000</v>
      </c>
      <c r="AF157" s="427">
        <f t="shared" si="99"/>
        <v>12</v>
      </c>
      <c r="AG157" s="427">
        <f t="shared" si="100"/>
        <v>2</v>
      </c>
      <c r="AH157" s="428">
        <f t="array" ref="AH157">MAX((IF(MNU_CODIGO_ALIMENTO_ENTREGA=CONCATENATE($E157,"_","S_"),MNU_GRAMAJE_REQUERIDO_TIPOC,"")))</f>
        <v>100</v>
      </c>
      <c r="AI157" s="229">
        <f t="shared" si="101"/>
        <v>1633</v>
      </c>
      <c r="AJ157" s="229">
        <f t="shared" si="102"/>
        <v>0</v>
      </c>
      <c r="AK157" s="229">
        <f t="shared" si="103"/>
        <v>19596</v>
      </c>
      <c r="AL157" s="454">
        <f t="shared" si="104"/>
        <v>305</v>
      </c>
      <c r="AM157" s="454">
        <f t="shared" si="105"/>
        <v>14.884</v>
      </c>
      <c r="AN157" s="454">
        <f t="shared" si="106"/>
        <v>0.26230488000000002</v>
      </c>
      <c r="AO157" s="454">
        <f t="shared" si="107"/>
        <v>320</v>
      </c>
      <c r="AP157" s="454">
        <f t="shared" si="108"/>
        <v>5976780</v>
      </c>
      <c r="AQ157" s="230">
        <f t="shared" si="109"/>
        <v>6270720</v>
      </c>
      <c r="AR157" s="397">
        <f t="shared" si="110"/>
        <v>7925730</v>
      </c>
      <c r="AS157" s="397">
        <f t="shared" si="111"/>
        <v>8315520</v>
      </c>
    </row>
    <row r="158" spans="1:45" ht="15.75">
      <c r="A158" s="228">
        <v>11</v>
      </c>
      <c r="B158" s="228" t="str">
        <f t="shared" si="75"/>
        <v>FRUTA_11</v>
      </c>
      <c r="C158" s="338" t="str">
        <f t="shared" si="76"/>
        <v>70_11</v>
      </c>
      <c r="D158" s="398" t="s">
        <v>1</v>
      </c>
      <c r="E158" s="228">
        <v>70</v>
      </c>
      <c r="F158" s="332" t="s">
        <v>71</v>
      </c>
      <c r="G158" s="228" t="s">
        <v>9</v>
      </c>
      <c r="H158" s="427">
        <f t="shared" si="77"/>
        <v>0</v>
      </c>
      <c r="I158" s="427">
        <f t="shared" si="78"/>
        <v>0</v>
      </c>
      <c r="J158" s="428">
        <f t="array" ref="J158">MAX((IF(MNU_CODIGO_ALIMENTO_ENTREGA=CONCATENATE($E158,"_","S_"),MNU_GRAMAJE_REQUERIDO_TIPOA,"")))</f>
        <v>0</v>
      </c>
      <c r="K158" s="229">
        <f t="shared" si="79"/>
        <v>305</v>
      </c>
      <c r="L158" s="229">
        <f t="shared" si="80"/>
        <v>0</v>
      </c>
      <c r="M158" s="229">
        <f t="shared" si="81"/>
        <v>0</v>
      </c>
      <c r="N158" s="454">
        <f t="shared" si="82"/>
        <v>0</v>
      </c>
      <c r="O158" s="454">
        <f t="shared" si="83"/>
        <v>0</v>
      </c>
      <c r="P158" s="454">
        <f t="shared" si="84"/>
        <v>0</v>
      </c>
      <c r="Q158" s="454">
        <f t="shared" si="85"/>
        <v>0</v>
      </c>
      <c r="R158" s="230">
        <f t="shared" si="86"/>
        <v>0</v>
      </c>
      <c r="S158" s="230">
        <f t="shared" si="87"/>
        <v>0</v>
      </c>
      <c r="T158" s="429">
        <f t="shared" si="88"/>
        <v>8</v>
      </c>
      <c r="U158" s="429">
        <f t="shared" si="89"/>
        <v>4</v>
      </c>
      <c r="V158" s="430">
        <f t="array" ref="V158">MAX((IF(MNU_CODIGO_ALIMENTO_ENTREGA=CONCATENATE($E158,"_","S_"),MNU_GRAMAJE_REQUERIDO_TIPOB,"")))</f>
        <v>100</v>
      </c>
      <c r="W158" s="397">
        <f t="shared" si="90"/>
        <v>75</v>
      </c>
      <c r="X158" s="397">
        <f t="shared" si="91"/>
        <v>0</v>
      </c>
      <c r="Y158" s="397">
        <f t="shared" si="92"/>
        <v>600</v>
      </c>
      <c r="Z158" s="454">
        <f t="shared" si="93"/>
        <v>434</v>
      </c>
      <c r="AA158" s="454">
        <f t="shared" si="94"/>
        <v>21.179200000000002</v>
      </c>
      <c r="AB158" s="454">
        <f t="shared" si="95"/>
        <v>0.37324694399999997</v>
      </c>
      <c r="AC158" s="454">
        <f t="shared" si="96"/>
        <v>456</v>
      </c>
      <c r="AD158" s="231">
        <f t="shared" si="97"/>
        <v>260400</v>
      </c>
      <c r="AE158" s="231">
        <f t="shared" si="98"/>
        <v>273600</v>
      </c>
      <c r="AF158" s="427">
        <f t="shared" si="99"/>
        <v>8</v>
      </c>
      <c r="AG158" s="427">
        <f t="shared" si="100"/>
        <v>4</v>
      </c>
      <c r="AH158" s="428">
        <f t="array" ref="AH158">MAX((IF(MNU_CODIGO_ALIMENTO_ENTREGA=CONCATENATE($E158,"_","S_"),MNU_GRAMAJE_REQUERIDO_TIPOC,"")))</f>
        <v>100</v>
      </c>
      <c r="AI158" s="229">
        <f t="shared" si="101"/>
        <v>1633</v>
      </c>
      <c r="AJ158" s="229">
        <f t="shared" si="102"/>
        <v>0</v>
      </c>
      <c r="AK158" s="229">
        <f t="shared" si="103"/>
        <v>13064</v>
      </c>
      <c r="AL158" s="454">
        <f t="shared" si="104"/>
        <v>434</v>
      </c>
      <c r="AM158" s="454">
        <f t="shared" si="105"/>
        <v>21.179200000000002</v>
      </c>
      <c r="AN158" s="454">
        <f t="shared" si="106"/>
        <v>0.37324694399999997</v>
      </c>
      <c r="AO158" s="454">
        <f t="shared" si="107"/>
        <v>456</v>
      </c>
      <c r="AP158" s="454">
        <f t="shared" si="108"/>
        <v>5669776</v>
      </c>
      <c r="AQ158" s="230">
        <f t="shared" si="109"/>
        <v>5957184</v>
      </c>
      <c r="AR158" s="397">
        <f t="shared" si="110"/>
        <v>5930176</v>
      </c>
      <c r="AS158" s="397">
        <f t="shared" si="111"/>
        <v>6230784</v>
      </c>
    </row>
    <row r="159" spans="1:45" ht="15.75">
      <c r="A159" s="228">
        <v>12</v>
      </c>
      <c r="B159" s="228" t="str">
        <f t="shared" si="75"/>
        <v>FRUTA_12</v>
      </c>
      <c r="C159" s="338" t="str">
        <f t="shared" si="76"/>
        <v>7_12</v>
      </c>
      <c r="D159" s="398" t="s">
        <v>1</v>
      </c>
      <c r="E159" s="228">
        <v>7</v>
      </c>
      <c r="F159" s="332" t="s">
        <v>57</v>
      </c>
      <c r="G159" s="228" t="s">
        <v>9</v>
      </c>
      <c r="H159" s="427">
        <f t="shared" si="77"/>
        <v>31</v>
      </c>
      <c r="I159" s="427">
        <f t="shared" si="78"/>
        <v>0</v>
      </c>
      <c r="J159" s="428">
        <f t="array" ref="J159">MAX((IF(MNU_CODIGO_ALIMENTO_ENTREGA=CONCATENATE($E159,"_","S_"),MNU_GRAMAJE_REQUERIDO_TIPOA,"")))</f>
        <v>100</v>
      </c>
      <c r="K159" s="229">
        <f t="shared" si="79"/>
        <v>460</v>
      </c>
      <c r="L159" s="229">
        <f t="shared" si="80"/>
        <v>0</v>
      </c>
      <c r="M159" s="229">
        <f t="shared" si="81"/>
        <v>14260</v>
      </c>
      <c r="N159" s="454">
        <f t="shared" si="82"/>
        <v>107</v>
      </c>
      <c r="O159" s="454">
        <f t="shared" si="83"/>
        <v>5.2216000000000005</v>
      </c>
      <c r="P159" s="454">
        <f t="shared" si="84"/>
        <v>9.2021712000000006E-2</v>
      </c>
      <c r="Q159" s="454">
        <f t="shared" si="85"/>
        <v>112</v>
      </c>
      <c r="R159" s="230">
        <f t="shared" si="86"/>
        <v>1525820</v>
      </c>
      <c r="S159" s="230">
        <f t="shared" si="87"/>
        <v>1597120</v>
      </c>
      <c r="T159" s="429">
        <f t="shared" si="88"/>
        <v>11</v>
      </c>
      <c r="U159" s="429">
        <f t="shared" si="89"/>
        <v>0</v>
      </c>
      <c r="V159" s="430">
        <f t="array" ref="V159">MAX((IF(MNU_CODIGO_ALIMENTO_ENTREGA=CONCATENATE($E159,"_","S_"),MNU_GRAMAJE_REQUERIDO_TIPOB,"")))</f>
        <v>100</v>
      </c>
      <c r="W159" s="397">
        <f t="shared" si="90"/>
        <v>0</v>
      </c>
      <c r="X159" s="397">
        <f t="shared" si="91"/>
        <v>0</v>
      </c>
      <c r="Y159" s="397">
        <f t="shared" si="92"/>
        <v>0</v>
      </c>
      <c r="Z159" s="454">
        <f t="shared" si="93"/>
        <v>107</v>
      </c>
      <c r="AA159" s="454">
        <f t="shared" si="94"/>
        <v>5.2216000000000005</v>
      </c>
      <c r="AB159" s="454">
        <f t="shared" si="95"/>
        <v>9.2021712000000006E-2</v>
      </c>
      <c r="AC159" s="454">
        <f t="shared" si="96"/>
        <v>112</v>
      </c>
      <c r="AD159" s="231">
        <f t="shared" si="97"/>
        <v>0</v>
      </c>
      <c r="AE159" s="231">
        <f t="shared" si="98"/>
        <v>0</v>
      </c>
      <c r="AF159" s="427">
        <f t="shared" si="99"/>
        <v>11</v>
      </c>
      <c r="AG159" s="427">
        <f t="shared" si="100"/>
        <v>0</v>
      </c>
      <c r="AH159" s="428">
        <f t="array" ref="AH159">MAX((IF(MNU_CODIGO_ALIMENTO_ENTREGA=CONCATENATE($E159,"_","S_"),MNU_GRAMAJE_REQUERIDO_TIPOC,"")))</f>
        <v>100</v>
      </c>
      <c r="AI159" s="229">
        <f t="shared" si="101"/>
        <v>337</v>
      </c>
      <c r="AJ159" s="229">
        <f t="shared" si="102"/>
        <v>0</v>
      </c>
      <c r="AK159" s="229">
        <f t="shared" si="103"/>
        <v>3707</v>
      </c>
      <c r="AL159" s="454">
        <f t="shared" si="104"/>
        <v>107</v>
      </c>
      <c r="AM159" s="454">
        <f t="shared" si="105"/>
        <v>5.2216000000000005</v>
      </c>
      <c r="AN159" s="454">
        <f t="shared" si="106"/>
        <v>9.2021712000000006E-2</v>
      </c>
      <c r="AO159" s="454">
        <f t="shared" si="107"/>
        <v>112</v>
      </c>
      <c r="AP159" s="454">
        <f t="shared" si="108"/>
        <v>396649</v>
      </c>
      <c r="AQ159" s="230">
        <f t="shared" si="109"/>
        <v>415184</v>
      </c>
      <c r="AR159" s="397">
        <f t="shared" si="110"/>
        <v>1922469</v>
      </c>
      <c r="AS159" s="397">
        <f t="shared" si="111"/>
        <v>2012304</v>
      </c>
    </row>
    <row r="160" spans="1:45" ht="15.75">
      <c r="A160" s="228">
        <v>12</v>
      </c>
      <c r="B160" s="228" t="str">
        <f t="shared" si="75"/>
        <v>FRUTA_12</v>
      </c>
      <c r="C160" s="338" t="str">
        <f t="shared" si="76"/>
        <v>8_12</v>
      </c>
      <c r="D160" s="398" t="s">
        <v>1</v>
      </c>
      <c r="E160" s="228">
        <v>8</v>
      </c>
      <c r="F160" s="332" t="s">
        <v>55</v>
      </c>
      <c r="G160" s="228" t="s">
        <v>9</v>
      </c>
      <c r="H160" s="427">
        <f t="shared" si="77"/>
        <v>11</v>
      </c>
      <c r="I160" s="427">
        <f t="shared" si="78"/>
        <v>0</v>
      </c>
      <c r="J160" s="428">
        <f t="array" ref="J160">MAX((IF(MNU_CODIGO_ALIMENTO_ENTREGA=CONCATENATE($E160,"_","S_"),MNU_GRAMAJE_REQUERIDO_TIPOA,"")))</f>
        <v>100</v>
      </c>
      <c r="K160" s="229">
        <f t="shared" si="79"/>
        <v>460</v>
      </c>
      <c r="L160" s="229">
        <f t="shared" si="80"/>
        <v>0</v>
      </c>
      <c r="M160" s="229">
        <f t="shared" si="81"/>
        <v>5060</v>
      </c>
      <c r="N160" s="454">
        <f t="shared" si="82"/>
        <v>134</v>
      </c>
      <c r="O160" s="454">
        <f t="shared" si="83"/>
        <v>6.539200000000001</v>
      </c>
      <c r="P160" s="454">
        <f t="shared" si="84"/>
        <v>0.115242144</v>
      </c>
      <c r="Q160" s="454">
        <f t="shared" si="85"/>
        <v>141</v>
      </c>
      <c r="R160" s="230">
        <f t="shared" si="86"/>
        <v>678040</v>
      </c>
      <c r="S160" s="230">
        <f t="shared" si="87"/>
        <v>713460</v>
      </c>
      <c r="T160" s="429">
        <f t="shared" si="88"/>
        <v>11</v>
      </c>
      <c r="U160" s="429">
        <f t="shared" si="89"/>
        <v>0</v>
      </c>
      <c r="V160" s="430">
        <f t="array" ref="V160">MAX((IF(MNU_CODIGO_ALIMENTO_ENTREGA=CONCATENATE($E160,"_","S_"),MNU_GRAMAJE_REQUERIDO_TIPOB,"")))</f>
        <v>100</v>
      </c>
      <c r="W160" s="397">
        <f t="shared" si="90"/>
        <v>0</v>
      </c>
      <c r="X160" s="397">
        <f t="shared" si="91"/>
        <v>0</v>
      </c>
      <c r="Y160" s="397">
        <f t="shared" si="92"/>
        <v>0</v>
      </c>
      <c r="Z160" s="454">
        <f t="shared" si="93"/>
        <v>134</v>
      </c>
      <c r="AA160" s="454">
        <f t="shared" si="94"/>
        <v>6.539200000000001</v>
      </c>
      <c r="AB160" s="454">
        <f t="shared" si="95"/>
        <v>0.115242144</v>
      </c>
      <c r="AC160" s="454">
        <f t="shared" si="96"/>
        <v>141</v>
      </c>
      <c r="AD160" s="231">
        <f t="shared" si="97"/>
        <v>0</v>
      </c>
      <c r="AE160" s="231">
        <f t="shared" si="98"/>
        <v>0</v>
      </c>
      <c r="AF160" s="427">
        <f t="shared" si="99"/>
        <v>11</v>
      </c>
      <c r="AG160" s="427">
        <f t="shared" si="100"/>
        <v>0</v>
      </c>
      <c r="AH160" s="428">
        <f t="array" ref="AH160">MAX((IF(MNU_CODIGO_ALIMENTO_ENTREGA=CONCATENATE($E160,"_","S_"),MNU_GRAMAJE_REQUERIDO_TIPOC,"")))</f>
        <v>100</v>
      </c>
      <c r="AI160" s="229">
        <f t="shared" si="101"/>
        <v>337</v>
      </c>
      <c r="AJ160" s="229">
        <f t="shared" si="102"/>
        <v>0</v>
      </c>
      <c r="AK160" s="229">
        <f t="shared" si="103"/>
        <v>3707</v>
      </c>
      <c r="AL160" s="454">
        <f t="shared" si="104"/>
        <v>134</v>
      </c>
      <c r="AM160" s="454">
        <f t="shared" si="105"/>
        <v>6.539200000000001</v>
      </c>
      <c r="AN160" s="454">
        <f t="shared" si="106"/>
        <v>0.115242144</v>
      </c>
      <c r="AO160" s="454">
        <f t="shared" si="107"/>
        <v>141</v>
      </c>
      <c r="AP160" s="454">
        <f t="shared" si="108"/>
        <v>496738</v>
      </c>
      <c r="AQ160" s="230">
        <f t="shared" si="109"/>
        <v>522687</v>
      </c>
      <c r="AR160" s="397">
        <f t="shared" si="110"/>
        <v>1174778</v>
      </c>
      <c r="AS160" s="397">
        <f t="shared" si="111"/>
        <v>1236147</v>
      </c>
    </row>
    <row r="161" spans="1:45" ht="15.75">
      <c r="A161" s="228">
        <v>12</v>
      </c>
      <c r="B161" s="228" t="str">
        <f t="shared" si="75"/>
        <v>FRUTA_12</v>
      </c>
      <c r="C161" s="338" t="str">
        <f t="shared" si="76"/>
        <v>17_12</v>
      </c>
      <c r="D161" s="398" t="s">
        <v>1</v>
      </c>
      <c r="E161" s="258">
        <v>17</v>
      </c>
      <c r="F161" s="328" t="s">
        <v>53</v>
      </c>
      <c r="G161" s="228" t="s">
        <v>9</v>
      </c>
      <c r="H161" s="427">
        <f t="shared" si="77"/>
        <v>0</v>
      </c>
      <c r="I161" s="427">
        <f t="shared" si="78"/>
        <v>0</v>
      </c>
      <c r="J161" s="428">
        <f t="array" ref="J161">MAX((IF(MNU_CODIGO_ALIMENTO_ENTREGA=CONCATENATE($E161,"_","S_"),MNU_GRAMAJE_REQUERIDO_TIPOA,"")))</f>
        <v>0</v>
      </c>
      <c r="K161" s="229">
        <f t="shared" si="79"/>
        <v>460</v>
      </c>
      <c r="L161" s="229">
        <f t="shared" si="80"/>
        <v>0</v>
      </c>
      <c r="M161" s="229">
        <f t="shared" si="81"/>
        <v>0</v>
      </c>
      <c r="N161" s="454">
        <f t="shared" si="82"/>
        <v>0</v>
      </c>
      <c r="O161" s="454">
        <f t="shared" si="83"/>
        <v>0</v>
      </c>
      <c r="P161" s="454">
        <f t="shared" si="84"/>
        <v>0</v>
      </c>
      <c r="Q161" s="454">
        <f t="shared" si="85"/>
        <v>0</v>
      </c>
      <c r="R161" s="230">
        <f t="shared" si="86"/>
        <v>0</v>
      </c>
      <c r="S161" s="230">
        <f t="shared" si="87"/>
        <v>0</v>
      </c>
      <c r="T161" s="429">
        <f t="shared" si="88"/>
        <v>23</v>
      </c>
      <c r="U161" s="429">
        <f t="shared" si="89"/>
        <v>4</v>
      </c>
      <c r="V161" s="430">
        <f t="array" ref="V161">MAX((IF(MNU_CODIGO_ALIMENTO_ENTREGA=CONCATENATE($E161,"_","S_"),MNU_GRAMAJE_REQUERIDO_TIPOB,"")))</f>
        <v>100</v>
      </c>
      <c r="W161" s="397">
        <f t="shared" si="90"/>
        <v>0</v>
      </c>
      <c r="X161" s="397">
        <f t="shared" si="91"/>
        <v>0</v>
      </c>
      <c r="Y161" s="397">
        <f t="shared" si="92"/>
        <v>0</v>
      </c>
      <c r="Z161" s="454">
        <f t="shared" si="93"/>
        <v>226</v>
      </c>
      <c r="AA161" s="454">
        <f t="shared" si="94"/>
        <v>11.0288</v>
      </c>
      <c r="AB161" s="454">
        <f t="shared" si="95"/>
        <v>0.19436361600000002</v>
      </c>
      <c r="AC161" s="454">
        <f t="shared" si="96"/>
        <v>237</v>
      </c>
      <c r="AD161" s="231">
        <f t="shared" si="97"/>
        <v>0</v>
      </c>
      <c r="AE161" s="231">
        <f t="shared" si="98"/>
        <v>0</v>
      </c>
      <c r="AF161" s="427">
        <f t="shared" si="99"/>
        <v>23</v>
      </c>
      <c r="AG161" s="427">
        <f t="shared" si="100"/>
        <v>4</v>
      </c>
      <c r="AH161" s="428">
        <f t="array" ref="AH161">MAX((IF(MNU_CODIGO_ALIMENTO_ENTREGA=CONCATENATE($E161,"_","S_"),MNU_GRAMAJE_REQUERIDO_TIPOC,"")))</f>
        <v>100</v>
      </c>
      <c r="AI161" s="229">
        <f t="shared" si="101"/>
        <v>337</v>
      </c>
      <c r="AJ161" s="229">
        <f t="shared" si="102"/>
        <v>0</v>
      </c>
      <c r="AK161" s="229">
        <f t="shared" si="103"/>
        <v>7751</v>
      </c>
      <c r="AL161" s="454">
        <f t="shared" si="104"/>
        <v>226</v>
      </c>
      <c r="AM161" s="454">
        <f t="shared" si="105"/>
        <v>11.0288</v>
      </c>
      <c r="AN161" s="454">
        <f t="shared" si="106"/>
        <v>0.19436361600000002</v>
      </c>
      <c r="AO161" s="454">
        <f t="shared" si="107"/>
        <v>237</v>
      </c>
      <c r="AP161" s="454">
        <f t="shared" si="108"/>
        <v>1751726</v>
      </c>
      <c r="AQ161" s="230">
        <f t="shared" si="109"/>
        <v>1836987</v>
      </c>
      <c r="AR161" s="397">
        <f t="shared" si="110"/>
        <v>1751726</v>
      </c>
      <c r="AS161" s="397">
        <f t="shared" si="111"/>
        <v>1836987</v>
      </c>
    </row>
    <row r="162" spans="1:45" ht="15.75">
      <c r="A162" s="228">
        <v>12</v>
      </c>
      <c r="B162" s="228" t="str">
        <f t="shared" si="75"/>
        <v>FRUTA_12</v>
      </c>
      <c r="C162" s="338" t="str">
        <f t="shared" si="76"/>
        <v>22_12</v>
      </c>
      <c r="D162" s="398" t="s">
        <v>1</v>
      </c>
      <c r="E162" s="228">
        <v>22</v>
      </c>
      <c r="F162" s="332" t="s">
        <v>51</v>
      </c>
      <c r="G162" s="228" t="s">
        <v>9</v>
      </c>
      <c r="H162" s="427">
        <f t="shared" si="77"/>
        <v>0</v>
      </c>
      <c r="I162" s="427">
        <f t="shared" si="78"/>
        <v>0</v>
      </c>
      <c r="J162" s="428">
        <f t="array" ref="J162">MAX((IF(MNU_CODIGO_ALIMENTO_ENTREGA=CONCATENATE($E162,"_","S_"),MNU_GRAMAJE_REQUERIDO_TIPOA,"")))</f>
        <v>0</v>
      </c>
      <c r="K162" s="229">
        <f t="shared" si="79"/>
        <v>460</v>
      </c>
      <c r="L162" s="229">
        <f t="shared" si="80"/>
        <v>0</v>
      </c>
      <c r="M162" s="229">
        <f t="shared" si="81"/>
        <v>0</v>
      </c>
      <c r="N162" s="454">
        <f t="shared" si="82"/>
        <v>0</v>
      </c>
      <c r="O162" s="454">
        <f t="shared" si="83"/>
        <v>0</v>
      </c>
      <c r="P162" s="454">
        <f t="shared" si="84"/>
        <v>0</v>
      </c>
      <c r="Q162" s="454">
        <f t="shared" si="85"/>
        <v>0</v>
      </c>
      <c r="R162" s="230">
        <f t="shared" si="86"/>
        <v>0</v>
      </c>
      <c r="S162" s="230">
        <f t="shared" si="87"/>
        <v>0</v>
      </c>
      <c r="T162" s="429">
        <f t="shared" si="88"/>
        <v>23</v>
      </c>
      <c r="U162" s="429">
        <f t="shared" si="89"/>
        <v>4</v>
      </c>
      <c r="V162" s="430">
        <f t="array" ref="V162">MAX((IF(MNU_CODIGO_ALIMENTO_ENTREGA=CONCATENATE($E162,"_","S_"),MNU_GRAMAJE_REQUERIDO_TIPOB,"")))</f>
        <v>100</v>
      </c>
      <c r="W162" s="397">
        <f t="shared" si="90"/>
        <v>0</v>
      </c>
      <c r="X162" s="397">
        <f t="shared" si="91"/>
        <v>0</v>
      </c>
      <c r="Y162" s="397">
        <f t="shared" si="92"/>
        <v>0</v>
      </c>
      <c r="Z162" s="454">
        <f t="shared" si="93"/>
        <v>525</v>
      </c>
      <c r="AA162" s="454">
        <f t="shared" si="94"/>
        <v>25.62</v>
      </c>
      <c r="AB162" s="454">
        <f t="shared" si="95"/>
        <v>0.45150840000000003</v>
      </c>
      <c r="AC162" s="454">
        <f t="shared" si="96"/>
        <v>551</v>
      </c>
      <c r="AD162" s="231">
        <f t="shared" si="97"/>
        <v>0</v>
      </c>
      <c r="AE162" s="231">
        <f t="shared" si="98"/>
        <v>0</v>
      </c>
      <c r="AF162" s="427">
        <f t="shared" si="99"/>
        <v>23</v>
      </c>
      <c r="AG162" s="427">
        <f t="shared" si="100"/>
        <v>4</v>
      </c>
      <c r="AH162" s="428">
        <f t="array" ref="AH162">MAX((IF(MNU_CODIGO_ALIMENTO_ENTREGA=CONCATENATE($E162,"_","S_"),MNU_GRAMAJE_REQUERIDO_TIPOC,"")))</f>
        <v>100</v>
      </c>
      <c r="AI162" s="229">
        <f t="shared" si="101"/>
        <v>337</v>
      </c>
      <c r="AJ162" s="229">
        <f t="shared" si="102"/>
        <v>0</v>
      </c>
      <c r="AK162" s="229">
        <f t="shared" si="103"/>
        <v>7751</v>
      </c>
      <c r="AL162" s="454">
        <f t="shared" si="104"/>
        <v>525</v>
      </c>
      <c r="AM162" s="454">
        <f t="shared" si="105"/>
        <v>25.62</v>
      </c>
      <c r="AN162" s="454">
        <f t="shared" si="106"/>
        <v>0.45150840000000003</v>
      </c>
      <c r="AO162" s="454">
        <f t="shared" si="107"/>
        <v>551</v>
      </c>
      <c r="AP162" s="454">
        <f t="shared" si="108"/>
        <v>4069275</v>
      </c>
      <c r="AQ162" s="230">
        <f t="shared" si="109"/>
        <v>4270801</v>
      </c>
      <c r="AR162" s="397">
        <f t="shared" si="110"/>
        <v>4069275</v>
      </c>
      <c r="AS162" s="397">
        <f t="shared" si="111"/>
        <v>4270801</v>
      </c>
    </row>
    <row r="163" spans="1:45" ht="15.75">
      <c r="A163" s="228">
        <v>12</v>
      </c>
      <c r="B163" s="228" t="str">
        <f t="shared" si="75"/>
        <v>FRUTA_12</v>
      </c>
      <c r="C163" s="338" t="str">
        <f t="shared" si="76"/>
        <v>33_12</v>
      </c>
      <c r="D163" s="398" t="s">
        <v>1</v>
      </c>
      <c r="E163" s="228">
        <v>33</v>
      </c>
      <c r="F163" s="332" t="s">
        <v>59</v>
      </c>
      <c r="G163" s="228" t="s">
        <v>48</v>
      </c>
      <c r="H163" s="427">
        <f t="shared" si="77"/>
        <v>29</v>
      </c>
      <c r="I163" s="427">
        <f t="shared" si="78"/>
        <v>5</v>
      </c>
      <c r="J163" s="428">
        <v>1</v>
      </c>
      <c r="K163" s="229">
        <f t="shared" si="79"/>
        <v>460</v>
      </c>
      <c r="L163" s="229">
        <f t="shared" si="80"/>
        <v>0</v>
      </c>
      <c r="M163" s="229">
        <f t="shared" si="81"/>
        <v>13340</v>
      </c>
      <c r="N163" s="454">
        <f t="shared" si="82"/>
        <v>270</v>
      </c>
      <c r="O163" s="454">
        <f t="shared" si="83"/>
        <v>13.176000000000002</v>
      </c>
      <c r="P163" s="454">
        <f t="shared" si="84"/>
        <v>0.23220432000000002</v>
      </c>
      <c r="Q163" s="454">
        <f t="shared" si="85"/>
        <v>283</v>
      </c>
      <c r="R163" s="230">
        <f t="shared" si="86"/>
        <v>3601800</v>
      </c>
      <c r="S163" s="230">
        <f t="shared" si="87"/>
        <v>3775220</v>
      </c>
      <c r="T163" s="429">
        <f t="shared" si="88"/>
        <v>23</v>
      </c>
      <c r="U163" s="429">
        <f t="shared" si="89"/>
        <v>2</v>
      </c>
      <c r="V163" s="430">
        <v>1</v>
      </c>
      <c r="W163" s="397">
        <f t="shared" si="90"/>
        <v>0</v>
      </c>
      <c r="X163" s="397">
        <f t="shared" si="91"/>
        <v>0</v>
      </c>
      <c r="Y163" s="397">
        <f t="shared" si="92"/>
        <v>0</v>
      </c>
      <c r="Z163" s="454">
        <f t="shared" si="93"/>
        <v>270</v>
      </c>
      <c r="AA163" s="454">
        <f t="shared" si="94"/>
        <v>13.176000000000002</v>
      </c>
      <c r="AB163" s="454">
        <f t="shared" si="95"/>
        <v>0.23220432000000002</v>
      </c>
      <c r="AC163" s="454">
        <f t="shared" si="96"/>
        <v>283</v>
      </c>
      <c r="AD163" s="231">
        <f t="shared" si="97"/>
        <v>0</v>
      </c>
      <c r="AE163" s="231">
        <f t="shared" si="98"/>
        <v>0</v>
      </c>
      <c r="AF163" s="427">
        <f t="shared" si="99"/>
        <v>23</v>
      </c>
      <c r="AG163" s="427">
        <f t="shared" si="100"/>
        <v>2</v>
      </c>
      <c r="AH163" s="428">
        <v>1</v>
      </c>
      <c r="AI163" s="229">
        <f t="shared" si="101"/>
        <v>337</v>
      </c>
      <c r="AJ163" s="229">
        <f t="shared" si="102"/>
        <v>0</v>
      </c>
      <c r="AK163" s="229">
        <f t="shared" si="103"/>
        <v>7751</v>
      </c>
      <c r="AL163" s="454">
        <f t="shared" si="104"/>
        <v>270</v>
      </c>
      <c r="AM163" s="454">
        <f t="shared" si="105"/>
        <v>13.176000000000002</v>
      </c>
      <c r="AN163" s="454">
        <f t="shared" si="106"/>
        <v>0.23220432000000002</v>
      </c>
      <c r="AO163" s="454">
        <f t="shared" si="107"/>
        <v>283</v>
      </c>
      <c r="AP163" s="454">
        <f t="shared" si="108"/>
        <v>2092770</v>
      </c>
      <c r="AQ163" s="230">
        <f t="shared" si="109"/>
        <v>2193533</v>
      </c>
      <c r="AR163" s="397">
        <f t="shared" si="110"/>
        <v>5694570</v>
      </c>
      <c r="AS163" s="397">
        <f t="shared" si="111"/>
        <v>5968753</v>
      </c>
    </row>
    <row r="164" spans="1:45" ht="15.75">
      <c r="A164" s="228">
        <v>12</v>
      </c>
      <c r="B164" s="228" t="str">
        <f t="shared" si="75"/>
        <v>FRUTA_12</v>
      </c>
      <c r="C164" s="338" t="str">
        <f t="shared" si="76"/>
        <v>36_12</v>
      </c>
      <c r="D164" s="398" t="s">
        <v>1</v>
      </c>
      <c r="E164" s="228">
        <v>36</v>
      </c>
      <c r="F164" s="332" t="s">
        <v>1340</v>
      </c>
      <c r="G164" s="228" t="s">
        <v>9</v>
      </c>
      <c r="H164" s="427">
        <f t="shared" si="77"/>
        <v>8</v>
      </c>
      <c r="I164" s="427">
        <f t="shared" si="78"/>
        <v>0</v>
      </c>
      <c r="J164" s="428">
        <f t="array" ref="J164">MAX((IF(MNU_CODIGO_ALIMENTO_ENTREGA=CONCATENATE($E164,"_","S_"),MNU_GRAMAJE_REQUERIDO_TIPOA,"")))</f>
        <v>20</v>
      </c>
      <c r="K164" s="229">
        <f t="shared" si="79"/>
        <v>460</v>
      </c>
      <c r="L164" s="229">
        <f t="shared" si="80"/>
        <v>0</v>
      </c>
      <c r="M164" s="229">
        <f t="shared" si="81"/>
        <v>3680</v>
      </c>
      <c r="N164" s="454">
        <f t="shared" si="82"/>
        <v>126</v>
      </c>
      <c r="O164" s="454">
        <f t="shared" si="83"/>
        <v>6.1488000000000005</v>
      </c>
      <c r="P164" s="454">
        <f t="shared" si="84"/>
        <v>0.10836201599999999</v>
      </c>
      <c r="Q164" s="454">
        <f t="shared" si="85"/>
        <v>132</v>
      </c>
      <c r="R164" s="230">
        <f t="shared" si="86"/>
        <v>463680</v>
      </c>
      <c r="S164" s="230">
        <f t="shared" si="87"/>
        <v>485760</v>
      </c>
      <c r="T164" s="429">
        <f t="shared" si="88"/>
        <v>8</v>
      </c>
      <c r="U164" s="429">
        <f t="shared" si="89"/>
        <v>0</v>
      </c>
      <c r="V164" s="430">
        <f t="array" ref="V164">MAX((IF(MNU_CODIGO_ALIMENTO_ENTREGA=CONCATENATE($E164,"_","S_"),MNU_GRAMAJE_REQUERIDO_TIPOB,"")))</f>
        <v>40</v>
      </c>
      <c r="W164" s="397">
        <f t="shared" si="90"/>
        <v>0</v>
      </c>
      <c r="X164" s="397">
        <f t="shared" si="91"/>
        <v>0</v>
      </c>
      <c r="Y164" s="397">
        <f t="shared" si="92"/>
        <v>0</v>
      </c>
      <c r="Z164" s="454">
        <f t="shared" si="93"/>
        <v>252</v>
      </c>
      <c r="AA164" s="454">
        <f t="shared" si="94"/>
        <v>12.297600000000001</v>
      </c>
      <c r="AB164" s="454">
        <f t="shared" si="95"/>
        <v>0.21672403199999998</v>
      </c>
      <c r="AC164" s="454">
        <f t="shared" si="96"/>
        <v>265</v>
      </c>
      <c r="AD164" s="231">
        <f t="shared" si="97"/>
        <v>0</v>
      </c>
      <c r="AE164" s="231">
        <f t="shared" si="98"/>
        <v>0</v>
      </c>
      <c r="AF164" s="427">
        <f t="shared" si="99"/>
        <v>8</v>
      </c>
      <c r="AG164" s="427">
        <f t="shared" si="100"/>
        <v>0</v>
      </c>
      <c r="AH164" s="428">
        <f t="array" ref="AH164">MAX((IF(MNU_CODIGO_ALIMENTO_ENTREGA=CONCATENATE($E164,"_","S_"),MNU_GRAMAJE_REQUERIDO_TIPOC,"")))</f>
        <v>40</v>
      </c>
      <c r="AI164" s="229">
        <f t="shared" si="101"/>
        <v>337</v>
      </c>
      <c r="AJ164" s="229">
        <f t="shared" si="102"/>
        <v>0</v>
      </c>
      <c r="AK164" s="229">
        <f t="shared" si="103"/>
        <v>2696</v>
      </c>
      <c r="AL164" s="454">
        <f t="shared" si="104"/>
        <v>252</v>
      </c>
      <c r="AM164" s="454">
        <f t="shared" si="105"/>
        <v>12.297600000000001</v>
      </c>
      <c r="AN164" s="454">
        <f t="shared" si="106"/>
        <v>0.21672403199999998</v>
      </c>
      <c r="AO164" s="454">
        <f t="shared" si="107"/>
        <v>265</v>
      </c>
      <c r="AP164" s="454">
        <f t="shared" si="108"/>
        <v>679392</v>
      </c>
      <c r="AQ164" s="230">
        <f t="shared" si="109"/>
        <v>714440</v>
      </c>
      <c r="AR164" s="397">
        <f t="shared" si="110"/>
        <v>1143072</v>
      </c>
      <c r="AS164" s="397">
        <f t="shared" si="111"/>
        <v>1200200</v>
      </c>
    </row>
    <row r="165" spans="1:45" ht="15.75">
      <c r="A165" s="228">
        <v>12</v>
      </c>
      <c r="B165" s="228" t="str">
        <f t="shared" si="75"/>
        <v>FRUTA_12</v>
      </c>
      <c r="C165" s="338" t="str">
        <f t="shared" si="76"/>
        <v>42_12</v>
      </c>
      <c r="D165" s="398" t="s">
        <v>1</v>
      </c>
      <c r="E165" s="228">
        <v>42</v>
      </c>
      <c r="F165" s="332" t="s">
        <v>61</v>
      </c>
      <c r="G165" s="228" t="s">
        <v>9</v>
      </c>
      <c r="H165" s="427">
        <f t="shared" si="77"/>
        <v>36</v>
      </c>
      <c r="I165" s="427">
        <f t="shared" si="78"/>
        <v>8</v>
      </c>
      <c r="J165" s="428">
        <f t="array" ref="J165">MAX((IF(MNU_CODIGO_ALIMENTO_ENTREGA=CONCATENATE($E165,"_","S_"),MNU_GRAMAJE_REQUERIDO_TIPOA,"")))</f>
        <v>100</v>
      </c>
      <c r="K165" s="229">
        <f t="shared" si="79"/>
        <v>460</v>
      </c>
      <c r="L165" s="229">
        <f t="shared" si="80"/>
        <v>0</v>
      </c>
      <c r="M165" s="229">
        <f t="shared" si="81"/>
        <v>16560</v>
      </c>
      <c r="N165" s="454">
        <f t="shared" si="82"/>
        <v>194</v>
      </c>
      <c r="O165" s="454">
        <f t="shared" si="83"/>
        <v>9.4672000000000001</v>
      </c>
      <c r="P165" s="454">
        <f t="shared" si="84"/>
        <v>0.16684310399999999</v>
      </c>
      <c r="Q165" s="454">
        <f t="shared" si="85"/>
        <v>204</v>
      </c>
      <c r="R165" s="230">
        <f t="shared" si="86"/>
        <v>3212640</v>
      </c>
      <c r="S165" s="230">
        <f t="shared" si="87"/>
        <v>3378240</v>
      </c>
      <c r="T165" s="429">
        <f t="shared" si="88"/>
        <v>19</v>
      </c>
      <c r="U165" s="429">
        <f t="shared" si="89"/>
        <v>8</v>
      </c>
      <c r="V165" s="430">
        <f t="array" ref="V165">MAX((IF(MNU_CODIGO_ALIMENTO_ENTREGA=CONCATENATE($E165,"_","S_"),MNU_GRAMAJE_REQUERIDO_TIPOB,"")))</f>
        <v>100</v>
      </c>
      <c r="W165" s="397">
        <f t="shared" si="90"/>
        <v>0</v>
      </c>
      <c r="X165" s="397">
        <f t="shared" si="91"/>
        <v>0</v>
      </c>
      <c r="Y165" s="397">
        <f t="shared" si="92"/>
        <v>0</v>
      </c>
      <c r="Z165" s="454">
        <f t="shared" si="93"/>
        <v>194</v>
      </c>
      <c r="AA165" s="454">
        <f t="shared" si="94"/>
        <v>9.4672000000000001</v>
      </c>
      <c r="AB165" s="454">
        <f t="shared" si="95"/>
        <v>0.16684310399999999</v>
      </c>
      <c r="AC165" s="454">
        <f t="shared" si="96"/>
        <v>204</v>
      </c>
      <c r="AD165" s="231">
        <f t="shared" si="97"/>
        <v>0</v>
      </c>
      <c r="AE165" s="231">
        <f t="shared" si="98"/>
        <v>0</v>
      </c>
      <c r="AF165" s="427">
        <f t="shared" si="99"/>
        <v>19</v>
      </c>
      <c r="AG165" s="427">
        <f t="shared" si="100"/>
        <v>8</v>
      </c>
      <c r="AH165" s="428">
        <f t="array" ref="AH165">MAX((IF(MNU_CODIGO_ALIMENTO_ENTREGA=CONCATENATE($E165,"_","S_"),MNU_GRAMAJE_REQUERIDO_TIPOC,"")))</f>
        <v>100</v>
      </c>
      <c r="AI165" s="229">
        <f t="shared" si="101"/>
        <v>337</v>
      </c>
      <c r="AJ165" s="229">
        <f t="shared" si="102"/>
        <v>0</v>
      </c>
      <c r="AK165" s="229">
        <f t="shared" si="103"/>
        <v>6403</v>
      </c>
      <c r="AL165" s="454">
        <f t="shared" si="104"/>
        <v>194</v>
      </c>
      <c r="AM165" s="454">
        <f t="shared" si="105"/>
        <v>9.4672000000000001</v>
      </c>
      <c r="AN165" s="454">
        <f t="shared" si="106"/>
        <v>0.16684310399999999</v>
      </c>
      <c r="AO165" s="454">
        <f t="shared" si="107"/>
        <v>204</v>
      </c>
      <c r="AP165" s="454">
        <f t="shared" si="108"/>
        <v>1242182</v>
      </c>
      <c r="AQ165" s="230">
        <f t="shared" si="109"/>
        <v>1306212</v>
      </c>
      <c r="AR165" s="397">
        <f t="shared" si="110"/>
        <v>4454822</v>
      </c>
      <c r="AS165" s="397">
        <f t="shared" si="111"/>
        <v>4684452</v>
      </c>
    </row>
    <row r="166" spans="1:45" ht="15.75">
      <c r="A166" s="228">
        <v>12</v>
      </c>
      <c r="B166" s="228" t="str">
        <f t="shared" si="75"/>
        <v>FRUTA_12</v>
      </c>
      <c r="C166" s="338" t="str">
        <f t="shared" si="76"/>
        <v>43_12</v>
      </c>
      <c r="D166" s="398" t="s">
        <v>1</v>
      </c>
      <c r="E166" s="228">
        <v>43</v>
      </c>
      <c r="F166" s="332" t="s">
        <v>62</v>
      </c>
      <c r="G166" s="228" t="s">
        <v>9</v>
      </c>
      <c r="H166" s="427">
        <f t="shared" si="77"/>
        <v>29</v>
      </c>
      <c r="I166" s="427">
        <f t="shared" si="78"/>
        <v>6</v>
      </c>
      <c r="J166" s="428">
        <f t="array" ref="J166">MAX((IF(MNU_CODIGO_ALIMENTO_ENTREGA=CONCATENATE($E166,"_","S_"),MNU_GRAMAJE_REQUERIDO_TIPOA,"")))</f>
        <v>100</v>
      </c>
      <c r="K166" s="229">
        <f t="shared" si="79"/>
        <v>460</v>
      </c>
      <c r="L166" s="229">
        <f t="shared" si="80"/>
        <v>0</v>
      </c>
      <c r="M166" s="229">
        <f t="shared" si="81"/>
        <v>13340</v>
      </c>
      <c r="N166" s="454">
        <f t="shared" si="82"/>
        <v>170</v>
      </c>
      <c r="O166" s="454">
        <f t="shared" si="83"/>
        <v>8.2959999999999994</v>
      </c>
      <c r="P166" s="454">
        <f t="shared" si="84"/>
        <v>0.14620272000000001</v>
      </c>
      <c r="Q166" s="454">
        <f t="shared" si="85"/>
        <v>178</v>
      </c>
      <c r="R166" s="230">
        <f t="shared" si="86"/>
        <v>2267800</v>
      </c>
      <c r="S166" s="230">
        <f t="shared" si="87"/>
        <v>2374520</v>
      </c>
      <c r="T166" s="429">
        <f t="shared" si="88"/>
        <v>23</v>
      </c>
      <c r="U166" s="429">
        <f t="shared" si="89"/>
        <v>1</v>
      </c>
      <c r="V166" s="430">
        <f t="array" ref="V166">MAX((IF(MNU_CODIGO_ALIMENTO_ENTREGA=CONCATENATE($E166,"_","S_"),MNU_GRAMAJE_REQUERIDO_TIPOB,"")))</f>
        <v>100</v>
      </c>
      <c r="W166" s="397">
        <f t="shared" si="90"/>
        <v>0</v>
      </c>
      <c r="X166" s="397">
        <f t="shared" si="91"/>
        <v>0</v>
      </c>
      <c r="Y166" s="397">
        <f t="shared" si="92"/>
        <v>0</v>
      </c>
      <c r="Z166" s="454">
        <f t="shared" si="93"/>
        <v>170</v>
      </c>
      <c r="AA166" s="454">
        <f t="shared" si="94"/>
        <v>8.2959999999999994</v>
      </c>
      <c r="AB166" s="454">
        <f t="shared" si="95"/>
        <v>0.14620272000000001</v>
      </c>
      <c r="AC166" s="454">
        <f t="shared" si="96"/>
        <v>178</v>
      </c>
      <c r="AD166" s="231">
        <f t="shared" si="97"/>
        <v>0</v>
      </c>
      <c r="AE166" s="231">
        <f t="shared" si="98"/>
        <v>0</v>
      </c>
      <c r="AF166" s="427">
        <f t="shared" si="99"/>
        <v>23</v>
      </c>
      <c r="AG166" s="427">
        <f t="shared" si="100"/>
        <v>1</v>
      </c>
      <c r="AH166" s="428">
        <f t="array" ref="AH166">MAX((IF(MNU_CODIGO_ALIMENTO_ENTREGA=CONCATENATE($E166,"_","S_"),MNU_GRAMAJE_REQUERIDO_TIPOC,"")))</f>
        <v>100</v>
      </c>
      <c r="AI166" s="229">
        <f t="shared" si="101"/>
        <v>337</v>
      </c>
      <c r="AJ166" s="229">
        <f t="shared" si="102"/>
        <v>0</v>
      </c>
      <c r="AK166" s="229">
        <f t="shared" si="103"/>
        <v>7751</v>
      </c>
      <c r="AL166" s="454">
        <f t="shared" si="104"/>
        <v>170</v>
      </c>
      <c r="AM166" s="454">
        <f t="shared" si="105"/>
        <v>8.2959999999999994</v>
      </c>
      <c r="AN166" s="454">
        <f t="shared" si="106"/>
        <v>0.14620272000000001</v>
      </c>
      <c r="AO166" s="454">
        <f t="shared" si="107"/>
        <v>178</v>
      </c>
      <c r="AP166" s="454">
        <f t="shared" si="108"/>
        <v>1317670</v>
      </c>
      <c r="AQ166" s="230">
        <f t="shared" si="109"/>
        <v>1379678</v>
      </c>
      <c r="AR166" s="397">
        <f t="shared" si="110"/>
        <v>3585470</v>
      </c>
      <c r="AS166" s="397">
        <f t="shared" si="111"/>
        <v>3754198</v>
      </c>
    </row>
    <row r="167" spans="1:45" ht="15.75">
      <c r="A167" s="228">
        <v>12</v>
      </c>
      <c r="B167" s="228" t="str">
        <f t="shared" si="75"/>
        <v>FRUTA_12</v>
      </c>
      <c r="C167" s="338" t="str">
        <f t="shared" si="76"/>
        <v>46_12</v>
      </c>
      <c r="D167" s="398" t="s">
        <v>1</v>
      </c>
      <c r="E167" s="228">
        <v>46</v>
      </c>
      <c r="F167" s="332" t="s">
        <v>64</v>
      </c>
      <c r="G167" s="228" t="s">
        <v>9</v>
      </c>
      <c r="H167" s="427">
        <f t="shared" si="77"/>
        <v>29</v>
      </c>
      <c r="I167" s="427">
        <f t="shared" si="78"/>
        <v>4</v>
      </c>
      <c r="J167" s="428">
        <f t="array" ref="J167">MAX((IF(MNU_CODIGO_ALIMENTO_ENTREGA=CONCATENATE($E167,"_","S_"),MNU_GRAMAJE_REQUERIDO_TIPOA,"")))</f>
        <v>100</v>
      </c>
      <c r="K167" s="229">
        <f t="shared" si="79"/>
        <v>460</v>
      </c>
      <c r="L167" s="229">
        <f t="shared" si="80"/>
        <v>0</v>
      </c>
      <c r="M167" s="229">
        <f t="shared" si="81"/>
        <v>13340</v>
      </c>
      <c r="N167" s="454">
        <f t="shared" si="82"/>
        <v>398</v>
      </c>
      <c r="O167" s="454">
        <f t="shared" si="83"/>
        <v>19.4224</v>
      </c>
      <c r="P167" s="454">
        <f t="shared" si="84"/>
        <v>0.34228636800000001</v>
      </c>
      <c r="Q167" s="454">
        <f t="shared" si="85"/>
        <v>418</v>
      </c>
      <c r="R167" s="230">
        <f t="shared" si="86"/>
        <v>5309320</v>
      </c>
      <c r="S167" s="230">
        <f t="shared" si="87"/>
        <v>5576120</v>
      </c>
      <c r="T167" s="429">
        <f t="shared" si="88"/>
        <v>24</v>
      </c>
      <c r="U167" s="429">
        <f t="shared" si="89"/>
        <v>3</v>
      </c>
      <c r="V167" s="430">
        <f t="array" ref="V167">MAX((IF(MNU_CODIGO_ALIMENTO_ENTREGA=CONCATENATE($E167,"_","S_"),MNU_GRAMAJE_REQUERIDO_TIPOB,"")))</f>
        <v>100</v>
      </c>
      <c r="W167" s="397">
        <f t="shared" si="90"/>
        <v>0</v>
      </c>
      <c r="X167" s="397">
        <f t="shared" si="91"/>
        <v>0</v>
      </c>
      <c r="Y167" s="397">
        <f t="shared" si="92"/>
        <v>0</v>
      </c>
      <c r="Z167" s="454">
        <f t="shared" si="93"/>
        <v>398</v>
      </c>
      <c r="AA167" s="454">
        <f t="shared" si="94"/>
        <v>19.4224</v>
      </c>
      <c r="AB167" s="454">
        <f t="shared" si="95"/>
        <v>0.34228636800000001</v>
      </c>
      <c r="AC167" s="454">
        <f t="shared" si="96"/>
        <v>418</v>
      </c>
      <c r="AD167" s="231">
        <f t="shared" si="97"/>
        <v>0</v>
      </c>
      <c r="AE167" s="231">
        <f t="shared" si="98"/>
        <v>0</v>
      </c>
      <c r="AF167" s="427">
        <f t="shared" si="99"/>
        <v>24</v>
      </c>
      <c r="AG167" s="427">
        <f t="shared" si="100"/>
        <v>3</v>
      </c>
      <c r="AH167" s="428">
        <f t="array" ref="AH167">MAX((IF(MNU_CODIGO_ALIMENTO_ENTREGA=CONCATENATE($E167,"_","S_"),MNU_GRAMAJE_REQUERIDO_TIPOC,"")))</f>
        <v>100</v>
      </c>
      <c r="AI167" s="229">
        <f t="shared" si="101"/>
        <v>337</v>
      </c>
      <c r="AJ167" s="229">
        <f t="shared" si="102"/>
        <v>0</v>
      </c>
      <c r="AK167" s="229">
        <f t="shared" si="103"/>
        <v>8088</v>
      </c>
      <c r="AL167" s="454">
        <f t="shared" si="104"/>
        <v>398</v>
      </c>
      <c r="AM167" s="454">
        <f t="shared" si="105"/>
        <v>19.4224</v>
      </c>
      <c r="AN167" s="454">
        <f t="shared" si="106"/>
        <v>0.34228636800000001</v>
      </c>
      <c r="AO167" s="454">
        <f t="shared" si="107"/>
        <v>418</v>
      </c>
      <c r="AP167" s="454">
        <f t="shared" si="108"/>
        <v>3219024</v>
      </c>
      <c r="AQ167" s="230">
        <f t="shared" si="109"/>
        <v>3380784</v>
      </c>
      <c r="AR167" s="397">
        <f t="shared" si="110"/>
        <v>8528344</v>
      </c>
      <c r="AS167" s="397">
        <f t="shared" si="111"/>
        <v>8956904</v>
      </c>
    </row>
    <row r="168" spans="1:45" ht="15.75">
      <c r="A168" s="228">
        <v>12</v>
      </c>
      <c r="B168" s="228" t="str">
        <f t="shared" si="75"/>
        <v>FRUTA_12</v>
      </c>
      <c r="C168" s="338" t="str">
        <f t="shared" si="76"/>
        <v>58_12</v>
      </c>
      <c r="D168" s="398" t="s">
        <v>1</v>
      </c>
      <c r="E168" s="228">
        <v>58</v>
      </c>
      <c r="F168" s="332" t="s">
        <v>67</v>
      </c>
      <c r="G168" s="228" t="s">
        <v>9</v>
      </c>
      <c r="H168" s="427">
        <f t="shared" si="77"/>
        <v>28</v>
      </c>
      <c r="I168" s="427">
        <f t="shared" si="78"/>
        <v>5</v>
      </c>
      <c r="J168" s="428">
        <f t="array" ref="J168">MAX((IF(MNU_CODIGO_ALIMENTO_ENTREGA=CONCATENATE($E168,"_","S_"),MNU_GRAMAJE_REQUERIDO_TIPOA,"")))</f>
        <v>100</v>
      </c>
      <c r="K168" s="229">
        <f t="shared" si="79"/>
        <v>460</v>
      </c>
      <c r="L168" s="229">
        <f t="shared" si="80"/>
        <v>0</v>
      </c>
      <c r="M168" s="229">
        <f t="shared" si="81"/>
        <v>12880</v>
      </c>
      <c r="N168" s="454">
        <f t="shared" si="82"/>
        <v>154</v>
      </c>
      <c r="O168" s="454">
        <f t="shared" si="83"/>
        <v>7.515200000000001</v>
      </c>
      <c r="P168" s="454">
        <f t="shared" si="84"/>
        <v>0.13244246400000001</v>
      </c>
      <c r="Q168" s="454">
        <f t="shared" si="85"/>
        <v>162</v>
      </c>
      <c r="R168" s="230">
        <f t="shared" si="86"/>
        <v>1983520</v>
      </c>
      <c r="S168" s="230">
        <f t="shared" si="87"/>
        <v>2086560</v>
      </c>
      <c r="T168" s="429">
        <f t="shared" si="88"/>
        <v>23</v>
      </c>
      <c r="U168" s="429">
        <f t="shared" si="89"/>
        <v>3</v>
      </c>
      <c r="V168" s="430">
        <f t="array" ref="V168">MAX((IF(MNU_CODIGO_ALIMENTO_ENTREGA=CONCATENATE($E168,"_","S_"),MNU_GRAMAJE_REQUERIDO_TIPOB,"")))</f>
        <v>100</v>
      </c>
      <c r="W168" s="397">
        <f t="shared" si="90"/>
        <v>0</v>
      </c>
      <c r="X168" s="397">
        <f t="shared" si="91"/>
        <v>0</v>
      </c>
      <c r="Y168" s="397">
        <f t="shared" si="92"/>
        <v>0</v>
      </c>
      <c r="Z168" s="454">
        <f t="shared" si="93"/>
        <v>154</v>
      </c>
      <c r="AA168" s="454">
        <f t="shared" si="94"/>
        <v>7.515200000000001</v>
      </c>
      <c r="AB168" s="454">
        <f t="shared" si="95"/>
        <v>0.13244246400000001</v>
      </c>
      <c r="AC168" s="454">
        <f t="shared" si="96"/>
        <v>162</v>
      </c>
      <c r="AD168" s="231">
        <f t="shared" si="97"/>
        <v>0</v>
      </c>
      <c r="AE168" s="231">
        <f t="shared" si="98"/>
        <v>0</v>
      </c>
      <c r="AF168" s="427">
        <f t="shared" si="99"/>
        <v>23</v>
      </c>
      <c r="AG168" s="427">
        <f t="shared" si="100"/>
        <v>3</v>
      </c>
      <c r="AH168" s="428">
        <f t="array" ref="AH168">MAX((IF(MNU_CODIGO_ALIMENTO_ENTREGA=CONCATENATE($E168,"_","S_"),MNU_GRAMAJE_REQUERIDO_TIPOC,"")))</f>
        <v>100</v>
      </c>
      <c r="AI168" s="229">
        <f t="shared" si="101"/>
        <v>337</v>
      </c>
      <c r="AJ168" s="229">
        <f t="shared" si="102"/>
        <v>0</v>
      </c>
      <c r="AK168" s="229">
        <f t="shared" si="103"/>
        <v>7751</v>
      </c>
      <c r="AL168" s="454">
        <f t="shared" si="104"/>
        <v>154</v>
      </c>
      <c r="AM168" s="454">
        <f t="shared" si="105"/>
        <v>7.515200000000001</v>
      </c>
      <c r="AN168" s="454">
        <f t="shared" si="106"/>
        <v>0.13244246400000001</v>
      </c>
      <c r="AO168" s="454">
        <f t="shared" si="107"/>
        <v>162</v>
      </c>
      <c r="AP168" s="454">
        <f t="shared" si="108"/>
        <v>1193654</v>
      </c>
      <c r="AQ168" s="230">
        <f t="shared" si="109"/>
        <v>1255662</v>
      </c>
      <c r="AR168" s="397">
        <f t="shared" si="110"/>
        <v>3177174</v>
      </c>
      <c r="AS168" s="397">
        <f t="shared" si="111"/>
        <v>3342222</v>
      </c>
    </row>
    <row r="169" spans="1:45" ht="15.75">
      <c r="A169" s="228">
        <v>12</v>
      </c>
      <c r="B169" s="228" t="str">
        <f t="shared" si="75"/>
        <v>FRUTA_12</v>
      </c>
      <c r="C169" s="338" t="str">
        <f t="shared" si="76"/>
        <v>59_12</v>
      </c>
      <c r="D169" s="398" t="s">
        <v>1</v>
      </c>
      <c r="E169" s="228">
        <v>59</v>
      </c>
      <c r="F169" s="332" t="s">
        <v>99</v>
      </c>
      <c r="G169" s="228" t="s">
        <v>9</v>
      </c>
      <c r="H169" s="427">
        <f t="shared" si="77"/>
        <v>0</v>
      </c>
      <c r="I169" s="427">
        <f t="shared" si="78"/>
        <v>0</v>
      </c>
      <c r="J169" s="428">
        <f t="array" ref="J169">MAX((IF(MNU_CODIGO_ALIMENTO_ENTREGA=CONCATENATE($E169,"_","S_"),MNU_GRAMAJE_REQUERIDO_TIPOA,"")))</f>
        <v>0</v>
      </c>
      <c r="K169" s="229">
        <f t="shared" si="79"/>
        <v>460</v>
      </c>
      <c r="L169" s="229">
        <f t="shared" si="80"/>
        <v>0</v>
      </c>
      <c r="M169" s="229">
        <f t="shared" si="81"/>
        <v>0</v>
      </c>
      <c r="N169" s="454">
        <f t="shared" si="82"/>
        <v>0</v>
      </c>
      <c r="O169" s="454">
        <f t="shared" si="83"/>
        <v>0</v>
      </c>
      <c r="P169" s="454">
        <f t="shared" si="84"/>
        <v>0</v>
      </c>
      <c r="Q169" s="454">
        <f t="shared" si="85"/>
        <v>0</v>
      </c>
      <c r="R169" s="230">
        <f t="shared" si="86"/>
        <v>0</v>
      </c>
      <c r="S169" s="230">
        <f t="shared" si="87"/>
        <v>0</v>
      </c>
      <c r="T169" s="429">
        <f t="shared" si="88"/>
        <v>11</v>
      </c>
      <c r="U169" s="429">
        <f t="shared" si="89"/>
        <v>0</v>
      </c>
      <c r="V169" s="430">
        <f t="array" ref="V169">MAX((IF(MNU_CODIGO_ALIMENTO_ENTREGA=CONCATENATE($E169,"_","S_"),MNU_GRAMAJE_REQUERIDO_TIPOB,"")))</f>
        <v>100</v>
      </c>
      <c r="W169" s="397">
        <f t="shared" si="90"/>
        <v>0</v>
      </c>
      <c r="X169" s="397">
        <f t="shared" si="91"/>
        <v>0</v>
      </c>
      <c r="Y169" s="397">
        <f t="shared" si="92"/>
        <v>0</v>
      </c>
      <c r="Z169" s="454">
        <f t="shared" si="93"/>
        <v>286</v>
      </c>
      <c r="AA169" s="454">
        <f t="shared" si="94"/>
        <v>13.956800000000001</v>
      </c>
      <c r="AB169" s="454">
        <f t="shared" si="95"/>
        <v>0.24596457599999999</v>
      </c>
      <c r="AC169" s="454">
        <f t="shared" si="96"/>
        <v>300</v>
      </c>
      <c r="AD169" s="231">
        <f t="shared" si="97"/>
        <v>0</v>
      </c>
      <c r="AE169" s="231">
        <f t="shared" si="98"/>
        <v>0</v>
      </c>
      <c r="AF169" s="427">
        <f t="shared" si="99"/>
        <v>11</v>
      </c>
      <c r="AG169" s="427">
        <f t="shared" si="100"/>
        <v>0</v>
      </c>
      <c r="AH169" s="428">
        <f t="array" ref="AH169">MAX((IF(MNU_CODIGO_ALIMENTO_ENTREGA=CONCATENATE($E169,"_","S_"),MNU_GRAMAJE_REQUERIDO_TIPOC,"")))</f>
        <v>100</v>
      </c>
      <c r="AI169" s="229">
        <f t="shared" si="101"/>
        <v>337</v>
      </c>
      <c r="AJ169" s="229">
        <f t="shared" si="102"/>
        <v>0</v>
      </c>
      <c r="AK169" s="229">
        <f t="shared" si="103"/>
        <v>3707</v>
      </c>
      <c r="AL169" s="454">
        <f t="shared" si="104"/>
        <v>286</v>
      </c>
      <c r="AM169" s="454">
        <f t="shared" si="105"/>
        <v>13.956800000000001</v>
      </c>
      <c r="AN169" s="454">
        <f t="shared" si="106"/>
        <v>0.24596457599999999</v>
      </c>
      <c r="AO169" s="454">
        <f t="shared" si="107"/>
        <v>300</v>
      </c>
      <c r="AP169" s="454">
        <f t="shared" si="108"/>
        <v>1060202</v>
      </c>
      <c r="AQ169" s="230">
        <f t="shared" si="109"/>
        <v>1112100</v>
      </c>
      <c r="AR169" s="397">
        <f t="shared" si="110"/>
        <v>1060202</v>
      </c>
      <c r="AS169" s="397">
        <f t="shared" si="111"/>
        <v>1112100</v>
      </c>
    </row>
    <row r="170" spans="1:45" ht="15.75">
      <c r="A170" s="228">
        <v>12</v>
      </c>
      <c r="B170" s="228" t="str">
        <f t="shared" si="75"/>
        <v>FRUTA_12</v>
      </c>
      <c r="C170" s="338" t="str">
        <f t="shared" si="76"/>
        <v>69_12</v>
      </c>
      <c r="D170" s="398" t="s">
        <v>1</v>
      </c>
      <c r="E170" s="228">
        <v>69</v>
      </c>
      <c r="F170" s="332" t="s">
        <v>70</v>
      </c>
      <c r="G170" s="228" t="s">
        <v>9</v>
      </c>
      <c r="H170" s="427">
        <f t="shared" si="77"/>
        <v>18</v>
      </c>
      <c r="I170" s="427">
        <f t="shared" si="78"/>
        <v>2</v>
      </c>
      <c r="J170" s="428">
        <f t="array" ref="J170">MAX((IF(MNU_CODIGO_ALIMENTO_ENTREGA=CONCATENATE($E170,"_","S_"),MNU_GRAMAJE_REQUERIDO_TIPOA,"")))</f>
        <v>100</v>
      </c>
      <c r="K170" s="229">
        <f t="shared" si="79"/>
        <v>460</v>
      </c>
      <c r="L170" s="229">
        <f t="shared" si="80"/>
        <v>0</v>
      </c>
      <c r="M170" s="229">
        <f t="shared" si="81"/>
        <v>8280</v>
      </c>
      <c r="N170" s="454">
        <f t="shared" si="82"/>
        <v>305</v>
      </c>
      <c r="O170" s="454">
        <f t="shared" si="83"/>
        <v>14.884</v>
      </c>
      <c r="P170" s="454">
        <f t="shared" si="84"/>
        <v>0.26230488000000002</v>
      </c>
      <c r="Q170" s="454">
        <f t="shared" si="85"/>
        <v>320</v>
      </c>
      <c r="R170" s="230">
        <f t="shared" si="86"/>
        <v>2525400</v>
      </c>
      <c r="S170" s="230">
        <f t="shared" si="87"/>
        <v>2649600</v>
      </c>
      <c r="T170" s="429">
        <f t="shared" si="88"/>
        <v>12</v>
      </c>
      <c r="U170" s="429">
        <f t="shared" si="89"/>
        <v>2</v>
      </c>
      <c r="V170" s="430">
        <f t="array" ref="V170">MAX((IF(MNU_CODIGO_ALIMENTO_ENTREGA=CONCATENATE($E170,"_","S_"),MNU_GRAMAJE_REQUERIDO_TIPOB,"")))</f>
        <v>100</v>
      </c>
      <c r="W170" s="397">
        <f t="shared" si="90"/>
        <v>0</v>
      </c>
      <c r="X170" s="397">
        <f t="shared" si="91"/>
        <v>0</v>
      </c>
      <c r="Y170" s="397">
        <f t="shared" si="92"/>
        <v>0</v>
      </c>
      <c r="Z170" s="454">
        <f t="shared" si="93"/>
        <v>305</v>
      </c>
      <c r="AA170" s="454">
        <f t="shared" si="94"/>
        <v>14.884</v>
      </c>
      <c r="AB170" s="454">
        <f t="shared" si="95"/>
        <v>0.26230488000000002</v>
      </c>
      <c r="AC170" s="454">
        <f t="shared" si="96"/>
        <v>320</v>
      </c>
      <c r="AD170" s="231">
        <f t="shared" si="97"/>
        <v>0</v>
      </c>
      <c r="AE170" s="231">
        <f t="shared" si="98"/>
        <v>0</v>
      </c>
      <c r="AF170" s="427">
        <f t="shared" si="99"/>
        <v>12</v>
      </c>
      <c r="AG170" s="427">
        <f t="shared" si="100"/>
        <v>2</v>
      </c>
      <c r="AH170" s="428">
        <f t="array" ref="AH170">MAX((IF(MNU_CODIGO_ALIMENTO_ENTREGA=CONCATENATE($E170,"_","S_"),MNU_GRAMAJE_REQUERIDO_TIPOC,"")))</f>
        <v>100</v>
      </c>
      <c r="AI170" s="229">
        <f t="shared" si="101"/>
        <v>337</v>
      </c>
      <c r="AJ170" s="229">
        <f t="shared" si="102"/>
        <v>0</v>
      </c>
      <c r="AK170" s="229">
        <f t="shared" si="103"/>
        <v>4044</v>
      </c>
      <c r="AL170" s="454">
        <f t="shared" si="104"/>
        <v>305</v>
      </c>
      <c r="AM170" s="454">
        <f t="shared" si="105"/>
        <v>14.884</v>
      </c>
      <c r="AN170" s="454">
        <f t="shared" si="106"/>
        <v>0.26230488000000002</v>
      </c>
      <c r="AO170" s="454">
        <f t="shared" si="107"/>
        <v>320</v>
      </c>
      <c r="AP170" s="454">
        <f t="shared" si="108"/>
        <v>1233420</v>
      </c>
      <c r="AQ170" s="230">
        <f t="shared" si="109"/>
        <v>1294080</v>
      </c>
      <c r="AR170" s="397">
        <f t="shared" si="110"/>
        <v>3758820</v>
      </c>
      <c r="AS170" s="397">
        <f t="shared" si="111"/>
        <v>3943680</v>
      </c>
    </row>
    <row r="171" spans="1:45" ht="15.75">
      <c r="A171" s="228">
        <v>12</v>
      </c>
      <c r="B171" s="228" t="str">
        <f t="shared" si="75"/>
        <v>FRUTA_12</v>
      </c>
      <c r="C171" s="338" t="str">
        <f t="shared" si="76"/>
        <v>70_12</v>
      </c>
      <c r="D171" s="398" t="s">
        <v>1</v>
      </c>
      <c r="E171" s="228">
        <v>70</v>
      </c>
      <c r="F171" s="332" t="s">
        <v>71</v>
      </c>
      <c r="G171" s="228" t="s">
        <v>9</v>
      </c>
      <c r="H171" s="427">
        <f t="shared" si="77"/>
        <v>0</v>
      </c>
      <c r="I171" s="427">
        <f t="shared" si="78"/>
        <v>0</v>
      </c>
      <c r="J171" s="428">
        <f t="array" ref="J171">MAX((IF(MNU_CODIGO_ALIMENTO_ENTREGA=CONCATENATE($E171,"_","S_"),MNU_GRAMAJE_REQUERIDO_TIPOA,"")))</f>
        <v>0</v>
      </c>
      <c r="K171" s="229">
        <f t="shared" si="79"/>
        <v>460</v>
      </c>
      <c r="L171" s="229">
        <f t="shared" si="80"/>
        <v>0</v>
      </c>
      <c r="M171" s="229">
        <f t="shared" si="81"/>
        <v>0</v>
      </c>
      <c r="N171" s="454">
        <f t="shared" si="82"/>
        <v>0</v>
      </c>
      <c r="O171" s="454">
        <f t="shared" si="83"/>
        <v>0</v>
      </c>
      <c r="P171" s="454">
        <f t="shared" si="84"/>
        <v>0</v>
      </c>
      <c r="Q171" s="454">
        <f t="shared" si="85"/>
        <v>0</v>
      </c>
      <c r="R171" s="230">
        <f t="shared" si="86"/>
        <v>0</v>
      </c>
      <c r="S171" s="230">
        <f t="shared" si="87"/>
        <v>0</v>
      </c>
      <c r="T171" s="429">
        <f t="shared" si="88"/>
        <v>8</v>
      </c>
      <c r="U171" s="429">
        <f t="shared" si="89"/>
        <v>4</v>
      </c>
      <c r="V171" s="430">
        <f t="array" ref="V171">MAX((IF(MNU_CODIGO_ALIMENTO_ENTREGA=CONCATENATE($E171,"_","S_"),MNU_GRAMAJE_REQUERIDO_TIPOB,"")))</f>
        <v>100</v>
      </c>
      <c r="W171" s="397">
        <f t="shared" si="90"/>
        <v>0</v>
      </c>
      <c r="X171" s="397">
        <f t="shared" si="91"/>
        <v>0</v>
      </c>
      <c r="Y171" s="397">
        <f t="shared" si="92"/>
        <v>0</v>
      </c>
      <c r="Z171" s="454">
        <f t="shared" si="93"/>
        <v>434</v>
      </c>
      <c r="AA171" s="454">
        <f t="shared" si="94"/>
        <v>21.179200000000002</v>
      </c>
      <c r="AB171" s="454">
        <f t="shared" si="95"/>
        <v>0.37324694399999997</v>
      </c>
      <c r="AC171" s="454">
        <f t="shared" si="96"/>
        <v>456</v>
      </c>
      <c r="AD171" s="231">
        <f t="shared" si="97"/>
        <v>0</v>
      </c>
      <c r="AE171" s="231">
        <f t="shared" si="98"/>
        <v>0</v>
      </c>
      <c r="AF171" s="427">
        <f t="shared" si="99"/>
        <v>8</v>
      </c>
      <c r="AG171" s="427">
        <f t="shared" si="100"/>
        <v>4</v>
      </c>
      <c r="AH171" s="428">
        <f t="array" ref="AH171">MAX((IF(MNU_CODIGO_ALIMENTO_ENTREGA=CONCATENATE($E171,"_","S_"),MNU_GRAMAJE_REQUERIDO_TIPOC,"")))</f>
        <v>100</v>
      </c>
      <c r="AI171" s="229">
        <f t="shared" si="101"/>
        <v>337</v>
      </c>
      <c r="AJ171" s="229">
        <f t="shared" si="102"/>
        <v>0</v>
      </c>
      <c r="AK171" s="229">
        <f t="shared" si="103"/>
        <v>2696</v>
      </c>
      <c r="AL171" s="454">
        <f t="shared" si="104"/>
        <v>434</v>
      </c>
      <c r="AM171" s="454">
        <f t="shared" si="105"/>
        <v>21.179200000000002</v>
      </c>
      <c r="AN171" s="454">
        <f t="shared" si="106"/>
        <v>0.37324694399999997</v>
      </c>
      <c r="AO171" s="454">
        <f t="shared" si="107"/>
        <v>456</v>
      </c>
      <c r="AP171" s="454">
        <f t="shared" si="108"/>
        <v>1170064</v>
      </c>
      <c r="AQ171" s="230">
        <f t="shared" si="109"/>
        <v>1229376</v>
      </c>
      <c r="AR171" s="397">
        <f t="shared" si="110"/>
        <v>1170064</v>
      </c>
      <c r="AS171" s="397">
        <f t="shared" si="111"/>
        <v>1229376</v>
      </c>
    </row>
    <row r="172" spans="1:45" ht="15.75">
      <c r="A172" s="228">
        <v>13</v>
      </c>
      <c r="B172" s="228" t="str">
        <f t="shared" si="75"/>
        <v>FRUTA_13</v>
      </c>
      <c r="C172" s="338" t="str">
        <f t="shared" si="76"/>
        <v>7_13</v>
      </c>
      <c r="D172" s="398" t="s">
        <v>1</v>
      </c>
      <c r="E172" s="228">
        <v>7</v>
      </c>
      <c r="F172" s="332" t="s">
        <v>57</v>
      </c>
      <c r="G172" s="228" t="s">
        <v>9</v>
      </c>
      <c r="H172" s="427">
        <f t="shared" si="77"/>
        <v>31</v>
      </c>
      <c r="I172" s="427">
        <f t="shared" si="78"/>
        <v>0</v>
      </c>
      <c r="J172" s="428">
        <f t="array" ref="J172">MAX((IF(MNU_CODIGO_ALIMENTO_ENTREGA=CONCATENATE($E172,"_","S_"),MNU_GRAMAJE_REQUERIDO_TIPOA,"")))</f>
        <v>100</v>
      </c>
      <c r="K172" s="229">
        <f t="shared" si="79"/>
        <v>326</v>
      </c>
      <c r="L172" s="229">
        <f t="shared" si="80"/>
        <v>0</v>
      </c>
      <c r="M172" s="229">
        <f t="shared" si="81"/>
        <v>10106</v>
      </c>
      <c r="N172" s="454">
        <f t="shared" si="82"/>
        <v>107</v>
      </c>
      <c r="O172" s="454">
        <f t="shared" si="83"/>
        <v>5.2216000000000005</v>
      </c>
      <c r="P172" s="454">
        <f t="shared" si="84"/>
        <v>9.2021712000000006E-2</v>
      </c>
      <c r="Q172" s="454">
        <f t="shared" si="85"/>
        <v>112</v>
      </c>
      <c r="R172" s="230">
        <f t="shared" si="86"/>
        <v>1081342</v>
      </c>
      <c r="S172" s="230">
        <f t="shared" si="87"/>
        <v>1131872</v>
      </c>
      <c r="T172" s="429">
        <f t="shared" si="88"/>
        <v>11</v>
      </c>
      <c r="U172" s="429">
        <f t="shared" si="89"/>
        <v>0</v>
      </c>
      <c r="V172" s="430">
        <f t="array" ref="V172">MAX((IF(MNU_CODIGO_ALIMENTO_ENTREGA=CONCATENATE($E172,"_","S_"),MNU_GRAMAJE_REQUERIDO_TIPOB,"")))</f>
        <v>100</v>
      </c>
      <c r="W172" s="397">
        <f t="shared" si="90"/>
        <v>970</v>
      </c>
      <c r="X172" s="397">
        <f t="shared" si="91"/>
        <v>0</v>
      </c>
      <c r="Y172" s="397">
        <f t="shared" si="92"/>
        <v>10670</v>
      </c>
      <c r="Z172" s="454">
        <f t="shared" si="93"/>
        <v>107</v>
      </c>
      <c r="AA172" s="454">
        <f t="shared" si="94"/>
        <v>5.2216000000000005</v>
      </c>
      <c r="AB172" s="454">
        <f t="shared" si="95"/>
        <v>9.2021712000000006E-2</v>
      </c>
      <c r="AC172" s="454">
        <f t="shared" si="96"/>
        <v>112</v>
      </c>
      <c r="AD172" s="231">
        <f t="shared" si="97"/>
        <v>1141690</v>
      </c>
      <c r="AE172" s="231">
        <f t="shared" si="98"/>
        <v>1195040</v>
      </c>
      <c r="AF172" s="427">
        <f t="shared" si="99"/>
        <v>11</v>
      </c>
      <c r="AG172" s="427">
        <f t="shared" si="100"/>
        <v>0</v>
      </c>
      <c r="AH172" s="428">
        <f t="array" ref="AH172">MAX((IF(MNU_CODIGO_ALIMENTO_ENTREGA=CONCATENATE($E172,"_","S_"),MNU_GRAMAJE_REQUERIDO_TIPOC,"")))</f>
        <v>100</v>
      </c>
      <c r="AI172" s="229">
        <f t="shared" si="101"/>
        <v>1593</v>
      </c>
      <c r="AJ172" s="229">
        <f t="shared" si="102"/>
        <v>0</v>
      </c>
      <c r="AK172" s="229">
        <f t="shared" si="103"/>
        <v>17523</v>
      </c>
      <c r="AL172" s="454">
        <f t="shared" si="104"/>
        <v>107</v>
      </c>
      <c r="AM172" s="454">
        <f t="shared" si="105"/>
        <v>5.2216000000000005</v>
      </c>
      <c r="AN172" s="454">
        <f t="shared" si="106"/>
        <v>9.2021712000000006E-2</v>
      </c>
      <c r="AO172" s="454">
        <f t="shared" si="107"/>
        <v>112</v>
      </c>
      <c r="AP172" s="454">
        <f t="shared" si="108"/>
        <v>1874961</v>
      </c>
      <c r="AQ172" s="230">
        <f t="shared" si="109"/>
        <v>1962576</v>
      </c>
      <c r="AR172" s="397">
        <f t="shared" si="110"/>
        <v>4097993</v>
      </c>
      <c r="AS172" s="397">
        <f t="shared" si="111"/>
        <v>4289488</v>
      </c>
    </row>
    <row r="173" spans="1:45" ht="15.75">
      <c r="A173" s="228">
        <v>13</v>
      </c>
      <c r="B173" s="228" t="str">
        <f t="shared" si="75"/>
        <v>FRUTA_13</v>
      </c>
      <c r="C173" s="338" t="str">
        <f t="shared" si="76"/>
        <v>8_13</v>
      </c>
      <c r="D173" s="398" t="s">
        <v>1</v>
      </c>
      <c r="E173" s="228">
        <v>8</v>
      </c>
      <c r="F173" s="332" t="s">
        <v>55</v>
      </c>
      <c r="G173" s="228" t="s">
        <v>9</v>
      </c>
      <c r="H173" s="427">
        <f t="shared" si="77"/>
        <v>11</v>
      </c>
      <c r="I173" s="427">
        <f t="shared" si="78"/>
        <v>0</v>
      </c>
      <c r="J173" s="428">
        <f t="array" ref="J173">MAX((IF(MNU_CODIGO_ALIMENTO_ENTREGA=CONCATENATE($E173,"_","S_"),MNU_GRAMAJE_REQUERIDO_TIPOA,"")))</f>
        <v>100</v>
      </c>
      <c r="K173" s="229">
        <f t="shared" si="79"/>
        <v>326</v>
      </c>
      <c r="L173" s="229">
        <f t="shared" si="80"/>
        <v>0</v>
      </c>
      <c r="M173" s="229">
        <f t="shared" si="81"/>
        <v>3586</v>
      </c>
      <c r="N173" s="454">
        <f t="shared" si="82"/>
        <v>134</v>
      </c>
      <c r="O173" s="454">
        <f t="shared" si="83"/>
        <v>6.539200000000001</v>
      </c>
      <c r="P173" s="454">
        <f t="shared" si="84"/>
        <v>0.115242144</v>
      </c>
      <c r="Q173" s="454">
        <f t="shared" si="85"/>
        <v>141</v>
      </c>
      <c r="R173" s="230">
        <f t="shared" si="86"/>
        <v>480524</v>
      </c>
      <c r="S173" s="230">
        <f t="shared" si="87"/>
        <v>505626</v>
      </c>
      <c r="T173" s="429">
        <f t="shared" si="88"/>
        <v>11</v>
      </c>
      <c r="U173" s="429">
        <f t="shared" si="89"/>
        <v>0</v>
      </c>
      <c r="V173" s="430">
        <f t="array" ref="V173">MAX((IF(MNU_CODIGO_ALIMENTO_ENTREGA=CONCATENATE($E173,"_","S_"),MNU_GRAMAJE_REQUERIDO_TIPOB,"")))</f>
        <v>100</v>
      </c>
      <c r="W173" s="397">
        <f t="shared" si="90"/>
        <v>970</v>
      </c>
      <c r="X173" s="397">
        <f t="shared" si="91"/>
        <v>0</v>
      </c>
      <c r="Y173" s="397">
        <f t="shared" si="92"/>
        <v>10670</v>
      </c>
      <c r="Z173" s="454">
        <f t="shared" si="93"/>
        <v>134</v>
      </c>
      <c r="AA173" s="454">
        <f t="shared" si="94"/>
        <v>6.539200000000001</v>
      </c>
      <c r="AB173" s="454">
        <f t="shared" si="95"/>
        <v>0.115242144</v>
      </c>
      <c r="AC173" s="454">
        <f t="shared" si="96"/>
        <v>141</v>
      </c>
      <c r="AD173" s="231">
        <f t="shared" si="97"/>
        <v>1429780</v>
      </c>
      <c r="AE173" s="231">
        <f t="shared" si="98"/>
        <v>1504470</v>
      </c>
      <c r="AF173" s="427">
        <f t="shared" si="99"/>
        <v>11</v>
      </c>
      <c r="AG173" s="427">
        <f t="shared" si="100"/>
        <v>0</v>
      </c>
      <c r="AH173" s="428">
        <f t="array" ref="AH173">MAX((IF(MNU_CODIGO_ALIMENTO_ENTREGA=CONCATENATE($E173,"_","S_"),MNU_GRAMAJE_REQUERIDO_TIPOC,"")))</f>
        <v>100</v>
      </c>
      <c r="AI173" s="229">
        <f t="shared" si="101"/>
        <v>1593</v>
      </c>
      <c r="AJ173" s="229">
        <f t="shared" si="102"/>
        <v>0</v>
      </c>
      <c r="AK173" s="229">
        <f t="shared" si="103"/>
        <v>17523</v>
      </c>
      <c r="AL173" s="454">
        <f t="shared" si="104"/>
        <v>134</v>
      </c>
      <c r="AM173" s="454">
        <f t="shared" si="105"/>
        <v>6.539200000000001</v>
      </c>
      <c r="AN173" s="454">
        <f t="shared" si="106"/>
        <v>0.115242144</v>
      </c>
      <c r="AO173" s="454">
        <f t="shared" si="107"/>
        <v>141</v>
      </c>
      <c r="AP173" s="454">
        <f t="shared" si="108"/>
        <v>2348082</v>
      </c>
      <c r="AQ173" s="230">
        <f t="shared" si="109"/>
        <v>2470743</v>
      </c>
      <c r="AR173" s="397">
        <f t="shared" si="110"/>
        <v>4258386</v>
      </c>
      <c r="AS173" s="397">
        <f t="shared" si="111"/>
        <v>4480839</v>
      </c>
    </row>
    <row r="174" spans="1:45" ht="15.75">
      <c r="A174" s="228">
        <v>13</v>
      </c>
      <c r="B174" s="228" t="str">
        <f t="shared" si="75"/>
        <v>FRUTA_13</v>
      </c>
      <c r="C174" s="338" t="str">
        <f t="shared" si="76"/>
        <v>17_13</v>
      </c>
      <c r="D174" s="398" t="s">
        <v>1</v>
      </c>
      <c r="E174" s="228">
        <v>17</v>
      </c>
      <c r="F174" s="332" t="s">
        <v>53</v>
      </c>
      <c r="G174" s="228" t="s">
        <v>9</v>
      </c>
      <c r="H174" s="427">
        <f t="shared" si="77"/>
        <v>0</v>
      </c>
      <c r="I174" s="427">
        <f t="shared" si="78"/>
        <v>0</v>
      </c>
      <c r="J174" s="428">
        <f t="array" ref="J174">MAX((IF(MNU_CODIGO_ALIMENTO_ENTREGA=CONCATENATE($E174,"_","S_"),MNU_GRAMAJE_REQUERIDO_TIPOA,"")))</f>
        <v>0</v>
      </c>
      <c r="K174" s="229">
        <f t="shared" si="79"/>
        <v>326</v>
      </c>
      <c r="L174" s="229">
        <f t="shared" si="80"/>
        <v>0</v>
      </c>
      <c r="M174" s="229">
        <f t="shared" si="81"/>
        <v>0</v>
      </c>
      <c r="N174" s="454">
        <f t="shared" si="82"/>
        <v>0</v>
      </c>
      <c r="O174" s="454">
        <f t="shared" si="83"/>
        <v>0</v>
      </c>
      <c r="P174" s="454">
        <f t="shared" si="84"/>
        <v>0</v>
      </c>
      <c r="Q174" s="454">
        <f t="shared" si="85"/>
        <v>0</v>
      </c>
      <c r="R174" s="230">
        <f t="shared" si="86"/>
        <v>0</v>
      </c>
      <c r="S174" s="230">
        <f t="shared" si="87"/>
        <v>0</v>
      </c>
      <c r="T174" s="429">
        <f t="shared" si="88"/>
        <v>23</v>
      </c>
      <c r="U174" s="429">
        <f t="shared" si="89"/>
        <v>4</v>
      </c>
      <c r="V174" s="430">
        <f t="array" ref="V174">MAX((IF(MNU_CODIGO_ALIMENTO_ENTREGA=CONCATENATE($E174,"_","S_"),MNU_GRAMAJE_REQUERIDO_TIPOB,"")))</f>
        <v>100</v>
      </c>
      <c r="W174" s="397">
        <f t="shared" si="90"/>
        <v>970</v>
      </c>
      <c r="X174" s="397">
        <f t="shared" si="91"/>
        <v>0</v>
      </c>
      <c r="Y174" s="397">
        <f t="shared" si="92"/>
        <v>22310</v>
      </c>
      <c r="Z174" s="454">
        <f t="shared" si="93"/>
        <v>226</v>
      </c>
      <c r="AA174" s="454">
        <f t="shared" si="94"/>
        <v>11.0288</v>
      </c>
      <c r="AB174" s="454">
        <f t="shared" si="95"/>
        <v>0.19436361600000002</v>
      </c>
      <c r="AC174" s="454">
        <f t="shared" si="96"/>
        <v>237</v>
      </c>
      <c r="AD174" s="231">
        <f t="shared" si="97"/>
        <v>5042060</v>
      </c>
      <c r="AE174" s="231">
        <f t="shared" si="98"/>
        <v>5287470</v>
      </c>
      <c r="AF174" s="427">
        <f t="shared" si="99"/>
        <v>23</v>
      </c>
      <c r="AG174" s="427">
        <f t="shared" si="100"/>
        <v>4</v>
      </c>
      <c r="AH174" s="428">
        <f t="array" ref="AH174">MAX((IF(MNU_CODIGO_ALIMENTO_ENTREGA=CONCATENATE($E174,"_","S_"),MNU_GRAMAJE_REQUERIDO_TIPOC,"")))</f>
        <v>100</v>
      </c>
      <c r="AI174" s="229">
        <f t="shared" si="101"/>
        <v>1593</v>
      </c>
      <c r="AJ174" s="229">
        <f t="shared" si="102"/>
        <v>0</v>
      </c>
      <c r="AK174" s="229">
        <f t="shared" si="103"/>
        <v>36639</v>
      </c>
      <c r="AL174" s="454">
        <f t="shared" si="104"/>
        <v>226</v>
      </c>
      <c r="AM174" s="454">
        <f t="shared" si="105"/>
        <v>11.0288</v>
      </c>
      <c r="AN174" s="454">
        <f t="shared" si="106"/>
        <v>0.19436361600000002</v>
      </c>
      <c r="AO174" s="454">
        <f t="shared" si="107"/>
        <v>237</v>
      </c>
      <c r="AP174" s="454">
        <f t="shared" si="108"/>
        <v>8280414</v>
      </c>
      <c r="AQ174" s="230">
        <f t="shared" si="109"/>
        <v>8683443</v>
      </c>
      <c r="AR174" s="397">
        <f t="shared" si="110"/>
        <v>13322474</v>
      </c>
      <c r="AS174" s="397">
        <f t="shared" si="111"/>
        <v>13970913</v>
      </c>
    </row>
    <row r="175" spans="1:45" ht="15.75">
      <c r="A175" s="228">
        <v>13</v>
      </c>
      <c r="B175" s="228" t="str">
        <f t="shared" si="75"/>
        <v>FRUTA_13</v>
      </c>
      <c r="C175" s="338" t="str">
        <f t="shared" si="76"/>
        <v>22_13</v>
      </c>
      <c r="D175" s="398" t="s">
        <v>1</v>
      </c>
      <c r="E175" s="228">
        <v>22</v>
      </c>
      <c r="F175" s="332" t="s">
        <v>51</v>
      </c>
      <c r="G175" s="228" t="s">
        <v>9</v>
      </c>
      <c r="H175" s="427">
        <f t="shared" si="77"/>
        <v>0</v>
      </c>
      <c r="I175" s="427">
        <f t="shared" si="78"/>
        <v>0</v>
      </c>
      <c r="J175" s="428">
        <f t="array" ref="J175">MAX((IF(MNU_CODIGO_ALIMENTO_ENTREGA=CONCATENATE($E175,"_","S_"),MNU_GRAMAJE_REQUERIDO_TIPOA,"")))</f>
        <v>0</v>
      </c>
      <c r="K175" s="229">
        <f t="shared" si="79"/>
        <v>326</v>
      </c>
      <c r="L175" s="229">
        <f t="shared" si="80"/>
        <v>0</v>
      </c>
      <c r="M175" s="229">
        <f t="shared" si="81"/>
        <v>0</v>
      </c>
      <c r="N175" s="454">
        <f t="shared" si="82"/>
        <v>0</v>
      </c>
      <c r="O175" s="454">
        <f t="shared" si="83"/>
        <v>0</v>
      </c>
      <c r="P175" s="454">
        <f t="shared" si="84"/>
        <v>0</v>
      </c>
      <c r="Q175" s="454">
        <f t="shared" si="85"/>
        <v>0</v>
      </c>
      <c r="R175" s="230">
        <f t="shared" si="86"/>
        <v>0</v>
      </c>
      <c r="S175" s="230">
        <f t="shared" si="87"/>
        <v>0</v>
      </c>
      <c r="T175" s="429">
        <f t="shared" si="88"/>
        <v>23</v>
      </c>
      <c r="U175" s="429">
        <f t="shared" si="89"/>
        <v>4</v>
      </c>
      <c r="V175" s="430">
        <f t="array" ref="V175">MAX((IF(MNU_CODIGO_ALIMENTO_ENTREGA=CONCATENATE($E175,"_","S_"),MNU_GRAMAJE_REQUERIDO_TIPOB,"")))</f>
        <v>100</v>
      </c>
      <c r="W175" s="397">
        <f t="shared" si="90"/>
        <v>970</v>
      </c>
      <c r="X175" s="397">
        <f t="shared" si="91"/>
        <v>0</v>
      </c>
      <c r="Y175" s="397">
        <f t="shared" si="92"/>
        <v>22310</v>
      </c>
      <c r="Z175" s="454">
        <f t="shared" si="93"/>
        <v>525</v>
      </c>
      <c r="AA175" s="454">
        <f t="shared" si="94"/>
        <v>25.62</v>
      </c>
      <c r="AB175" s="454">
        <f t="shared" si="95"/>
        <v>0.45150840000000003</v>
      </c>
      <c r="AC175" s="454">
        <f t="shared" si="96"/>
        <v>551</v>
      </c>
      <c r="AD175" s="231">
        <f t="shared" si="97"/>
        <v>11712750</v>
      </c>
      <c r="AE175" s="231">
        <f t="shared" si="98"/>
        <v>12292810</v>
      </c>
      <c r="AF175" s="427">
        <f t="shared" si="99"/>
        <v>23</v>
      </c>
      <c r="AG175" s="427">
        <f t="shared" si="100"/>
        <v>4</v>
      </c>
      <c r="AH175" s="428">
        <f t="array" ref="AH175">MAX((IF(MNU_CODIGO_ALIMENTO_ENTREGA=CONCATENATE($E175,"_","S_"),MNU_GRAMAJE_REQUERIDO_TIPOC,"")))</f>
        <v>100</v>
      </c>
      <c r="AI175" s="229">
        <f t="shared" si="101"/>
        <v>1593</v>
      </c>
      <c r="AJ175" s="229">
        <f t="shared" si="102"/>
        <v>0</v>
      </c>
      <c r="AK175" s="229">
        <f t="shared" si="103"/>
        <v>36639</v>
      </c>
      <c r="AL175" s="454">
        <f t="shared" si="104"/>
        <v>525</v>
      </c>
      <c r="AM175" s="454">
        <f t="shared" si="105"/>
        <v>25.62</v>
      </c>
      <c r="AN175" s="454">
        <f t="shared" si="106"/>
        <v>0.45150840000000003</v>
      </c>
      <c r="AO175" s="454">
        <f t="shared" si="107"/>
        <v>551</v>
      </c>
      <c r="AP175" s="454">
        <f t="shared" si="108"/>
        <v>19235475</v>
      </c>
      <c r="AQ175" s="230">
        <f t="shared" si="109"/>
        <v>20188089</v>
      </c>
      <c r="AR175" s="397">
        <f t="shared" si="110"/>
        <v>30948225</v>
      </c>
      <c r="AS175" s="397">
        <f t="shared" si="111"/>
        <v>32480899</v>
      </c>
    </row>
    <row r="176" spans="1:45" ht="15.75">
      <c r="A176" s="228">
        <v>13</v>
      </c>
      <c r="B176" s="228" t="str">
        <f t="shared" si="75"/>
        <v>FRUTA_13</v>
      </c>
      <c r="C176" s="338" t="str">
        <f t="shared" si="76"/>
        <v>33_13</v>
      </c>
      <c r="D176" s="398" t="s">
        <v>1</v>
      </c>
      <c r="E176" s="228">
        <v>33</v>
      </c>
      <c r="F176" s="332" t="s">
        <v>59</v>
      </c>
      <c r="G176" s="228" t="s">
        <v>48</v>
      </c>
      <c r="H176" s="427">
        <f t="shared" si="77"/>
        <v>29</v>
      </c>
      <c r="I176" s="427">
        <f t="shared" si="78"/>
        <v>5</v>
      </c>
      <c r="J176" s="428">
        <v>1</v>
      </c>
      <c r="K176" s="229">
        <f t="shared" si="79"/>
        <v>326</v>
      </c>
      <c r="L176" s="229">
        <f t="shared" si="80"/>
        <v>0</v>
      </c>
      <c r="M176" s="229">
        <f t="shared" si="81"/>
        <v>9454</v>
      </c>
      <c r="N176" s="454">
        <f t="shared" si="82"/>
        <v>270</v>
      </c>
      <c r="O176" s="454">
        <f t="shared" si="83"/>
        <v>13.176000000000002</v>
      </c>
      <c r="P176" s="454">
        <f t="shared" si="84"/>
        <v>0.23220432000000002</v>
      </c>
      <c r="Q176" s="454">
        <f t="shared" si="85"/>
        <v>283</v>
      </c>
      <c r="R176" s="230">
        <f t="shared" si="86"/>
        <v>2552580</v>
      </c>
      <c r="S176" s="230">
        <f t="shared" si="87"/>
        <v>2675482</v>
      </c>
      <c r="T176" s="429">
        <f t="shared" si="88"/>
        <v>23</v>
      </c>
      <c r="U176" s="429">
        <f t="shared" si="89"/>
        <v>2</v>
      </c>
      <c r="V176" s="430">
        <v>1</v>
      </c>
      <c r="W176" s="397">
        <f t="shared" si="90"/>
        <v>970</v>
      </c>
      <c r="X176" s="397">
        <f t="shared" si="91"/>
        <v>0</v>
      </c>
      <c r="Y176" s="397">
        <f t="shared" si="92"/>
        <v>22310</v>
      </c>
      <c r="Z176" s="454">
        <f t="shared" si="93"/>
        <v>270</v>
      </c>
      <c r="AA176" s="454">
        <f t="shared" si="94"/>
        <v>13.176000000000002</v>
      </c>
      <c r="AB176" s="454">
        <f t="shared" si="95"/>
        <v>0.23220432000000002</v>
      </c>
      <c r="AC176" s="454">
        <f t="shared" si="96"/>
        <v>283</v>
      </c>
      <c r="AD176" s="231">
        <f t="shared" si="97"/>
        <v>6023700</v>
      </c>
      <c r="AE176" s="231">
        <f t="shared" si="98"/>
        <v>6313730</v>
      </c>
      <c r="AF176" s="427">
        <f t="shared" si="99"/>
        <v>23</v>
      </c>
      <c r="AG176" s="427">
        <f t="shared" si="100"/>
        <v>2</v>
      </c>
      <c r="AH176" s="428">
        <v>1</v>
      </c>
      <c r="AI176" s="229">
        <f t="shared" si="101"/>
        <v>1593</v>
      </c>
      <c r="AJ176" s="229">
        <f t="shared" si="102"/>
        <v>0</v>
      </c>
      <c r="AK176" s="229">
        <f t="shared" si="103"/>
        <v>36639</v>
      </c>
      <c r="AL176" s="454">
        <f t="shared" si="104"/>
        <v>270</v>
      </c>
      <c r="AM176" s="454">
        <f t="shared" si="105"/>
        <v>13.176000000000002</v>
      </c>
      <c r="AN176" s="454">
        <f t="shared" si="106"/>
        <v>0.23220432000000002</v>
      </c>
      <c r="AO176" s="454">
        <f t="shared" si="107"/>
        <v>283</v>
      </c>
      <c r="AP176" s="454">
        <f t="shared" si="108"/>
        <v>9892530</v>
      </c>
      <c r="AQ176" s="230">
        <f t="shared" si="109"/>
        <v>10368837</v>
      </c>
      <c r="AR176" s="397">
        <f t="shared" si="110"/>
        <v>18468810</v>
      </c>
      <c r="AS176" s="397">
        <f t="shared" si="111"/>
        <v>19358049</v>
      </c>
    </row>
    <row r="177" spans="1:45" ht="15.75">
      <c r="A177" s="228">
        <v>13</v>
      </c>
      <c r="B177" s="228" t="str">
        <f t="shared" si="75"/>
        <v>FRUTA_13</v>
      </c>
      <c r="C177" s="338" t="str">
        <f t="shared" si="76"/>
        <v>36_13</v>
      </c>
      <c r="D177" s="398" t="s">
        <v>1</v>
      </c>
      <c r="E177" s="228">
        <v>36</v>
      </c>
      <c r="F177" s="332" t="s">
        <v>1340</v>
      </c>
      <c r="G177" s="228" t="s">
        <v>9</v>
      </c>
      <c r="H177" s="427">
        <f t="shared" si="77"/>
        <v>8</v>
      </c>
      <c r="I177" s="427">
        <f t="shared" si="78"/>
        <v>0</v>
      </c>
      <c r="J177" s="428">
        <f t="array" ref="J177">MAX((IF(MNU_CODIGO_ALIMENTO_ENTREGA=CONCATENATE($E177,"_","S_"),MNU_GRAMAJE_REQUERIDO_TIPOA,"")))</f>
        <v>20</v>
      </c>
      <c r="K177" s="229">
        <f t="shared" si="79"/>
        <v>326</v>
      </c>
      <c r="L177" s="229">
        <f t="shared" si="80"/>
        <v>0</v>
      </c>
      <c r="M177" s="229">
        <f t="shared" si="81"/>
        <v>2608</v>
      </c>
      <c r="N177" s="454">
        <f t="shared" si="82"/>
        <v>126</v>
      </c>
      <c r="O177" s="454">
        <f t="shared" si="83"/>
        <v>6.1488000000000005</v>
      </c>
      <c r="P177" s="454">
        <f t="shared" si="84"/>
        <v>0.10836201599999999</v>
      </c>
      <c r="Q177" s="454">
        <f t="shared" si="85"/>
        <v>132</v>
      </c>
      <c r="R177" s="230">
        <f t="shared" si="86"/>
        <v>328608</v>
      </c>
      <c r="S177" s="230">
        <f t="shared" si="87"/>
        <v>344256</v>
      </c>
      <c r="T177" s="429">
        <f t="shared" si="88"/>
        <v>8</v>
      </c>
      <c r="U177" s="429">
        <f t="shared" si="89"/>
        <v>0</v>
      </c>
      <c r="V177" s="430">
        <f t="array" ref="V177">MAX((IF(MNU_CODIGO_ALIMENTO_ENTREGA=CONCATENATE($E177,"_","S_"),MNU_GRAMAJE_REQUERIDO_TIPOB,"")))</f>
        <v>40</v>
      </c>
      <c r="W177" s="397">
        <f t="shared" si="90"/>
        <v>970</v>
      </c>
      <c r="X177" s="397">
        <f t="shared" si="91"/>
        <v>0</v>
      </c>
      <c r="Y177" s="397">
        <f t="shared" si="92"/>
        <v>7760</v>
      </c>
      <c r="Z177" s="454">
        <f t="shared" si="93"/>
        <v>252</v>
      </c>
      <c r="AA177" s="454">
        <f t="shared" si="94"/>
        <v>12.297600000000001</v>
      </c>
      <c r="AB177" s="454">
        <f t="shared" si="95"/>
        <v>0.21672403199999998</v>
      </c>
      <c r="AC177" s="454">
        <f t="shared" si="96"/>
        <v>265</v>
      </c>
      <c r="AD177" s="231">
        <f t="shared" si="97"/>
        <v>1955520</v>
      </c>
      <c r="AE177" s="231">
        <f t="shared" si="98"/>
        <v>2056400</v>
      </c>
      <c r="AF177" s="427">
        <f t="shared" si="99"/>
        <v>8</v>
      </c>
      <c r="AG177" s="427">
        <f t="shared" si="100"/>
        <v>0</v>
      </c>
      <c r="AH177" s="428">
        <f t="array" ref="AH177">MAX((IF(MNU_CODIGO_ALIMENTO_ENTREGA=CONCATENATE($E177,"_","S_"),MNU_GRAMAJE_REQUERIDO_TIPOC,"")))</f>
        <v>40</v>
      </c>
      <c r="AI177" s="229">
        <f t="shared" si="101"/>
        <v>1593</v>
      </c>
      <c r="AJ177" s="229">
        <f t="shared" si="102"/>
        <v>0</v>
      </c>
      <c r="AK177" s="229">
        <f t="shared" si="103"/>
        <v>12744</v>
      </c>
      <c r="AL177" s="454">
        <f t="shared" si="104"/>
        <v>252</v>
      </c>
      <c r="AM177" s="454">
        <f t="shared" si="105"/>
        <v>12.297600000000001</v>
      </c>
      <c r="AN177" s="454">
        <f t="shared" si="106"/>
        <v>0.21672403199999998</v>
      </c>
      <c r="AO177" s="454">
        <f t="shared" si="107"/>
        <v>265</v>
      </c>
      <c r="AP177" s="454">
        <f t="shared" si="108"/>
        <v>3211488</v>
      </c>
      <c r="AQ177" s="230">
        <f t="shared" si="109"/>
        <v>3377160</v>
      </c>
      <c r="AR177" s="397">
        <f t="shared" si="110"/>
        <v>5495616</v>
      </c>
      <c r="AS177" s="397">
        <f t="shared" si="111"/>
        <v>5777816</v>
      </c>
    </row>
    <row r="178" spans="1:45" ht="15.75">
      <c r="A178" s="228">
        <v>13</v>
      </c>
      <c r="B178" s="228" t="str">
        <f t="shared" si="75"/>
        <v>FRUTA_13</v>
      </c>
      <c r="C178" s="338" t="str">
        <f t="shared" si="76"/>
        <v>42_13</v>
      </c>
      <c r="D178" s="398" t="s">
        <v>1</v>
      </c>
      <c r="E178" s="228">
        <v>42</v>
      </c>
      <c r="F178" s="332" t="s">
        <v>61</v>
      </c>
      <c r="G178" s="228" t="s">
        <v>9</v>
      </c>
      <c r="H178" s="427">
        <f t="shared" si="77"/>
        <v>36</v>
      </c>
      <c r="I178" s="427">
        <f t="shared" si="78"/>
        <v>8</v>
      </c>
      <c r="J178" s="428">
        <f t="array" ref="J178">MAX((IF(MNU_CODIGO_ALIMENTO_ENTREGA=CONCATENATE($E178,"_","S_"),MNU_GRAMAJE_REQUERIDO_TIPOA,"")))</f>
        <v>100</v>
      </c>
      <c r="K178" s="229">
        <f t="shared" si="79"/>
        <v>326</v>
      </c>
      <c r="L178" s="229">
        <f t="shared" si="80"/>
        <v>0</v>
      </c>
      <c r="M178" s="229">
        <f t="shared" si="81"/>
        <v>11736</v>
      </c>
      <c r="N178" s="454">
        <f t="shared" si="82"/>
        <v>194</v>
      </c>
      <c r="O178" s="454">
        <f t="shared" si="83"/>
        <v>9.4672000000000001</v>
      </c>
      <c r="P178" s="454">
        <f t="shared" si="84"/>
        <v>0.16684310399999999</v>
      </c>
      <c r="Q178" s="454">
        <f t="shared" si="85"/>
        <v>204</v>
      </c>
      <c r="R178" s="230">
        <f t="shared" si="86"/>
        <v>2276784</v>
      </c>
      <c r="S178" s="230">
        <f t="shared" si="87"/>
        <v>2394144</v>
      </c>
      <c r="T178" s="429">
        <f t="shared" si="88"/>
        <v>19</v>
      </c>
      <c r="U178" s="429">
        <f t="shared" si="89"/>
        <v>8</v>
      </c>
      <c r="V178" s="430">
        <f t="array" ref="V178">MAX((IF(MNU_CODIGO_ALIMENTO_ENTREGA=CONCATENATE($E178,"_","S_"),MNU_GRAMAJE_REQUERIDO_TIPOB,"")))</f>
        <v>100</v>
      </c>
      <c r="W178" s="397">
        <f t="shared" si="90"/>
        <v>970</v>
      </c>
      <c r="X178" s="397">
        <f t="shared" si="91"/>
        <v>0</v>
      </c>
      <c r="Y178" s="397">
        <f t="shared" si="92"/>
        <v>18430</v>
      </c>
      <c r="Z178" s="454">
        <f t="shared" si="93"/>
        <v>194</v>
      </c>
      <c r="AA178" s="454">
        <f t="shared" si="94"/>
        <v>9.4672000000000001</v>
      </c>
      <c r="AB178" s="454">
        <f t="shared" si="95"/>
        <v>0.16684310399999999</v>
      </c>
      <c r="AC178" s="454">
        <f t="shared" si="96"/>
        <v>204</v>
      </c>
      <c r="AD178" s="231">
        <f t="shared" si="97"/>
        <v>3575420</v>
      </c>
      <c r="AE178" s="231">
        <f t="shared" si="98"/>
        <v>3759720</v>
      </c>
      <c r="AF178" s="427">
        <f t="shared" si="99"/>
        <v>19</v>
      </c>
      <c r="AG178" s="427">
        <f t="shared" si="100"/>
        <v>8</v>
      </c>
      <c r="AH178" s="428">
        <f t="array" ref="AH178">MAX((IF(MNU_CODIGO_ALIMENTO_ENTREGA=CONCATENATE($E178,"_","S_"),MNU_GRAMAJE_REQUERIDO_TIPOC,"")))</f>
        <v>100</v>
      </c>
      <c r="AI178" s="229">
        <f t="shared" si="101"/>
        <v>1593</v>
      </c>
      <c r="AJ178" s="229">
        <f t="shared" si="102"/>
        <v>0</v>
      </c>
      <c r="AK178" s="229">
        <f t="shared" si="103"/>
        <v>30267</v>
      </c>
      <c r="AL178" s="454">
        <f t="shared" si="104"/>
        <v>194</v>
      </c>
      <c r="AM178" s="454">
        <f t="shared" si="105"/>
        <v>9.4672000000000001</v>
      </c>
      <c r="AN178" s="454">
        <f t="shared" si="106"/>
        <v>0.16684310399999999</v>
      </c>
      <c r="AO178" s="454">
        <f t="shared" si="107"/>
        <v>204</v>
      </c>
      <c r="AP178" s="454">
        <f t="shared" si="108"/>
        <v>5871798</v>
      </c>
      <c r="AQ178" s="230">
        <f t="shared" si="109"/>
        <v>6174468</v>
      </c>
      <c r="AR178" s="397">
        <f t="shared" si="110"/>
        <v>11724002</v>
      </c>
      <c r="AS178" s="397">
        <f t="shared" si="111"/>
        <v>12328332</v>
      </c>
    </row>
    <row r="179" spans="1:45" ht="15.75">
      <c r="A179" s="228">
        <v>13</v>
      </c>
      <c r="B179" s="228" t="str">
        <f t="shared" si="75"/>
        <v>FRUTA_13</v>
      </c>
      <c r="C179" s="338" t="str">
        <f t="shared" si="76"/>
        <v>43_13</v>
      </c>
      <c r="D179" s="398" t="s">
        <v>1</v>
      </c>
      <c r="E179" s="228">
        <v>43</v>
      </c>
      <c r="F179" s="332" t="s">
        <v>62</v>
      </c>
      <c r="G179" s="228" t="s">
        <v>9</v>
      </c>
      <c r="H179" s="427">
        <f t="shared" si="77"/>
        <v>29</v>
      </c>
      <c r="I179" s="427">
        <f t="shared" si="78"/>
        <v>6</v>
      </c>
      <c r="J179" s="428">
        <f t="array" ref="J179">MAX((IF(MNU_CODIGO_ALIMENTO_ENTREGA=CONCATENATE($E179,"_","S_"),MNU_GRAMAJE_REQUERIDO_TIPOA,"")))</f>
        <v>100</v>
      </c>
      <c r="K179" s="229">
        <f t="shared" si="79"/>
        <v>326</v>
      </c>
      <c r="L179" s="229">
        <f t="shared" si="80"/>
        <v>0</v>
      </c>
      <c r="M179" s="229">
        <f t="shared" si="81"/>
        <v>9454</v>
      </c>
      <c r="N179" s="454">
        <f t="shared" si="82"/>
        <v>170</v>
      </c>
      <c r="O179" s="454">
        <f t="shared" si="83"/>
        <v>8.2959999999999994</v>
      </c>
      <c r="P179" s="454">
        <f t="shared" si="84"/>
        <v>0.14620272000000001</v>
      </c>
      <c r="Q179" s="454">
        <f t="shared" si="85"/>
        <v>178</v>
      </c>
      <c r="R179" s="230">
        <f t="shared" si="86"/>
        <v>1607180</v>
      </c>
      <c r="S179" s="230">
        <f t="shared" si="87"/>
        <v>1682812</v>
      </c>
      <c r="T179" s="429">
        <f t="shared" si="88"/>
        <v>23</v>
      </c>
      <c r="U179" s="429">
        <f t="shared" si="89"/>
        <v>1</v>
      </c>
      <c r="V179" s="430">
        <f t="array" ref="V179">MAX((IF(MNU_CODIGO_ALIMENTO_ENTREGA=CONCATENATE($E179,"_","S_"),MNU_GRAMAJE_REQUERIDO_TIPOB,"")))</f>
        <v>100</v>
      </c>
      <c r="W179" s="397">
        <f t="shared" si="90"/>
        <v>970</v>
      </c>
      <c r="X179" s="397">
        <f t="shared" si="91"/>
        <v>0</v>
      </c>
      <c r="Y179" s="397">
        <f t="shared" si="92"/>
        <v>22310</v>
      </c>
      <c r="Z179" s="454">
        <f t="shared" si="93"/>
        <v>170</v>
      </c>
      <c r="AA179" s="454">
        <f t="shared" si="94"/>
        <v>8.2959999999999994</v>
      </c>
      <c r="AB179" s="454">
        <f t="shared" si="95"/>
        <v>0.14620272000000001</v>
      </c>
      <c r="AC179" s="454">
        <f t="shared" si="96"/>
        <v>178</v>
      </c>
      <c r="AD179" s="231">
        <f t="shared" si="97"/>
        <v>3792700</v>
      </c>
      <c r="AE179" s="231">
        <f t="shared" si="98"/>
        <v>3971180</v>
      </c>
      <c r="AF179" s="427">
        <f t="shared" si="99"/>
        <v>23</v>
      </c>
      <c r="AG179" s="427">
        <f t="shared" si="100"/>
        <v>1</v>
      </c>
      <c r="AH179" s="428">
        <f t="array" ref="AH179">MAX((IF(MNU_CODIGO_ALIMENTO_ENTREGA=CONCATENATE($E179,"_","S_"),MNU_GRAMAJE_REQUERIDO_TIPOC,"")))</f>
        <v>100</v>
      </c>
      <c r="AI179" s="229">
        <f t="shared" si="101"/>
        <v>1593</v>
      </c>
      <c r="AJ179" s="229">
        <f t="shared" si="102"/>
        <v>0</v>
      </c>
      <c r="AK179" s="229">
        <f t="shared" si="103"/>
        <v>36639</v>
      </c>
      <c r="AL179" s="454">
        <f t="shared" si="104"/>
        <v>170</v>
      </c>
      <c r="AM179" s="454">
        <f t="shared" si="105"/>
        <v>8.2959999999999994</v>
      </c>
      <c r="AN179" s="454">
        <f t="shared" si="106"/>
        <v>0.14620272000000001</v>
      </c>
      <c r="AO179" s="454">
        <f t="shared" si="107"/>
        <v>178</v>
      </c>
      <c r="AP179" s="454">
        <f t="shared" si="108"/>
        <v>6228630</v>
      </c>
      <c r="AQ179" s="230">
        <f t="shared" si="109"/>
        <v>6521742</v>
      </c>
      <c r="AR179" s="397">
        <f t="shared" si="110"/>
        <v>11628510</v>
      </c>
      <c r="AS179" s="397">
        <f t="shared" si="111"/>
        <v>12175734</v>
      </c>
    </row>
    <row r="180" spans="1:45" ht="15.75">
      <c r="A180" s="228">
        <v>13</v>
      </c>
      <c r="B180" s="228" t="str">
        <f t="shared" ref="B180:B243" si="112">CONCATENATE(D180,"_",A180)</f>
        <v>FRUTA_13</v>
      </c>
      <c r="C180" s="338" t="str">
        <f t="shared" ref="C180:C243" si="113">CONCATENATE(E180,"_",A180)</f>
        <v>46_13</v>
      </c>
      <c r="D180" s="398" t="s">
        <v>1</v>
      </c>
      <c r="E180" s="228">
        <v>46</v>
      </c>
      <c r="F180" s="332" t="s">
        <v>64</v>
      </c>
      <c r="G180" s="228" t="s">
        <v>9</v>
      </c>
      <c r="H180" s="427">
        <f t="shared" ref="H180:H243" si="114">SUMIF(MNU_CODIGO_ALIMENTO_ENTREGA,CONCATENATE($E180,"_","S_"),MNU_FRECUENCIAS_LAV_TIPOA)</f>
        <v>29</v>
      </c>
      <c r="I180" s="427">
        <f t="shared" ref="I180:I243" si="115">SUMIF(MNU_CODIGO_ALIMENTO_ENTREGA,CONCATENATE($E180,"_","S_"),MNU_FRECUENCIAS_FDS_TIPOA)</f>
        <v>4</v>
      </c>
      <c r="J180" s="428">
        <f t="array" ref="J180">MAX((IF(MNU_CODIGO_ALIMENTO_ENTREGA=CONCATENATE($E180,"_","S_"),MNU_GRAMAJE_REQUERIDO_TIPOA,"")))</f>
        <v>100</v>
      </c>
      <c r="K180" s="229">
        <f t="shared" ref="K180:K243" si="116">SUMIF(VOL_GRUPO,CONCATENATE($A180,"1052-2NO"),VOL_TIPOA)</f>
        <v>326</v>
      </c>
      <c r="L180" s="229">
        <f t="shared" ref="L180:L243" si="117">SUMIF(VOL_GRUPO,CONCATENATE($A180,"1052-2SI"),VOL_TIPOA)</f>
        <v>0</v>
      </c>
      <c r="M180" s="229">
        <f t="shared" ref="M180:M243" si="118">(H180*K180)+(I180*L180)</f>
        <v>9454</v>
      </c>
      <c r="N180" s="454">
        <f t="shared" ref="N180:N243" si="119">IF(ISERROR(AVERAGEIFS(MNU_COSTO_UNITARIO_TIPOA_SELECCIONADO,MNU_CODIGO_ALIMENTO_ENTREGA,CONCATENATE($E180,"_","S_"))),0,AVERAGEIFS(MNU_COSTO_UNITARIO_TIPOA_SELECCIONADO,MNU_CODIGO_ALIMENTO_ENTREGA,CONCATENATE($E180,"_","S_")))</f>
        <v>398</v>
      </c>
      <c r="O180" s="454">
        <f t="shared" ref="O180:O243" si="120">(N180*0.01)+(N180*0.005)+(N180*0.02)+(N180*(13.8/1000))</f>
        <v>19.4224</v>
      </c>
      <c r="P180" s="454">
        <f t="shared" ref="P180:P243" si="121">((N180+O180)*0.00071)+((N180+O180)*0.00011)</f>
        <v>0.34228636800000001</v>
      </c>
      <c r="Q180" s="454">
        <f t="shared" ref="Q180:Q243" si="122">ROUND(N180+O180+P180,0)</f>
        <v>418</v>
      </c>
      <c r="R180" s="230">
        <f t="shared" ref="R180:R243" si="123">(H180*K180*N180)+(I180*L180*N180)</f>
        <v>3762692</v>
      </c>
      <c r="S180" s="230">
        <f t="shared" ref="S180:S243" si="124">(H180*K180*Q180)+(I180*L180*Q180)</f>
        <v>3951772</v>
      </c>
      <c r="T180" s="429">
        <f t="shared" ref="T180:T243" si="125">SUMIF(MNU_CODIGO_ALIMENTO_ENTREGA,CONCATENATE($E180,"_","S_"),MNU_FRECUENCIAS_LAV_TIPOB)</f>
        <v>24</v>
      </c>
      <c r="U180" s="429">
        <f t="shared" ref="U180:U243" si="126">SUMIF(MNU_CODIGO_ALIMENTO_ENTREGA,CONCATENATE($E180,"_","S_"),MNU_FRECUENCIAS_FDS_TIPOB)</f>
        <v>3</v>
      </c>
      <c r="V180" s="430">
        <f t="array" ref="V180">MAX((IF(MNU_CODIGO_ALIMENTO_ENTREGA=CONCATENATE($E180,"_","S_"),MNU_GRAMAJE_REQUERIDO_TIPOB,"")))</f>
        <v>100</v>
      </c>
      <c r="W180" s="397">
        <f t="shared" ref="W180:W243" si="127">SUMIF(VOL_GRUPO,CONCATENATE($A180,"1052-2NO"),VOL_TIPOB)</f>
        <v>970</v>
      </c>
      <c r="X180" s="397">
        <f t="shared" ref="X180:X243" si="128">SUMIF(VOL_GRUPO,CONCATENATE($A180,"1052-2SI"),VOL_TIPOB)</f>
        <v>0</v>
      </c>
      <c r="Y180" s="397">
        <f t="shared" ref="Y180:Y243" si="129">(T180*W180)+(U180*X180)</f>
        <v>23280</v>
      </c>
      <c r="Z180" s="454">
        <f t="shared" ref="Z180:Z243" si="130">IF(ISERROR(AVERAGEIFS(MNU_COSTO_UNITARIO_TIPOB_SELECCIONADO,MNU_CODIGO_ALIMENTO_ENTREGA,CONCATENATE($E180,"_","S_"))),0,AVERAGEIFS(MNU_COSTO_UNITARIO_TIPOB_SELECCIONADO,MNU_CODIGO_ALIMENTO_ENTREGA,CONCATENATE($E180,"_","S_")))</f>
        <v>398</v>
      </c>
      <c r="AA180" s="454">
        <f t="shared" ref="AA180:AA243" si="131">(Z180*0.01)+(Z180*0.005)+(Z180*0.02)+(Z180*(13.8/1000))</f>
        <v>19.4224</v>
      </c>
      <c r="AB180" s="454">
        <f t="shared" ref="AB180:AB243" si="132">((Z180+AA180)*0.00071)+((Z180+AA180)*0.00011)</f>
        <v>0.34228636800000001</v>
      </c>
      <c r="AC180" s="454">
        <f t="shared" ref="AC180:AC243" si="133">ROUND(Z180+AA180+AB180,0)</f>
        <v>418</v>
      </c>
      <c r="AD180" s="231">
        <f t="shared" ref="AD180:AD243" si="134">(T180*W180*Z180)+(U180*X180*Z180)</f>
        <v>9265440</v>
      </c>
      <c r="AE180" s="231">
        <f t="shared" ref="AE180:AE243" si="135">(T180*W180*AC180)+(U180*X180*AC180)</f>
        <v>9731040</v>
      </c>
      <c r="AF180" s="427">
        <f t="shared" ref="AF180:AF243" si="136">SUMIF(MNU_CODIGO_ALIMENTO_ENTREGA,CONCATENATE($E180,"_","S_"),MNU_FRECUENCIAS_LAV_TIPOC)</f>
        <v>24</v>
      </c>
      <c r="AG180" s="427">
        <f t="shared" ref="AG180:AG243" si="137">SUMIF(MNU_CODIGO_ALIMENTO_ENTREGA,CONCATENATE($E180,"_","S_"),MNU_FRECUENCIAS_FDS_TIPOC)</f>
        <v>3</v>
      </c>
      <c r="AH180" s="428">
        <f t="array" ref="AH180">MAX((IF(MNU_CODIGO_ALIMENTO_ENTREGA=CONCATENATE($E180,"_","S_"),MNU_GRAMAJE_REQUERIDO_TIPOC,"")))</f>
        <v>100</v>
      </c>
      <c r="AI180" s="229">
        <f t="shared" ref="AI180:AI243" si="138">SUMIF(VOL_GRUPO,CONCATENATE($A180,"1052-2NO"),VOL_TIPOC)</f>
        <v>1593</v>
      </c>
      <c r="AJ180" s="229">
        <f t="shared" ref="AJ180:AJ243" si="139">SUMIF(VOL_GRUPO,CONCATENATE($A180,"1052-2SI"),VOL_TIPOC)</f>
        <v>0</v>
      </c>
      <c r="AK180" s="229">
        <f t="shared" ref="AK180:AK243" si="140">(AF180*AI180)+(AG180*AJ180)</f>
        <v>38232</v>
      </c>
      <c r="AL180" s="454">
        <f t="shared" ref="AL180:AL243" si="141">IF(ISERROR(AVERAGEIFS(MNU_COSTO_UNITARIO_TIPOC_SELECCIONADO,MNU_CODIGO_ALIMENTO_ENTREGA,CONCATENATE($E180,"_","S_"))),0,AVERAGEIFS(MNU_COSTO_UNITARIO_TIPOC_SELECCIONADO,MNU_CODIGO_ALIMENTO_ENTREGA,CONCATENATE($E180,"_","S_")))</f>
        <v>398</v>
      </c>
      <c r="AM180" s="454">
        <f t="shared" ref="AM180:AM243" si="142">(AL180*0.01)+(AL180*0.005)+(AL180*0.02)+(AL180*(13.8/1000))</f>
        <v>19.4224</v>
      </c>
      <c r="AN180" s="454">
        <f t="shared" ref="AN180:AN243" si="143">((AL180+AM180)*0.00071)+((AL180+AM180)*0.00011)</f>
        <v>0.34228636800000001</v>
      </c>
      <c r="AO180" s="454">
        <f t="shared" ref="AO180:AO243" si="144">ROUND(AL180+AM180+AN180,0)</f>
        <v>418</v>
      </c>
      <c r="AP180" s="454">
        <f t="shared" ref="AP180:AP243" si="145">(AF180*AI180*AL180)+(AG180*AJ180*AL180)</f>
        <v>15216336</v>
      </c>
      <c r="AQ180" s="230">
        <f t="shared" ref="AQ180:AQ243" si="146">(AF180*AI180*AO180)+(AG180*AJ180*AO180)</f>
        <v>15980976</v>
      </c>
      <c r="AR180" s="397">
        <f t="shared" ref="AR180:AR243" si="147">R180+AD180+AP180</f>
        <v>28244468</v>
      </c>
      <c r="AS180" s="397">
        <f t="shared" ref="AS180:AS243" si="148">S180+AE180+AQ180</f>
        <v>29663788</v>
      </c>
    </row>
    <row r="181" spans="1:45" ht="15.75">
      <c r="A181" s="228">
        <v>13</v>
      </c>
      <c r="B181" s="228" t="str">
        <f t="shared" si="112"/>
        <v>FRUTA_13</v>
      </c>
      <c r="C181" s="338" t="str">
        <f t="shared" si="113"/>
        <v>58_13</v>
      </c>
      <c r="D181" s="398" t="s">
        <v>1</v>
      </c>
      <c r="E181" s="228">
        <v>58</v>
      </c>
      <c r="F181" s="332" t="s">
        <v>67</v>
      </c>
      <c r="G181" s="228" t="s">
        <v>9</v>
      </c>
      <c r="H181" s="427">
        <f t="shared" si="114"/>
        <v>28</v>
      </c>
      <c r="I181" s="427">
        <f t="shared" si="115"/>
        <v>5</v>
      </c>
      <c r="J181" s="428">
        <f t="array" ref="J181">MAX((IF(MNU_CODIGO_ALIMENTO_ENTREGA=CONCATENATE($E181,"_","S_"),MNU_GRAMAJE_REQUERIDO_TIPOA,"")))</f>
        <v>100</v>
      </c>
      <c r="K181" s="229">
        <f t="shared" si="116"/>
        <v>326</v>
      </c>
      <c r="L181" s="229">
        <f t="shared" si="117"/>
        <v>0</v>
      </c>
      <c r="M181" s="229">
        <f t="shared" si="118"/>
        <v>9128</v>
      </c>
      <c r="N181" s="454">
        <f t="shared" si="119"/>
        <v>154</v>
      </c>
      <c r="O181" s="454">
        <f t="shared" si="120"/>
        <v>7.515200000000001</v>
      </c>
      <c r="P181" s="454">
        <f t="shared" si="121"/>
        <v>0.13244246400000001</v>
      </c>
      <c r="Q181" s="454">
        <f t="shared" si="122"/>
        <v>162</v>
      </c>
      <c r="R181" s="230">
        <f t="shared" si="123"/>
        <v>1405712</v>
      </c>
      <c r="S181" s="230">
        <f t="shared" si="124"/>
        <v>1478736</v>
      </c>
      <c r="T181" s="429">
        <f t="shared" si="125"/>
        <v>23</v>
      </c>
      <c r="U181" s="429">
        <f t="shared" si="126"/>
        <v>3</v>
      </c>
      <c r="V181" s="430">
        <f t="array" ref="V181">MAX((IF(MNU_CODIGO_ALIMENTO_ENTREGA=CONCATENATE($E181,"_","S_"),MNU_GRAMAJE_REQUERIDO_TIPOB,"")))</f>
        <v>100</v>
      </c>
      <c r="W181" s="397">
        <f t="shared" si="127"/>
        <v>970</v>
      </c>
      <c r="X181" s="397">
        <f t="shared" si="128"/>
        <v>0</v>
      </c>
      <c r="Y181" s="397">
        <f t="shared" si="129"/>
        <v>22310</v>
      </c>
      <c r="Z181" s="454">
        <f t="shared" si="130"/>
        <v>154</v>
      </c>
      <c r="AA181" s="454">
        <f t="shared" si="131"/>
        <v>7.515200000000001</v>
      </c>
      <c r="AB181" s="454">
        <f t="shared" si="132"/>
        <v>0.13244246400000001</v>
      </c>
      <c r="AC181" s="454">
        <f t="shared" si="133"/>
        <v>162</v>
      </c>
      <c r="AD181" s="231">
        <f t="shared" si="134"/>
        <v>3435740</v>
      </c>
      <c r="AE181" s="231">
        <f t="shared" si="135"/>
        <v>3614220</v>
      </c>
      <c r="AF181" s="427">
        <f t="shared" si="136"/>
        <v>23</v>
      </c>
      <c r="AG181" s="427">
        <f t="shared" si="137"/>
        <v>3</v>
      </c>
      <c r="AH181" s="428">
        <f t="array" ref="AH181">MAX((IF(MNU_CODIGO_ALIMENTO_ENTREGA=CONCATENATE($E181,"_","S_"),MNU_GRAMAJE_REQUERIDO_TIPOC,"")))</f>
        <v>100</v>
      </c>
      <c r="AI181" s="229">
        <f t="shared" si="138"/>
        <v>1593</v>
      </c>
      <c r="AJ181" s="229">
        <f t="shared" si="139"/>
        <v>0</v>
      </c>
      <c r="AK181" s="229">
        <f t="shared" si="140"/>
        <v>36639</v>
      </c>
      <c r="AL181" s="454">
        <f t="shared" si="141"/>
        <v>154</v>
      </c>
      <c r="AM181" s="454">
        <f t="shared" si="142"/>
        <v>7.515200000000001</v>
      </c>
      <c r="AN181" s="454">
        <f t="shared" si="143"/>
        <v>0.13244246400000001</v>
      </c>
      <c r="AO181" s="454">
        <f t="shared" si="144"/>
        <v>162</v>
      </c>
      <c r="AP181" s="454">
        <f t="shared" si="145"/>
        <v>5642406</v>
      </c>
      <c r="AQ181" s="230">
        <f t="shared" si="146"/>
        <v>5935518</v>
      </c>
      <c r="AR181" s="397">
        <f t="shared" si="147"/>
        <v>10483858</v>
      </c>
      <c r="AS181" s="397">
        <f t="shared" si="148"/>
        <v>11028474</v>
      </c>
    </row>
    <row r="182" spans="1:45" ht="15.75">
      <c r="A182" s="228">
        <v>13</v>
      </c>
      <c r="B182" s="228" t="str">
        <f t="shared" si="112"/>
        <v>FRUTA_13</v>
      </c>
      <c r="C182" s="338" t="str">
        <f t="shared" si="113"/>
        <v>59_13</v>
      </c>
      <c r="D182" s="398" t="s">
        <v>1</v>
      </c>
      <c r="E182" s="228">
        <v>59</v>
      </c>
      <c r="F182" s="332" t="s">
        <v>99</v>
      </c>
      <c r="G182" s="228" t="s">
        <v>9</v>
      </c>
      <c r="H182" s="427">
        <f t="shared" si="114"/>
        <v>0</v>
      </c>
      <c r="I182" s="427">
        <f t="shared" si="115"/>
        <v>0</v>
      </c>
      <c r="J182" s="428">
        <f t="array" ref="J182">MAX((IF(MNU_CODIGO_ALIMENTO_ENTREGA=CONCATENATE($E182,"_","S_"),MNU_GRAMAJE_REQUERIDO_TIPOA,"")))</f>
        <v>0</v>
      </c>
      <c r="K182" s="229">
        <f t="shared" si="116"/>
        <v>326</v>
      </c>
      <c r="L182" s="229">
        <f t="shared" si="117"/>
        <v>0</v>
      </c>
      <c r="M182" s="229">
        <f t="shared" si="118"/>
        <v>0</v>
      </c>
      <c r="N182" s="454">
        <f t="shared" si="119"/>
        <v>0</v>
      </c>
      <c r="O182" s="454">
        <f t="shared" si="120"/>
        <v>0</v>
      </c>
      <c r="P182" s="454">
        <f t="shared" si="121"/>
        <v>0</v>
      </c>
      <c r="Q182" s="454">
        <f t="shared" si="122"/>
        <v>0</v>
      </c>
      <c r="R182" s="230">
        <f t="shared" si="123"/>
        <v>0</v>
      </c>
      <c r="S182" s="230">
        <f t="shared" si="124"/>
        <v>0</v>
      </c>
      <c r="T182" s="429">
        <f t="shared" si="125"/>
        <v>11</v>
      </c>
      <c r="U182" s="429">
        <f t="shared" si="126"/>
        <v>0</v>
      </c>
      <c r="V182" s="430">
        <f t="array" ref="V182">MAX((IF(MNU_CODIGO_ALIMENTO_ENTREGA=CONCATENATE($E182,"_","S_"),MNU_GRAMAJE_REQUERIDO_TIPOB,"")))</f>
        <v>100</v>
      </c>
      <c r="W182" s="397">
        <f t="shared" si="127"/>
        <v>970</v>
      </c>
      <c r="X182" s="397">
        <f t="shared" si="128"/>
        <v>0</v>
      </c>
      <c r="Y182" s="397">
        <f t="shared" si="129"/>
        <v>10670</v>
      </c>
      <c r="Z182" s="454">
        <f t="shared" si="130"/>
        <v>286</v>
      </c>
      <c r="AA182" s="454">
        <f t="shared" si="131"/>
        <v>13.956800000000001</v>
      </c>
      <c r="AB182" s="454">
        <f t="shared" si="132"/>
        <v>0.24596457599999999</v>
      </c>
      <c r="AC182" s="454">
        <f t="shared" si="133"/>
        <v>300</v>
      </c>
      <c r="AD182" s="231">
        <f t="shared" si="134"/>
        <v>3051620</v>
      </c>
      <c r="AE182" s="231">
        <f t="shared" si="135"/>
        <v>3201000</v>
      </c>
      <c r="AF182" s="427">
        <f t="shared" si="136"/>
        <v>11</v>
      </c>
      <c r="AG182" s="427">
        <f t="shared" si="137"/>
        <v>0</v>
      </c>
      <c r="AH182" s="428">
        <f t="array" ref="AH182">MAX((IF(MNU_CODIGO_ALIMENTO_ENTREGA=CONCATENATE($E182,"_","S_"),MNU_GRAMAJE_REQUERIDO_TIPOC,"")))</f>
        <v>100</v>
      </c>
      <c r="AI182" s="229">
        <f t="shared" si="138"/>
        <v>1593</v>
      </c>
      <c r="AJ182" s="229">
        <f t="shared" si="139"/>
        <v>0</v>
      </c>
      <c r="AK182" s="229">
        <f t="shared" si="140"/>
        <v>17523</v>
      </c>
      <c r="AL182" s="454">
        <f t="shared" si="141"/>
        <v>286</v>
      </c>
      <c r="AM182" s="454">
        <f t="shared" si="142"/>
        <v>13.956800000000001</v>
      </c>
      <c r="AN182" s="454">
        <f t="shared" si="143"/>
        <v>0.24596457599999999</v>
      </c>
      <c r="AO182" s="454">
        <f t="shared" si="144"/>
        <v>300</v>
      </c>
      <c r="AP182" s="454">
        <f t="shared" si="145"/>
        <v>5011578</v>
      </c>
      <c r="AQ182" s="230">
        <f t="shared" si="146"/>
        <v>5256900</v>
      </c>
      <c r="AR182" s="397">
        <f t="shared" si="147"/>
        <v>8063198</v>
      </c>
      <c r="AS182" s="397">
        <f t="shared" si="148"/>
        <v>8457900</v>
      </c>
    </row>
    <row r="183" spans="1:45" ht="15.75">
      <c r="A183" s="228">
        <v>13</v>
      </c>
      <c r="B183" s="228" t="str">
        <f t="shared" si="112"/>
        <v>FRUTA_13</v>
      </c>
      <c r="C183" s="338" t="str">
        <f t="shared" si="113"/>
        <v>69_13</v>
      </c>
      <c r="D183" s="398" t="s">
        <v>1</v>
      </c>
      <c r="E183" s="228">
        <v>69</v>
      </c>
      <c r="F183" s="332" t="s">
        <v>70</v>
      </c>
      <c r="G183" s="228" t="s">
        <v>9</v>
      </c>
      <c r="H183" s="427">
        <f t="shared" si="114"/>
        <v>18</v>
      </c>
      <c r="I183" s="427">
        <f t="shared" si="115"/>
        <v>2</v>
      </c>
      <c r="J183" s="428">
        <f t="array" ref="J183">MAX((IF(MNU_CODIGO_ALIMENTO_ENTREGA=CONCATENATE($E183,"_","S_"),MNU_GRAMAJE_REQUERIDO_TIPOA,"")))</f>
        <v>100</v>
      </c>
      <c r="K183" s="229">
        <f t="shared" si="116"/>
        <v>326</v>
      </c>
      <c r="L183" s="229">
        <f t="shared" si="117"/>
        <v>0</v>
      </c>
      <c r="M183" s="229">
        <f t="shared" si="118"/>
        <v>5868</v>
      </c>
      <c r="N183" s="454">
        <f t="shared" si="119"/>
        <v>305</v>
      </c>
      <c r="O183" s="454">
        <f t="shared" si="120"/>
        <v>14.884</v>
      </c>
      <c r="P183" s="454">
        <f t="shared" si="121"/>
        <v>0.26230488000000002</v>
      </c>
      <c r="Q183" s="454">
        <f t="shared" si="122"/>
        <v>320</v>
      </c>
      <c r="R183" s="230">
        <f t="shared" si="123"/>
        <v>1789740</v>
      </c>
      <c r="S183" s="230">
        <f t="shared" si="124"/>
        <v>1877760</v>
      </c>
      <c r="T183" s="429">
        <f t="shared" si="125"/>
        <v>12</v>
      </c>
      <c r="U183" s="429">
        <f t="shared" si="126"/>
        <v>2</v>
      </c>
      <c r="V183" s="430">
        <f t="array" ref="V183">MAX((IF(MNU_CODIGO_ALIMENTO_ENTREGA=CONCATENATE($E183,"_","S_"),MNU_GRAMAJE_REQUERIDO_TIPOB,"")))</f>
        <v>100</v>
      </c>
      <c r="W183" s="397">
        <f t="shared" si="127"/>
        <v>970</v>
      </c>
      <c r="X183" s="397">
        <f t="shared" si="128"/>
        <v>0</v>
      </c>
      <c r="Y183" s="397">
        <f t="shared" si="129"/>
        <v>11640</v>
      </c>
      <c r="Z183" s="454">
        <f t="shared" si="130"/>
        <v>305</v>
      </c>
      <c r="AA183" s="454">
        <f t="shared" si="131"/>
        <v>14.884</v>
      </c>
      <c r="AB183" s="454">
        <f t="shared" si="132"/>
        <v>0.26230488000000002</v>
      </c>
      <c r="AC183" s="454">
        <f t="shared" si="133"/>
        <v>320</v>
      </c>
      <c r="AD183" s="231">
        <f t="shared" si="134"/>
        <v>3550200</v>
      </c>
      <c r="AE183" s="231">
        <f t="shared" si="135"/>
        <v>3724800</v>
      </c>
      <c r="AF183" s="427">
        <f t="shared" si="136"/>
        <v>12</v>
      </c>
      <c r="AG183" s="427">
        <f t="shared" si="137"/>
        <v>2</v>
      </c>
      <c r="AH183" s="428">
        <f t="array" ref="AH183">MAX((IF(MNU_CODIGO_ALIMENTO_ENTREGA=CONCATENATE($E183,"_","S_"),MNU_GRAMAJE_REQUERIDO_TIPOC,"")))</f>
        <v>100</v>
      </c>
      <c r="AI183" s="229">
        <f t="shared" si="138"/>
        <v>1593</v>
      </c>
      <c r="AJ183" s="229">
        <f t="shared" si="139"/>
        <v>0</v>
      </c>
      <c r="AK183" s="229">
        <f t="shared" si="140"/>
        <v>19116</v>
      </c>
      <c r="AL183" s="454">
        <f t="shared" si="141"/>
        <v>305</v>
      </c>
      <c r="AM183" s="454">
        <f t="shared" si="142"/>
        <v>14.884</v>
      </c>
      <c r="AN183" s="454">
        <f t="shared" si="143"/>
        <v>0.26230488000000002</v>
      </c>
      <c r="AO183" s="454">
        <f t="shared" si="144"/>
        <v>320</v>
      </c>
      <c r="AP183" s="454">
        <f t="shared" si="145"/>
        <v>5830380</v>
      </c>
      <c r="AQ183" s="230">
        <f t="shared" si="146"/>
        <v>6117120</v>
      </c>
      <c r="AR183" s="397">
        <f t="shared" si="147"/>
        <v>11170320</v>
      </c>
      <c r="AS183" s="397">
        <f t="shared" si="148"/>
        <v>11719680</v>
      </c>
    </row>
    <row r="184" spans="1:45" ht="15.75">
      <c r="A184" s="228">
        <v>13</v>
      </c>
      <c r="B184" s="228" t="str">
        <f t="shared" si="112"/>
        <v>FRUTA_13</v>
      </c>
      <c r="C184" s="338" t="str">
        <f t="shared" si="113"/>
        <v>70_13</v>
      </c>
      <c r="D184" s="398" t="s">
        <v>1</v>
      </c>
      <c r="E184" s="228">
        <v>70</v>
      </c>
      <c r="F184" s="332" t="s">
        <v>71</v>
      </c>
      <c r="G184" s="228" t="s">
        <v>9</v>
      </c>
      <c r="H184" s="427">
        <f t="shared" si="114"/>
        <v>0</v>
      </c>
      <c r="I184" s="427">
        <f t="shared" si="115"/>
        <v>0</v>
      </c>
      <c r="J184" s="428">
        <f t="array" ref="J184">MAX((IF(MNU_CODIGO_ALIMENTO_ENTREGA=CONCATENATE($E184,"_","S_"),MNU_GRAMAJE_REQUERIDO_TIPOA,"")))</f>
        <v>0</v>
      </c>
      <c r="K184" s="229">
        <f t="shared" si="116"/>
        <v>326</v>
      </c>
      <c r="L184" s="229">
        <f t="shared" si="117"/>
        <v>0</v>
      </c>
      <c r="M184" s="229">
        <f t="shared" si="118"/>
        <v>0</v>
      </c>
      <c r="N184" s="454">
        <f t="shared" si="119"/>
        <v>0</v>
      </c>
      <c r="O184" s="454">
        <f t="shared" si="120"/>
        <v>0</v>
      </c>
      <c r="P184" s="454">
        <f t="shared" si="121"/>
        <v>0</v>
      </c>
      <c r="Q184" s="454">
        <f t="shared" si="122"/>
        <v>0</v>
      </c>
      <c r="R184" s="230">
        <f t="shared" si="123"/>
        <v>0</v>
      </c>
      <c r="S184" s="230">
        <f t="shared" si="124"/>
        <v>0</v>
      </c>
      <c r="T184" s="429">
        <f t="shared" si="125"/>
        <v>8</v>
      </c>
      <c r="U184" s="429">
        <f t="shared" si="126"/>
        <v>4</v>
      </c>
      <c r="V184" s="430">
        <f t="array" ref="V184">MAX((IF(MNU_CODIGO_ALIMENTO_ENTREGA=CONCATENATE($E184,"_","S_"),MNU_GRAMAJE_REQUERIDO_TIPOB,"")))</f>
        <v>100</v>
      </c>
      <c r="W184" s="397">
        <f t="shared" si="127"/>
        <v>970</v>
      </c>
      <c r="X184" s="397">
        <f t="shared" si="128"/>
        <v>0</v>
      </c>
      <c r="Y184" s="397">
        <f t="shared" si="129"/>
        <v>7760</v>
      </c>
      <c r="Z184" s="454">
        <f t="shared" si="130"/>
        <v>434</v>
      </c>
      <c r="AA184" s="454">
        <f t="shared" si="131"/>
        <v>21.179200000000002</v>
      </c>
      <c r="AB184" s="454">
        <f t="shared" si="132"/>
        <v>0.37324694399999997</v>
      </c>
      <c r="AC184" s="454">
        <f t="shared" si="133"/>
        <v>456</v>
      </c>
      <c r="AD184" s="231">
        <f t="shared" si="134"/>
        <v>3367840</v>
      </c>
      <c r="AE184" s="231">
        <f t="shared" si="135"/>
        <v>3538560</v>
      </c>
      <c r="AF184" s="427">
        <f t="shared" si="136"/>
        <v>8</v>
      </c>
      <c r="AG184" s="427">
        <f t="shared" si="137"/>
        <v>4</v>
      </c>
      <c r="AH184" s="428">
        <f t="array" ref="AH184">MAX((IF(MNU_CODIGO_ALIMENTO_ENTREGA=CONCATENATE($E184,"_","S_"),MNU_GRAMAJE_REQUERIDO_TIPOC,"")))</f>
        <v>100</v>
      </c>
      <c r="AI184" s="229">
        <f t="shared" si="138"/>
        <v>1593</v>
      </c>
      <c r="AJ184" s="229">
        <f t="shared" si="139"/>
        <v>0</v>
      </c>
      <c r="AK184" s="229">
        <f t="shared" si="140"/>
        <v>12744</v>
      </c>
      <c r="AL184" s="454">
        <f t="shared" si="141"/>
        <v>434</v>
      </c>
      <c r="AM184" s="454">
        <f t="shared" si="142"/>
        <v>21.179200000000002</v>
      </c>
      <c r="AN184" s="454">
        <f t="shared" si="143"/>
        <v>0.37324694399999997</v>
      </c>
      <c r="AO184" s="454">
        <f t="shared" si="144"/>
        <v>456</v>
      </c>
      <c r="AP184" s="454">
        <f t="shared" si="145"/>
        <v>5530896</v>
      </c>
      <c r="AQ184" s="230">
        <f t="shared" si="146"/>
        <v>5811264</v>
      </c>
      <c r="AR184" s="397">
        <f t="shared" si="147"/>
        <v>8898736</v>
      </c>
      <c r="AS184" s="397">
        <f t="shared" si="148"/>
        <v>9349824</v>
      </c>
    </row>
    <row r="185" spans="1:45" ht="15.75">
      <c r="A185" s="228">
        <v>14</v>
      </c>
      <c r="B185" s="228" t="str">
        <f t="shared" si="112"/>
        <v>FRUTA_14</v>
      </c>
      <c r="C185" s="338" t="str">
        <f t="shared" si="113"/>
        <v>7_14</v>
      </c>
      <c r="D185" s="398" t="s">
        <v>1</v>
      </c>
      <c r="E185" s="228">
        <v>7</v>
      </c>
      <c r="F185" s="332" t="s">
        <v>57</v>
      </c>
      <c r="G185" s="228" t="s">
        <v>9</v>
      </c>
      <c r="H185" s="427">
        <f t="shared" si="114"/>
        <v>31</v>
      </c>
      <c r="I185" s="427">
        <f t="shared" si="115"/>
        <v>0</v>
      </c>
      <c r="J185" s="428">
        <f t="array" ref="J185">MAX((IF(MNU_CODIGO_ALIMENTO_ENTREGA=CONCATENATE($E185,"_","S_"),MNU_GRAMAJE_REQUERIDO_TIPOA,"")))</f>
        <v>100</v>
      </c>
      <c r="K185" s="229">
        <f t="shared" si="116"/>
        <v>984</v>
      </c>
      <c r="L185" s="229">
        <f t="shared" si="117"/>
        <v>0</v>
      </c>
      <c r="M185" s="229">
        <f t="shared" si="118"/>
        <v>30504</v>
      </c>
      <c r="N185" s="454">
        <f t="shared" si="119"/>
        <v>107</v>
      </c>
      <c r="O185" s="454">
        <f t="shared" si="120"/>
        <v>5.2216000000000005</v>
      </c>
      <c r="P185" s="454">
        <f t="shared" si="121"/>
        <v>9.2021712000000006E-2</v>
      </c>
      <c r="Q185" s="454">
        <f t="shared" si="122"/>
        <v>112</v>
      </c>
      <c r="R185" s="230">
        <f t="shared" si="123"/>
        <v>3263928</v>
      </c>
      <c r="S185" s="230">
        <f t="shared" si="124"/>
        <v>3416448</v>
      </c>
      <c r="T185" s="429">
        <f t="shared" si="125"/>
        <v>11</v>
      </c>
      <c r="U185" s="429">
        <f t="shared" si="126"/>
        <v>0</v>
      </c>
      <c r="V185" s="430">
        <f t="array" ref="V185">MAX((IF(MNU_CODIGO_ALIMENTO_ENTREGA=CONCATENATE($E185,"_","S_"),MNU_GRAMAJE_REQUERIDO_TIPOB,"")))</f>
        <v>100</v>
      </c>
      <c r="W185" s="397">
        <f t="shared" si="127"/>
        <v>1375</v>
      </c>
      <c r="X185" s="397">
        <f t="shared" si="128"/>
        <v>0</v>
      </c>
      <c r="Y185" s="397">
        <f t="shared" si="129"/>
        <v>15125</v>
      </c>
      <c r="Z185" s="454">
        <f t="shared" si="130"/>
        <v>107</v>
      </c>
      <c r="AA185" s="454">
        <f t="shared" si="131"/>
        <v>5.2216000000000005</v>
      </c>
      <c r="AB185" s="454">
        <f t="shared" si="132"/>
        <v>9.2021712000000006E-2</v>
      </c>
      <c r="AC185" s="454">
        <f t="shared" si="133"/>
        <v>112</v>
      </c>
      <c r="AD185" s="231">
        <f t="shared" si="134"/>
        <v>1618375</v>
      </c>
      <c r="AE185" s="231">
        <f t="shared" si="135"/>
        <v>1694000</v>
      </c>
      <c r="AF185" s="427">
        <f t="shared" si="136"/>
        <v>11</v>
      </c>
      <c r="AG185" s="427">
        <f t="shared" si="137"/>
        <v>0</v>
      </c>
      <c r="AH185" s="428">
        <f t="array" ref="AH185">MAX((IF(MNU_CODIGO_ALIMENTO_ENTREGA=CONCATENATE($E185,"_","S_"),MNU_GRAMAJE_REQUERIDO_TIPOC,"")))</f>
        <v>100</v>
      </c>
      <c r="AI185" s="229">
        <f t="shared" si="138"/>
        <v>1711</v>
      </c>
      <c r="AJ185" s="229">
        <f t="shared" si="139"/>
        <v>0</v>
      </c>
      <c r="AK185" s="229">
        <f t="shared" si="140"/>
        <v>18821</v>
      </c>
      <c r="AL185" s="454">
        <f t="shared" si="141"/>
        <v>107</v>
      </c>
      <c r="AM185" s="454">
        <f t="shared" si="142"/>
        <v>5.2216000000000005</v>
      </c>
      <c r="AN185" s="454">
        <f t="shared" si="143"/>
        <v>9.2021712000000006E-2</v>
      </c>
      <c r="AO185" s="454">
        <f t="shared" si="144"/>
        <v>112</v>
      </c>
      <c r="AP185" s="454">
        <f t="shared" si="145"/>
        <v>2013847</v>
      </c>
      <c r="AQ185" s="230">
        <f t="shared" si="146"/>
        <v>2107952</v>
      </c>
      <c r="AR185" s="397">
        <f t="shared" si="147"/>
        <v>6896150</v>
      </c>
      <c r="AS185" s="397">
        <f t="shared" si="148"/>
        <v>7218400</v>
      </c>
    </row>
    <row r="186" spans="1:45" ht="15.75">
      <c r="A186" s="228">
        <v>14</v>
      </c>
      <c r="B186" s="228" t="str">
        <f t="shared" si="112"/>
        <v>FRUTA_14</v>
      </c>
      <c r="C186" s="338" t="str">
        <f t="shared" si="113"/>
        <v>8_14</v>
      </c>
      <c r="D186" s="398" t="s">
        <v>1</v>
      </c>
      <c r="E186" s="228">
        <v>8</v>
      </c>
      <c r="F186" s="332" t="s">
        <v>55</v>
      </c>
      <c r="G186" s="228" t="s">
        <v>9</v>
      </c>
      <c r="H186" s="427">
        <f t="shared" si="114"/>
        <v>11</v>
      </c>
      <c r="I186" s="427">
        <f t="shared" si="115"/>
        <v>0</v>
      </c>
      <c r="J186" s="428">
        <f t="array" ref="J186">MAX((IF(MNU_CODIGO_ALIMENTO_ENTREGA=CONCATENATE($E186,"_","S_"),MNU_GRAMAJE_REQUERIDO_TIPOA,"")))</f>
        <v>100</v>
      </c>
      <c r="K186" s="229">
        <f t="shared" si="116"/>
        <v>984</v>
      </c>
      <c r="L186" s="229">
        <f t="shared" si="117"/>
        <v>0</v>
      </c>
      <c r="M186" s="229">
        <f t="shared" si="118"/>
        <v>10824</v>
      </c>
      <c r="N186" s="454">
        <f t="shared" si="119"/>
        <v>134</v>
      </c>
      <c r="O186" s="454">
        <f t="shared" si="120"/>
        <v>6.539200000000001</v>
      </c>
      <c r="P186" s="454">
        <f t="shared" si="121"/>
        <v>0.115242144</v>
      </c>
      <c r="Q186" s="454">
        <f t="shared" si="122"/>
        <v>141</v>
      </c>
      <c r="R186" s="230">
        <f t="shared" si="123"/>
        <v>1450416</v>
      </c>
      <c r="S186" s="230">
        <f t="shared" si="124"/>
        <v>1526184</v>
      </c>
      <c r="T186" s="429">
        <f t="shared" si="125"/>
        <v>11</v>
      </c>
      <c r="U186" s="429">
        <f t="shared" si="126"/>
        <v>0</v>
      </c>
      <c r="V186" s="430">
        <f t="array" ref="V186">MAX((IF(MNU_CODIGO_ALIMENTO_ENTREGA=CONCATENATE($E186,"_","S_"),MNU_GRAMAJE_REQUERIDO_TIPOB,"")))</f>
        <v>100</v>
      </c>
      <c r="W186" s="397">
        <f t="shared" si="127"/>
        <v>1375</v>
      </c>
      <c r="X186" s="397">
        <f t="shared" si="128"/>
        <v>0</v>
      </c>
      <c r="Y186" s="397">
        <f t="shared" si="129"/>
        <v>15125</v>
      </c>
      <c r="Z186" s="454">
        <f t="shared" si="130"/>
        <v>134</v>
      </c>
      <c r="AA186" s="454">
        <f t="shared" si="131"/>
        <v>6.539200000000001</v>
      </c>
      <c r="AB186" s="454">
        <f t="shared" si="132"/>
        <v>0.115242144</v>
      </c>
      <c r="AC186" s="454">
        <f t="shared" si="133"/>
        <v>141</v>
      </c>
      <c r="AD186" s="231">
        <f t="shared" si="134"/>
        <v>2026750</v>
      </c>
      <c r="AE186" s="231">
        <f t="shared" si="135"/>
        <v>2132625</v>
      </c>
      <c r="AF186" s="427">
        <f t="shared" si="136"/>
        <v>11</v>
      </c>
      <c r="AG186" s="427">
        <f t="shared" si="137"/>
        <v>0</v>
      </c>
      <c r="AH186" s="428">
        <f t="array" ref="AH186">MAX((IF(MNU_CODIGO_ALIMENTO_ENTREGA=CONCATENATE($E186,"_","S_"),MNU_GRAMAJE_REQUERIDO_TIPOC,"")))</f>
        <v>100</v>
      </c>
      <c r="AI186" s="229">
        <f t="shared" si="138"/>
        <v>1711</v>
      </c>
      <c r="AJ186" s="229">
        <f t="shared" si="139"/>
        <v>0</v>
      </c>
      <c r="AK186" s="229">
        <f t="shared" si="140"/>
        <v>18821</v>
      </c>
      <c r="AL186" s="454">
        <f t="shared" si="141"/>
        <v>134</v>
      </c>
      <c r="AM186" s="454">
        <f t="shared" si="142"/>
        <v>6.539200000000001</v>
      </c>
      <c r="AN186" s="454">
        <f t="shared" si="143"/>
        <v>0.115242144</v>
      </c>
      <c r="AO186" s="454">
        <f t="shared" si="144"/>
        <v>141</v>
      </c>
      <c r="AP186" s="454">
        <f t="shared" si="145"/>
        <v>2522014</v>
      </c>
      <c r="AQ186" s="230">
        <f t="shared" si="146"/>
        <v>2653761</v>
      </c>
      <c r="AR186" s="397">
        <f t="shared" si="147"/>
        <v>5999180</v>
      </c>
      <c r="AS186" s="397">
        <f t="shared" si="148"/>
        <v>6312570</v>
      </c>
    </row>
    <row r="187" spans="1:45" ht="15.75">
      <c r="A187" s="228">
        <v>14</v>
      </c>
      <c r="B187" s="228" t="str">
        <f t="shared" si="112"/>
        <v>FRUTA_14</v>
      </c>
      <c r="C187" s="338" t="str">
        <f t="shared" si="113"/>
        <v>17_14</v>
      </c>
      <c r="D187" s="398" t="s">
        <v>1</v>
      </c>
      <c r="E187" s="228">
        <v>17</v>
      </c>
      <c r="F187" s="332" t="s">
        <v>53</v>
      </c>
      <c r="G187" s="228" t="s">
        <v>9</v>
      </c>
      <c r="H187" s="427">
        <f t="shared" si="114"/>
        <v>0</v>
      </c>
      <c r="I187" s="427">
        <f t="shared" si="115"/>
        <v>0</v>
      </c>
      <c r="J187" s="428">
        <f t="array" ref="J187">MAX((IF(MNU_CODIGO_ALIMENTO_ENTREGA=CONCATENATE($E187,"_","S_"),MNU_GRAMAJE_REQUERIDO_TIPOA,"")))</f>
        <v>0</v>
      </c>
      <c r="K187" s="229">
        <f t="shared" si="116"/>
        <v>984</v>
      </c>
      <c r="L187" s="229">
        <f t="shared" si="117"/>
        <v>0</v>
      </c>
      <c r="M187" s="229">
        <f t="shared" si="118"/>
        <v>0</v>
      </c>
      <c r="N187" s="454">
        <f t="shared" si="119"/>
        <v>0</v>
      </c>
      <c r="O187" s="454">
        <f t="shared" si="120"/>
        <v>0</v>
      </c>
      <c r="P187" s="454">
        <f t="shared" si="121"/>
        <v>0</v>
      </c>
      <c r="Q187" s="454">
        <f t="shared" si="122"/>
        <v>0</v>
      </c>
      <c r="R187" s="230">
        <f t="shared" si="123"/>
        <v>0</v>
      </c>
      <c r="S187" s="230">
        <f t="shared" si="124"/>
        <v>0</v>
      </c>
      <c r="T187" s="429">
        <f t="shared" si="125"/>
        <v>23</v>
      </c>
      <c r="U187" s="429">
        <f t="shared" si="126"/>
        <v>4</v>
      </c>
      <c r="V187" s="430">
        <f t="array" ref="V187">MAX((IF(MNU_CODIGO_ALIMENTO_ENTREGA=CONCATENATE($E187,"_","S_"),MNU_GRAMAJE_REQUERIDO_TIPOB,"")))</f>
        <v>100</v>
      </c>
      <c r="W187" s="397">
        <f t="shared" si="127"/>
        <v>1375</v>
      </c>
      <c r="X187" s="397">
        <f t="shared" si="128"/>
        <v>0</v>
      </c>
      <c r="Y187" s="397">
        <f t="shared" si="129"/>
        <v>31625</v>
      </c>
      <c r="Z187" s="454">
        <f t="shared" si="130"/>
        <v>226</v>
      </c>
      <c r="AA187" s="454">
        <f t="shared" si="131"/>
        <v>11.0288</v>
      </c>
      <c r="AB187" s="454">
        <f t="shared" si="132"/>
        <v>0.19436361600000002</v>
      </c>
      <c r="AC187" s="454">
        <f t="shared" si="133"/>
        <v>237</v>
      </c>
      <c r="AD187" s="231">
        <f t="shared" si="134"/>
        <v>7147250</v>
      </c>
      <c r="AE187" s="231">
        <f t="shared" si="135"/>
        <v>7495125</v>
      </c>
      <c r="AF187" s="427">
        <f t="shared" si="136"/>
        <v>23</v>
      </c>
      <c r="AG187" s="427">
        <f t="shared" si="137"/>
        <v>4</v>
      </c>
      <c r="AH187" s="428">
        <f t="array" ref="AH187">MAX((IF(MNU_CODIGO_ALIMENTO_ENTREGA=CONCATENATE($E187,"_","S_"),MNU_GRAMAJE_REQUERIDO_TIPOC,"")))</f>
        <v>100</v>
      </c>
      <c r="AI187" s="229">
        <f t="shared" si="138"/>
        <v>1711</v>
      </c>
      <c r="AJ187" s="229">
        <f t="shared" si="139"/>
        <v>0</v>
      </c>
      <c r="AK187" s="229">
        <f t="shared" si="140"/>
        <v>39353</v>
      </c>
      <c r="AL187" s="454">
        <f t="shared" si="141"/>
        <v>226</v>
      </c>
      <c r="AM187" s="454">
        <f t="shared" si="142"/>
        <v>11.0288</v>
      </c>
      <c r="AN187" s="454">
        <f t="shared" si="143"/>
        <v>0.19436361600000002</v>
      </c>
      <c r="AO187" s="454">
        <f t="shared" si="144"/>
        <v>237</v>
      </c>
      <c r="AP187" s="454">
        <f t="shared" si="145"/>
        <v>8893778</v>
      </c>
      <c r="AQ187" s="230">
        <f t="shared" si="146"/>
        <v>9326661</v>
      </c>
      <c r="AR187" s="397">
        <f t="shared" si="147"/>
        <v>16041028</v>
      </c>
      <c r="AS187" s="397">
        <f t="shared" si="148"/>
        <v>16821786</v>
      </c>
    </row>
    <row r="188" spans="1:45" ht="15.75">
      <c r="A188" s="228">
        <v>14</v>
      </c>
      <c r="B188" s="228" t="str">
        <f t="shared" si="112"/>
        <v>FRUTA_14</v>
      </c>
      <c r="C188" s="338" t="str">
        <f t="shared" si="113"/>
        <v>22_14</v>
      </c>
      <c r="D188" s="398" t="s">
        <v>1</v>
      </c>
      <c r="E188" s="228">
        <v>22</v>
      </c>
      <c r="F188" s="332" t="s">
        <v>51</v>
      </c>
      <c r="G188" s="228" t="s">
        <v>9</v>
      </c>
      <c r="H188" s="427">
        <f t="shared" si="114"/>
        <v>0</v>
      </c>
      <c r="I188" s="427">
        <f t="shared" si="115"/>
        <v>0</v>
      </c>
      <c r="J188" s="428">
        <f t="array" ref="J188">MAX((IF(MNU_CODIGO_ALIMENTO_ENTREGA=CONCATENATE($E188,"_","S_"),MNU_GRAMAJE_REQUERIDO_TIPOA,"")))</f>
        <v>0</v>
      </c>
      <c r="K188" s="229">
        <f t="shared" si="116"/>
        <v>984</v>
      </c>
      <c r="L188" s="229">
        <f t="shared" si="117"/>
        <v>0</v>
      </c>
      <c r="M188" s="229">
        <f t="shared" si="118"/>
        <v>0</v>
      </c>
      <c r="N188" s="454">
        <f t="shared" si="119"/>
        <v>0</v>
      </c>
      <c r="O188" s="454">
        <f t="shared" si="120"/>
        <v>0</v>
      </c>
      <c r="P188" s="454">
        <f t="shared" si="121"/>
        <v>0</v>
      </c>
      <c r="Q188" s="454">
        <f t="shared" si="122"/>
        <v>0</v>
      </c>
      <c r="R188" s="230">
        <f t="shared" si="123"/>
        <v>0</v>
      </c>
      <c r="S188" s="230">
        <f t="shared" si="124"/>
        <v>0</v>
      </c>
      <c r="T188" s="429">
        <f t="shared" si="125"/>
        <v>23</v>
      </c>
      <c r="U188" s="429">
        <f t="shared" si="126"/>
        <v>4</v>
      </c>
      <c r="V188" s="430">
        <f t="array" ref="V188">MAX((IF(MNU_CODIGO_ALIMENTO_ENTREGA=CONCATENATE($E188,"_","S_"),MNU_GRAMAJE_REQUERIDO_TIPOB,"")))</f>
        <v>100</v>
      </c>
      <c r="W188" s="397">
        <f t="shared" si="127"/>
        <v>1375</v>
      </c>
      <c r="X188" s="397">
        <f t="shared" si="128"/>
        <v>0</v>
      </c>
      <c r="Y188" s="397">
        <f t="shared" si="129"/>
        <v>31625</v>
      </c>
      <c r="Z188" s="454">
        <f t="shared" si="130"/>
        <v>525</v>
      </c>
      <c r="AA188" s="454">
        <f t="shared" si="131"/>
        <v>25.62</v>
      </c>
      <c r="AB188" s="454">
        <f t="shared" si="132"/>
        <v>0.45150840000000003</v>
      </c>
      <c r="AC188" s="454">
        <f t="shared" si="133"/>
        <v>551</v>
      </c>
      <c r="AD188" s="231">
        <f t="shared" si="134"/>
        <v>16603125</v>
      </c>
      <c r="AE188" s="231">
        <f t="shared" si="135"/>
        <v>17425375</v>
      </c>
      <c r="AF188" s="427">
        <f t="shared" si="136"/>
        <v>23</v>
      </c>
      <c r="AG188" s="427">
        <f t="shared" si="137"/>
        <v>4</v>
      </c>
      <c r="AH188" s="428">
        <f t="array" ref="AH188">MAX((IF(MNU_CODIGO_ALIMENTO_ENTREGA=CONCATENATE($E188,"_","S_"),MNU_GRAMAJE_REQUERIDO_TIPOC,"")))</f>
        <v>100</v>
      </c>
      <c r="AI188" s="229">
        <f t="shared" si="138"/>
        <v>1711</v>
      </c>
      <c r="AJ188" s="229">
        <f t="shared" si="139"/>
        <v>0</v>
      </c>
      <c r="AK188" s="229">
        <f t="shared" si="140"/>
        <v>39353</v>
      </c>
      <c r="AL188" s="454">
        <f t="shared" si="141"/>
        <v>525</v>
      </c>
      <c r="AM188" s="454">
        <f t="shared" si="142"/>
        <v>25.62</v>
      </c>
      <c r="AN188" s="454">
        <f t="shared" si="143"/>
        <v>0.45150840000000003</v>
      </c>
      <c r="AO188" s="454">
        <f t="shared" si="144"/>
        <v>551</v>
      </c>
      <c r="AP188" s="454">
        <f t="shared" si="145"/>
        <v>20660325</v>
      </c>
      <c r="AQ188" s="230">
        <f t="shared" si="146"/>
        <v>21683503</v>
      </c>
      <c r="AR188" s="397">
        <f t="shared" si="147"/>
        <v>37263450</v>
      </c>
      <c r="AS188" s="397">
        <f t="shared" si="148"/>
        <v>39108878</v>
      </c>
    </row>
    <row r="189" spans="1:45" ht="15.75">
      <c r="A189" s="228">
        <v>14</v>
      </c>
      <c r="B189" s="228" t="str">
        <f t="shared" si="112"/>
        <v>FRUTA_14</v>
      </c>
      <c r="C189" s="338" t="str">
        <f t="shared" si="113"/>
        <v>33_14</v>
      </c>
      <c r="D189" s="398" t="s">
        <v>1</v>
      </c>
      <c r="E189" s="228">
        <v>33</v>
      </c>
      <c r="F189" s="332" t="s">
        <v>59</v>
      </c>
      <c r="G189" s="228" t="s">
        <v>48</v>
      </c>
      <c r="H189" s="427">
        <f t="shared" si="114"/>
        <v>29</v>
      </c>
      <c r="I189" s="427">
        <f t="shared" si="115"/>
        <v>5</v>
      </c>
      <c r="J189" s="428">
        <v>1</v>
      </c>
      <c r="K189" s="229">
        <f t="shared" si="116"/>
        <v>984</v>
      </c>
      <c r="L189" s="229">
        <f t="shared" si="117"/>
        <v>0</v>
      </c>
      <c r="M189" s="229">
        <f t="shared" si="118"/>
        <v>28536</v>
      </c>
      <c r="N189" s="454">
        <f t="shared" si="119"/>
        <v>270</v>
      </c>
      <c r="O189" s="454">
        <f t="shared" si="120"/>
        <v>13.176000000000002</v>
      </c>
      <c r="P189" s="454">
        <f t="shared" si="121"/>
        <v>0.23220432000000002</v>
      </c>
      <c r="Q189" s="454">
        <f t="shared" si="122"/>
        <v>283</v>
      </c>
      <c r="R189" s="230">
        <f t="shared" si="123"/>
        <v>7704720</v>
      </c>
      <c r="S189" s="230">
        <f t="shared" si="124"/>
        <v>8075688</v>
      </c>
      <c r="T189" s="429">
        <f t="shared" si="125"/>
        <v>23</v>
      </c>
      <c r="U189" s="429">
        <f t="shared" si="126"/>
        <v>2</v>
      </c>
      <c r="V189" s="430">
        <v>1</v>
      </c>
      <c r="W189" s="397">
        <f t="shared" si="127"/>
        <v>1375</v>
      </c>
      <c r="X189" s="397">
        <f t="shared" si="128"/>
        <v>0</v>
      </c>
      <c r="Y189" s="397">
        <f t="shared" si="129"/>
        <v>31625</v>
      </c>
      <c r="Z189" s="454">
        <f t="shared" si="130"/>
        <v>270</v>
      </c>
      <c r="AA189" s="454">
        <f t="shared" si="131"/>
        <v>13.176000000000002</v>
      </c>
      <c r="AB189" s="454">
        <f t="shared" si="132"/>
        <v>0.23220432000000002</v>
      </c>
      <c r="AC189" s="454">
        <f t="shared" si="133"/>
        <v>283</v>
      </c>
      <c r="AD189" s="231">
        <f t="shared" si="134"/>
        <v>8538750</v>
      </c>
      <c r="AE189" s="231">
        <f t="shared" si="135"/>
        <v>8949875</v>
      </c>
      <c r="AF189" s="427">
        <f t="shared" si="136"/>
        <v>23</v>
      </c>
      <c r="AG189" s="427">
        <f t="shared" si="137"/>
        <v>2</v>
      </c>
      <c r="AH189" s="428">
        <v>1</v>
      </c>
      <c r="AI189" s="229">
        <f t="shared" si="138"/>
        <v>1711</v>
      </c>
      <c r="AJ189" s="229">
        <f t="shared" si="139"/>
        <v>0</v>
      </c>
      <c r="AK189" s="229">
        <f t="shared" si="140"/>
        <v>39353</v>
      </c>
      <c r="AL189" s="454">
        <f t="shared" si="141"/>
        <v>270</v>
      </c>
      <c r="AM189" s="454">
        <f t="shared" si="142"/>
        <v>13.176000000000002</v>
      </c>
      <c r="AN189" s="454">
        <f t="shared" si="143"/>
        <v>0.23220432000000002</v>
      </c>
      <c r="AO189" s="454">
        <f t="shared" si="144"/>
        <v>283</v>
      </c>
      <c r="AP189" s="454">
        <f t="shared" si="145"/>
        <v>10625310</v>
      </c>
      <c r="AQ189" s="230">
        <f t="shared" si="146"/>
        <v>11136899</v>
      </c>
      <c r="AR189" s="397">
        <f t="shared" si="147"/>
        <v>26868780</v>
      </c>
      <c r="AS189" s="397">
        <f t="shared" si="148"/>
        <v>28162462</v>
      </c>
    </row>
    <row r="190" spans="1:45" ht="15.75">
      <c r="A190" s="228">
        <v>14</v>
      </c>
      <c r="B190" s="228" t="str">
        <f t="shared" si="112"/>
        <v>FRUTA_14</v>
      </c>
      <c r="C190" s="338" t="str">
        <f t="shared" si="113"/>
        <v>36_14</v>
      </c>
      <c r="D190" s="398" t="s">
        <v>1</v>
      </c>
      <c r="E190" s="228">
        <v>36</v>
      </c>
      <c r="F190" s="332" t="s">
        <v>1340</v>
      </c>
      <c r="G190" s="228" t="s">
        <v>9</v>
      </c>
      <c r="H190" s="427">
        <f t="shared" si="114"/>
        <v>8</v>
      </c>
      <c r="I190" s="427">
        <f t="shared" si="115"/>
        <v>0</v>
      </c>
      <c r="J190" s="428">
        <f t="array" ref="J190">MAX((IF(MNU_CODIGO_ALIMENTO_ENTREGA=CONCATENATE($E190,"_","S_"),MNU_GRAMAJE_REQUERIDO_TIPOA,"")))</f>
        <v>20</v>
      </c>
      <c r="K190" s="229">
        <f t="shared" si="116"/>
        <v>984</v>
      </c>
      <c r="L190" s="229">
        <f t="shared" si="117"/>
        <v>0</v>
      </c>
      <c r="M190" s="229">
        <f t="shared" si="118"/>
        <v>7872</v>
      </c>
      <c r="N190" s="454">
        <f t="shared" si="119"/>
        <v>126</v>
      </c>
      <c r="O190" s="454">
        <f t="shared" si="120"/>
        <v>6.1488000000000005</v>
      </c>
      <c r="P190" s="454">
        <f t="shared" si="121"/>
        <v>0.10836201599999999</v>
      </c>
      <c r="Q190" s="454">
        <f t="shared" si="122"/>
        <v>132</v>
      </c>
      <c r="R190" s="230">
        <f t="shared" si="123"/>
        <v>991872</v>
      </c>
      <c r="S190" s="230">
        <f t="shared" si="124"/>
        <v>1039104</v>
      </c>
      <c r="T190" s="429">
        <f t="shared" si="125"/>
        <v>8</v>
      </c>
      <c r="U190" s="429">
        <f t="shared" si="126"/>
        <v>0</v>
      </c>
      <c r="V190" s="430">
        <f t="array" ref="V190">MAX((IF(MNU_CODIGO_ALIMENTO_ENTREGA=CONCATENATE($E190,"_","S_"),MNU_GRAMAJE_REQUERIDO_TIPOB,"")))</f>
        <v>40</v>
      </c>
      <c r="W190" s="397">
        <f t="shared" si="127"/>
        <v>1375</v>
      </c>
      <c r="X190" s="397">
        <f t="shared" si="128"/>
        <v>0</v>
      </c>
      <c r="Y190" s="397">
        <f t="shared" si="129"/>
        <v>11000</v>
      </c>
      <c r="Z190" s="454">
        <f t="shared" si="130"/>
        <v>252</v>
      </c>
      <c r="AA190" s="454">
        <f t="shared" si="131"/>
        <v>12.297600000000001</v>
      </c>
      <c r="AB190" s="454">
        <f t="shared" si="132"/>
        <v>0.21672403199999998</v>
      </c>
      <c r="AC190" s="454">
        <f t="shared" si="133"/>
        <v>265</v>
      </c>
      <c r="AD190" s="231">
        <f t="shared" si="134"/>
        <v>2772000</v>
      </c>
      <c r="AE190" s="231">
        <f t="shared" si="135"/>
        <v>2915000</v>
      </c>
      <c r="AF190" s="427">
        <f t="shared" si="136"/>
        <v>8</v>
      </c>
      <c r="AG190" s="427">
        <f t="shared" si="137"/>
        <v>0</v>
      </c>
      <c r="AH190" s="428">
        <f t="array" ref="AH190">MAX((IF(MNU_CODIGO_ALIMENTO_ENTREGA=CONCATENATE($E190,"_","S_"),MNU_GRAMAJE_REQUERIDO_TIPOC,"")))</f>
        <v>40</v>
      </c>
      <c r="AI190" s="229">
        <f t="shared" si="138"/>
        <v>1711</v>
      </c>
      <c r="AJ190" s="229">
        <f t="shared" si="139"/>
        <v>0</v>
      </c>
      <c r="AK190" s="229">
        <f t="shared" si="140"/>
        <v>13688</v>
      </c>
      <c r="AL190" s="454">
        <f t="shared" si="141"/>
        <v>252</v>
      </c>
      <c r="AM190" s="454">
        <f t="shared" si="142"/>
        <v>12.297600000000001</v>
      </c>
      <c r="AN190" s="454">
        <f t="shared" si="143"/>
        <v>0.21672403199999998</v>
      </c>
      <c r="AO190" s="454">
        <f t="shared" si="144"/>
        <v>265</v>
      </c>
      <c r="AP190" s="454">
        <f t="shared" si="145"/>
        <v>3449376</v>
      </c>
      <c r="AQ190" s="230">
        <f t="shared" si="146"/>
        <v>3627320</v>
      </c>
      <c r="AR190" s="397">
        <f t="shared" si="147"/>
        <v>7213248</v>
      </c>
      <c r="AS190" s="397">
        <f t="shared" si="148"/>
        <v>7581424</v>
      </c>
    </row>
    <row r="191" spans="1:45" ht="15.75">
      <c r="A191" s="228">
        <v>14</v>
      </c>
      <c r="B191" s="228" t="str">
        <f t="shared" si="112"/>
        <v>FRUTA_14</v>
      </c>
      <c r="C191" s="338" t="str">
        <f t="shared" si="113"/>
        <v>42_14</v>
      </c>
      <c r="D191" s="398" t="s">
        <v>1</v>
      </c>
      <c r="E191" s="228">
        <v>42</v>
      </c>
      <c r="F191" s="332" t="s">
        <v>61</v>
      </c>
      <c r="G191" s="228" t="s">
        <v>9</v>
      </c>
      <c r="H191" s="427">
        <f t="shared" si="114"/>
        <v>36</v>
      </c>
      <c r="I191" s="427">
        <f t="shared" si="115"/>
        <v>8</v>
      </c>
      <c r="J191" s="428">
        <f t="array" ref="J191">MAX((IF(MNU_CODIGO_ALIMENTO_ENTREGA=CONCATENATE($E191,"_","S_"),MNU_GRAMAJE_REQUERIDO_TIPOA,"")))</f>
        <v>100</v>
      </c>
      <c r="K191" s="229">
        <f t="shared" si="116"/>
        <v>984</v>
      </c>
      <c r="L191" s="229">
        <f t="shared" si="117"/>
        <v>0</v>
      </c>
      <c r="M191" s="229">
        <f t="shared" si="118"/>
        <v>35424</v>
      </c>
      <c r="N191" s="454">
        <f t="shared" si="119"/>
        <v>194</v>
      </c>
      <c r="O191" s="454">
        <f t="shared" si="120"/>
        <v>9.4672000000000001</v>
      </c>
      <c r="P191" s="454">
        <f t="shared" si="121"/>
        <v>0.16684310399999999</v>
      </c>
      <c r="Q191" s="454">
        <f t="shared" si="122"/>
        <v>204</v>
      </c>
      <c r="R191" s="230">
        <f t="shared" si="123"/>
        <v>6872256</v>
      </c>
      <c r="S191" s="230">
        <f t="shared" si="124"/>
        <v>7226496</v>
      </c>
      <c r="T191" s="429">
        <f t="shared" si="125"/>
        <v>19</v>
      </c>
      <c r="U191" s="429">
        <f t="shared" si="126"/>
        <v>8</v>
      </c>
      <c r="V191" s="430">
        <f t="array" ref="V191">MAX((IF(MNU_CODIGO_ALIMENTO_ENTREGA=CONCATENATE($E191,"_","S_"),MNU_GRAMAJE_REQUERIDO_TIPOB,"")))</f>
        <v>100</v>
      </c>
      <c r="W191" s="397">
        <f t="shared" si="127"/>
        <v>1375</v>
      </c>
      <c r="X191" s="397">
        <f t="shared" si="128"/>
        <v>0</v>
      </c>
      <c r="Y191" s="397">
        <f t="shared" si="129"/>
        <v>26125</v>
      </c>
      <c r="Z191" s="454">
        <f t="shared" si="130"/>
        <v>194</v>
      </c>
      <c r="AA191" s="454">
        <f t="shared" si="131"/>
        <v>9.4672000000000001</v>
      </c>
      <c r="AB191" s="454">
        <f t="shared" si="132"/>
        <v>0.16684310399999999</v>
      </c>
      <c r="AC191" s="454">
        <f t="shared" si="133"/>
        <v>204</v>
      </c>
      <c r="AD191" s="231">
        <f t="shared" si="134"/>
        <v>5068250</v>
      </c>
      <c r="AE191" s="231">
        <f t="shared" si="135"/>
        <v>5329500</v>
      </c>
      <c r="AF191" s="427">
        <f t="shared" si="136"/>
        <v>19</v>
      </c>
      <c r="AG191" s="427">
        <f t="shared" si="137"/>
        <v>8</v>
      </c>
      <c r="AH191" s="428">
        <f t="array" ref="AH191">MAX((IF(MNU_CODIGO_ALIMENTO_ENTREGA=CONCATENATE($E191,"_","S_"),MNU_GRAMAJE_REQUERIDO_TIPOC,"")))</f>
        <v>100</v>
      </c>
      <c r="AI191" s="229">
        <f t="shared" si="138"/>
        <v>1711</v>
      </c>
      <c r="AJ191" s="229">
        <f t="shared" si="139"/>
        <v>0</v>
      </c>
      <c r="AK191" s="229">
        <f t="shared" si="140"/>
        <v>32509</v>
      </c>
      <c r="AL191" s="454">
        <f t="shared" si="141"/>
        <v>194</v>
      </c>
      <c r="AM191" s="454">
        <f t="shared" si="142"/>
        <v>9.4672000000000001</v>
      </c>
      <c r="AN191" s="454">
        <f t="shared" si="143"/>
        <v>0.16684310399999999</v>
      </c>
      <c r="AO191" s="454">
        <f t="shared" si="144"/>
        <v>204</v>
      </c>
      <c r="AP191" s="454">
        <f t="shared" si="145"/>
        <v>6306746</v>
      </c>
      <c r="AQ191" s="230">
        <f t="shared" si="146"/>
        <v>6631836</v>
      </c>
      <c r="AR191" s="397">
        <f t="shared" si="147"/>
        <v>18247252</v>
      </c>
      <c r="AS191" s="397">
        <f t="shared" si="148"/>
        <v>19187832</v>
      </c>
    </row>
    <row r="192" spans="1:45" ht="15.75">
      <c r="A192" s="228">
        <v>14</v>
      </c>
      <c r="B192" s="228" t="str">
        <f t="shared" si="112"/>
        <v>FRUTA_14</v>
      </c>
      <c r="C192" s="338" t="str">
        <f t="shared" si="113"/>
        <v>43_14</v>
      </c>
      <c r="D192" s="398" t="s">
        <v>1</v>
      </c>
      <c r="E192" s="228">
        <v>43</v>
      </c>
      <c r="F192" s="332" t="s">
        <v>62</v>
      </c>
      <c r="G192" s="228" t="s">
        <v>9</v>
      </c>
      <c r="H192" s="427">
        <f t="shared" si="114"/>
        <v>29</v>
      </c>
      <c r="I192" s="427">
        <f t="shared" si="115"/>
        <v>6</v>
      </c>
      <c r="J192" s="428">
        <f t="array" ref="J192">MAX((IF(MNU_CODIGO_ALIMENTO_ENTREGA=CONCATENATE($E192,"_","S_"),MNU_GRAMAJE_REQUERIDO_TIPOA,"")))</f>
        <v>100</v>
      </c>
      <c r="K192" s="229">
        <f t="shared" si="116"/>
        <v>984</v>
      </c>
      <c r="L192" s="229">
        <f t="shared" si="117"/>
        <v>0</v>
      </c>
      <c r="M192" s="229">
        <f t="shared" si="118"/>
        <v>28536</v>
      </c>
      <c r="N192" s="454">
        <f t="shared" si="119"/>
        <v>170</v>
      </c>
      <c r="O192" s="454">
        <f t="shared" si="120"/>
        <v>8.2959999999999994</v>
      </c>
      <c r="P192" s="454">
        <f t="shared" si="121"/>
        <v>0.14620272000000001</v>
      </c>
      <c r="Q192" s="454">
        <f t="shared" si="122"/>
        <v>178</v>
      </c>
      <c r="R192" s="230">
        <f t="shared" si="123"/>
        <v>4851120</v>
      </c>
      <c r="S192" s="230">
        <f t="shared" si="124"/>
        <v>5079408</v>
      </c>
      <c r="T192" s="429">
        <f t="shared" si="125"/>
        <v>23</v>
      </c>
      <c r="U192" s="429">
        <f t="shared" si="126"/>
        <v>1</v>
      </c>
      <c r="V192" s="430">
        <f t="array" ref="V192">MAX((IF(MNU_CODIGO_ALIMENTO_ENTREGA=CONCATENATE($E192,"_","S_"),MNU_GRAMAJE_REQUERIDO_TIPOB,"")))</f>
        <v>100</v>
      </c>
      <c r="W192" s="397">
        <f t="shared" si="127"/>
        <v>1375</v>
      </c>
      <c r="X192" s="397">
        <f t="shared" si="128"/>
        <v>0</v>
      </c>
      <c r="Y192" s="397">
        <f t="shared" si="129"/>
        <v>31625</v>
      </c>
      <c r="Z192" s="454">
        <f t="shared" si="130"/>
        <v>170</v>
      </c>
      <c r="AA192" s="454">
        <f t="shared" si="131"/>
        <v>8.2959999999999994</v>
      </c>
      <c r="AB192" s="454">
        <f t="shared" si="132"/>
        <v>0.14620272000000001</v>
      </c>
      <c r="AC192" s="454">
        <f t="shared" si="133"/>
        <v>178</v>
      </c>
      <c r="AD192" s="231">
        <f t="shared" si="134"/>
        <v>5376250</v>
      </c>
      <c r="AE192" s="231">
        <f t="shared" si="135"/>
        <v>5629250</v>
      </c>
      <c r="AF192" s="427">
        <f t="shared" si="136"/>
        <v>23</v>
      </c>
      <c r="AG192" s="427">
        <f t="shared" si="137"/>
        <v>1</v>
      </c>
      <c r="AH192" s="428">
        <f t="array" ref="AH192">MAX((IF(MNU_CODIGO_ALIMENTO_ENTREGA=CONCATENATE($E192,"_","S_"),MNU_GRAMAJE_REQUERIDO_TIPOC,"")))</f>
        <v>100</v>
      </c>
      <c r="AI192" s="229">
        <f t="shared" si="138"/>
        <v>1711</v>
      </c>
      <c r="AJ192" s="229">
        <f t="shared" si="139"/>
        <v>0</v>
      </c>
      <c r="AK192" s="229">
        <f t="shared" si="140"/>
        <v>39353</v>
      </c>
      <c r="AL192" s="454">
        <f t="shared" si="141"/>
        <v>170</v>
      </c>
      <c r="AM192" s="454">
        <f t="shared" si="142"/>
        <v>8.2959999999999994</v>
      </c>
      <c r="AN192" s="454">
        <f t="shared" si="143"/>
        <v>0.14620272000000001</v>
      </c>
      <c r="AO192" s="454">
        <f t="shared" si="144"/>
        <v>178</v>
      </c>
      <c r="AP192" s="454">
        <f t="shared" si="145"/>
        <v>6690010</v>
      </c>
      <c r="AQ192" s="230">
        <f t="shared" si="146"/>
        <v>7004834</v>
      </c>
      <c r="AR192" s="397">
        <f t="shared" si="147"/>
        <v>16917380</v>
      </c>
      <c r="AS192" s="397">
        <f t="shared" si="148"/>
        <v>17713492</v>
      </c>
    </row>
    <row r="193" spans="1:45" ht="15.75">
      <c r="A193" s="228">
        <v>14</v>
      </c>
      <c r="B193" s="228" t="str">
        <f t="shared" si="112"/>
        <v>FRUTA_14</v>
      </c>
      <c r="C193" s="338" t="str">
        <f t="shared" si="113"/>
        <v>46_14</v>
      </c>
      <c r="D193" s="398" t="s">
        <v>1</v>
      </c>
      <c r="E193" s="228">
        <v>46</v>
      </c>
      <c r="F193" s="332" t="s">
        <v>64</v>
      </c>
      <c r="G193" s="228" t="s">
        <v>9</v>
      </c>
      <c r="H193" s="427">
        <f t="shared" si="114"/>
        <v>29</v>
      </c>
      <c r="I193" s="427">
        <f t="shared" si="115"/>
        <v>4</v>
      </c>
      <c r="J193" s="428">
        <f t="array" ref="J193">MAX((IF(MNU_CODIGO_ALIMENTO_ENTREGA=CONCATENATE($E193,"_","S_"),MNU_GRAMAJE_REQUERIDO_TIPOA,"")))</f>
        <v>100</v>
      </c>
      <c r="K193" s="229">
        <f t="shared" si="116"/>
        <v>984</v>
      </c>
      <c r="L193" s="229">
        <f t="shared" si="117"/>
        <v>0</v>
      </c>
      <c r="M193" s="229">
        <f t="shared" si="118"/>
        <v>28536</v>
      </c>
      <c r="N193" s="454">
        <f t="shared" si="119"/>
        <v>398</v>
      </c>
      <c r="O193" s="454">
        <f t="shared" si="120"/>
        <v>19.4224</v>
      </c>
      <c r="P193" s="454">
        <f t="shared" si="121"/>
        <v>0.34228636800000001</v>
      </c>
      <c r="Q193" s="454">
        <f t="shared" si="122"/>
        <v>418</v>
      </c>
      <c r="R193" s="230">
        <f t="shared" si="123"/>
        <v>11357328</v>
      </c>
      <c r="S193" s="230">
        <f t="shared" si="124"/>
        <v>11928048</v>
      </c>
      <c r="T193" s="429">
        <f t="shared" si="125"/>
        <v>24</v>
      </c>
      <c r="U193" s="429">
        <f t="shared" si="126"/>
        <v>3</v>
      </c>
      <c r="V193" s="430">
        <f t="array" ref="V193">MAX((IF(MNU_CODIGO_ALIMENTO_ENTREGA=CONCATENATE($E193,"_","S_"),MNU_GRAMAJE_REQUERIDO_TIPOB,"")))</f>
        <v>100</v>
      </c>
      <c r="W193" s="397">
        <f t="shared" si="127"/>
        <v>1375</v>
      </c>
      <c r="X193" s="397">
        <f t="shared" si="128"/>
        <v>0</v>
      </c>
      <c r="Y193" s="397">
        <f t="shared" si="129"/>
        <v>33000</v>
      </c>
      <c r="Z193" s="454">
        <f t="shared" si="130"/>
        <v>398</v>
      </c>
      <c r="AA193" s="454">
        <f t="shared" si="131"/>
        <v>19.4224</v>
      </c>
      <c r="AB193" s="454">
        <f t="shared" si="132"/>
        <v>0.34228636800000001</v>
      </c>
      <c r="AC193" s="454">
        <f t="shared" si="133"/>
        <v>418</v>
      </c>
      <c r="AD193" s="231">
        <f t="shared" si="134"/>
        <v>13134000</v>
      </c>
      <c r="AE193" s="231">
        <f t="shared" si="135"/>
        <v>13794000</v>
      </c>
      <c r="AF193" s="427">
        <f t="shared" si="136"/>
        <v>24</v>
      </c>
      <c r="AG193" s="427">
        <f t="shared" si="137"/>
        <v>3</v>
      </c>
      <c r="AH193" s="428">
        <f t="array" ref="AH193">MAX((IF(MNU_CODIGO_ALIMENTO_ENTREGA=CONCATENATE($E193,"_","S_"),MNU_GRAMAJE_REQUERIDO_TIPOC,"")))</f>
        <v>100</v>
      </c>
      <c r="AI193" s="229">
        <f t="shared" si="138"/>
        <v>1711</v>
      </c>
      <c r="AJ193" s="229">
        <f t="shared" si="139"/>
        <v>0</v>
      </c>
      <c r="AK193" s="229">
        <f t="shared" si="140"/>
        <v>41064</v>
      </c>
      <c r="AL193" s="454">
        <f t="shared" si="141"/>
        <v>398</v>
      </c>
      <c r="AM193" s="454">
        <f t="shared" si="142"/>
        <v>19.4224</v>
      </c>
      <c r="AN193" s="454">
        <f t="shared" si="143"/>
        <v>0.34228636800000001</v>
      </c>
      <c r="AO193" s="454">
        <f t="shared" si="144"/>
        <v>418</v>
      </c>
      <c r="AP193" s="454">
        <f t="shared" si="145"/>
        <v>16343472</v>
      </c>
      <c r="AQ193" s="230">
        <f t="shared" si="146"/>
        <v>17164752</v>
      </c>
      <c r="AR193" s="397">
        <f t="shared" si="147"/>
        <v>40834800</v>
      </c>
      <c r="AS193" s="397">
        <f t="shared" si="148"/>
        <v>42886800</v>
      </c>
    </row>
    <row r="194" spans="1:45" ht="15.75">
      <c r="A194" s="228">
        <v>14</v>
      </c>
      <c r="B194" s="228" t="str">
        <f t="shared" si="112"/>
        <v>FRUTA_14</v>
      </c>
      <c r="C194" s="338" t="str">
        <f t="shared" si="113"/>
        <v>58_14</v>
      </c>
      <c r="D194" s="398" t="s">
        <v>1</v>
      </c>
      <c r="E194" s="228">
        <v>58</v>
      </c>
      <c r="F194" s="332" t="s">
        <v>67</v>
      </c>
      <c r="G194" s="228" t="s">
        <v>9</v>
      </c>
      <c r="H194" s="427">
        <f t="shared" si="114"/>
        <v>28</v>
      </c>
      <c r="I194" s="427">
        <f t="shared" si="115"/>
        <v>5</v>
      </c>
      <c r="J194" s="428">
        <f t="array" ref="J194">MAX((IF(MNU_CODIGO_ALIMENTO_ENTREGA=CONCATENATE($E194,"_","S_"),MNU_GRAMAJE_REQUERIDO_TIPOA,"")))</f>
        <v>100</v>
      </c>
      <c r="K194" s="229">
        <f t="shared" si="116"/>
        <v>984</v>
      </c>
      <c r="L194" s="229">
        <f t="shared" si="117"/>
        <v>0</v>
      </c>
      <c r="M194" s="229">
        <f t="shared" si="118"/>
        <v>27552</v>
      </c>
      <c r="N194" s="454">
        <f t="shared" si="119"/>
        <v>154</v>
      </c>
      <c r="O194" s="454">
        <f t="shared" si="120"/>
        <v>7.515200000000001</v>
      </c>
      <c r="P194" s="454">
        <f t="shared" si="121"/>
        <v>0.13244246400000001</v>
      </c>
      <c r="Q194" s="454">
        <f t="shared" si="122"/>
        <v>162</v>
      </c>
      <c r="R194" s="230">
        <f t="shared" si="123"/>
        <v>4243008</v>
      </c>
      <c r="S194" s="230">
        <f t="shared" si="124"/>
        <v>4463424</v>
      </c>
      <c r="T194" s="429">
        <f t="shared" si="125"/>
        <v>23</v>
      </c>
      <c r="U194" s="429">
        <f t="shared" si="126"/>
        <v>3</v>
      </c>
      <c r="V194" s="430">
        <f t="array" ref="V194">MAX((IF(MNU_CODIGO_ALIMENTO_ENTREGA=CONCATENATE($E194,"_","S_"),MNU_GRAMAJE_REQUERIDO_TIPOB,"")))</f>
        <v>100</v>
      </c>
      <c r="W194" s="397">
        <f t="shared" si="127"/>
        <v>1375</v>
      </c>
      <c r="X194" s="397">
        <f t="shared" si="128"/>
        <v>0</v>
      </c>
      <c r="Y194" s="397">
        <f t="shared" si="129"/>
        <v>31625</v>
      </c>
      <c r="Z194" s="454">
        <f t="shared" si="130"/>
        <v>154</v>
      </c>
      <c r="AA194" s="454">
        <f t="shared" si="131"/>
        <v>7.515200000000001</v>
      </c>
      <c r="AB194" s="454">
        <f t="shared" si="132"/>
        <v>0.13244246400000001</v>
      </c>
      <c r="AC194" s="454">
        <f t="shared" si="133"/>
        <v>162</v>
      </c>
      <c r="AD194" s="231">
        <f t="shared" si="134"/>
        <v>4870250</v>
      </c>
      <c r="AE194" s="231">
        <f t="shared" si="135"/>
        <v>5123250</v>
      </c>
      <c r="AF194" s="427">
        <f t="shared" si="136"/>
        <v>23</v>
      </c>
      <c r="AG194" s="427">
        <f t="shared" si="137"/>
        <v>3</v>
      </c>
      <c r="AH194" s="428">
        <f t="array" ref="AH194">MAX((IF(MNU_CODIGO_ALIMENTO_ENTREGA=CONCATENATE($E194,"_","S_"),MNU_GRAMAJE_REQUERIDO_TIPOC,"")))</f>
        <v>100</v>
      </c>
      <c r="AI194" s="229">
        <f t="shared" si="138"/>
        <v>1711</v>
      </c>
      <c r="AJ194" s="229">
        <f t="shared" si="139"/>
        <v>0</v>
      </c>
      <c r="AK194" s="229">
        <f t="shared" si="140"/>
        <v>39353</v>
      </c>
      <c r="AL194" s="454">
        <f t="shared" si="141"/>
        <v>154</v>
      </c>
      <c r="AM194" s="454">
        <f t="shared" si="142"/>
        <v>7.515200000000001</v>
      </c>
      <c r="AN194" s="454">
        <f t="shared" si="143"/>
        <v>0.13244246400000001</v>
      </c>
      <c r="AO194" s="454">
        <f t="shared" si="144"/>
        <v>162</v>
      </c>
      <c r="AP194" s="454">
        <f t="shared" si="145"/>
        <v>6060362</v>
      </c>
      <c r="AQ194" s="230">
        <f t="shared" si="146"/>
        <v>6375186</v>
      </c>
      <c r="AR194" s="397">
        <f t="shared" si="147"/>
        <v>15173620</v>
      </c>
      <c r="AS194" s="397">
        <f t="shared" si="148"/>
        <v>15961860</v>
      </c>
    </row>
    <row r="195" spans="1:45" ht="15.75">
      <c r="A195" s="228">
        <v>14</v>
      </c>
      <c r="B195" s="228" t="str">
        <f t="shared" si="112"/>
        <v>FRUTA_14</v>
      </c>
      <c r="C195" s="338" t="str">
        <f t="shared" si="113"/>
        <v>59_14</v>
      </c>
      <c r="D195" s="398" t="s">
        <v>1</v>
      </c>
      <c r="E195" s="228">
        <v>59</v>
      </c>
      <c r="F195" s="332" t="s">
        <v>99</v>
      </c>
      <c r="G195" s="228" t="s">
        <v>9</v>
      </c>
      <c r="H195" s="427">
        <f t="shared" si="114"/>
        <v>0</v>
      </c>
      <c r="I195" s="427">
        <f t="shared" si="115"/>
        <v>0</v>
      </c>
      <c r="J195" s="428">
        <f t="array" ref="J195">MAX((IF(MNU_CODIGO_ALIMENTO_ENTREGA=CONCATENATE($E195,"_","S_"),MNU_GRAMAJE_REQUERIDO_TIPOA,"")))</f>
        <v>0</v>
      </c>
      <c r="K195" s="229">
        <f t="shared" si="116"/>
        <v>984</v>
      </c>
      <c r="L195" s="229">
        <f t="shared" si="117"/>
        <v>0</v>
      </c>
      <c r="M195" s="229">
        <f t="shared" si="118"/>
        <v>0</v>
      </c>
      <c r="N195" s="454">
        <f t="shared" si="119"/>
        <v>0</v>
      </c>
      <c r="O195" s="454">
        <f t="shared" si="120"/>
        <v>0</v>
      </c>
      <c r="P195" s="454">
        <f t="shared" si="121"/>
        <v>0</v>
      </c>
      <c r="Q195" s="454">
        <f t="shared" si="122"/>
        <v>0</v>
      </c>
      <c r="R195" s="230">
        <f t="shared" si="123"/>
        <v>0</v>
      </c>
      <c r="S195" s="230">
        <f t="shared" si="124"/>
        <v>0</v>
      </c>
      <c r="T195" s="429">
        <f t="shared" si="125"/>
        <v>11</v>
      </c>
      <c r="U195" s="429">
        <f t="shared" si="126"/>
        <v>0</v>
      </c>
      <c r="V195" s="430">
        <f t="array" ref="V195">MAX((IF(MNU_CODIGO_ALIMENTO_ENTREGA=CONCATENATE($E195,"_","S_"),MNU_GRAMAJE_REQUERIDO_TIPOB,"")))</f>
        <v>100</v>
      </c>
      <c r="W195" s="397">
        <f t="shared" si="127"/>
        <v>1375</v>
      </c>
      <c r="X195" s="397">
        <f t="shared" si="128"/>
        <v>0</v>
      </c>
      <c r="Y195" s="397">
        <f t="shared" si="129"/>
        <v>15125</v>
      </c>
      <c r="Z195" s="454">
        <f t="shared" si="130"/>
        <v>286</v>
      </c>
      <c r="AA195" s="454">
        <f t="shared" si="131"/>
        <v>13.956800000000001</v>
      </c>
      <c r="AB195" s="454">
        <f t="shared" si="132"/>
        <v>0.24596457599999999</v>
      </c>
      <c r="AC195" s="454">
        <f t="shared" si="133"/>
        <v>300</v>
      </c>
      <c r="AD195" s="231">
        <f t="shared" si="134"/>
        <v>4325750</v>
      </c>
      <c r="AE195" s="231">
        <f t="shared" si="135"/>
        <v>4537500</v>
      </c>
      <c r="AF195" s="427">
        <f t="shared" si="136"/>
        <v>11</v>
      </c>
      <c r="AG195" s="427">
        <f t="shared" si="137"/>
        <v>0</v>
      </c>
      <c r="AH195" s="428">
        <f t="array" ref="AH195">MAX((IF(MNU_CODIGO_ALIMENTO_ENTREGA=CONCATENATE($E195,"_","S_"),MNU_GRAMAJE_REQUERIDO_TIPOC,"")))</f>
        <v>100</v>
      </c>
      <c r="AI195" s="229">
        <f t="shared" si="138"/>
        <v>1711</v>
      </c>
      <c r="AJ195" s="229">
        <f t="shared" si="139"/>
        <v>0</v>
      </c>
      <c r="AK195" s="229">
        <f t="shared" si="140"/>
        <v>18821</v>
      </c>
      <c r="AL195" s="454">
        <f t="shared" si="141"/>
        <v>286</v>
      </c>
      <c r="AM195" s="454">
        <f t="shared" si="142"/>
        <v>13.956800000000001</v>
      </c>
      <c r="AN195" s="454">
        <f t="shared" si="143"/>
        <v>0.24596457599999999</v>
      </c>
      <c r="AO195" s="454">
        <f t="shared" si="144"/>
        <v>300</v>
      </c>
      <c r="AP195" s="454">
        <f t="shared" si="145"/>
        <v>5382806</v>
      </c>
      <c r="AQ195" s="230">
        <f t="shared" si="146"/>
        <v>5646300</v>
      </c>
      <c r="AR195" s="397">
        <f t="shared" si="147"/>
        <v>9708556</v>
      </c>
      <c r="AS195" s="397">
        <f t="shared" si="148"/>
        <v>10183800</v>
      </c>
    </row>
    <row r="196" spans="1:45" ht="15.75">
      <c r="A196" s="228">
        <v>14</v>
      </c>
      <c r="B196" s="228" t="str">
        <f t="shared" si="112"/>
        <v>FRUTA_14</v>
      </c>
      <c r="C196" s="338" t="str">
        <f t="shared" si="113"/>
        <v>69_14</v>
      </c>
      <c r="D196" s="398" t="s">
        <v>1</v>
      </c>
      <c r="E196" s="228">
        <v>69</v>
      </c>
      <c r="F196" s="332" t="s">
        <v>70</v>
      </c>
      <c r="G196" s="228" t="s">
        <v>9</v>
      </c>
      <c r="H196" s="427">
        <f t="shared" si="114"/>
        <v>18</v>
      </c>
      <c r="I196" s="427">
        <f t="shared" si="115"/>
        <v>2</v>
      </c>
      <c r="J196" s="428">
        <f t="array" ref="J196">MAX((IF(MNU_CODIGO_ALIMENTO_ENTREGA=CONCATENATE($E196,"_","S_"),MNU_GRAMAJE_REQUERIDO_TIPOA,"")))</f>
        <v>100</v>
      </c>
      <c r="K196" s="229">
        <f t="shared" si="116"/>
        <v>984</v>
      </c>
      <c r="L196" s="229">
        <f t="shared" si="117"/>
        <v>0</v>
      </c>
      <c r="M196" s="229">
        <f t="shared" si="118"/>
        <v>17712</v>
      </c>
      <c r="N196" s="454">
        <f t="shared" si="119"/>
        <v>305</v>
      </c>
      <c r="O196" s="454">
        <f t="shared" si="120"/>
        <v>14.884</v>
      </c>
      <c r="P196" s="454">
        <f t="shared" si="121"/>
        <v>0.26230488000000002</v>
      </c>
      <c r="Q196" s="454">
        <f t="shared" si="122"/>
        <v>320</v>
      </c>
      <c r="R196" s="230">
        <f t="shared" si="123"/>
        <v>5402160</v>
      </c>
      <c r="S196" s="230">
        <f t="shared" si="124"/>
        <v>5667840</v>
      </c>
      <c r="T196" s="429">
        <f t="shared" si="125"/>
        <v>12</v>
      </c>
      <c r="U196" s="429">
        <f t="shared" si="126"/>
        <v>2</v>
      </c>
      <c r="V196" s="430">
        <f t="array" ref="V196">MAX((IF(MNU_CODIGO_ALIMENTO_ENTREGA=CONCATENATE($E196,"_","S_"),MNU_GRAMAJE_REQUERIDO_TIPOB,"")))</f>
        <v>100</v>
      </c>
      <c r="W196" s="397">
        <f t="shared" si="127"/>
        <v>1375</v>
      </c>
      <c r="X196" s="397">
        <f t="shared" si="128"/>
        <v>0</v>
      </c>
      <c r="Y196" s="397">
        <f t="shared" si="129"/>
        <v>16500</v>
      </c>
      <c r="Z196" s="454">
        <f t="shared" si="130"/>
        <v>305</v>
      </c>
      <c r="AA196" s="454">
        <f t="shared" si="131"/>
        <v>14.884</v>
      </c>
      <c r="AB196" s="454">
        <f t="shared" si="132"/>
        <v>0.26230488000000002</v>
      </c>
      <c r="AC196" s="454">
        <f t="shared" si="133"/>
        <v>320</v>
      </c>
      <c r="AD196" s="231">
        <f t="shared" si="134"/>
        <v>5032500</v>
      </c>
      <c r="AE196" s="231">
        <f t="shared" si="135"/>
        <v>5280000</v>
      </c>
      <c r="AF196" s="427">
        <f t="shared" si="136"/>
        <v>12</v>
      </c>
      <c r="AG196" s="427">
        <f t="shared" si="137"/>
        <v>2</v>
      </c>
      <c r="AH196" s="428">
        <f t="array" ref="AH196">MAX((IF(MNU_CODIGO_ALIMENTO_ENTREGA=CONCATENATE($E196,"_","S_"),MNU_GRAMAJE_REQUERIDO_TIPOC,"")))</f>
        <v>100</v>
      </c>
      <c r="AI196" s="229">
        <f t="shared" si="138"/>
        <v>1711</v>
      </c>
      <c r="AJ196" s="229">
        <f t="shared" si="139"/>
        <v>0</v>
      </c>
      <c r="AK196" s="229">
        <f t="shared" si="140"/>
        <v>20532</v>
      </c>
      <c r="AL196" s="454">
        <f t="shared" si="141"/>
        <v>305</v>
      </c>
      <c r="AM196" s="454">
        <f t="shared" si="142"/>
        <v>14.884</v>
      </c>
      <c r="AN196" s="454">
        <f t="shared" si="143"/>
        <v>0.26230488000000002</v>
      </c>
      <c r="AO196" s="454">
        <f t="shared" si="144"/>
        <v>320</v>
      </c>
      <c r="AP196" s="454">
        <f t="shared" si="145"/>
        <v>6262260</v>
      </c>
      <c r="AQ196" s="230">
        <f t="shared" si="146"/>
        <v>6570240</v>
      </c>
      <c r="AR196" s="397">
        <f t="shared" si="147"/>
        <v>16696920</v>
      </c>
      <c r="AS196" s="397">
        <f t="shared" si="148"/>
        <v>17518080</v>
      </c>
    </row>
    <row r="197" spans="1:45" ht="15.75">
      <c r="A197" s="228">
        <v>14</v>
      </c>
      <c r="B197" s="228" t="str">
        <f t="shared" si="112"/>
        <v>FRUTA_14</v>
      </c>
      <c r="C197" s="338" t="str">
        <f t="shared" si="113"/>
        <v>70_14</v>
      </c>
      <c r="D197" s="398" t="s">
        <v>1</v>
      </c>
      <c r="E197" s="228">
        <v>70</v>
      </c>
      <c r="F197" s="332" t="s">
        <v>71</v>
      </c>
      <c r="G197" s="228" t="s">
        <v>9</v>
      </c>
      <c r="H197" s="427">
        <f t="shared" si="114"/>
        <v>0</v>
      </c>
      <c r="I197" s="427">
        <f t="shared" si="115"/>
        <v>0</v>
      </c>
      <c r="J197" s="428">
        <f t="array" ref="J197">MAX((IF(MNU_CODIGO_ALIMENTO_ENTREGA=CONCATENATE($E197,"_","S_"),MNU_GRAMAJE_REQUERIDO_TIPOA,"")))</f>
        <v>0</v>
      </c>
      <c r="K197" s="229">
        <f t="shared" si="116"/>
        <v>984</v>
      </c>
      <c r="L197" s="229">
        <f t="shared" si="117"/>
        <v>0</v>
      </c>
      <c r="M197" s="229">
        <f t="shared" si="118"/>
        <v>0</v>
      </c>
      <c r="N197" s="454">
        <f t="shared" si="119"/>
        <v>0</v>
      </c>
      <c r="O197" s="454">
        <f t="shared" si="120"/>
        <v>0</v>
      </c>
      <c r="P197" s="454">
        <f t="shared" si="121"/>
        <v>0</v>
      </c>
      <c r="Q197" s="454">
        <f t="shared" si="122"/>
        <v>0</v>
      </c>
      <c r="R197" s="230">
        <f t="shared" si="123"/>
        <v>0</v>
      </c>
      <c r="S197" s="230">
        <f t="shared" si="124"/>
        <v>0</v>
      </c>
      <c r="T197" s="429">
        <f t="shared" si="125"/>
        <v>8</v>
      </c>
      <c r="U197" s="429">
        <f t="shared" si="126"/>
        <v>4</v>
      </c>
      <c r="V197" s="430">
        <f t="array" ref="V197">MAX((IF(MNU_CODIGO_ALIMENTO_ENTREGA=CONCATENATE($E197,"_","S_"),MNU_GRAMAJE_REQUERIDO_TIPOB,"")))</f>
        <v>100</v>
      </c>
      <c r="W197" s="397">
        <f t="shared" si="127"/>
        <v>1375</v>
      </c>
      <c r="X197" s="397">
        <f t="shared" si="128"/>
        <v>0</v>
      </c>
      <c r="Y197" s="397">
        <f t="shared" si="129"/>
        <v>11000</v>
      </c>
      <c r="Z197" s="454">
        <f t="shared" si="130"/>
        <v>434</v>
      </c>
      <c r="AA197" s="454">
        <f t="shared" si="131"/>
        <v>21.179200000000002</v>
      </c>
      <c r="AB197" s="454">
        <f t="shared" si="132"/>
        <v>0.37324694399999997</v>
      </c>
      <c r="AC197" s="454">
        <f t="shared" si="133"/>
        <v>456</v>
      </c>
      <c r="AD197" s="231">
        <f t="shared" si="134"/>
        <v>4774000</v>
      </c>
      <c r="AE197" s="231">
        <f t="shared" si="135"/>
        <v>5016000</v>
      </c>
      <c r="AF197" s="427">
        <f t="shared" si="136"/>
        <v>8</v>
      </c>
      <c r="AG197" s="427">
        <f t="shared" si="137"/>
        <v>4</v>
      </c>
      <c r="AH197" s="428">
        <f t="array" ref="AH197">MAX((IF(MNU_CODIGO_ALIMENTO_ENTREGA=CONCATENATE($E197,"_","S_"),MNU_GRAMAJE_REQUERIDO_TIPOC,"")))</f>
        <v>100</v>
      </c>
      <c r="AI197" s="229">
        <f t="shared" si="138"/>
        <v>1711</v>
      </c>
      <c r="AJ197" s="229">
        <f t="shared" si="139"/>
        <v>0</v>
      </c>
      <c r="AK197" s="229">
        <f t="shared" si="140"/>
        <v>13688</v>
      </c>
      <c r="AL197" s="454">
        <f t="shared" si="141"/>
        <v>434</v>
      </c>
      <c r="AM197" s="454">
        <f t="shared" si="142"/>
        <v>21.179200000000002</v>
      </c>
      <c r="AN197" s="454">
        <f t="shared" si="143"/>
        <v>0.37324694399999997</v>
      </c>
      <c r="AO197" s="454">
        <f t="shared" si="144"/>
        <v>456</v>
      </c>
      <c r="AP197" s="454">
        <f t="shared" si="145"/>
        <v>5940592</v>
      </c>
      <c r="AQ197" s="230">
        <f t="shared" si="146"/>
        <v>6241728</v>
      </c>
      <c r="AR197" s="397">
        <f t="shared" si="147"/>
        <v>10714592</v>
      </c>
      <c r="AS197" s="397">
        <f t="shared" si="148"/>
        <v>11257728</v>
      </c>
    </row>
    <row r="198" spans="1:45" ht="15.75">
      <c r="A198" s="228">
        <v>15</v>
      </c>
      <c r="B198" s="228" t="str">
        <f t="shared" si="112"/>
        <v>FRUTA_15</v>
      </c>
      <c r="C198" s="338" t="str">
        <f t="shared" si="113"/>
        <v>7_15</v>
      </c>
      <c r="D198" s="398" t="s">
        <v>1</v>
      </c>
      <c r="E198" s="228">
        <v>7</v>
      </c>
      <c r="F198" s="332" t="s">
        <v>57</v>
      </c>
      <c r="G198" s="228" t="s">
        <v>9</v>
      </c>
      <c r="H198" s="427">
        <f t="shared" si="114"/>
        <v>31</v>
      </c>
      <c r="I198" s="427">
        <f t="shared" si="115"/>
        <v>0</v>
      </c>
      <c r="J198" s="428">
        <f t="array" ref="J198">MAX((IF(MNU_CODIGO_ALIMENTO_ENTREGA=CONCATENATE($E198,"_","S_"),MNU_GRAMAJE_REQUERIDO_TIPOA,"")))</f>
        <v>100</v>
      </c>
      <c r="K198" s="229">
        <f t="shared" si="116"/>
        <v>556</v>
      </c>
      <c r="L198" s="229">
        <f t="shared" si="117"/>
        <v>0</v>
      </c>
      <c r="M198" s="229">
        <f t="shared" si="118"/>
        <v>17236</v>
      </c>
      <c r="N198" s="454">
        <f t="shared" si="119"/>
        <v>107</v>
      </c>
      <c r="O198" s="454">
        <f t="shared" si="120"/>
        <v>5.2216000000000005</v>
      </c>
      <c r="P198" s="454">
        <f t="shared" si="121"/>
        <v>9.2021712000000006E-2</v>
      </c>
      <c r="Q198" s="454">
        <f t="shared" si="122"/>
        <v>112</v>
      </c>
      <c r="R198" s="230">
        <f t="shared" si="123"/>
        <v>1844252</v>
      </c>
      <c r="S198" s="230">
        <f t="shared" si="124"/>
        <v>1930432</v>
      </c>
      <c r="T198" s="429">
        <f t="shared" si="125"/>
        <v>11</v>
      </c>
      <c r="U198" s="429">
        <f t="shared" si="126"/>
        <v>0</v>
      </c>
      <c r="V198" s="430">
        <f t="array" ref="V198">MAX((IF(MNU_CODIGO_ALIMENTO_ENTREGA=CONCATENATE($E198,"_","S_"),MNU_GRAMAJE_REQUERIDO_TIPOB,"")))</f>
        <v>100</v>
      </c>
      <c r="W198" s="397">
        <f t="shared" si="127"/>
        <v>103</v>
      </c>
      <c r="X198" s="397">
        <f t="shared" si="128"/>
        <v>0</v>
      </c>
      <c r="Y198" s="397">
        <f t="shared" si="129"/>
        <v>1133</v>
      </c>
      <c r="Z198" s="454">
        <f t="shared" si="130"/>
        <v>107</v>
      </c>
      <c r="AA198" s="454">
        <f t="shared" si="131"/>
        <v>5.2216000000000005</v>
      </c>
      <c r="AB198" s="454">
        <f t="shared" si="132"/>
        <v>9.2021712000000006E-2</v>
      </c>
      <c r="AC198" s="454">
        <f t="shared" si="133"/>
        <v>112</v>
      </c>
      <c r="AD198" s="231">
        <f t="shared" si="134"/>
        <v>121231</v>
      </c>
      <c r="AE198" s="231">
        <f t="shared" si="135"/>
        <v>126896</v>
      </c>
      <c r="AF198" s="427">
        <f t="shared" si="136"/>
        <v>11</v>
      </c>
      <c r="AG198" s="427">
        <f t="shared" si="137"/>
        <v>0</v>
      </c>
      <c r="AH198" s="428">
        <f t="array" ref="AH198">MAX((IF(MNU_CODIGO_ALIMENTO_ENTREGA=CONCATENATE($E198,"_","S_"),MNU_GRAMAJE_REQUERIDO_TIPOC,"")))</f>
        <v>100</v>
      </c>
      <c r="AI198" s="229">
        <f t="shared" si="138"/>
        <v>1214</v>
      </c>
      <c r="AJ198" s="229">
        <f t="shared" si="139"/>
        <v>0</v>
      </c>
      <c r="AK198" s="229">
        <f t="shared" si="140"/>
        <v>13354</v>
      </c>
      <c r="AL198" s="454">
        <f t="shared" si="141"/>
        <v>107</v>
      </c>
      <c r="AM198" s="454">
        <f t="shared" si="142"/>
        <v>5.2216000000000005</v>
      </c>
      <c r="AN198" s="454">
        <f t="shared" si="143"/>
        <v>9.2021712000000006E-2</v>
      </c>
      <c r="AO198" s="454">
        <f t="shared" si="144"/>
        <v>112</v>
      </c>
      <c r="AP198" s="454">
        <f t="shared" si="145"/>
        <v>1428878</v>
      </c>
      <c r="AQ198" s="230">
        <f t="shared" si="146"/>
        <v>1495648</v>
      </c>
      <c r="AR198" s="397">
        <f t="shared" si="147"/>
        <v>3394361</v>
      </c>
      <c r="AS198" s="397">
        <f t="shared" si="148"/>
        <v>3552976</v>
      </c>
    </row>
    <row r="199" spans="1:45" ht="15.75">
      <c r="A199" s="228">
        <v>15</v>
      </c>
      <c r="B199" s="228" t="str">
        <f t="shared" si="112"/>
        <v>FRUTA_15</v>
      </c>
      <c r="C199" s="338" t="str">
        <f t="shared" si="113"/>
        <v>8_15</v>
      </c>
      <c r="D199" s="398" t="s">
        <v>1</v>
      </c>
      <c r="E199" s="228">
        <v>8</v>
      </c>
      <c r="F199" s="332" t="s">
        <v>55</v>
      </c>
      <c r="G199" s="228" t="s">
        <v>9</v>
      </c>
      <c r="H199" s="427">
        <f t="shared" si="114"/>
        <v>11</v>
      </c>
      <c r="I199" s="427">
        <f t="shared" si="115"/>
        <v>0</v>
      </c>
      <c r="J199" s="428">
        <f t="array" ref="J199">MAX((IF(MNU_CODIGO_ALIMENTO_ENTREGA=CONCATENATE($E199,"_","S_"),MNU_GRAMAJE_REQUERIDO_TIPOA,"")))</f>
        <v>100</v>
      </c>
      <c r="K199" s="229">
        <f t="shared" si="116"/>
        <v>556</v>
      </c>
      <c r="L199" s="229">
        <f t="shared" si="117"/>
        <v>0</v>
      </c>
      <c r="M199" s="229">
        <f t="shared" si="118"/>
        <v>6116</v>
      </c>
      <c r="N199" s="454">
        <f t="shared" si="119"/>
        <v>134</v>
      </c>
      <c r="O199" s="454">
        <f t="shared" si="120"/>
        <v>6.539200000000001</v>
      </c>
      <c r="P199" s="454">
        <f t="shared" si="121"/>
        <v>0.115242144</v>
      </c>
      <c r="Q199" s="454">
        <f t="shared" si="122"/>
        <v>141</v>
      </c>
      <c r="R199" s="230">
        <f t="shared" si="123"/>
        <v>819544</v>
      </c>
      <c r="S199" s="230">
        <f t="shared" si="124"/>
        <v>862356</v>
      </c>
      <c r="T199" s="429">
        <f t="shared" si="125"/>
        <v>11</v>
      </c>
      <c r="U199" s="429">
        <f t="shared" si="126"/>
        <v>0</v>
      </c>
      <c r="V199" s="430">
        <f t="array" ref="V199">MAX((IF(MNU_CODIGO_ALIMENTO_ENTREGA=CONCATENATE($E199,"_","S_"),MNU_GRAMAJE_REQUERIDO_TIPOB,"")))</f>
        <v>100</v>
      </c>
      <c r="W199" s="397">
        <f t="shared" si="127"/>
        <v>103</v>
      </c>
      <c r="X199" s="397">
        <f t="shared" si="128"/>
        <v>0</v>
      </c>
      <c r="Y199" s="397">
        <f t="shared" si="129"/>
        <v>1133</v>
      </c>
      <c r="Z199" s="454">
        <f t="shared" si="130"/>
        <v>134</v>
      </c>
      <c r="AA199" s="454">
        <f t="shared" si="131"/>
        <v>6.539200000000001</v>
      </c>
      <c r="AB199" s="454">
        <f t="shared" si="132"/>
        <v>0.115242144</v>
      </c>
      <c r="AC199" s="454">
        <f t="shared" si="133"/>
        <v>141</v>
      </c>
      <c r="AD199" s="231">
        <f t="shared" si="134"/>
        <v>151822</v>
      </c>
      <c r="AE199" s="231">
        <f t="shared" si="135"/>
        <v>159753</v>
      </c>
      <c r="AF199" s="427">
        <f t="shared" si="136"/>
        <v>11</v>
      </c>
      <c r="AG199" s="427">
        <f t="shared" si="137"/>
        <v>0</v>
      </c>
      <c r="AH199" s="428">
        <f t="array" ref="AH199">MAX((IF(MNU_CODIGO_ALIMENTO_ENTREGA=CONCATENATE($E199,"_","S_"),MNU_GRAMAJE_REQUERIDO_TIPOC,"")))</f>
        <v>100</v>
      </c>
      <c r="AI199" s="229">
        <f t="shared" si="138"/>
        <v>1214</v>
      </c>
      <c r="AJ199" s="229">
        <f t="shared" si="139"/>
        <v>0</v>
      </c>
      <c r="AK199" s="229">
        <f t="shared" si="140"/>
        <v>13354</v>
      </c>
      <c r="AL199" s="454">
        <f t="shared" si="141"/>
        <v>134</v>
      </c>
      <c r="AM199" s="454">
        <f t="shared" si="142"/>
        <v>6.539200000000001</v>
      </c>
      <c r="AN199" s="454">
        <f t="shared" si="143"/>
        <v>0.115242144</v>
      </c>
      <c r="AO199" s="454">
        <f t="shared" si="144"/>
        <v>141</v>
      </c>
      <c r="AP199" s="454">
        <f t="shared" si="145"/>
        <v>1789436</v>
      </c>
      <c r="AQ199" s="230">
        <f t="shared" si="146"/>
        <v>1882914</v>
      </c>
      <c r="AR199" s="397">
        <f t="shared" si="147"/>
        <v>2760802</v>
      </c>
      <c r="AS199" s="397">
        <f t="shared" si="148"/>
        <v>2905023</v>
      </c>
    </row>
    <row r="200" spans="1:45" ht="15.75">
      <c r="A200" s="228">
        <v>15</v>
      </c>
      <c r="B200" s="228" t="str">
        <f t="shared" si="112"/>
        <v>FRUTA_15</v>
      </c>
      <c r="C200" s="338" t="str">
        <f t="shared" si="113"/>
        <v>17_15</v>
      </c>
      <c r="D200" s="398" t="s">
        <v>1</v>
      </c>
      <c r="E200" s="228">
        <v>17</v>
      </c>
      <c r="F200" s="332" t="s">
        <v>53</v>
      </c>
      <c r="G200" s="228" t="s">
        <v>9</v>
      </c>
      <c r="H200" s="427">
        <f t="shared" si="114"/>
        <v>0</v>
      </c>
      <c r="I200" s="427">
        <f t="shared" si="115"/>
        <v>0</v>
      </c>
      <c r="J200" s="428">
        <f t="array" ref="J200">MAX((IF(MNU_CODIGO_ALIMENTO_ENTREGA=CONCATENATE($E200,"_","S_"),MNU_GRAMAJE_REQUERIDO_TIPOA,"")))</f>
        <v>0</v>
      </c>
      <c r="K200" s="229">
        <f t="shared" si="116"/>
        <v>556</v>
      </c>
      <c r="L200" s="229">
        <f t="shared" si="117"/>
        <v>0</v>
      </c>
      <c r="M200" s="229">
        <f t="shared" si="118"/>
        <v>0</v>
      </c>
      <c r="N200" s="454">
        <f t="shared" si="119"/>
        <v>0</v>
      </c>
      <c r="O200" s="454">
        <f t="shared" si="120"/>
        <v>0</v>
      </c>
      <c r="P200" s="454">
        <f t="shared" si="121"/>
        <v>0</v>
      </c>
      <c r="Q200" s="454">
        <f t="shared" si="122"/>
        <v>0</v>
      </c>
      <c r="R200" s="230">
        <f t="shared" si="123"/>
        <v>0</v>
      </c>
      <c r="S200" s="230">
        <f t="shared" si="124"/>
        <v>0</v>
      </c>
      <c r="T200" s="429">
        <f t="shared" si="125"/>
        <v>23</v>
      </c>
      <c r="U200" s="429">
        <f t="shared" si="126"/>
        <v>4</v>
      </c>
      <c r="V200" s="430">
        <f t="array" ref="V200">MAX((IF(MNU_CODIGO_ALIMENTO_ENTREGA=CONCATENATE($E200,"_","S_"),MNU_GRAMAJE_REQUERIDO_TIPOB,"")))</f>
        <v>100</v>
      </c>
      <c r="W200" s="397">
        <f t="shared" si="127"/>
        <v>103</v>
      </c>
      <c r="X200" s="397">
        <f t="shared" si="128"/>
        <v>0</v>
      </c>
      <c r="Y200" s="397">
        <f t="shared" si="129"/>
        <v>2369</v>
      </c>
      <c r="Z200" s="454">
        <f t="shared" si="130"/>
        <v>226</v>
      </c>
      <c r="AA200" s="454">
        <f t="shared" si="131"/>
        <v>11.0288</v>
      </c>
      <c r="AB200" s="454">
        <f t="shared" si="132"/>
        <v>0.19436361600000002</v>
      </c>
      <c r="AC200" s="454">
        <f t="shared" si="133"/>
        <v>237</v>
      </c>
      <c r="AD200" s="231">
        <f t="shared" si="134"/>
        <v>535394</v>
      </c>
      <c r="AE200" s="231">
        <f t="shared" si="135"/>
        <v>561453</v>
      </c>
      <c r="AF200" s="427">
        <f t="shared" si="136"/>
        <v>23</v>
      </c>
      <c r="AG200" s="427">
        <f t="shared" si="137"/>
        <v>4</v>
      </c>
      <c r="AH200" s="428">
        <f t="array" ref="AH200">MAX((IF(MNU_CODIGO_ALIMENTO_ENTREGA=CONCATENATE($E200,"_","S_"),MNU_GRAMAJE_REQUERIDO_TIPOC,"")))</f>
        <v>100</v>
      </c>
      <c r="AI200" s="229">
        <f t="shared" si="138"/>
        <v>1214</v>
      </c>
      <c r="AJ200" s="229">
        <f t="shared" si="139"/>
        <v>0</v>
      </c>
      <c r="AK200" s="229">
        <f t="shared" si="140"/>
        <v>27922</v>
      </c>
      <c r="AL200" s="454">
        <f t="shared" si="141"/>
        <v>226</v>
      </c>
      <c r="AM200" s="454">
        <f t="shared" si="142"/>
        <v>11.0288</v>
      </c>
      <c r="AN200" s="454">
        <f t="shared" si="143"/>
        <v>0.19436361600000002</v>
      </c>
      <c r="AO200" s="454">
        <f t="shared" si="144"/>
        <v>237</v>
      </c>
      <c r="AP200" s="454">
        <f t="shared" si="145"/>
        <v>6310372</v>
      </c>
      <c r="AQ200" s="230">
        <f t="shared" si="146"/>
        <v>6617514</v>
      </c>
      <c r="AR200" s="397">
        <f t="shared" si="147"/>
        <v>6845766</v>
      </c>
      <c r="AS200" s="397">
        <f t="shared" si="148"/>
        <v>7178967</v>
      </c>
    </row>
    <row r="201" spans="1:45" ht="15.75">
      <c r="A201" s="228">
        <v>15</v>
      </c>
      <c r="B201" s="228" t="str">
        <f t="shared" si="112"/>
        <v>FRUTA_15</v>
      </c>
      <c r="C201" s="338" t="str">
        <f t="shared" si="113"/>
        <v>22_15</v>
      </c>
      <c r="D201" s="398" t="s">
        <v>1</v>
      </c>
      <c r="E201" s="228">
        <v>22</v>
      </c>
      <c r="F201" s="332" t="s">
        <v>51</v>
      </c>
      <c r="G201" s="228" t="s">
        <v>9</v>
      </c>
      <c r="H201" s="427">
        <f t="shared" si="114"/>
        <v>0</v>
      </c>
      <c r="I201" s="427">
        <f t="shared" si="115"/>
        <v>0</v>
      </c>
      <c r="J201" s="428">
        <f t="array" ref="J201">MAX((IF(MNU_CODIGO_ALIMENTO_ENTREGA=CONCATENATE($E201,"_","S_"),MNU_GRAMAJE_REQUERIDO_TIPOA,"")))</f>
        <v>0</v>
      </c>
      <c r="K201" s="229">
        <f t="shared" si="116"/>
        <v>556</v>
      </c>
      <c r="L201" s="229">
        <f t="shared" si="117"/>
        <v>0</v>
      </c>
      <c r="M201" s="229">
        <f t="shared" si="118"/>
        <v>0</v>
      </c>
      <c r="N201" s="454">
        <f t="shared" si="119"/>
        <v>0</v>
      </c>
      <c r="O201" s="454">
        <f t="shared" si="120"/>
        <v>0</v>
      </c>
      <c r="P201" s="454">
        <f t="shared" si="121"/>
        <v>0</v>
      </c>
      <c r="Q201" s="454">
        <f t="shared" si="122"/>
        <v>0</v>
      </c>
      <c r="R201" s="230">
        <f t="shared" si="123"/>
        <v>0</v>
      </c>
      <c r="S201" s="230">
        <f t="shared" si="124"/>
        <v>0</v>
      </c>
      <c r="T201" s="429">
        <f t="shared" si="125"/>
        <v>23</v>
      </c>
      <c r="U201" s="429">
        <f t="shared" si="126"/>
        <v>4</v>
      </c>
      <c r="V201" s="430">
        <f t="array" ref="V201">MAX((IF(MNU_CODIGO_ALIMENTO_ENTREGA=CONCATENATE($E201,"_","S_"),MNU_GRAMAJE_REQUERIDO_TIPOB,"")))</f>
        <v>100</v>
      </c>
      <c r="W201" s="397">
        <f t="shared" si="127"/>
        <v>103</v>
      </c>
      <c r="X201" s="397">
        <f t="shared" si="128"/>
        <v>0</v>
      </c>
      <c r="Y201" s="397">
        <f t="shared" si="129"/>
        <v>2369</v>
      </c>
      <c r="Z201" s="454">
        <f t="shared" si="130"/>
        <v>525</v>
      </c>
      <c r="AA201" s="454">
        <f t="shared" si="131"/>
        <v>25.62</v>
      </c>
      <c r="AB201" s="454">
        <f t="shared" si="132"/>
        <v>0.45150840000000003</v>
      </c>
      <c r="AC201" s="454">
        <f t="shared" si="133"/>
        <v>551</v>
      </c>
      <c r="AD201" s="231">
        <f t="shared" si="134"/>
        <v>1243725</v>
      </c>
      <c r="AE201" s="231">
        <f t="shared" si="135"/>
        <v>1305319</v>
      </c>
      <c r="AF201" s="427">
        <f t="shared" si="136"/>
        <v>23</v>
      </c>
      <c r="AG201" s="427">
        <f t="shared" si="137"/>
        <v>4</v>
      </c>
      <c r="AH201" s="428">
        <f t="array" ref="AH201">MAX((IF(MNU_CODIGO_ALIMENTO_ENTREGA=CONCATENATE($E201,"_","S_"),MNU_GRAMAJE_REQUERIDO_TIPOC,"")))</f>
        <v>100</v>
      </c>
      <c r="AI201" s="229">
        <f t="shared" si="138"/>
        <v>1214</v>
      </c>
      <c r="AJ201" s="229">
        <f t="shared" si="139"/>
        <v>0</v>
      </c>
      <c r="AK201" s="229">
        <f t="shared" si="140"/>
        <v>27922</v>
      </c>
      <c r="AL201" s="454">
        <f t="shared" si="141"/>
        <v>525</v>
      </c>
      <c r="AM201" s="454">
        <f t="shared" si="142"/>
        <v>25.62</v>
      </c>
      <c r="AN201" s="454">
        <f t="shared" si="143"/>
        <v>0.45150840000000003</v>
      </c>
      <c r="AO201" s="454">
        <f t="shared" si="144"/>
        <v>551</v>
      </c>
      <c r="AP201" s="454">
        <f t="shared" si="145"/>
        <v>14659050</v>
      </c>
      <c r="AQ201" s="230">
        <f t="shared" si="146"/>
        <v>15385022</v>
      </c>
      <c r="AR201" s="397">
        <f t="shared" si="147"/>
        <v>15902775</v>
      </c>
      <c r="AS201" s="397">
        <f t="shared" si="148"/>
        <v>16690341</v>
      </c>
    </row>
    <row r="202" spans="1:45" ht="15.75">
      <c r="A202" s="228">
        <v>15</v>
      </c>
      <c r="B202" s="228" t="str">
        <f t="shared" si="112"/>
        <v>FRUTA_15</v>
      </c>
      <c r="C202" s="338" t="str">
        <f t="shared" si="113"/>
        <v>33_15</v>
      </c>
      <c r="D202" s="398" t="s">
        <v>1</v>
      </c>
      <c r="E202" s="228">
        <v>33</v>
      </c>
      <c r="F202" s="332" t="s">
        <v>59</v>
      </c>
      <c r="G202" s="228" t="s">
        <v>48</v>
      </c>
      <c r="H202" s="427">
        <f t="shared" si="114"/>
        <v>29</v>
      </c>
      <c r="I202" s="427">
        <f t="shared" si="115"/>
        <v>5</v>
      </c>
      <c r="J202" s="428">
        <v>1</v>
      </c>
      <c r="K202" s="229">
        <f t="shared" si="116"/>
        <v>556</v>
      </c>
      <c r="L202" s="229">
        <f t="shared" si="117"/>
        <v>0</v>
      </c>
      <c r="M202" s="229">
        <f t="shared" si="118"/>
        <v>16124</v>
      </c>
      <c r="N202" s="454">
        <f t="shared" si="119"/>
        <v>270</v>
      </c>
      <c r="O202" s="454">
        <f t="shared" si="120"/>
        <v>13.176000000000002</v>
      </c>
      <c r="P202" s="454">
        <f t="shared" si="121"/>
        <v>0.23220432000000002</v>
      </c>
      <c r="Q202" s="454">
        <f t="shared" si="122"/>
        <v>283</v>
      </c>
      <c r="R202" s="230">
        <f t="shared" si="123"/>
        <v>4353480</v>
      </c>
      <c r="S202" s="230">
        <f t="shared" si="124"/>
        <v>4563092</v>
      </c>
      <c r="T202" s="429">
        <f t="shared" si="125"/>
        <v>23</v>
      </c>
      <c r="U202" s="429">
        <f t="shared" si="126"/>
        <v>2</v>
      </c>
      <c r="V202" s="430">
        <v>1</v>
      </c>
      <c r="W202" s="397">
        <f t="shared" si="127"/>
        <v>103</v>
      </c>
      <c r="X202" s="397">
        <f t="shared" si="128"/>
        <v>0</v>
      </c>
      <c r="Y202" s="397">
        <f t="shared" si="129"/>
        <v>2369</v>
      </c>
      <c r="Z202" s="454">
        <f t="shared" si="130"/>
        <v>270</v>
      </c>
      <c r="AA202" s="454">
        <f t="shared" si="131"/>
        <v>13.176000000000002</v>
      </c>
      <c r="AB202" s="454">
        <f t="shared" si="132"/>
        <v>0.23220432000000002</v>
      </c>
      <c r="AC202" s="454">
        <f t="shared" si="133"/>
        <v>283</v>
      </c>
      <c r="AD202" s="231">
        <f t="shared" si="134"/>
        <v>639630</v>
      </c>
      <c r="AE202" s="231">
        <f t="shared" si="135"/>
        <v>670427</v>
      </c>
      <c r="AF202" s="427">
        <f t="shared" si="136"/>
        <v>23</v>
      </c>
      <c r="AG202" s="427">
        <f t="shared" si="137"/>
        <v>2</v>
      </c>
      <c r="AH202" s="428">
        <v>1</v>
      </c>
      <c r="AI202" s="229">
        <f t="shared" si="138"/>
        <v>1214</v>
      </c>
      <c r="AJ202" s="229">
        <f t="shared" si="139"/>
        <v>0</v>
      </c>
      <c r="AK202" s="229">
        <f t="shared" si="140"/>
        <v>27922</v>
      </c>
      <c r="AL202" s="454">
        <f t="shared" si="141"/>
        <v>270</v>
      </c>
      <c r="AM202" s="454">
        <f t="shared" si="142"/>
        <v>13.176000000000002</v>
      </c>
      <c r="AN202" s="454">
        <f t="shared" si="143"/>
        <v>0.23220432000000002</v>
      </c>
      <c r="AO202" s="454">
        <f t="shared" si="144"/>
        <v>283</v>
      </c>
      <c r="AP202" s="454">
        <f t="shared" si="145"/>
        <v>7538940</v>
      </c>
      <c r="AQ202" s="230">
        <f t="shared" si="146"/>
        <v>7901926</v>
      </c>
      <c r="AR202" s="397">
        <f t="shared" si="147"/>
        <v>12532050</v>
      </c>
      <c r="AS202" s="397">
        <f t="shared" si="148"/>
        <v>13135445</v>
      </c>
    </row>
    <row r="203" spans="1:45" ht="15.75">
      <c r="A203" s="228">
        <v>15</v>
      </c>
      <c r="B203" s="228" t="str">
        <f t="shared" si="112"/>
        <v>FRUTA_15</v>
      </c>
      <c r="C203" s="338" t="str">
        <f t="shared" si="113"/>
        <v>36_15</v>
      </c>
      <c r="D203" s="398" t="s">
        <v>1</v>
      </c>
      <c r="E203" s="228">
        <v>36</v>
      </c>
      <c r="F203" s="332" t="s">
        <v>1340</v>
      </c>
      <c r="G203" s="228" t="s">
        <v>9</v>
      </c>
      <c r="H203" s="427">
        <f t="shared" si="114"/>
        <v>8</v>
      </c>
      <c r="I203" s="427">
        <f t="shared" si="115"/>
        <v>0</v>
      </c>
      <c r="J203" s="428">
        <f t="array" ref="J203">MAX((IF(MNU_CODIGO_ALIMENTO_ENTREGA=CONCATENATE($E203,"_","S_"),MNU_GRAMAJE_REQUERIDO_TIPOA,"")))</f>
        <v>20</v>
      </c>
      <c r="K203" s="229">
        <f t="shared" si="116"/>
        <v>556</v>
      </c>
      <c r="L203" s="229">
        <f t="shared" si="117"/>
        <v>0</v>
      </c>
      <c r="M203" s="229">
        <f t="shared" si="118"/>
        <v>4448</v>
      </c>
      <c r="N203" s="454">
        <f t="shared" si="119"/>
        <v>126</v>
      </c>
      <c r="O203" s="454">
        <f t="shared" si="120"/>
        <v>6.1488000000000005</v>
      </c>
      <c r="P203" s="454">
        <f t="shared" si="121"/>
        <v>0.10836201599999999</v>
      </c>
      <c r="Q203" s="454">
        <f t="shared" si="122"/>
        <v>132</v>
      </c>
      <c r="R203" s="230">
        <f t="shared" si="123"/>
        <v>560448</v>
      </c>
      <c r="S203" s="230">
        <f t="shared" si="124"/>
        <v>587136</v>
      </c>
      <c r="T203" s="429">
        <f t="shared" si="125"/>
        <v>8</v>
      </c>
      <c r="U203" s="429">
        <f t="shared" si="126"/>
        <v>0</v>
      </c>
      <c r="V203" s="430">
        <f t="array" ref="V203">MAX((IF(MNU_CODIGO_ALIMENTO_ENTREGA=CONCATENATE($E203,"_","S_"),MNU_GRAMAJE_REQUERIDO_TIPOB,"")))</f>
        <v>40</v>
      </c>
      <c r="W203" s="397">
        <f t="shared" si="127"/>
        <v>103</v>
      </c>
      <c r="X203" s="397">
        <f t="shared" si="128"/>
        <v>0</v>
      </c>
      <c r="Y203" s="397">
        <f t="shared" si="129"/>
        <v>824</v>
      </c>
      <c r="Z203" s="454">
        <f t="shared" si="130"/>
        <v>252</v>
      </c>
      <c r="AA203" s="454">
        <f t="shared" si="131"/>
        <v>12.297600000000001</v>
      </c>
      <c r="AB203" s="454">
        <f t="shared" si="132"/>
        <v>0.21672403199999998</v>
      </c>
      <c r="AC203" s="454">
        <f t="shared" si="133"/>
        <v>265</v>
      </c>
      <c r="AD203" s="231">
        <f t="shared" si="134"/>
        <v>207648</v>
      </c>
      <c r="AE203" s="231">
        <f t="shared" si="135"/>
        <v>218360</v>
      </c>
      <c r="AF203" s="427">
        <f t="shared" si="136"/>
        <v>8</v>
      </c>
      <c r="AG203" s="427">
        <f t="shared" si="137"/>
        <v>0</v>
      </c>
      <c r="AH203" s="428">
        <f t="array" ref="AH203">MAX((IF(MNU_CODIGO_ALIMENTO_ENTREGA=CONCATENATE($E203,"_","S_"),MNU_GRAMAJE_REQUERIDO_TIPOC,"")))</f>
        <v>40</v>
      </c>
      <c r="AI203" s="229">
        <f t="shared" si="138"/>
        <v>1214</v>
      </c>
      <c r="AJ203" s="229">
        <f t="shared" si="139"/>
        <v>0</v>
      </c>
      <c r="AK203" s="229">
        <f t="shared" si="140"/>
        <v>9712</v>
      </c>
      <c r="AL203" s="454">
        <f t="shared" si="141"/>
        <v>252</v>
      </c>
      <c r="AM203" s="454">
        <f t="shared" si="142"/>
        <v>12.297600000000001</v>
      </c>
      <c r="AN203" s="454">
        <f t="shared" si="143"/>
        <v>0.21672403199999998</v>
      </c>
      <c r="AO203" s="454">
        <f t="shared" si="144"/>
        <v>265</v>
      </c>
      <c r="AP203" s="454">
        <f t="shared" si="145"/>
        <v>2447424</v>
      </c>
      <c r="AQ203" s="230">
        <f t="shared" si="146"/>
        <v>2573680</v>
      </c>
      <c r="AR203" s="397">
        <f t="shared" si="147"/>
        <v>3215520</v>
      </c>
      <c r="AS203" s="397">
        <f t="shared" si="148"/>
        <v>3379176</v>
      </c>
    </row>
    <row r="204" spans="1:45" ht="15.75">
      <c r="A204" s="228">
        <v>15</v>
      </c>
      <c r="B204" s="228" t="str">
        <f t="shared" si="112"/>
        <v>FRUTA_15</v>
      </c>
      <c r="C204" s="338" t="str">
        <f t="shared" si="113"/>
        <v>42_15</v>
      </c>
      <c r="D204" s="398" t="s">
        <v>1</v>
      </c>
      <c r="E204" s="228">
        <v>42</v>
      </c>
      <c r="F204" s="332" t="s">
        <v>61</v>
      </c>
      <c r="G204" s="228" t="s">
        <v>9</v>
      </c>
      <c r="H204" s="427">
        <f t="shared" si="114"/>
        <v>36</v>
      </c>
      <c r="I204" s="427">
        <f t="shared" si="115"/>
        <v>8</v>
      </c>
      <c r="J204" s="428">
        <f t="array" ref="J204">MAX((IF(MNU_CODIGO_ALIMENTO_ENTREGA=CONCATENATE($E204,"_","S_"),MNU_GRAMAJE_REQUERIDO_TIPOA,"")))</f>
        <v>100</v>
      </c>
      <c r="K204" s="229">
        <f t="shared" si="116"/>
        <v>556</v>
      </c>
      <c r="L204" s="229">
        <f t="shared" si="117"/>
        <v>0</v>
      </c>
      <c r="M204" s="229">
        <f t="shared" si="118"/>
        <v>20016</v>
      </c>
      <c r="N204" s="454">
        <f t="shared" si="119"/>
        <v>194</v>
      </c>
      <c r="O204" s="454">
        <f t="shared" si="120"/>
        <v>9.4672000000000001</v>
      </c>
      <c r="P204" s="454">
        <f t="shared" si="121"/>
        <v>0.16684310399999999</v>
      </c>
      <c r="Q204" s="454">
        <f t="shared" si="122"/>
        <v>204</v>
      </c>
      <c r="R204" s="230">
        <f t="shared" si="123"/>
        <v>3883104</v>
      </c>
      <c r="S204" s="230">
        <f t="shared" si="124"/>
        <v>4083264</v>
      </c>
      <c r="T204" s="429">
        <f t="shared" si="125"/>
        <v>19</v>
      </c>
      <c r="U204" s="429">
        <f t="shared" si="126"/>
        <v>8</v>
      </c>
      <c r="V204" s="430">
        <f t="array" ref="V204">MAX((IF(MNU_CODIGO_ALIMENTO_ENTREGA=CONCATENATE($E204,"_","S_"),MNU_GRAMAJE_REQUERIDO_TIPOB,"")))</f>
        <v>100</v>
      </c>
      <c r="W204" s="397">
        <f t="shared" si="127"/>
        <v>103</v>
      </c>
      <c r="X204" s="397">
        <f t="shared" si="128"/>
        <v>0</v>
      </c>
      <c r="Y204" s="397">
        <f t="shared" si="129"/>
        <v>1957</v>
      </c>
      <c r="Z204" s="454">
        <f t="shared" si="130"/>
        <v>194</v>
      </c>
      <c r="AA204" s="454">
        <f t="shared" si="131"/>
        <v>9.4672000000000001</v>
      </c>
      <c r="AB204" s="454">
        <f t="shared" si="132"/>
        <v>0.16684310399999999</v>
      </c>
      <c r="AC204" s="454">
        <f t="shared" si="133"/>
        <v>204</v>
      </c>
      <c r="AD204" s="231">
        <f t="shared" si="134"/>
        <v>379658</v>
      </c>
      <c r="AE204" s="231">
        <f t="shared" si="135"/>
        <v>399228</v>
      </c>
      <c r="AF204" s="427">
        <f t="shared" si="136"/>
        <v>19</v>
      </c>
      <c r="AG204" s="427">
        <f t="shared" si="137"/>
        <v>8</v>
      </c>
      <c r="AH204" s="428">
        <f t="array" ref="AH204">MAX((IF(MNU_CODIGO_ALIMENTO_ENTREGA=CONCATENATE($E204,"_","S_"),MNU_GRAMAJE_REQUERIDO_TIPOC,"")))</f>
        <v>100</v>
      </c>
      <c r="AI204" s="229">
        <f t="shared" si="138"/>
        <v>1214</v>
      </c>
      <c r="AJ204" s="229">
        <f t="shared" si="139"/>
        <v>0</v>
      </c>
      <c r="AK204" s="229">
        <f t="shared" si="140"/>
        <v>23066</v>
      </c>
      <c r="AL204" s="454">
        <f t="shared" si="141"/>
        <v>194</v>
      </c>
      <c r="AM204" s="454">
        <f t="shared" si="142"/>
        <v>9.4672000000000001</v>
      </c>
      <c r="AN204" s="454">
        <f t="shared" si="143"/>
        <v>0.16684310399999999</v>
      </c>
      <c r="AO204" s="454">
        <f t="shared" si="144"/>
        <v>204</v>
      </c>
      <c r="AP204" s="454">
        <f t="shared" si="145"/>
        <v>4474804</v>
      </c>
      <c r="AQ204" s="230">
        <f t="shared" si="146"/>
        <v>4705464</v>
      </c>
      <c r="AR204" s="397">
        <f t="shared" si="147"/>
        <v>8737566</v>
      </c>
      <c r="AS204" s="397">
        <f t="shared" si="148"/>
        <v>9187956</v>
      </c>
    </row>
    <row r="205" spans="1:45" ht="15.75">
      <c r="A205" s="228">
        <v>15</v>
      </c>
      <c r="B205" s="228" t="str">
        <f t="shared" si="112"/>
        <v>FRUTA_15</v>
      </c>
      <c r="C205" s="338" t="str">
        <f t="shared" si="113"/>
        <v>43_15</v>
      </c>
      <c r="D205" s="398" t="s">
        <v>1</v>
      </c>
      <c r="E205" s="228">
        <v>43</v>
      </c>
      <c r="F205" s="332" t="s">
        <v>62</v>
      </c>
      <c r="G205" s="228" t="s">
        <v>9</v>
      </c>
      <c r="H205" s="427">
        <f t="shared" si="114"/>
        <v>29</v>
      </c>
      <c r="I205" s="427">
        <f t="shared" si="115"/>
        <v>6</v>
      </c>
      <c r="J205" s="428">
        <f t="array" ref="J205">MAX((IF(MNU_CODIGO_ALIMENTO_ENTREGA=CONCATENATE($E205,"_","S_"),MNU_GRAMAJE_REQUERIDO_TIPOA,"")))</f>
        <v>100</v>
      </c>
      <c r="K205" s="229">
        <f t="shared" si="116"/>
        <v>556</v>
      </c>
      <c r="L205" s="229">
        <f t="shared" si="117"/>
        <v>0</v>
      </c>
      <c r="M205" s="229">
        <f t="shared" si="118"/>
        <v>16124</v>
      </c>
      <c r="N205" s="454">
        <f t="shared" si="119"/>
        <v>170</v>
      </c>
      <c r="O205" s="454">
        <f t="shared" si="120"/>
        <v>8.2959999999999994</v>
      </c>
      <c r="P205" s="454">
        <f t="shared" si="121"/>
        <v>0.14620272000000001</v>
      </c>
      <c r="Q205" s="454">
        <f t="shared" si="122"/>
        <v>178</v>
      </c>
      <c r="R205" s="230">
        <f t="shared" si="123"/>
        <v>2741080</v>
      </c>
      <c r="S205" s="230">
        <f t="shared" si="124"/>
        <v>2870072</v>
      </c>
      <c r="T205" s="429">
        <f t="shared" si="125"/>
        <v>23</v>
      </c>
      <c r="U205" s="429">
        <f t="shared" si="126"/>
        <v>1</v>
      </c>
      <c r="V205" s="430">
        <f t="array" ref="V205">MAX((IF(MNU_CODIGO_ALIMENTO_ENTREGA=CONCATENATE($E205,"_","S_"),MNU_GRAMAJE_REQUERIDO_TIPOB,"")))</f>
        <v>100</v>
      </c>
      <c r="W205" s="397">
        <f t="shared" si="127"/>
        <v>103</v>
      </c>
      <c r="X205" s="397">
        <f t="shared" si="128"/>
        <v>0</v>
      </c>
      <c r="Y205" s="397">
        <f t="shared" si="129"/>
        <v>2369</v>
      </c>
      <c r="Z205" s="454">
        <f t="shared" si="130"/>
        <v>170</v>
      </c>
      <c r="AA205" s="454">
        <f t="shared" si="131"/>
        <v>8.2959999999999994</v>
      </c>
      <c r="AB205" s="454">
        <f t="shared" si="132"/>
        <v>0.14620272000000001</v>
      </c>
      <c r="AC205" s="454">
        <f t="shared" si="133"/>
        <v>178</v>
      </c>
      <c r="AD205" s="231">
        <f t="shared" si="134"/>
        <v>402730</v>
      </c>
      <c r="AE205" s="231">
        <f t="shared" si="135"/>
        <v>421682</v>
      </c>
      <c r="AF205" s="427">
        <f t="shared" si="136"/>
        <v>23</v>
      </c>
      <c r="AG205" s="427">
        <f t="shared" si="137"/>
        <v>1</v>
      </c>
      <c r="AH205" s="428">
        <f t="array" ref="AH205">MAX((IF(MNU_CODIGO_ALIMENTO_ENTREGA=CONCATENATE($E205,"_","S_"),MNU_GRAMAJE_REQUERIDO_TIPOC,"")))</f>
        <v>100</v>
      </c>
      <c r="AI205" s="229">
        <f t="shared" si="138"/>
        <v>1214</v>
      </c>
      <c r="AJ205" s="229">
        <f t="shared" si="139"/>
        <v>0</v>
      </c>
      <c r="AK205" s="229">
        <f t="shared" si="140"/>
        <v>27922</v>
      </c>
      <c r="AL205" s="454">
        <f t="shared" si="141"/>
        <v>170</v>
      </c>
      <c r="AM205" s="454">
        <f t="shared" si="142"/>
        <v>8.2959999999999994</v>
      </c>
      <c r="AN205" s="454">
        <f t="shared" si="143"/>
        <v>0.14620272000000001</v>
      </c>
      <c r="AO205" s="454">
        <f t="shared" si="144"/>
        <v>178</v>
      </c>
      <c r="AP205" s="454">
        <f t="shared" si="145"/>
        <v>4746740</v>
      </c>
      <c r="AQ205" s="230">
        <f t="shared" si="146"/>
        <v>4970116</v>
      </c>
      <c r="AR205" s="397">
        <f t="shared" si="147"/>
        <v>7890550</v>
      </c>
      <c r="AS205" s="397">
        <f t="shared" si="148"/>
        <v>8261870</v>
      </c>
    </row>
    <row r="206" spans="1:45" ht="15.75">
      <c r="A206" s="228">
        <v>15</v>
      </c>
      <c r="B206" s="228" t="str">
        <f t="shared" si="112"/>
        <v>FRUTA_15</v>
      </c>
      <c r="C206" s="338" t="str">
        <f t="shared" si="113"/>
        <v>46_15</v>
      </c>
      <c r="D206" s="398" t="s">
        <v>1</v>
      </c>
      <c r="E206" s="228">
        <v>46</v>
      </c>
      <c r="F206" s="332" t="s">
        <v>64</v>
      </c>
      <c r="G206" s="228" t="s">
        <v>9</v>
      </c>
      <c r="H206" s="427">
        <f t="shared" si="114"/>
        <v>29</v>
      </c>
      <c r="I206" s="427">
        <f t="shared" si="115"/>
        <v>4</v>
      </c>
      <c r="J206" s="428">
        <f t="array" ref="J206">MAX((IF(MNU_CODIGO_ALIMENTO_ENTREGA=CONCATENATE($E206,"_","S_"),MNU_GRAMAJE_REQUERIDO_TIPOA,"")))</f>
        <v>100</v>
      </c>
      <c r="K206" s="229">
        <f t="shared" si="116"/>
        <v>556</v>
      </c>
      <c r="L206" s="229">
        <f t="shared" si="117"/>
        <v>0</v>
      </c>
      <c r="M206" s="229">
        <f t="shared" si="118"/>
        <v>16124</v>
      </c>
      <c r="N206" s="454">
        <f t="shared" si="119"/>
        <v>398</v>
      </c>
      <c r="O206" s="454">
        <f t="shared" si="120"/>
        <v>19.4224</v>
      </c>
      <c r="P206" s="454">
        <f t="shared" si="121"/>
        <v>0.34228636800000001</v>
      </c>
      <c r="Q206" s="454">
        <f t="shared" si="122"/>
        <v>418</v>
      </c>
      <c r="R206" s="230">
        <f t="shared" si="123"/>
        <v>6417352</v>
      </c>
      <c r="S206" s="230">
        <f t="shared" si="124"/>
        <v>6739832</v>
      </c>
      <c r="T206" s="429">
        <f t="shared" si="125"/>
        <v>24</v>
      </c>
      <c r="U206" s="429">
        <f t="shared" si="126"/>
        <v>3</v>
      </c>
      <c r="V206" s="430">
        <f t="array" ref="V206">MAX((IF(MNU_CODIGO_ALIMENTO_ENTREGA=CONCATENATE($E206,"_","S_"),MNU_GRAMAJE_REQUERIDO_TIPOB,"")))</f>
        <v>100</v>
      </c>
      <c r="W206" s="397">
        <f t="shared" si="127"/>
        <v>103</v>
      </c>
      <c r="X206" s="397">
        <f t="shared" si="128"/>
        <v>0</v>
      </c>
      <c r="Y206" s="397">
        <f t="shared" si="129"/>
        <v>2472</v>
      </c>
      <c r="Z206" s="454">
        <f t="shared" si="130"/>
        <v>398</v>
      </c>
      <c r="AA206" s="454">
        <f t="shared" si="131"/>
        <v>19.4224</v>
      </c>
      <c r="AB206" s="454">
        <f t="shared" si="132"/>
        <v>0.34228636800000001</v>
      </c>
      <c r="AC206" s="454">
        <f t="shared" si="133"/>
        <v>418</v>
      </c>
      <c r="AD206" s="231">
        <f t="shared" si="134"/>
        <v>983856</v>
      </c>
      <c r="AE206" s="231">
        <f t="shared" si="135"/>
        <v>1033296</v>
      </c>
      <c r="AF206" s="427">
        <f t="shared" si="136"/>
        <v>24</v>
      </c>
      <c r="AG206" s="427">
        <f t="shared" si="137"/>
        <v>3</v>
      </c>
      <c r="AH206" s="428">
        <f t="array" ref="AH206">MAX((IF(MNU_CODIGO_ALIMENTO_ENTREGA=CONCATENATE($E206,"_","S_"),MNU_GRAMAJE_REQUERIDO_TIPOC,"")))</f>
        <v>100</v>
      </c>
      <c r="AI206" s="229">
        <f t="shared" si="138"/>
        <v>1214</v>
      </c>
      <c r="AJ206" s="229">
        <f t="shared" si="139"/>
        <v>0</v>
      </c>
      <c r="AK206" s="229">
        <f t="shared" si="140"/>
        <v>29136</v>
      </c>
      <c r="AL206" s="454">
        <f t="shared" si="141"/>
        <v>398</v>
      </c>
      <c r="AM206" s="454">
        <f t="shared" si="142"/>
        <v>19.4224</v>
      </c>
      <c r="AN206" s="454">
        <f t="shared" si="143"/>
        <v>0.34228636800000001</v>
      </c>
      <c r="AO206" s="454">
        <f t="shared" si="144"/>
        <v>418</v>
      </c>
      <c r="AP206" s="454">
        <f t="shared" si="145"/>
        <v>11596128</v>
      </c>
      <c r="AQ206" s="230">
        <f t="shared" si="146"/>
        <v>12178848</v>
      </c>
      <c r="AR206" s="397">
        <f t="shared" si="147"/>
        <v>18997336</v>
      </c>
      <c r="AS206" s="397">
        <f t="shared" si="148"/>
        <v>19951976</v>
      </c>
    </row>
    <row r="207" spans="1:45" ht="15.75">
      <c r="A207" s="228">
        <v>15</v>
      </c>
      <c r="B207" s="228" t="str">
        <f t="shared" si="112"/>
        <v>FRUTA_15</v>
      </c>
      <c r="C207" s="338" t="str">
        <f t="shared" si="113"/>
        <v>58_15</v>
      </c>
      <c r="D207" s="398" t="s">
        <v>1</v>
      </c>
      <c r="E207" s="258">
        <v>58</v>
      </c>
      <c r="F207" s="328" t="s">
        <v>67</v>
      </c>
      <c r="G207" s="228" t="s">
        <v>9</v>
      </c>
      <c r="H207" s="427">
        <f t="shared" si="114"/>
        <v>28</v>
      </c>
      <c r="I207" s="427">
        <f t="shared" si="115"/>
        <v>5</v>
      </c>
      <c r="J207" s="428">
        <f t="array" ref="J207">MAX((IF(MNU_CODIGO_ALIMENTO_ENTREGA=CONCATENATE($E207,"_","S_"),MNU_GRAMAJE_REQUERIDO_TIPOA,"")))</f>
        <v>100</v>
      </c>
      <c r="K207" s="229">
        <f t="shared" si="116"/>
        <v>556</v>
      </c>
      <c r="L207" s="229">
        <f t="shared" si="117"/>
        <v>0</v>
      </c>
      <c r="M207" s="229">
        <f t="shared" si="118"/>
        <v>15568</v>
      </c>
      <c r="N207" s="454">
        <f t="shared" si="119"/>
        <v>154</v>
      </c>
      <c r="O207" s="454">
        <f t="shared" si="120"/>
        <v>7.515200000000001</v>
      </c>
      <c r="P207" s="454">
        <f t="shared" si="121"/>
        <v>0.13244246400000001</v>
      </c>
      <c r="Q207" s="454">
        <f t="shared" si="122"/>
        <v>162</v>
      </c>
      <c r="R207" s="230">
        <f t="shared" si="123"/>
        <v>2397472</v>
      </c>
      <c r="S207" s="230">
        <f t="shared" si="124"/>
        <v>2522016</v>
      </c>
      <c r="T207" s="429">
        <f t="shared" si="125"/>
        <v>23</v>
      </c>
      <c r="U207" s="429">
        <f t="shared" si="126"/>
        <v>3</v>
      </c>
      <c r="V207" s="430">
        <f t="array" ref="V207">MAX((IF(MNU_CODIGO_ALIMENTO_ENTREGA=CONCATENATE($E207,"_","S_"),MNU_GRAMAJE_REQUERIDO_TIPOB,"")))</f>
        <v>100</v>
      </c>
      <c r="W207" s="397">
        <f t="shared" si="127"/>
        <v>103</v>
      </c>
      <c r="X207" s="397">
        <f t="shared" si="128"/>
        <v>0</v>
      </c>
      <c r="Y207" s="397">
        <f t="shared" si="129"/>
        <v>2369</v>
      </c>
      <c r="Z207" s="454">
        <f t="shared" si="130"/>
        <v>154</v>
      </c>
      <c r="AA207" s="454">
        <f t="shared" si="131"/>
        <v>7.515200000000001</v>
      </c>
      <c r="AB207" s="454">
        <f t="shared" si="132"/>
        <v>0.13244246400000001</v>
      </c>
      <c r="AC207" s="454">
        <f t="shared" si="133"/>
        <v>162</v>
      </c>
      <c r="AD207" s="231">
        <f t="shared" si="134"/>
        <v>364826</v>
      </c>
      <c r="AE207" s="231">
        <f t="shared" si="135"/>
        <v>383778</v>
      </c>
      <c r="AF207" s="427">
        <f t="shared" si="136"/>
        <v>23</v>
      </c>
      <c r="AG207" s="427">
        <f t="shared" si="137"/>
        <v>3</v>
      </c>
      <c r="AH207" s="428">
        <f t="array" ref="AH207">MAX((IF(MNU_CODIGO_ALIMENTO_ENTREGA=CONCATENATE($E207,"_","S_"),MNU_GRAMAJE_REQUERIDO_TIPOC,"")))</f>
        <v>100</v>
      </c>
      <c r="AI207" s="229">
        <f t="shared" si="138"/>
        <v>1214</v>
      </c>
      <c r="AJ207" s="229">
        <f t="shared" si="139"/>
        <v>0</v>
      </c>
      <c r="AK207" s="229">
        <f t="shared" si="140"/>
        <v>27922</v>
      </c>
      <c r="AL207" s="454">
        <f t="shared" si="141"/>
        <v>154</v>
      </c>
      <c r="AM207" s="454">
        <f t="shared" si="142"/>
        <v>7.515200000000001</v>
      </c>
      <c r="AN207" s="454">
        <f t="shared" si="143"/>
        <v>0.13244246400000001</v>
      </c>
      <c r="AO207" s="454">
        <f t="shared" si="144"/>
        <v>162</v>
      </c>
      <c r="AP207" s="454">
        <f t="shared" si="145"/>
        <v>4299988</v>
      </c>
      <c r="AQ207" s="230">
        <f t="shared" si="146"/>
        <v>4523364</v>
      </c>
      <c r="AR207" s="397">
        <f t="shared" si="147"/>
        <v>7062286</v>
      </c>
      <c r="AS207" s="397">
        <f t="shared" si="148"/>
        <v>7429158</v>
      </c>
    </row>
    <row r="208" spans="1:45" ht="15.75">
      <c r="A208" s="228">
        <v>15</v>
      </c>
      <c r="B208" s="228" t="str">
        <f t="shared" si="112"/>
        <v>FRUTA_15</v>
      </c>
      <c r="C208" s="338" t="str">
        <f t="shared" si="113"/>
        <v>59_15</v>
      </c>
      <c r="D208" s="398" t="s">
        <v>1</v>
      </c>
      <c r="E208" s="228">
        <v>59</v>
      </c>
      <c r="F208" s="332" t="s">
        <v>99</v>
      </c>
      <c r="G208" s="228" t="s">
        <v>9</v>
      </c>
      <c r="H208" s="427">
        <f t="shared" si="114"/>
        <v>0</v>
      </c>
      <c r="I208" s="427">
        <f t="shared" si="115"/>
        <v>0</v>
      </c>
      <c r="J208" s="428">
        <f t="array" ref="J208">MAX((IF(MNU_CODIGO_ALIMENTO_ENTREGA=CONCATENATE($E208,"_","S_"),MNU_GRAMAJE_REQUERIDO_TIPOA,"")))</f>
        <v>0</v>
      </c>
      <c r="K208" s="229">
        <f t="shared" si="116"/>
        <v>556</v>
      </c>
      <c r="L208" s="229">
        <f t="shared" si="117"/>
        <v>0</v>
      </c>
      <c r="M208" s="229">
        <f t="shared" si="118"/>
        <v>0</v>
      </c>
      <c r="N208" s="454">
        <f t="shared" si="119"/>
        <v>0</v>
      </c>
      <c r="O208" s="454">
        <f t="shared" si="120"/>
        <v>0</v>
      </c>
      <c r="P208" s="454">
        <f t="shared" si="121"/>
        <v>0</v>
      </c>
      <c r="Q208" s="454">
        <f t="shared" si="122"/>
        <v>0</v>
      </c>
      <c r="R208" s="230">
        <f t="shared" si="123"/>
        <v>0</v>
      </c>
      <c r="S208" s="230">
        <f t="shared" si="124"/>
        <v>0</v>
      </c>
      <c r="T208" s="429">
        <f t="shared" si="125"/>
        <v>11</v>
      </c>
      <c r="U208" s="429">
        <f t="shared" si="126"/>
        <v>0</v>
      </c>
      <c r="V208" s="430">
        <f t="array" ref="V208">MAX((IF(MNU_CODIGO_ALIMENTO_ENTREGA=CONCATENATE($E208,"_","S_"),MNU_GRAMAJE_REQUERIDO_TIPOB,"")))</f>
        <v>100</v>
      </c>
      <c r="W208" s="397">
        <f t="shared" si="127"/>
        <v>103</v>
      </c>
      <c r="X208" s="397">
        <f t="shared" si="128"/>
        <v>0</v>
      </c>
      <c r="Y208" s="397">
        <f t="shared" si="129"/>
        <v>1133</v>
      </c>
      <c r="Z208" s="454">
        <f t="shared" si="130"/>
        <v>286</v>
      </c>
      <c r="AA208" s="454">
        <f t="shared" si="131"/>
        <v>13.956800000000001</v>
      </c>
      <c r="AB208" s="454">
        <f t="shared" si="132"/>
        <v>0.24596457599999999</v>
      </c>
      <c r="AC208" s="454">
        <f t="shared" si="133"/>
        <v>300</v>
      </c>
      <c r="AD208" s="231">
        <f t="shared" si="134"/>
        <v>324038</v>
      </c>
      <c r="AE208" s="231">
        <f t="shared" si="135"/>
        <v>339900</v>
      </c>
      <c r="AF208" s="427">
        <f t="shared" si="136"/>
        <v>11</v>
      </c>
      <c r="AG208" s="427">
        <f t="shared" si="137"/>
        <v>0</v>
      </c>
      <c r="AH208" s="428">
        <f t="array" ref="AH208">MAX((IF(MNU_CODIGO_ALIMENTO_ENTREGA=CONCATENATE($E208,"_","S_"),MNU_GRAMAJE_REQUERIDO_TIPOC,"")))</f>
        <v>100</v>
      </c>
      <c r="AI208" s="229">
        <f t="shared" si="138"/>
        <v>1214</v>
      </c>
      <c r="AJ208" s="229">
        <f t="shared" si="139"/>
        <v>0</v>
      </c>
      <c r="AK208" s="229">
        <f t="shared" si="140"/>
        <v>13354</v>
      </c>
      <c r="AL208" s="454">
        <f t="shared" si="141"/>
        <v>286</v>
      </c>
      <c r="AM208" s="454">
        <f t="shared" si="142"/>
        <v>13.956800000000001</v>
      </c>
      <c r="AN208" s="454">
        <f t="shared" si="143"/>
        <v>0.24596457599999999</v>
      </c>
      <c r="AO208" s="454">
        <f t="shared" si="144"/>
        <v>300</v>
      </c>
      <c r="AP208" s="454">
        <f t="shared" si="145"/>
        <v>3819244</v>
      </c>
      <c r="AQ208" s="230">
        <f t="shared" si="146"/>
        <v>4006200</v>
      </c>
      <c r="AR208" s="397">
        <f t="shared" si="147"/>
        <v>4143282</v>
      </c>
      <c r="AS208" s="397">
        <f t="shared" si="148"/>
        <v>4346100</v>
      </c>
    </row>
    <row r="209" spans="1:45" ht="15.75">
      <c r="A209" s="228">
        <v>15</v>
      </c>
      <c r="B209" s="228" t="str">
        <f t="shared" si="112"/>
        <v>FRUTA_15</v>
      </c>
      <c r="C209" s="338" t="str">
        <f t="shared" si="113"/>
        <v>69_15</v>
      </c>
      <c r="D209" s="398" t="s">
        <v>1</v>
      </c>
      <c r="E209" s="228">
        <v>69</v>
      </c>
      <c r="F209" s="332" t="s">
        <v>70</v>
      </c>
      <c r="G209" s="228" t="s">
        <v>9</v>
      </c>
      <c r="H209" s="427">
        <f t="shared" si="114"/>
        <v>18</v>
      </c>
      <c r="I209" s="427">
        <f t="shared" si="115"/>
        <v>2</v>
      </c>
      <c r="J209" s="428">
        <f t="array" ref="J209">MAX((IF(MNU_CODIGO_ALIMENTO_ENTREGA=CONCATENATE($E209,"_","S_"),MNU_GRAMAJE_REQUERIDO_TIPOA,"")))</f>
        <v>100</v>
      </c>
      <c r="K209" s="229">
        <f t="shared" si="116"/>
        <v>556</v>
      </c>
      <c r="L209" s="229">
        <f t="shared" si="117"/>
        <v>0</v>
      </c>
      <c r="M209" s="229">
        <f t="shared" si="118"/>
        <v>10008</v>
      </c>
      <c r="N209" s="454">
        <f t="shared" si="119"/>
        <v>305</v>
      </c>
      <c r="O209" s="454">
        <f t="shared" si="120"/>
        <v>14.884</v>
      </c>
      <c r="P209" s="454">
        <f t="shared" si="121"/>
        <v>0.26230488000000002</v>
      </c>
      <c r="Q209" s="454">
        <f t="shared" si="122"/>
        <v>320</v>
      </c>
      <c r="R209" s="230">
        <f t="shared" si="123"/>
        <v>3052440</v>
      </c>
      <c r="S209" s="230">
        <f t="shared" si="124"/>
        <v>3202560</v>
      </c>
      <c r="T209" s="429">
        <f t="shared" si="125"/>
        <v>12</v>
      </c>
      <c r="U209" s="429">
        <f t="shared" si="126"/>
        <v>2</v>
      </c>
      <c r="V209" s="430">
        <f t="array" ref="V209">MAX((IF(MNU_CODIGO_ALIMENTO_ENTREGA=CONCATENATE($E209,"_","S_"),MNU_GRAMAJE_REQUERIDO_TIPOB,"")))</f>
        <v>100</v>
      </c>
      <c r="W209" s="397">
        <f t="shared" si="127"/>
        <v>103</v>
      </c>
      <c r="X209" s="397">
        <f t="shared" si="128"/>
        <v>0</v>
      </c>
      <c r="Y209" s="397">
        <f t="shared" si="129"/>
        <v>1236</v>
      </c>
      <c r="Z209" s="454">
        <f t="shared" si="130"/>
        <v>305</v>
      </c>
      <c r="AA209" s="454">
        <f t="shared" si="131"/>
        <v>14.884</v>
      </c>
      <c r="AB209" s="454">
        <f t="shared" si="132"/>
        <v>0.26230488000000002</v>
      </c>
      <c r="AC209" s="454">
        <f t="shared" si="133"/>
        <v>320</v>
      </c>
      <c r="AD209" s="231">
        <f t="shared" si="134"/>
        <v>376980</v>
      </c>
      <c r="AE209" s="231">
        <f t="shared" si="135"/>
        <v>395520</v>
      </c>
      <c r="AF209" s="427">
        <f t="shared" si="136"/>
        <v>12</v>
      </c>
      <c r="AG209" s="427">
        <f t="shared" si="137"/>
        <v>2</v>
      </c>
      <c r="AH209" s="428">
        <f t="array" ref="AH209">MAX((IF(MNU_CODIGO_ALIMENTO_ENTREGA=CONCATENATE($E209,"_","S_"),MNU_GRAMAJE_REQUERIDO_TIPOC,"")))</f>
        <v>100</v>
      </c>
      <c r="AI209" s="229">
        <f t="shared" si="138"/>
        <v>1214</v>
      </c>
      <c r="AJ209" s="229">
        <f t="shared" si="139"/>
        <v>0</v>
      </c>
      <c r="AK209" s="229">
        <f t="shared" si="140"/>
        <v>14568</v>
      </c>
      <c r="AL209" s="454">
        <f t="shared" si="141"/>
        <v>305</v>
      </c>
      <c r="AM209" s="454">
        <f t="shared" si="142"/>
        <v>14.884</v>
      </c>
      <c r="AN209" s="454">
        <f t="shared" si="143"/>
        <v>0.26230488000000002</v>
      </c>
      <c r="AO209" s="454">
        <f t="shared" si="144"/>
        <v>320</v>
      </c>
      <c r="AP209" s="454">
        <f t="shared" si="145"/>
        <v>4443240</v>
      </c>
      <c r="AQ209" s="230">
        <f t="shared" si="146"/>
        <v>4661760</v>
      </c>
      <c r="AR209" s="397">
        <f t="shared" si="147"/>
        <v>7872660</v>
      </c>
      <c r="AS209" s="397">
        <f t="shared" si="148"/>
        <v>8259840</v>
      </c>
    </row>
    <row r="210" spans="1:45" ht="15.75">
      <c r="A210" s="228">
        <v>15</v>
      </c>
      <c r="B210" s="228" t="str">
        <f t="shared" si="112"/>
        <v>FRUTA_15</v>
      </c>
      <c r="C210" s="338" t="str">
        <f t="shared" si="113"/>
        <v>70_15</v>
      </c>
      <c r="D210" s="398" t="s">
        <v>1</v>
      </c>
      <c r="E210" s="228">
        <v>70</v>
      </c>
      <c r="F210" s="332" t="s">
        <v>71</v>
      </c>
      <c r="G210" s="228" t="s">
        <v>9</v>
      </c>
      <c r="H210" s="427">
        <f t="shared" si="114"/>
        <v>0</v>
      </c>
      <c r="I210" s="427">
        <f t="shared" si="115"/>
        <v>0</v>
      </c>
      <c r="J210" s="428">
        <f t="array" ref="J210">MAX((IF(MNU_CODIGO_ALIMENTO_ENTREGA=CONCATENATE($E210,"_","S_"),MNU_GRAMAJE_REQUERIDO_TIPOA,"")))</f>
        <v>0</v>
      </c>
      <c r="K210" s="229">
        <f t="shared" si="116"/>
        <v>556</v>
      </c>
      <c r="L210" s="229">
        <f t="shared" si="117"/>
        <v>0</v>
      </c>
      <c r="M210" s="229">
        <f t="shared" si="118"/>
        <v>0</v>
      </c>
      <c r="N210" s="454">
        <f t="shared" si="119"/>
        <v>0</v>
      </c>
      <c r="O210" s="454">
        <f t="shared" si="120"/>
        <v>0</v>
      </c>
      <c r="P210" s="454">
        <f t="shared" si="121"/>
        <v>0</v>
      </c>
      <c r="Q210" s="454">
        <f t="shared" si="122"/>
        <v>0</v>
      </c>
      <c r="R210" s="230">
        <f t="shared" si="123"/>
        <v>0</v>
      </c>
      <c r="S210" s="230">
        <f t="shared" si="124"/>
        <v>0</v>
      </c>
      <c r="T210" s="429">
        <f t="shared" si="125"/>
        <v>8</v>
      </c>
      <c r="U210" s="429">
        <f t="shared" si="126"/>
        <v>4</v>
      </c>
      <c r="V210" s="430">
        <f t="array" ref="V210">MAX((IF(MNU_CODIGO_ALIMENTO_ENTREGA=CONCATENATE($E210,"_","S_"),MNU_GRAMAJE_REQUERIDO_TIPOB,"")))</f>
        <v>100</v>
      </c>
      <c r="W210" s="397">
        <f t="shared" si="127"/>
        <v>103</v>
      </c>
      <c r="X210" s="397">
        <f t="shared" si="128"/>
        <v>0</v>
      </c>
      <c r="Y210" s="397">
        <f t="shared" si="129"/>
        <v>824</v>
      </c>
      <c r="Z210" s="454">
        <f t="shared" si="130"/>
        <v>434</v>
      </c>
      <c r="AA210" s="454">
        <f t="shared" si="131"/>
        <v>21.179200000000002</v>
      </c>
      <c r="AB210" s="454">
        <f t="shared" si="132"/>
        <v>0.37324694399999997</v>
      </c>
      <c r="AC210" s="454">
        <f t="shared" si="133"/>
        <v>456</v>
      </c>
      <c r="AD210" s="231">
        <f t="shared" si="134"/>
        <v>357616</v>
      </c>
      <c r="AE210" s="231">
        <f t="shared" si="135"/>
        <v>375744</v>
      </c>
      <c r="AF210" s="427">
        <f t="shared" si="136"/>
        <v>8</v>
      </c>
      <c r="AG210" s="427">
        <f t="shared" si="137"/>
        <v>4</v>
      </c>
      <c r="AH210" s="428">
        <f t="array" ref="AH210">MAX((IF(MNU_CODIGO_ALIMENTO_ENTREGA=CONCATENATE($E210,"_","S_"),MNU_GRAMAJE_REQUERIDO_TIPOC,"")))</f>
        <v>100</v>
      </c>
      <c r="AI210" s="229">
        <f t="shared" si="138"/>
        <v>1214</v>
      </c>
      <c r="AJ210" s="229">
        <f t="shared" si="139"/>
        <v>0</v>
      </c>
      <c r="AK210" s="229">
        <f t="shared" si="140"/>
        <v>9712</v>
      </c>
      <c r="AL210" s="454">
        <f t="shared" si="141"/>
        <v>434</v>
      </c>
      <c r="AM210" s="454">
        <f t="shared" si="142"/>
        <v>21.179200000000002</v>
      </c>
      <c r="AN210" s="454">
        <f t="shared" si="143"/>
        <v>0.37324694399999997</v>
      </c>
      <c r="AO210" s="454">
        <f t="shared" si="144"/>
        <v>456</v>
      </c>
      <c r="AP210" s="454">
        <f t="shared" si="145"/>
        <v>4215008</v>
      </c>
      <c r="AQ210" s="230">
        <f t="shared" si="146"/>
        <v>4428672</v>
      </c>
      <c r="AR210" s="397">
        <f t="shared" si="147"/>
        <v>4572624</v>
      </c>
      <c r="AS210" s="397">
        <f t="shared" si="148"/>
        <v>4804416</v>
      </c>
    </row>
    <row r="211" spans="1:45" ht="15.75">
      <c r="A211" s="228">
        <v>16</v>
      </c>
      <c r="B211" s="228" t="str">
        <f t="shared" si="112"/>
        <v>FRUTA_16</v>
      </c>
      <c r="C211" s="338" t="str">
        <f t="shared" si="113"/>
        <v>7_16</v>
      </c>
      <c r="D211" s="398" t="s">
        <v>1</v>
      </c>
      <c r="E211" s="228">
        <v>7</v>
      </c>
      <c r="F211" s="332" t="s">
        <v>57</v>
      </c>
      <c r="G211" s="228" t="s">
        <v>9</v>
      </c>
      <c r="H211" s="427">
        <f t="shared" si="114"/>
        <v>31</v>
      </c>
      <c r="I211" s="427">
        <f t="shared" si="115"/>
        <v>0</v>
      </c>
      <c r="J211" s="428">
        <f t="array" ref="J211">MAX((IF(MNU_CODIGO_ALIMENTO_ENTREGA=CONCATENATE($E211,"_","S_"),MNU_GRAMAJE_REQUERIDO_TIPOA,"")))</f>
        <v>100</v>
      </c>
      <c r="K211" s="229">
        <f t="shared" si="116"/>
        <v>927</v>
      </c>
      <c r="L211" s="229">
        <f t="shared" si="117"/>
        <v>0</v>
      </c>
      <c r="M211" s="229">
        <f t="shared" si="118"/>
        <v>28737</v>
      </c>
      <c r="N211" s="454">
        <f t="shared" si="119"/>
        <v>107</v>
      </c>
      <c r="O211" s="454">
        <f t="shared" si="120"/>
        <v>5.2216000000000005</v>
      </c>
      <c r="P211" s="454">
        <f t="shared" si="121"/>
        <v>9.2021712000000006E-2</v>
      </c>
      <c r="Q211" s="454">
        <f t="shared" si="122"/>
        <v>112</v>
      </c>
      <c r="R211" s="230">
        <f t="shared" si="123"/>
        <v>3074859</v>
      </c>
      <c r="S211" s="230">
        <f t="shared" si="124"/>
        <v>3218544</v>
      </c>
      <c r="T211" s="429">
        <f t="shared" si="125"/>
        <v>11</v>
      </c>
      <c r="U211" s="429">
        <f t="shared" si="126"/>
        <v>0</v>
      </c>
      <c r="V211" s="430">
        <f t="array" ref="V211">MAX((IF(MNU_CODIGO_ALIMENTO_ENTREGA=CONCATENATE($E211,"_","S_"),MNU_GRAMAJE_REQUERIDO_TIPOB,"")))</f>
        <v>100</v>
      </c>
      <c r="W211" s="397">
        <f t="shared" si="127"/>
        <v>1639</v>
      </c>
      <c r="X211" s="397">
        <f t="shared" si="128"/>
        <v>0</v>
      </c>
      <c r="Y211" s="397">
        <f t="shared" si="129"/>
        <v>18029</v>
      </c>
      <c r="Z211" s="454">
        <f t="shared" si="130"/>
        <v>107</v>
      </c>
      <c r="AA211" s="454">
        <f t="shared" si="131"/>
        <v>5.2216000000000005</v>
      </c>
      <c r="AB211" s="454">
        <f t="shared" si="132"/>
        <v>9.2021712000000006E-2</v>
      </c>
      <c r="AC211" s="454">
        <f t="shared" si="133"/>
        <v>112</v>
      </c>
      <c r="AD211" s="231">
        <f t="shared" si="134"/>
        <v>1929103</v>
      </c>
      <c r="AE211" s="231">
        <f t="shared" si="135"/>
        <v>2019248</v>
      </c>
      <c r="AF211" s="427">
        <f t="shared" si="136"/>
        <v>11</v>
      </c>
      <c r="AG211" s="427">
        <f t="shared" si="137"/>
        <v>0</v>
      </c>
      <c r="AH211" s="428">
        <f t="array" ref="AH211">MAX((IF(MNU_CODIGO_ALIMENTO_ENTREGA=CONCATENATE($E211,"_","S_"),MNU_GRAMAJE_REQUERIDO_TIPOC,"")))</f>
        <v>100</v>
      </c>
      <c r="AI211" s="229">
        <f t="shared" si="138"/>
        <v>2118</v>
      </c>
      <c r="AJ211" s="229">
        <f t="shared" si="139"/>
        <v>0</v>
      </c>
      <c r="AK211" s="229">
        <f t="shared" si="140"/>
        <v>23298</v>
      </c>
      <c r="AL211" s="454">
        <f t="shared" si="141"/>
        <v>107</v>
      </c>
      <c r="AM211" s="454">
        <f t="shared" si="142"/>
        <v>5.2216000000000005</v>
      </c>
      <c r="AN211" s="454">
        <f t="shared" si="143"/>
        <v>9.2021712000000006E-2</v>
      </c>
      <c r="AO211" s="454">
        <f t="shared" si="144"/>
        <v>112</v>
      </c>
      <c r="AP211" s="454">
        <f t="shared" si="145"/>
        <v>2492886</v>
      </c>
      <c r="AQ211" s="230">
        <f t="shared" si="146"/>
        <v>2609376</v>
      </c>
      <c r="AR211" s="397">
        <f t="shared" si="147"/>
        <v>7496848</v>
      </c>
      <c r="AS211" s="397">
        <f t="shared" si="148"/>
        <v>7847168</v>
      </c>
    </row>
    <row r="212" spans="1:45" ht="15.75">
      <c r="A212" s="228">
        <v>16</v>
      </c>
      <c r="B212" s="228" t="str">
        <f t="shared" si="112"/>
        <v>FRUTA_16</v>
      </c>
      <c r="C212" s="338" t="str">
        <f t="shared" si="113"/>
        <v>8_16</v>
      </c>
      <c r="D212" s="398" t="s">
        <v>1</v>
      </c>
      <c r="E212" s="228">
        <v>8</v>
      </c>
      <c r="F212" s="332" t="s">
        <v>55</v>
      </c>
      <c r="G212" s="228" t="s">
        <v>9</v>
      </c>
      <c r="H212" s="427">
        <f t="shared" si="114"/>
        <v>11</v>
      </c>
      <c r="I212" s="427">
        <f t="shared" si="115"/>
        <v>0</v>
      </c>
      <c r="J212" s="428">
        <f t="array" ref="J212">MAX((IF(MNU_CODIGO_ALIMENTO_ENTREGA=CONCATENATE($E212,"_","S_"),MNU_GRAMAJE_REQUERIDO_TIPOA,"")))</f>
        <v>100</v>
      </c>
      <c r="K212" s="229">
        <f t="shared" si="116"/>
        <v>927</v>
      </c>
      <c r="L212" s="229">
        <f t="shared" si="117"/>
        <v>0</v>
      </c>
      <c r="M212" s="229">
        <f t="shared" si="118"/>
        <v>10197</v>
      </c>
      <c r="N212" s="454">
        <f t="shared" si="119"/>
        <v>134</v>
      </c>
      <c r="O212" s="454">
        <f t="shared" si="120"/>
        <v>6.539200000000001</v>
      </c>
      <c r="P212" s="454">
        <f t="shared" si="121"/>
        <v>0.115242144</v>
      </c>
      <c r="Q212" s="454">
        <f t="shared" si="122"/>
        <v>141</v>
      </c>
      <c r="R212" s="230">
        <f t="shared" si="123"/>
        <v>1366398</v>
      </c>
      <c r="S212" s="230">
        <f t="shared" si="124"/>
        <v>1437777</v>
      </c>
      <c r="T212" s="429">
        <f t="shared" si="125"/>
        <v>11</v>
      </c>
      <c r="U212" s="429">
        <f t="shared" si="126"/>
        <v>0</v>
      </c>
      <c r="V212" s="430">
        <f t="array" ref="V212">MAX((IF(MNU_CODIGO_ALIMENTO_ENTREGA=CONCATENATE($E212,"_","S_"),MNU_GRAMAJE_REQUERIDO_TIPOB,"")))</f>
        <v>100</v>
      </c>
      <c r="W212" s="397">
        <f t="shared" si="127"/>
        <v>1639</v>
      </c>
      <c r="X212" s="397">
        <f t="shared" si="128"/>
        <v>0</v>
      </c>
      <c r="Y212" s="397">
        <f t="shared" si="129"/>
        <v>18029</v>
      </c>
      <c r="Z212" s="454">
        <f t="shared" si="130"/>
        <v>134</v>
      </c>
      <c r="AA212" s="454">
        <f t="shared" si="131"/>
        <v>6.539200000000001</v>
      </c>
      <c r="AB212" s="454">
        <f t="shared" si="132"/>
        <v>0.115242144</v>
      </c>
      <c r="AC212" s="454">
        <f t="shared" si="133"/>
        <v>141</v>
      </c>
      <c r="AD212" s="231">
        <f t="shared" si="134"/>
        <v>2415886</v>
      </c>
      <c r="AE212" s="231">
        <f t="shared" si="135"/>
        <v>2542089</v>
      </c>
      <c r="AF212" s="427">
        <f t="shared" si="136"/>
        <v>11</v>
      </c>
      <c r="AG212" s="427">
        <f t="shared" si="137"/>
        <v>0</v>
      </c>
      <c r="AH212" s="428">
        <f t="array" ref="AH212">MAX((IF(MNU_CODIGO_ALIMENTO_ENTREGA=CONCATENATE($E212,"_","S_"),MNU_GRAMAJE_REQUERIDO_TIPOC,"")))</f>
        <v>100</v>
      </c>
      <c r="AI212" s="229">
        <f t="shared" si="138"/>
        <v>2118</v>
      </c>
      <c r="AJ212" s="229">
        <f t="shared" si="139"/>
        <v>0</v>
      </c>
      <c r="AK212" s="229">
        <f t="shared" si="140"/>
        <v>23298</v>
      </c>
      <c r="AL212" s="454">
        <f t="shared" si="141"/>
        <v>134</v>
      </c>
      <c r="AM212" s="454">
        <f t="shared" si="142"/>
        <v>6.539200000000001</v>
      </c>
      <c r="AN212" s="454">
        <f t="shared" si="143"/>
        <v>0.115242144</v>
      </c>
      <c r="AO212" s="454">
        <f t="shared" si="144"/>
        <v>141</v>
      </c>
      <c r="AP212" s="454">
        <f t="shared" si="145"/>
        <v>3121932</v>
      </c>
      <c r="AQ212" s="230">
        <f t="shared" si="146"/>
        <v>3285018</v>
      </c>
      <c r="AR212" s="397">
        <f t="shared" si="147"/>
        <v>6904216</v>
      </c>
      <c r="AS212" s="397">
        <f t="shared" si="148"/>
        <v>7264884</v>
      </c>
    </row>
    <row r="213" spans="1:45" ht="15.75">
      <c r="A213" s="228">
        <v>16</v>
      </c>
      <c r="B213" s="228" t="str">
        <f t="shared" si="112"/>
        <v>FRUTA_16</v>
      </c>
      <c r="C213" s="338" t="str">
        <f t="shared" si="113"/>
        <v>17_16</v>
      </c>
      <c r="D213" s="398" t="s">
        <v>1</v>
      </c>
      <c r="E213" s="228">
        <v>17</v>
      </c>
      <c r="F213" s="332" t="s">
        <v>53</v>
      </c>
      <c r="G213" s="228" t="s">
        <v>9</v>
      </c>
      <c r="H213" s="427">
        <f t="shared" si="114"/>
        <v>0</v>
      </c>
      <c r="I213" s="427">
        <f t="shared" si="115"/>
        <v>0</v>
      </c>
      <c r="J213" s="428">
        <f t="array" ref="J213">MAX((IF(MNU_CODIGO_ALIMENTO_ENTREGA=CONCATENATE($E213,"_","S_"),MNU_GRAMAJE_REQUERIDO_TIPOA,"")))</f>
        <v>0</v>
      </c>
      <c r="K213" s="229">
        <f t="shared" si="116"/>
        <v>927</v>
      </c>
      <c r="L213" s="229">
        <f t="shared" si="117"/>
        <v>0</v>
      </c>
      <c r="M213" s="229">
        <f t="shared" si="118"/>
        <v>0</v>
      </c>
      <c r="N213" s="454">
        <f t="shared" si="119"/>
        <v>0</v>
      </c>
      <c r="O213" s="454">
        <f t="shared" si="120"/>
        <v>0</v>
      </c>
      <c r="P213" s="454">
        <f t="shared" si="121"/>
        <v>0</v>
      </c>
      <c r="Q213" s="454">
        <f t="shared" si="122"/>
        <v>0</v>
      </c>
      <c r="R213" s="230">
        <f t="shared" si="123"/>
        <v>0</v>
      </c>
      <c r="S213" s="230">
        <f t="shared" si="124"/>
        <v>0</v>
      </c>
      <c r="T213" s="429">
        <f t="shared" si="125"/>
        <v>23</v>
      </c>
      <c r="U213" s="429">
        <f t="shared" si="126"/>
        <v>4</v>
      </c>
      <c r="V213" s="430">
        <f t="array" ref="V213">MAX((IF(MNU_CODIGO_ALIMENTO_ENTREGA=CONCATENATE($E213,"_","S_"),MNU_GRAMAJE_REQUERIDO_TIPOB,"")))</f>
        <v>100</v>
      </c>
      <c r="W213" s="397">
        <f t="shared" si="127"/>
        <v>1639</v>
      </c>
      <c r="X213" s="397">
        <f t="shared" si="128"/>
        <v>0</v>
      </c>
      <c r="Y213" s="397">
        <f t="shared" si="129"/>
        <v>37697</v>
      </c>
      <c r="Z213" s="454">
        <f t="shared" si="130"/>
        <v>226</v>
      </c>
      <c r="AA213" s="454">
        <f t="shared" si="131"/>
        <v>11.0288</v>
      </c>
      <c r="AB213" s="454">
        <f t="shared" si="132"/>
        <v>0.19436361600000002</v>
      </c>
      <c r="AC213" s="454">
        <f t="shared" si="133"/>
        <v>237</v>
      </c>
      <c r="AD213" s="231">
        <f t="shared" si="134"/>
        <v>8519522</v>
      </c>
      <c r="AE213" s="231">
        <f t="shared" si="135"/>
        <v>8934189</v>
      </c>
      <c r="AF213" s="427">
        <f t="shared" si="136"/>
        <v>23</v>
      </c>
      <c r="AG213" s="427">
        <f t="shared" si="137"/>
        <v>4</v>
      </c>
      <c r="AH213" s="428">
        <f t="array" ref="AH213">MAX((IF(MNU_CODIGO_ALIMENTO_ENTREGA=CONCATENATE($E213,"_","S_"),MNU_GRAMAJE_REQUERIDO_TIPOC,"")))</f>
        <v>100</v>
      </c>
      <c r="AI213" s="229">
        <f t="shared" si="138"/>
        <v>2118</v>
      </c>
      <c r="AJ213" s="229">
        <f t="shared" si="139"/>
        <v>0</v>
      </c>
      <c r="AK213" s="229">
        <f t="shared" si="140"/>
        <v>48714</v>
      </c>
      <c r="AL213" s="454">
        <f t="shared" si="141"/>
        <v>226</v>
      </c>
      <c r="AM213" s="454">
        <f t="shared" si="142"/>
        <v>11.0288</v>
      </c>
      <c r="AN213" s="454">
        <f t="shared" si="143"/>
        <v>0.19436361600000002</v>
      </c>
      <c r="AO213" s="454">
        <f t="shared" si="144"/>
        <v>237</v>
      </c>
      <c r="AP213" s="454">
        <f t="shared" si="145"/>
        <v>11009364</v>
      </c>
      <c r="AQ213" s="230">
        <f t="shared" si="146"/>
        <v>11545218</v>
      </c>
      <c r="AR213" s="397">
        <f t="shared" si="147"/>
        <v>19528886</v>
      </c>
      <c r="AS213" s="397">
        <f t="shared" si="148"/>
        <v>20479407</v>
      </c>
    </row>
    <row r="214" spans="1:45" ht="15.75">
      <c r="A214" s="228">
        <v>16</v>
      </c>
      <c r="B214" s="228" t="str">
        <f t="shared" si="112"/>
        <v>FRUTA_16</v>
      </c>
      <c r="C214" s="338" t="str">
        <f t="shared" si="113"/>
        <v>22_16</v>
      </c>
      <c r="D214" s="398" t="s">
        <v>1</v>
      </c>
      <c r="E214" s="228">
        <v>22</v>
      </c>
      <c r="F214" s="332" t="s">
        <v>51</v>
      </c>
      <c r="G214" s="228" t="s">
        <v>9</v>
      </c>
      <c r="H214" s="427">
        <f t="shared" si="114"/>
        <v>0</v>
      </c>
      <c r="I214" s="427">
        <f t="shared" si="115"/>
        <v>0</v>
      </c>
      <c r="J214" s="428">
        <f t="array" ref="J214">MAX((IF(MNU_CODIGO_ALIMENTO_ENTREGA=CONCATENATE($E214,"_","S_"),MNU_GRAMAJE_REQUERIDO_TIPOA,"")))</f>
        <v>0</v>
      </c>
      <c r="K214" s="229">
        <f t="shared" si="116"/>
        <v>927</v>
      </c>
      <c r="L214" s="229">
        <f t="shared" si="117"/>
        <v>0</v>
      </c>
      <c r="M214" s="229">
        <f t="shared" si="118"/>
        <v>0</v>
      </c>
      <c r="N214" s="454">
        <f t="shared" si="119"/>
        <v>0</v>
      </c>
      <c r="O214" s="454">
        <f t="shared" si="120"/>
        <v>0</v>
      </c>
      <c r="P214" s="454">
        <f t="shared" si="121"/>
        <v>0</v>
      </c>
      <c r="Q214" s="454">
        <f t="shared" si="122"/>
        <v>0</v>
      </c>
      <c r="R214" s="230">
        <f t="shared" si="123"/>
        <v>0</v>
      </c>
      <c r="S214" s="230">
        <f t="shared" si="124"/>
        <v>0</v>
      </c>
      <c r="T214" s="429">
        <f t="shared" si="125"/>
        <v>23</v>
      </c>
      <c r="U214" s="429">
        <f t="shared" si="126"/>
        <v>4</v>
      </c>
      <c r="V214" s="430">
        <f t="array" ref="V214">MAX((IF(MNU_CODIGO_ALIMENTO_ENTREGA=CONCATENATE($E214,"_","S_"),MNU_GRAMAJE_REQUERIDO_TIPOB,"")))</f>
        <v>100</v>
      </c>
      <c r="W214" s="397">
        <f t="shared" si="127"/>
        <v>1639</v>
      </c>
      <c r="X214" s="397">
        <f t="shared" si="128"/>
        <v>0</v>
      </c>
      <c r="Y214" s="397">
        <f t="shared" si="129"/>
        <v>37697</v>
      </c>
      <c r="Z214" s="454">
        <f t="shared" si="130"/>
        <v>525</v>
      </c>
      <c r="AA214" s="454">
        <f t="shared" si="131"/>
        <v>25.62</v>
      </c>
      <c r="AB214" s="454">
        <f t="shared" si="132"/>
        <v>0.45150840000000003</v>
      </c>
      <c r="AC214" s="454">
        <f t="shared" si="133"/>
        <v>551</v>
      </c>
      <c r="AD214" s="231">
        <f t="shared" si="134"/>
        <v>19790925</v>
      </c>
      <c r="AE214" s="231">
        <f t="shared" si="135"/>
        <v>20771047</v>
      </c>
      <c r="AF214" s="427">
        <f t="shared" si="136"/>
        <v>23</v>
      </c>
      <c r="AG214" s="427">
        <f t="shared" si="137"/>
        <v>4</v>
      </c>
      <c r="AH214" s="428">
        <f t="array" ref="AH214">MAX((IF(MNU_CODIGO_ALIMENTO_ENTREGA=CONCATENATE($E214,"_","S_"),MNU_GRAMAJE_REQUERIDO_TIPOC,"")))</f>
        <v>100</v>
      </c>
      <c r="AI214" s="229">
        <f t="shared" si="138"/>
        <v>2118</v>
      </c>
      <c r="AJ214" s="229">
        <f t="shared" si="139"/>
        <v>0</v>
      </c>
      <c r="AK214" s="229">
        <f t="shared" si="140"/>
        <v>48714</v>
      </c>
      <c r="AL214" s="454">
        <f t="shared" si="141"/>
        <v>525</v>
      </c>
      <c r="AM214" s="454">
        <f t="shared" si="142"/>
        <v>25.62</v>
      </c>
      <c r="AN214" s="454">
        <f t="shared" si="143"/>
        <v>0.45150840000000003</v>
      </c>
      <c r="AO214" s="454">
        <f t="shared" si="144"/>
        <v>551</v>
      </c>
      <c r="AP214" s="454">
        <f t="shared" si="145"/>
        <v>25574850</v>
      </c>
      <c r="AQ214" s="230">
        <f t="shared" si="146"/>
        <v>26841414</v>
      </c>
      <c r="AR214" s="397">
        <f t="shared" si="147"/>
        <v>45365775</v>
      </c>
      <c r="AS214" s="397">
        <f t="shared" si="148"/>
        <v>47612461</v>
      </c>
    </row>
    <row r="215" spans="1:45" ht="15.75">
      <c r="A215" s="228">
        <v>16</v>
      </c>
      <c r="B215" s="228" t="str">
        <f t="shared" si="112"/>
        <v>FRUTA_16</v>
      </c>
      <c r="C215" s="338" t="str">
        <f t="shared" si="113"/>
        <v>33_16</v>
      </c>
      <c r="D215" s="398" t="s">
        <v>1</v>
      </c>
      <c r="E215" s="228">
        <v>33</v>
      </c>
      <c r="F215" s="332" t="s">
        <v>59</v>
      </c>
      <c r="G215" s="228" t="s">
        <v>48</v>
      </c>
      <c r="H215" s="427">
        <f t="shared" si="114"/>
        <v>29</v>
      </c>
      <c r="I215" s="427">
        <f t="shared" si="115"/>
        <v>5</v>
      </c>
      <c r="J215" s="428">
        <v>1</v>
      </c>
      <c r="K215" s="229">
        <f t="shared" si="116"/>
        <v>927</v>
      </c>
      <c r="L215" s="229">
        <f t="shared" si="117"/>
        <v>0</v>
      </c>
      <c r="M215" s="229">
        <f t="shared" si="118"/>
        <v>26883</v>
      </c>
      <c r="N215" s="454">
        <f t="shared" si="119"/>
        <v>270</v>
      </c>
      <c r="O215" s="454">
        <f t="shared" si="120"/>
        <v>13.176000000000002</v>
      </c>
      <c r="P215" s="454">
        <f t="shared" si="121"/>
        <v>0.23220432000000002</v>
      </c>
      <c r="Q215" s="454">
        <f t="shared" si="122"/>
        <v>283</v>
      </c>
      <c r="R215" s="230">
        <f t="shared" si="123"/>
        <v>7258410</v>
      </c>
      <c r="S215" s="230">
        <f t="shared" si="124"/>
        <v>7607889</v>
      </c>
      <c r="T215" s="429">
        <f t="shared" si="125"/>
        <v>23</v>
      </c>
      <c r="U215" s="429">
        <f t="shared" si="126"/>
        <v>2</v>
      </c>
      <c r="V215" s="430">
        <v>1</v>
      </c>
      <c r="W215" s="397">
        <f t="shared" si="127"/>
        <v>1639</v>
      </c>
      <c r="X215" s="397">
        <f t="shared" si="128"/>
        <v>0</v>
      </c>
      <c r="Y215" s="397">
        <f t="shared" si="129"/>
        <v>37697</v>
      </c>
      <c r="Z215" s="454">
        <f t="shared" si="130"/>
        <v>270</v>
      </c>
      <c r="AA215" s="454">
        <f t="shared" si="131"/>
        <v>13.176000000000002</v>
      </c>
      <c r="AB215" s="454">
        <f t="shared" si="132"/>
        <v>0.23220432000000002</v>
      </c>
      <c r="AC215" s="454">
        <f t="shared" si="133"/>
        <v>283</v>
      </c>
      <c r="AD215" s="231">
        <f t="shared" si="134"/>
        <v>10178190</v>
      </c>
      <c r="AE215" s="231">
        <f t="shared" si="135"/>
        <v>10668251</v>
      </c>
      <c r="AF215" s="427">
        <f t="shared" si="136"/>
        <v>23</v>
      </c>
      <c r="AG215" s="427">
        <f t="shared" si="137"/>
        <v>2</v>
      </c>
      <c r="AH215" s="428">
        <v>1</v>
      </c>
      <c r="AI215" s="229">
        <f t="shared" si="138"/>
        <v>2118</v>
      </c>
      <c r="AJ215" s="229">
        <f t="shared" si="139"/>
        <v>0</v>
      </c>
      <c r="AK215" s="229">
        <f t="shared" si="140"/>
        <v>48714</v>
      </c>
      <c r="AL215" s="454">
        <f t="shared" si="141"/>
        <v>270</v>
      </c>
      <c r="AM215" s="454">
        <f t="shared" si="142"/>
        <v>13.176000000000002</v>
      </c>
      <c r="AN215" s="454">
        <f t="shared" si="143"/>
        <v>0.23220432000000002</v>
      </c>
      <c r="AO215" s="454">
        <f t="shared" si="144"/>
        <v>283</v>
      </c>
      <c r="AP215" s="454">
        <f t="shared" si="145"/>
        <v>13152780</v>
      </c>
      <c r="AQ215" s="230">
        <f t="shared" si="146"/>
        <v>13786062</v>
      </c>
      <c r="AR215" s="397">
        <f t="shared" si="147"/>
        <v>30589380</v>
      </c>
      <c r="AS215" s="397">
        <f t="shared" si="148"/>
        <v>32062202</v>
      </c>
    </row>
    <row r="216" spans="1:45" ht="15.75">
      <c r="A216" s="228">
        <v>16</v>
      </c>
      <c r="B216" s="228" t="str">
        <f t="shared" si="112"/>
        <v>FRUTA_16</v>
      </c>
      <c r="C216" s="338" t="str">
        <f t="shared" si="113"/>
        <v>36_16</v>
      </c>
      <c r="D216" s="398" t="s">
        <v>1</v>
      </c>
      <c r="E216" s="228">
        <v>36</v>
      </c>
      <c r="F216" s="332" t="s">
        <v>1340</v>
      </c>
      <c r="G216" s="228" t="s">
        <v>9</v>
      </c>
      <c r="H216" s="427">
        <f t="shared" si="114"/>
        <v>8</v>
      </c>
      <c r="I216" s="427">
        <f t="shared" si="115"/>
        <v>0</v>
      </c>
      <c r="J216" s="428">
        <f t="array" ref="J216">MAX((IF(MNU_CODIGO_ALIMENTO_ENTREGA=CONCATENATE($E216,"_","S_"),MNU_GRAMAJE_REQUERIDO_TIPOA,"")))</f>
        <v>20</v>
      </c>
      <c r="K216" s="229">
        <f t="shared" si="116"/>
        <v>927</v>
      </c>
      <c r="L216" s="229">
        <f t="shared" si="117"/>
        <v>0</v>
      </c>
      <c r="M216" s="229">
        <f t="shared" si="118"/>
        <v>7416</v>
      </c>
      <c r="N216" s="454">
        <f t="shared" si="119"/>
        <v>126</v>
      </c>
      <c r="O216" s="454">
        <f t="shared" si="120"/>
        <v>6.1488000000000005</v>
      </c>
      <c r="P216" s="454">
        <f t="shared" si="121"/>
        <v>0.10836201599999999</v>
      </c>
      <c r="Q216" s="454">
        <f t="shared" si="122"/>
        <v>132</v>
      </c>
      <c r="R216" s="230">
        <f t="shared" si="123"/>
        <v>934416</v>
      </c>
      <c r="S216" s="230">
        <f t="shared" si="124"/>
        <v>978912</v>
      </c>
      <c r="T216" s="429">
        <f t="shared" si="125"/>
        <v>8</v>
      </c>
      <c r="U216" s="429">
        <f t="shared" si="126"/>
        <v>0</v>
      </c>
      <c r="V216" s="430">
        <f t="array" ref="V216">MAX((IF(MNU_CODIGO_ALIMENTO_ENTREGA=CONCATENATE($E216,"_","S_"),MNU_GRAMAJE_REQUERIDO_TIPOB,"")))</f>
        <v>40</v>
      </c>
      <c r="W216" s="397">
        <f t="shared" si="127"/>
        <v>1639</v>
      </c>
      <c r="X216" s="397">
        <f t="shared" si="128"/>
        <v>0</v>
      </c>
      <c r="Y216" s="397">
        <f t="shared" si="129"/>
        <v>13112</v>
      </c>
      <c r="Z216" s="454">
        <f t="shared" si="130"/>
        <v>252</v>
      </c>
      <c r="AA216" s="454">
        <f t="shared" si="131"/>
        <v>12.297600000000001</v>
      </c>
      <c r="AB216" s="454">
        <f t="shared" si="132"/>
        <v>0.21672403199999998</v>
      </c>
      <c r="AC216" s="454">
        <f t="shared" si="133"/>
        <v>265</v>
      </c>
      <c r="AD216" s="231">
        <f t="shared" si="134"/>
        <v>3304224</v>
      </c>
      <c r="AE216" s="231">
        <f t="shared" si="135"/>
        <v>3474680</v>
      </c>
      <c r="AF216" s="427">
        <f t="shared" si="136"/>
        <v>8</v>
      </c>
      <c r="AG216" s="427">
        <f t="shared" si="137"/>
        <v>0</v>
      </c>
      <c r="AH216" s="428">
        <f t="array" ref="AH216">MAX((IF(MNU_CODIGO_ALIMENTO_ENTREGA=CONCATENATE($E216,"_","S_"),MNU_GRAMAJE_REQUERIDO_TIPOC,"")))</f>
        <v>40</v>
      </c>
      <c r="AI216" s="229">
        <f t="shared" si="138"/>
        <v>2118</v>
      </c>
      <c r="AJ216" s="229">
        <f t="shared" si="139"/>
        <v>0</v>
      </c>
      <c r="AK216" s="229">
        <f t="shared" si="140"/>
        <v>16944</v>
      </c>
      <c r="AL216" s="454">
        <f t="shared" si="141"/>
        <v>252</v>
      </c>
      <c r="AM216" s="454">
        <f t="shared" si="142"/>
        <v>12.297600000000001</v>
      </c>
      <c r="AN216" s="454">
        <f t="shared" si="143"/>
        <v>0.21672403199999998</v>
      </c>
      <c r="AO216" s="454">
        <f t="shared" si="144"/>
        <v>265</v>
      </c>
      <c r="AP216" s="454">
        <f t="shared" si="145"/>
        <v>4269888</v>
      </c>
      <c r="AQ216" s="230">
        <f t="shared" si="146"/>
        <v>4490160</v>
      </c>
      <c r="AR216" s="397">
        <f t="shared" si="147"/>
        <v>8508528</v>
      </c>
      <c r="AS216" s="397">
        <f t="shared" si="148"/>
        <v>8943752</v>
      </c>
    </row>
    <row r="217" spans="1:45" ht="15.75">
      <c r="A217" s="228">
        <v>16</v>
      </c>
      <c r="B217" s="228" t="str">
        <f t="shared" si="112"/>
        <v>FRUTA_16</v>
      </c>
      <c r="C217" s="338" t="str">
        <f t="shared" si="113"/>
        <v>42_16</v>
      </c>
      <c r="D217" s="398" t="s">
        <v>1</v>
      </c>
      <c r="E217" s="228">
        <v>42</v>
      </c>
      <c r="F217" s="332" t="s">
        <v>61</v>
      </c>
      <c r="G217" s="228" t="s">
        <v>9</v>
      </c>
      <c r="H217" s="427">
        <f t="shared" si="114"/>
        <v>36</v>
      </c>
      <c r="I217" s="427">
        <f t="shared" si="115"/>
        <v>8</v>
      </c>
      <c r="J217" s="428">
        <f t="array" ref="J217">MAX((IF(MNU_CODIGO_ALIMENTO_ENTREGA=CONCATENATE($E217,"_","S_"),MNU_GRAMAJE_REQUERIDO_TIPOA,"")))</f>
        <v>100</v>
      </c>
      <c r="K217" s="229">
        <f t="shared" si="116"/>
        <v>927</v>
      </c>
      <c r="L217" s="229">
        <f t="shared" si="117"/>
        <v>0</v>
      </c>
      <c r="M217" s="229">
        <f t="shared" si="118"/>
        <v>33372</v>
      </c>
      <c r="N217" s="454">
        <f t="shared" si="119"/>
        <v>194</v>
      </c>
      <c r="O217" s="454">
        <f t="shared" si="120"/>
        <v>9.4672000000000001</v>
      </c>
      <c r="P217" s="454">
        <f t="shared" si="121"/>
        <v>0.16684310399999999</v>
      </c>
      <c r="Q217" s="454">
        <f t="shared" si="122"/>
        <v>204</v>
      </c>
      <c r="R217" s="230">
        <f t="shared" si="123"/>
        <v>6474168</v>
      </c>
      <c r="S217" s="230">
        <f t="shared" si="124"/>
        <v>6807888</v>
      </c>
      <c r="T217" s="429">
        <f t="shared" si="125"/>
        <v>19</v>
      </c>
      <c r="U217" s="429">
        <f t="shared" si="126"/>
        <v>8</v>
      </c>
      <c r="V217" s="430">
        <f t="array" ref="V217">MAX((IF(MNU_CODIGO_ALIMENTO_ENTREGA=CONCATENATE($E217,"_","S_"),MNU_GRAMAJE_REQUERIDO_TIPOB,"")))</f>
        <v>100</v>
      </c>
      <c r="W217" s="397">
        <f t="shared" si="127"/>
        <v>1639</v>
      </c>
      <c r="X217" s="397">
        <f t="shared" si="128"/>
        <v>0</v>
      </c>
      <c r="Y217" s="397">
        <f t="shared" si="129"/>
        <v>31141</v>
      </c>
      <c r="Z217" s="454">
        <f t="shared" si="130"/>
        <v>194</v>
      </c>
      <c r="AA217" s="454">
        <f t="shared" si="131"/>
        <v>9.4672000000000001</v>
      </c>
      <c r="AB217" s="454">
        <f t="shared" si="132"/>
        <v>0.16684310399999999</v>
      </c>
      <c r="AC217" s="454">
        <f t="shared" si="133"/>
        <v>204</v>
      </c>
      <c r="AD217" s="231">
        <f t="shared" si="134"/>
        <v>6041354</v>
      </c>
      <c r="AE217" s="231">
        <f t="shared" si="135"/>
        <v>6352764</v>
      </c>
      <c r="AF217" s="427">
        <f t="shared" si="136"/>
        <v>19</v>
      </c>
      <c r="AG217" s="427">
        <f t="shared" si="137"/>
        <v>8</v>
      </c>
      <c r="AH217" s="428">
        <f t="array" ref="AH217">MAX((IF(MNU_CODIGO_ALIMENTO_ENTREGA=CONCATENATE($E217,"_","S_"),MNU_GRAMAJE_REQUERIDO_TIPOC,"")))</f>
        <v>100</v>
      </c>
      <c r="AI217" s="229">
        <f t="shared" si="138"/>
        <v>2118</v>
      </c>
      <c r="AJ217" s="229">
        <f t="shared" si="139"/>
        <v>0</v>
      </c>
      <c r="AK217" s="229">
        <f t="shared" si="140"/>
        <v>40242</v>
      </c>
      <c r="AL217" s="454">
        <f t="shared" si="141"/>
        <v>194</v>
      </c>
      <c r="AM217" s="454">
        <f t="shared" si="142"/>
        <v>9.4672000000000001</v>
      </c>
      <c r="AN217" s="454">
        <f t="shared" si="143"/>
        <v>0.16684310399999999</v>
      </c>
      <c r="AO217" s="454">
        <f t="shared" si="144"/>
        <v>204</v>
      </c>
      <c r="AP217" s="454">
        <f t="shared" si="145"/>
        <v>7806948</v>
      </c>
      <c r="AQ217" s="230">
        <f t="shared" si="146"/>
        <v>8209368</v>
      </c>
      <c r="AR217" s="397">
        <f t="shared" si="147"/>
        <v>20322470</v>
      </c>
      <c r="AS217" s="397">
        <f t="shared" si="148"/>
        <v>21370020</v>
      </c>
    </row>
    <row r="218" spans="1:45" ht="15.75">
      <c r="A218" s="228">
        <v>16</v>
      </c>
      <c r="B218" s="228" t="str">
        <f t="shared" si="112"/>
        <v>FRUTA_16</v>
      </c>
      <c r="C218" s="338" t="str">
        <f t="shared" si="113"/>
        <v>43_16</v>
      </c>
      <c r="D218" s="398" t="s">
        <v>1</v>
      </c>
      <c r="E218" s="228">
        <v>43</v>
      </c>
      <c r="F218" s="332" t="s">
        <v>62</v>
      </c>
      <c r="G218" s="228" t="s">
        <v>9</v>
      </c>
      <c r="H218" s="427">
        <f t="shared" si="114"/>
        <v>29</v>
      </c>
      <c r="I218" s="427">
        <f t="shared" si="115"/>
        <v>6</v>
      </c>
      <c r="J218" s="428">
        <f t="array" ref="J218">MAX((IF(MNU_CODIGO_ALIMENTO_ENTREGA=CONCATENATE($E218,"_","S_"),MNU_GRAMAJE_REQUERIDO_TIPOA,"")))</f>
        <v>100</v>
      </c>
      <c r="K218" s="229">
        <f t="shared" si="116"/>
        <v>927</v>
      </c>
      <c r="L218" s="229">
        <f t="shared" si="117"/>
        <v>0</v>
      </c>
      <c r="M218" s="229">
        <f t="shared" si="118"/>
        <v>26883</v>
      </c>
      <c r="N218" s="454">
        <f t="shared" si="119"/>
        <v>170</v>
      </c>
      <c r="O218" s="454">
        <f t="shared" si="120"/>
        <v>8.2959999999999994</v>
      </c>
      <c r="P218" s="454">
        <f t="shared" si="121"/>
        <v>0.14620272000000001</v>
      </c>
      <c r="Q218" s="454">
        <f t="shared" si="122"/>
        <v>178</v>
      </c>
      <c r="R218" s="230">
        <f t="shared" si="123"/>
        <v>4570110</v>
      </c>
      <c r="S218" s="230">
        <f t="shared" si="124"/>
        <v>4785174</v>
      </c>
      <c r="T218" s="429">
        <f t="shared" si="125"/>
        <v>23</v>
      </c>
      <c r="U218" s="429">
        <f t="shared" si="126"/>
        <v>1</v>
      </c>
      <c r="V218" s="430">
        <f t="array" ref="V218">MAX((IF(MNU_CODIGO_ALIMENTO_ENTREGA=CONCATENATE($E218,"_","S_"),MNU_GRAMAJE_REQUERIDO_TIPOB,"")))</f>
        <v>100</v>
      </c>
      <c r="W218" s="397">
        <f t="shared" si="127"/>
        <v>1639</v>
      </c>
      <c r="X218" s="397">
        <f t="shared" si="128"/>
        <v>0</v>
      </c>
      <c r="Y218" s="397">
        <f t="shared" si="129"/>
        <v>37697</v>
      </c>
      <c r="Z218" s="454">
        <f t="shared" si="130"/>
        <v>170</v>
      </c>
      <c r="AA218" s="454">
        <f t="shared" si="131"/>
        <v>8.2959999999999994</v>
      </c>
      <c r="AB218" s="454">
        <f t="shared" si="132"/>
        <v>0.14620272000000001</v>
      </c>
      <c r="AC218" s="454">
        <f t="shared" si="133"/>
        <v>178</v>
      </c>
      <c r="AD218" s="231">
        <f t="shared" si="134"/>
        <v>6408490</v>
      </c>
      <c r="AE218" s="231">
        <f t="shared" si="135"/>
        <v>6710066</v>
      </c>
      <c r="AF218" s="427">
        <f t="shared" si="136"/>
        <v>23</v>
      </c>
      <c r="AG218" s="427">
        <f t="shared" si="137"/>
        <v>1</v>
      </c>
      <c r="AH218" s="428">
        <f t="array" ref="AH218">MAX((IF(MNU_CODIGO_ALIMENTO_ENTREGA=CONCATENATE($E218,"_","S_"),MNU_GRAMAJE_REQUERIDO_TIPOC,"")))</f>
        <v>100</v>
      </c>
      <c r="AI218" s="229">
        <f t="shared" si="138"/>
        <v>2118</v>
      </c>
      <c r="AJ218" s="229">
        <f t="shared" si="139"/>
        <v>0</v>
      </c>
      <c r="AK218" s="229">
        <f t="shared" si="140"/>
        <v>48714</v>
      </c>
      <c r="AL218" s="454">
        <f t="shared" si="141"/>
        <v>170</v>
      </c>
      <c r="AM218" s="454">
        <f t="shared" si="142"/>
        <v>8.2959999999999994</v>
      </c>
      <c r="AN218" s="454">
        <f t="shared" si="143"/>
        <v>0.14620272000000001</v>
      </c>
      <c r="AO218" s="454">
        <f t="shared" si="144"/>
        <v>178</v>
      </c>
      <c r="AP218" s="454">
        <f t="shared" si="145"/>
        <v>8281380</v>
      </c>
      <c r="AQ218" s="230">
        <f t="shared" si="146"/>
        <v>8671092</v>
      </c>
      <c r="AR218" s="397">
        <f t="shared" si="147"/>
        <v>19259980</v>
      </c>
      <c r="AS218" s="397">
        <f t="shared" si="148"/>
        <v>20166332</v>
      </c>
    </row>
    <row r="219" spans="1:45" ht="15.75">
      <c r="A219" s="228">
        <v>16</v>
      </c>
      <c r="B219" s="228" t="str">
        <f t="shared" si="112"/>
        <v>FRUTA_16</v>
      </c>
      <c r="C219" s="338" t="str">
        <f t="shared" si="113"/>
        <v>46_16</v>
      </c>
      <c r="D219" s="398" t="s">
        <v>1</v>
      </c>
      <c r="E219" s="228">
        <v>46</v>
      </c>
      <c r="F219" s="332" t="s">
        <v>64</v>
      </c>
      <c r="G219" s="228" t="s">
        <v>9</v>
      </c>
      <c r="H219" s="427">
        <f t="shared" si="114"/>
        <v>29</v>
      </c>
      <c r="I219" s="427">
        <f t="shared" si="115"/>
        <v>4</v>
      </c>
      <c r="J219" s="428">
        <f t="array" ref="J219">MAX((IF(MNU_CODIGO_ALIMENTO_ENTREGA=CONCATENATE($E219,"_","S_"),MNU_GRAMAJE_REQUERIDO_TIPOA,"")))</f>
        <v>100</v>
      </c>
      <c r="K219" s="229">
        <f t="shared" si="116"/>
        <v>927</v>
      </c>
      <c r="L219" s="229">
        <f t="shared" si="117"/>
        <v>0</v>
      </c>
      <c r="M219" s="229">
        <f t="shared" si="118"/>
        <v>26883</v>
      </c>
      <c r="N219" s="454">
        <f t="shared" si="119"/>
        <v>398</v>
      </c>
      <c r="O219" s="454">
        <f t="shared" si="120"/>
        <v>19.4224</v>
      </c>
      <c r="P219" s="454">
        <f t="shared" si="121"/>
        <v>0.34228636800000001</v>
      </c>
      <c r="Q219" s="454">
        <f t="shared" si="122"/>
        <v>418</v>
      </c>
      <c r="R219" s="230">
        <f t="shared" si="123"/>
        <v>10699434</v>
      </c>
      <c r="S219" s="230">
        <f t="shared" si="124"/>
        <v>11237094</v>
      </c>
      <c r="T219" s="429">
        <f t="shared" si="125"/>
        <v>24</v>
      </c>
      <c r="U219" s="429">
        <f t="shared" si="126"/>
        <v>3</v>
      </c>
      <c r="V219" s="430">
        <f t="array" ref="V219">MAX((IF(MNU_CODIGO_ALIMENTO_ENTREGA=CONCATENATE($E219,"_","S_"),MNU_GRAMAJE_REQUERIDO_TIPOB,"")))</f>
        <v>100</v>
      </c>
      <c r="W219" s="397">
        <f t="shared" si="127"/>
        <v>1639</v>
      </c>
      <c r="X219" s="397">
        <f t="shared" si="128"/>
        <v>0</v>
      </c>
      <c r="Y219" s="397">
        <f t="shared" si="129"/>
        <v>39336</v>
      </c>
      <c r="Z219" s="454">
        <f t="shared" si="130"/>
        <v>398</v>
      </c>
      <c r="AA219" s="454">
        <f t="shared" si="131"/>
        <v>19.4224</v>
      </c>
      <c r="AB219" s="454">
        <f t="shared" si="132"/>
        <v>0.34228636800000001</v>
      </c>
      <c r="AC219" s="454">
        <f t="shared" si="133"/>
        <v>418</v>
      </c>
      <c r="AD219" s="231">
        <f t="shared" si="134"/>
        <v>15655728</v>
      </c>
      <c r="AE219" s="231">
        <f t="shared" si="135"/>
        <v>16442448</v>
      </c>
      <c r="AF219" s="427">
        <f t="shared" si="136"/>
        <v>24</v>
      </c>
      <c r="AG219" s="427">
        <f t="shared" si="137"/>
        <v>3</v>
      </c>
      <c r="AH219" s="428">
        <f t="array" ref="AH219">MAX((IF(MNU_CODIGO_ALIMENTO_ENTREGA=CONCATENATE($E219,"_","S_"),MNU_GRAMAJE_REQUERIDO_TIPOC,"")))</f>
        <v>100</v>
      </c>
      <c r="AI219" s="229">
        <f t="shared" si="138"/>
        <v>2118</v>
      </c>
      <c r="AJ219" s="229">
        <f t="shared" si="139"/>
        <v>0</v>
      </c>
      <c r="AK219" s="229">
        <f t="shared" si="140"/>
        <v>50832</v>
      </c>
      <c r="AL219" s="454">
        <f t="shared" si="141"/>
        <v>398</v>
      </c>
      <c r="AM219" s="454">
        <f t="shared" si="142"/>
        <v>19.4224</v>
      </c>
      <c r="AN219" s="454">
        <f t="shared" si="143"/>
        <v>0.34228636800000001</v>
      </c>
      <c r="AO219" s="454">
        <f t="shared" si="144"/>
        <v>418</v>
      </c>
      <c r="AP219" s="454">
        <f t="shared" si="145"/>
        <v>20231136</v>
      </c>
      <c r="AQ219" s="230">
        <f t="shared" si="146"/>
        <v>21247776</v>
      </c>
      <c r="AR219" s="397">
        <f t="shared" si="147"/>
        <v>46586298</v>
      </c>
      <c r="AS219" s="397">
        <f t="shared" si="148"/>
        <v>48927318</v>
      </c>
    </row>
    <row r="220" spans="1:45" ht="15.75">
      <c r="A220" s="228">
        <v>16</v>
      </c>
      <c r="B220" s="228" t="str">
        <f t="shared" si="112"/>
        <v>FRUTA_16</v>
      </c>
      <c r="C220" s="338" t="str">
        <f t="shared" si="113"/>
        <v>58_16</v>
      </c>
      <c r="D220" s="398" t="s">
        <v>1</v>
      </c>
      <c r="E220" s="228">
        <v>58</v>
      </c>
      <c r="F220" s="332" t="s">
        <v>67</v>
      </c>
      <c r="G220" s="228" t="s">
        <v>9</v>
      </c>
      <c r="H220" s="427">
        <f t="shared" si="114"/>
        <v>28</v>
      </c>
      <c r="I220" s="427">
        <f t="shared" si="115"/>
        <v>5</v>
      </c>
      <c r="J220" s="428">
        <f t="array" ref="J220">MAX((IF(MNU_CODIGO_ALIMENTO_ENTREGA=CONCATENATE($E220,"_","S_"),MNU_GRAMAJE_REQUERIDO_TIPOA,"")))</f>
        <v>100</v>
      </c>
      <c r="K220" s="229">
        <f t="shared" si="116"/>
        <v>927</v>
      </c>
      <c r="L220" s="229">
        <f t="shared" si="117"/>
        <v>0</v>
      </c>
      <c r="M220" s="229">
        <f t="shared" si="118"/>
        <v>25956</v>
      </c>
      <c r="N220" s="454">
        <f t="shared" si="119"/>
        <v>154</v>
      </c>
      <c r="O220" s="454">
        <f t="shared" si="120"/>
        <v>7.515200000000001</v>
      </c>
      <c r="P220" s="454">
        <f t="shared" si="121"/>
        <v>0.13244246400000001</v>
      </c>
      <c r="Q220" s="454">
        <f t="shared" si="122"/>
        <v>162</v>
      </c>
      <c r="R220" s="230">
        <f t="shared" si="123"/>
        <v>3997224</v>
      </c>
      <c r="S220" s="230">
        <f t="shared" si="124"/>
        <v>4204872</v>
      </c>
      <c r="T220" s="429">
        <f t="shared" si="125"/>
        <v>23</v>
      </c>
      <c r="U220" s="429">
        <f t="shared" si="126"/>
        <v>3</v>
      </c>
      <c r="V220" s="430">
        <f t="array" ref="V220">MAX((IF(MNU_CODIGO_ALIMENTO_ENTREGA=CONCATENATE($E220,"_","S_"),MNU_GRAMAJE_REQUERIDO_TIPOB,"")))</f>
        <v>100</v>
      </c>
      <c r="W220" s="397">
        <f t="shared" si="127"/>
        <v>1639</v>
      </c>
      <c r="X220" s="397">
        <f t="shared" si="128"/>
        <v>0</v>
      </c>
      <c r="Y220" s="397">
        <f t="shared" si="129"/>
        <v>37697</v>
      </c>
      <c r="Z220" s="454">
        <f t="shared" si="130"/>
        <v>154</v>
      </c>
      <c r="AA220" s="454">
        <f t="shared" si="131"/>
        <v>7.515200000000001</v>
      </c>
      <c r="AB220" s="454">
        <f t="shared" si="132"/>
        <v>0.13244246400000001</v>
      </c>
      <c r="AC220" s="454">
        <f t="shared" si="133"/>
        <v>162</v>
      </c>
      <c r="AD220" s="231">
        <f t="shared" si="134"/>
        <v>5805338</v>
      </c>
      <c r="AE220" s="231">
        <f t="shared" si="135"/>
        <v>6106914</v>
      </c>
      <c r="AF220" s="427">
        <f t="shared" si="136"/>
        <v>23</v>
      </c>
      <c r="AG220" s="427">
        <f t="shared" si="137"/>
        <v>3</v>
      </c>
      <c r="AH220" s="428">
        <f t="array" ref="AH220">MAX((IF(MNU_CODIGO_ALIMENTO_ENTREGA=CONCATENATE($E220,"_","S_"),MNU_GRAMAJE_REQUERIDO_TIPOC,"")))</f>
        <v>100</v>
      </c>
      <c r="AI220" s="229">
        <f t="shared" si="138"/>
        <v>2118</v>
      </c>
      <c r="AJ220" s="229">
        <f t="shared" si="139"/>
        <v>0</v>
      </c>
      <c r="AK220" s="229">
        <f t="shared" si="140"/>
        <v>48714</v>
      </c>
      <c r="AL220" s="454">
        <f t="shared" si="141"/>
        <v>154</v>
      </c>
      <c r="AM220" s="454">
        <f t="shared" si="142"/>
        <v>7.515200000000001</v>
      </c>
      <c r="AN220" s="454">
        <f t="shared" si="143"/>
        <v>0.13244246400000001</v>
      </c>
      <c r="AO220" s="454">
        <f t="shared" si="144"/>
        <v>162</v>
      </c>
      <c r="AP220" s="454">
        <f t="shared" si="145"/>
        <v>7501956</v>
      </c>
      <c r="AQ220" s="230">
        <f t="shared" si="146"/>
        <v>7891668</v>
      </c>
      <c r="AR220" s="397">
        <f t="shared" si="147"/>
        <v>17304518</v>
      </c>
      <c r="AS220" s="397">
        <f t="shared" si="148"/>
        <v>18203454</v>
      </c>
    </row>
    <row r="221" spans="1:45" ht="15.75">
      <c r="A221" s="228">
        <v>16</v>
      </c>
      <c r="B221" s="228" t="str">
        <f t="shared" si="112"/>
        <v>FRUTA_16</v>
      </c>
      <c r="C221" s="338" t="str">
        <f t="shared" si="113"/>
        <v>59_16</v>
      </c>
      <c r="D221" s="398" t="s">
        <v>1</v>
      </c>
      <c r="E221" s="228">
        <v>59</v>
      </c>
      <c r="F221" s="332" t="s">
        <v>99</v>
      </c>
      <c r="G221" s="228" t="s">
        <v>9</v>
      </c>
      <c r="H221" s="427">
        <f t="shared" si="114"/>
        <v>0</v>
      </c>
      <c r="I221" s="427">
        <f t="shared" si="115"/>
        <v>0</v>
      </c>
      <c r="J221" s="428">
        <f t="array" ref="J221">MAX((IF(MNU_CODIGO_ALIMENTO_ENTREGA=CONCATENATE($E221,"_","S_"),MNU_GRAMAJE_REQUERIDO_TIPOA,"")))</f>
        <v>0</v>
      </c>
      <c r="K221" s="229">
        <f t="shared" si="116"/>
        <v>927</v>
      </c>
      <c r="L221" s="229">
        <f t="shared" si="117"/>
        <v>0</v>
      </c>
      <c r="M221" s="229">
        <f t="shared" si="118"/>
        <v>0</v>
      </c>
      <c r="N221" s="454">
        <f t="shared" si="119"/>
        <v>0</v>
      </c>
      <c r="O221" s="454">
        <f t="shared" si="120"/>
        <v>0</v>
      </c>
      <c r="P221" s="454">
        <f t="shared" si="121"/>
        <v>0</v>
      </c>
      <c r="Q221" s="454">
        <f t="shared" si="122"/>
        <v>0</v>
      </c>
      <c r="R221" s="230">
        <f t="shared" si="123"/>
        <v>0</v>
      </c>
      <c r="S221" s="230">
        <f t="shared" si="124"/>
        <v>0</v>
      </c>
      <c r="T221" s="429">
        <f t="shared" si="125"/>
        <v>11</v>
      </c>
      <c r="U221" s="429">
        <f t="shared" si="126"/>
        <v>0</v>
      </c>
      <c r="V221" s="430">
        <f t="array" ref="V221">MAX((IF(MNU_CODIGO_ALIMENTO_ENTREGA=CONCATENATE($E221,"_","S_"),MNU_GRAMAJE_REQUERIDO_TIPOB,"")))</f>
        <v>100</v>
      </c>
      <c r="W221" s="397">
        <f t="shared" si="127"/>
        <v>1639</v>
      </c>
      <c r="X221" s="397">
        <f t="shared" si="128"/>
        <v>0</v>
      </c>
      <c r="Y221" s="397">
        <f t="shared" si="129"/>
        <v>18029</v>
      </c>
      <c r="Z221" s="454">
        <f t="shared" si="130"/>
        <v>286</v>
      </c>
      <c r="AA221" s="454">
        <f t="shared" si="131"/>
        <v>13.956800000000001</v>
      </c>
      <c r="AB221" s="454">
        <f t="shared" si="132"/>
        <v>0.24596457599999999</v>
      </c>
      <c r="AC221" s="454">
        <f t="shared" si="133"/>
        <v>300</v>
      </c>
      <c r="AD221" s="231">
        <f t="shared" si="134"/>
        <v>5156294</v>
      </c>
      <c r="AE221" s="231">
        <f t="shared" si="135"/>
        <v>5408700</v>
      </c>
      <c r="AF221" s="427">
        <f t="shared" si="136"/>
        <v>11</v>
      </c>
      <c r="AG221" s="427">
        <f t="shared" si="137"/>
        <v>0</v>
      </c>
      <c r="AH221" s="428">
        <f t="array" ref="AH221">MAX((IF(MNU_CODIGO_ALIMENTO_ENTREGA=CONCATENATE($E221,"_","S_"),MNU_GRAMAJE_REQUERIDO_TIPOC,"")))</f>
        <v>100</v>
      </c>
      <c r="AI221" s="229">
        <f t="shared" si="138"/>
        <v>2118</v>
      </c>
      <c r="AJ221" s="229">
        <f t="shared" si="139"/>
        <v>0</v>
      </c>
      <c r="AK221" s="229">
        <f t="shared" si="140"/>
        <v>23298</v>
      </c>
      <c r="AL221" s="454">
        <f t="shared" si="141"/>
        <v>286</v>
      </c>
      <c r="AM221" s="454">
        <f t="shared" si="142"/>
        <v>13.956800000000001</v>
      </c>
      <c r="AN221" s="454">
        <f t="shared" si="143"/>
        <v>0.24596457599999999</v>
      </c>
      <c r="AO221" s="454">
        <f t="shared" si="144"/>
        <v>300</v>
      </c>
      <c r="AP221" s="454">
        <f t="shared" si="145"/>
        <v>6663228</v>
      </c>
      <c r="AQ221" s="230">
        <f t="shared" si="146"/>
        <v>6989400</v>
      </c>
      <c r="AR221" s="397">
        <f t="shared" si="147"/>
        <v>11819522</v>
      </c>
      <c r="AS221" s="397">
        <f t="shared" si="148"/>
        <v>12398100</v>
      </c>
    </row>
    <row r="222" spans="1:45" ht="15.75">
      <c r="A222" s="228">
        <v>16</v>
      </c>
      <c r="B222" s="228" t="str">
        <f t="shared" si="112"/>
        <v>FRUTA_16</v>
      </c>
      <c r="C222" s="338" t="str">
        <f t="shared" si="113"/>
        <v>69_16</v>
      </c>
      <c r="D222" s="398" t="s">
        <v>1</v>
      </c>
      <c r="E222" s="228">
        <v>69</v>
      </c>
      <c r="F222" s="332" t="s">
        <v>70</v>
      </c>
      <c r="G222" s="228" t="s">
        <v>9</v>
      </c>
      <c r="H222" s="427">
        <f t="shared" si="114"/>
        <v>18</v>
      </c>
      <c r="I222" s="427">
        <f t="shared" si="115"/>
        <v>2</v>
      </c>
      <c r="J222" s="428">
        <f t="array" ref="J222">MAX((IF(MNU_CODIGO_ALIMENTO_ENTREGA=CONCATENATE($E222,"_","S_"),MNU_GRAMAJE_REQUERIDO_TIPOA,"")))</f>
        <v>100</v>
      </c>
      <c r="K222" s="229">
        <f t="shared" si="116"/>
        <v>927</v>
      </c>
      <c r="L222" s="229">
        <f t="shared" si="117"/>
        <v>0</v>
      </c>
      <c r="M222" s="229">
        <f t="shared" si="118"/>
        <v>16686</v>
      </c>
      <c r="N222" s="454">
        <f t="shared" si="119"/>
        <v>305</v>
      </c>
      <c r="O222" s="454">
        <f t="shared" si="120"/>
        <v>14.884</v>
      </c>
      <c r="P222" s="454">
        <f t="shared" si="121"/>
        <v>0.26230488000000002</v>
      </c>
      <c r="Q222" s="454">
        <f t="shared" si="122"/>
        <v>320</v>
      </c>
      <c r="R222" s="230">
        <f t="shared" si="123"/>
        <v>5089230</v>
      </c>
      <c r="S222" s="230">
        <f t="shared" si="124"/>
        <v>5339520</v>
      </c>
      <c r="T222" s="429">
        <f t="shared" si="125"/>
        <v>12</v>
      </c>
      <c r="U222" s="429">
        <f t="shared" si="126"/>
        <v>2</v>
      </c>
      <c r="V222" s="430">
        <f t="array" ref="V222">MAX((IF(MNU_CODIGO_ALIMENTO_ENTREGA=CONCATENATE($E222,"_","S_"),MNU_GRAMAJE_REQUERIDO_TIPOB,"")))</f>
        <v>100</v>
      </c>
      <c r="W222" s="397">
        <f t="shared" si="127"/>
        <v>1639</v>
      </c>
      <c r="X222" s="397">
        <f t="shared" si="128"/>
        <v>0</v>
      </c>
      <c r="Y222" s="397">
        <f t="shared" si="129"/>
        <v>19668</v>
      </c>
      <c r="Z222" s="454">
        <f t="shared" si="130"/>
        <v>305</v>
      </c>
      <c r="AA222" s="454">
        <f t="shared" si="131"/>
        <v>14.884</v>
      </c>
      <c r="AB222" s="454">
        <f t="shared" si="132"/>
        <v>0.26230488000000002</v>
      </c>
      <c r="AC222" s="454">
        <f t="shared" si="133"/>
        <v>320</v>
      </c>
      <c r="AD222" s="231">
        <f t="shared" si="134"/>
        <v>5998740</v>
      </c>
      <c r="AE222" s="231">
        <f t="shared" si="135"/>
        <v>6293760</v>
      </c>
      <c r="AF222" s="427">
        <f t="shared" si="136"/>
        <v>12</v>
      </c>
      <c r="AG222" s="427">
        <f t="shared" si="137"/>
        <v>2</v>
      </c>
      <c r="AH222" s="428">
        <f t="array" ref="AH222">MAX((IF(MNU_CODIGO_ALIMENTO_ENTREGA=CONCATENATE($E222,"_","S_"),MNU_GRAMAJE_REQUERIDO_TIPOC,"")))</f>
        <v>100</v>
      </c>
      <c r="AI222" s="229">
        <f t="shared" si="138"/>
        <v>2118</v>
      </c>
      <c r="AJ222" s="229">
        <f t="shared" si="139"/>
        <v>0</v>
      </c>
      <c r="AK222" s="229">
        <f t="shared" si="140"/>
        <v>25416</v>
      </c>
      <c r="AL222" s="454">
        <f t="shared" si="141"/>
        <v>305</v>
      </c>
      <c r="AM222" s="454">
        <f t="shared" si="142"/>
        <v>14.884</v>
      </c>
      <c r="AN222" s="454">
        <f t="shared" si="143"/>
        <v>0.26230488000000002</v>
      </c>
      <c r="AO222" s="454">
        <f t="shared" si="144"/>
        <v>320</v>
      </c>
      <c r="AP222" s="454">
        <f t="shared" si="145"/>
        <v>7751880</v>
      </c>
      <c r="AQ222" s="230">
        <f t="shared" si="146"/>
        <v>8133120</v>
      </c>
      <c r="AR222" s="397">
        <f t="shared" si="147"/>
        <v>18839850</v>
      </c>
      <c r="AS222" s="397">
        <f t="shared" si="148"/>
        <v>19766400</v>
      </c>
    </row>
    <row r="223" spans="1:45" ht="15.75">
      <c r="A223" s="228">
        <v>16</v>
      </c>
      <c r="B223" s="228" t="str">
        <f t="shared" si="112"/>
        <v>FRUTA_16</v>
      </c>
      <c r="C223" s="338" t="str">
        <f t="shared" si="113"/>
        <v>70_16</v>
      </c>
      <c r="D223" s="398" t="s">
        <v>1</v>
      </c>
      <c r="E223" s="228">
        <v>70</v>
      </c>
      <c r="F223" s="332" t="s">
        <v>71</v>
      </c>
      <c r="G223" s="228" t="s">
        <v>9</v>
      </c>
      <c r="H223" s="427">
        <f t="shared" si="114"/>
        <v>0</v>
      </c>
      <c r="I223" s="427">
        <f t="shared" si="115"/>
        <v>0</v>
      </c>
      <c r="J223" s="428">
        <f t="array" ref="J223">MAX((IF(MNU_CODIGO_ALIMENTO_ENTREGA=CONCATENATE($E223,"_","S_"),MNU_GRAMAJE_REQUERIDO_TIPOA,"")))</f>
        <v>0</v>
      </c>
      <c r="K223" s="229">
        <f t="shared" si="116"/>
        <v>927</v>
      </c>
      <c r="L223" s="229">
        <f t="shared" si="117"/>
        <v>0</v>
      </c>
      <c r="M223" s="229">
        <f t="shared" si="118"/>
        <v>0</v>
      </c>
      <c r="N223" s="454">
        <f t="shared" si="119"/>
        <v>0</v>
      </c>
      <c r="O223" s="454">
        <f t="shared" si="120"/>
        <v>0</v>
      </c>
      <c r="P223" s="454">
        <f t="shared" si="121"/>
        <v>0</v>
      </c>
      <c r="Q223" s="454">
        <f t="shared" si="122"/>
        <v>0</v>
      </c>
      <c r="R223" s="230">
        <f t="shared" si="123"/>
        <v>0</v>
      </c>
      <c r="S223" s="230">
        <f t="shared" si="124"/>
        <v>0</v>
      </c>
      <c r="T223" s="429">
        <f t="shared" si="125"/>
        <v>8</v>
      </c>
      <c r="U223" s="429">
        <f t="shared" si="126"/>
        <v>4</v>
      </c>
      <c r="V223" s="430">
        <f t="array" ref="V223">MAX((IF(MNU_CODIGO_ALIMENTO_ENTREGA=CONCATENATE($E223,"_","S_"),MNU_GRAMAJE_REQUERIDO_TIPOB,"")))</f>
        <v>100</v>
      </c>
      <c r="W223" s="397">
        <f t="shared" si="127"/>
        <v>1639</v>
      </c>
      <c r="X223" s="397">
        <f t="shared" si="128"/>
        <v>0</v>
      </c>
      <c r="Y223" s="397">
        <f t="shared" si="129"/>
        <v>13112</v>
      </c>
      <c r="Z223" s="454">
        <f t="shared" si="130"/>
        <v>434</v>
      </c>
      <c r="AA223" s="454">
        <f t="shared" si="131"/>
        <v>21.179200000000002</v>
      </c>
      <c r="AB223" s="454">
        <f t="shared" si="132"/>
        <v>0.37324694399999997</v>
      </c>
      <c r="AC223" s="454">
        <f t="shared" si="133"/>
        <v>456</v>
      </c>
      <c r="AD223" s="231">
        <f t="shared" si="134"/>
        <v>5690608</v>
      </c>
      <c r="AE223" s="231">
        <f t="shared" si="135"/>
        <v>5979072</v>
      </c>
      <c r="AF223" s="427">
        <f t="shared" si="136"/>
        <v>8</v>
      </c>
      <c r="AG223" s="427">
        <f t="shared" si="137"/>
        <v>4</v>
      </c>
      <c r="AH223" s="428">
        <f t="array" ref="AH223">MAX((IF(MNU_CODIGO_ALIMENTO_ENTREGA=CONCATENATE($E223,"_","S_"),MNU_GRAMAJE_REQUERIDO_TIPOC,"")))</f>
        <v>100</v>
      </c>
      <c r="AI223" s="229">
        <f t="shared" si="138"/>
        <v>2118</v>
      </c>
      <c r="AJ223" s="229">
        <f t="shared" si="139"/>
        <v>0</v>
      </c>
      <c r="AK223" s="229">
        <f t="shared" si="140"/>
        <v>16944</v>
      </c>
      <c r="AL223" s="454">
        <f t="shared" si="141"/>
        <v>434</v>
      </c>
      <c r="AM223" s="454">
        <f t="shared" si="142"/>
        <v>21.179200000000002</v>
      </c>
      <c r="AN223" s="454">
        <f t="shared" si="143"/>
        <v>0.37324694399999997</v>
      </c>
      <c r="AO223" s="454">
        <f t="shared" si="144"/>
        <v>456</v>
      </c>
      <c r="AP223" s="454">
        <f t="shared" si="145"/>
        <v>7353696</v>
      </c>
      <c r="AQ223" s="230">
        <f t="shared" si="146"/>
        <v>7726464</v>
      </c>
      <c r="AR223" s="397">
        <f t="shared" si="147"/>
        <v>13044304</v>
      </c>
      <c r="AS223" s="397">
        <f t="shared" si="148"/>
        <v>13705536</v>
      </c>
    </row>
    <row r="224" spans="1:45" ht="15.75">
      <c r="A224" s="228">
        <v>17</v>
      </c>
      <c r="B224" s="228" t="str">
        <f t="shared" si="112"/>
        <v>FRUTA_17</v>
      </c>
      <c r="C224" s="338" t="str">
        <f t="shared" si="113"/>
        <v>7_17</v>
      </c>
      <c r="D224" s="398" t="s">
        <v>1</v>
      </c>
      <c r="E224" s="228">
        <v>7</v>
      </c>
      <c r="F224" s="332" t="s">
        <v>57</v>
      </c>
      <c r="G224" s="228" t="s">
        <v>9</v>
      </c>
      <c r="H224" s="427">
        <f t="shared" si="114"/>
        <v>31</v>
      </c>
      <c r="I224" s="427">
        <f t="shared" si="115"/>
        <v>0</v>
      </c>
      <c r="J224" s="428">
        <f t="array" ref="J224">MAX((IF(MNU_CODIGO_ALIMENTO_ENTREGA=CONCATENATE($E224,"_","S_"),MNU_GRAMAJE_REQUERIDO_TIPOA,"")))</f>
        <v>100</v>
      </c>
      <c r="K224" s="229">
        <f t="shared" si="116"/>
        <v>1199</v>
      </c>
      <c r="L224" s="229">
        <f t="shared" si="117"/>
        <v>0</v>
      </c>
      <c r="M224" s="229">
        <f t="shared" si="118"/>
        <v>37169</v>
      </c>
      <c r="N224" s="454">
        <f t="shared" si="119"/>
        <v>107</v>
      </c>
      <c r="O224" s="454">
        <f t="shared" si="120"/>
        <v>5.2216000000000005</v>
      </c>
      <c r="P224" s="454">
        <f t="shared" si="121"/>
        <v>9.2021712000000006E-2</v>
      </c>
      <c r="Q224" s="454">
        <f t="shared" si="122"/>
        <v>112</v>
      </c>
      <c r="R224" s="230">
        <f t="shared" si="123"/>
        <v>3977083</v>
      </c>
      <c r="S224" s="230">
        <f t="shared" si="124"/>
        <v>4162928</v>
      </c>
      <c r="T224" s="429">
        <f t="shared" si="125"/>
        <v>11</v>
      </c>
      <c r="U224" s="429">
        <f t="shared" si="126"/>
        <v>0</v>
      </c>
      <c r="V224" s="430">
        <f t="array" ref="V224">MAX((IF(MNU_CODIGO_ALIMENTO_ENTREGA=CONCATENATE($E224,"_","S_"),MNU_GRAMAJE_REQUERIDO_TIPOB,"")))</f>
        <v>100</v>
      </c>
      <c r="W224" s="397">
        <f t="shared" si="127"/>
        <v>1684</v>
      </c>
      <c r="X224" s="397">
        <f t="shared" si="128"/>
        <v>0</v>
      </c>
      <c r="Y224" s="397">
        <f t="shared" si="129"/>
        <v>18524</v>
      </c>
      <c r="Z224" s="454">
        <f t="shared" si="130"/>
        <v>107</v>
      </c>
      <c r="AA224" s="454">
        <f t="shared" si="131"/>
        <v>5.2216000000000005</v>
      </c>
      <c r="AB224" s="454">
        <f t="shared" si="132"/>
        <v>9.2021712000000006E-2</v>
      </c>
      <c r="AC224" s="454">
        <f t="shared" si="133"/>
        <v>112</v>
      </c>
      <c r="AD224" s="231">
        <f t="shared" si="134"/>
        <v>1982068</v>
      </c>
      <c r="AE224" s="231">
        <f t="shared" si="135"/>
        <v>2074688</v>
      </c>
      <c r="AF224" s="427">
        <f t="shared" si="136"/>
        <v>11</v>
      </c>
      <c r="AG224" s="427">
        <f t="shared" si="137"/>
        <v>0</v>
      </c>
      <c r="AH224" s="428">
        <f t="array" ref="AH224">MAX((IF(MNU_CODIGO_ALIMENTO_ENTREGA=CONCATENATE($E224,"_","S_"),MNU_GRAMAJE_REQUERIDO_TIPOC,"")))</f>
        <v>100</v>
      </c>
      <c r="AI224" s="229">
        <f t="shared" si="138"/>
        <v>1651</v>
      </c>
      <c r="AJ224" s="229">
        <f t="shared" si="139"/>
        <v>0</v>
      </c>
      <c r="AK224" s="229">
        <f t="shared" si="140"/>
        <v>18161</v>
      </c>
      <c r="AL224" s="454">
        <f t="shared" si="141"/>
        <v>107</v>
      </c>
      <c r="AM224" s="454">
        <f t="shared" si="142"/>
        <v>5.2216000000000005</v>
      </c>
      <c r="AN224" s="454">
        <f t="shared" si="143"/>
        <v>9.2021712000000006E-2</v>
      </c>
      <c r="AO224" s="454">
        <f t="shared" si="144"/>
        <v>112</v>
      </c>
      <c r="AP224" s="454">
        <f t="shared" si="145"/>
        <v>1943227</v>
      </c>
      <c r="AQ224" s="230">
        <f t="shared" si="146"/>
        <v>2034032</v>
      </c>
      <c r="AR224" s="397">
        <f t="shared" si="147"/>
        <v>7902378</v>
      </c>
      <c r="AS224" s="397">
        <f t="shared" si="148"/>
        <v>8271648</v>
      </c>
    </row>
    <row r="225" spans="1:45" ht="15.75">
      <c r="A225" s="228">
        <v>17</v>
      </c>
      <c r="B225" s="228" t="str">
        <f t="shared" si="112"/>
        <v>FRUTA_17</v>
      </c>
      <c r="C225" s="338" t="str">
        <f t="shared" si="113"/>
        <v>8_17</v>
      </c>
      <c r="D225" s="398" t="s">
        <v>1</v>
      </c>
      <c r="E225" s="228">
        <v>8</v>
      </c>
      <c r="F225" s="332" t="s">
        <v>55</v>
      </c>
      <c r="G225" s="228" t="s">
        <v>9</v>
      </c>
      <c r="H225" s="427">
        <f t="shared" si="114"/>
        <v>11</v>
      </c>
      <c r="I225" s="427">
        <f t="shared" si="115"/>
        <v>0</v>
      </c>
      <c r="J225" s="428">
        <f t="array" ref="J225">MAX((IF(MNU_CODIGO_ALIMENTO_ENTREGA=CONCATENATE($E225,"_","S_"),MNU_GRAMAJE_REQUERIDO_TIPOA,"")))</f>
        <v>100</v>
      </c>
      <c r="K225" s="229">
        <f t="shared" si="116"/>
        <v>1199</v>
      </c>
      <c r="L225" s="229">
        <f t="shared" si="117"/>
        <v>0</v>
      </c>
      <c r="M225" s="229">
        <f t="shared" si="118"/>
        <v>13189</v>
      </c>
      <c r="N225" s="454">
        <f t="shared" si="119"/>
        <v>134</v>
      </c>
      <c r="O225" s="454">
        <f t="shared" si="120"/>
        <v>6.539200000000001</v>
      </c>
      <c r="P225" s="454">
        <f t="shared" si="121"/>
        <v>0.115242144</v>
      </c>
      <c r="Q225" s="454">
        <f t="shared" si="122"/>
        <v>141</v>
      </c>
      <c r="R225" s="230">
        <f t="shared" si="123"/>
        <v>1767326</v>
      </c>
      <c r="S225" s="230">
        <f t="shared" si="124"/>
        <v>1859649</v>
      </c>
      <c r="T225" s="429">
        <f t="shared" si="125"/>
        <v>11</v>
      </c>
      <c r="U225" s="429">
        <f t="shared" si="126"/>
        <v>0</v>
      </c>
      <c r="V225" s="430">
        <f t="array" ref="V225">MAX((IF(MNU_CODIGO_ALIMENTO_ENTREGA=CONCATENATE($E225,"_","S_"),MNU_GRAMAJE_REQUERIDO_TIPOB,"")))</f>
        <v>100</v>
      </c>
      <c r="W225" s="397">
        <f t="shared" si="127"/>
        <v>1684</v>
      </c>
      <c r="X225" s="397">
        <f t="shared" si="128"/>
        <v>0</v>
      </c>
      <c r="Y225" s="397">
        <f t="shared" si="129"/>
        <v>18524</v>
      </c>
      <c r="Z225" s="454">
        <f t="shared" si="130"/>
        <v>134</v>
      </c>
      <c r="AA225" s="454">
        <f t="shared" si="131"/>
        <v>6.539200000000001</v>
      </c>
      <c r="AB225" s="454">
        <f t="shared" si="132"/>
        <v>0.115242144</v>
      </c>
      <c r="AC225" s="454">
        <f t="shared" si="133"/>
        <v>141</v>
      </c>
      <c r="AD225" s="231">
        <f t="shared" si="134"/>
        <v>2482216</v>
      </c>
      <c r="AE225" s="231">
        <f t="shared" si="135"/>
        <v>2611884</v>
      </c>
      <c r="AF225" s="427">
        <f t="shared" si="136"/>
        <v>11</v>
      </c>
      <c r="AG225" s="427">
        <f t="shared" si="137"/>
        <v>0</v>
      </c>
      <c r="AH225" s="428">
        <f t="array" ref="AH225">MAX((IF(MNU_CODIGO_ALIMENTO_ENTREGA=CONCATENATE($E225,"_","S_"),MNU_GRAMAJE_REQUERIDO_TIPOC,"")))</f>
        <v>100</v>
      </c>
      <c r="AI225" s="229">
        <f t="shared" si="138"/>
        <v>1651</v>
      </c>
      <c r="AJ225" s="229">
        <f t="shared" si="139"/>
        <v>0</v>
      </c>
      <c r="AK225" s="229">
        <f t="shared" si="140"/>
        <v>18161</v>
      </c>
      <c r="AL225" s="454">
        <f t="shared" si="141"/>
        <v>134</v>
      </c>
      <c r="AM225" s="454">
        <f t="shared" si="142"/>
        <v>6.539200000000001</v>
      </c>
      <c r="AN225" s="454">
        <f t="shared" si="143"/>
        <v>0.115242144</v>
      </c>
      <c r="AO225" s="454">
        <f t="shared" si="144"/>
        <v>141</v>
      </c>
      <c r="AP225" s="454">
        <f t="shared" si="145"/>
        <v>2433574</v>
      </c>
      <c r="AQ225" s="230">
        <f t="shared" si="146"/>
        <v>2560701</v>
      </c>
      <c r="AR225" s="397">
        <f t="shared" si="147"/>
        <v>6683116</v>
      </c>
      <c r="AS225" s="397">
        <f t="shared" si="148"/>
        <v>7032234</v>
      </c>
    </row>
    <row r="226" spans="1:45" ht="15.75">
      <c r="A226" s="228">
        <v>17</v>
      </c>
      <c r="B226" s="228" t="str">
        <f t="shared" si="112"/>
        <v>FRUTA_17</v>
      </c>
      <c r="C226" s="338" t="str">
        <f t="shared" si="113"/>
        <v>17_17</v>
      </c>
      <c r="D226" s="398" t="s">
        <v>1</v>
      </c>
      <c r="E226" s="228">
        <v>17</v>
      </c>
      <c r="F226" s="332" t="s">
        <v>53</v>
      </c>
      <c r="G226" s="228" t="s">
        <v>9</v>
      </c>
      <c r="H226" s="427">
        <f t="shared" si="114"/>
        <v>0</v>
      </c>
      <c r="I226" s="427">
        <f t="shared" si="115"/>
        <v>0</v>
      </c>
      <c r="J226" s="428">
        <f t="array" ref="J226">MAX((IF(MNU_CODIGO_ALIMENTO_ENTREGA=CONCATENATE($E226,"_","S_"),MNU_GRAMAJE_REQUERIDO_TIPOA,"")))</f>
        <v>0</v>
      </c>
      <c r="K226" s="229">
        <f t="shared" si="116"/>
        <v>1199</v>
      </c>
      <c r="L226" s="229">
        <f t="shared" si="117"/>
        <v>0</v>
      </c>
      <c r="M226" s="229">
        <f t="shared" si="118"/>
        <v>0</v>
      </c>
      <c r="N226" s="454">
        <f t="shared" si="119"/>
        <v>0</v>
      </c>
      <c r="O226" s="454">
        <f t="shared" si="120"/>
        <v>0</v>
      </c>
      <c r="P226" s="454">
        <f t="shared" si="121"/>
        <v>0</v>
      </c>
      <c r="Q226" s="454">
        <f t="shared" si="122"/>
        <v>0</v>
      </c>
      <c r="R226" s="230">
        <f t="shared" si="123"/>
        <v>0</v>
      </c>
      <c r="S226" s="230">
        <f t="shared" si="124"/>
        <v>0</v>
      </c>
      <c r="T226" s="429">
        <f t="shared" si="125"/>
        <v>23</v>
      </c>
      <c r="U226" s="429">
        <f t="shared" si="126"/>
        <v>4</v>
      </c>
      <c r="V226" s="430">
        <f t="array" ref="V226">MAX((IF(MNU_CODIGO_ALIMENTO_ENTREGA=CONCATENATE($E226,"_","S_"),MNU_GRAMAJE_REQUERIDO_TIPOB,"")))</f>
        <v>100</v>
      </c>
      <c r="W226" s="397">
        <f t="shared" si="127"/>
        <v>1684</v>
      </c>
      <c r="X226" s="397">
        <f t="shared" si="128"/>
        <v>0</v>
      </c>
      <c r="Y226" s="397">
        <f t="shared" si="129"/>
        <v>38732</v>
      </c>
      <c r="Z226" s="454">
        <f t="shared" si="130"/>
        <v>226</v>
      </c>
      <c r="AA226" s="454">
        <f t="shared" si="131"/>
        <v>11.0288</v>
      </c>
      <c r="AB226" s="454">
        <f t="shared" si="132"/>
        <v>0.19436361600000002</v>
      </c>
      <c r="AC226" s="454">
        <f t="shared" si="133"/>
        <v>237</v>
      </c>
      <c r="AD226" s="231">
        <f t="shared" si="134"/>
        <v>8753432</v>
      </c>
      <c r="AE226" s="231">
        <f t="shared" si="135"/>
        <v>9179484</v>
      </c>
      <c r="AF226" s="427">
        <f t="shared" si="136"/>
        <v>23</v>
      </c>
      <c r="AG226" s="427">
        <f t="shared" si="137"/>
        <v>4</v>
      </c>
      <c r="AH226" s="428">
        <f t="array" ref="AH226">MAX((IF(MNU_CODIGO_ALIMENTO_ENTREGA=CONCATENATE($E226,"_","S_"),MNU_GRAMAJE_REQUERIDO_TIPOC,"")))</f>
        <v>100</v>
      </c>
      <c r="AI226" s="229">
        <f t="shared" si="138"/>
        <v>1651</v>
      </c>
      <c r="AJ226" s="229">
        <f t="shared" si="139"/>
        <v>0</v>
      </c>
      <c r="AK226" s="229">
        <f t="shared" si="140"/>
        <v>37973</v>
      </c>
      <c r="AL226" s="454">
        <f t="shared" si="141"/>
        <v>226</v>
      </c>
      <c r="AM226" s="454">
        <f t="shared" si="142"/>
        <v>11.0288</v>
      </c>
      <c r="AN226" s="454">
        <f t="shared" si="143"/>
        <v>0.19436361600000002</v>
      </c>
      <c r="AO226" s="454">
        <f t="shared" si="144"/>
        <v>237</v>
      </c>
      <c r="AP226" s="454">
        <f t="shared" si="145"/>
        <v>8581898</v>
      </c>
      <c r="AQ226" s="230">
        <f t="shared" si="146"/>
        <v>8999601</v>
      </c>
      <c r="AR226" s="397">
        <f t="shared" si="147"/>
        <v>17335330</v>
      </c>
      <c r="AS226" s="397">
        <f t="shared" si="148"/>
        <v>18179085</v>
      </c>
    </row>
    <row r="227" spans="1:45" ht="15.75">
      <c r="A227" s="228">
        <v>17</v>
      </c>
      <c r="B227" s="228" t="str">
        <f t="shared" si="112"/>
        <v>FRUTA_17</v>
      </c>
      <c r="C227" s="338" t="str">
        <f t="shared" si="113"/>
        <v>22_17</v>
      </c>
      <c r="D227" s="398" t="s">
        <v>1</v>
      </c>
      <c r="E227" s="228">
        <v>22</v>
      </c>
      <c r="F227" s="332" t="s">
        <v>51</v>
      </c>
      <c r="G227" s="228" t="s">
        <v>9</v>
      </c>
      <c r="H227" s="427">
        <f t="shared" si="114"/>
        <v>0</v>
      </c>
      <c r="I227" s="427">
        <f t="shared" si="115"/>
        <v>0</v>
      </c>
      <c r="J227" s="428">
        <f t="array" ref="J227">MAX((IF(MNU_CODIGO_ALIMENTO_ENTREGA=CONCATENATE($E227,"_","S_"),MNU_GRAMAJE_REQUERIDO_TIPOA,"")))</f>
        <v>0</v>
      </c>
      <c r="K227" s="229">
        <f t="shared" si="116"/>
        <v>1199</v>
      </c>
      <c r="L227" s="229">
        <f t="shared" si="117"/>
        <v>0</v>
      </c>
      <c r="M227" s="229">
        <f t="shared" si="118"/>
        <v>0</v>
      </c>
      <c r="N227" s="454">
        <f t="shared" si="119"/>
        <v>0</v>
      </c>
      <c r="O227" s="454">
        <f t="shared" si="120"/>
        <v>0</v>
      </c>
      <c r="P227" s="454">
        <f t="shared" si="121"/>
        <v>0</v>
      </c>
      <c r="Q227" s="454">
        <f t="shared" si="122"/>
        <v>0</v>
      </c>
      <c r="R227" s="230">
        <f t="shared" si="123"/>
        <v>0</v>
      </c>
      <c r="S227" s="230">
        <f t="shared" si="124"/>
        <v>0</v>
      </c>
      <c r="T227" s="429">
        <f t="shared" si="125"/>
        <v>23</v>
      </c>
      <c r="U227" s="429">
        <f t="shared" si="126"/>
        <v>4</v>
      </c>
      <c r="V227" s="430">
        <f t="array" ref="V227">MAX((IF(MNU_CODIGO_ALIMENTO_ENTREGA=CONCATENATE($E227,"_","S_"),MNU_GRAMAJE_REQUERIDO_TIPOB,"")))</f>
        <v>100</v>
      </c>
      <c r="W227" s="397">
        <f t="shared" si="127"/>
        <v>1684</v>
      </c>
      <c r="X227" s="397">
        <f t="shared" si="128"/>
        <v>0</v>
      </c>
      <c r="Y227" s="397">
        <f t="shared" si="129"/>
        <v>38732</v>
      </c>
      <c r="Z227" s="454">
        <f t="shared" si="130"/>
        <v>525</v>
      </c>
      <c r="AA227" s="454">
        <f t="shared" si="131"/>
        <v>25.62</v>
      </c>
      <c r="AB227" s="454">
        <f t="shared" si="132"/>
        <v>0.45150840000000003</v>
      </c>
      <c r="AC227" s="454">
        <f t="shared" si="133"/>
        <v>551</v>
      </c>
      <c r="AD227" s="231">
        <f t="shared" si="134"/>
        <v>20334300</v>
      </c>
      <c r="AE227" s="231">
        <f t="shared" si="135"/>
        <v>21341332</v>
      </c>
      <c r="AF227" s="427">
        <f t="shared" si="136"/>
        <v>23</v>
      </c>
      <c r="AG227" s="427">
        <f t="shared" si="137"/>
        <v>4</v>
      </c>
      <c r="AH227" s="428">
        <f t="array" ref="AH227">MAX((IF(MNU_CODIGO_ALIMENTO_ENTREGA=CONCATENATE($E227,"_","S_"),MNU_GRAMAJE_REQUERIDO_TIPOC,"")))</f>
        <v>100</v>
      </c>
      <c r="AI227" s="229">
        <f t="shared" si="138"/>
        <v>1651</v>
      </c>
      <c r="AJ227" s="229">
        <f t="shared" si="139"/>
        <v>0</v>
      </c>
      <c r="AK227" s="229">
        <f t="shared" si="140"/>
        <v>37973</v>
      </c>
      <c r="AL227" s="454">
        <f t="shared" si="141"/>
        <v>525</v>
      </c>
      <c r="AM227" s="454">
        <f t="shared" si="142"/>
        <v>25.62</v>
      </c>
      <c r="AN227" s="454">
        <f t="shared" si="143"/>
        <v>0.45150840000000003</v>
      </c>
      <c r="AO227" s="454">
        <f t="shared" si="144"/>
        <v>551</v>
      </c>
      <c r="AP227" s="454">
        <f t="shared" si="145"/>
        <v>19935825</v>
      </c>
      <c r="AQ227" s="230">
        <f t="shared" si="146"/>
        <v>20923123</v>
      </c>
      <c r="AR227" s="397">
        <f t="shared" si="147"/>
        <v>40270125</v>
      </c>
      <c r="AS227" s="397">
        <f t="shared" si="148"/>
        <v>42264455</v>
      </c>
    </row>
    <row r="228" spans="1:45" ht="15.75">
      <c r="A228" s="228">
        <v>17</v>
      </c>
      <c r="B228" s="228" t="str">
        <f t="shared" si="112"/>
        <v>FRUTA_17</v>
      </c>
      <c r="C228" s="338" t="str">
        <f t="shared" si="113"/>
        <v>33_17</v>
      </c>
      <c r="D228" s="398" t="s">
        <v>1</v>
      </c>
      <c r="E228" s="228">
        <v>33</v>
      </c>
      <c r="F228" s="332" t="s">
        <v>59</v>
      </c>
      <c r="G228" s="228" t="s">
        <v>48</v>
      </c>
      <c r="H228" s="427">
        <f t="shared" si="114"/>
        <v>29</v>
      </c>
      <c r="I228" s="427">
        <f t="shared" si="115"/>
        <v>5</v>
      </c>
      <c r="J228" s="428">
        <v>1</v>
      </c>
      <c r="K228" s="229">
        <f t="shared" si="116"/>
        <v>1199</v>
      </c>
      <c r="L228" s="229">
        <f t="shared" si="117"/>
        <v>0</v>
      </c>
      <c r="M228" s="229">
        <f t="shared" si="118"/>
        <v>34771</v>
      </c>
      <c r="N228" s="454">
        <f t="shared" si="119"/>
        <v>270</v>
      </c>
      <c r="O228" s="454">
        <f t="shared" si="120"/>
        <v>13.176000000000002</v>
      </c>
      <c r="P228" s="454">
        <f t="shared" si="121"/>
        <v>0.23220432000000002</v>
      </c>
      <c r="Q228" s="454">
        <f t="shared" si="122"/>
        <v>283</v>
      </c>
      <c r="R228" s="230">
        <f t="shared" si="123"/>
        <v>9388170</v>
      </c>
      <c r="S228" s="230">
        <f t="shared" si="124"/>
        <v>9840193</v>
      </c>
      <c r="T228" s="429">
        <f t="shared" si="125"/>
        <v>23</v>
      </c>
      <c r="U228" s="429">
        <f t="shared" si="126"/>
        <v>2</v>
      </c>
      <c r="V228" s="430">
        <v>1</v>
      </c>
      <c r="W228" s="397">
        <f t="shared" si="127"/>
        <v>1684</v>
      </c>
      <c r="X228" s="397">
        <f t="shared" si="128"/>
        <v>0</v>
      </c>
      <c r="Y228" s="397">
        <f t="shared" si="129"/>
        <v>38732</v>
      </c>
      <c r="Z228" s="454">
        <f t="shared" si="130"/>
        <v>270</v>
      </c>
      <c r="AA228" s="454">
        <f t="shared" si="131"/>
        <v>13.176000000000002</v>
      </c>
      <c r="AB228" s="454">
        <f t="shared" si="132"/>
        <v>0.23220432000000002</v>
      </c>
      <c r="AC228" s="454">
        <f t="shared" si="133"/>
        <v>283</v>
      </c>
      <c r="AD228" s="231">
        <f t="shared" si="134"/>
        <v>10457640</v>
      </c>
      <c r="AE228" s="231">
        <f t="shared" si="135"/>
        <v>10961156</v>
      </c>
      <c r="AF228" s="427">
        <f t="shared" si="136"/>
        <v>23</v>
      </c>
      <c r="AG228" s="427">
        <f t="shared" si="137"/>
        <v>2</v>
      </c>
      <c r="AH228" s="428">
        <v>1</v>
      </c>
      <c r="AI228" s="229">
        <f t="shared" si="138"/>
        <v>1651</v>
      </c>
      <c r="AJ228" s="229">
        <f t="shared" si="139"/>
        <v>0</v>
      </c>
      <c r="AK228" s="229">
        <f t="shared" si="140"/>
        <v>37973</v>
      </c>
      <c r="AL228" s="454">
        <f t="shared" si="141"/>
        <v>270</v>
      </c>
      <c r="AM228" s="454">
        <f t="shared" si="142"/>
        <v>13.176000000000002</v>
      </c>
      <c r="AN228" s="454">
        <f t="shared" si="143"/>
        <v>0.23220432000000002</v>
      </c>
      <c r="AO228" s="454">
        <f t="shared" si="144"/>
        <v>283</v>
      </c>
      <c r="AP228" s="454">
        <f t="shared" si="145"/>
        <v>10252710</v>
      </c>
      <c r="AQ228" s="230">
        <f t="shared" si="146"/>
        <v>10746359</v>
      </c>
      <c r="AR228" s="397">
        <f t="shared" si="147"/>
        <v>30098520</v>
      </c>
      <c r="AS228" s="397">
        <f t="shared" si="148"/>
        <v>31547708</v>
      </c>
    </row>
    <row r="229" spans="1:45" ht="15.75">
      <c r="A229" s="228">
        <v>17</v>
      </c>
      <c r="B229" s="228" t="str">
        <f t="shared" si="112"/>
        <v>FRUTA_17</v>
      </c>
      <c r="C229" s="338" t="str">
        <f t="shared" si="113"/>
        <v>36_17</v>
      </c>
      <c r="D229" s="398" t="s">
        <v>1</v>
      </c>
      <c r="E229" s="228">
        <v>36</v>
      </c>
      <c r="F229" s="332" t="s">
        <v>1340</v>
      </c>
      <c r="G229" s="228" t="s">
        <v>9</v>
      </c>
      <c r="H229" s="427">
        <f t="shared" si="114"/>
        <v>8</v>
      </c>
      <c r="I229" s="427">
        <f t="shared" si="115"/>
        <v>0</v>
      </c>
      <c r="J229" s="428">
        <f t="array" ref="J229">MAX((IF(MNU_CODIGO_ALIMENTO_ENTREGA=CONCATENATE($E229,"_","S_"),MNU_GRAMAJE_REQUERIDO_TIPOA,"")))</f>
        <v>20</v>
      </c>
      <c r="K229" s="229">
        <f t="shared" si="116"/>
        <v>1199</v>
      </c>
      <c r="L229" s="229">
        <f t="shared" si="117"/>
        <v>0</v>
      </c>
      <c r="M229" s="229">
        <f t="shared" si="118"/>
        <v>9592</v>
      </c>
      <c r="N229" s="454">
        <f t="shared" si="119"/>
        <v>126</v>
      </c>
      <c r="O229" s="454">
        <f t="shared" si="120"/>
        <v>6.1488000000000005</v>
      </c>
      <c r="P229" s="454">
        <f t="shared" si="121"/>
        <v>0.10836201599999999</v>
      </c>
      <c r="Q229" s="454">
        <f t="shared" si="122"/>
        <v>132</v>
      </c>
      <c r="R229" s="230">
        <f t="shared" si="123"/>
        <v>1208592</v>
      </c>
      <c r="S229" s="230">
        <f t="shared" si="124"/>
        <v>1266144</v>
      </c>
      <c r="T229" s="429">
        <f t="shared" si="125"/>
        <v>8</v>
      </c>
      <c r="U229" s="429">
        <f t="shared" si="126"/>
        <v>0</v>
      </c>
      <c r="V229" s="430">
        <f t="array" ref="V229">MAX((IF(MNU_CODIGO_ALIMENTO_ENTREGA=CONCATENATE($E229,"_","S_"),MNU_GRAMAJE_REQUERIDO_TIPOB,"")))</f>
        <v>40</v>
      </c>
      <c r="W229" s="397">
        <f t="shared" si="127"/>
        <v>1684</v>
      </c>
      <c r="X229" s="397">
        <f t="shared" si="128"/>
        <v>0</v>
      </c>
      <c r="Y229" s="397">
        <f t="shared" si="129"/>
        <v>13472</v>
      </c>
      <c r="Z229" s="454">
        <f t="shared" si="130"/>
        <v>252</v>
      </c>
      <c r="AA229" s="454">
        <f t="shared" si="131"/>
        <v>12.297600000000001</v>
      </c>
      <c r="AB229" s="454">
        <f t="shared" si="132"/>
        <v>0.21672403199999998</v>
      </c>
      <c r="AC229" s="454">
        <f t="shared" si="133"/>
        <v>265</v>
      </c>
      <c r="AD229" s="231">
        <f t="shared" si="134"/>
        <v>3394944</v>
      </c>
      <c r="AE229" s="231">
        <f t="shared" si="135"/>
        <v>3570080</v>
      </c>
      <c r="AF229" s="427">
        <f t="shared" si="136"/>
        <v>8</v>
      </c>
      <c r="AG229" s="427">
        <f t="shared" si="137"/>
        <v>0</v>
      </c>
      <c r="AH229" s="428">
        <f t="array" ref="AH229">MAX((IF(MNU_CODIGO_ALIMENTO_ENTREGA=CONCATENATE($E229,"_","S_"),MNU_GRAMAJE_REQUERIDO_TIPOC,"")))</f>
        <v>40</v>
      </c>
      <c r="AI229" s="229">
        <f t="shared" si="138"/>
        <v>1651</v>
      </c>
      <c r="AJ229" s="229">
        <f t="shared" si="139"/>
        <v>0</v>
      </c>
      <c r="AK229" s="229">
        <f t="shared" si="140"/>
        <v>13208</v>
      </c>
      <c r="AL229" s="454">
        <f t="shared" si="141"/>
        <v>252</v>
      </c>
      <c r="AM229" s="454">
        <f t="shared" si="142"/>
        <v>12.297600000000001</v>
      </c>
      <c r="AN229" s="454">
        <f t="shared" si="143"/>
        <v>0.21672403199999998</v>
      </c>
      <c r="AO229" s="454">
        <f t="shared" si="144"/>
        <v>265</v>
      </c>
      <c r="AP229" s="454">
        <f t="shared" si="145"/>
        <v>3328416</v>
      </c>
      <c r="AQ229" s="230">
        <f t="shared" si="146"/>
        <v>3500120</v>
      </c>
      <c r="AR229" s="397">
        <f t="shared" si="147"/>
        <v>7931952</v>
      </c>
      <c r="AS229" s="397">
        <f t="shared" si="148"/>
        <v>8336344</v>
      </c>
    </row>
    <row r="230" spans="1:45" ht="15.75">
      <c r="A230" s="228">
        <v>17</v>
      </c>
      <c r="B230" s="228" t="str">
        <f t="shared" si="112"/>
        <v>FRUTA_17</v>
      </c>
      <c r="C230" s="338" t="str">
        <f t="shared" si="113"/>
        <v>42_17</v>
      </c>
      <c r="D230" s="398" t="s">
        <v>1</v>
      </c>
      <c r="E230" s="228">
        <v>42</v>
      </c>
      <c r="F230" s="332" t="s">
        <v>61</v>
      </c>
      <c r="G230" s="228" t="s">
        <v>9</v>
      </c>
      <c r="H230" s="427">
        <f t="shared" si="114"/>
        <v>36</v>
      </c>
      <c r="I230" s="427">
        <f t="shared" si="115"/>
        <v>8</v>
      </c>
      <c r="J230" s="428">
        <f t="array" ref="J230">MAX((IF(MNU_CODIGO_ALIMENTO_ENTREGA=CONCATENATE($E230,"_","S_"),MNU_GRAMAJE_REQUERIDO_TIPOA,"")))</f>
        <v>100</v>
      </c>
      <c r="K230" s="229">
        <f t="shared" si="116"/>
        <v>1199</v>
      </c>
      <c r="L230" s="229">
        <f t="shared" si="117"/>
        <v>0</v>
      </c>
      <c r="M230" s="229">
        <f t="shared" si="118"/>
        <v>43164</v>
      </c>
      <c r="N230" s="454">
        <f t="shared" si="119"/>
        <v>194</v>
      </c>
      <c r="O230" s="454">
        <f t="shared" si="120"/>
        <v>9.4672000000000001</v>
      </c>
      <c r="P230" s="454">
        <f t="shared" si="121"/>
        <v>0.16684310399999999</v>
      </c>
      <c r="Q230" s="454">
        <f t="shared" si="122"/>
        <v>204</v>
      </c>
      <c r="R230" s="230">
        <f t="shared" si="123"/>
        <v>8373816</v>
      </c>
      <c r="S230" s="230">
        <f t="shared" si="124"/>
        <v>8805456</v>
      </c>
      <c r="T230" s="429">
        <f t="shared" si="125"/>
        <v>19</v>
      </c>
      <c r="U230" s="429">
        <f t="shared" si="126"/>
        <v>8</v>
      </c>
      <c r="V230" s="430">
        <f t="array" ref="V230">MAX((IF(MNU_CODIGO_ALIMENTO_ENTREGA=CONCATENATE($E230,"_","S_"),MNU_GRAMAJE_REQUERIDO_TIPOB,"")))</f>
        <v>100</v>
      </c>
      <c r="W230" s="397">
        <f t="shared" si="127"/>
        <v>1684</v>
      </c>
      <c r="X230" s="397">
        <f t="shared" si="128"/>
        <v>0</v>
      </c>
      <c r="Y230" s="397">
        <f t="shared" si="129"/>
        <v>31996</v>
      </c>
      <c r="Z230" s="454">
        <f t="shared" si="130"/>
        <v>194</v>
      </c>
      <c r="AA230" s="454">
        <f t="shared" si="131"/>
        <v>9.4672000000000001</v>
      </c>
      <c r="AB230" s="454">
        <f t="shared" si="132"/>
        <v>0.16684310399999999</v>
      </c>
      <c r="AC230" s="454">
        <f t="shared" si="133"/>
        <v>204</v>
      </c>
      <c r="AD230" s="231">
        <f t="shared" si="134"/>
        <v>6207224</v>
      </c>
      <c r="AE230" s="231">
        <f t="shared" si="135"/>
        <v>6527184</v>
      </c>
      <c r="AF230" s="427">
        <f t="shared" si="136"/>
        <v>19</v>
      </c>
      <c r="AG230" s="427">
        <f t="shared" si="137"/>
        <v>8</v>
      </c>
      <c r="AH230" s="428">
        <f t="array" ref="AH230">MAX((IF(MNU_CODIGO_ALIMENTO_ENTREGA=CONCATENATE($E230,"_","S_"),MNU_GRAMAJE_REQUERIDO_TIPOC,"")))</f>
        <v>100</v>
      </c>
      <c r="AI230" s="229">
        <f t="shared" si="138"/>
        <v>1651</v>
      </c>
      <c r="AJ230" s="229">
        <f t="shared" si="139"/>
        <v>0</v>
      </c>
      <c r="AK230" s="229">
        <f t="shared" si="140"/>
        <v>31369</v>
      </c>
      <c r="AL230" s="454">
        <f t="shared" si="141"/>
        <v>194</v>
      </c>
      <c r="AM230" s="454">
        <f t="shared" si="142"/>
        <v>9.4672000000000001</v>
      </c>
      <c r="AN230" s="454">
        <f t="shared" si="143"/>
        <v>0.16684310399999999</v>
      </c>
      <c r="AO230" s="454">
        <f t="shared" si="144"/>
        <v>204</v>
      </c>
      <c r="AP230" s="454">
        <f t="shared" si="145"/>
        <v>6085586</v>
      </c>
      <c r="AQ230" s="230">
        <f t="shared" si="146"/>
        <v>6399276</v>
      </c>
      <c r="AR230" s="397">
        <f t="shared" si="147"/>
        <v>20666626</v>
      </c>
      <c r="AS230" s="397">
        <f t="shared" si="148"/>
        <v>21731916</v>
      </c>
    </row>
    <row r="231" spans="1:45" ht="15.75">
      <c r="A231" s="228">
        <v>17</v>
      </c>
      <c r="B231" s="228" t="str">
        <f t="shared" si="112"/>
        <v>FRUTA_17</v>
      </c>
      <c r="C231" s="338" t="str">
        <f t="shared" si="113"/>
        <v>43_17</v>
      </c>
      <c r="D231" s="398" t="s">
        <v>1</v>
      </c>
      <c r="E231" s="228">
        <v>43</v>
      </c>
      <c r="F231" s="332" t="s">
        <v>62</v>
      </c>
      <c r="G231" s="228" t="s">
        <v>9</v>
      </c>
      <c r="H231" s="427">
        <f t="shared" si="114"/>
        <v>29</v>
      </c>
      <c r="I231" s="427">
        <f t="shared" si="115"/>
        <v>6</v>
      </c>
      <c r="J231" s="428">
        <f t="array" ref="J231">MAX((IF(MNU_CODIGO_ALIMENTO_ENTREGA=CONCATENATE($E231,"_","S_"),MNU_GRAMAJE_REQUERIDO_TIPOA,"")))</f>
        <v>100</v>
      </c>
      <c r="K231" s="229">
        <f t="shared" si="116"/>
        <v>1199</v>
      </c>
      <c r="L231" s="229">
        <f t="shared" si="117"/>
        <v>0</v>
      </c>
      <c r="M231" s="229">
        <f t="shared" si="118"/>
        <v>34771</v>
      </c>
      <c r="N231" s="454">
        <f t="shared" si="119"/>
        <v>170</v>
      </c>
      <c r="O231" s="454">
        <f t="shared" si="120"/>
        <v>8.2959999999999994</v>
      </c>
      <c r="P231" s="454">
        <f t="shared" si="121"/>
        <v>0.14620272000000001</v>
      </c>
      <c r="Q231" s="454">
        <f t="shared" si="122"/>
        <v>178</v>
      </c>
      <c r="R231" s="230">
        <f t="shared" si="123"/>
        <v>5911070</v>
      </c>
      <c r="S231" s="230">
        <f t="shared" si="124"/>
        <v>6189238</v>
      </c>
      <c r="T231" s="429">
        <f t="shared" si="125"/>
        <v>23</v>
      </c>
      <c r="U231" s="429">
        <f t="shared" si="126"/>
        <v>1</v>
      </c>
      <c r="V231" s="430">
        <f t="array" ref="V231">MAX((IF(MNU_CODIGO_ALIMENTO_ENTREGA=CONCATENATE($E231,"_","S_"),MNU_GRAMAJE_REQUERIDO_TIPOB,"")))</f>
        <v>100</v>
      </c>
      <c r="W231" s="397">
        <f t="shared" si="127"/>
        <v>1684</v>
      </c>
      <c r="X231" s="397">
        <f t="shared" si="128"/>
        <v>0</v>
      </c>
      <c r="Y231" s="397">
        <f t="shared" si="129"/>
        <v>38732</v>
      </c>
      <c r="Z231" s="454">
        <f t="shared" si="130"/>
        <v>170</v>
      </c>
      <c r="AA231" s="454">
        <f t="shared" si="131"/>
        <v>8.2959999999999994</v>
      </c>
      <c r="AB231" s="454">
        <f t="shared" si="132"/>
        <v>0.14620272000000001</v>
      </c>
      <c r="AC231" s="454">
        <f t="shared" si="133"/>
        <v>178</v>
      </c>
      <c r="AD231" s="231">
        <f t="shared" si="134"/>
        <v>6584440</v>
      </c>
      <c r="AE231" s="231">
        <f t="shared" si="135"/>
        <v>6894296</v>
      </c>
      <c r="AF231" s="427">
        <f t="shared" si="136"/>
        <v>23</v>
      </c>
      <c r="AG231" s="427">
        <f t="shared" si="137"/>
        <v>1</v>
      </c>
      <c r="AH231" s="428">
        <f t="array" ref="AH231">MAX((IF(MNU_CODIGO_ALIMENTO_ENTREGA=CONCATENATE($E231,"_","S_"),MNU_GRAMAJE_REQUERIDO_TIPOC,"")))</f>
        <v>100</v>
      </c>
      <c r="AI231" s="229">
        <f t="shared" si="138"/>
        <v>1651</v>
      </c>
      <c r="AJ231" s="229">
        <f t="shared" si="139"/>
        <v>0</v>
      </c>
      <c r="AK231" s="229">
        <f t="shared" si="140"/>
        <v>37973</v>
      </c>
      <c r="AL231" s="454">
        <f t="shared" si="141"/>
        <v>170</v>
      </c>
      <c r="AM231" s="454">
        <f t="shared" si="142"/>
        <v>8.2959999999999994</v>
      </c>
      <c r="AN231" s="454">
        <f t="shared" si="143"/>
        <v>0.14620272000000001</v>
      </c>
      <c r="AO231" s="454">
        <f t="shared" si="144"/>
        <v>178</v>
      </c>
      <c r="AP231" s="454">
        <f t="shared" si="145"/>
        <v>6455410</v>
      </c>
      <c r="AQ231" s="230">
        <f t="shared" si="146"/>
        <v>6759194</v>
      </c>
      <c r="AR231" s="397">
        <f t="shared" si="147"/>
        <v>18950920</v>
      </c>
      <c r="AS231" s="397">
        <f t="shared" si="148"/>
        <v>19842728</v>
      </c>
    </row>
    <row r="232" spans="1:45" ht="15.75">
      <c r="A232" s="228">
        <v>17</v>
      </c>
      <c r="B232" s="228" t="str">
        <f t="shared" si="112"/>
        <v>FRUTA_17</v>
      </c>
      <c r="C232" s="338" t="str">
        <f t="shared" si="113"/>
        <v>46_17</v>
      </c>
      <c r="D232" s="398" t="s">
        <v>1</v>
      </c>
      <c r="E232" s="228">
        <v>46</v>
      </c>
      <c r="F232" s="332" t="s">
        <v>64</v>
      </c>
      <c r="G232" s="228" t="s">
        <v>9</v>
      </c>
      <c r="H232" s="427">
        <f t="shared" si="114"/>
        <v>29</v>
      </c>
      <c r="I232" s="427">
        <f t="shared" si="115"/>
        <v>4</v>
      </c>
      <c r="J232" s="428">
        <f t="array" ref="J232">MAX((IF(MNU_CODIGO_ALIMENTO_ENTREGA=CONCATENATE($E232,"_","S_"),MNU_GRAMAJE_REQUERIDO_TIPOA,"")))</f>
        <v>100</v>
      </c>
      <c r="K232" s="229">
        <f t="shared" si="116"/>
        <v>1199</v>
      </c>
      <c r="L232" s="229">
        <f t="shared" si="117"/>
        <v>0</v>
      </c>
      <c r="M232" s="229">
        <f t="shared" si="118"/>
        <v>34771</v>
      </c>
      <c r="N232" s="454">
        <f t="shared" si="119"/>
        <v>398</v>
      </c>
      <c r="O232" s="454">
        <f t="shared" si="120"/>
        <v>19.4224</v>
      </c>
      <c r="P232" s="454">
        <f t="shared" si="121"/>
        <v>0.34228636800000001</v>
      </c>
      <c r="Q232" s="454">
        <f t="shared" si="122"/>
        <v>418</v>
      </c>
      <c r="R232" s="230">
        <f t="shared" si="123"/>
        <v>13838858</v>
      </c>
      <c r="S232" s="230">
        <f t="shared" si="124"/>
        <v>14534278</v>
      </c>
      <c r="T232" s="429">
        <f t="shared" si="125"/>
        <v>24</v>
      </c>
      <c r="U232" s="429">
        <f t="shared" si="126"/>
        <v>3</v>
      </c>
      <c r="V232" s="430">
        <f t="array" ref="V232">MAX((IF(MNU_CODIGO_ALIMENTO_ENTREGA=CONCATENATE($E232,"_","S_"),MNU_GRAMAJE_REQUERIDO_TIPOB,"")))</f>
        <v>100</v>
      </c>
      <c r="W232" s="397">
        <f t="shared" si="127"/>
        <v>1684</v>
      </c>
      <c r="X232" s="397">
        <f t="shared" si="128"/>
        <v>0</v>
      </c>
      <c r="Y232" s="397">
        <f t="shared" si="129"/>
        <v>40416</v>
      </c>
      <c r="Z232" s="454">
        <f t="shared" si="130"/>
        <v>398</v>
      </c>
      <c r="AA232" s="454">
        <f t="shared" si="131"/>
        <v>19.4224</v>
      </c>
      <c r="AB232" s="454">
        <f t="shared" si="132"/>
        <v>0.34228636800000001</v>
      </c>
      <c r="AC232" s="454">
        <f t="shared" si="133"/>
        <v>418</v>
      </c>
      <c r="AD232" s="231">
        <f t="shared" si="134"/>
        <v>16085568</v>
      </c>
      <c r="AE232" s="231">
        <f t="shared" si="135"/>
        <v>16893888</v>
      </c>
      <c r="AF232" s="427">
        <f t="shared" si="136"/>
        <v>24</v>
      </c>
      <c r="AG232" s="427">
        <f t="shared" si="137"/>
        <v>3</v>
      </c>
      <c r="AH232" s="428">
        <f t="array" ref="AH232">MAX((IF(MNU_CODIGO_ALIMENTO_ENTREGA=CONCATENATE($E232,"_","S_"),MNU_GRAMAJE_REQUERIDO_TIPOC,"")))</f>
        <v>100</v>
      </c>
      <c r="AI232" s="229">
        <f t="shared" si="138"/>
        <v>1651</v>
      </c>
      <c r="AJ232" s="229">
        <f t="shared" si="139"/>
        <v>0</v>
      </c>
      <c r="AK232" s="229">
        <f t="shared" si="140"/>
        <v>39624</v>
      </c>
      <c r="AL232" s="454">
        <f t="shared" si="141"/>
        <v>398</v>
      </c>
      <c r="AM232" s="454">
        <f t="shared" si="142"/>
        <v>19.4224</v>
      </c>
      <c r="AN232" s="454">
        <f t="shared" si="143"/>
        <v>0.34228636800000001</v>
      </c>
      <c r="AO232" s="454">
        <f t="shared" si="144"/>
        <v>418</v>
      </c>
      <c r="AP232" s="454">
        <f t="shared" si="145"/>
        <v>15770352</v>
      </c>
      <c r="AQ232" s="230">
        <f t="shared" si="146"/>
        <v>16562832</v>
      </c>
      <c r="AR232" s="397">
        <f t="shared" si="147"/>
        <v>45694778</v>
      </c>
      <c r="AS232" s="397">
        <f t="shared" si="148"/>
        <v>47990998</v>
      </c>
    </row>
    <row r="233" spans="1:45" ht="15.75">
      <c r="A233" s="228">
        <v>17</v>
      </c>
      <c r="B233" s="228" t="str">
        <f t="shared" si="112"/>
        <v>FRUTA_17</v>
      </c>
      <c r="C233" s="338" t="str">
        <f t="shared" si="113"/>
        <v>58_17</v>
      </c>
      <c r="D233" s="398" t="s">
        <v>1</v>
      </c>
      <c r="E233" s="228">
        <v>58</v>
      </c>
      <c r="F233" s="332" t="s">
        <v>67</v>
      </c>
      <c r="G233" s="228" t="s">
        <v>9</v>
      </c>
      <c r="H233" s="427">
        <f t="shared" si="114"/>
        <v>28</v>
      </c>
      <c r="I233" s="427">
        <f t="shared" si="115"/>
        <v>5</v>
      </c>
      <c r="J233" s="428">
        <f t="array" ref="J233">MAX((IF(MNU_CODIGO_ALIMENTO_ENTREGA=CONCATENATE($E233,"_","S_"),MNU_GRAMAJE_REQUERIDO_TIPOA,"")))</f>
        <v>100</v>
      </c>
      <c r="K233" s="229">
        <f t="shared" si="116"/>
        <v>1199</v>
      </c>
      <c r="L233" s="229">
        <f t="shared" si="117"/>
        <v>0</v>
      </c>
      <c r="M233" s="229">
        <f t="shared" si="118"/>
        <v>33572</v>
      </c>
      <c r="N233" s="454">
        <f t="shared" si="119"/>
        <v>154</v>
      </c>
      <c r="O233" s="454">
        <f t="shared" si="120"/>
        <v>7.515200000000001</v>
      </c>
      <c r="P233" s="454">
        <f t="shared" si="121"/>
        <v>0.13244246400000001</v>
      </c>
      <c r="Q233" s="454">
        <f t="shared" si="122"/>
        <v>162</v>
      </c>
      <c r="R233" s="230">
        <f t="shared" si="123"/>
        <v>5170088</v>
      </c>
      <c r="S233" s="230">
        <f t="shared" si="124"/>
        <v>5438664</v>
      </c>
      <c r="T233" s="429">
        <f t="shared" si="125"/>
        <v>23</v>
      </c>
      <c r="U233" s="429">
        <f t="shared" si="126"/>
        <v>3</v>
      </c>
      <c r="V233" s="430">
        <f t="array" ref="V233">MAX((IF(MNU_CODIGO_ALIMENTO_ENTREGA=CONCATENATE($E233,"_","S_"),MNU_GRAMAJE_REQUERIDO_TIPOB,"")))</f>
        <v>100</v>
      </c>
      <c r="W233" s="397">
        <f t="shared" si="127"/>
        <v>1684</v>
      </c>
      <c r="X233" s="397">
        <f t="shared" si="128"/>
        <v>0</v>
      </c>
      <c r="Y233" s="397">
        <f t="shared" si="129"/>
        <v>38732</v>
      </c>
      <c r="Z233" s="454">
        <f t="shared" si="130"/>
        <v>154</v>
      </c>
      <c r="AA233" s="454">
        <f t="shared" si="131"/>
        <v>7.515200000000001</v>
      </c>
      <c r="AB233" s="454">
        <f t="shared" si="132"/>
        <v>0.13244246400000001</v>
      </c>
      <c r="AC233" s="454">
        <f t="shared" si="133"/>
        <v>162</v>
      </c>
      <c r="AD233" s="231">
        <f t="shared" si="134"/>
        <v>5964728</v>
      </c>
      <c r="AE233" s="231">
        <f t="shared" si="135"/>
        <v>6274584</v>
      </c>
      <c r="AF233" s="427">
        <f t="shared" si="136"/>
        <v>23</v>
      </c>
      <c r="AG233" s="427">
        <f t="shared" si="137"/>
        <v>3</v>
      </c>
      <c r="AH233" s="428">
        <f t="array" ref="AH233">MAX((IF(MNU_CODIGO_ALIMENTO_ENTREGA=CONCATENATE($E233,"_","S_"),MNU_GRAMAJE_REQUERIDO_TIPOC,"")))</f>
        <v>100</v>
      </c>
      <c r="AI233" s="229">
        <f t="shared" si="138"/>
        <v>1651</v>
      </c>
      <c r="AJ233" s="229">
        <f t="shared" si="139"/>
        <v>0</v>
      </c>
      <c r="AK233" s="229">
        <f t="shared" si="140"/>
        <v>37973</v>
      </c>
      <c r="AL233" s="454">
        <f t="shared" si="141"/>
        <v>154</v>
      </c>
      <c r="AM233" s="454">
        <f t="shared" si="142"/>
        <v>7.515200000000001</v>
      </c>
      <c r="AN233" s="454">
        <f t="shared" si="143"/>
        <v>0.13244246400000001</v>
      </c>
      <c r="AO233" s="454">
        <f t="shared" si="144"/>
        <v>162</v>
      </c>
      <c r="AP233" s="454">
        <f t="shared" si="145"/>
        <v>5847842</v>
      </c>
      <c r="AQ233" s="230">
        <f t="shared" si="146"/>
        <v>6151626</v>
      </c>
      <c r="AR233" s="397">
        <f t="shared" si="147"/>
        <v>16982658</v>
      </c>
      <c r="AS233" s="397">
        <f t="shared" si="148"/>
        <v>17864874</v>
      </c>
    </row>
    <row r="234" spans="1:45" ht="15.75">
      <c r="A234" s="228">
        <v>17</v>
      </c>
      <c r="B234" s="228" t="str">
        <f t="shared" si="112"/>
        <v>FRUTA_17</v>
      </c>
      <c r="C234" s="338" t="str">
        <f t="shared" si="113"/>
        <v>59_17</v>
      </c>
      <c r="D234" s="398" t="s">
        <v>1</v>
      </c>
      <c r="E234" s="228">
        <v>59</v>
      </c>
      <c r="F234" s="332" t="s">
        <v>99</v>
      </c>
      <c r="G234" s="228" t="s">
        <v>9</v>
      </c>
      <c r="H234" s="427">
        <f t="shared" si="114"/>
        <v>0</v>
      </c>
      <c r="I234" s="427">
        <f t="shared" si="115"/>
        <v>0</v>
      </c>
      <c r="J234" s="428">
        <f t="array" ref="J234">MAX((IF(MNU_CODIGO_ALIMENTO_ENTREGA=CONCATENATE($E234,"_","S_"),MNU_GRAMAJE_REQUERIDO_TIPOA,"")))</f>
        <v>0</v>
      </c>
      <c r="K234" s="229">
        <f t="shared" si="116"/>
        <v>1199</v>
      </c>
      <c r="L234" s="229">
        <f t="shared" si="117"/>
        <v>0</v>
      </c>
      <c r="M234" s="229">
        <f t="shared" si="118"/>
        <v>0</v>
      </c>
      <c r="N234" s="454">
        <f t="shared" si="119"/>
        <v>0</v>
      </c>
      <c r="O234" s="454">
        <f t="shared" si="120"/>
        <v>0</v>
      </c>
      <c r="P234" s="454">
        <f t="shared" si="121"/>
        <v>0</v>
      </c>
      <c r="Q234" s="454">
        <f t="shared" si="122"/>
        <v>0</v>
      </c>
      <c r="R234" s="230">
        <f t="shared" si="123"/>
        <v>0</v>
      </c>
      <c r="S234" s="230">
        <f t="shared" si="124"/>
        <v>0</v>
      </c>
      <c r="T234" s="429">
        <f t="shared" si="125"/>
        <v>11</v>
      </c>
      <c r="U234" s="429">
        <f t="shared" si="126"/>
        <v>0</v>
      </c>
      <c r="V234" s="430">
        <f t="array" ref="V234">MAX((IF(MNU_CODIGO_ALIMENTO_ENTREGA=CONCATENATE($E234,"_","S_"),MNU_GRAMAJE_REQUERIDO_TIPOB,"")))</f>
        <v>100</v>
      </c>
      <c r="W234" s="397">
        <f t="shared" si="127"/>
        <v>1684</v>
      </c>
      <c r="X234" s="397">
        <f t="shared" si="128"/>
        <v>0</v>
      </c>
      <c r="Y234" s="397">
        <f t="shared" si="129"/>
        <v>18524</v>
      </c>
      <c r="Z234" s="454">
        <f t="shared" si="130"/>
        <v>286</v>
      </c>
      <c r="AA234" s="454">
        <f t="shared" si="131"/>
        <v>13.956800000000001</v>
      </c>
      <c r="AB234" s="454">
        <f t="shared" si="132"/>
        <v>0.24596457599999999</v>
      </c>
      <c r="AC234" s="454">
        <f t="shared" si="133"/>
        <v>300</v>
      </c>
      <c r="AD234" s="231">
        <f t="shared" si="134"/>
        <v>5297864</v>
      </c>
      <c r="AE234" s="231">
        <f t="shared" si="135"/>
        <v>5557200</v>
      </c>
      <c r="AF234" s="427">
        <f t="shared" si="136"/>
        <v>11</v>
      </c>
      <c r="AG234" s="427">
        <f t="shared" si="137"/>
        <v>0</v>
      </c>
      <c r="AH234" s="428">
        <f t="array" ref="AH234">MAX((IF(MNU_CODIGO_ALIMENTO_ENTREGA=CONCATENATE($E234,"_","S_"),MNU_GRAMAJE_REQUERIDO_TIPOC,"")))</f>
        <v>100</v>
      </c>
      <c r="AI234" s="229">
        <f t="shared" si="138"/>
        <v>1651</v>
      </c>
      <c r="AJ234" s="229">
        <f t="shared" si="139"/>
        <v>0</v>
      </c>
      <c r="AK234" s="229">
        <f t="shared" si="140"/>
        <v>18161</v>
      </c>
      <c r="AL234" s="454">
        <f t="shared" si="141"/>
        <v>286</v>
      </c>
      <c r="AM234" s="454">
        <f t="shared" si="142"/>
        <v>13.956800000000001</v>
      </c>
      <c r="AN234" s="454">
        <f t="shared" si="143"/>
        <v>0.24596457599999999</v>
      </c>
      <c r="AO234" s="454">
        <f t="shared" si="144"/>
        <v>300</v>
      </c>
      <c r="AP234" s="454">
        <f t="shared" si="145"/>
        <v>5194046</v>
      </c>
      <c r="AQ234" s="230">
        <f t="shared" si="146"/>
        <v>5448300</v>
      </c>
      <c r="AR234" s="397">
        <f t="shared" si="147"/>
        <v>10491910</v>
      </c>
      <c r="AS234" s="397">
        <f t="shared" si="148"/>
        <v>11005500</v>
      </c>
    </row>
    <row r="235" spans="1:45" ht="15.75">
      <c r="A235" s="228">
        <v>17</v>
      </c>
      <c r="B235" s="228" t="str">
        <f t="shared" si="112"/>
        <v>FRUTA_17</v>
      </c>
      <c r="C235" s="338" t="str">
        <f t="shared" si="113"/>
        <v>69_17</v>
      </c>
      <c r="D235" s="398" t="s">
        <v>1</v>
      </c>
      <c r="E235" s="228">
        <v>69</v>
      </c>
      <c r="F235" s="332" t="s">
        <v>70</v>
      </c>
      <c r="G235" s="228" t="s">
        <v>9</v>
      </c>
      <c r="H235" s="427">
        <f t="shared" si="114"/>
        <v>18</v>
      </c>
      <c r="I235" s="427">
        <f t="shared" si="115"/>
        <v>2</v>
      </c>
      <c r="J235" s="428">
        <f t="array" ref="J235">MAX((IF(MNU_CODIGO_ALIMENTO_ENTREGA=CONCATENATE($E235,"_","S_"),MNU_GRAMAJE_REQUERIDO_TIPOA,"")))</f>
        <v>100</v>
      </c>
      <c r="K235" s="229">
        <f t="shared" si="116"/>
        <v>1199</v>
      </c>
      <c r="L235" s="229">
        <f t="shared" si="117"/>
        <v>0</v>
      </c>
      <c r="M235" s="229">
        <f t="shared" si="118"/>
        <v>21582</v>
      </c>
      <c r="N235" s="454">
        <f t="shared" si="119"/>
        <v>305</v>
      </c>
      <c r="O235" s="454">
        <f t="shared" si="120"/>
        <v>14.884</v>
      </c>
      <c r="P235" s="454">
        <f t="shared" si="121"/>
        <v>0.26230488000000002</v>
      </c>
      <c r="Q235" s="454">
        <f t="shared" si="122"/>
        <v>320</v>
      </c>
      <c r="R235" s="230">
        <f t="shared" si="123"/>
        <v>6582510</v>
      </c>
      <c r="S235" s="230">
        <f t="shared" si="124"/>
        <v>6906240</v>
      </c>
      <c r="T235" s="429">
        <f t="shared" si="125"/>
        <v>12</v>
      </c>
      <c r="U235" s="429">
        <f t="shared" si="126"/>
        <v>2</v>
      </c>
      <c r="V235" s="430">
        <f t="array" ref="V235">MAX((IF(MNU_CODIGO_ALIMENTO_ENTREGA=CONCATENATE($E235,"_","S_"),MNU_GRAMAJE_REQUERIDO_TIPOB,"")))</f>
        <v>100</v>
      </c>
      <c r="W235" s="397">
        <f t="shared" si="127"/>
        <v>1684</v>
      </c>
      <c r="X235" s="397">
        <f t="shared" si="128"/>
        <v>0</v>
      </c>
      <c r="Y235" s="397">
        <f t="shared" si="129"/>
        <v>20208</v>
      </c>
      <c r="Z235" s="454">
        <f t="shared" si="130"/>
        <v>305</v>
      </c>
      <c r="AA235" s="454">
        <f t="shared" si="131"/>
        <v>14.884</v>
      </c>
      <c r="AB235" s="454">
        <f t="shared" si="132"/>
        <v>0.26230488000000002</v>
      </c>
      <c r="AC235" s="454">
        <f t="shared" si="133"/>
        <v>320</v>
      </c>
      <c r="AD235" s="231">
        <f t="shared" si="134"/>
        <v>6163440</v>
      </c>
      <c r="AE235" s="231">
        <f t="shared" si="135"/>
        <v>6466560</v>
      </c>
      <c r="AF235" s="427">
        <f t="shared" si="136"/>
        <v>12</v>
      </c>
      <c r="AG235" s="427">
        <f t="shared" si="137"/>
        <v>2</v>
      </c>
      <c r="AH235" s="428">
        <f t="array" ref="AH235">MAX((IF(MNU_CODIGO_ALIMENTO_ENTREGA=CONCATENATE($E235,"_","S_"),MNU_GRAMAJE_REQUERIDO_TIPOC,"")))</f>
        <v>100</v>
      </c>
      <c r="AI235" s="229">
        <f t="shared" si="138"/>
        <v>1651</v>
      </c>
      <c r="AJ235" s="229">
        <f t="shared" si="139"/>
        <v>0</v>
      </c>
      <c r="AK235" s="229">
        <f t="shared" si="140"/>
        <v>19812</v>
      </c>
      <c r="AL235" s="454">
        <f t="shared" si="141"/>
        <v>305</v>
      </c>
      <c r="AM235" s="454">
        <f t="shared" si="142"/>
        <v>14.884</v>
      </c>
      <c r="AN235" s="454">
        <f t="shared" si="143"/>
        <v>0.26230488000000002</v>
      </c>
      <c r="AO235" s="454">
        <f t="shared" si="144"/>
        <v>320</v>
      </c>
      <c r="AP235" s="454">
        <f t="shared" si="145"/>
        <v>6042660</v>
      </c>
      <c r="AQ235" s="230">
        <f t="shared" si="146"/>
        <v>6339840</v>
      </c>
      <c r="AR235" s="397">
        <f t="shared" si="147"/>
        <v>18788610</v>
      </c>
      <c r="AS235" s="397">
        <f t="shared" si="148"/>
        <v>19712640</v>
      </c>
    </row>
    <row r="236" spans="1:45" ht="15.75">
      <c r="A236" s="228">
        <v>17</v>
      </c>
      <c r="B236" s="228" t="str">
        <f t="shared" si="112"/>
        <v>FRUTA_17</v>
      </c>
      <c r="C236" s="338" t="str">
        <f t="shared" si="113"/>
        <v>70_17</v>
      </c>
      <c r="D236" s="398" t="s">
        <v>1</v>
      </c>
      <c r="E236" s="228">
        <v>70</v>
      </c>
      <c r="F236" s="332" t="s">
        <v>71</v>
      </c>
      <c r="G236" s="228" t="s">
        <v>9</v>
      </c>
      <c r="H236" s="427">
        <f t="shared" si="114"/>
        <v>0</v>
      </c>
      <c r="I236" s="427">
        <f t="shared" si="115"/>
        <v>0</v>
      </c>
      <c r="J236" s="428">
        <f t="array" ref="J236">MAX((IF(MNU_CODIGO_ALIMENTO_ENTREGA=CONCATENATE($E236,"_","S_"),MNU_GRAMAJE_REQUERIDO_TIPOA,"")))</f>
        <v>0</v>
      </c>
      <c r="K236" s="229">
        <f t="shared" si="116"/>
        <v>1199</v>
      </c>
      <c r="L236" s="229">
        <f t="shared" si="117"/>
        <v>0</v>
      </c>
      <c r="M236" s="229">
        <f t="shared" si="118"/>
        <v>0</v>
      </c>
      <c r="N236" s="454">
        <f t="shared" si="119"/>
        <v>0</v>
      </c>
      <c r="O236" s="454">
        <f t="shared" si="120"/>
        <v>0</v>
      </c>
      <c r="P236" s="454">
        <f t="shared" si="121"/>
        <v>0</v>
      </c>
      <c r="Q236" s="454">
        <f t="shared" si="122"/>
        <v>0</v>
      </c>
      <c r="R236" s="230">
        <f t="shared" si="123"/>
        <v>0</v>
      </c>
      <c r="S236" s="230">
        <f t="shared" si="124"/>
        <v>0</v>
      </c>
      <c r="T236" s="429">
        <f t="shared" si="125"/>
        <v>8</v>
      </c>
      <c r="U236" s="429">
        <f t="shared" si="126"/>
        <v>4</v>
      </c>
      <c r="V236" s="430">
        <f t="array" ref="V236">MAX((IF(MNU_CODIGO_ALIMENTO_ENTREGA=CONCATENATE($E236,"_","S_"),MNU_GRAMAJE_REQUERIDO_TIPOB,"")))</f>
        <v>100</v>
      </c>
      <c r="W236" s="397">
        <f t="shared" si="127"/>
        <v>1684</v>
      </c>
      <c r="X236" s="397">
        <f t="shared" si="128"/>
        <v>0</v>
      </c>
      <c r="Y236" s="397">
        <f t="shared" si="129"/>
        <v>13472</v>
      </c>
      <c r="Z236" s="454">
        <f t="shared" si="130"/>
        <v>434</v>
      </c>
      <c r="AA236" s="454">
        <f t="shared" si="131"/>
        <v>21.179200000000002</v>
      </c>
      <c r="AB236" s="454">
        <f t="shared" si="132"/>
        <v>0.37324694399999997</v>
      </c>
      <c r="AC236" s="454">
        <f t="shared" si="133"/>
        <v>456</v>
      </c>
      <c r="AD236" s="231">
        <f t="shared" si="134"/>
        <v>5846848</v>
      </c>
      <c r="AE236" s="231">
        <f t="shared" si="135"/>
        <v>6143232</v>
      </c>
      <c r="AF236" s="427">
        <f t="shared" si="136"/>
        <v>8</v>
      </c>
      <c r="AG236" s="427">
        <f t="shared" si="137"/>
        <v>4</v>
      </c>
      <c r="AH236" s="428">
        <f t="array" ref="AH236">MAX((IF(MNU_CODIGO_ALIMENTO_ENTREGA=CONCATENATE($E236,"_","S_"),MNU_GRAMAJE_REQUERIDO_TIPOC,"")))</f>
        <v>100</v>
      </c>
      <c r="AI236" s="229">
        <f t="shared" si="138"/>
        <v>1651</v>
      </c>
      <c r="AJ236" s="229">
        <f t="shared" si="139"/>
        <v>0</v>
      </c>
      <c r="AK236" s="229">
        <f t="shared" si="140"/>
        <v>13208</v>
      </c>
      <c r="AL236" s="454">
        <f t="shared" si="141"/>
        <v>434</v>
      </c>
      <c r="AM236" s="454">
        <f t="shared" si="142"/>
        <v>21.179200000000002</v>
      </c>
      <c r="AN236" s="454">
        <f t="shared" si="143"/>
        <v>0.37324694399999997</v>
      </c>
      <c r="AO236" s="454">
        <f t="shared" si="144"/>
        <v>456</v>
      </c>
      <c r="AP236" s="454">
        <f t="shared" si="145"/>
        <v>5732272</v>
      </c>
      <c r="AQ236" s="230">
        <f t="shared" si="146"/>
        <v>6022848</v>
      </c>
      <c r="AR236" s="397">
        <f t="shared" si="147"/>
        <v>11579120</v>
      </c>
      <c r="AS236" s="397">
        <f t="shared" si="148"/>
        <v>12166080</v>
      </c>
    </row>
    <row r="237" spans="1:45" ht="15.75">
      <c r="A237" s="228">
        <v>18</v>
      </c>
      <c r="B237" s="228" t="str">
        <f t="shared" si="112"/>
        <v>FRUTA_18</v>
      </c>
      <c r="C237" s="338" t="str">
        <f t="shared" si="113"/>
        <v>7_18</v>
      </c>
      <c r="D237" s="398" t="s">
        <v>1</v>
      </c>
      <c r="E237" s="228">
        <v>7</v>
      </c>
      <c r="F237" s="332" t="s">
        <v>57</v>
      </c>
      <c r="G237" s="228" t="s">
        <v>9</v>
      </c>
      <c r="H237" s="427">
        <f t="shared" si="114"/>
        <v>31</v>
      </c>
      <c r="I237" s="427">
        <f t="shared" si="115"/>
        <v>0</v>
      </c>
      <c r="J237" s="428">
        <f t="array" ref="J237">MAX((IF(MNU_CODIGO_ALIMENTO_ENTREGA=CONCATENATE($E237,"_","S_"),MNU_GRAMAJE_REQUERIDO_TIPOA,"")))</f>
        <v>100</v>
      </c>
      <c r="K237" s="229">
        <f t="shared" si="116"/>
        <v>900</v>
      </c>
      <c r="L237" s="229">
        <f t="shared" si="117"/>
        <v>0</v>
      </c>
      <c r="M237" s="229">
        <f t="shared" si="118"/>
        <v>27900</v>
      </c>
      <c r="N237" s="454">
        <f t="shared" si="119"/>
        <v>107</v>
      </c>
      <c r="O237" s="454">
        <f t="shared" si="120"/>
        <v>5.2216000000000005</v>
      </c>
      <c r="P237" s="454">
        <f t="shared" si="121"/>
        <v>9.2021712000000006E-2</v>
      </c>
      <c r="Q237" s="454">
        <f t="shared" si="122"/>
        <v>112</v>
      </c>
      <c r="R237" s="230">
        <f t="shared" si="123"/>
        <v>2985300</v>
      </c>
      <c r="S237" s="230">
        <f t="shared" si="124"/>
        <v>3124800</v>
      </c>
      <c r="T237" s="429">
        <f t="shared" si="125"/>
        <v>11</v>
      </c>
      <c r="U237" s="429">
        <f t="shared" si="126"/>
        <v>0</v>
      </c>
      <c r="V237" s="430">
        <f t="array" ref="V237">MAX((IF(MNU_CODIGO_ALIMENTO_ENTREGA=CONCATENATE($E237,"_","S_"),MNU_GRAMAJE_REQUERIDO_TIPOB,"")))</f>
        <v>100</v>
      </c>
      <c r="W237" s="397">
        <f t="shared" si="127"/>
        <v>1076</v>
      </c>
      <c r="X237" s="397">
        <f t="shared" si="128"/>
        <v>210</v>
      </c>
      <c r="Y237" s="397">
        <f t="shared" si="129"/>
        <v>11836</v>
      </c>
      <c r="Z237" s="454">
        <f t="shared" si="130"/>
        <v>107</v>
      </c>
      <c r="AA237" s="454">
        <f t="shared" si="131"/>
        <v>5.2216000000000005</v>
      </c>
      <c r="AB237" s="454">
        <f t="shared" si="132"/>
        <v>9.2021712000000006E-2</v>
      </c>
      <c r="AC237" s="454">
        <f t="shared" si="133"/>
        <v>112</v>
      </c>
      <c r="AD237" s="231">
        <f t="shared" si="134"/>
        <v>1266452</v>
      </c>
      <c r="AE237" s="231">
        <f t="shared" si="135"/>
        <v>1325632</v>
      </c>
      <c r="AF237" s="427">
        <f t="shared" si="136"/>
        <v>11</v>
      </c>
      <c r="AG237" s="427">
        <f t="shared" si="137"/>
        <v>0</v>
      </c>
      <c r="AH237" s="428">
        <f t="array" ref="AH237">MAX((IF(MNU_CODIGO_ALIMENTO_ENTREGA=CONCATENATE($E237,"_","S_"),MNU_GRAMAJE_REQUERIDO_TIPOC,"")))</f>
        <v>100</v>
      </c>
      <c r="AI237" s="229">
        <f t="shared" si="138"/>
        <v>908</v>
      </c>
      <c r="AJ237" s="229">
        <f t="shared" si="139"/>
        <v>465</v>
      </c>
      <c r="AK237" s="229">
        <f t="shared" si="140"/>
        <v>9988</v>
      </c>
      <c r="AL237" s="454">
        <f t="shared" si="141"/>
        <v>107</v>
      </c>
      <c r="AM237" s="454">
        <f t="shared" si="142"/>
        <v>5.2216000000000005</v>
      </c>
      <c r="AN237" s="454">
        <f t="shared" si="143"/>
        <v>9.2021712000000006E-2</v>
      </c>
      <c r="AO237" s="454">
        <f t="shared" si="144"/>
        <v>112</v>
      </c>
      <c r="AP237" s="454">
        <f t="shared" si="145"/>
        <v>1068716</v>
      </c>
      <c r="AQ237" s="230">
        <f t="shared" si="146"/>
        <v>1118656</v>
      </c>
      <c r="AR237" s="397">
        <f t="shared" si="147"/>
        <v>5320468</v>
      </c>
      <c r="AS237" s="397">
        <f t="shared" si="148"/>
        <v>5569088</v>
      </c>
    </row>
    <row r="238" spans="1:45" ht="15.75">
      <c r="A238" s="228">
        <v>18</v>
      </c>
      <c r="B238" s="228" t="str">
        <f t="shared" si="112"/>
        <v>FRUTA_18</v>
      </c>
      <c r="C238" s="338" t="str">
        <f t="shared" si="113"/>
        <v>8_18</v>
      </c>
      <c r="D238" s="398" t="s">
        <v>1</v>
      </c>
      <c r="E238" s="228">
        <v>8</v>
      </c>
      <c r="F238" s="332" t="s">
        <v>55</v>
      </c>
      <c r="G238" s="228" t="s">
        <v>9</v>
      </c>
      <c r="H238" s="427">
        <f t="shared" si="114"/>
        <v>11</v>
      </c>
      <c r="I238" s="427">
        <f t="shared" si="115"/>
        <v>0</v>
      </c>
      <c r="J238" s="428">
        <f t="array" ref="J238">MAX((IF(MNU_CODIGO_ALIMENTO_ENTREGA=CONCATENATE($E238,"_","S_"),MNU_GRAMAJE_REQUERIDO_TIPOA,"")))</f>
        <v>100</v>
      </c>
      <c r="K238" s="229">
        <f t="shared" si="116"/>
        <v>900</v>
      </c>
      <c r="L238" s="229">
        <f t="shared" si="117"/>
        <v>0</v>
      </c>
      <c r="M238" s="229">
        <f t="shared" si="118"/>
        <v>9900</v>
      </c>
      <c r="N238" s="454">
        <f t="shared" si="119"/>
        <v>134</v>
      </c>
      <c r="O238" s="454">
        <f t="shared" si="120"/>
        <v>6.539200000000001</v>
      </c>
      <c r="P238" s="454">
        <f t="shared" si="121"/>
        <v>0.115242144</v>
      </c>
      <c r="Q238" s="454">
        <f t="shared" si="122"/>
        <v>141</v>
      </c>
      <c r="R238" s="230">
        <f t="shared" si="123"/>
        <v>1326600</v>
      </c>
      <c r="S238" s="230">
        <f t="shared" si="124"/>
        <v>1395900</v>
      </c>
      <c r="T238" s="429">
        <f t="shared" si="125"/>
        <v>11</v>
      </c>
      <c r="U238" s="429">
        <f t="shared" si="126"/>
        <v>0</v>
      </c>
      <c r="V238" s="430">
        <f t="array" ref="V238">MAX((IF(MNU_CODIGO_ALIMENTO_ENTREGA=CONCATENATE($E238,"_","S_"),MNU_GRAMAJE_REQUERIDO_TIPOB,"")))</f>
        <v>100</v>
      </c>
      <c r="W238" s="397">
        <f t="shared" si="127"/>
        <v>1076</v>
      </c>
      <c r="X238" s="397">
        <f t="shared" si="128"/>
        <v>210</v>
      </c>
      <c r="Y238" s="397">
        <f t="shared" si="129"/>
        <v>11836</v>
      </c>
      <c r="Z238" s="454">
        <f t="shared" si="130"/>
        <v>134</v>
      </c>
      <c r="AA238" s="454">
        <f t="shared" si="131"/>
        <v>6.539200000000001</v>
      </c>
      <c r="AB238" s="454">
        <f t="shared" si="132"/>
        <v>0.115242144</v>
      </c>
      <c r="AC238" s="454">
        <f t="shared" si="133"/>
        <v>141</v>
      </c>
      <c r="AD238" s="231">
        <f t="shared" si="134"/>
        <v>1586024</v>
      </c>
      <c r="AE238" s="231">
        <f t="shared" si="135"/>
        <v>1668876</v>
      </c>
      <c r="AF238" s="427">
        <f t="shared" si="136"/>
        <v>11</v>
      </c>
      <c r="AG238" s="427">
        <f t="shared" si="137"/>
        <v>0</v>
      </c>
      <c r="AH238" s="428">
        <f t="array" ref="AH238">MAX((IF(MNU_CODIGO_ALIMENTO_ENTREGA=CONCATENATE($E238,"_","S_"),MNU_GRAMAJE_REQUERIDO_TIPOC,"")))</f>
        <v>100</v>
      </c>
      <c r="AI238" s="229">
        <f t="shared" si="138"/>
        <v>908</v>
      </c>
      <c r="AJ238" s="229">
        <f t="shared" si="139"/>
        <v>465</v>
      </c>
      <c r="AK238" s="229">
        <f t="shared" si="140"/>
        <v>9988</v>
      </c>
      <c r="AL238" s="454">
        <f t="shared" si="141"/>
        <v>134</v>
      </c>
      <c r="AM238" s="454">
        <f t="shared" si="142"/>
        <v>6.539200000000001</v>
      </c>
      <c r="AN238" s="454">
        <f t="shared" si="143"/>
        <v>0.115242144</v>
      </c>
      <c r="AO238" s="454">
        <f t="shared" si="144"/>
        <v>141</v>
      </c>
      <c r="AP238" s="454">
        <f t="shared" si="145"/>
        <v>1338392</v>
      </c>
      <c r="AQ238" s="230">
        <f t="shared" si="146"/>
        <v>1408308</v>
      </c>
      <c r="AR238" s="397">
        <f t="shared" si="147"/>
        <v>4251016</v>
      </c>
      <c r="AS238" s="397">
        <f t="shared" si="148"/>
        <v>4473084</v>
      </c>
    </row>
    <row r="239" spans="1:45" ht="15.75">
      <c r="A239" s="228">
        <v>18</v>
      </c>
      <c r="B239" s="228" t="str">
        <f t="shared" si="112"/>
        <v>FRUTA_18</v>
      </c>
      <c r="C239" s="338" t="str">
        <f t="shared" si="113"/>
        <v>17_18</v>
      </c>
      <c r="D239" s="398" t="s">
        <v>1</v>
      </c>
      <c r="E239" s="228">
        <v>17</v>
      </c>
      <c r="F239" s="332" t="s">
        <v>53</v>
      </c>
      <c r="G239" s="228" t="s">
        <v>9</v>
      </c>
      <c r="H239" s="427">
        <f t="shared" si="114"/>
        <v>0</v>
      </c>
      <c r="I239" s="427">
        <f t="shared" si="115"/>
        <v>0</v>
      </c>
      <c r="J239" s="428">
        <f t="array" ref="J239">MAX((IF(MNU_CODIGO_ALIMENTO_ENTREGA=CONCATENATE($E239,"_","S_"),MNU_GRAMAJE_REQUERIDO_TIPOA,"")))</f>
        <v>0</v>
      </c>
      <c r="K239" s="229">
        <f t="shared" si="116"/>
        <v>900</v>
      </c>
      <c r="L239" s="229">
        <f t="shared" si="117"/>
        <v>0</v>
      </c>
      <c r="M239" s="229">
        <f t="shared" si="118"/>
        <v>0</v>
      </c>
      <c r="N239" s="454">
        <f t="shared" si="119"/>
        <v>0</v>
      </c>
      <c r="O239" s="454">
        <f t="shared" si="120"/>
        <v>0</v>
      </c>
      <c r="P239" s="454">
        <f t="shared" si="121"/>
        <v>0</v>
      </c>
      <c r="Q239" s="454">
        <f t="shared" si="122"/>
        <v>0</v>
      </c>
      <c r="R239" s="230">
        <f t="shared" si="123"/>
        <v>0</v>
      </c>
      <c r="S239" s="230">
        <f t="shared" si="124"/>
        <v>0</v>
      </c>
      <c r="T239" s="429">
        <f t="shared" si="125"/>
        <v>23</v>
      </c>
      <c r="U239" s="429">
        <f t="shared" si="126"/>
        <v>4</v>
      </c>
      <c r="V239" s="430">
        <f t="array" ref="V239">MAX((IF(MNU_CODIGO_ALIMENTO_ENTREGA=CONCATENATE($E239,"_","S_"),MNU_GRAMAJE_REQUERIDO_TIPOB,"")))</f>
        <v>100</v>
      </c>
      <c r="W239" s="397">
        <f t="shared" si="127"/>
        <v>1076</v>
      </c>
      <c r="X239" s="397">
        <f t="shared" si="128"/>
        <v>210</v>
      </c>
      <c r="Y239" s="397">
        <f t="shared" si="129"/>
        <v>25588</v>
      </c>
      <c r="Z239" s="454">
        <f t="shared" si="130"/>
        <v>226</v>
      </c>
      <c r="AA239" s="454">
        <f t="shared" si="131"/>
        <v>11.0288</v>
      </c>
      <c r="AB239" s="454">
        <f t="shared" si="132"/>
        <v>0.19436361600000002</v>
      </c>
      <c r="AC239" s="454">
        <f t="shared" si="133"/>
        <v>237</v>
      </c>
      <c r="AD239" s="231">
        <f t="shared" si="134"/>
        <v>5782888</v>
      </c>
      <c r="AE239" s="231">
        <f t="shared" si="135"/>
        <v>6064356</v>
      </c>
      <c r="AF239" s="427">
        <f t="shared" si="136"/>
        <v>23</v>
      </c>
      <c r="AG239" s="427">
        <f t="shared" si="137"/>
        <v>4</v>
      </c>
      <c r="AH239" s="428">
        <f t="array" ref="AH239">MAX((IF(MNU_CODIGO_ALIMENTO_ENTREGA=CONCATENATE($E239,"_","S_"),MNU_GRAMAJE_REQUERIDO_TIPOC,"")))</f>
        <v>100</v>
      </c>
      <c r="AI239" s="229">
        <f t="shared" si="138"/>
        <v>908</v>
      </c>
      <c r="AJ239" s="229">
        <f t="shared" si="139"/>
        <v>465</v>
      </c>
      <c r="AK239" s="229">
        <f t="shared" si="140"/>
        <v>22744</v>
      </c>
      <c r="AL239" s="454">
        <f t="shared" si="141"/>
        <v>226</v>
      </c>
      <c r="AM239" s="454">
        <f t="shared" si="142"/>
        <v>11.0288</v>
      </c>
      <c r="AN239" s="454">
        <f t="shared" si="143"/>
        <v>0.19436361600000002</v>
      </c>
      <c r="AO239" s="454">
        <f t="shared" si="144"/>
        <v>237</v>
      </c>
      <c r="AP239" s="454">
        <f t="shared" si="145"/>
        <v>5140144</v>
      </c>
      <c r="AQ239" s="230">
        <f t="shared" si="146"/>
        <v>5390328</v>
      </c>
      <c r="AR239" s="397">
        <f t="shared" si="147"/>
        <v>10923032</v>
      </c>
      <c r="AS239" s="397">
        <f t="shared" si="148"/>
        <v>11454684</v>
      </c>
    </row>
    <row r="240" spans="1:45" ht="15.75">
      <c r="A240" s="228">
        <v>18</v>
      </c>
      <c r="B240" s="228" t="str">
        <f t="shared" si="112"/>
        <v>FRUTA_18</v>
      </c>
      <c r="C240" s="338" t="str">
        <f t="shared" si="113"/>
        <v>22_18</v>
      </c>
      <c r="D240" s="398" t="s">
        <v>1</v>
      </c>
      <c r="E240" s="228">
        <v>22</v>
      </c>
      <c r="F240" s="332" t="s">
        <v>51</v>
      </c>
      <c r="G240" s="228" t="s">
        <v>9</v>
      </c>
      <c r="H240" s="427">
        <f t="shared" si="114"/>
        <v>0</v>
      </c>
      <c r="I240" s="427">
        <f t="shared" si="115"/>
        <v>0</v>
      </c>
      <c r="J240" s="428">
        <f t="array" ref="J240">MAX((IF(MNU_CODIGO_ALIMENTO_ENTREGA=CONCATENATE($E240,"_","S_"),MNU_GRAMAJE_REQUERIDO_TIPOA,"")))</f>
        <v>0</v>
      </c>
      <c r="K240" s="229">
        <f t="shared" si="116"/>
        <v>900</v>
      </c>
      <c r="L240" s="229">
        <f t="shared" si="117"/>
        <v>0</v>
      </c>
      <c r="M240" s="229">
        <f t="shared" si="118"/>
        <v>0</v>
      </c>
      <c r="N240" s="454">
        <f t="shared" si="119"/>
        <v>0</v>
      </c>
      <c r="O240" s="454">
        <f t="shared" si="120"/>
        <v>0</v>
      </c>
      <c r="P240" s="454">
        <f t="shared" si="121"/>
        <v>0</v>
      </c>
      <c r="Q240" s="454">
        <f t="shared" si="122"/>
        <v>0</v>
      </c>
      <c r="R240" s="230">
        <f t="shared" si="123"/>
        <v>0</v>
      </c>
      <c r="S240" s="230">
        <f t="shared" si="124"/>
        <v>0</v>
      </c>
      <c r="T240" s="429">
        <f t="shared" si="125"/>
        <v>23</v>
      </c>
      <c r="U240" s="429">
        <f t="shared" si="126"/>
        <v>4</v>
      </c>
      <c r="V240" s="430">
        <f t="array" ref="V240">MAX((IF(MNU_CODIGO_ALIMENTO_ENTREGA=CONCATENATE($E240,"_","S_"),MNU_GRAMAJE_REQUERIDO_TIPOB,"")))</f>
        <v>100</v>
      </c>
      <c r="W240" s="397">
        <f t="shared" si="127"/>
        <v>1076</v>
      </c>
      <c r="X240" s="397">
        <f t="shared" si="128"/>
        <v>210</v>
      </c>
      <c r="Y240" s="397">
        <f t="shared" si="129"/>
        <v>25588</v>
      </c>
      <c r="Z240" s="454">
        <f t="shared" si="130"/>
        <v>525</v>
      </c>
      <c r="AA240" s="454">
        <f t="shared" si="131"/>
        <v>25.62</v>
      </c>
      <c r="AB240" s="454">
        <f t="shared" si="132"/>
        <v>0.45150840000000003</v>
      </c>
      <c r="AC240" s="454">
        <f t="shared" si="133"/>
        <v>551</v>
      </c>
      <c r="AD240" s="231">
        <f t="shared" si="134"/>
        <v>13433700</v>
      </c>
      <c r="AE240" s="231">
        <f t="shared" si="135"/>
        <v>14098988</v>
      </c>
      <c r="AF240" s="427">
        <f t="shared" si="136"/>
        <v>23</v>
      </c>
      <c r="AG240" s="427">
        <f t="shared" si="137"/>
        <v>4</v>
      </c>
      <c r="AH240" s="428">
        <f t="array" ref="AH240">MAX((IF(MNU_CODIGO_ALIMENTO_ENTREGA=CONCATENATE($E240,"_","S_"),MNU_GRAMAJE_REQUERIDO_TIPOC,"")))</f>
        <v>100</v>
      </c>
      <c r="AI240" s="229">
        <f t="shared" si="138"/>
        <v>908</v>
      </c>
      <c r="AJ240" s="229">
        <f t="shared" si="139"/>
        <v>465</v>
      </c>
      <c r="AK240" s="229">
        <f t="shared" si="140"/>
        <v>22744</v>
      </c>
      <c r="AL240" s="454">
        <f t="shared" si="141"/>
        <v>525</v>
      </c>
      <c r="AM240" s="454">
        <f t="shared" si="142"/>
        <v>25.62</v>
      </c>
      <c r="AN240" s="454">
        <f t="shared" si="143"/>
        <v>0.45150840000000003</v>
      </c>
      <c r="AO240" s="454">
        <f t="shared" si="144"/>
        <v>551</v>
      </c>
      <c r="AP240" s="454">
        <f t="shared" si="145"/>
        <v>11940600</v>
      </c>
      <c r="AQ240" s="230">
        <f t="shared" si="146"/>
        <v>12531944</v>
      </c>
      <c r="AR240" s="397">
        <f t="shared" si="147"/>
        <v>25374300</v>
      </c>
      <c r="AS240" s="397">
        <f t="shared" si="148"/>
        <v>26630932</v>
      </c>
    </row>
    <row r="241" spans="1:45" ht="15.75">
      <c r="A241" s="228">
        <v>18</v>
      </c>
      <c r="B241" s="228" t="str">
        <f t="shared" si="112"/>
        <v>FRUTA_18</v>
      </c>
      <c r="C241" s="338" t="str">
        <f t="shared" si="113"/>
        <v>33_18</v>
      </c>
      <c r="D241" s="398" t="s">
        <v>1</v>
      </c>
      <c r="E241" s="228">
        <v>33</v>
      </c>
      <c r="F241" s="332" t="s">
        <v>59</v>
      </c>
      <c r="G241" s="228" t="s">
        <v>48</v>
      </c>
      <c r="H241" s="427">
        <f t="shared" si="114"/>
        <v>29</v>
      </c>
      <c r="I241" s="427">
        <f t="shared" si="115"/>
        <v>5</v>
      </c>
      <c r="J241" s="428">
        <v>1</v>
      </c>
      <c r="K241" s="229">
        <f t="shared" si="116"/>
        <v>900</v>
      </c>
      <c r="L241" s="229">
        <f t="shared" si="117"/>
        <v>0</v>
      </c>
      <c r="M241" s="229">
        <f t="shared" si="118"/>
        <v>26100</v>
      </c>
      <c r="N241" s="454">
        <f t="shared" si="119"/>
        <v>270</v>
      </c>
      <c r="O241" s="454">
        <f t="shared" si="120"/>
        <v>13.176000000000002</v>
      </c>
      <c r="P241" s="454">
        <f t="shared" si="121"/>
        <v>0.23220432000000002</v>
      </c>
      <c r="Q241" s="454">
        <f t="shared" si="122"/>
        <v>283</v>
      </c>
      <c r="R241" s="230">
        <f t="shared" si="123"/>
        <v>7047000</v>
      </c>
      <c r="S241" s="230">
        <f t="shared" si="124"/>
        <v>7386300</v>
      </c>
      <c r="T241" s="429">
        <f t="shared" si="125"/>
        <v>23</v>
      </c>
      <c r="U241" s="429">
        <f t="shared" si="126"/>
        <v>2</v>
      </c>
      <c r="V241" s="430">
        <v>1</v>
      </c>
      <c r="W241" s="397">
        <f t="shared" si="127"/>
        <v>1076</v>
      </c>
      <c r="X241" s="397">
        <f t="shared" si="128"/>
        <v>210</v>
      </c>
      <c r="Y241" s="397">
        <f t="shared" si="129"/>
        <v>25168</v>
      </c>
      <c r="Z241" s="454">
        <f t="shared" si="130"/>
        <v>270</v>
      </c>
      <c r="AA241" s="454">
        <f t="shared" si="131"/>
        <v>13.176000000000002</v>
      </c>
      <c r="AB241" s="454">
        <f t="shared" si="132"/>
        <v>0.23220432000000002</v>
      </c>
      <c r="AC241" s="454">
        <f t="shared" si="133"/>
        <v>283</v>
      </c>
      <c r="AD241" s="231">
        <f t="shared" si="134"/>
        <v>6795360</v>
      </c>
      <c r="AE241" s="231">
        <f t="shared" si="135"/>
        <v>7122544</v>
      </c>
      <c r="AF241" s="427">
        <f t="shared" si="136"/>
        <v>23</v>
      </c>
      <c r="AG241" s="427">
        <f t="shared" si="137"/>
        <v>2</v>
      </c>
      <c r="AH241" s="428">
        <v>1</v>
      </c>
      <c r="AI241" s="229">
        <f t="shared" si="138"/>
        <v>908</v>
      </c>
      <c r="AJ241" s="229">
        <f t="shared" si="139"/>
        <v>465</v>
      </c>
      <c r="AK241" s="229">
        <f t="shared" si="140"/>
        <v>21814</v>
      </c>
      <c r="AL241" s="454">
        <f t="shared" si="141"/>
        <v>270</v>
      </c>
      <c r="AM241" s="454">
        <f t="shared" si="142"/>
        <v>13.176000000000002</v>
      </c>
      <c r="AN241" s="454">
        <f t="shared" si="143"/>
        <v>0.23220432000000002</v>
      </c>
      <c r="AO241" s="454">
        <f t="shared" si="144"/>
        <v>283</v>
      </c>
      <c r="AP241" s="454">
        <f t="shared" si="145"/>
        <v>5889780</v>
      </c>
      <c r="AQ241" s="230">
        <f t="shared" si="146"/>
        <v>6173362</v>
      </c>
      <c r="AR241" s="397">
        <f t="shared" si="147"/>
        <v>19732140</v>
      </c>
      <c r="AS241" s="397">
        <f t="shared" si="148"/>
        <v>20682206</v>
      </c>
    </row>
    <row r="242" spans="1:45" ht="15.75">
      <c r="A242" s="228">
        <v>18</v>
      </c>
      <c r="B242" s="228" t="str">
        <f t="shared" si="112"/>
        <v>FRUTA_18</v>
      </c>
      <c r="C242" s="338" t="str">
        <f t="shared" si="113"/>
        <v>36_18</v>
      </c>
      <c r="D242" s="398" t="s">
        <v>1</v>
      </c>
      <c r="E242" s="228">
        <v>36</v>
      </c>
      <c r="F242" s="332" t="s">
        <v>1340</v>
      </c>
      <c r="G242" s="228" t="s">
        <v>9</v>
      </c>
      <c r="H242" s="427">
        <f t="shared" si="114"/>
        <v>8</v>
      </c>
      <c r="I242" s="427">
        <f t="shared" si="115"/>
        <v>0</v>
      </c>
      <c r="J242" s="428">
        <f t="array" ref="J242">MAX((IF(MNU_CODIGO_ALIMENTO_ENTREGA=CONCATENATE($E242,"_","S_"),MNU_GRAMAJE_REQUERIDO_TIPOA,"")))</f>
        <v>20</v>
      </c>
      <c r="K242" s="229">
        <f t="shared" si="116"/>
        <v>900</v>
      </c>
      <c r="L242" s="229">
        <f t="shared" si="117"/>
        <v>0</v>
      </c>
      <c r="M242" s="229">
        <f t="shared" si="118"/>
        <v>7200</v>
      </c>
      <c r="N242" s="454">
        <f t="shared" si="119"/>
        <v>126</v>
      </c>
      <c r="O242" s="454">
        <f t="shared" si="120"/>
        <v>6.1488000000000005</v>
      </c>
      <c r="P242" s="454">
        <f t="shared" si="121"/>
        <v>0.10836201599999999</v>
      </c>
      <c r="Q242" s="454">
        <f t="shared" si="122"/>
        <v>132</v>
      </c>
      <c r="R242" s="230">
        <f t="shared" si="123"/>
        <v>907200</v>
      </c>
      <c r="S242" s="230">
        <f t="shared" si="124"/>
        <v>950400</v>
      </c>
      <c r="T242" s="429">
        <f t="shared" si="125"/>
        <v>8</v>
      </c>
      <c r="U242" s="429">
        <f t="shared" si="126"/>
        <v>0</v>
      </c>
      <c r="V242" s="430">
        <f t="array" ref="V242">MAX((IF(MNU_CODIGO_ALIMENTO_ENTREGA=CONCATENATE($E242,"_","S_"),MNU_GRAMAJE_REQUERIDO_TIPOB,"")))</f>
        <v>40</v>
      </c>
      <c r="W242" s="397">
        <f t="shared" si="127"/>
        <v>1076</v>
      </c>
      <c r="X242" s="397">
        <f t="shared" si="128"/>
        <v>210</v>
      </c>
      <c r="Y242" s="397">
        <f t="shared" si="129"/>
        <v>8608</v>
      </c>
      <c r="Z242" s="454">
        <f t="shared" si="130"/>
        <v>252</v>
      </c>
      <c r="AA242" s="454">
        <f t="shared" si="131"/>
        <v>12.297600000000001</v>
      </c>
      <c r="AB242" s="454">
        <f t="shared" si="132"/>
        <v>0.21672403199999998</v>
      </c>
      <c r="AC242" s="454">
        <f t="shared" si="133"/>
        <v>265</v>
      </c>
      <c r="AD242" s="231">
        <f t="shared" si="134"/>
        <v>2169216</v>
      </c>
      <c r="AE242" s="231">
        <f t="shared" si="135"/>
        <v>2281120</v>
      </c>
      <c r="AF242" s="427">
        <f t="shared" si="136"/>
        <v>8</v>
      </c>
      <c r="AG242" s="427">
        <f t="shared" si="137"/>
        <v>0</v>
      </c>
      <c r="AH242" s="428">
        <f t="array" ref="AH242">MAX((IF(MNU_CODIGO_ALIMENTO_ENTREGA=CONCATENATE($E242,"_","S_"),MNU_GRAMAJE_REQUERIDO_TIPOC,"")))</f>
        <v>40</v>
      </c>
      <c r="AI242" s="229">
        <f t="shared" si="138"/>
        <v>908</v>
      </c>
      <c r="AJ242" s="229">
        <f t="shared" si="139"/>
        <v>465</v>
      </c>
      <c r="AK242" s="229">
        <f t="shared" si="140"/>
        <v>7264</v>
      </c>
      <c r="AL242" s="454">
        <f t="shared" si="141"/>
        <v>252</v>
      </c>
      <c r="AM242" s="454">
        <f t="shared" si="142"/>
        <v>12.297600000000001</v>
      </c>
      <c r="AN242" s="454">
        <f t="shared" si="143"/>
        <v>0.21672403199999998</v>
      </c>
      <c r="AO242" s="454">
        <f t="shared" si="144"/>
        <v>265</v>
      </c>
      <c r="AP242" s="454">
        <f t="shared" si="145"/>
        <v>1830528</v>
      </c>
      <c r="AQ242" s="230">
        <f t="shared" si="146"/>
        <v>1924960</v>
      </c>
      <c r="AR242" s="397">
        <f t="shared" si="147"/>
        <v>4906944</v>
      </c>
      <c r="AS242" s="397">
        <f t="shared" si="148"/>
        <v>5156480</v>
      </c>
    </row>
    <row r="243" spans="1:45" ht="15.75">
      <c r="A243" s="228">
        <v>18</v>
      </c>
      <c r="B243" s="228" t="str">
        <f t="shared" si="112"/>
        <v>FRUTA_18</v>
      </c>
      <c r="C243" s="338" t="str">
        <f t="shared" si="113"/>
        <v>42_18</v>
      </c>
      <c r="D243" s="398" t="s">
        <v>1</v>
      </c>
      <c r="E243" s="228">
        <v>42</v>
      </c>
      <c r="F243" s="332" t="s">
        <v>61</v>
      </c>
      <c r="G243" s="228" t="s">
        <v>9</v>
      </c>
      <c r="H243" s="427">
        <f t="shared" si="114"/>
        <v>36</v>
      </c>
      <c r="I243" s="427">
        <f t="shared" si="115"/>
        <v>8</v>
      </c>
      <c r="J243" s="428">
        <f t="array" ref="J243">MAX((IF(MNU_CODIGO_ALIMENTO_ENTREGA=CONCATENATE($E243,"_","S_"),MNU_GRAMAJE_REQUERIDO_TIPOA,"")))</f>
        <v>100</v>
      </c>
      <c r="K243" s="229">
        <f t="shared" si="116"/>
        <v>900</v>
      </c>
      <c r="L243" s="229">
        <f t="shared" si="117"/>
        <v>0</v>
      </c>
      <c r="M243" s="229">
        <f t="shared" si="118"/>
        <v>32400</v>
      </c>
      <c r="N243" s="454">
        <f t="shared" si="119"/>
        <v>194</v>
      </c>
      <c r="O243" s="454">
        <f t="shared" si="120"/>
        <v>9.4672000000000001</v>
      </c>
      <c r="P243" s="454">
        <f t="shared" si="121"/>
        <v>0.16684310399999999</v>
      </c>
      <c r="Q243" s="454">
        <f t="shared" si="122"/>
        <v>204</v>
      </c>
      <c r="R243" s="230">
        <f t="shared" si="123"/>
        <v>6285600</v>
      </c>
      <c r="S243" s="230">
        <f t="shared" si="124"/>
        <v>6609600</v>
      </c>
      <c r="T243" s="429">
        <f t="shared" si="125"/>
        <v>19</v>
      </c>
      <c r="U243" s="429">
        <f t="shared" si="126"/>
        <v>8</v>
      </c>
      <c r="V243" s="430">
        <f t="array" ref="V243">MAX((IF(MNU_CODIGO_ALIMENTO_ENTREGA=CONCATENATE($E243,"_","S_"),MNU_GRAMAJE_REQUERIDO_TIPOB,"")))</f>
        <v>100</v>
      </c>
      <c r="W243" s="397">
        <f t="shared" si="127"/>
        <v>1076</v>
      </c>
      <c r="X243" s="397">
        <f t="shared" si="128"/>
        <v>210</v>
      </c>
      <c r="Y243" s="397">
        <f t="shared" si="129"/>
        <v>22124</v>
      </c>
      <c r="Z243" s="454">
        <f t="shared" si="130"/>
        <v>194</v>
      </c>
      <c r="AA243" s="454">
        <f t="shared" si="131"/>
        <v>9.4672000000000001</v>
      </c>
      <c r="AB243" s="454">
        <f t="shared" si="132"/>
        <v>0.16684310399999999</v>
      </c>
      <c r="AC243" s="454">
        <f t="shared" si="133"/>
        <v>204</v>
      </c>
      <c r="AD243" s="231">
        <f t="shared" si="134"/>
        <v>4292056</v>
      </c>
      <c r="AE243" s="231">
        <f t="shared" si="135"/>
        <v>4513296</v>
      </c>
      <c r="AF243" s="427">
        <f t="shared" si="136"/>
        <v>19</v>
      </c>
      <c r="AG243" s="427">
        <f t="shared" si="137"/>
        <v>8</v>
      </c>
      <c r="AH243" s="428">
        <f t="array" ref="AH243">MAX((IF(MNU_CODIGO_ALIMENTO_ENTREGA=CONCATENATE($E243,"_","S_"),MNU_GRAMAJE_REQUERIDO_TIPOC,"")))</f>
        <v>100</v>
      </c>
      <c r="AI243" s="229">
        <f t="shared" si="138"/>
        <v>908</v>
      </c>
      <c r="AJ243" s="229">
        <f t="shared" si="139"/>
        <v>465</v>
      </c>
      <c r="AK243" s="229">
        <f t="shared" si="140"/>
        <v>20972</v>
      </c>
      <c r="AL243" s="454">
        <f t="shared" si="141"/>
        <v>194</v>
      </c>
      <c r="AM243" s="454">
        <f t="shared" si="142"/>
        <v>9.4672000000000001</v>
      </c>
      <c r="AN243" s="454">
        <f t="shared" si="143"/>
        <v>0.16684310399999999</v>
      </c>
      <c r="AO243" s="454">
        <f t="shared" si="144"/>
        <v>204</v>
      </c>
      <c r="AP243" s="454">
        <f t="shared" si="145"/>
        <v>4068568</v>
      </c>
      <c r="AQ243" s="230">
        <f t="shared" si="146"/>
        <v>4278288</v>
      </c>
      <c r="AR243" s="397">
        <f t="shared" si="147"/>
        <v>14646224</v>
      </c>
      <c r="AS243" s="397">
        <f t="shared" si="148"/>
        <v>15401184</v>
      </c>
    </row>
    <row r="244" spans="1:45" ht="15.75">
      <c r="A244" s="228">
        <v>18</v>
      </c>
      <c r="B244" s="228" t="str">
        <f t="shared" ref="B244:B307" si="149">CONCATENATE(D244,"_",A244)</f>
        <v>FRUTA_18</v>
      </c>
      <c r="C244" s="338" t="str">
        <f t="shared" ref="C244:C307" si="150">CONCATENATE(E244,"_",A244)</f>
        <v>43_18</v>
      </c>
      <c r="D244" s="398" t="s">
        <v>1</v>
      </c>
      <c r="E244" s="228">
        <v>43</v>
      </c>
      <c r="F244" s="332" t="s">
        <v>62</v>
      </c>
      <c r="G244" s="228" t="s">
        <v>9</v>
      </c>
      <c r="H244" s="427">
        <f t="shared" ref="H244:H307" si="151">SUMIF(MNU_CODIGO_ALIMENTO_ENTREGA,CONCATENATE($E244,"_","S_"),MNU_FRECUENCIAS_LAV_TIPOA)</f>
        <v>29</v>
      </c>
      <c r="I244" s="427">
        <f t="shared" ref="I244:I307" si="152">SUMIF(MNU_CODIGO_ALIMENTO_ENTREGA,CONCATENATE($E244,"_","S_"),MNU_FRECUENCIAS_FDS_TIPOA)</f>
        <v>6</v>
      </c>
      <c r="J244" s="428">
        <f t="array" ref="J244">MAX((IF(MNU_CODIGO_ALIMENTO_ENTREGA=CONCATENATE($E244,"_","S_"),MNU_GRAMAJE_REQUERIDO_TIPOA,"")))</f>
        <v>100</v>
      </c>
      <c r="K244" s="229">
        <f t="shared" ref="K244:K307" si="153">SUMIF(VOL_GRUPO,CONCATENATE($A244,"1052-2NO"),VOL_TIPOA)</f>
        <v>900</v>
      </c>
      <c r="L244" s="229">
        <f t="shared" ref="L244:L307" si="154">SUMIF(VOL_GRUPO,CONCATENATE($A244,"1052-2SI"),VOL_TIPOA)</f>
        <v>0</v>
      </c>
      <c r="M244" s="229">
        <f t="shared" ref="M244:M307" si="155">(H244*K244)+(I244*L244)</f>
        <v>26100</v>
      </c>
      <c r="N244" s="454">
        <f t="shared" ref="N244:N307" si="156">IF(ISERROR(AVERAGEIFS(MNU_COSTO_UNITARIO_TIPOA_SELECCIONADO,MNU_CODIGO_ALIMENTO_ENTREGA,CONCATENATE($E244,"_","S_"))),0,AVERAGEIFS(MNU_COSTO_UNITARIO_TIPOA_SELECCIONADO,MNU_CODIGO_ALIMENTO_ENTREGA,CONCATENATE($E244,"_","S_")))</f>
        <v>170</v>
      </c>
      <c r="O244" s="454">
        <f t="shared" ref="O244:O307" si="157">(N244*0.01)+(N244*0.005)+(N244*0.02)+(N244*(13.8/1000))</f>
        <v>8.2959999999999994</v>
      </c>
      <c r="P244" s="454">
        <f t="shared" ref="P244:P307" si="158">((N244+O244)*0.00071)+((N244+O244)*0.00011)</f>
        <v>0.14620272000000001</v>
      </c>
      <c r="Q244" s="454">
        <f t="shared" ref="Q244:Q307" si="159">ROUND(N244+O244+P244,0)</f>
        <v>178</v>
      </c>
      <c r="R244" s="230">
        <f t="shared" ref="R244:R307" si="160">(H244*K244*N244)+(I244*L244*N244)</f>
        <v>4437000</v>
      </c>
      <c r="S244" s="230">
        <f t="shared" ref="S244:S307" si="161">(H244*K244*Q244)+(I244*L244*Q244)</f>
        <v>4645800</v>
      </c>
      <c r="T244" s="429">
        <f t="shared" ref="T244:T307" si="162">SUMIF(MNU_CODIGO_ALIMENTO_ENTREGA,CONCATENATE($E244,"_","S_"),MNU_FRECUENCIAS_LAV_TIPOB)</f>
        <v>23</v>
      </c>
      <c r="U244" s="429">
        <f t="shared" ref="U244:U307" si="163">SUMIF(MNU_CODIGO_ALIMENTO_ENTREGA,CONCATENATE($E244,"_","S_"),MNU_FRECUENCIAS_FDS_TIPOB)</f>
        <v>1</v>
      </c>
      <c r="V244" s="430">
        <f t="array" ref="V244">MAX((IF(MNU_CODIGO_ALIMENTO_ENTREGA=CONCATENATE($E244,"_","S_"),MNU_GRAMAJE_REQUERIDO_TIPOB,"")))</f>
        <v>100</v>
      </c>
      <c r="W244" s="397">
        <f t="shared" ref="W244:W307" si="164">SUMIF(VOL_GRUPO,CONCATENATE($A244,"1052-2NO"),VOL_TIPOB)</f>
        <v>1076</v>
      </c>
      <c r="X244" s="397">
        <f t="shared" ref="X244:X307" si="165">SUMIF(VOL_GRUPO,CONCATENATE($A244,"1052-2SI"),VOL_TIPOB)</f>
        <v>210</v>
      </c>
      <c r="Y244" s="397">
        <f t="shared" ref="Y244:Y307" si="166">(T244*W244)+(U244*X244)</f>
        <v>24958</v>
      </c>
      <c r="Z244" s="454">
        <f t="shared" ref="Z244:Z307" si="167">IF(ISERROR(AVERAGEIFS(MNU_COSTO_UNITARIO_TIPOB_SELECCIONADO,MNU_CODIGO_ALIMENTO_ENTREGA,CONCATENATE($E244,"_","S_"))),0,AVERAGEIFS(MNU_COSTO_UNITARIO_TIPOB_SELECCIONADO,MNU_CODIGO_ALIMENTO_ENTREGA,CONCATENATE($E244,"_","S_")))</f>
        <v>170</v>
      </c>
      <c r="AA244" s="454">
        <f t="shared" ref="AA244:AA307" si="168">(Z244*0.01)+(Z244*0.005)+(Z244*0.02)+(Z244*(13.8/1000))</f>
        <v>8.2959999999999994</v>
      </c>
      <c r="AB244" s="454">
        <f t="shared" ref="AB244:AB307" si="169">((Z244+AA244)*0.00071)+((Z244+AA244)*0.00011)</f>
        <v>0.14620272000000001</v>
      </c>
      <c r="AC244" s="454">
        <f t="shared" ref="AC244:AC307" si="170">ROUND(Z244+AA244+AB244,0)</f>
        <v>178</v>
      </c>
      <c r="AD244" s="231">
        <f t="shared" ref="AD244:AD307" si="171">(T244*W244*Z244)+(U244*X244*Z244)</f>
        <v>4242860</v>
      </c>
      <c r="AE244" s="231">
        <f t="shared" ref="AE244:AE307" si="172">(T244*W244*AC244)+(U244*X244*AC244)</f>
        <v>4442524</v>
      </c>
      <c r="AF244" s="427">
        <f t="shared" ref="AF244:AF307" si="173">SUMIF(MNU_CODIGO_ALIMENTO_ENTREGA,CONCATENATE($E244,"_","S_"),MNU_FRECUENCIAS_LAV_TIPOC)</f>
        <v>23</v>
      </c>
      <c r="AG244" s="427">
        <f t="shared" ref="AG244:AG307" si="174">SUMIF(MNU_CODIGO_ALIMENTO_ENTREGA,CONCATENATE($E244,"_","S_"),MNU_FRECUENCIAS_FDS_TIPOC)</f>
        <v>1</v>
      </c>
      <c r="AH244" s="428">
        <f t="array" ref="AH244">MAX((IF(MNU_CODIGO_ALIMENTO_ENTREGA=CONCATENATE($E244,"_","S_"),MNU_GRAMAJE_REQUERIDO_TIPOC,"")))</f>
        <v>100</v>
      </c>
      <c r="AI244" s="229">
        <f t="shared" ref="AI244:AI307" si="175">SUMIF(VOL_GRUPO,CONCATENATE($A244,"1052-2NO"),VOL_TIPOC)</f>
        <v>908</v>
      </c>
      <c r="AJ244" s="229">
        <f t="shared" ref="AJ244:AJ307" si="176">SUMIF(VOL_GRUPO,CONCATENATE($A244,"1052-2SI"),VOL_TIPOC)</f>
        <v>465</v>
      </c>
      <c r="AK244" s="229">
        <f t="shared" ref="AK244:AK307" si="177">(AF244*AI244)+(AG244*AJ244)</f>
        <v>21349</v>
      </c>
      <c r="AL244" s="454">
        <f t="shared" ref="AL244:AL307" si="178">IF(ISERROR(AVERAGEIFS(MNU_COSTO_UNITARIO_TIPOC_SELECCIONADO,MNU_CODIGO_ALIMENTO_ENTREGA,CONCATENATE($E244,"_","S_"))),0,AVERAGEIFS(MNU_COSTO_UNITARIO_TIPOC_SELECCIONADO,MNU_CODIGO_ALIMENTO_ENTREGA,CONCATENATE($E244,"_","S_")))</f>
        <v>170</v>
      </c>
      <c r="AM244" s="454">
        <f t="shared" ref="AM244:AM307" si="179">(AL244*0.01)+(AL244*0.005)+(AL244*0.02)+(AL244*(13.8/1000))</f>
        <v>8.2959999999999994</v>
      </c>
      <c r="AN244" s="454">
        <f t="shared" ref="AN244:AN307" si="180">((AL244+AM244)*0.00071)+((AL244+AM244)*0.00011)</f>
        <v>0.14620272000000001</v>
      </c>
      <c r="AO244" s="454">
        <f t="shared" ref="AO244:AO307" si="181">ROUND(AL244+AM244+AN244,0)</f>
        <v>178</v>
      </c>
      <c r="AP244" s="454">
        <f t="shared" ref="AP244:AP307" si="182">(AF244*AI244*AL244)+(AG244*AJ244*AL244)</f>
        <v>3629330</v>
      </c>
      <c r="AQ244" s="230">
        <f t="shared" ref="AQ244:AQ307" si="183">(AF244*AI244*AO244)+(AG244*AJ244*AO244)</f>
        <v>3800122</v>
      </c>
      <c r="AR244" s="397">
        <f t="shared" ref="AR244:AR307" si="184">R244+AD244+AP244</f>
        <v>12309190</v>
      </c>
      <c r="AS244" s="397">
        <f t="shared" ref="AS244:AS307" si="185">S244+AE244+AQ244</f>
        <v>12888446</v>
      </c>
    </row>
    <row r="245" spans="1:45" ht="15.75">
      <c r="A245" s="228">
        <v>18</v>
      </c>
      <c r="B245" s="228" t="str">
        <f t="shared" si="149"/>
        <v>FRUTA_18</v>
      </c>
      <c r="C245" s="338" t="str">
        <f t="shared" si="150"/>
        <v>46_18</v>
      </c>
      <c r="D245" s="398" t="s">
        <v>1</v>
      </c>
      <c r="E245" s="228">
        <v>46</v>
      </c>
      <c r="F245" s="332" t="s">
        <v>64</v>
      </c>
      <c r="G245" s="228" t="s">
        <v>9</v>
      </c>
      <c r="H245" s="427">
        <f t="shared" si="151"/>
        <v>29</v>
      </c>
      <c r="I245" s="427">
        <f t="shared" si="152"/>
        <v>4</v>
      </c>
      <c r="J245" s="428">
        <f t="array" ref="J245">MAX((IF(MNU_CODIGO_ALIMENTO_ENTREGA=CONCATENATE($E245,"_","S_"),MNU_GRAMAJE_REQUERIDO_TIPOA,"")))</f>
        <v>100</v>
      </c>
      <c r="K245" s="229">
        <f t="shared" si="153"/>
        <v>900</v>
      </c>
      <c r="L245" s="229">
        <f t="shared" si="154"/>
        <v>0</v>
      </c>
      <c r="M245" s="229">
        <f t="shared" si="155"/>
        <v>26100</v>
      </c>
      <c r="N245" s="454">
        <f t="shared" si="156"/>
        <v>398</v>
      </c>
      <c r="O245" s="454">
        <f t="shared" si="157"/>
        <v>19.4224</v>
      </c>
      <c r="P245" s="454">
        <f t="shared" si="158"/>
        <v>0.34228636800000001</v>
      </c>
      <c r="Q245" s="454">
        <f t="shared" si="159"/>
        <v>418</v>
      </c>
      <c r="R245" s="230">
        <f t="shared" si="160"/>
        <v>10387800</v>
      </c>
      <c r="S245" s="230">
        <f t="shared" si="161"/>
        <v>10909800</v>
      </c>
      <c r="T245" s="429">
        <f t="shared" si="162"/>
        <v>24</v>
      </c>
      <c r="U245" s="429">
        <f t="shared" si="163"/>
        <v>3</v>
      </c>
      <c r="V245" s="430">
        <f t="array" ref="V245">MAX((IF(MNU_CODIGO_ALIMENTO_ENTREGA=CONCATENATE($E245,"_","S_"),MNU_GRAMAJE_REQUERIDO_TIPOB,"")))</f>
        <v>100</v>
      </c>
      <c r="W245" s="397">
        <f t="shared" si="164"/>
        <v>1076</v>
      </c>
      <c r="X245" s="397">
        <f t="shared" si="165"/>
        <v>210</v>
      </c>
      <c r="Y245" s="397">
        <f t="shared" si="166"/>
        <v>26454</v>
      </c>
      <c r="Z245" s="454">
        <f t="shared" si="167"/>
        <v>398</v>
      </c>
      <c r="AA245" s="454">
        <f t="shared" si="168"/>
        <v>19.4224</v>
      </c>
      <c r="AB245" s="454">
        <f t="shared" si="169"/>
        <v>0.34228636800000001</v>
      </c>
      <c r="AC245" s="454">
        <f t="shared" si="170"/>
        <v>418</v>
      </c>
      <c r="AD245" s="231">
        <f t="shared" si="171"/>
        <v>10528692</v>
      </c>
      <c r="AE245" s="231">
        <f t="shared" si="172"/>
        <v>11057772</v>
      </c>
      <c r="AF245" s="427">
        <f t="shared" si="173"/>
        <v>24</v>
      </c>
      <c r="AG245" s="427">
        <f t="shared" si="174"/>
        <v>3</v>
      </c>
      <c r="AH245" s="428">
        <f t="array" ref="AH245">MAX((IF(MNU_CODIGO_ALIMENTO_ENTREGA=CONCATENATE($E245,"_","S_"),MNU_GRAMAJE_REQUERIDO_TIPOC,"")))</f>
        <v>100</v>
      </c>
      <c r="AI245" s="229">
        <f t="shared" si="175"/>
        <v>908</v>
      </c>
      <c r="AJ245" s="229">
        <f t="shared" si="176"/>
        <v>465</v>
      </c>
      <c r="AK245" s="229">
        <f t="shared" si="177"/>
        <v>23187</v>
      </c>
      <c r="AL245" s="454">
        <f t="shared" si="178"/>
        <v>398</v>
      </c>
      <c r="AM245" s="454">
        <f t="shared" si="179"/>
        <v>19.4224</v>
      </c>
      <c r="AN245" s="454">
        <f t="shared" si="180"/>
        <v>0.34228636800000001</v>
      </c>
      <c r="AO245" s="454">
        <f t="shared" si="181"/>
        <v>418</v>
      </c>
      <c r="AP245" s="454">
        <f t="shared" si="182"/>
        <v>9228426</v>
      </c>
      <c r="AQ245" s="230">
        <f t="shared" si="183"/>
        <v>9692166</v>
      </c>
      <c r="AR245" s="397">
        <f t="shared" si="184"/>
        <v>30144918</v>
      </c>
      <c r="AS245" s="397">
        <f t="shared" si="185"/>
        <v>31659738</v>
      </c>
    </row>
    <row r="246" spans="1:45" ht="15.75">
      <c r="A246" s="228">
        <v>18</v>
      </c>
      <c r="B246" s="228" t="str">
        <f t="shared" si="149"/>
        <v>FRUTA_18</v>
      </c>
      <c r="C246" s="338" t="str">
        <f t="shared" si="150"/>
        <v>58_18</v>
      </c>
      <c r="D246" s="398" t="s">
        <v>1</v>
      </c>
      <c r="E246" s="228">
        <v>58</v>
      </c>
      <c r="F246" s="332" t="s">
        <v>67</v>
      </c>
      <c r="G246" s="228" t="s">
        <v>9</v>
      </c>
      <c r="H246" s="427">
        <f t="shared" si="151"/>
        <v>28</v>
      </c>
      <c r="I246" s="427">
        <f t="shared" si="152"/>
        <v>5</v>
      </c>
      <c r="J246" s="428">
        <f t="array" ref="J246">MAX((IF(MNU_CODIGO_ALIMENTO_ENTREGA=CONCATENATE($E246,"_","S_"),MNU_GRAMAJE_REQUERIDO_TIPOA,"")))</f>
        <v>100</v>
      </c>
      <c r="K246" s="229">
        <f t="shared" si="153"/>
        <v>900</v>
      </c>
      <c r="L246" s="229">
        <f t="shared" si="154"/>
        <v>0</v>
      </c>
      <c r="M246" s="229">
        <f t="shared" si="155"/>
        <v>25200</v>
      </c>
      <c r="N246" s="454">
        <f t="shared" si="156"/>
        <v>154</v>
      </c>
      <c r="O246" s="454">
        <f t="shared" si="157"/>
        <v>7.515200000000001</v>
      </c>
      <c r="P246" s="454">
        <f t="shared" si="158"/>
        <v>0.13244246400000001</v>
      </c>
      <c r="Q246" s="454">
        <f t="shared" si="159"/>
        <v>162</v>
      </c>
      <c r="R246" s="230">
        <f t="shared" si="160"/>
        <v>3880800</v>
      </c>
      <c r="S246" s="230">
        <f t="shared" si="161"/>
        <v>4082400</v>
      </c>
      <c r="T246" s="429">
        <f t="shared" si="162"/>
        <v>23</v>
      </c>
      <c r="U246" s="429">
        <f t="shared" si="163"/>
        <v>3</v>
      </c>
      <c r="V246" s="430">
        <f t="array" ref="V246">MAX((IF(MNU_CODIGO_ALIMENTO_ENTREGA=CONCATENATE($E246,"_","S_"),MNU_GRAMAJE_REQUERIDO_TIPOB,"")))</f>
        <v>100</v>
      </c>
      <c r="W246" s="397">
        <f t="shared" si="164"/>
        <v>1076</v>
      </c>
      <c r="X246" s="397">
        <f t="shared" si="165"/>
        <v>210</v>
      </c>
      <c r="Y246" s="397">
        <f t="shared" si="166"/>
        <v>25378</v>
      </c>
      <c r="Z246" s="454">
        <f t="shared" si="167"/>
        <v>154</v>
      </c>
      <c r="AA246" s="454">
        <f t="shared" si="168"/>
        <v>7.515200000000001</v>
      </c>
      <c r="AB246" s="454">
        <f t="shared" si="169"/>
        <v>0.13244246400000001</v>
      </c>
      <c r="AC246" s="454">
        <f t="shared" si="170"/>
        <v>162</v>
      </c>
      <c r="AD246" s="231">
        <f t="shared" si="171"/>
        <v>3908212</v>
      </c>
      <c r="AE246" s="231">
        <f t="shared" si="172"/>
        <v>4111236</v>
      </c>
      <c r="AF246" s="427">
        <f t="shared" si="173"/>
        <v>23</v>
      </c>
      <c r="AG246" s="427">
        <f t="shared" si="174"/>
        <v>3</v>
      </c>
      <c r="AH246" s="428">
        <f t="array" ref="AH246">MAX((IF(MNU_CODIGO_ALIMENTO_ENTREGA=CONCATENATE($E246,"_","S_"),MNU_GRAMAJE_REQUERIDO_TIPOC,"")))</f>
        <v>100</v>
      </c>
      <c r="AI246" s="229">
        <f t="shared" si="175"/>
        <v>908</v>
      </c>
      <c r="AJ246" s="229">
        <f t="shared" si="176"/>
        <v>465</v>
      </c>
      <c r="AK246" s="229">
        <f t="shared" si="177"/>
        <v>22279</v>
      </c>
      <c r="AL246" s="454">
        <f t="shared" si="178"/>
        <v>154</v>
      </c>
      <c r="AM246" s="454">
        <f t="shared" si="179"/>
        <v>7.515200000000001</v>
      </c>
      <c r="AN246" s="454">
        <f t="shared" si="180"/>
        <v>0.13244246400000001</v>
      </c>
      <c r="AO246" s="454">
        <f t="shared" si="181"/>
        <v>162</v>
      </c>
      <c r="AP246" s="454">
        <f t="shared" si="182"/>
        <v>3430966</v>
      </c>
      <c r="AQ246" s="230">
        <f t="shared" si="183"/>
        <v>3609198</v>
      </c>
      <c r="AR246" s="397">
        <f t="shared" si="184"/>
        <v>11219978</v>
      </c>
      <c r="AS246" s="397">
        <f t="shared" si="185"/>
        <v>11802834</v>
      </c>
    </row>
    <row r="247" spans="1:45" ht="15.75">
      <c r="A247" s="228">
        <v>18</v>
      </c>
      <c r="B247" s="228" t="str">
        <f t="shared" si="149"/>
        <v>FRUTA_18</v>
      </c>
      <c r="C247" s="338" t="str">
        <f t="shared" si="150"/>
        <v>59_18</v>
      </c>
      <c r="D247" s="398" t="s">
        <v>1</v>
      </c>
      <c r="E247" s="228">
        <v>59</v>
      </c>
      <c r="F247" s="332" t="s">
        <v>99</v>
      </c>
      <c r="G247" s="228" t="s">
        <v>9</v>
      </c>
      <c r="H247" s="427">
        <f t="shared" si="151"/>
        <v>0</v>
      </c>
      <c r="I247" s="427">
        <f t="shared" si="152"/>
        <v>0</v>
      </c>
      <c r="J247" s="428">
        <f t="array" ref="J247">MAX((IF(MNU_CODIGO_ALIMENTO_ENTREGA=CONCATENATE($E247,"_","S_"),MNU_GRAMAJE_REQUERIDO_TIPOA,"")))</f>
        <v>0</v>
      </c>
      <c r="K247" s="229">
        <f t="shared" si="153"/>
        <v>900</v>
      </c>
      <c r="L247" s="229">
        <f t="shared" si="154"/>
        <v>0</v>
      </c>
      <c r="M247" s="229">
        <f t="shared" si="155"/>
        <v>0</v>
      </c>
      <c r="N247" s="454">
        <f t="shared" si="156"/>
        <v>0</v>
      </c>
      <c r="O247" s="454">
        <f t="shared" si="157"/>
        <v>0</v>
      </c>
      <c r="P247" s="454">
        <f t="shared" si="158"/>
        <v>0</v>
      </c>
      <c r="Q247" s="454">
        <f t="shared" si="159"/>
        <v>0</v>
      </c>
      <c r="R247" s="230">
        <f t="shared" si="160"/>
        <v>0</v>
      </c>
      <c r="S247" s="230">
        <f t="shared" si="161"/>
        <v>0</v>
      </c>
      <c r="T247" s="429">
        <f t="shared" si="162"/>
        <v>11</v>
      </c>
      <c r="U247" s="429">
        <f t="shared" si="163"/>
        <v>0</v>
      </c>
      <c r="V247" s="430">
        <f t="array" ref="V247">MAX((IF(MNU_CODIGO_ALIMENTO_ENTREGA=CONCATENATE($E247,"_","S_"),MNU_GRAMAJE_REQUERIDO_TIPOB,"")))</f>
        <v>100</v>
      </c>
      <c r="W247" s="397">
        <f t="shared" si="164"/>
        <v>1076</v>
      </c>
      <c r="X247" s="397">
        <f t="shared" si="165"/>
        <v>210</v>
      </c>
      <c r="Y247" s="397">
        <f t="shared" si="166"/>
        <v>11836</v>
      </c>
      <c r="Z247" s="454">
        <f t="shared" si="167"/>
        <v>286</v>
      </c>
      <c r="AA247" s="454">
        <f t="shared" si="168"/>
        <v>13.956800000000001</v>
      </c>
      <c r="AB247" s="454">
        <f t="shared" si="169"/>
        <v>0.24596457599999999</v>
      </c>
      <c r="AC247" s="454">
        <f t="shared" si="170"/>
        <v>300</v>
      </c>
      <c r="AD247" s="231">
        <f t="shared" si="171"/>
        <v>3385096</v>
      </c>
      <c r="AE247" s="231">
        <f t="shared" si="172"/>
        <v>3550800</v>
      </c>
      <c r="AF247" s="427">
        <f t="shared" si="173"/>
        <v>11</v>
      </c>
      <c r="AG247" s="427">
        <f t="shared" si="174"/>
        <v>0</v>
      </c>
      <c r="AH247" s="428">
        <f t="array" ref="AH247">MAX((IF(MNU_CODIGO_ALIMENTO_ENTREGA=CONCATENATE($E247,"_","S_"),MNU_GRAMAJE_REQUERIDO_TIPOC,"")))</f>
        <v>100</v>
      </c>
      <c r="AI247" s="229">
        <f t="shared" si="175"/>
        <v>908</v>
      </c>
      <c r="AJ247" s="229">
        <f t="shared" si="176"/>
        <v>465</v>
      </c>
      <c r="AK247" s="229">
        <f t="shared" si="177"/>
        <v>9988</v>
      </c>
      <c r="AL247" s="454">
        <f t="shared" si="178"/>
        <v>286</v>
      </c>
      <c r="AM247" s="454">
        <f t="shared" si="179"/>
        <v>13.956800000000001</v>
      </c>
      <c r="AN247" s="454">
        <f t="shared" si="180"/>
        <v>0.24596457599999999</v>
      </c>
      <c r="AO247" s="454">
        <f t="shared" si="181"/>
        <v>300</v>
      </c>
      <c r="AP247" s="454">
        <f t="shared" si="182"/>
        <v>2856568</v>
      </c>
      <c r="AQ247" s="230">
        <f t="shared" si="183"/>
        <v>2996400</v>
      </c>
      <c r="AR247" s="397">
        <f t="shared" si="184"/>
        <v>6241664</v>
      </c>
      <c r="AS247" s="397">
        <f t="shared" si="185"/>
        <v>6547200</v>
      </c>
    </row>
    <row r="248" spans="1:45" ht="15.75">
      <c r="A248" s="228">
        <v>18</v>
      </c>
      <c r="B248" s="228" t="str">
        <f t="shared" si="149"/>
        <v>FRUTA_18</v>
      </c>
      <c r="C248" s="338" t="str">
        <f t="shared" si="150"/>
        <v>69_18</v>
      </c>
      <c r="D248" s="398" t="s">
        <v>1</v>
      </c>
      <c r="E248" s="228">
        <v>69</v>
      </c>
      <c r="F248" s="332" t="s">
        <v>70</v>
      </c>
      <c r="G248" s="228" t="s">
        <v>9</v>
      </c>
      <c r="H248" s="427">
        <f t="shared" si="151"/>
        <v>18</v>
      </c>
      <c r="I248" s="427">
        <f t="shared" si="152"/>
        <v>2</v>
      </c>
      <c r="J248" s="428">
        <f t="array" ref="J248">MAX((IF(MNU_CODIGO_ALIMENTO_ENTREGA=CONCATENATE($E248,"_","S_"),MNU_GRAMAJE_REQUERIDO_TIPOA,"")))</f>
        <v>100</v>
      </c>
      <c r="K248" s="229">
        <f t="shared" si="153"/>
        <v>900</v>
      </c>
      <c r="L248" s="229">
        <f t="shared" si="154"/>
        <v>0</v>
      </c>
      <c r="M248" s="229">
        <f t="shared" si="155"/>
        <v>16200</v>
      </c>
      <c r="N248" s="454">
        <f t="shared" si="156"/>
        <v>305</v>
      </c>
      <c r="O248" s="454">
        <f t="shared" si="157"/>
        <v>14.884</v>
      </c>
      <c r="P248" s="454">
        <f t="shared" si="158"/>
        <v>0.26230488000000002</v>
      </c>
      <c r="Q248" s="454">
        <f t="shared" si="159"/>
        <v>320</v>
      </c>
      <c r="R248" s="230">
        <f t="shared" si="160"/>
        <v>4941000</v>
      </c>
      <c r="S248" s="230">
        <f t="shared" si="161"/>
        <v>5184000</v>
      </c>
      <c r="T248" s="429">
        <f t="shared" si="162"/>
        <v>12</v>
      </c>
      <c r="U248" s="429">
        <f t="shared" si="163"/>
        <v>2</v>
      </c>
      <c r="V248" s="430">
        <f t="array" ref="V248">MAX((IF(MNU_CODIGO_ALIMENTO_ENTREGA=CONCATENATE($E248,"_","S_"),MNU_GRAMAJE_REQUERIDO_TIPOB,"")))</f>
        <v>100</v>
      </c>
      <c r="W248" s="397">
        <f t="shared" si="164"/>
        <v>1076</v>
      </c>
      <c r="X248" s="397">
        <f t="shared" si="165"/>
        <v>210</v>
      </c>
      <c r="Y248" s="397">
        <f t="shared" si="166"/>
        <v>13332</v>
      </c>
      <c r="Z248" s="454">
        <f t="shared" si="167"/>
        <v>305</v>
      </c>
      <c r="AA248" s="454">
        <f t="shared" si="168"/>
        <v>14.884</v>
      </c>
      <c r="AB248" s="454">
        <f t="shared" si="169"/>
        <v>0.26230488000000002</v>
      </c>
      <c r="AC248" s="454">
        <f t="shared" si="170"/>
        <v>320</v>
      </c>
      <c r="AD248" s="231">
        <f t="shared" si="171"/>
        <v>4066260</v>
      </c>
      <c r="AE248" s="231">
        <f t="shared" si="172"/>
        <v>4266240</v>
      </c>
      <c r="AF248" s="427">
        <f t="shared" si="173"/>
        <v>12</v>
      </c>
      <c r="AG248" s="427">
        <f t="shared" si="174"/>
        <v>2</v>
      </c>
      <c r="AH248" s="428">
        <f t="array" ref="AH248">MAX((IF(MNU_CODIGO_ALIMENTO_ENTREGA=CONCATENATE($E248,"_","S_"),MNU_GRAMAJE_REQUERIDO_TIPOC,"")))</f>
        <v>100</v>
      </c>
      <c r="AI248" s="229">
        <f t="shared" si="175"/>
        <v>908</v>
      </c>
      <c r="AJ248" s="229">
        <f t="shared" si="176"/>
        <v>465</v>
      </c>
      <c r="AK248" s="229">
        <f t="shared" si="177"/>
        <v>11826</v>
      </c>
      <c r="AL248" s="454">
        <f t="shared" si="178"/>
        <v>305</v>
      </c>
      <c r="AM248" s="454">
        <f t="shared" si="179"/>
        <v>14.884</v>
      </c>
      <c r="AN248" s="454">
        <f t="shared" si="180"/>
        <v>0.26230488000000002</v>
      </c>
      <c r="AO248" s="454">
        <f t="shared" si="181"/>
        <v>320</v>
      </c>
      <c r="AP248" s="454">
        <f t="shared" si="182"/>
        <v>3606930</v>
      </c>
      <c r="AQ248" s="230">
        <f t="shared" si="183"/>
        <v>3784320</v>
      </c>
      <c r="AR248" s="397">
        <f t="shared" si="184"/>
        <v>12614190</v>
      </c>
      <c r="AS248" s="397">
        <f t="shared" si="185"/>
        <v>13234560</v>
      </c>
    </row>
    <row r="249" spans="1:45" ht="15.75">
      <c r="A249" s="228">
        <v>18</v>
      </c>
      <c r="B249" s="228" t="str">
        <f t="shared" si="149"/>
        <v>FRUTA_18</v>
      </c>
      <c r="C249" s="338" t="str">
        <f t="shared" si="150"/>
        <v>70_18</v>
      </c>
      <c r="D249" s="398" t="s">
        <v>1</v>
      </c>
      <c r="E249" s="228">
        <v>70</v>
      </c>
      <c r="F249" s="332" t="s">
        <v>71</v>
      </c>
      <c r="G249" s="228" t="s">
        <v>9</v>
      </c>
      <c r="H249" s="427">
        <f t="shared" si="151"/>
        <v>0</v>
      </c>
      <c r="I249" s="427">
        <f t="shared" si="152"/>
        <v>0</v>
      </c>
      <c r="J249" s="428">
        <f t="array" ref="J249">MAX((IF(MNU_CODIGO_ALIMENTO_ENTREGA=CONCATENATE($E249,"_","S_"),MNU_GRAMAJE_REQUERIDO_TIPOA,"")))</f>
        <v>0</v>
      </c>
      <c r="K249" s="229">
        <f t="shared" si="153"/>
        <v>900</v>
      </c>
      <c r="L249" s="229">
        <f t="shared" si="154"/>
        <v>0</v>
      </c>
      <c r="M249" s="229">
        <f t="shared" si="155"/>
        <v>0</v>
      </c>
      <c r="N249" s="454">
        <f t="shared" si="156"/>
        <v>0</v>
      </c>
      <c r="O249" s="454">
        <f t="shared" si="157"/>
        <v>0</v>
      </c>
      <c r="P249" s="454">
        <f t="shared" si="158"/>
        <v>0</v>
      </c>
      <c r="Q249" s="454">
        <f t="shared" si="159"/>
        <v>0</v>
      </c>
      <c r="R249" s="230">
        <f t="shared" si="160"/>
        <v>0</v>
      </c>
      <c r="S249" s="230">
        <f t="shared" si="161"/>
        <v>0</v>
      </c>
      <c r="T249" s="429">
        <f t="shared" si="162"/>
        <v>8</v>
      </c>
      <c r="U249" s="429">
        <f t="shared" si="163"/>
        <v>4</v>
      </c>
      <c r="V249" s="430">
        <f t="array" ref="V249">MAX((IF(MNU_CODIGO_ALIMENTO_ENTREGA=CONCATENATE($E249,"_","S_"),MNU_GRAMAJE_REQUERIDO_TIPOB,"")))</f>
        <v>100</v>
      </c>
      <c r="W249" s="397">
        <f t="shared" si="164"/>
        <v>1076</v>
      </c>
      <c r="X249" s="397">
        <f t="shared" si="165"/>
        <v>210</v>
      </c>
      <c r="Y249" s="397">
        <f t="shared" si="166"/>
        <v>9448</v>
      </c>
      <c r="Z249" s="454">
        <f t="shared" si="167"/>
        <v>434</v>
      </c>
      <c r="AA249" s="454">
        <f t="shared" si="168"/>
        <v>21.179200000000002</v>
      </c>
      <c r="AB249" s="454">
        <f t="shared" si="169"/>
        <v>0.37324694399999997</v>
      </c>
      <c r="AC249" s="454">
        <f t="shared" si="170"/>
        <v>456</v>
      </c>
      <c r="AD249" s="231">
        <f t="shared" si="171"/>
        <v>4100432</v>
      </c>
      <c r="AE249" s="231">
        <f t="shared" si="172"/>
        <v>4308288</v>
      </c>
      <c r="AF249" s="427">
        <f t="shared" si="173"/>
        <v>8</v>
      </c>
      <c r="AG249" s="427">
        <f t="shared" si="174"/>
        <v>4</v>
      </c>
      <c r="AH249" s="428">
        <f t="array" ref="AH249">MAX((IF(MNU_CODIGO_ALIMENTO_ENTREGA=CONCATENATE($E249,"_","S_"),MNU_GRAMAJE_REQUERIDO_TIPOC,"")))</f>
        <v>100</v>
      </c>
      <c r="AI249" s="229">
        <f t="shared" si="175"/>
        <v>908</v>
      </c>
      <c r="AJ249" s="229">
        <f t="shared" si="176"/>
        <v>465</v>
      </c>
      <c r="AK249" s="229">
        <f t="shared" si="177"/>
        <v>9124</v>
      </c>
      <c r="AL249" s="454">
        <f t="shared" si="178"/>
        <v>434</v>
      </c>
      <c r="AM249" s="454">
        <f t="shared" si="179"/>
        <v>21.179200000000002</v>
      </c>
      <c r="AN249" s="454">
        <f t="shared" si="180"/>
        <v>0.37324694399999997</v>
      </c>
      <c r="AO249" s="454">
        <f t="shared" si="181"/>
        <v>456</v>
      </c>
      <c r="AP249" s="454">
        <f t="shared" si="182"/>
        <v>3959816</v>
      </c>
      <c r="AQ249" s="230">
        <f t="shared" si="183"/>
        <v>4160544</v>
      </c>
      <c r="AR249" s="397">
        <f t="shared" si="184"/>
        <v>8060248</v>
      </c>
      <c r="AS249" s="397">
        <f t="shared" si="185"/>
        <v>8468832</v>
      </c>
    </row>
    <row r="250" spans="1:45" ht="15.75">
      <c r="A250" s="228">
        <v>19</v>
      </c>
      <c r="B250" s="228" t="str">
        <f t="shared" si="149"/>
        <v>FRUTA_19</v>
      </c>
      <c r="C250" s="338" t="str">
        <f t="shared" si="150"/>
        <v>7_19</v>
      </c>
      <c r="D250" s="398" t="s">
        <v>1</v>
      </c>
      <c r="E250" s="228">
        <v>7</v>
      </c>
      <c r="F250" s="332" t="s">
        <v>57</v>
      </c>
      <c r="G250" s="228" t="s">
        <v>9</v>
      </c>
      <c r="H250" s="427">
        <f t="shared" si="151"/>
        <v>31</v>
      </c>
      <c r="I250" s="427">
        <f t="shared" si="152"/>
        <v>0</v>
      </c>
      <c r="J250" s="428">
        <f t="array" ref="J250">MAX((IF(MNU_CODIGO_ALIMENTO_ENTREGA=CONCATENATE($E250,"_","S_"),MNU_GRAMAJE_REQUERIDO_TIPOA,"")))</f>
        <v>100</v>
      </c>
      <c r="K250" s="229">
        <f t="shared" si="153"/>
        <v>396</v>
      </c>
      <c r="L250" s="229">
        <f t="shared" si="154"/>
        <v>0</v>
      </c>
      <c r="M250" s="229">
        <f t="shared" si="155"/>
        <v>12276</v>
      </c>
      <c r="N250" s="454">
        <f t="shared" si="156"/>
        <v>107</v>
      </c>
      <c r="O250" s="454">
        <f t="shared" si="157"/>
        <v>5.2216000000000005</v>
      </c>
      <c r="P250" s="454">
        <f t="shared" si="158"/>
        <v>9.2021712000000006E-2</v>
      </c>
      <c r="Q250" s="454">
        <f t="shared" si="159"/>
        <v>112</v>
      </c>
      <c r="R250" s="230">
        <f t="shared" si="160"/>
        <v>1313532</v>
      </c>
      <c r="S250" s="230">
        <f t="shared" si="161"/>
        <v>1374912</v>
      </c>
      <c r="T250" s="429">
        <f t="shared" si="162"/>
        <v>11</v>
      </c>
      <c r="U250" s="429">
        <f t="shared" si="163"/>
        <v>0</v>
      </c>
      <c r="V250" s="430">
        <f t="array" ref="V250">MAX((IF(MNU_CODIGO_ALIMENTO_ENTREGA=CONCATENATE($E250,"_","S_"),MNU_GRAMAJE_REQUERIDO_TIPOB,"")))</f>
        <v>100</v>
      </c>
      <c r="W250" s="397">
        <f t="shared" si="164"/>
        <v>891</v>
      </c>
      <c r="X250" s="397">
        <f t="shared" si="165"/>
        <v>0</v>
      </c>
      <c r="Y250" s="397">
        <f t="shared" si="166"/>
        <v>9801</v>
      </c>
      <c r="Z250" s="454">
        <f t="shared" si="167"/>
        <v>107</v>
      </c>
      <c r="AA250" s="454">
        <f t="shared" si="168"/>
        <v>5.2216000000000005</v>
      </c>
      <c r="AB250" s="454">
        <f t="shared" si="169"/>
        <v>9.2021712000000006E-2</v>
      </c>
      <c r="AC250" s="454">
        <f t="shared" si="170"/>
        <v>112</v>
      </c>
      <c r="AD250" s="231">
        <f t="shared" si="171"/>
        <v>1048707</v>
      </c>
      <c r="AE250" s="231">
        <f t="shared" si="172"/>
        <v>1097712</v>
      </c>
      <c r="AF250" s="427">
        <f t="shared" si="173"/>
        <v>11</v>
      </c>
      <c r="AG250" s="427">
        <f t="shared" si="174"/>
        <v>0</v>
      </c>
      <c r="AH250" s="428">
        <f t="array" ref="AH250">MAX((IF(MNU_CODIGO_ALIMENTO_ENTREGA=CONCATENATE($E250,"_","S_"),MNU_GRAMAJE_REQUERIDO_TIPOC,"")))</f>
        <v>100</v>
      </c>
      <c r="AI250" s="229">
        <f t="shared" si="175"/>
        <v>1055</v>
      </c>
      <c r="AJ250" s="229">
        <f t="shared" si="176"/>
        <v>0</v>
      </c>
      <c r="AK250" s="229">
        <f t="shared" si="177"/>
        <v>11605</v>
      </c>
      <c r="AL250" s="454">
        <f t="shared" si="178"/>
        <v>107</v>
      </c>
      <c r="AM250" s="454">
        <f t="shared" si="179"/>
        <v>5.2216000000000005</v>
      </c>
      <c r="AN250" s="454">
        <f t="shared" si="180"/>
        <v>9.2021712000000006E-2</v>
      </c>
      <c r="AO250" s="454">
        <f t="shared" si="181"/>
        <v>112</v>
      </c>
      <c r="AP250" s="454">
        <f t="shared" si="182"/>
        <v>1241735</v>
      </c>
      <c r="AQ250" s="230">
        <f t="shared" si="183"/>
        <v>1299760</v>
      </c>
      <c r="AR250" s="397">
        <f t="shared" si="184"/>
        <v>3603974</v>
      </c>
      <c r="AS250" s="397">
        <f t="shared" si="185"/>
        <v>3772384</v>
      </c>
    </row>
    <row r="251" spans="1:45" ht="15.75">
      <c r="A251" s="228">
        <v>19</v>
      </c>
      <c r="B251" s="228" t="str">
        <f t="shared" si="149"/>
        <v>FRUTA_19</v>
      </c>
      <c r="C251" s="338" t="str">
        <f t="shared" si="150"/>
        <v>8_19</v>
      </c>
      <c r="D251" s="398" t="s">
        <v>1</v>
      </c>
      <c r="E251" s="228">
        <v>8</v>
      </c>
      <c r="F251" s="332" t="s">
        <v>55</v>
      </c>
      <c r="G251" s="228" t="s">
        <v>9</v>
      </c>
      <c r="H251" s="427">
        <f t="shared" si="151"/>
        <v>11</v>
      </c>
      <c r="I251" s="427">
        <f t="shared" si="152"/>
        <v>0</v>
      </c>
      <c r="J251" s="428">
        <f t="array" ref="J251">MAX((IF(MNU_CODIGO_ALIMENTO_ENTREGA=CONCATENATE($E251,"_","S_"),MNU_GRAMAJE_REQUERIDO_TIPOA,"")))</f>
        <v>100</v>
      </c>
      <c r="K251" s="229">
        <f t="shared" si="153"/>
        <v>396</v>
      </c>
      <c r="L251" s="229">
        <f t="shared" si="154"/>
        <v>0</v>
      </c>
      <c r="M251" s="229">
        <f t="shared" si="155"/>
        <v>4356</v>
      </c>
      <c r="N251" s="454">
        <f t="shared" si="156"/>
        <v>134</v>
      </c>
      <c r="O251" s="454">
        <f t="shared" si="157"/>
        <v>6.539200000000001</v>
      </c>
      <c r="P251" s="454">
        <f t="shared" si="158"/>
        <v>0.115242144</v>
      </c>
      <c r="Q251" s="454">
        <f t="shared" si="159"/>
        <v>141</v>
      </c>
      <c r="R251" s="230">
        <f t="shared" si="160"/>
        <v>583704</v>
      </c>
      <c r="S251" s="230">
        <f t="shared" si="161"/>
        <v>614196</v>
      </c>
      <c r="T251" s="429">
        <f t="shared" si="162"/>
        <v>11</v>
      </c>
      <c r="U251" s="429">
        <f t="shared" si="163"/>
        <v>0</v>
      </c>
      <c r="V251" s="430">
        <f t="array" ref="V251">MAX((IF(MNU_CODIGO_ALIMENTO_ENTREGA=CONCATENATE($E251,"_","S_"),MNU_GRAMAJE_REQUERIDO_TIPOB,"")))</f>
        <v>100</v>
      </c>
      <c r="W251" s="397">
        <f t="shared" si="164"/>
        <v>891</v>
      </c>
      <c r="X251" s="397">
        <f t="shared" si="165"/>
        <v>0</v>
      </c>
      <c r="Y251" s="397">
        <f t="shared" si="166"/>
        <v>9801</v>
      </c>
      <c r="Z251" s="454">
        <f t="shared" si="167"/>
        <v>134</v>
      </c>
      <c r="AA251" s="454">
        <f t="shared" si="168"/>
        <v>6.539200000000001</v>
      </c>
      <c r="AB251" s="454">
        <f t="shared" si="169"/>
        <v>0.115242144</v>
      </c>
      <c r="AC251" s="454">
        <f t="shared" si="170"/>
        <v>141</v>
      </c>
      <c r="AD251" s="231">
        <f t="shared" si="171"/>
        <v>1313334</v>
      </c>
      <c r="AE251" s="231">
        <f t="shared" si="172"/>
        <v>1381941</v>
      </c>
      <c r="AF251" s="427">
        <f t="shared" si="173"/>
        <v>11</v>
      </c>
      <c r="AG251" s="427">
        <f t="shared" si="174"/>
        <v>0</v>
      </c>
      <c r="AH251" s="428">
        <f t="array" ref="AH251">MAX((IF(MNU_CODIGO_ALIMENTO_ENTREGA=CONCATENATE($E251,"_","S_"),MNU_GRAMAJE_REQUERIDO_TIPOC,"")))</f>
        <v>100</v>
      </c>
      <c r="AI251" s="229">
        <f t="shared" si="175"/>
        <v>1055</v>
      </c>
      <c r="AJ251" s="229">
        <f t="shared" si="176"/>
        <v>0</v>
      </c>
      <c r="AK251" s="229">
        <f t="shared" si="177"/>
        <v>11605</v>
      </c>
      <c r="AL251" s="454">
        <f t="shared" si="178"/>
        <v>134</v>
      </c>
      <c r="AM251" s="454">
        <f t="shared" si="179"/>
        <v>6.539200000000001</v>
      </c>
      <c r="AN251" s="454">
        <f t="shared" si="180"/>
        <v>0.115242144</v>
      </c>
      <c r="AO251" s="454">
        <f t="shared" si="181"/>
        <v>141</v>
      </c>
      <c r="AP251" s="454">
        <f t="shared" si="182"/>
        <v>1555070</v>
      </c>
      <c r="AQ251" s="230">
        <f t="shared" si="183"/>
        <v>1636305</v>
      </c>
      <c r="AR251" s="397">
        <f t="shared" si="184"/>
        <v>3452108</v>
      </c>
      <c r="AS251" s="397">
        <f t="shared" si="185"/>
        <v>3632442</v>
      </c>
    </row>
    <row r="252" spans="1:45" ht="15.75">
      <c r="A252" s="228">
        <v>19</v>
      </c>
      <c r="B252" s="228" t="str">
        <f t="shared" si="149"/>
        <v>FRUTA_19</v>
      </c>
      <c r="C252" s="338" t="str">
        <f t="shared" si="150"/>
        <v>17_19</v>
      </c>
      <c r="D252" s="398" t="s">
        <v>1</v>
      </c>
      <c r="E252" s="228">
        <v>17</v>
      </c>
      <c r="F252" s="332" t="s">
        <v>53</v>
      </c>
      <c r="G252" s="228" t="s">
        <v>9</v>
      </c>
      <c r="H252" s="427">
        <f t="shared" si="151"/>
        <v>0</v>
      </c>
      <c r="I252" s="427">
        <f t="shared" si="152"/>
        <v>0</v>
      </c>
      <c r="J252" s="428">
        <f t="array" ref="J252">MAX((IF(MNU_CODIGO_ALIMENTO_ENTREGA=CONCATENATE($E252,"_","S_"),MNU_GRAMAJE_REQUERIDO_TIPOA,"")))</f>
        <v>0</v>
      </c>
      <c r="K252" s="229">
        <f t="shared" si="153"/>
        <v>396</v>
      </c>
      <c r="L252" s="229">
        <f t="shared" si="154"/>
        <v>0</v>
      </c>
      <c r="M252" s="229">
        <f t="shared" si="155"/>
        <v>0</v>
      </c>
      <c r="N252" s="454">
        <f t="shared" si="156"/>
        <v>0</v>
      </c>
      <c r="O252" s="454">
        <f t="shared" si="157"/>
        <v>0</v>
      </c>
      <c r="P252" s="454">
        <f t="shared" si="158"/>
        <v>0</v>
      </c>
      <c r="Q252" s="454">
        <f t="shared" si="159"/>
        <v>0</v>
      </c>
      <c r="R252" s="230">
        <f t="shared" si="160"/>
        <v>0</v>
      </c>
      <c r="S252" s="230">
        <f t="shared" si="161"/>
        <v>0</v>
      </c>
      <c r="T252" s="429">
        <f t="shared" si="162"/>
        <v>23</v>
      </c>
      <c r="U252" s="429">
        <f t="shared" si="163"/>
        <v>4</v>
      </c>
      <c r="V252" s="430">
        <f t="array" ref="V252">MAX((IF(MNU_CODIGO_ALIMENTO_ENTREGA=CONCATENATE($E252,"_","S_"),MNU_GRAMAJE_REQUERIDO_TIPOB,"")))</f>
        <v>100</v>
      </c>
      <c r="W252" s="397">
        <f t="shared" si="164"/>
        <v>891</v>
      </c>
      <c r="X252" s="397">
        <f t="shared" si="165"/>
        <v>0</v>
      </c>
      <c r="Y252" s="397">
        <f t="shared" si="166"/>
        <v>20493</v>
      </c>
      <c r="Z252" s="454">
        <f t="shared" si="167"/>
        <v>226</v>
      </c>
      <c r="AA252" s="454">
        <f t="shared" si="168"/>
        <v>11.0288</v>
      </c>
      <c r="AB252" s="454">
        <f t="shared" si="169"/>
        <v>0.19436361600000002</v>
      </c>
      <c r="AC252" s="454">
        <f t="shared" si="170"/>
        <v>237</v>
      </c>
      <c r="AD252" s="231">
        <f t="shared" si="171"/>
        <v>4631418</v>
      </c>
      <c r="AE252" s="231">
        <f t="shared" si="172"/>
        <v>4856841</v>
      </c>
      <c r="AF252" s="427">
        <f t="shared" si="173"/>
        <v>23</v>
      </c>
      <c r="AG252" s="427">
        <f t="shared" si="174"/>
        <v>4</v>
      </c>
      <c r="AH252" s="428">
        <f t="array" ref="AH252">MAX((IF(MNU_CODIGO_ALIMENTO_ENTREGA=CONCATENATE($E252,"_","S_"),MNU_GRAMAJE_REQUERIDO_TIPOC,"")))</f>
        <v>100</v>
      </c>
      <c r="AI252" s="229">
        <f t="shared" si="175"/>
        <v>1055</v>
      </c>
      <c r="AJ252" s="229">
        <f t="shared" si="176"/>
        <v>0</v>
      </c>
      <c r="AK252" s="229">
        <f t="shared" si="177"/>
        <v>24265</v>
      </c>
      <c r="AL252" s="454">
        <f t="shared" si="178"/>
        <v>226</v>
      </c>
      <c r="AM252" s="454">
        <f t="shared" si="179"/>
        <v>11.0288</v>
      </c>
      <c r="AN252" s="454">
        <f t="shared" si="180"/>
        <v>0.19436361600000002</v>
      </c>
      <c r="AO252" s="454">
        <f t="shared" si="181"/>
        <v>237</v>
      </c>
      <c r="AP252" s="454">
        <f t="shared" si="182"/>
        <v>5483890</v>
      </c>
      <c r="AQ252" s="230">
        <f t="shared" si="183"/>
        <v>5750805</v>
      </c>
      <c r="AR252" s="397">
        <f t="shared" si="184"/>
        <v>10115308</v>
      </c>
      <c r="AS252" s="397">
        <f t="shared" si="185"/>
        <v>10607646</v>
      </c>
    </row>
    <row r="253" spans="1:45" ht="15.75">
      <c r="A253" s="228">
        <v>19</v>
      </c>
      <c r="B253" s="228" t="str">
        <f t="shared" si="149"/>
        <v>FRUTA_19</v>
      </c>
      <c r="C253" s="338" t="str">
        <f t="shared" si="150"/>
        <v>22_19</v>
      </c>
      <c r="D253" s="398" t="s">
        <v>1</v>
      </c>
      <c r="E253" s="258">
        <v>22</v>
      </c>
      <c r="F253" s="328" t="s">
        <v>51</v>
      </c>
      <c r="G253" s="228" t="s">
        <v>9</v>
      </c>
      <c r="H253" s="427">
        <f t="shared" si="151"/>
        <v>0</v>
      </c>
      <c r="I253" s="427">
        <f t="shared" si="152"/>
        <v>0</v>
      </c>
      <c r="J253" s="428">
        <f t="array" ref="J253">MAX((IF(MNU_CODIGO_ALIMENTO_ENTREGA=CONCATENATE($E253,"_","S_"),MNU_GRAMAJE_REQUERIDO_TIPOA,"")))</f>
        <v>0</v>
      </c>
      <c r="K253" s="229">
        <f t="shared" si="153"/>
        <v>396</v>
      </c>
      <c r="L253" s="229">
        <f t="shared" si="154"/>
        <v>0</v>
      </c>
      <c r="M253" s="229">
        <f t="shared" si="155"/>
        <v>0</v>
      </c>
      <c r="N253" s="454">
        <f t="shared" si="156"/>
        <v>0</v>
      </c>
      <c r="O253" s="454">
        <f t="shared" si="157"/>
        <v>0</v>
      </c>
      <c r="P253" s="454">
        <f t="shared" si="158"/>
        <v>0</v>
      </c>
      <c r="Q253" s="454">
        <f t="shared" si="159"/>
        <v>0</v>
      </c>
      <c r="R253" s="230">
        <f t="shared" si="160"/>
        <v>0</v>
      </c>
      <c r="S253" s="230">
        <f t="shared" si="161"/>
        <v>0</v>
      </c>
      <c r="T253" s="429">
        <f t="shared" si="162"/>
        <v>23</v>
      </c>
      <c r="U253" s="429">
        <f t="shared" si="163"/>
        <v>4</v>
      </c>
      <c r="V253" s="430">
        <f t="array" ref="V253">MAX((IF(MNU_CODIGO_ALIMENTO_ENTREGA=CONCATENATE($E253,"_","S_"),MNU_GRAMAJE_REQUERIDO_TIPOB,"")))</f>
        <v>100</v>
      </c>
      <c r="W253" s="397">
        <f t="shared" si="164"/>
        <v>891</v>
      </c>
      <c r="X253" s="397">
        <f t="shared" si="165"/>
        <v>0</v>
      </c>
      <c r="Y253" s="397">
        <f t="shared" si="166"/>
        <v>20493</v>
      </c>
      <c r="Z253" s="454">
        <f t="shared" si="167"/>
        <v>525</v>
      </c>
      <c r="AA253" s="454">
        <f t="shared" si="168"/>
        <v>25.62</v>
      </c>
      <c r="AB253" s="454">
        <f t="shared" si="169"/>
        <v>0.45150840000000003</v>
      </c>
      <c r="AC253" s="454">
        <f t="shared" si="170"/>
        <v>551</v>
      </c>
      <c r="AD253" s="231">
        <f t="shared" si="171"/>
        <v>10758825</v>
      </c>
      <c r="AE253" s="231">
        <f t="shared" si="172"/>
        <v>11291643</v>
      </c>
      <c r="AF253" s="427">
        <f t="shared" si="173"/>
        <v>23</v>
      </c>
      <c r="AG253" s="427">
        <f t="shared" si="174"/>
        <v>4</v>
      </c>
      <c r="AH253" s="428">
        <f t="array" ref="AH253">MAX((IF(MNU_CODIGO_ALIMENTO_ENTREGA=CONCATENATE($E253,"_","S_"),MNU_GRAMAJE_REQUERIDO_TIPOC,"")))</f>
        <v>100</v>
      </c>
      <c r="AI253" s="229">
        <f t="shared" si="175"/>
        <v>1055</v>
      </c>
      <c r="AJ253" s="229">
        <f t="shared" si="176"/>
        <v>0</v>
      </c>
      <c r="AK253" s="229">
        <f t="shared" si="177"/>
        <v>24265</v>
      </c>
      <c r="AL253" s="454">
        <f t="shared" si="178"/>
        <v>525</v>
      </c>
      <c r="AM253" s="454">
        <f t="shared" si="179"/>
        <v>25.62</v>
      </c>
      <c r="AN253" s="454">
        <f t="shared" si="180"/>
        <v>0.45150840000000003</v>
      </c>
      <c r="AO253" s="454">
        <f t="shared" si="181"/>
        <v>551</v>
      </c>
      <c r="AP253" s="454">
        <f t="shared" si="182"/>
        <v>12739125</v>
      </c>
      <c r="AQ253" s="230">
        <f t="shared" si="183"/>
        <v>13370015</v>
      </c>
      <c r="AR253" s="397">
        <f t="shared" si="184"/>
        <v>23497950</v>
      </c>
      <c r="AS253" s="397">
        <f t="shared" si="185"/>
        <v>24661658</v>
      </c>
    </row>
    <row r="254" spans="1:45" ht="15.75">
      <c r="A254" s="228">
        <v>19</v>
      </c>
      <c r="B254" s="228" t="str">
        <f t="shared" si="149"/>
        <v>FRUTA_19</v>
      </c>
      <c r="C254" s="338" t="str">
        <f t="shared" si="150"/>
        <v>33_19</v>
      </c>
      <c r="D254" s="398" t="s">
        <v>1</v>
      </c>
      <c r="E254" s="228">
        <v>33</v>
      </c>
      <c r="F254" s="332" t="s">
        <v>59</v>
      </c>
      <c r="G254" s="228" t="s">
        <v>48</v>
      </c>
      <c r="H254" s="427">
        <f t="shared" si="151"/>
        <v>29</v>
      </c>
      <c r="I254" s="427">
        <f t="shared" si="152"/>
        <v>5</v>
      </c>
      <c r="J254" s="428">
        <v>1</v>
      </c>
      <c r="K254" s="229">
        <f t="shared" si="153"/>
        <v>396</v>
      </c>
      <c r="L254" s="229">
        <f t="shared" si="154"/>
        <v>0</v>
      </c>
      <c r="M254" s="229">
        <f t="shared" si="155"/>
        <v>11484</v>
      </c>
      <c r="N254" s="454">
        <f t="shared" si="156"/>
        <v>270</v>
      </c>
      <c r="O254" s="454">
        <f t="shared" si="157"/>
        <v>13.176000000000002</v>
      </c>
      <c r="P254" s="454">
        <f t="shared" si="158"/>
        <v>0.23220432000000002</v>
      </c>
      <c r="Q254" s="454">
        <f t="shared" si="159"/>
        <v>283</v>
      </c>
      <c r="R254" s="230">
        <f t="shared" si="160"/>
        <v>3100680</v>
      </c>
      <c r="S254" s="230">
        <f t="shared" si="161"/>
        <v>3249972</v>
      </c>
      <c r="T254" s="429">
        <f t="shared" si="162"/>
        <v>23</v>
      </c>
      <c r="U254" s="429">
        <f t="shared" si="163"/>
        <v>2</v>
      </c>
      <c r="V254" s="430">
        <v>1</v>
      </c>
      <c r="W254" s="397">
        <f t="shared" si="164"/>
        <v>891</v>
      </c>
      <c r="X254" s="397">
        <f t="shared" si="165"/>
        <v>0</v>
      </c>
      <c r="Y254" s="397">
        <f t="shared" si="166"/>
        <v>20493</v>
      </c>
      <c r="Z254" s="454">
        <f t="shared" si="167"/>
        <v>270</v>
      </c>
      <c r="AA254" s="454">
        <f t="shared" si="168"/>
        <v>13.176000000000002</v>
      </c>
      <c r="AB254" s="454">
        <f t="shared" si="169"/>
        <v>0.23220432000000002</v>
      </c>
      <c r="AC254" s="454">
        <f t="shared" si="170"/>
        <v>283</v>
      </c>
      <c r="AD254" s="231">
        <f t="shared" si="171"/>
        <v>5533110</v>
      </c>
      <c r="AE254" s="231">
        <f t="shared" si="172"/>
        <v>5799519</v>
      </c>
      <c r="AF254" s="427">
        <f t="shared" si="173"/>
        <v>23</v>
      </c>
      <c r="AG254" s="427">
        <f t="shared" si="174"/>
        <v>2</v>
      </c>
      <c r="AH254" s="428">
        <v>1</v>
      </c>
      <c r="AI254" s="229">
        <f t="shared" si="175"/>
        <v>1055</v>
      </c>
      <c r="AJ254" s="229">
        <f t="shared" si="176"/>
        <v>0</v>
      </c>
      <c r="AK254" s="229">
        <f t="shared" si="177"/>
        <v>24265</v>
      </c>
      <c r="AL254" s="454">
        <f t="shared" si="178"/>
        <v>270</v>
      </c>
      <c r="AM254" s="454">
        <f t="shared" si="179"/>
        <v>13.176000000000002</v>
      </c>
      <c r="AN254" s="454">
        <f t="shared" si="180"/>
        <v>0.23220432000000002</v>
      </c>
      <c r="AO254" s="454">
        <f t="shared" si="181"/>
        <v>283</v>
      </c>
      <c r="AP254" s="454">
        <f t="shared" si="182"/>
        <v>6551550</v>
      </c>
      <c r="AQ254" s="230">
        <f t="shared" si="183"/>
        <v>6866995</v>
      </c>
      <c r="AR254" s="397">
        <f t="shared" si="184"/>
        <v>15185340</v>
      </c>
      <c r="AS254" s="397">
        <f t="shared" si="185"/>
        <v>15916486</v>
      </c>
    </row>
    <row r="255" spans="1:45" ht="15.75">
      <c r="A255" s="228">
        <v>19</v>
      </c>
      <c r="B255" s="228" t="str">
        <f t="shared" si="149"/>
        <v>FRUTA_19</v>
      </c>
      <c r="C255" s="338" t="str">
        <f t="shared" si="150"/>
        <v>36_19</v>
      </c>
      <c r="D255" s="398" t="s">
        <v>1</v>
      </c>
      <c r="E255" s="228">
        <v>36</v>
      </c>
      <c r="F255" s="332" t="s">
        <v>1340</v>
      </c>
      <c r="G255" s="228" t="s">
        <v>9</v>
      </c>
      <c r="H255" s="427">
        <f t="shared" si="151"/>
        <v>8</v>
      </c>
      <c r="I255" s="427">
        <f t="shared" si="152"/>
        <v>0</v>
      </c>
      <c r="J255" s="428">
        <f t="array" ref="J255">MAX((IF(MNU_CODIGO_ALIMENTO_ENTREGA=CONCATENATE($E255,"_","S_"),MNU_GRAMAJE_REQUERIDO_TIPOA,"")))</f>
        <v>20</v>
      </c>
      <c r="K255" s="229">
        <f t="shared" si="153"/>
        <v>396</v>
      </c>
      <c r="L255" s="229">
        <f t="shared" si="154"/>
        <v>0</v>
      </c>
      <c r="M255" s="229">
        <f t="shared" si="155"/>
        <v>3168</v>
      </c>
      <c r="N255" s="454">
        <f t="shared" si="156"/>
        <v>126</v>
      </c>
      <c r="O255" s="454">
        <f t="shared" si="157"/>
        <v>6.1488000000000005</v>
      </c>
      <c r="P255" s="454">
        <f t="shared" si="158"/>
        <v>0.10836201599999999</v>
      </c>
      <c r="Q255" s="454">
        <f t="shared" si="159"/>
        <v>132</v>
      </c>
      <c r="R255" s="230">
        <f t="shared" si="160"/>
        <v>399168</v>
      </c>
      <c r="S255" s="230">
        <f t="shared" si="161"/>
        <v>418176</v>
      </c>
      <c r="T255" s="429">
        <f t="shared" si="162"/>
        <v>8</v>
      </c>
      <c r="U255" s="429">
        <f t="shared" si="163"/>
        <v>0</v>
      </c>
      <c r="V255" s="430">
        <f t="array" ref="V255">MAX((IF(MNU_CODIGO_ALIMENTO_ENTREGA=CONCATENATE($E255,"_","S_"),MNU_GRAMAJE_REQUERIDO_TIPOB,"")))</f>
        <v>40</v>
      </c>
      <c r="W255" s="397">
        <f t="shared" si="164"/>
        <v>891</v>
      </c>
      <c r="X255" s="397">
        <f t="shared" si="165"/>
        <v>0</v>
      </c>
      <c r="Y255" s="397">
        <f t="shared" si="166"/>
        <v>7128</v>
      </c>
      <c r="Z255" s="454">
        <f t="shared" si="167"/>
        <v>252</v>
      </c>
      <c r="AA255" s="454">
        <f t="shared" si="168"/>
        <v>12.297600000000001</v>
      </c>
      <c r="AB255" s="454">
        <f t="shared" si="169"/>
        <v>0.21672403199999998</v>
      </c>
      <c r="AC255" s="454">
        <f t="shared" si="170"/>
        <v>265</v>
      </c>
      <c r="AD255" s="231">
        <f t="shared" si="171"/>
        <v>1796256</v>
      </c>
      <c r="AE255" s="231">
        <f t="shared" si="172"/>
        <v>1888920</v>
      </c>
      <c r="AF255" s="427">
        <f t="shared" si="173"/>
        <v>8</v>
      </c>
      <c r="AG255" s="427">
        <f t="shared" si="174"/>
        <v>0</v>
      </c>
      <c r="AH255" s="428">
        <f t="array" ref="AH255">MAX((IF(MNU_CODIGO_ALIMENTO_ENTREGA=CONCATENATE($E255,"_","S_"),MNU_GRAMAJE_REQUERIDO_TIPOC,"")))</f>
        <v>40</v>
      </c>
      <c r="AI255" s="229">
        <f t="shared" si="175"/>
        <v>1055</v>
      </c>
      <c r="AJ255" s="229">
        <f t="shared" si="176"/>
        <v>0</v>
      </c>
      <c r="AK255" s="229">
        <f t="shared" si="177"/>
        <v>8440</v>
      </c>
      <c r="AL255" s="454">
        <f t="shared" si="178"/>
        <v>252</v>
      </c>
      <c r="AM255" s="454">
        <f t="shared" si="179"/>
        <v>12.297600000000001</v>
      </c>
      <c r="AN255" s="454">
        <f t="shared" si="180"/>
        <v>0.21672403199999998</v>
      </c>
      <c r="AO255" s="454">
        <f t="shared" si="181"/>
        <v>265</v>
      </c>
      <c r="AP255" s="454">
        <f t="shared" si="182"/>
        <v>2126880</v>
      </c>
      <c r="AQ255" s="230">
        <f t="shared" si="183"/>
        <v>2236600</v>
      </c>
      <c r="AR255" s="397">
        <f t="shared" si="184"/>
        <v>4322304</v>
      </c>
      <c r="AS255" s="397">
        <f t="shared" si="185"/>
        <v>4543696</v>
      </c>
    </row>
    <row r="256" spans="1:45" ht="15.75">
      <c r="A256" s="228">
        <v>19</v>
      </c>
      <c r="B256" s="228" t="str">
        <f t="shared" si="149"/>
        <v>FRUTA_19</v>
      </c>
      <c r="C256" s="338" t="str">
        <f t="shared" si="150"/>
        <v>42_19</v>
      </c>
      <c r="D256" s="398" t="s">
        <v>1</v>
      </c>
      <c r="E256" s="228">
        <v>42</v>
      </c>
      <c r="F256" s="332" t="s">
        <v>61</v>
      </c>
      <c r="G256" s="228" t="s">
        <v>9</v>
      </c>
      <c r="H256" s="427">
        <f t="shared" si="151"/>
        <v>36</v>
      </c>
      <c r="I256" s="427">
        <f t="shared" si="152"/>
        <v>8</v>
      </c>
      <c r="J256" s="428">
        <f t="array" ref="J256">MAX((IF(MNU_CODIGO_ALIMENTO_ENTREGA=CONCATENATE($E256,"_","S_"),MNU_GRAMAJE_REQUERIDO_TIPOA,"")))</f>
        <v>100</v>
      </c>
      <c r="K256" s="229">
        <f t="shared" si="153"/>
        <v>396</v>
      </c>
      <c r="L256" s="229">
        <f t="shared" si="154"/>
        <v>0</v>
      </c>
      <c r="M256" s="229">
        <f t="shared" si="155"/>
        <v>14256</v>
      </c>
      <c r="N256" s="454">
        <f t="shared" si="156"/>
        <v>194</v>
      </c>
      <c r="O256" s="454">
        <f t="shared" si="157"/>
        <v>9.4672000000000001</v>
      </c>
      <c r="P256" s="454">
        <f t="shared" si="158"/>
        <v>0.16684310399999999</v>
      </c>
      <c r="Q256" s="454">
        <f t="shared" si="159"/>
        <v>204</v>
      </c>
      <c r="R256" s="230">
        <f t="shared" si="160"/>
        <v>2765664</v>
      </c>
      <c r="S256" s="230">
        <f t="shared" si="161"/>
        <v>2908224</v>
      </c>
      <c r="T256" s="429">
        <f t="shared" si="162"/>
        <v>19</v>
      </c>
      <c r="U256" s="429">
        <f t="shared" si="163"/>
        <v>8</v>
      </c>
      <c r="V256" s="430">
        <f t="array" ref="V256">MAX((IF(MNU_CODIGO_ALIMENTO_ENTREGA=CONCATENATE($E256,"_","S_"),MNU_GRAMAJE_REQUERIDO_TIPOB,"")))</f>
        <v>100</v>
      </c>
      <c r="W256" s="397">
        <f t="shared" si="164"/>
        <v>891</v>
      </c>
      <c r="X256" s="397">
        <f t="shared" si="165"/>
        <v>0</v>
      </c>
      <c r="Y256" s="397">
        <f t="shared" si="166"/>
        <v>16929</v>
      </c>
      <c r="Z256" s="454">
        <f t="shared" si="167"/>
        <v>194</v>
      </c>
      <c r="AA256" s="454">
        <f t="shared" si="168"/>
        <v>9.4672000000000001</v>
      </c>
      <c r="AB256" s="454">
        <f t="shared" si="169"/>
        <v>0.16684310399999999</v>
      </c>
      <c r="AC256" s="454">
        <f t="shared" si="170"/>
        <v>204</v>
      </c>
      <c r="AD256" s="231">
        <f t="shared" si="171"/>
        <v>3284226</v>
      </c>
      <c r="AE256" s="231">
        <f t="shared" si="172"/>
        <v>3453516</v>
      </c>
      <c r="AF256" s="427">
        <f t="shared" si="173"/>
        <v>19</v>
      </c>
      <c r="AG256" s="427">
        <f t="shared" si="174"/>
        <v>8</v>
      </c>
      <c r="AH256" s="428">
        <f t="array" ref="AH256">MAX((IF(MNU_CODIGO_ALIMENTO_ENTREGA=CONCATENATE($E256,"_","S_"),MNU_GRAMAJE_REQUERIDO_TIPOC,"")))</f>
        <v>100</v>
      </c>
      <c r="AI256" s="229">
        <f t="shared" si="175"/>
        <v>1055</v>
      </c>
      <c r="AJ256" s="229">
        <f t="shared" si="176"/>
        <v>0</v>
      </c>
      <c r="AK256" s="229">
        <f t="shared" si="177"/>
        <v>20045</v>
      </c>
      <c r="AL256" s="454">
        <f t="shared" si="178"/>
        <v>194</v>
      </c>
      <c r="AM256" s="454">
        <f t="shared" si="179"/>
        <v>9.4672000000000001</v>
      </c>
      <c r="AN256" s="454">
        <f t="shared" si="180"/>
        <v>0.16684310399999999</v>
      </c>
      <c r="AO256" s="454">
        <f t="shared" si="181"/>
        <v>204</v>
      </c>
      <c r="AP256" s="454">
        <f t="shared" si="182"/>
        <v>3888730</v>
      </c>
      <c r="AQ256" s="230">
        <f t="shared" si="183"/>
        <v>4089180</v>
      </c>
      <c r="AR256" s="397">
        <f t="shared" si="184"/>
        <v>9938620</v>
      </c>
      <c r="AS256" s="397">
        <f t="shared" si="185"/>
        <v>10450920</v>
      </c>
    </row>
    <row r="257" spans="1:45" ht="15.75">
      <c r="A257" s="228">
        <v>19</v>
      </c>
      <c r="B257" s="228" t="str">
        <f t="shared" si="149"/>
        <v>FRUTA_19</v>
      </c>
      <c r="C257" s="338" t="str">
        <f t="shared" si="150"/>
        <v>43_19</v>
      </c>
      <c r="D257" s="398" t="s">
        <v>1</v>
      </c>
      <c r="E257" s="228">
        <v>43</v>
      </c>
      <c r="F257" s="332" t="s">
        <v>62</v>
      </c>
      <c r="G257" s="228" t="s">
        <v>9</v>
      </c>
      <c r="H257" s="427">
        <f t="shared" si="151"/>
        <v>29</v>
      </c>
      <c r="I257" s="427">
        <f t="shared" si="152"/>
        <v>6</v>
      </c>
      <c r="J257" s="428">
        <f t="array" ref="J257">MAX((IF(MNU_CODIGO_ALIMENTO_ENTREGA=CONCATENATE($E257,"_","S_"),MNU_GRAMAJE_REQUERIDO_TIPOA,"")))</f>
        <v>100</v>
      </c>
      <c r="K257" s="229">
        <f t="shared" si="153"/>
        <v>396</v>
      </c>
      <c r="L257" s="229">
        <f t="shared" si="154"/>
        <v>0</v>
      </c>
      <c r="M257" s="229">
        <f t="shared" si="155"/>
        <v>11484</v>
      </c>
      <c r="N257" s="454">
        <f t="shared" si="156"/>
        <v>170</v>
      </c>
      <c r="O257" s="454">
        <f t="shared" si="157"/>
        <v>8.2959999999999994</v>
      </c>
      <c r="P257" s="454">
        <f t="shared" si="158"/>
        <v>0.14620272000000001</v>
      </c>
      <c r="Q257" s="454">
        <f t="shared" si="159"/>
        <v>178</v>
      </c>
      <c r="R257" s="230">
        <f t="shared" si="160"/>
        <v>1952280</v>
      </c>
      <c r="S257" s="230">
        <f t="shared" si="161"/>
        <v>2044152</v>
      </c>
      <c r="T257" s="429">
        <f t="shared" si="162"/>
        <v>23</v>
      </c>
      <c r="U257" s="429">
        <f t="shared" si="163"/>
        <v>1</v>
      </c>
      <c r="V257" s="430">
        <f t="array" ref="V257">MAX((IF(MNU_CODIGO_ALIMENTO_ENTREGA=CONCATENATE($E257,"_","S_"),MNU_GRAMAJE_REQUERIDO_TIPOB,"")))</f>
        <v>100</v>
      </c>
      <c r="W257" s="397">
        <f t="shared" si="164"/>
        <v>891</v>
      </c>
      <c r="X257" s="397">
        <f t="shared" si="165"/>
        <v>0</v>
      </c>
      <c r="Y257" s="397">
        <f t="shared" si="166"/>
        <v>20493</v>
      </c>
      <c r="Z257" s="454">
        <f t="shared" si="167"/>
        <v>170</v>
      </c>
      <c r="AA257" s="454">
        <f t="shared" si="168"/>
        <v>8.2959999999999994</v>
      </c>
      <c r="AB257" s="454">
        <f t="shared" si="169"/>
        <v>0.14620272000000001</v>
      </c>
      <c r="AC257" s="454">
        <f t="shared" si="170"/>
        <v>178</v>
      </c>
      <c r="AD257" s="231">
        <f t="shared" si="171"/>
        <v>3483810</v>
      </c>
      <c r="AE257" s="231">
        <f t="shared" si="172"/>
        <v>3647754</v>
      </c>
      <c r="AF257" s="427">
        <f t="shared" si="173"/>
        <v>23</v>
      </c>
      <c r="AG257" s="427">
        <f t="shared" si="174"/>
        <v>1</v>
      </c>
      <c r="AH257" s="428">
        <f t="array" ref="AH257">MAX((IF(MNU_CODIGO_ALIMENTO_ENTREGA=CONCATENATE($E257,"_","S_"),MNU_GRAMAJE_REQUERIDO_TIPOC,"")))</f>
        <v>100</v>
      </c>
      <c r="AI257" s="229">
        <f t="shared" si="175"/>
        <v>1055</v>
      </c>
      <c r="AJ257" s="229">
        <f t="shared" si="176"/>
        <v>0</v>
      </c>
      <c r="AK257" s="229">
        <f t="shared" si="177"/>
        <v>24265</v>
      </c>
      <c r="AL257" s="454">
        <f t="shared" si="178"/>
        <v>170</v>
      </c>
      <c r="AM257" s="454">
        <f t="shared" si="179"/>
        <v>8.2959999999999994</v>
      </c>
      <c r="AN257" s="454">
        <f t="shared" si="180"/>
        <v>0.14620272000000001</v>
      </c>
      <c r="AO257" s="454">
        <f t="shared" si="181"/>
        <v>178</v>
      </c>
      <c r="AP257" s="454">
        <f t="shared" si="182"/>
        <v>4125050</v>
      </c>
      <c r="AQ257" s="230">
        <f t="shared" si="183"/>
        <v>4319170</v>
      </c>
      <c r="AR257" s="397">
        <f t="shared" si="184"/>
        <v>9561140</v>
      </c>
      <c r="AS257" s="397">
        <f t="shared" si="185"/>
        <v>10011076</v>
      </c>
    </row>
    <row r="258" spans="1:45" ht="15.75">
      <c r="A258" s="228">
        <v>19</v>
      </c>
      <c r="B258" s="228" t="str">
        <f t="shared" si="149"/>
        <v>FRUTA_19</v>
      </c>
      <c r="C258" s="338" t="str">
        <f t="shared" si="150"/>
        <v>46_19</v>
      </c>
      <c r="D258" s="398" t="s">
        <v>1</v>
      </c>
      <c r="E258" s="228">
        <v>46</v>
      </c>
      <c r="F258" s="332" t="s">
        <v>64</v>
      </c>
      <c r="G258" s="228" t="s">
        <v>9</v>
      </c>
      <c r="H258" s="427">
        <f t="shared" si="151"/>
        <v>29</v>
      </c>
      <c r="I258" s="427">
        <f t="shared" si="152"/>
        <v>4</v>
      </c>
      <c r="J258" s="428">
        <f t="array" ref="J258">MAX((IF(MNU_CODIGO_ALIMENTO_ENTREGA=CONCATENATE($E258,"_","S_"),MNU_GRAMAJE_REQUERIDO_TIPOA,"")))</f>
        <v>100</v>
      </c>
      <c r="K258" s="229">
        <f t="shared" si="153"/>
        <v>396</v>
      </c>
      <c r="L258" s="229">
        <f t="shared" si="154"/>
        <v>0</v>
      </c>
      <c r="M258" s="229">
        <f t="shared" si="155"/>
        <v>11484</v>
      </c>
      <c r="N258" s="454">
        <f t="shared" si="156"/>
        <v>398</v>
      </c>
      <c r="O258" s="454">
        <f t="shared" si="157"/>
        <v>19.4224</v>
      </c>
      <c r="P258" s="454">
        <f t="shared" si="158"/>
        <v>0.34228636800000001</v>
      </c>
      <c r="Q258" s="454">
        <f t="shared" si="159"/>
        <v>418</v>
      </c>
      <c r="R258" s="230">
        <f t="shared" si="160"/>
        <v>4570632</v>
      </c>
      <c r="S258" s="230">
        <f t="shared" si="161"/>
        <v>4800312</v>
      </c>
      <c r="T258" s="429">
        <f t="shared" si="162"/>
        <v>24</v>
      </c>
      <c r="U258" s="429">
        <f t="shared" si="163"/>
        <v>3</v>
      </c>
      <c r="V258" s="430">
        <f t="array" ref="V258">MAX((IF(MNU_CODIGO_ALIMENTO_ENTREGA=CONCATENATE($E258,"_","S_"),MNU_GRAMAJE_REQUERIDO_TIPOB,"")))</f>
        <v>100</v>
      </c>
      <c r="W258" s="397">
        <f t="shared" si="164"/>
        <v>891</v>
      </c>
      <c r="X258" s="397">
        <f t="shared" si="165"/>
        <v>0</v>
      </c>
      <c r="Y258" s="397">
        <f t="shared" si="166"/>
        <v>21384</v>
      </c>
      <c r="Z258" s="454">
        <f t="shared" si="167"/>
        <v>398</v>
      </c>
      <c r="AA258" s="454">
        <f t="shared" si="168"/>
        <v>19.4224</v>
      </c>
      <c r="AB258" s="454">
        <f t="shared" si="169"/>
        <v>0.34228636800000001</v>
      </c>
      <c r="AC258" s="454">
        <f t="shared" si="170"/>
        <v>418</v>
      </c>
      <c r="AD258" s="231">
        <f t="shared" si="171"/>
        <v>8510832</v>
      </c>
      <c r="AE258" s="231">
        <f t="shared" si="172"/>
        <v>8938512</v>
      </c>
      <c r="AF258" s="427">
        <f t="shared" si="173"/>
        <v>24</v>
      </c>
      <c r="AG258" s="427">
        <f t="shared" si="174"/>
        <v>3</v>
      </c>
      <c r="AH258" s="428">
        <f t="array" ref="AH258">MAX((IF(MNU_CODIGO_ALIMENTO_ENTREGA=CONCATENATE($E258,"_","S_"),MNU_GRAMAJE_REQUERIDO_TIPOC,"")))</f>
        <v>100</v>
      </c>
      <c r="AI258" s="229">
        <f t="shared" si="175"/>
        <v>1055</v>
      </c>
      <c r="AJ258" s="229">
        <f t="shared" si="176"/>
        <v>0</v>
      </c>
      <c r="AK258" s="229">
        <f t="shared" si="177"/>
        <v>25320</v>
      </c>
      <c r="AL258" s="454">
        <f t="shared" si="178"/>
        <v>398</v>
      </c>
      <c r="AM258" s="454">
        <f t="shared" si="179"/>
        <v>19.4224</v>
      </c>
      <c r="AN258" s="454">
        <f t="shared" si="180"/>
        <v>0.34228636800000001</v>
      </c>
      <c r="AO258" s="454">
        <f t="shared" si="181"/>
        <v>418</v>
      </c>
      <c r="AP258" s="454">
        <f t="shared" si="182"/>
        <v>10077360</v>
      </c>
      <c r="AQ258" s="230">
        <f t="shared" si="183"/>
        <v>10583760</v>
      </c>
      <c r="AR258" s="397">
        <f t="shared" si="184"/>
        <v>23158824</v>
      </c>
      <c r="AS258" s="397">
        <f t="shared" si="185"/>
        <v>24322584</v>
      </c>
    </row>
    <row r="259" spans="1:45" ht="15.75">
      <c r="A259" s="228">
        <v>19</v>
      </c>
      <c r="B259" s="228" t="str">
        <f t="shared" si="149"/>
        <v>FRUTA_19</v>
      </c>
      <c r="C259" s="338" t="str">
        <f t="shared" si="150"/>
        <v>58_19</v>
      </c>
      <c r="D259" s="398" t="s">
        <v>1</v>
      </c>
      <c r="E259" s="228">
        <v>58</v>
      </c>
      <c r="F259" s="332" t="s">
        <v>67</v>
      </c>
      <c r="G259" s="228" t="s">
        <v>9</v>
      </c>
      <c r="H259" s="427">
        <f t="shared" si="151"/>
        <v>28</v>
      </c>
      <c r="I259" s="427">
        <f t="shared" si="152"/>
        <v>5</v>
      </c>
      <c r="J259" s="428">
        <f t="array" ref="J259">MAX((IF(MNU_CODIGO_ALIMENTO_ENTREGA=CONCATENATE($E259,"_","S_"),MNU_GRAMAJE_REQUERIDO_TIPOA,"")))</f>
        <v>100</v>
      </c>
      <c r="K259" s="229">
        <f t="shared" si="153"/>
        <v>396</v>
      </c>
      <c r="L259" s="229">
        <f t="shared" si="154"/>
        <v>0</v>
      </c>
      <c r="M259" s="229">
        <f t="shared" si="155"/>
        <v>11088</v>
      </c>
      <c r="N259" s="454">
        <f t="shared" si="156"/>
        <v>154</v>
      </c>
      <c r="O259" s="454">
        <f t="shared" si="157"/>
        <v>7.515200000000001</v>
      </c>
      <c r="P259" s="454">
        <f t="shared" si="158"/>
        <v>0.13244246400000001</v>
      </c>
      <c r="Q259" s="454">
        <f t="shared" si="159"/>
        <v>162</v>
      </c>
      <c r="R259" s="230">
        <f t="shared" si="160"/>
        <v>1707552</v>
      </c>
      <c r="S259" s="230">
        <f t="shared" si="161"/>
        <v>1796256</v>
      </c>
      <c r="T259" s="429">
        <f t="shared" si="162"/>
        <v>23</v>
      </c>
      <c r="U259" s="429">
        <f t="shared" si="163"/>
        <v>3</v>
      </c>
      <c r="V259" s="430">
        <f t="array" ref="V259">MAX((IF(MNU_CODIGO_ALIMENTO_ENTREGA=CONCATENATE($E259,"_","S_"),MNU_GRAMAJE_REQUERIDO_TIPOB,"")))</f>
        <v>100</v>
      </c>
      <c r="W259" s="397">
        <f t="shared" si="164"/>
        <v>891</v>
      </c>
      <c r="X259" s="397">
        <f t="shared" si="165"/>
        <v>0</v>
      </c>
      <c r="Y259" s="397">
        <f t="shared" si="166"/>
        <v>20493</v>
      </c>
      <c r="Z259" s="454">
        <f t="shared" si="167"/>
        <v>154</v>
      </c>
      <c r="AA259" s="454">
        <f t="shared" si="168"/>
        <v>7.515200000000001</v>
      </c>
      <c r="AB259" s="454">
        <f t="shared" si="169"/>
        <v>0.13244246400000001</v>
      </c>
      <c r="AC259" s="454">
        <f t="shared" si="170"/>
        <v>162</v>
      </c>
      <c r="AD259" s="231">
        <f t="shared" si="171"/>
        <v>3155922</v>
      </c>
      <c r="AE259" s="231">
        <f t="shared" si="172"/>
        <v>3319866</v>
      </c>
      <c r="AF259" s="427">
        <f t="shared" si="173"/>
        <v>23</v>
      </c>
      <c r="AG259" s="427">
        <f t="shared" si="174"/>
        <v>3</v>
      </c>
      <c r="AH259" s="428">
        <f t="array" ref="AH259">MAX((IF(MNU_CODIGO_ALIMENTO_ENTREGA=CONCATENATE($E259,"_","S_"),MNU_GRAMAJE_REQUERIDO_TIPOC,"")))</f>
        <v>100</v>
      </c>
      <c r="AI259" s="229">
        <f t="shared" si="175"/>
        <v>1055</v>
      </c>
      <c r="AJ259" s="229">
        <f t="shared" si="176"/>
        <v>0</v>
      </c>
      <c r="AK259" s="229">
        <f t="shared" si="177"/>
        <v>24265</v>
      </c>
      <c r="AL259" s="454">
        <f t="shared" si="178"/>
        <v>154</v>
      </c>
      <c r="AM259" s="454">
        <f t="shared" si="179"/>
        <v>7.515200000000001</v>
      </c>
      <c r="AN259" s="454">
        <f t="shared" si="180"/>
        <v>0.13244246400000001</v>
      </c>
      <c r="AO259" s="454">
        <f t="shared" si="181"/>
        <v>162</v>
      </c>
      <c r="AP259" s="454">
        <f t="shared" si="182"/>
        <v>3736810</v>
      </c>
      <c r="AQ259" s="230">
        <f t="shared" si="183"/>
        <v>3930930</v>
      </c>
      <c r="AR259" s="397">
        <f t="shared" si="184"/>
        <v>8600284</v>
      </c>
      <c r="AS259" s="397">
        <f t="shared" si="185"/>
        <v>9047052</v>
      </c>
    </row>
    <row r="260" spans="1:45" ht="15.75">
      <c r="A260" s="228">
        <v>19</v>
      </c>
      <c r="B260" s="228" t="str">
        <f t="shared" si="149"/>
        <v>FRUTA_19</v>
      </c>
      <c r="C260" s="338" t="str">
        <f t="shared" si="150"/>
        <v>59_19</v>
      </c>
      <c r="D260" s="398" t="s">
        <v>1</v>
      </c>
      <c r="E260" s="228">
        <v>59</v>
      </c>
      <c r="F260" s="332" t="s">
        <v>99</v>
      </c>
      <c r="G260" s="228" t="s">
        <v>9</v>
      </c>
      <c r="H260" s="427">
        <f t="shared" si="151"/>
        <v>0</v>
      </c>
      <c r="I260" s="427">
        <f t="shared" si="152"/>
        <v>0</v>
      </c>
      <c r="J260" s="428">
        <f t="array" ref="J260">MAX((IF(MNU_CODIGO_ALIMENTO_ENTREGA=CONCATENATE($E260,"_","S_"),MNU_GRAMAJE_REQUERIDO_TIPOA,"")))</f>
        <v>0</v>
      </c>
      <c r="K260" s="229">
        <f t="shared" si="153"/>
        <v>396</v>
      </c>
      <c r="L260" s="229">
        <f t="shared" si="154"/>
        <v>0</v>
      </c>
      <c r="M260" s="229">
        <f t="shared" si="155"/>
        <v>0</v>
      </c>
      <c r="N260" s="454">
        <f t="shared" si="156"/>
        <v>0</v>
      </c>
      <c r="O260" s="454">
        <f t="shared" si="157"/>
        <v>0</v>
      </c>
      <c r="P260" s="454">
        <f t="shared" si="158"/>
        <v>0</v>
      </c>
      <c r="Q260" s="454">
        <f t="shared" si="159"/>
        <v>0</v>
      </c>
      <c r="R260" s="230">
        <f t="shared" si="160"/>
        <v>0</v>
      </c>
      <c r="S260" s="230">
        <f t="shared" si="161"/>
        <v>0</v>
      </c>
      <c r="T260" s="429">
        <f t="shared" si="162"/>
        <v>11</v>
      </c>
      <c r="U260" s="429">
        <f t="shared" si="163"/>
        <v>0</v>
      </c>
      <c r="V260" s="430">
        <f t="array" ref="V260">MAX((IF(MNU_CODIGO_ALIMENTO_ENTREGA=CONCATENATE($E260,"_","S_"),MNU_GRAMAJE_REQUERIDO_TIPOB,"")))</f>
        <v>100</v>
      </c>
      <c r="W260" s="397">
        <f t="shared" si="164"/>
        <v>891</v>
      </c>
      <c r="X260" s="397">
        <f t="shared" si="165"/>
        <v>0</v>
      </c>
      <c r="Y260" s="397">
        <f t="shared" si="166"/>
        <v>9801</v>
      </c>
      <c r="Z260" s="454">
        <f t="shared" si="167"/>
        <v>286</v>
      </c>
      <c r="AA260" s="454">
        <f t="shared" si="168"/>
        <v>13.956800000000001</v>
      </c>
      <c r="AB260" s="454">
        <f t="shared" si="169"/>
        <v>0.24596457599999999</v>
      </c>
      <c r="AC260" s="454">
        <f t="shared" si="170"/>
        <v>300</v>
      </c>
      <c r="AD260" s="231">
        <f t="shared" si="171"/>
        <v>2803086</v>
      </c>
      <c r="AE260" s="231">
        <f t="shared" si="172"/>
        <v>2940300</v>
      </c>
      <c r="AF260" s="427">
        <f t="shared" si="173"/>
        <v>11</v>
      </c>
      <c r="AG260" s="427">
        <f t="shared" si="174"/>
        <v>0</v>
      </c>
      <c r="AH260" s="428">
        <f t="array" ref="AH260">MAX((IF(MNU_CODIGO_ALIMENTO_ENTREGA=CONCATENATE($E260,"_","S_"),MNU_GRAMAJE_REQUERIDO_TIPOC,"")))</f>
        <v>100</v>
      </c>
      <c r="AI260" s="229">
        <f t="shared" si="175"/>
        <v>1055</v>
      </c>
      <c r="AJ260" s="229">
        <f t="shared" si="176"/>
        <v>0</v>
      </c>
      <c r="AK260" s="229">
        <f t="shared" si="177"/>
        <v>11605</v>
      </c>
      <c r="AL260" s="454">
        <f t="shared" si="178"/>
        <v>286</v>
      </c>
      <c r="AM260" s="454">
        <f t="shared" si="179"/>
        <v>13.956800000000001</v>
      </c>
      <c r="AN260" s="454">
        <f t="shared" si="180"/>
        <v>0.24596457599999999</v>
      </c>
      <c r="AO260" s="454">
        <f t="shared" si="181"/>
        <v>300</v>
      </c>
      <c r="AP260" s="454">
        <f t="shared" si="182"/>
        <v>3319030</v>
      </c>
      <c r="AQ260" s="230">
        <f t="shared" si="183"/>
        <v>3481500</v>
      </c>
      <c r="AR260" s="397">
        <f t="shared" si="184"/>
        <v>6122116</v>
      </c>
      <c r="AS260" s="397">
        <f t="shared" si="185"/>
        <v>6421800</v>
      </c>
    </row>
    <row r="261" spans="1:45" ht="15.75">
      <c r="A261" s="228">
        <v>19</v>
      </c>
      <c r="B261" s="228" t="str">
        <f t="shared" si="149"/>
        <v>FRUTA_19</v>
      </c>
      <c r="C261" s="338" t="str">
        <f t="shared" si="150"/>
        <v>69_19</v>
      </c>
      <c r="D261" s="398" t="s">
        <v>1</v>
      </c>
      <c r="E261" s="228">
        <v>69</v>
      </c>
      <c r="F261" s="332" t="s">
        <v>70</v>
      </c>
      <c r="G261" s="228" t="s">
        <v>9</v>
      </c>
      <c r="H261" s="427">
        <f t="shared" si="151"/>
        <v>18</v>
      </c>
      <c r="I261" s="427">
        <f t="shared" si="152"/>
        <v>2</v>
      </c>
      <c r="J261" s="428">
        <f t="array" ref="J261">MAX((IF(MNU_CODIGO_ALIMENTO_ENTREGA=CONCATENATE($E261,"_","S_"),MNU_GRAMAJE_REQUERIDO_TIPOA,"")))</f>
        <v>100</v>
      </c>
      <c r="K261" s="229">
        <f t="shared" si="153"/>
        <v>396</v>
      </c>
      <c r="L261" s="229">
        <f t="shared" si="154"/>
        <v>0</v>
      </c>
      <c r="M261" s="229">
        <f t="shared" si="155"/>
        <v>7128</v>
      </c>
      <c r="N261" s="454">
        <f t="shared" si="156"/>
        <v>305</v>
      </c>
      <c r="O261" s="454">
        <f t="shared" si="157"/>
        <v>14.884</v>
      </c>
      <c r="P261" s="454">
        <f t="shared" si="158"/>
        <v>0.26230488000000002</v>
      </c>
      <c r="Q261" s="454">
        <f t="shared" si="159"/>
        <v>320</v>
      </c>
      <c r="R261" s="230">
        <f t="shared" si="160"/>
        <v>2174040</v>
      </c>
      <c r="S261" s="230">
        <f t="shared" si="161"/>
        <v>2280960</v>
      </c>
      <c r="T261" s="429">
        <f t="shared" si="162"/>
        <v>12</v>
      </c>
      <c r="U261" s="429">
        <f t="shared" si="163"/>
        <v>2</v>
      </c>
      <c r="V261" s="430">
        <f t="array" ref="V261">MAX((IF(MNU_CODIGO_ALIMENTO_ENTREGA=CONCATENATE($E261,"_","S_"),MNU_GRAMAJE_REQUERIDO_TIPOB,"")))</f>
        <v>100</v>
      </c>
      <c r="W261" s="397">
        <f t="shared" si="164"/>
        <v>891</v>
      </c>
      <c r="X261" s="397">
        <f t="shared" si="165"/>
        <v>0</v>
      </c>
      <c r="Y261" s="397">
        <f t="shared" si="166"/>
        <v>10692</v>
      </c>
      <c r="Z261" s="454">
        <f t="shared" si="167"/>
        <v>305</v>
      </c>
      <c r="AA261" s="454">
        <f t="shared" si="168"/>
        <v>14.884</v>
      </c>
      <c r="AB261" s="454">
        <f t="shared" si="169"/>
        <v>0.26230488000000002</v>
      </c>
      <c r="AC261" s="454">
        <f t="shared" si="170"/>
        <v>320</v>
      </c>
      <c r="AD261" s="231">
        <f t="shared" si="171"/>
        <v>3261060</v>
      </c>
      <c r="AE261" s="231">
        <f t="shared" si="172"/>
        <v>3421440</v>
      </c>
      <c r="AF261" s="427">
        <f t="shared" si="173"/>
        <v>12</v>
      </c>
      <c r="AG261" s="427">
        <f t="shared" si="174"/>
        <v>2</v>
      </c>
      <c r="AH261" s="428">
        <f t="array" ref="AH261">MAX((IF(MNU_CODIGO_ALIMENTO_ENTREGA=CONCATENATE($E261,"_","S_"),MNU_GRAMAJE_REQUERIDO_TIPOC,"")))</f>
        <v>100</v>
      </c>
      <c r="AI261" s="229">
        <f t="shared" si="175"/>
        <v>1055</v>
      </c>
      <c r="AJ261" s="229">
        <f t="shared" si="176"/>
        <v>0</v>
      </c>
      <c r="AK261" s="229">
        <f t="shared" si="177"/>
        <v>12660</v>
      </c>
      <c r="AL261" s="454">
        <f t="shared" si="178"/>
        <v>305</v>
      </c>
      <c r="AM261" s="454">
        <f t="shared" si="179"/>
        <v>14.884</v>
      </c>
      <c r="AN261" s="454">
        <f t="shared" si="180"/>
        <v>0.26230488000000002</v>
      </c>
      <c r="AO261" s="454">
        <f t="shared" si="181"/>
        <v>320</v>
      </c>
      <c r="AP261" s="454">
        <f t="shared" si="182"/>
        <v>3861300</v>
      </c>
      <c r="AQ261" s="230">
        <f t="shared" si="183"/>
        <v>4051200</v>
      </c>
      <c r="AR261" s="397">
        <f t="shared" si="184"/>
        <v>9296400</v>
      </c>
      <c r="AS261" s="397">
        <f t="shared" si="185"/>
        <v>9753600</v>
      </c>
    </row>
    <row r="262" spans="1:45" ht="15.75">
      <c r="A262" s="228">
        <v>19</v>
      </c>
      <c r="B262" s="228" t="str">
        <f t="shared" si="149"/>
        <v>FRUTA_19</v>
      </c>
      <c r="C262" s="338" t="str">
        <f t="shared" si="150"/>
        <v>70_19</v>
      </c>
      <c r="D262" s="398" t="s">
        <v>1</v>
      </c>
      <c r="E262" s="228">
        <v>70</v>
      </c>
      <c r="F262" s="332" t="s">
        <v>71</v>
      </c>
      <c r="G262" s="228" t="s">
        <v>9</v>
      </c>
      <c r="H262" s="427">
        <f t="shared" si="151"/>
        <v>0</v>
      </c>
      <c r="I262" s="427">
        <f t="shared" si="152"/>
        <v>0</v>
      </c>
      <c r="J262" s="428">
        <f t="array" ref="J262">MAX((IF(MNU_CODIGO_ALIMENTO_ENTREGA=CONCATENATE($E262,"_","S_"),MNU_GRAMAJE_REQUERIDO_TIPOA,"")))</f>
        <v>0</v>
      </c>
      <c r="K262" s="229">
        <f t="shared" si="153"/>
        <v>396</v>
      </c>
      <c r="L262" s="229">
        <f t="shared" si="154"/>
        <v>0</v>
      </c>
      <c r="M262" s="229">
        <f t="shared" si="155"/>
        <v>0</v>
      </c>
      <c r="N262" s="454">
        <f t="shared" si="156"/>
        <v>0</v>
      </c>
      <c r="O262" s="454">
        <f t="shared" si="157"/>
        <v>0</v>
      </c>
      <c r="P262" s="454">
        <f t="shared" si="158"/>
        <v>0</v>
      </c>
      <c r="Q262" s="454">
        <f t="shared" si="159"/>
        <v>0</v>
      </c>
      <c r="R262" s="230">
        <f t="shared" si="160"/>
        <v>0</v>
      </c>
      <c r="S262" s="230">
        <f t="shared" si="161"/>
        <v>0</v>
      </c>
      <c r="T262" s="429">
        <f t="shared" si="162"/>
        <v>8</v>
      </c>
      <c r="U262" s="429">
        <f t="shared" si="163"/>
        <v>4</v>
      </c>
      <c r="V262" s="430">
        <f t="array" ref="V262">MAX((IF(MNU_CODIGO_ALIMENTO_ENTREGA=CONCATENATE($E262,"_","S_"),MNU_GRAMAJE_REQUERIDO_TIPOB,"")))</f>
        <v>100</v>
      </c>
      <c r="W262" s="397">
        <f t="shared" si="164"/>
        <v>891</v>
      </c>
      <c r="X262" s="397">
        <f t="shared" si="165"/>
        <v>0</v>
      </c>
      <c r="Y262" s="397">
        <f t="shared" si="166"/>
        <v>7128</v>
      </c>
      <c r="Z262" s="454">
        <f t="shared" si="167"/>
        <v>434</v>
      </c>
      <c r="AA262" s="454">
        <f t="shared" si="168"/>
        <v>21.179200000000002</v>
      </c>
      <c r="AB262" s="454">
        <f t="shared" si="169"/>
        <v>0.37324694399999997</v>
      </c>
      <c r="AC262" s="454">
        <f t="shared" si="170"/>
        <v>456</v>
      </c>
      <c r="AD262" s="231">
        <f t="shared" si="171"/>
        <v>3093552</v>
      </c>
      <c r="AE262" s="231">
        <f t="shared" si="172"/>
        <v>3250368</v>
      </c>
      <c r="AF262" s="427">
        <f t="shared" si="173"/>
        <v>8</v>
      </c>
      <c r="AG262" s="427">
        <f t="shared" si="174"/>
        <v>4</v>
      </c>
      <c r="AH262" s="428">
        <f t="array" ref="AH262">MAX((IF(MNU_CODIGO_ALIMENTO_ENTREGA=CONCATENATE($E262,"_","S_"),MNU_GRAMAJE_REQUERIDO_TIPOC,"")))</f>
        <v>100</v>
      </c>
      <c r="AI262" s="229">
        <f t="shared" si="175"/>
        <v>1055</v>
      </c>
      <c r="AJ262" s="229">
        <f t="shared" si="176"/>
        <v>0</v>
      </c>
      <c r="AK262" s="229">
        <f t="shared" si="177"/>
        <v>8440</v>
      </c>
      <c r="AL262" s="454">
        <f t="shared" si="178"/>
        <v>434</v>
      </c>
      <c r="AM262" s="454">
        <f t="shared" si="179"/>
        <v>21.179200000000002</v>
      </c>
      <c r="AN262" s="454">
        <f t="shared" si="180"/>
        <v>0.37324694399999997</v>
      </c>
      <c r="AO262" s="454">
        <f t="shared" si="181"/>
        <v>456</v>
      </c>
      <c r="AP262" s="454">
        <f t="shared" si="182"/>
        <v>3662960</v>
      </c>
      <c r="AQ262" s="230">
        <f t="shared" si="183"/>
        <v>3848640</v>
      </c>
      <c r="AR262" s="397">
        <f t="shared" si="184"/>
        <v>6756512</v>
      </c>
      <c r="AS262" s="397">
        <f t="shared" si="185"/>
        <v>7099008</v>
      </c>
    </row>
    <row r="263" spans="1:45" ht="15.75">
      <c r="A263" s="228">
        <v>20</v>
      </c>
      <c r="B263" s="228" t="str">
        <f t="shared" si="149"/>
        <v>FRUTA_20</v>
      </c>
      <c r="C263" s="338" t="str">
        <f t="shared" si="150"/>
        <v>7_20</v>
      </c>
      <c r="D263" s="398" t="s">
        <v>1</v>
      </c>
      <c r="E263" s="228">
        <v>7</v>
      </c>
      <c r="F263" s="332" t="s">
        <v>57</v>
      </c>
      <c r="G263" s="228" t="s">
        <v>9</v>
      </c>
      <c r="H263" s="427">
        <f t="shared" si="151"/>
        <v>31</v>
      </c>
      <c r="I263" s="427">
        <f t="shared" si="152"/>
        <v>0</v>
      </c>
      <c r="J263" s="428">
        <f t="array" ref="J263">MAX((IF(MNU_CODIGO_ALIMENTO_ENTREGA=CONCATENATE($E263,"_","S_"),MNU_GRAMAJE_REQUERIDO_TIPOA,"")))</f>
        <v>100</v>
      </c>
      <c r="K263" s="229">
        <f t="shared" si="153"/>
        <v>1304</v>
      </c>
      <c r="L263" s="229">
        <f t="shared" si="154"/>
        <v>0</v>
      </c>
      <c r="M263" s="229">
        <f t="shared" si="155"/>
        <v>40424</v>
      </c>
      <c r="N263" s="454">
        <f t="shared" si="156"/>
        <v>107</v>
      </c>
      <c r="O263" s="454">
        <f t="shared" si="157"/>
        <v>5.2216000000000005</v>
      </c>
      <c r="P263" s="454">
        <f t="shared" si="158"/>
        <v>9.2021712000000006E-2</v>
      </c>
      <c r="Q263" s="454">
        <f t="shared" si="159"/>
        <v>112</v>
      </c>
      <c r="R263" s="230">
        <f t="shared" si="160"/>
        <v>4325368</v>
      </c>
      <c r="S263" s="230">
        <f t="shared" si="161"/>
        <v>4527488</v>
      </c>
      <c r="T263" s="429">
        <f t="shared" si="162"/>
        <v>11</v>
      </c>
      <c r="U263" s="429">
        <f t="shared" si="163"/>
        <v>0</v>
      </c>
      <c r="V263" s="430">
        <f t="array" ref="V263">MAX((IF(MNU_CODIGO_ALIMENTO_ENTREGA=CONCATENATE($E263,"_","S_"),MNU_GRAMAJE_REQUERIDO_TIPOB,"")))</f>
        <v>100</v>
      </c>
      <c r="W263" s="397">
        <f t="shared" si="164"/>
        <v>575</v>
      </c>
      <c r="X263" s="397">
        <f t="shared" si="165"/>
        <v>0</v>
      </c>
      <c r="Y263" s="397">
        <f t="shared" si="166"/>
        <v>6325</v>
      </c>
      <c r="Z263" s="454">
        <f t="shared" si="167"/>
        <v>107</v>
      </c>
      <c r="AA263" s="454">
        <f t="shared" si="168"/>
        <v>5.2216000000000005</v>
      </c>
      <c r="AB263" s="454">
        <f t="shared" si="169"/>
        <v>9.2021712000000006E-2</v>
      </c>
      <c r="AC263" s="454">
        <f t="shared" si="170"/>
        <v>112</v>
      </c>
      <c r="AD263" s="231">
        <f t="shared" si="171"/>
        <v>676775</v>
      </c>
      <c r="AE263" s="231">
        <f t="shared" si="172"/>
        <v>708400</v>
      </c>
      <c r="AF263" s="427">
        <f t="shared" si="173"/>
        <v>11</v>
      </c>
      <c r="AG263" s="427">
        <f t="shared" si="174"/>
        <v>0</v>
      </c>
      <c r="AH263" s="428">
        <f t="array" ref="AH263">MAX((IF(MNU_CODIGO_ALIMENTO_ENTREGA=CONCATENATE($E263,"_","S_"),MNU_GRAMAJE_REQUERIDO_TIPOC,"")))</f>
        <v>100</v>
      </c>
      <c r="AI263" s="229">
        <f t="shared" si="175"/>
        <v>868</v>
      </c>
      <c r="AJ263" s="229">
        <f t="shared" si="176"/>
        <v>0</v>
      </c>
      <c r="AK263" s="229">
        <f t="shared" si="177"/>
        <v>9548</v>
      </c>
      <c r="AL263" s="454">
        <f t="shared" si="178"/>
        <v>107</v>
      </c>
      <c r="AM263" s="454">
        <f t="shared" si="179"/>
        <v>5.2216000000000005</v>
      </c>
      <c r="AN263" s="454">
        <f t="shared" si="180"/>
        <v>9.2021712000000006E-2</v>
      </c>
      <c r="AO263" s="454">
        <f t="shared" si="181"/>
        <v>112</v>
      </c>
      <c r="AP263" s="454">
        <f t="shared" si="182"/>
        <v>1021636</v>
      </c>
      <c r="AQ263" s="230">
        <f t="shared" si="183"/>
        <v>1069376</v>
      </c>
      <c r="AR263" s="397">
        <f t="shared" si="184"/>
        <v>6023779</v>
      </c>
      <c r="AS263" s="397">
        <f t="shared" si="185"/>
        <v>6305264</v>
      </c>
    </row>
    <row r="264" spans="1:45" ht="15.75">
      <c r="A264" s="228">
        <v>20</v>
      </c>
      <c r="B264" s="228" t="str">
        <f t="shared" si="149"/>
        <v>FRUTA_20</v>
      </c>
      <c r="C264" s="338" t="str">
        <f t="shared" si="150"/>
        <v>8_20</v>
      </c>
      <c r="D264" s="398" t="s">
        <v>1</v>
      </c>
      <c r="E264" s="228">
        <v>8</v>
      </c>
      <c r="F264" s="332" t="s">
        <v>55</v>
      </c>
      <c r="G264" s="228" t="s">
        <v>9</v>
      </c>
      <c r="H264" s="427">
        <f t="shared" si="151"/>
        <v>11</v>
      </c>
      <c r="I264" s="427">
        <f t="shared" si="152"/>
        <v>0</v>
      </c>
      <c r="J264" s="428">
        <f t="array" ref="J264">MAX((IF(MNU_CODIGO_ALIMENTO_ENTREGA=CONCATENATE($E264,"_","S_"),MNU_GRAMAJE_REQUERIDO_TIPOA,"")))</f>
        <v>100</v>
      </c>
      <c r="K264" s="229">
        <f t="shared" si="153"/>
        <v>1304</v>
      </c>
      <c r="L264" s="229">
        <f t="shared" si="154"/>
        <v>0</v>
      </c>
      <c r="M264" s="229">
        <f t="shared" si="155"/>
        <v>14344</v>
      </c>
      <c r="N264" s="454">
        <f t="shared" si="156"/>
        <v>134</v>
      </c>
      <c r="O264" s="454">
        <f t="shared" si="157"/>
        <v>6.539200000000001</v>
      </c>
      <c r="P264" s="454">
        <f t="shared" si="158"/>
        <v>0.115242144</v>
      </c>
      <c r="Q264" s="454">
        <f t="shared" si="159"/>
        <v>141</v>
      </c>
      <c r="R264" s="230">
        <f t="shared" si="160"/>
        <v>1922096</v>
      </c>
      <c r="S264" s="230">
        <f t="shared" si="161"/>
        <v>2022504</v>
      </c>
      <c r="T264" s="429">
        <f t="shared" si="162"/>
        <v>11</v>
      </c>
      <c r="U264" s="429">
        <f t="shared" si="163"/>
        <v>0</v>
      </c>
      <c r="V264" s="430">
        <f t="array" ref="V264">MAX((IF(MNU_CODIGO_ALIMENTO_ENTREGA=CONCATENATE($E264,"_","S_"),MNU_GRAMAJE_REQUERIDO_TIPOB,"")))</f>
        <v>100</v>
      </c>
      <c r="W264" s="397">
        <f t="shared" si="164"/>
        <v>575</v>
      </c>
      <c r="X264" s="397">
        <f t="shared" si="165"/>
        <v>0</v>
      </c>
      <c r="Y264" s="397">
        <f t="shared" si="166"/>
        <v>6325</v>
      </c>
      <c r="Z264" s="454">
        <f t="shared" si="167"/>
        <v>134</v>
      </c>
      <c r="AA264" s="454">
        <f t="shared" si="168"/>
        <v>6.539200000000001</v>
      </c>
      <c r="AB264" s="454">
        <f t="shared" si="169"/>
        <v>0.115242144</v>
      </c>
      <c r="AC264" s="454">
        <f t="shared" si="170"/>
        <v>141</v>
      </c>
      <c r="AD264" s="231">
        <f t="shared" si="171"/>
        <v>847550</v>
      </c>
      <c r="AE264" s="231">
        <f t="shared" si="172"/>
        <v>891825</v>
      </c>
      <c r="AF264" s="427">
        <f t="shared" si="173"/>
        <v>11</v>
      </c>
      <c r="AG264" s="427">
        <f t="shared" si="174"/>
        <v>0</v>
      </c>
      <c r="AH264" s="428">
        <f t="array" ref="AH264">MAX((IF(MNU_CODIGO_ALIMENTO_ENTREGA=CONCATENATE($E264,"_","S_"),MNU_GRAMAJE_REQUERIDO_TIPOC,"")))</f>
        <v>100</v>
      </c>
      <c r="AI264" s="229">
        <f t="shared" si="175"/>
        <v>868</v>
      </c>
      <c r="AJ264" s="229">
        <f t="shared" si="176"/>
        <v>0</v>
      </c>
      <c r="AK264" s="229">
        <f t="shared" si="177"/>
        <v>9548</v>
      </c>
      <c r="AL264" s="454">
        <f t="shared" si="178"/>
        <v>134</v>
      </c>
      <c r="AM264" s="454">
        <f t="shared" si="179"/>
        <v>6.539200000000001</v>
      </c>
      <c r="AN264" s="454">
        <f t="shared" si="180"/>
        <v>0.115242144</v>
      </c>
      <c r="AO264" s="454">
        <f t="shared" si="181"/>
        <v>141</v>
      </c>
      <c r="AP264" s="454">
        <f t="shared" si="182"/>
        <v>1279432</v>
      </c>
      <c r="AQ264" s="230">
        <f t="shared" si="183"/>
        <v>1346268</v>
      </c>
      <c r="AR264" s="397">
        <f t="shared" si="184"/>
        <v>4049078</v>
      </c>
      <c r="AS264" s="397">
        <f t="shared" si="185"/>
        <v>4260597</v>
      </c>
    </row>
    <row r="265" spans="1:45" ht="15.75">
      <c r="A265" s="228">
        <v>20</v>
      </c>
      <c r="B265" s="228" t="str">
        <f t="shared" si="149"/>
        <v>FRUTA_20</v>
      </c>
      <c r="C265" s="338" t="str">
        <f t="shared" si="150"/>
        <v>17_20</v>
      </c>
      <c r="D265" s="398" t="s">
        <v>1</v>
      </c>
      <c r="E265" s="228">
        <v>17</v>
      </c>
      <c r="F265" s="332" t="s">
        <v>53</v>
      </c>
      <c r="G265" s="228" t="s">
        <v>9</v>
      </c>
      <c r="H265" s="427">
        <f t="shared" si="151"/>
        <v>0</v>
      </c>
      <c r="I265" s="427">
        <f t="shared" si="152"/>
        <v>0</v>
      </c>
      <c r="J265" s="428">
        <f t="array" ref="J265">MAX((IF(MNU_CODIGO_ALIMENTO_ENTREGA=CONCATENATE($E265,"_","S_"),MNU_GRAMAJE_REQUERIDO_TIPOA,"")))</f>
        <v>0</v>
      </c>
      <c r="K265" s="229">
        <f t="shared" si="153"/>
        <v>1304</v>
      </c>
      <c r="L265" s="229">
        <f t="shared" si="154"/>
        <v>0</v>
      </c>
      <c r="M265" s="229">
        <f t="shared" si="155"/>
        <v>0</v>
      </c>
      <c r="N265" s="454">
        <f t="shared" si="156"/>
        <v>0</v>
      </c>
      <c r="O265" s="454">
        <f t="shared" si="157"/>
        <v>0</v>
      </c>
      <c r="P265" s="454">
        <f t="shared" si="158"/>
        <v>0</v>
      </c>
      <c r="Q265" s="454">
        <f t="shared" si="159"/>
        <v>0</v>
      </c>
      <c r="R265" s="230">
        <f t="shared" si="160"/>
        <v>0</v>
      </c>
      <c r="S265" s="230">
        <f t="shared" si="161"/>
        <v>0</v>
      </c>
      <c r="T265" s="429">
        <f t="shared" si="162"/>
        <v>23</v>
      </c>
      <c r="U265" s="429">
        <f t="shared" si="163"/>
        <v>4</v>
      </c>
      <c r="V265" s="430">
        <f t="array" ref="V265">MAX((IF(MNU_CODIGO_ALIMENTO_ENTREGA=CONCATENATE($E265,"_","S_"),MNU_GRAMAJE_REQUERIDO_TIPOB,"")))</f>
        <v>100</v>
      </c>
      <c r="W265" s="397">
        <f t="shared" si="164"/>
        <v>575</v>
      </c>
      <c r="X265" s="397">
        <f t="shared" si="165"/>
        <v>0</v>
      </c>
      <c r="Y265" s="397">
        <f t="shared" si="166"/>
        <v>13225</v>
      </c>
      <c r="Z265" s="454">
        <f t="shared" si="167"/>
        <v>226</v>
      </c>
      <c r="AA265" s="454">
        <f t="shared" si="168"/>
        <v>11.0288</v>
      </c>
      <c r="AB265" s="454">
        <f t="shared" si="169"/>
        <v>0.19436361600000002</v>
      </c>
      <c r="AC265" s="454">
        <f t="shared" si="170"/>
        <v>237</v>
      </c>
      <c r="AD265" s="231">
        <f t="shared" si="171"/>
        <v>2988850</v>
      </c>
      <c r="AE265" s="231">
        <f t="shared" si="172"/>
        <v>3134325</v>
      </c>
      <c r="AF265" s="427">
        <f t="shared" si="173"/>
        <v>23</v>
      </c>
      <c r="AG265" s="427">
        <f t="shared" si="174"/>
        <v>4</v>
      </c>
      <c r="AH265" s="428">
        <f t="array" ref="AH265">MAX((IF(MNU_CODIGO_ALIMENTO_ENTREGA=CONCATENATE($E265,"_","S_"),MNU_GRAMAJE_REQUERIDO_TIPOC,"")))</f>
        <v>100</v>
      </c>
      <c r="AI265" s="229">
        <f t="shared" si="175"/>
        <v>868</v>
      </c>
      <c r="AJ265" s="229">
        <f t="shared" si="176"/>
        <v>0</v>
      </c>
      <c r="AK265" s="229">
        <f t="shared" si="177"/>
        <v>19964</v>
      </c>
      <c r="AL265" s="454">
        <f t="shared" si="178"/>
        <v>226</v>
      </c>
      <c r="AM265" s="454">
        <f t="shared" si="179"/>
        <v>11.0288</v>
      </c>
      <c r="AN265" s="454">
        <f t="shared" si="180"/>
        <v>0.19436361600000002</v>
      </c>
      <c r="AO265" s="454">
        <f t="shared" si="181"/>
        <v>237</v>
      </c>
      <c r="AP265" s="454">
        <f t="shared" si="182"/>
        <v>4511864</v>
      </c>
      <c r="AQ265" s="230">
        <f t="shared" si="183"/>
        <v>4731468</v>
      </c>
      <c r="AR265" s="397">
        <f t="shared" si="184"/>
        <v>7500714</v>
      </c>
      <c r="AS265" s="397">
        <f t="shared" si="185"/>
        <v>7865793</v>
      </c>
    </row>
    <row r="266" spans="1:45" ht="15.75">
      <c r="A266" s="228">
        <v>20</v>
      </c>
      <c r="B266" s="228" t="str">
        <f t="shared" si="149"/>
        <v>FRUTA_20</v>
      </c>
      <c r="C266" s="338" t="str">
        <f t="shared" si="150"/>
        <v>22_20</v>
      </c>
      <c r="D266" s="398" t="s">
        <v>1</v>
      </c>
      <c r="E266" s="228">
        <v>22</v>
      </c>
      <c r="F266" s="332" t="s">
        <v>51</v>
      </c>
      <c r="G266" s="228" t="s">
        <v>9</v>
      </c>
      <c r="H266" s="427">
        <f t="shared" si="151"/>
        <v>0</v>
      </c>
      <c r="I266" s="427">
        <f t="shared" si="152"/>
        <v>0</v>
      </c>
      <c r="J266" s="428">
        <f t="array" ref="J266">MAX((IF(MNU_CODIGO_ALIMENTO_ENTREGA=CONCATENATE($E266,"_","S_"),MNU_GRAMAJE_REQUERIDO_TIPOA,"")))</f>
        <v>0</v>
      </c>
      <c r="K266" s="229">
        <f t="shared" si="153"/>
        <v>1304</v>
      </c>
      <c r="L266" s="229">
        <f t="shared" si="154"/>
        <v>0</v>
      </c>
      <c r="M266" s="229">
        <f t="shared" si="155"/>
        <v>0</v>
      </c>
      <c r="N266" s="454">
        <f t="shared" si="156"/>
        <v>0</v>
      </c>
      <c r="O266" s="454">
        <f t="shared" si="157"/>
        <v>0</v>
      </c>
      <c r="P266" s="454">
        <f t="shared" si="158"/>
        <v>0</v>
      </c>
      <c r="Q266" s="454">
        <f t="shared" si="159"/>
        <v>0</v>
      </c>
      <c r="R266" s="230">
        <f t="shared" si="160"/>
        <v>0</v>
      </c>
      <c r="S266" s="230">
        <f t="shared" si="161"/>
        <v>0</v>
      </c>
      <c r="T266" s="429">
        <f t="shared" si="162"/>
        <v>23</v>
      </c>
      <c r="U266" s="429">
        <f t="shared" si="163"/>
        <v>4</v>
      </c>
      <c r="V266" s="430">
        <f t="array" ref="V266">MAX((IF(MNU_CODIGO_ALIMENTO_ENTREGA=CONCATENATE($E266,"_","S_"),MNU_GRAMAJE_REQUERIDO_TIPOB,"")))</f>
        <v>100</v>
      </c>
      <c r="W266" s="397">
        <f t="shared" si="164"/>
        <v>575</v>
      </c>
      <c r="X266" s="397">
        <f t="shared" si="165"/>
        <v>0</v>
      </c>
      <c r="Y266" s="397">
        <f t="shared" si="166"/>
        <v>13225</v>
      </c>
      <c r="Z266" s="454">
        <f t="shared" si="167"/>
        <v>525</v>
      </c>
      <c r="AA266" s="454">
        <f t="shared" si="168"/>
        <v>25.62</v>
      </c>
      <c r="AB266" s="454">
        <f t="shared" si="169"/>
        <v>0.45150840000000003</v>
      </c>
      <c r="AC266" s="454">
        <f t="shared" si="170"/>
        <v>551</v>
      </c>
      <c r="AD266" s="231">
        <f t="shared" si="171"/>
        <v>6943125</v>
      </c>
      <c r="AE266" s="231">
        <f t="shared" si="172"/>
        <v>7286975</v>
      </c>
      <c r="AF266" s="427">
        <f t="shared" si="173"/>
        <v>23</v>
      </c>
      <c r="AG266" s="427">
        <f t="shared" si="174"/>
        <v>4</v>
      </c>
      <c r="AH266" s="428">
        <f t="array" ref="AH266">MAX((IF(MNU_CODIGO_ALIMENTO_ENTREGA=CONCATENATE($E266,"_","S_"),MNU_GRAMAJE_REQUERIDO_TIPOC,"")))</f>
        <v>100</v>
      </c>
      <c r="AI266" s="229">
        <f t="shared" si="175"/>
        <v>868</v>
      </c>
      <c r="AJ266" s="229">
        <f t="shared" si="176"/>
        <v>0</v>
      </c>
      <c r="AK266" s="229">
        <f t="shared" si="177"/>
        <v>19964</v>
      </c>
      <c r="AL266" s="454">
        <f t="shared" si="178"/>
        <v>525</v>
      </c>
      <c r="AM266" s="454">
        <f t="shared" si="179"/>
        <v>25.62</v>
      </c>
      <c r="AN266" s="454">
        <f t="shared" si="180"/>
        <v>0.45150840000000003</v>
      </c>
      <c r="AO266" s="454">
        <f t="shared" si="181"/>
        <v>551</v>
      </c>
      <c r="AP266" s="454">
        <f t="shared" si="182"/>
        <v>10481100</v>
      </c>
      <c r="AQ266" s="230">
        <f t="shared" si="183"/>
        <v>11000164</v>
      </c>
      <c r="AR266" s="397">
        <f t="shared" si="184"/>
        <v>17424225</v>
      </c>
      <c r="AS266" s="397">
        <f t="shared" si="185"/>
        <v>18287139</v>
      </c>
    </row>
    <row r="267" spans="1:45" ht="15.75">
      <c r="A267" s="228">
        <v>20</v>
      </c>
      <c r="B267" s="228" t="str">
        <f t="shared" si="149"/>
        <v>FRUTA_20</v>
      </c>
      <c r="C267" s="338" t="str">
        <f t="shared" si="150"/>
        <v>33_20</v>
      </c>
      <c r="D267" s="398" t="s">
        <v>1</v>
      </c>
      <c r="E267" s="228">
        <v>33</v>
      </c>
      <c r="F267" s="332" t="s">
        <v>59</v>
      </c>
      <c r="G267" s="228" t="s">
        <v>48</v>
      </c>
      <c r="H267" s="427">
        <f t="shared" si="151"/>
        <v>29</v>
      </c>
      <c r="I267" s="427">
        <f t="shared" si="152"/>
        <v>5</v>
      </c>
      <c r="J267" s="428">
        <v>1</v>
      </c>
      <c r="K267" s="229">
        <f t="shared" si="153"/>
        <v>1304</v>
      </c>
      <c r="L267" s="229">
        <f t="shared" si="154"/>
        <v>0</v>
      </c>
      <c r="M267" s="229">
        <f t="shared" si="155"/>
        <v>37816</v>
      </c>
      <c r="N267" s="454">
        <f t="shared" si="156"/>
        <v>270</v>
      </c>
      <c r="O267" s="454">
        <f t="shared" si="157"/>
        <v>13.176000000000002</v>
      </c>
      <c r="P267" s="454">
        <f t="shared" si="158"/>
        <v>0.23220432000000002</v>
      </c>
      <c r="Q267" s="454">
        <f t="shared" si="159"/>
        <v>283</v>
      </c>
      <c r="R267" s="230">
        <f t="shared" si="160"/>
        <v>10210320</v>
      </c>
      <c r="S267" s="230">
        <f t="shared" si="161"/>
        <v>10701928</v>
      </c>
      <c r="T267" s="429">
        <f t="shared" si="162"/>
        <v>23</v>
      </c>
      <c r="U267" s="429">
        <f t="shared" si="163"/>
        <v>2</v>
      </c>
      <c r="V267" s="430">
        <v>1</v>
      </c>
      <c r="W267" s="397">
        <f t="shared" si="164"/>
        <v>575</v>
      </c>
      <c r="X267" s="397">
        <f t="shared" si="165"/>
        <v>0</v>
      </c>
      <c r="Y267" s="397">
        <f t="shared" si="166"/>
        <v>13225</v>
      </c>
      <c r="Z267" s="454">
        <f t="shared" si="167"/>
        <v>270</v>
      </c>
      <c r="AA267" s="454">
        <f t="shared" si="168"/>
        <v>13.176000000000002</v>
      </c>
      <c r="AB267" s="454">
        <f t="shared" si="169"/>
        <v>0.23220432000000002</v>
      </c>
      <c r="AC267" s="454">
        <f t="shared" si="170"/>
        <v>283</v>
      </c>
      <c r="AD267" s="231">
        <f t="shared" si="171"/>
        <v>3570750</v>
      </c>
      <c r="AE267" s="231">
        <f t="shared" si="172"/>
        <v>3742675</v>
      </c>
      <c r="AF267" s="427">
        <f t="shared" si="173"/>
        <v>23</v>
      </c>
      <c r="AG267" s="427">
        <f t="shared" si="174"/>
        <v>2</v>
      </c>
      <c r="AH267" s="428">
        <v>1</v>
      </c>
      <c r="AI267" s="229">
        <f t="shared" si="175"/>
        <v>868</v>
      </c>
      <c r="AJ267" s="229">
        <f t="shared" si="176"/>
        <v>0</v>
      </c>
      <c r="AK267" s="229">
        <f t="shared" si="177"/>
        <v>19964</v>
      </c>
      <c r="AL267" s="454">
        <f t="shared" si="178"/>
        <v>270</v>
      </c>
      <c r="AM267" s="454">
        <f t="shared" si="179"/>
        <v>13.176000000000002</v>
      </c>
      <c r="AN267" s="454">
        <f t="shared" si="180"/>
        <v>0.23220432000000002</v>
      </c>
      <c r="AO267" s="454">
        <f t="shared" si="181"/>
        <v>283</v>
      </c>
      <c r="AP267" s="454">
        <f t="shared" si="182"/>
        <v>5390280</v>
      </c>
      <c r="AQ267" s="230">
        <f t="shared" si="183"/>
        <v>5649812</v>
      </c>
      <c r="AR267" s="397">
        <f t="shared" si="184"/>
        <v>19171350</v>
      </c>
      <c r="AS267" s="397">
        <f t="shared" si="185"/>
        <v>20094415</v>
      </c>
    </row>
    <row r="268" spans="1:45" ht="15.75">
      <c r="A268" s="228">
        <v>20</v>
      </c>
      <c r="B268" s="228" t="str">
        <f t="shared" si="149"/>
        <v>FRUTA_20</v>
      </c>
      <c r="C268" s="338" t="str">
        <f t="shared" si="150"/>
        <v>36_20</v>
      </c>
      <c r="D268" s="398" t="s">
        <v>1</v>
      </c>
      <c r="E268" s="228">
        <v>36</v>
      </c>
      <c r="F268" s="332" t="s">
        <v>1340</v>
      </c>
      <c r="G268" s="228" t="s">
        <v>9</v>
      </c>
      <c r="H268" s="427">
        <f t="shared" si="151"/>
        <v>8</v>
      </c>
      <c r="I268" s="427">
        <f t="shared" si="152"/>
        <v>0</v>
      </c>
      <c r="J268" s="428">
        <f t="array" ref="J268">MAX((IF(MNU_CODIGO_ALIMENTO_ENTREGA=CONCATENATE($E268,"_","S_"),MNU_GRAMAJE_REQUERIDO_TIPOA,"")))</f>
        <v>20</v>
      </c>
      <c r="K268" s="229">
        <f t="shared" si="153"/>
        <v>1304</v>
      </c>
      <c r="L268" s="229">
        <f t="shared" si="154"/>
        <v>0</v>
      </c>
      <c r="M268" s="229">
        <f t="shared" si="155"/>
        <v>10432</v>
      </c>
      <c r="N268" s="454">
        <f t="shared" si="156"/>
        <v>126</v>
      </c>
      <c r="O268" s="454">
        <f t="shared" si="157"/>
        <v>6.1488000000000005</v>
      </c>
      <c r="P268" s="454">
        <f t="shared" si="158"/>
        <v>0.10836201599999999</v>
      </c>
      <c r="Q268" s="454">
        <f t="shared" si="159"/>
        <v>132</v>
      </c>
      <c r="R268" s="230">
        <f t="shared" si="160"/>
        <v>1314432</v>
      </c>
      <c r="S268" s="230">
        <f t="shared" si="161"/>
        <v>1377024</v>
      </c>
      <c r="T268" s="429">
        <f t="shared" si="162"/>
        <v>8</v>
      </c>
      <c r="U268" s="429">
        <f t="shared" si="163"/>
        <v>0</v>
      </c>
      <c r="V268" s="430">
        <f t="array" ref="V268">MAX((IF(MNU_CODIGO_ALIMENTO_ENTREGA=CONCATENATE($E268,"_","S_"),MNU_GRAMAJE_REQUERIDO_TIPOB,"")))</f>
        <v>40</v>
      </c>
      <c r="W268" s="397">
        <f t="shared" si="164"/>
        <v>575</v>
      </c>
      <c r="X268" s="397">
        <f t="shared" si="165"/>
        <v>0</v>
      </c>
      <c r="Y268" s="397">
        <f t="shared" si="166"/>
        <v>4600</v>
      </c>
      <c r="Z268" s="454">
        <f t="shared" si="167"/>
        <v>252</v>
      </c>
      <c r="AA268" s="454">
        <f t="shared" si="168"/>
        <v>12.297600000000001</v>
      </c>
      <c r="AB268" s="454">
        <f t="shared" si="169"/>
        <v>0.21672403199999998</v>
      </c>
      <c r="AC268" s="454">
        <f t="shared" si="170"/>
        <v>265</v>
      </c>
      <c r="AD268" s="231">
        <f t="shared" si="171"/>
        <v>1159200</v>
      </c>
      <c r="AE268" s="231">
        <f t="shared" si="172"/>
        <v>1219000</v>
      </c>
      <c r="AF268" s="427">
        <f t="shared" si="173"/>
        <v>8</v>
      </c>
      <c r="AG268" s="427">
        <f t="shared" si="174"/>
        <v>0</v>
      </c>
      <c r="AH268" s="428">
        <f t="array" ref="AH268">MAX((IF(MNU_CODIGO_ALIMENTO_ENTREGA=CONCATENATE($E268,"_","S_"),MNU_GRAMAJE_REQUERIDO_TIPOC,"")))</f>
        <v>40</v>
      </c>
      <c r="AI268" s="229">
        <f t="shared" si="175"/>
        <v>868</v>
      </c>
      <c r="AJ268" s="229">
        <f t="shared" si="176"/>
        <v>0</v>
      </c>
      <c r="AK268" s="229">
        <f t="shared" si="177"/>
        <v>6944</v>
      </c>
      <c r="AL268" s="454">
        <f t="shared" si="178"/>
        <v>252</v>
      </c>
      <c r="AM268" s="454">
        <f t="shared" si="179"/>
        <v>12.297600000000001</v>
      </c>
      <c r="AN268" s="454">
        <f t="shared" si="180"/>
        <v>0.21672403199999998</v>
      </c>
      <c r="AO268" s="454">
        <f t="shared" si="181"/>
        <v>265</v>
      </c>
      <c r="AP268" s="454">
        <f t="shared" si="182"/>
        <v>1749888</v>
      </c>
      <c r="AQ268" s="230">
        <f t="shared" si="183"/>
        <v>1840160</v>
      </c>
      <c r="AR268" s="397">
        <f t="shared" si="184"/>
        <v>4223520</v>
      </c>
      <c r="AS268" s="397">
        <f t="shared" si="185"/>
        <v>4436184</v>
      </c>
    </row>
    <row r="269" spans="1:45" ht="15.75">
      <c r="A269" s="228">
        <v>20</v>
      </c>
      <c r="B269" s="228" t="str">
        <f t="shared" si="149"/>
        <v>FRUTA_20</v>
      </c>
      <c r="C269" s="338" t="str">
        <f t="shared" si="150"/>
        <v>42_20</v>
      </c>
      <c r="D269" s="398" t="s">
        <v>1</v>
      </c>
      <c r="E269" s="228">
        <v>42</v>
      </c>
      <c r="F269" s="332" t="s">
        <v>61</v>
      </c>
      <c r="G269" s="228" t="s">
        <v>9</v>
      </c>
      <c r="H269" s="427">
        <f t="shared" si="151"/>
        <v>36</v>
      </c>
      <c r="I269" s="427">
        <f t="shared" si="152"/>
        <v>8</v>
      </c>
      <c r="J269" s="428">
        <f t="array" ref="J269">MAX((IF(MNU_CODIGO_ALIMENTO_ENTREGA=CONCATENATE($E269,"_","S_"),MNU_GRAMAJE_REQUERIDO_TIPOA,"")))</f>
        <v>100</v>
      </c>
      <c r="K269" s="229">
        <f t="shared" si="153"/>
        <v>1304</v>
      </c>
      <c r="L269" s="229">
        <f t="shared" si="154"/>
        <v>0</v>
      </c>
      <c r="M269" s="229">
        <f t="shared" si="155"/>
        <v>46944</v>
      </c>
      <c r="N269" s="454">
        <f t="shared" si="156"/>
        <v>194</v>
      </c>
      <c r="O269" s="454">
        <f t="shared" si="157"/>
        <v>9.4672000000000001</v>
      </c>
      <c r="P269" s="454">
        <f t="shared" si="158"/>
        <v>0.16684310399999999</v>
      </c>
      <c r="Q269" s="454">
        <f t="shared" si="159"/>
        <v>204</v>
      </c>
      <c r="R269" s="230">
        <f t="shared" si="160"/>
        <v>9107136</v>
      </c>
      <c r="S269" s="230">
        <f t="shared" si="161"/>
        <v>9576576</v>
      </c>
      <c r="T269" s="429">
        <f t="shared" si="162"/>
        <v>19</v>
      </c>
      <c r="U269" s="429">
        <f t="shared" si="163"/>
        <v>8</v>
      </c>
      <c r="V269" s="430">
        <f t="array" ref="V269">MAX((IF(MNU_CODIGO_ALIMENTO_ENTREGA=CONCATENATE($E269,"_","S_"),MNU_GRAMAJE_REQUERIDO_TIPOB,"")))</f>
        <v>100</v>
      </c>
      <c r="W269" s="397">
        <f t="shared" si="164"/>
        <v>575</v>
      </c>
      <c r="X269" s="397">
        <f t="shared" si="165"/>
        <v>0</v>
      </c>
      <c r="Y269" s="397">
        <f t="shared" si="166"/>
        <v>10925</v>
      </c>
      <c r="Z269" s="454">
        <f t="shared" si="167"/>
        <v>194</v>
      </c>
      <c r="AA269" s="454">
        <f t="shared" si="168"/>
        <v>9.4672000000000001</v>
      </c>
      <c r="AB269" s="454">
        <f t="shared" si="169"/>
        <v>0.16684310399999999</v>
      </c>
      <c r="AC269" s="454">
        <f t="shared" si="170"/>
        <v>204</v>
      </c>
      <c r="AD269" s="231">
        <f t="shared" si="171"/>
        <v>2119450</v>
      </c>
      <c r="AE269" s="231">
        <f t="shared" si="172"/>
        <v>2228700</v>
      </c>
      <c r="AF269" s="427">
        <f t="shared" si="173"/>
        <v>19</v>
      </c>
      <c r="AG269" s="427">
        <f t="shared" si="174"/>
        <v>8</v>
      </c>
      <c r="AH269" s="428">
        <f t="array" ref="AH269">MAX((IF(MNU_CODIGO_ALIMENTO_ENTREGA=CONCATENATE($E269,"_","S_"),MNU_GRAMAJE_REQUERIDO_TIPOC,"")))</f>
        <v>100</v>
      </c>
      <c r="AI269" s="229">
        <f t="shared" si="175"/>
        <v>868</v>
      </c>
      <c r="AJ269" s="229">
        <f t="shared" si="176"/>
        <v>0</v>
      </c>
      <c r="AK269" s="229">
        <f t="shared" si="177"/>
        <v>16492</v>
      </c>
      <c r="AL269" s="454">
        <f t="shared" si="178"/>
        <v>194</v>
      </c>
      <c r="AM269" s="454">
        <f t="shared" si="179"/>
        <v>9.4672000000000001</v>
      </c>
      <c r="AN269" s="454">
        <f t="shared" si="180"/>
        <v>0.16684310399999999</v>
      </c>
      <c r="AO269" s="454">
        <f t="shared" si="181"/>
        <v>204</v>
      </c>
      <c r="AP269" s="454">
        <f t="shared" si="182"/>
        <v>3199448</v>
      </c>
      <c r="AQ269" s="230">
        <f t="shared" si="183"/>
        <v>3364368</v>
      </c>
      <c r="AR269" s="397">
        <f t="shared" si="184"/>
        <v>14426034</v>
      </c>
      <c r="AS269" s="397">
        <f t="shared" si="185"/>
        <v>15169644</v>
      </c>
    </row>
    <row r="270" spans="1:45" ht="15.75">
      <c r="A270" s="228">
        <v>20</v>
      </c>
      <c r="B270" s="228" t="str">
        <f t="shared" si="149"/>
        <v>FRUTA_20</v>
      </c>
      <c r="C270" s="338" t="str">
        <f t="shared" si="150"/>
        <v>43_20</v>
      </c>
      <c r="D270" s="398" t="s">
        <v>1</v>
      </c>
      <c r="E270" s="228">
        <v>43</v>
      </c>
      <c r="F270" s="332" t="s">
        <v>62</v>
      </c>
      <c r="G270" s="228" t="s">
        <v>9</v>
      </c>
      <c r="H270" s="427">
        <f t="shared" si="151"/>
        <v>29</v>
      </c>
      <c r="I270" s="427">
        <f t="shared" si="152"/>
        <v>6</v>
      </c>
      <c r="J270" s="428">
        <f t="array" ref="J270">MAX((IF(MNU_CODIGO_ALIMENTO_ENTREGA=CONCATENATE($E270,"_","S_"),MNU_GRAMAJE_REQUERIDO_TIPOA,"")))</f>
        <v>100</v>
      </c>
      <c r="K270" s="229">
        <f t="shared" si="153"/>
        <v>1304</v>
      </c>
      <c r="L270" s="229">
        <f t="shared" si="154"/>
        <v>0</v>
      </c>
      <c r="M270" s="229">
        <f t="shared" si="155"/>
        <v>37816</v>
      </c>
      <c r="N270" s="454">
        <f t="shared" si="156"/>
        <v>170</v>
      </c>
      <c r="O270" s="454">
        <f t="shared" si="157"/>
        <v>8.2959999999999994</v>
      </c>
      <c r="P270" s="454">
        <f t="shared" si="158"/>
        <v>0.14620272000000001</v>
      </c>
      <c r="Q270" s="454">
        <f t="shared" si="159"/>
        <v>178</v>
      </c>
      <c r="R270" s="230">
        <f t="shared" si="160"/>
        <v>6428720</v>
      </c>
      <c r="S270" s="230">
        <f t="shared" si="161"/>
        <v>6731248</v>
      </c>
      <c r="T270" s="429">
        <f t="shared" si="162"/>
        <v>23</v>
      </c>
      <c r="U270" s="429">
        <f t="shared" si="163"/>
        <v>1</v>
      </c>
      <c r="V270" s="430">
        <f t="array" ref="V270">MAX((IF(MNU_CODIGO_ALIMENTO_ENTREGA=CONCATENATE($E270,"_","S_"),MNU_GRAMAJE_REQUERIDO_TIPOB,"")))</f>
        <v>100</v>
      </c>
      <c r="W270" s="397">
        <f t="shared" si="164"/>
        <v>575</v>
      </c>
      <c r="X270" s="397">
        <f t="shared" si="165"/>
        <v>0</v>
      </c>
      <c r="Y270" s="397">
        <f t="shared" si="166"/>
        <v>13225</v>
      </c>
      <c r="Z270" s="454">
        <f t="shared" si="167"/>
        <v>170</v>
      </c>
      <c r="AA270" s="454">
        <f t="shared" si="168"/>
        <v>8.2959999999999994</v>
      </c>
      <c r="AB270" s="454">
        <f t="shared" si="169"/>
        <v>0.14620272000000001</v>
      </c>
      <c r="AC270" s="454">
        <f t="shared" si="170"/>
        <v>178</v>
      </c>
      <c r="AD270" s="231">
        <f t="shared" si="171"/>
        <v>2248250</v>
      </c>
      <c r="AE270" s="231">
        <f t="shared" si="172"/>
        <v>2354050</v>
      </c>
      <c r="AF270" s="427">
        <f t="shared" si="173"/>
        <v>23</v>
      </c>
      <c r="AG270" s="427">
        <f t="shared" si="174"/>
        <v>1</v>
      </c>
      <c r="AH270" s="428">
        <f t="array" ref="AH270">MAX((IF(MNU_CODIGO_ALIMENTO_ENTREGA=CONCATENATE($E270,"_","S_"),MNU_GRAMAJE_REQUERIDO_TIPOC,"")))</f>
        <v>100</v>
      </c>
      <c r="AI270" s="229">
        <f t="shared" si="175"/>
        <v>868</v>
      </c>
      <c r="AJ270" s="229">
        <f t="shared" si="176"/>
        <v>0</v>
      </c>
      <c r="AK270" s="229">
        <f t="shared" si="177"/>
        <v>19964</v>
      </c>
      <c r="AL270" s="454">
        <f t="shared" si="178"/>
        <v>170</v>
      </c>
      <c r="AM270" s="454">
        <f t="shared" si="179"/>
        <v>8.2959999999999994</v>
      </c>
      <c r="AN270" s="454">
        <f t="shared" si="180"/>
        <v>0.14620272000000001</v>
      </c>
      <c r="AO270" s="454">
        <f t="shared" si="181"/>
        <v>178</v>
      </c>
      <c r="AP270" s="454">
        <f t="shared" si="182"/>
        <v>3393880</v>
      </c>
      <c r="AQ270" s="230">
        <f t="shared" si="183"/>
        <v>3553592</v>
      </c>
      <c r="AR270" s="397">
        <f t="shared" si="184"/>
        <v>12070850</v>
      </c>
      <c r="AS270" s="397">
        <f t="shared" si="185"/>
        <v>12638890</v>
      </c>
    </row>
    <row r="271" spans="1:45" ht="15.75">
      <c r="A271" s="228">
        <v>20</v>
      </c>
      <c r="B271" s="228" t="str">
        <f t="shared" si="149"/>
        <v>FRUTA_20</v>
      </c>
      <c r="C271" s="338" t="str">
        <f t="shared" si="150"/>
        <v>46_20</v>
      </c>
      <c r="D271" s="398" t="s">
        <v>1</v>
      </c>
      <c r="E271" s="228">
        <v>46</v>
      </c>
      <c r="F271" s="332" t="s">
        <v>64</v>
      </c>
      <c r="G271" s="228" t="s">
        <v>9</v>
      </c>
      <c r="H271" s="427">
        <f t="shared" si="151"/>
        <v>29</v>
      </c>
      <c r="I271" s="427">
        <f t="shared" si="152"/>
        <v>4</v>
      </c>
      <c r="J271" s="428">
        <f t="array" ref="J271">MAX((IF(MNU_CODIGO_ALIMENTO_ENTREGA=CONCATENATE($E271,"_","S_"),MNU_GRAMAJE_REQUERIDO_TIPOA,"")))</f>
        <v>100</v>
      </c>
      <c r="K271" s="229">
        <f t="shared" si="153"/>
        <v>1304</v>
      </c>
      <c r="L271" s="229">
        <f t="shared" si="154"/>
        <v>0</v>
      </c>
      <c r="M271" s="229">
        <f t="shared" si="155"/>
        <v>37816</v>
      </c>
      <c r="N271" s="454">
        <f t="shared" si="156"/>
        <v>398</v>
      </c>
      <c r="O271" s="454">
        <f t="shared" si="157"/>
        <v>19.4224</v>
      </c>
      <c r="P271" s="454">
        <f t="shared" si="158"/>
        <v>0.34228636800000001</v>
      </c>
      <c r="Q271" s="454">
        <f t="shared" si="159"/>
        <v>418</v>
      </c>
      <c r="R271" s="230">
        <f t="shared" si="160"/>
        <v>15050768</v>
      </c>
      <c r="S271" s="230">
        <f t="shared" si="161"/>
        <v>15807088</v>
      </c>
      <c r="T271" s="429">
        <f t="shared" si="162"/>
        <v>24</v>
      </c>
      <c r="U271" s="429">
        <f t="shared" si="163"/>
        <v>3</v>
      </c>
      <c r="V271" s="430">
        <f t="array" ref="V271">MAX((IF(MNU_CODIGO_ALIMENTO_ENTREGA=CONCATENATE($E271,"_","S_"),MNU_GRAMAJE_REQUERIDO_TIPOB,"")))</f>
        <v>100</v>
      </c>
      <c r="W271" s="397">
        <f t="shared" si="164"/>
        <v>575</v>
      </c>
      <c r="X271" s="397">
        <f t="shared" si="165"/>
        <v>0</v>
      </c>
      <c r="Y271" s="397">
        <f t="shared" si="166"/>
        <v>13800</v>
      </c>
      <c r="Z271" s="454">
        <f t="shared" si="167"/>
        <v>398</v>
      </c>
      <c r="AA271" s="454">
        <f t="shared" si="168"/>
        <v>19.4224</v>
      </c>
      <c r="AB271" s="454">
        <f t="shared" si="169"/>
        <v>0.34228636800000001</v>
      </c>
      <c r="AC271" s="454">
        <f t="shared" si="170"/>
        <v>418</v>
      </c>
      <c r="AD271" s="231">
        <f t="shared" si="171"/>
        <v>5492400</v>
      </c>
      <c r="AE271" s="231">
        <f t="shared" si="172"/>
        <v>5768400</v>
      </c>
      <c r="AF271" s="427">
        <f t="shared" si="173"/>
        <v>24</v>
      </c>
      <c r="AG271" s="427">
        <f t="shared" si="174"/>
        <v>3</v>
      </c>
      <c r="AH271" s="428">
        <f t="array" ref="AH271">MAX((IF(MNU_CODIGO_ALIMENTO_ENTREGA=CONCATENATE($E271,"_","S_"),MNU_GRAMAJE_REQUERIDO_TIPOC,"")))</f>
        <v>100</v>
      </c>
      <c r="AI271" s="229">
        <f t="shared" si="175"/>
        <v>868</v>
      </c>
      <c r="AJ271" s="229">
        <f t="shared" si="176"/>
        <v>0</v>
      </c>
      <c r="AK271" s="229">
        <f t="shared" si="177"/>
        <v>20832</v>
      </c>
      <c r="AL271" s="454">
        <f t="shared" si="178"/>
        <v>398</v>
      </c>
      <c r="AM271" s="454">
        <f t="shared" si="179"/>
        <v>19.4224</v>
      </c>
      <c r="AN271" s="454">
        <f t="shared" si="180"/>
        <v>0.34228636800000001</v>
      </c>
      <c r="AO271" s="454">
        <f t="shared" si="181"/>
        <v>418</v>
      </c>
      <c r="AP271" s="454">
        <f t="shared" si="182"/>
        <v>8291136</v>
      </c>
      <c r="AQ271" s="230">
        <f t="shared" si="183"/>
        <v>8707776</v>
      </c>
      <c r="AR271" s="397">
        <f t="shared" si="184"/>
        <v>28834304</v>
      </c>
      <c r="AS271" s="397">
        <f t="shared" si="185"/>
        <v>30283264</v>
      </c>
    </row>
    <row r="272" spans="1:45" ht="15.75">
      <c r="A272" s="228">
        <v>20</v>
      </c>
      <c r="B272" s="228" t="str">
        <f t="shared" si="149"/>
        <v>FRUTA_20</v>
      </c>
      <c r="C272" s="338" t="str">
        <f t="shared" si="150"/>
        <v>58_20</v>
      </c>
      <c r="D272" s="398" t="s">
        <v>1</v>
      </c>
      <c r="E272" s="228">
        <v>58</v>
      </c>
      <c r="F272" s="332" t="s">
        <v>67</v>
      </c>
      <c r="G272" s="228" t="s">
        <v>9</v>
      </c>
      <c r="H272" s="427">
        <f t="shared" si="151"/>
        <v>28</v>
      </c>
      <c r="I272" s="427">
        <f t="shared" si="152"/>
        <v>5</v>
      </c>
      <c r="J272" s="428">
        <f t="array" ref="J272">MAX((IF(MNU_CODIGO_ALIMENTO_ENTREGA=CONCATENATE($E272,"_","S_"),MNU_GRAMAJE_REQUERIDO_TIPOA,"")))</f>
        <v>100</v>
      </c>
      <c r="K272" s="229">
        <f t="shared" si="153"/>
        <v>1304</v>
      </c>
      <c r="L272" s="229">
        <f t="shared" si="154"/>
        <v>0</v>
      </c>
      <c r="M272" s="229">
        <f t="shared" si="155"/>
        <v>36512</v>
      </c>
      <c r="N272" s="454">
        <f t="shared" si="156"/>
        <v>154</v>
      </c>
      <c r="O272" s="454">
        <f t="shared" si="157"/>
        <v>7.515200000000001</v>
      </c>
      <c r="P272" s="454">
        <f t="shared" si="158"/>
        <v>0.13244246400000001</v>
      </c>
      <c r="Q272" s="454">
        <f t="shared" si="159"/>
        <v>162</v>
      </c>
      <c r="R272" s="230">
        <f t="shared" si="160"/>
        <v>5622848</v>
      </c>
      <c r="S272" s="230">
        <f t="shared" si="161"/>
        <v>5914944</v>
      </c>
      <c r="T272" s="429">
        <f t="shared" si="162"/>
        <v>23</v>
      </c>
      <c r="U272" s="429">
        <f t="shared" si="163"/>
        <v>3</v>
      </c>
      <c r="V272" s="430">
        <f t="array" ref="V272">MAX((IF(MNU_CODIGO_ALIMENTO_ENTREGA=CONCATENATE($E272,"_","S_"),MNU_GRAMAJE_REQUERIDO_TIPOB,"")))</f>
        <v>100</v>
      </c>
      <c r="W272" s="397">
        <f t="shared" si="164"/>
        <v>575</v>
      </c>
      <c r="X272" s="397">
        <f t="shared" si="165"/>
        <v>0</v>
      </c>
      <c r="Y272" s="397">
        <f t="shared" si="166"/>
        <v>13225</v>
      </c>
      <c r="Z272" s="454">
        <f t="shared" si="167"/>
        <v>154</v>
      </c>
      <c r="AA272" s="454">
        <f t="shared" si="168"/>
        <v>7.515200000000001</v>
      </c>
      <c r="AB272" s="454">
        <f t="shared" si="169"/>
        <v>0.13244246400000001</v>
      </c>
      <c r="AC272" s="454">
        <f t="shared" si="170"/>
        <v>162</v>
      </c>
      <c r="AD272" s="231">
        <f t="shared" si="171"/>
        <v>2036650</v>
      </c>
      <c r="AE272" s="231">
        <f t="shared" si="172"/>
        <v>2142450</v>
      </c>
      <c r="AF272" s="427">
        <f t="shared" si="173"/>
        <v>23</v>
      </c>
      <c r="AG272" s="427">
        <f t="shared" si="174"/>
        <v>3</v>
      </c>
      <c r="AH272" s="428">
        <f t="array" ref="AH272">MAX((IF(MNU_CODIGO_ALIMENTO_ENTREGA=CONCATENATE($E272,"_","S_"),MNU_GRAMAJE_REQUERIDO_TIPOC,"")))</f>
        <v>100</v>
      </c>
      <c r="AI272" s="229">
        <f t="shared" si="175"/>
        <v>868</v>
      </c>
      <c r="AJ272" s="229">
        <f t="shared" si="176"/>
        <v>0</v>
      </c>
      <c r="AK272" s="229">
        <f t="shared" si="177"/>
        <v>19964</v>
      </c>
      <c r="AL272" s="454">
        <f t="shared" si="178"/>
        <v>154</v>
      </c>
      <c r="AM272" s="454">
        <f t="shared" si="179"/>
        <v>7.515200000000001</v>
      </c>
      <c r="AN272" s="454">
        <f t="shared" si="180"/>
        <v>0.13244246400000001</v>
      </c>
      <c r="AO272" s="454">
        <f t="shared" si="181"/>
        <v>162</v>
      </c>
      <c r="AP272" s="454">
        <f t="shared" si="182"/>
        <v>3074456</v>
      </c>
      <c r="AQ272" s="230">
        <f t="shared" si="183"/>
        <v>3234168</v>
      </c>
      <c r="AR272" s="397">
        <f t="shared" si="184"/>
        <v>10733954</v>
      </c>
      <c r="AS272" s="397">
        <f t="shared" si="185"/>
        <v>11291562</v>
      </c>
    </row>
    <row r="273" spans="1:45" ht="15.75">
      <c r="A273" s="228">
        <v>20</v>
      </c>
      <c r="B273" s="228" t="str">
        <f t="shared" si="149"/>
        <v>FRUTA_20</v>
      </c>
      <c r="C273" s="338" t="str">
        <f t="shared" si="150"/>
        <v>59_20</v>
      </c>
      <c r="D273" s="398" t="s">
        <v>1</v>
      </c>
      <c r="E273" s="228">
        <v>59</v>
      </c>
      <c r="F273" s="332" t="s">
        <v>99</v>
      </c>
      <c r="G273" s="228" t="s">
        <v>9</v>
      </c>
      <c r="H273" s="427">
        <f t="shared" si="151"/>
        <v>0</v>
      </c>
      <c r="I273" s="427">
        <f t="shared" si="152"/>
        <v>0</v>
      </c>
      <c r="J273" s="428">
        <f t="array" ref="J273">MAX((IF(MNU_CODIGO_ALIMENTO_ENTREGA=CONCATENATE($E273,"_","S_"),MNU_GRAMAJE_REQUERIDO_TIPOA,"")))</f>
        <v>0</v>
      </c>
      <c r="K273" s="229">
        <f t="shared" si="153"/>
        <v>1304</v>
      </c>
      <c r="L273" s="229">
        <f t="shared" si="154"/>
        <v>0</v>
      </c>
      <c r="M273" s="229">
        <f t="shared" si="155"/>
        <v>0</v>
      </c>
      <c r="N273" s="454">
        <f t="shared" si="156"/>
        <v>0</v>
      </c>
      <c r="O273" s="454">
        <f t="shared" si="157"/>
        <v>0</v>
      </c>
      <c r="P273" s="454">
        <f t="shared" si="158"/>
        <v>0</v>
      </c>
      <c r="Q273" s="454">
        <f t="shared" si="159"/>
        <v>0</v>
      </c>
      <c r="R273" s="230">
        <f t="shared" si="160"/>
        <v>0</v>
      </c>
      <c r="S273" s="230">
        <f t="shared" si="161"/>
        <v>0</v>
      </c>
      <c r="T273" s="429">
        <f t="shared" si="162"/>
        <v>11</v>
      </c>
      <c r="U273" s="429">
        <f t="shared" si="163"/>
        <v>0</v>
      </c>
      <c r="V273" s="430">
        <f t="array" ref="V273">MAX((IF(MNU_CODIGO_ALIMENTO_ENTREGA=CONCATENATE($E273,"_","S_"),MNU_GRAMAJE_REQUERIDO_TIPOB,"")))</f>
        <v>100</v>
      </c>
      <c r="W273" s="397">
        <f t="shared" si="164"/>
        <v>575</v>
      </c>
      <c r="X273" s="397">
        <f t="shared" si="165"/>
        <v>0</v>
      </c>
      <c r="Y273" s="397">
        <f t="shared" si="166"/>
        <v>6325</v>
      </c>
      <c r="Z273" s="454">
        <f t="shared" si="167"/>
        <v>286</v>
      </c>
      <c r="AA273" s="454">
        <f t="shared" si="168"/>
        <v>13.956800000000001</v>
      </c>
      <c r="AB273" s="454">
        <f t="shared" si="169"/>
        <v>0.24596457599999999</v>
      </c>
      <c r="AC273" s="454">
        <f t="shared" si="170"/>
        <v>300</v>
      </c>
      <c r="AD273" s="231">
        <f t="shared" si="171"/>
        <v>1808950</v>
      </c>
      <c r="AE273" s="231">
        <f t="shared" si="172"/>
        <v>1897500</v>
      </c>
      <c r="AF273" s="427">
        <f t="shared" si="173"/>
        <v>11</v>
      </c>
      <c r="AG273" s="427">
        <f t="shared" si="174"/>
        <v>0</v>
      </c>
      <c r="AH273" s="428">
        <f t="array" ref="AH273">MAX((IF(MNU_CODIGO_ALIMENTO_ENTREGA=CONCATENATE($E273,"_","S_"),MNU_GRAMAJE_REQUERIDO_TIPOC,"")))</f>
        <v>100</v>
      </c>
      <c r="AI273" s="229">
        <f t="shared" si="175"/>
        <v>868</v>
      </c>
      <c r="AJ273" s="229">
        <f t="shared" si="176"/>
        <v>0</v>
      </c>
      <c r="AK273" s="229">
        <f t="shared" si="177"/>
        <v>9548</v>
      </c>
      <c r="AL273" s="454">
        <f t="shared" si="178"/>
        <v>286</v>
      </c>
      <c r="AM273" s="454">
        <f t="shared" si="179"/>
        <v>13.956800000000001</v>
      </c>
      <c r="AN273" s="454">
        <f t="shared" si="180"/>
        <v>0.24596457599999999</v>
      </c>
      <c r="AO273" s="454">
        <f t="shared" si="181"/>
        <v>300</v>
      </c>
      <c r="AP273" s="454">
        <f t="shared" si="182"/>
        <v>2730728</v>
      </c>
      <c r="AQ273" s="230">
        <f t="shared" si="183"/>
        <v>2864400</v>
      </c>
      <c r="AR273" s="397">
        <f t="shared" si="184"/>
        <v>4539678</v>
      </c>
      <c r="AS273" s="397">
        <f t="shared" si="185"/>
        <v>4761900</v>
      </c>
    </row>
    <row r="274" spans="1:45" ht="15.75">
      <c r="A274" s="228">
        <v>20</v>
      </c>
      <c r="B274" s="228" t="str">
        <f t="shared" si="149"/>
        <v>FRUTA_20</v>
      </c>
      <c r="C274" s="338" t="str">
        <f t="shared" si="150"/>
        <v>69_20</v>
      </c>
      <c r="D274" s="398" t="s">
        <v>1</v>
      </c>
      <c r="E274" s="228">
        <v>69</v>
      </c>
      <c r="F274" s="332" t="s">
        <v>70</v>
      </c>
      <c r="G274" s="228" t="s">
        <v>9</v>
      </c>
      <c r="H274" s="427">
        <f t="shared" si="151"/>
        <v>18</v>
      </c>
      <c r="I274" s="427">
        <f t="shared" si="152"/>
        <v>2</v>
      </c>
      <c r="J274" s="428">
        <f t="array" ref="J274">MAX((IF(MNU_CODIGO_ALIMENTO_ENTREGA=CONCATENATE($E274,"_","S_"),MNU_GRAMAJE_REQUERIDO_TIPOA,"")))</f>
        <v>100</v>
      </c>
      <c r="K274" s="229">
        <f t="shared" si="153"/>
        <v>1304</v>
      </c>
      <c r="L274" s="229">
        <f t="shared" si="154"/>
        <v>0</v>
      </c>
      <c r="M274" s="229">
        <f t="shared" si="155"/>
        <v>23472</v>
      </c>
      <c r="N274" s="454">
        <f t="shared" si="156"/>
        <v>305</v>
      </c>
      <c r="O274" s="454">
        <f t="shared" si="157"/>
        <v>14.884</v>
      </c>
      <c r="P274" s="454">
        <f t="shared" si="158"/>
        <v>0.26230488000000002</v>
      </c>
      <c r="Q274" s="454">
        <f t="shared" si="159"/>
        <v>320</v>
      </c>
      <c r="R274" s="230">
        <f t="shared" si="160"/>
        <v>7158960</v>
      </c>
      <c r="S274" s="230">
        <f t="shared" si="161"/>
        <v>7511040</v>
      </c>
      <c r="T274" s="429">
        <f t="shared" si="162"/>
        <v>12</v>
      </c>
      <c r="U274" s="429">
        <f t="shared" si="163"/>
        <v>2</v>
      </c>
      <c r="V274" s="430">
        <f t="array" ref="V274">MAX((IF(MNU_CODIGO_ALIMENTO_ENTREGA=CONCATENATE($E274,"_","S_"),MNU_GRAMAJE_REQUERIDO_TIPOB,"")))</f>
        <v>100</v>
      </c>
      <c r="W274" s="397">
        <f t="shared" si="164"/>
        <v>575</v>
      </c>
      <c r="X274" s="397">
        <f t="shared" si="165"/>
        <v>0</v>
      </c>
      <c r="Y274" s="397">
        <f t="shared" si="166"/>
        <v>6900</v>
      </c>
      <c r="Z274" s="454">
        <f t="shared" si="167"/>
        <v>305</v>
      </c>
      <c r="AA274" s="454">
        <f t="shared" si="168"/>
        <v>14.884</v>
      </c>
      <c r="AB274" s="454">
        <f t="shared" si="169"/>
        <v>0.26230488000000002</v>
      </c>
      <c r="AC274" s="454">
        <f t="shared" si="170"/>
        <v>320</v>
      </c>
      <c r="AD274" s="231">
        <f t="shared" si="171"/>
        <v>2104500</v>
      </c>
      <c r="AE274" s="231">
        <f t="shared" si="172"/>
        <v>2208000</v>
      </c>
      <c r="AF274" s="427">
        <f t="shared" si="173"/>
        <v>12</v>
      </c>
      <c r="AG274" s="427">
        <f t="shared" si="174"/>
        <v>2</v>
      </c>
      <c r="AH274" s="428">
        <f t="array" ref="AH274">MAX((IF(MNU_CODIGO_ALIMENTO_ENTREGA=CONCATENATE($E274,"_","S_"),MNU_GRAMAJE_REQUERIDO_TIPOC,"")))</f>
        <v>100</v>
      </c>
      <c r="AI274" s="229">
        <f t="shared" si="175"/>
        <v>868</v>
      </c>
      <c r="AJ274" s="229">
        <f t="shared" si="176"/>
        <v>0</v>
      </c>
      <c r="AK274" s="229">
        <f t="shared" si="177"/>
        <v>10416</v>
      </c>
      <c r="AL274" s="454">
        <f t="shared" si="178"/>
        <v>305</v>
      </c>
      <c r="AM274" s="454">
        <f t="shared" si="179"/>
        <v>14.884</v>
      </c>
      <c r="AN274" s="454">
        <f t="shared" si="180"/>
        <v>0.26230488000000002</v>
      </c>
      <c r="AO274" s="454">
        <f t="shared" si="181"/>
        <v>320</v>
      </c>
      <c r="AP274" s="454">
        <f t="shared" si="182"/>
        <v>3176880</v>
      </c>
      <c r="AQ274" s="230">
        <f t="shared" si="183"/>
        <v>3333120</v>
      </c>
      <c r="AR274" s="397">
        <f t="shared" si="184"/>
        <v>12440340</v>
      </c>
      <c r="AS274" s="397">
        <f t="shared" si="185"/>
        <v>13052160</v>
      </c>
    </row>
    <row r="275" spans="1:45" ht="15.75">
      <c r="A275" s="228">
        <v>20</v>
      </c>
      <c r="B275" s="228" t="str">
        <f t="shared" si="149"/>
        <v>FRUTA_20</v>
      </c>
      <c r="C275" s="338" t="str">
        <f t="shared" si="150"/>
        <v>70_20</v>
      </c>
      <c r="D275" s="398" t="s">
        <v>1</v>
      </c>
      <c r="E275" s="228">
        <v>70</v>
      </c>
      <c r="F275" s="332" t="s">
        <v>71</v>
      </c>
      <c r="G275" s="228" t="s">
        <v>9</v>
      </c>
      <c r="H275" s="427">
        <f t="shared" si="151"/>
        <v>0</v>
      </c>
      <c r="I275" s="427">
        <f t="shared" si="152"/>
        <v>0</v>
      </c>
      <c r="J275" s="428">
        <f t="array" ref="J275">MAX((IF(MNU_CODIGO_ALIMENTO_ENTREGA=CONCATENATE($E275,"_","S_"),MNU_GRAMAJE_REQUERIDO_TIPOA,"")))</f>
        <v>0</v>
      </c>
      <c r="K275" s="229">
        <f t="shared" si="153"/>
        <v>1304</v>
      </c>
      <c r="L275" s="229">
        <f t="shared" si="154"/>
        <v>0</v>
      </c>
      <c r="M275" s="229">
        <f t="shared" si="155"/>
        <v>0</v>
      </c>
      <c r="N275" s="454">
        <f t="shared" si="156"/>
        <v>0</v>
      </c>
      <c r="O275" s="454">
        <f t="shared" si="157"/>
        <v>0</v>
      </c>
      <c r="P275" s="454">
        <f t="shared" si="158"/>
        <v>0</v>
      </c>
      <c r="Q275" s="454">
        <f t="shared" si="159"/>
        <v>0</v>
      </c>
      <c r="R275" s="230">
        <f t="shared" si="160"/>
        <v>0</v>
      </c>
      <c r="S275" s="230">
        <f t="shared" si="161"/>
        <v>0</v>
      </c>
      <c r="T275" s="429">
        <f t="shared" si="162"/>
        <v>8</v>
      </c>
      <c r="U275" s="429">
        <f t="shared" si="163"/>
        <v>4</v>
      </c>
      <c r="V275" s="430">
        <f t="array" ref="V275">MAX((IF(MNU_CODIGO_ALIMENTO_ENTREGA=CONCATENATE($E275,"_","S_"),MNU_GRAMAJE_REQUERIDO_TIPOB,"")))</f>
        <v>100</v>
      </c>
      <c r="W275" s="397">
        <f t="shared" si="164"/>
        <v>575</v>
      </c>
      <c r="X275" s="397">
        <f t="shared" si="165"/>
        <v>0</v>
      </c>
      <c r="Y275" s="397">
        <f t="shared" si="166"/>
        <v>4600</v>
      </c>
      <c r="Z275" s="454">
        <f t="shared" si="167"/>
        <v>434</v>
      </c>
      <c r="AA275" s="454">
        <f t="shared" si="168"/>
        <v>21.179200000000002</v>
      </c>
      <c r="AB275" s="454">
        <f t="shared" si="169"/>
        <v>0.37324694399999997</v>
      </c>
      <c r="AC275" s="454">
        <f t="shared" si="170"/>
        <v>456</v>
      </c>
      <c r="AD275" s="231">
        <f t="shared" si="171"/>
        <v>1996400</v>
      </c>
      <c r="AE275" s="231">
        <f t="shared" si="172"/>
        <v>2097600</v>
      </c>
      <c r="AF275" s="427">
        <f t="shared" si="173"/>
        <v>8</v>
      </c>
      <c r="AG275" s="427">
        <f t="shared" si="174"/>
        <v>4</v>
      </c>
      <c r="AH275" s="428">
        <f t="array" ref="AH275">MAX((IF(MNU_CODIGO_ALIMENTO_ENTREGA=CONCATENATE($E275,"_","S_"),MNU_GRAMAJE_REQUERIDO_TIPOC,"")))</f>
        <v>100</v>
      </c>
      <c r="AI275" s="229">
        <f t="shared" si="175"/>
        <v>868</v>
      </c>
      <c r="AJ275" s="229">
        <f t="shared" si="176"/>
        <v>0</v>
      </c>
      <c r="AK275" s="229">
        <f t="shared" si="177"/>
        <v>6944</v>
      </c>
      <c r="AL275" s="454">
        <f t="shared" si="178"/>
        <v>434</v>
      </c>
      <c r="AM275" s="454">
        <f t="shared" si="179"/>
        <v>21.179200000000002</v>
      </c>
      <c r="AN275" s="454">
        <f t="shared" si="180"/>
        <v>0.37324694399999997</v>
      </c>
      <c r="AO275" s="454">
        <f t="shared" si="181"/>
        <v>456</v>
      </c>
      <c r="AP275" s="454">
        <f t="shared" si="182"/>
        <v>3013696</v>
      </c>
      <c r="AQ275" s="230">
        <f t="shared" si="183"/>
        <v>3166464</v>
      </c>
      <c r="AR275" s="397">
        <f t="shared" si="184"/>
        <v>5010096</v>
      </c>
      <c r="AS275" s="397">
        <f t="shared" si="185"/>
        <v>5264064</v>
      </c>
    </row>
    <row r="276" spans="1:45" ht="15.75">
      <c r="A276" s="228">
        <v>21</v>
      </c>
      <c r="B276" s="228" t="str">
        <f t="shared" si="149"/>
        <v>FRUTA_21</v>
      </c>
      <c r="C276" s="338" t="str">
        <f t="shared" si="150"/>
        <v>7_21</v>
      </c>
      <c r="D276" s="398" t="s">
        <v>1</v>
      </c>
      <c r="E276" s="228">
        <v>7</v>
      </c>
      <c r="F276" s="332" t="s">
        <v>57</v>
      </c>
      <c r="G276" s="228" t="s">
        <v>9</v>
      </c>
      <c r="H276" s="427">
        <f t="shared" si="151"/>
        <v>31</v>
      </c>
      <c r="I276" s="427">
        <f t="shared" si="152"/>
        <v>0</v>
      </c>
      <c r="J276" s="428">
        <f t="array" ref="J276">MAX((IF(MNU_CODIGO_ALIMENTO_ENTREGA=CONCATENATE($E276,"_","S_"),MNU_GRAMAJE_REQUERIDO_TIPOA,"")))</f>
        <v>100</v>
      </c>
      <c r="K276" s="229">
        <f t="shared" si="153"/>
        <v>1193</v>
      </c>
      <c r="L276" s="229">
        <f t="shared" si="154"/>
        <v>0</v>
      </c>
      <c r="M276" s="229">
        <f t="shared" si="155"/>
        <v>36983</v>
      </c>
      <c r="N276" s="454">
        <f t="shared" si="156"/>
        <v>107</v>
      </c>
      <c r="O276" s="454">
        <f t="shared" si="157"/>
        <v>5.2216000000000005</v>
      </c>
      <c r="P276" s="454">
        <f t="shared" si="158"/>
        <v>9.2021712000000006E-2</v>
      </c>
      <c r="Q276" s="454">
        <f t="shared" si="159"/>
        <v>112</v>
      </c>
      <c r="R276" s="230">
        <f t="shared" si="160"/>
        <v>3957181</v>
      </c>
      <c r="S276" s="230">
        <f t="shared" si="161"/>
        <v>4142096</v>
      </c>
      <c r="T276" s="429">
        <f t="shared" si="162"/>
        <v>11</v>
      </c>
      <c r="U276" s="429">
        <f t="shared" si="163"/>
        <v>0</v>
      </c>
      <c r="V276" s="430">
        <f t="array" ref="V276">MAX((IF(MNU_CODIGO_ALIMENTO_ENTREGA=CONCATENATE($E276,"_","S_"),MNU_GRAMAJE_REQUERIDO_TIPOB,"")))</f>
        <v>100</v>
      </c>
      <c r="W276" s="397">
        <f t="shared" si="164"/>
        <v>704</v>
      </c>
      <c r="X276" s="397">
        <f t="shared" si="165"/>
        <v>0</v>
      </c>
      <c r="Y276" s="397">
        <f t="shared" si="166"/>
        <v>7744</v>
      </c>
      <c r="Z276" s="454">
        <f t="shared" si="167"/>
        <v>107</v>
      </c>
      <c r="AA276" s="454">
        <f t="shared" si="168"/>
        <v>5.2216000000000005</v>
      </c>
      <c r="AB276" s="454">
        <f t="shared" si="169"/>
        <v>9.2021712000000006E-2</v>
      </c>
      <c r="AC276" s="454">
        <f t="shared" si="170"/>
        <v>112</v>
      </c>
      <c r="AD276" s="231">
        <f t="shared" si="171"/>
        <v>828608</v>
      </c>
      <c r="AE276" s="231">
        <f t="shared" si="172"/>
        <v>867328</v>
      </c>
      <c r="AF276" s="427">
        <f t="shared" si="173"/>
        <v>11</v>
      </c>
      <c r="AG276" s="427">
        <f t="shared" si="174"/>
        <v>0</v>
      </c>
      <c r="AH276" s="428">
        <f t="array" ref="AH276">MAX((IF(MNU_CODIGO_ALIMENTO_ENTREGA=CONCATENATE($E276,"_","S_"),MNU_GRAMAJE_REQUERIDO_TIPOC,"")))</f>
        <v>100</v>
      </c>
      <c r="AI276" s="229">
        <f t="shared" si="175"/>
        <v>1101</v>
      </c>
      <c r="AJ276" s="229">
        <f t="shared" si="176"/>
        <v>0</v>
      </c>
      <c r="AK276" s="229">
        <f t="shared" si="177"/>
        <v>12111</v>
      </c>
      <c r="AL276" s="454">
        <f t="shared" si="178"/>
        <v>107</v>
      </c>
      <c r="AM276" s="454">
        <f t="shared" si="179"/>
        <v>5.2216000000000005</v>
      </c>
      <c r="AN276" s="454">
        <f t="shared" si="180"/>
        <v>9.2021712000000006E-2</v>
      </c>
      <c r="AO276" s="454">
        <f t="shared" si="181"/>
        <v>112</v>
      </c>
      <c r="AP276" s="454">
        <f t="shared" si="182"/>
        <v>1295877</v>
      </c>
      <c r="AQ276" s="230">
        <f t="shared" si="183"/>
        <v>1356432</v>
      </c>
      <c r="AR276" s="397">
        <f t="shared" si="184"/>
        <v>6081666</v>
      </c>
      <c r="AS276" s="397">
        <f t="shared" si="185"/>
        <v>6365856</v>
      </c>
    </row>
    <row r="277" spans="1:45" ht="15.75">
      <c r="A277" s="228">
        <v>21</v>
      </c>
      <c r="B277" s="228" t="str">
        <f t="shared" si="149"/>
        <v>FRUTA_21</v>
      </c>
      <c r="C277" s="338" t="str">
        <f t="shared" si="150"/>
        <v>8_21</v>
      </c>
      <c r="D277" s="398" t="s">
        <v>1</v>
      </c>
      <c r="E277" s="228">
        <v>8</v>
      </c>
      <c r="F277" s="332" t="s">
        <v>55</v>
      </c>
      <c r="G277" s="228" t="s">
        <v>9</v>
      </c>
      <c r="H277" s="427">
        <f t="shared" si="151"/>
        <v>11</v>
      </c>
      <c r="I277" s="427">
        <f t="shared" si="152"/>
        <v>0</v>
      </c>
      <c r="J277" s="428">
        <f t="array" ref="J277">MAX((IF(MNU_CODIGO_ALIMENTO_ENTREGA=CONCATENATE($E277,"_","S_"),MNU_GRAMAJE_REQUERIDO_TIPOA,"")))</f>
        <v>100</v>
      </c>
      <c r="K277" s="229">
        <f t="shared" si="153"/>
        <v>1193</v>
      </c>
      <c r="L277" s="229">
        <f t="shared" si="154"/>
        <v>0</v>
      </c>
      <c r="M277" s="229">
        <f t="shared" si="155"/>
        <v>13123</v>
      </c>
      <c r="N277" s="454">
        <f t="shared" si="156"/>
        <v>134</v>
      </c>
      <c r="O277" s="454">
        <f t="shared" si="157"/>
        <v>6.539200000000001</v>
      </c>
      <c r="P277" s="454">
        <f t="shared" si="158"/>
        <v>0.115242144</v>
      </c>
      <c r="Q277" s="454">
        <f t="shared" si="159"/>
        <v>141</v>
      </c>
      <c r="R277" s="230">
        <f t="shared" si="160"/>
        <v>1758482</v>
      </c>
      <c r="S277" s="230">
        <f t="shared" si="161"/>
        <v>1850343</v>
      </c>
      <c r="T277" s="429">
        <f t="shared" si="162"/>
        <v>11</v>
      </c>
      <c r="U277" s="429">
        <f t="shared" si="163"/>
        <v>0</v>
      </c>
      <c r="V277" s="430">
        <f t="array" ref="V277">MAX((IF(MNU_CODIGO_ALIMENTO_ENTREGA=CONCATENATE($E277,"_","S_"),MNU_GRAMAJE_REQUERIDO_TIPOB,"")))</f>
        <v>100</v>
      </c>
      <c r="W277" s="397">
        <f t="shared" si="164"/>
        <v>704</v>
      </c>
      <c r="X277" s="397">
        <f t="shared" si="165"/>
        <v>0</v>
      </c>
      <c r="Y277" s="397">
        <f t="shared" si="166"/>
        <v>7744</v>
      </c>
      <c r="Z277" s="454">
        <f t="shared" si="167"/>
        <v>134</v>
      </c>
      <c r="AA277" s="454">
        <f t="shared" si="168"/>
        <v>6.539200000000001</v>
      </c>
      <c r="AB277" s="454">
        <f t="shared" si="169"/>
        <v>0.115242144</v>
      </c>
      <c r="AC277" s="454">
        <f t="shared" si="170"/>
        <v>141</v>
      </c>
      <c r="AD277" s="231">
        <f t="shared" si="171"/>
        <v>1037696</v>
      </c>
      <c r="AE277" s="231">
        <f t="shared" si="172"/>
        <v>1091904</v>
      </c>
      <c r="AF277" s="427">
        <f t="shared" si="173"/>
        <v>11</v>
      </c>
      <c r="AG277" s="427">
        <f t="shared" si="174"/>
        <v>0</v>
      </c>
      <c r="AH277" s="428">
        <f t="array" ref="AH277">MAX((IF(MNU_CODIGO_ALIMENTO_ENTREGA=CONCATENATE($E277,"_","S_"),MNU_GRAMAJE_REQUERIDO_TIPOC,"")))</f>
        <v>100</v>
      </c>
      <c r="AI277" s="229">
        <f t="shared" si="175"/>
        <v>1101</v>
      </c>
      <c r="AJ277" s="229">
        <f t="shared" si="176"/>
        <v>0</v>
      </c>
      <c r="AK277" s="229">
        <f t="shared" si="177"/>
        <v>12111</v>
      </c>
      <c r="AL277" s="454">
        <f t="shared" si="178"/>
        <v>134</v>
      </c>
      <c r="AM277" s="454">
        <f t="shared" si="179"/>
        <v>6.539200000000001</v>
      </c>
      <c r="AN277" s="454">
        <f t="shared" si="180"/>
        <v>0.115242144</v>
      </c>
      <c r="AO277" s="454">
        <f t="shared" si="181"/>
        <v>141</v>
      </c>
      <c r="AP277" s="454">
        <f t="shared" si="182"/>
        <v>1622874</v>
      </c>
      <c r="AQ277" s="230">
        <f t="shared" si="183"/>
        <v>1707651</v>
      </c>
      <c r="AR277" s="397">
        <f t="shared" si="184"/>
        <v>4419052</v>
      </c>
      <c r="AS277" s="397">
        <f t="shared" si="185"/>
        <v>4649898</v>
      </c>
    </row>
    <row r="278" spans="1:45" ht="15.75">
      <c r="A278" s="228">
        <v>21</v>
      </c>
      <c r="B278" s="228" t="str">
        <f t="shared" si="149"/>
        <v>FRUTA_21</v>
      </c>
      <c r="C278" s="338" t="str">
        <f t="shared" si="150"/>
        <v>17_21</v>
      </c>
      <c r="D278" s="398" t="s">
        <v>1</v>
      </c>
      <c r="E278" s="228">
        <v>17</v>
      </c>
      <c r="F278" s="332" t="s">
        <v>53</v>
      </c>
      <c r="G278" s="228" t="s">
        <v>9</v>
      </c>
      <c r="H278" s="427">
        <f t="shared" si="151"/>
        <v>0</v>
      </c>
      <c r="I278" s="427">
        <f t="shared" si="152"/>
        <v>0</v>
      </c>
      <c r="J278" s="428">
        <f t="array" ref="J278">MAX((IF(MNU_CODIGO_ALIMENTO_ENTREGA=CONCATENATE($E278,"_","S_"),MNU_GRAMAJE_REQUERIDO_TIPOA,"")))</f>
        <v>0</v>
      </c>
      <c r="K278" s="229">
        <f t="shared" si="153"/>
        <v>1193</v>
      </c>
      <c r="L278" s="229">
        <f t="shared" si="154"/>
        <v>0</v>
      </c>
      <c r="M278" s="229">
        <f t="shared" si="155"/>
        <v>0</v>
      </c>
      <c r="N278" s="454">
        <f t="shared" si="156"/>
        <v>0</v>
      </c>
      <c r="O278" s="454">
        <f t="shared" si="157"/>
        <v>0</v>
      </c>
      <c r="P278" s="454">
        <f t="shared" si="158"/>
        <v>0</v>
      </c>
      <c r="Q278" s="454">
        <f t="shared" si="159"/>
        <v>0</v>
      </c>
      <c r="R278" s="230">
        <f t="shared" si="160"/>
        <v>0</v>
      </c>
      <c r="S278" s="230">
        <f t="shared" si="161"/>
        <v>0</v>
      </c>
      <c r="T278" s="429">
        <f t="shared" si="162"/>
        <v>23</v>
      </c>
      <c r="U278" s="429">
        <f t="shared" si="163"/>
        <v>4</v>
      </c>
      <c r="V278" s="430">
        <f t="array" ref="V278">MAX((IF(MNU_CODIGO_ALIMENTO_ENTREGA=CONCATENATE($E278,"_","S_"),MNU_GRAMAJE_REQUERIDO_TIPOB,"")))</f>
        <v>100</v>
      </c>
      <c r="W278" s="397">
        <f t="shared" si="164"/>
        <v>704</v>
      </c>
      <c r="X278" s="397">
        <f t="shared" si="165"/>
        <v>0</v>
      </c>
      <c r="Y278" s="397">
        <f t="shared" si="166"/>
        <v>16192</v>
      </c>
      <c r="Z278" s="454">
        <f t="shared" si="167"/>
        <v>226</v>
      </c>
      <c r="AA278" s="454">
        <f t="shared" si="168"/>
        <v>11.0288</v>
      </c>
      <c r="AB278" s="454">
        <f t="shared" si="169"/>
        <v>0.19436361600000002</v>
      </c>
      <c r="AC278" s="454">
        <f t="shared" si="170"/>
        <v>237</v>
      </c>
      <c r="AD278" s="231">
        <f t="shared" si="171"/>
        <v>3659392</v>
      </c>
      <c r="AE278" s="231">
        <f t="shared" si="172"/>
        <v>3837504</v>
      </c>
      <c r="AF278" s="427">
        <f t="shared" si="173"/>
        <v>23</v>
      </c>
      <c r="AG278" s="427">
        <f t="shared" si="174"/>
        <v>4</v>
      </c>
      <c r="AH278" s="428">
        <f t="array" ref="AH278">MAX((IF(MNU_CODIGO_ALIMENTO_ENTREGA=CONCATENATE($E278,"_","S_"),MNU_GRAMAJE_REQUERIDO_TIPOC,"")))</f>
        <v>100</v>
      </c>
      <c r="AI278" s="229">
        <f t="shared" si="175"/>
        <v>1101</v>
      </c>
      <c r="AJ278" s="229">
        <f t="shared" si="176"/>
        <v>0</v>
      </c>
      <c r="AK278" s="229">
        <f t="shared" si="177"/>
        <v>25323</v>
      </c>
      <c r="AL278" s="454">
        <f t="shared" si="178"/>
        <v>226</v>
      </c>
      <c r="AM278" s="454">
        <f t="shared" si="179"/>
        <v>11.0288</v>
      </c>
      <c r="AN278" s="454">
        <f t="shared" si="180"/>
        <v>0.19436361600000002</v>
      </c>
      <c r="AO278" s="454">
        <f t="shared" si="181"/>
        <v>237</v>
      </c>
      <c r="AP278" s="454">
        <f t="shared" si="182"/>
        <v>5722998</v>
      </c>
      <c r="AQ278" s="230">
        <f t="shared" si="183"/>
        <v>6001551</v>
      </c>
      <c r="AR278" s="397">
        <f t="shared" si="184"/>
        <v>9382390</v>
      </c>
      <c r="AS278" s="397">
        <f t="shared" si="185"/>
        <v>9839055</v>
      </c>
    </row>
    <row r="279" spans="1:45" ht="15.75">
      <c r="A279" s="228">
        <v>21</v>
      </c>
      <c r="B279" s="228" t="str">
        <f t="shared" si="149"/>
        <v>FRUTA_21</v>
      </c>
      <c r="C279" s="338" t="str">
        <f t="shared" si="150"/>
        <v>22_21</v>
      </c>
      <c r="D279" s="398" t="s">
        <v>1</v>
      </c>
      <c r="E279" s="228">
        <v>22</v>
      </c>
      <c r="F279" s="332" t="s">
        <v>51</v>
      </c>
      <c r="G279" s="228" t="s">
        <v>9</v>
      </c>
      <c r="H279" s="427">
        <f t="shared" si="151"/>
        <v>0</v>
      </c>
      <c r="I279" s="427">
        <f t="shared" si="152"/>
        <v>0</v>
      </c>
      <c r="J279" s="428">
        <f t="array" ref="J279">MAX((IF(MNU_CODIGO_ALIMENTO_ENTREGA=CONCATENATE($E279,"_","S_"),MNU_GRAMAJE_REQUERIDO_TIPOA,"")))</f>
        <v>0</v>
      </c>
      <c r="K279" s="229">
        <f t="shared" si="153"/>
        <v>1193</v>
      </c>
      <c r="L279" s="229">
        <f t="shared" si="154"/>
        <v>0</v>
      </c>
      <c r="M279" s="229">
        <f t="shared" si="155"/>
        <v>0</v>
      </c>
      <c r="N279" s="454">
        <f t="shared" si="156"/>
        <v>0</v>
      </c>
      <c r="O279" s="454">
        <f t="shared" si="157"/>
        <v>0</v>
      </c>
      <c r="P279" s="454">
        <f t="shared" si="158"/>
        <v>0</v>
      </c>
      <c r="Q279" s="454">
        <f t="shared" si="159"/>
        <v>0</v>
      </c>
      <c r="R279" s="230">
        <f t="shared" si="160"/>
        <v>0</v>
      </c>
      <c r="S279" s="230">
        <f t="shared" si="161"/>
        <v>0</v>
      </c>
      <c r="T279" s="429">
        <f t="shared" si="162"/>
        <v>23</v>
      </c>
      <c r="U279" s="429">
        <f t="shared" si="163"/>
        <v>4</v>
      </c>
      <c r="V279" s="430">
        <f t="array" ref="V279">MAX((IF(MNU_CODIGO_ALIMENTO_ENTREGA=CONCATENATE($E279,"_","S_"),MNU_GRAMAJE_REQUERIDO_TIPOB,"")))</f>
        <v>100</v>
      </c>
      <c r="W279" s="397">
        <f t="shared" si="164"/>
        <v>704</v>
      </c>
      <c r="X279" s="397">
        <f t="shared" si="165"/>
        <v>0</v>
      </c>
      <c r="Y279" s="397">
        <f t="shared" si="166"/>
        <v>16192</v>
      </c>
      <c r="Z279" s="454">
        <f t="shared" si="167"/>
        <v>525</v>
      </c>
      <c r="AA279" s="454">
        <f t="shared" si="168"/>
        <v>25.62</v>
      </c>
      <c r="AB279" s="454">
        <f t="shared" si="169"/>
        <v>0.45150840000000003</v>
      </c>
      <c r="AC279" s="454">
        <f t="shared" si="170"/>
        <v>551</v>
      </c>
      <c r="AD279" s="231">
        <f t="shared" si="171"/>
        <v>8500800</v>
      </c>
      <c r="AE279" s="231">
        <f t="shared" si="172"/>
        <v>8921792</v>
      </c>
      <c r="AF279" s="427">
        <f t="shared" si="173"/>
        <v>23</v>
      </c>
      <c r="AG279" s="427">
        <f t="shared" si="174"/>
        <v>4</v>
      </c>
      <c r="AH279" s="428">
        <f t="array" ref="AH279">MAX((IF(MNU_CODIGO_ALIMENTO_ENTREGA=CONCATENATE($E279,"_","S_"),MNU_GRAMAJE_REQUERIDO_TIPOC,"")))</f>
        <v>100</v>
      </c>
      <c r="AI279" s="229">
        <f t="shared" si="175"/>
        <v>1101</v>
      </c>
      <c r="AJ279" s="229">
        <f t="shared" si="176"/>
        <v>0</v>
      </c>
      <c r="AK279" s="229">
        <f t="shared" si="177"/>
        <v>25323</v>
      </c>
      <c r="AL279" s="454">
        <f t="shared" si="178"/>
        <v>525</v>
      </c>
      <c r="AM279" s="454">
        <f t="shared" si="179"/>
        <v>25.62</v>
      </c>
      <c r="AN279" s="454">
        <f t="shared" si="180"/>
        <v>0.45150840000000003</v>
      </c>
      <c r="AO279" s="454">
        <f t="shared" si="181"/>
        <v>551</v>
      </c>
      <c r="AP279" s="454">
        <f t="shared" si="182"/>
        <v>13294575</v>
      </c>
      <c r="AQ279" s="230">
        <f t="shared" si="183"/>
        <v>13952973</v>
      </c>
      <c r="AR279" s="397">
        <f t="shared" si="184"/>
        <v>21795375</v>
      </c>
      <c r="AS279" s="397">
        <f t="shared" si="185"/>
        <v>22874765</v>
      </c>
    </row>
    <row r="280" spans="1:45" ht="15.75">
      <c r="A280" s="228">
        <v>21</v>
      </c>
      <c r="B280" s="228" t="str">
        <f t="shared" si="149"/>
        <v>FRUTA_21</v>
      </c>
      <c r="C280" s="338" t="str">
        <f t="shared" si="150"/>
        <v>33_21</v>
      </c>
      <c r="D280" s="398" t="s">
        <v>1</v>
      </c>
      <c r="E280" s="228">
        <v>33</v>
      </c>
      <c r="F280" s="332" t="s">
        <v>59</v>
      </c>
      <c r="G280" s="228" t="s">
        <v>48</v>
      </c>
      <c r="H280" s="427">
        <f t="shared" si="151"/>
        <v>29</v>
      </c>
      <c r="I280" s="427">
        <f t="shared" si="152"/>
        <v>5</v>
      </c>
      <c r="J280" s="428">
        <v>1</v>
      </c>
      <c r="K280" s="229">
        <f t="shared" si="153"/>
        <v>1193</v>
      </c>
      <c r="L280" s="229">
        <f t="shared" si="154"/>
        <v>0</v>
      </c>
      <c r="M280" s="229">
        <f t="shared" si="155"/>
        <v>34597</v>
      </c>
      <c r="N280" s="454">
        <f t="shared" si="156"/>
        <v>270</v>
      </c>
      <c r="O280" s="454">
        <f t="shared" si="157"/>
        <v>13.176000000000002</v>
      </c>
      <c r="P280" s="454">
        <f t="shared" si="158"/>
        <v>0.23220432000000002</v>
      </c>
      <c r="Q280" s="454">
        <f t="shared" si="159"/>
        <v>283</v>
      </c>
      <c r="R280" s="230">
        <f t="shared" si="160"/>
        <v>9341190</v>
      </c>
      <c r="S280" s="230">
        <f t="shared" si="161"/>
        <v>9790951</v>
      </c>
      <c r="T280" s="429">
        <f t="shared" si="162"/>
        <v>23</v>
      </c>
      <c r="U280" s="429">
        <f t="shared" si="163"/>
        <v>2</v>
      </c>
      <c r="V280" s="430">
        <v>1</v>
      </c>
      <c r="W280" s="397">
        <f t="shared" si="164"/>
        <v>704</v>
      </c>
      <c r="X280" s="397">
        <f t="shared" si="165"/>
        <v>0</v>
      </c>
      <c r="Y280" s="397">
        <f t="shared" si="166"/>
        <v>16192</v>
      </c>
      <c r="Z280" s="454">
        <f t="shared" si="167"/>
        <v>270</v>
      </c>
      <c r="AA280" s="454">
        <f t="shared" si="168"/>
        <v>13.176000000000002</v>
      </c>
      <c r="AB280" s="454">
        <f t="shared" si="169"/>
        <v>0.23220432000000002</v>
      </c>
      <c r="AC280" s="454">
        <f t="shared" si="170"/>
        <v>283</v>
      </c>
      <c r="AD280" s="231">
        <f t="shared" si="171"/>
        <v>4371840</v>
      </c>
      <c r="AE280" s="231">
        <f t="shared" si="172"/>
        <v>4582336</v>
      </c>
      <c r="AF280" s="427">
        <f t="shared" si="173"/>
        <v>23</v>
      </c>
      <c r="AG280" s="427">
        <f t="shared" si="174"/>
        <v>2</v>
      </c>
      <c r="AH280" s="428">
        <v>1</v>
      </c>
      <c r="AI280" s="229">
        <f t="shared" si="175"/>
        <v>1101</v>
      </c>
      <c r="AJ280" s="229">
        <f t="shared" si="176"/>
        <v>0</v>
      </c>
      <c r="AK280" s="229">
        <f t="shared" si="177"/>
        <v>25323</v>
      </c>
      <c r="AL280" s="454">
        <f t="shared" si="178"/>
        <v>270</v>
      </c>
      <c r="AM280" s="454">
        <f t="shared" si="179"/>
        <v>13.176000000000002</v>
      </c>
      <c r="AN280" s="454">
        <f t="shared" si="180"/>
        <v>0.23220432000000002</v>
      </c>
      <c r="AO280" s="454">
        <f t="shared" si="181"/>
        <v>283</v>
      </c>
      <c r="AP280" s="454">
        <f t="shared" si="182"/>
        <v>6837210</v>
      </c>
      <c r="AQ280" s="230">
        <f t="shared" si="183"/>
        <v>7166409</v>
      </c>
      <c r="AR280" s="397">
        <f t="shared" si="184"/>
        <v>20550240</v>
      </c>
      <c r="AS280" s="397">
        <f t="shared" si="185"/>
        <v>21539696</v>
      </c>
    </row>
    <row r="281" spans="1:45" ht="15.75">
      <c r="A281" s="228">
        <v>21</v>
      </c>
      <c r="B281" s="228" t="str">
        <f t="shared" si="149"/>
        <v>FRUTA_21</v>
      </c>
      <c r="C281" s="338" t="str">
        <f t="shared" si="150"/>
        <v>36_21</v>
      </c>
      <c r="D281" s="398" t="s">
        <v>1</v>
      </c>
      <c r="E281" s="228">
        <v>36</v>
      </c>
      <c r="F281" s="332" t="s">
        <v>1340</v>
      </c>
      <c r="G281" s="228" t="s">
        <v>9</v>
      </c>
      <c r="H281" s="427">
        <f t="shared" si="151"/>
        <v>8</v>
      </c>
      <c r="I281" s="427">
        <f t="shared" si="152"/>
        <v>0</v>
      </c>
      <c r="J281" s="428">
        <f t="array" ref="J281">MAX((IF(MNU_CODIGO_ALIMENTO_ENTREGA=CONCATENATE($E281,"_","S_"),MNU_GRAMAJE_REQUERIDO_TIPOA,"")))</f>
        <v>20</v>
      </c>
      <c r="K281" s="229">
        <f t="shared" si="153"/>
        <v>1193</v>
      </c>
      <c r="L281" s="229">
        <f t="shared" si="154"/>
        <v>0</v>
      </c>
      <c r="M281" s="229">
        <f t="shared" si="155"/>
        <v>9544</v>
      </c>
      <c r="N281" s="454">
        <f t="shared" si="156"/>
        <v>126</v>
      </c>
      <c r="O281" s="454">
        <f t="shared" si="157"/>
        <v>6.1488000000000005</v>
      </c>
      <c r="P281" s="454">
        <f t="shared" si="158"/>
        <v>0.10836201599999999</v>
      </c>
      <c r="Q281" s="454">
        <f t="shared" si="159"/>
        <v>132</v>
      </c>
      <c r="R281" s="230">
        <f t="shared" si="160"/>
        <v>1202544</v>
      </c>
      <c r="S281" s="230">
        <f t="shared" si="161"/>
        <v>1259808</v>
      </c>
      <c r="T281" s="429">
        <f t="shared" si="162"/>
        <v>8</v>
      </c>
      <c r="U281" s="429">
        <f t="shared" si="163"/>
        <v>0</v>
      </c>
      <c r="V281" s="430">
        <f t="array" ref="V281">MAX((IF(MNU_CODIGO_ALIMENTO_ENTREGA=CONCATENATE($E281,"_","S_"),MNU_GRAMAJE_REQUERIDO_TIPOB,"")))</f>
        <v>40</v>
      </c>
      <c r="W281" s="397">
        <f t="shared" si="164"/>
        <v>704</v>
      </c>
      <c r="X281" s="397">
        <f t="shared" si="165"/>
        <v>0</v>
      </c>
      <c r="Y281" s="397">
        <f t="shared" si="166"/>
        <v>5632</v>
      </c>
      <c r="Z281" s="454">
        <f t="shared" si="167"/>
        <v>252</v>
      </c>
      <c r="AA281" s="454">
        <f t="shared" si="168"/>
        <v>12.297600000000001</v>
      </c>
      <c r="AB281" s="454">
        <f t="shared" si="169"/>
        <v>0.21672403199999998</v>
      </c>
      <c r="AC281" s="454">
        <f t="shared" si="170"/>
        <v>265</v>
      </c>
      <c r="AD281" s="231">
        <f t="shared" si="171"/>
        <v>1419264</v>
      </c>
      <c r="AE281" s="231">
        <f t="shared" si="172"/>
        <v>1492480</v>
      </c>
      <c r="AF281" s="427">
        <f t="shared" si="173"/>
        <v>8</v>
      </c>
      <c r="AG281" s="427">
        <f t="shared" si="174"/>
        <v>0</v>
      </c>
      <c r="AH281" s="428">
        <f t="array" ref="AH281">MAX((IF(MNU_CODIGO_ALIMENTO_ENTREGA=CONCATENATE($E281,"_","S_"),MNU_GRAMAJE_REQUERIDO_TIPOC,"")))</f>
        <v>40</v>
      </c>
      <c r="AI281" s="229">
        <f t="shared" si="175"/>
        <v>1101</v>
      </c>
      <c r="AJ281" s="229">
        <f t="shared" si="176"/>
        <v>0</v>
      </c>
      <c r="AK281" s="229">
        <f t="shared" si="177"/>
        <v>8808</v>
      </c>
      <c r="AL281" s="454">
        <f t="shared" si="178"/>
        <v>252</v>
      </c>
      <c r="AM281" s="454">
        <f t="shared" si="179"/>
        <v>12.297600000000001</v>
      </c>
      <c r="AN281" s="454">
        <f t="shared" si="180"/>
        <v>0.21672403199999998</v>
      </c>
      <c r="AO281" s="454">
        <f t="shared" si="181"/>
        <v>265</v>
      </c>
      <c r="AP281" s="454">
        <f t="shared" si="182"/>
        <v>2219616</v>
      </c>
      <c r="AQ281" s="230">
        <f t="shared" si="183"/>
        <v>2334120</v>
      </c>
      <c r="AR281" s="397">
        <f t="shared" si="184"/>
        <v>4841424</v>
      </c>
      <c r="AS281" s="397">
        <f t="shared" si="185"/>
        <v>5086408</v>
      </c>
    </row>
    <row r="282" spans="1:45" ht="15.75">
      <c r="A282" s="228">
        <v>21</v>
      </c>
      <c r="B282" s="228" t="str">
        <f t="shared" si="149"/>
        <v>FRUTA_21</v>
      </c>
      <c r="C282" s="338" t="str">
        <f t="shared" si="150"/>
        <v>42_21</v>
      </c>
      <c r="D282" s="398" t="s">
        <v>1</v>
      </c>
      <c r="E282" s="228">
        <v>42</v>
      </c>
      <c r="F282" s="332" t="s">
        <v>61</v>
      </c>
      <c r="G282" s="228" t="s">
        <v>9</v>
      </c>
      <c r="H282" s="427">
        <f t="shared" si="151"/>
        <v>36</v>
      </c>
      <c r="I282" s="427">
        <f t="shared" si="152"/>
        <v>8</v>
      </c>
      <c r="J282" s="428">
        <f t="array" ref="J282">MAX((IF(MNU_CODIGO_ALIMENTO_ENTREGA=CONCATENATE($E282,"_","S_"),MNU_GRAMAJE_REQUERIDO_TIPOA,"")))</f>
        <v>100</v>
      </c>
      <c r="K282" s="229">
        <f t="shared" si="153"/>
        <v>1193</v>
      </c>
      <c r="L282" s="229">
        <f t="shared" si="154"/>
        <v>0</v>
      </c>
      <c r="M282" s="229">
        <f t="shared" si="155"/>
        <v>42948</v>
      </c>
      <c r="N282" s="454">
        <f t="shared" si="156"/>
        <v>194</v>
      </c>
      <c r="O282" s="454">
        <f t="shared" si="157"/>
        <v>9.4672000000000001</v>
      </c>
      <c r="P282" s="454">
        <f t="shared" si="158"/>
        <v>0.16684310399999999</v>
      </c>
      <c r="Q282" s="454">
        <f t="shared" si="159"/>
        <v>204</v>
      </c>
      <c r="R282" s="230">
        <f t="shared" si="160"/>
        <v>8331912</v>
      </c>
      <c r="S282" s="230">
        <f t="shared" si="161"/>
        <v>8761392</v>
      </c>
      <c r="T282" s="429">
        <f t="shared" si="162"/>
        <v>19</v>
      </c>
      <c r="U282" s="429">
        <f t="shared" si="163"/>
        <v>8</v>
      </c>
      <c r="V282" s="430">
        <f t="array" ref="V282">MAX((IF(MNU_CODIGO_ALIMENTO_ENTREGA=CONCATENATE($E282,"_","S_"),MNU_GRAMAJE_REQUERIDO_TIPOB,"")))</f>
        <v>100</v>
      </c>
      <c r="W282" s="397">
        <f t="shared" si="164"/>
        <v>704</v>
      </c>
      <c r="X282" s="397">
        <f t="shared" si="165"/>
        <v>0</v>
      </c>
      <c r="Y282" s="397">
        <f t="shared" si="166"/>
        <v>13376</v>
      </c>
      <c r="Z282" s="454">
        <f t="shared" si="167"/>
        <v>194</v>
      </c>
      <c r="AA282" s="454">
        <f t="shared" si="168"/>
        <v>9.4672000000000001</v>
      </c>
      <c r="AB282" s="454">
        <f t="shared" si="169"/>
        <v>0.16684310399999999</v>
      </c>
      <c r="AC282" s="454">
        <f t="shared" si="170"/>
        <v>204</v>
      </c>
      <c r="AD282" s="231">
        <f t="shared" si="171"/>
        <v>2594944</v>
      </c>
      <c r="AE282" s="231">
        <f t="shared" si="172"/>
        <v>2728704</v>
      </c>
      <c r="AF282" s="427">
        <f t="shared" si="173"/>
        <v>19</v>
      </c>
      <c r="AG282" s="427">
        <f t="shared" si="174"/>
        <v>8</v>
      </c>
      <c r="AH282" s="428">
        <f t="array" ref="AH282">MAX((IF(MNU_CODIGO_ALIMENTO_ENTREGA=CONCATENATE($E282,"_","S_"),MNU_GRAMAJE_REQUERIDO_TIPOC,"")))</f>
        <v>100</v>
      </c>
      <c r="AI282" s="229">
        <f t="shared" si="175"/>
        <v>1101</v>
      </c>
      <c r="AJ282" s="229">
        <f t="shared" si="176"/>
        <v>0</v>
      </c>
      <c r="AK282" s="229">
        <f t="shared" si="177"/>
        <v>20919</v>
      </c>
      <c r="AL282" s="454">
        <f t="shared" si="178"/>
        <v>194</v>
      </c>
      <c r="AM282" s="454">
        <f t="shared" si="179"/>
        <v>9.4672000000000001</v>
      </c>
      <c r="AN282" s="454">
        <f t="shared" si="180"/>
        <v>0.16684310399999999</v>
      </c>
      <c r="AO282" s="454">
        <f t="shared" si="181"/>
        <v>204</v>
      </c>
      <c r="AP282" s="454">
        <f t="shared" si="182"/>
        <v>4058286</v>
      </c>
      <c r="AQ282" s="230">
        <f t="shared" si="183"/>
        <v>4267476</v>
      </c>
      <c r="AR282" s="397">
        <f t="shared" si="184"/>
        <v>14985142</v>
      </c>
      <c r="AS282" s="397">
        <f t="shared" si="185"/>
        <v>15757572</v>
      </c>
    </row>
    <row r="283" spans="1:45" ht="15.75">
      <c r="A283" s="228">
        <v>21</v>
      </c>
      <c r="B283" s="228" t="str">
        <f t="shared" si="149"/>
        <v>FRUTA_21</v>
      </c>
      <c r="C283" s="338" t="str">
        <f t="shared" si="150"/>
        <v>43_21</v>
      </c>
      <c r="D283" s="398" t="s">
        <v>1</v>
      </c>
      <c r="E283" s="228">
        <v>43</v>
      </c>
      <c r="F283" s="332" t="s">
        <v>62</v>
      </c>
      <c r="G283" s="228" t="s">
        <v>9</v>
      </c>
      <c r="H283" s="427">
        <f t="shared" si="151"/>
        <v>29</v>
      </c>
      <c r="I283" s="427">
        <f t="shared" si="152"/>
        <v>6</v>
      </c>
      <c r="J283" s="428">
        <f t="array" ref="J283">MAX((IF(MNU_CODIGO_ALIMENTO_ENTREGA=CONCATENATE($E283,"_","S_"),MNU_GRAMAJE_REQUERIDO_TIPOA,"")))</f>
        <v>100</v>
      </c>
      <c r="K283" s="229">
        <f t="shared" si="153"/>
        <v>1193</v>
      </c>
      <c r="L283" s="229">
        <f t="shared" si="154"/>
        <v>0</v>
      </c>
      <c r="M283" s="229">
        <f t="shared" si="155"/>
        <v>34597</v>
      </c>
      <c r="N283" s="454">
        <f t="shared" si="156"/>
        <v>170</v>
      </c>
      <c r="O283" s="454">
        <f t="shared" si="157"/>
        <v>8.2959999999999994</v>
      </c>
      <c r="P283" s="454">
        <f t="shared" si="158"/>
        <v>0.14620272000000001</v>
      </c>
      <c r="Q283" s="454">
        <f t="shared" si="159"/>
        <v>178</v>
      </c>
      <c r="R283" s="230">
        <f t="shared" si="160"/>
        <v>5881490</v>
      </c>
      <c r="S283" s="230">
        <f t="shared" si="161"/>
        <v>6158266</v>
      </c>
      <c r="T283" s="429">
        <f t="shared" si="162"/>
        <v>23</v>
      </c>
      <c r="U283" s="429">
        <f t="shared" si="163"/>
        <v>1</v>
      </c>
      <c r="V283" s="430">
        <f t="array" ref="V283">MAX((IF(MNU_CODIGO_ALIMENTO_ENTREGA=CONCATENATE($E283,"_","S_"),MNU_GRAMAJE_REQUERIDO_TIPOB,"")))</f>
        <v>100</v>
      </c>
      <c r="W283" s="397">
        <f t="shared" si="164"/>
        <v>704</v>
      </c>
      <c r="X283" s="397">
        <f t="shared" si="165"/>
        <v>0</v>
      </c>
      <c r="Y283" s="397">
        <f t="shared" si="166"/>
        <v>16192</v>
      </c>
      <c r="Z283" s="454">
        <f t="shared" si="167"/>
        <v>170</v>
      </c>
      <c r="AA283" s="454">
        <f t="shared" si="168"/>
        <v>8.2959999999999994</v>
      </c>
      <c r="AB283" s="454">
        <f t="shared" si="169"/>
        <v>0.14620272000000001</v>
      </c>
      <c r="AC283" s="454">
        <f t="shared" si="170"/>
        <v>178</v>
      </c>
      <c r="AD283" s="231">
        <f t="shared" si="171"/>
        <v>2752640</v>
      </c>
      <c r="AE283" s="231">
        <f t="shared" si="172"/>
        <v>2882176</v>
      </c>
      <c r="AF283" s="427">
        <f t="shared" si="173"/>
        <v>23</v>
      </c>
      <c r="AG283" s="427">
        <f t="shared" si="174"/>
        <v>1</v>
      </c>
      <c r="AH283" s="428">
        <f t="array" ref="AH283">MAX((IF(MNU_CODIGO_ALIMENTO_ENTREGA=CONCATENATE($E283,"_","S_"),MNU_GRAMAJE_REQUERIDO_TIPOC,"")))</f>
        <v>100</v>
      </c>
      <c r="AI283" s="229">
        <f t="shared" si="175"/>
        <v>1101</v>
      </c>
      <c r="AJ283" s="229">
        <f t="shared" si="176"/>
        <v>0</v>
      </c>
      <c r="AK283" s="229">
        <f t="shared" si="177"/>
        <v>25323</v>
      </c>
      <c r="AL283" s="454">
        <f t="shared" si="178"/>
        <v>170</v>
      </c>
      <c r="AM283" s="454">
        <f t="shared" si="179"/>
        <v>8.2959999999999994</v>
      </c>
      <c r="AN283" s="454">
        <f t="shared" si="180"/>
        <v>0.14620272000000001</v>
      </c>
      <c r="AO283" s="454">
        <f t="shared" si="181"/>
        <v>178</v>
      </c>
      <c r="AP283" s="454">
        <f t="shared" si="182"/>
        <v>4304910</v>
      </c>
      <c r="AQ283" s="230">
        <f t="shared" si="183"/>
        <v>4507494</v>
      </c>
      <c r="AR283" s="397">
        <f t="shared" si="184"/>
        <v>12939040</v>
      </c>
      <c r="AS283" s="397">
        <f t="shared" si="185"/>
        <v>13547936</v>
      </c>
    </row>
    <row r="284" spans="1:45" ht="15.75">
      <c r="A284" s="228">
        <v>21</v>
      </c>
      <c r="B284" s="228" t="str">
        <f t="shared" si="149"/>
        <v>FRUTA_21</v>
      </c>
      <c r="C284" s="338" t="str">
        <f t="shared" si="150"/>
        <v>46_21</v>
      </c>
      <c r="D284" s="398" t="s">
        <v>1</v>
      </c>
      <c r="E284" s="228">
        <v>46</v>
      </c>
      <c r="F284" s="332" t="s">
        <v>64</v>
      </c>
      <c r="G284" s="228" t="s">
        <v>9</v>
      </c>
      <c r="H284" s="427">
        <f t="shared" si="151"/>
        <v>29</v>
      </c>
      <c r="I284" s="427">
        <f t="shared" si="152"/>
        <v>4</v>
      </c>
      <c r="J284" s="428">
        <f t="array" ref="J284">MAX((IF(MNU_CODIGO_ALIMENTO_ENTREGA=CONCATENATE($E284,"_","S_"),MNU_GRAMAJE_REQUERIDO_TIPOA,"")))</f>
        <v>100</v>
      </c>
      <c r="K284" s="229">
        <f t="shared" si="153"/>
        <v>1193</v>
      </c>
      <c r="L284" s="229">
        <f t="shared" si="154"/>
        <v>0</v>
      </c>
      <c r="M284" s="229">
        <f t="shared" si="155"/>
        <v>34597</v>
      </c>
      <c r="N284" s="454">
        <f t="shared" si="156"/>
        <v>398</v>
      </c>
      <c r="O284" s="454">
        <f t="shared" si="157"/>
        <v>19.4224</v>
      </c>
      <c r="P284" s="454">
        <f t="shared" si="158"/>
        <v>0.34228636800000001</v>
      </c>
      <c r="Q284" s="454">
        <f t="shared" si="159"/>
        <v>418</v>
      </c>
      <c r="R284" s="230">
        <f t="shared" si="160"/>
        <v>13769606</v>
      </c>
      <c r="S284" s="230">
        <f t="shared" si="161"/>
        <v>14461546</v>
      </c>
      <c r="T284" s="429">
        <f t="shared" si="162"/>
        <v>24</v>
      </c>
      <c r="U284" s="429">
        <f t="shared" si="163"/>
        <v>3</v>
      </c>
      <c r="V284" s="430">
        <f t="array" ref="V284">MAX((IF(MNU_CODIGO_ALIMENTO_ENTREGA=CONCATENATE($E284,"_","S_"),MNU_GRAMAJE_REQUERIDO_TIPOB,"")))</f>
        <v>100</v>
      </c>
      <c r="W284" s="397">
        <f t="shared" si="164"/>
        <v>704</v>
      </c>
      <c r="X284" s="397">
        <f t="shared" si="165"/>
        <v>0</v>
      </c>
      <c r="Y284" s="397">
        <f t="shared" si="166"/>
        <v>16896</v>
      </c>
      <c r="Z284" s="454">
        <f t="shared" si="167"/>
        <v>398</v>
      </c>
      <c r="AA284" s="454">
        <f t="shared" si="168"/>
        <v>19.4224</v>
      </c>
      <c r="AB284" s="454">
        <f t="shared" si="169"/>
        <v>0.34228636800000001</v>
      </c>
      <c r="AC284" s="454">
        <f t="shared" si="170"/>
        <v>418</v>
      </c>
      <c r="AD284" s="231">
        <f t="shared" si="171"/>
        <v>6724608</v>
      </c>
      <c r="AE284" s="231">
        <f t="shared" si="172"/>
        <v>7062528</v>
      </c>
      <c r="AF284" s="427">
        <f t="shared" si="173"/>
        <v>24</v>
      </c>
      <c r="AG284" s="427">
        <f t="shared" si="174"/>
        <v>3</v>
      </c>
      <c r="AH284" s="428">
        <f t="array" ref="AH284">MAX((IF(MNU_CODIGO_ALIMENTO_ENTREGA=CONCATENATE($E284,"_","S_"),MNU_GRAMAJE_REQUERIDO_TIPOC,"")))</f>
        <v>100</v>
      </c>
      <c r="AI284" s="229">
        <f t="shared" si="175"/>
        <v>1101</v>
      </c>
      <c r="AJ284" s="229">
        <f t="shared" si="176"/>
        <v>0</v>
      </c>
      <c r="AK284" s="229">
        <f t="shared" si="177"/>
        <v>26424</v>
      </c>
      <c r="AL284" s="454">
        <f t="shared" si="178"/>
        <v>398</v>
      </c>
      <c r="AM284" s="454">
        <f t="shared" si="179"/>
        <v>19.4224</v>
      </c>
      <c r="AN284" s="454">
        <f t="shared" si="180"/>
        <v>0.34228636800000001</v>
      </c>
      <c r="AO284" s="454">
        <f t="shared" si="181"/>
        <v>418</v>
      </c>
      <c r="AP284" s="454">
        <f t="shared" si="182"/>
        <v>10516752</v>
      </c>
      <c r="AQ284" s="230">
        <f t="shared" si="183"/>
        <v>11045232</v>
      </c>
      <c r="AR284" s="397">
        <f t="shared" si="184"/>
        <v>31010966</v>
      </c>
      <c r="AS284" s="397">
        <f t="shared" si="185"/>
        <v>32569306</v>
      </c>
    </row>
    <row r="285" spans="1:45" ht="15.75">
      <c r="A285" s="228">
        <v>21</v>
      </c>
      <c r="B285" s="228" t="str">
        <f t="shared" si="149"/>
        <v>FRUTA_21</v>
      </c>
      <c r="C285" s="338" t="str">
        <f t="shared" si="150"/>
        <v>58_21</v>
      </c>
      <c r="D285" s="398" t="s">
        <v>1</v>
      </c>
      <c r="E285" s="228">
        <v>58</v>
      </c>
      <c r="F285" s="332" t="s">
        <v>67</v>
      </c>
      <c r="G285" s="228" t="s">
        <v>9</v>
      </c>
      <c r="H285" s="427">
        <f t="shared" si="151"/>
        <v>28</v>
      </c>
      <c r="I285" s="427">
        <f t="shared" si="152"/>
        <v>5</v>
      </c>
      <c r="J285" s="428">
        <f t="array" ref="J285">MAX((IF(MNU_CODIGO_ALIMENTO_ENTREGA=CONCATENATE($E285,"_","S_"),MNU_GRAMAJE_REQUERIDO_TIPOA,"")))</f>
        <v>100</v>
      </c>
      <c r="K285" s="229">
        <f t="shared" si="153"/>
        <v>1193</v>
      </c>
      <c r="L285" s="229">
        <f t="shared" si="154"/>
        <v>0</v>
      </c>
      <c r="M285" s="229">
        <f t="shared" si="155"/>
        <v>33404</v>
      </c>
      <c r="N285" s="454">
        <f t="shared" si="156"/>
        <v>154</v>
      </c>
      <c r="O285" s="454">
        <f t="shared" si="157"/>
        <v>7.515200000000001</v>
      </c>
      <c r="P285" s="454">
        <f t="shared" si="158"/>
        <v>0.13244246400000001</v>
      </c>
      <c r="Q285" s="454">
        <f t="shared" si="159"/>
        <v>162</v>
      </c>
      <c r="R285" s="230">
        <f t="shared" si="160"/>
        <v>5144216</v>
      </c>
      <c r="S285" s="230">
        <f t="shared" si="161"/>
        <v>5411448</v>
      </c>
      <c r="T285" s="429">
        <f t="shared" si="162"/>
        <v>23</v>
      </c>
      <c r="U285" s="429">
        <f t="shared" si="163"/>
        <v>3</v>
      </c>
      <c r="V285" s="430">
        <f t="array" ref="V285">MAX((IF(MNU_CODIGO_ALIMENTO_ENTREGA=CONCATENATE($E285,"_","S_"),MNU_GRAMAJE_REQUERIDO_TIPOB,"")))</f>
        <v>100</v>
      </c>
      <c r="W285" s="397">
        <f t="shared" si="164"/>
        <v>704</v>
      </c>
      <c r="X285" s="397">
        <f t="shared" si="165"/>
        <v>0</v>
      </c>
      <c r="Y285" s="397">
        <f t="shared" si="166"/>
        <v>16192</v>
      </c>
      <c r="Z285" s="454">
        <f t="shared" si="167"/>
        <v>154</v>
      </c>
      <c r="AA285" s="454">
        <f t="shared" si="168"/>
        <v>7.515200000000001</v>
      </c>
      <c r="AB285" s="454">
        <f t="shared" si="169"/>
        <v>0.13244246400000001</v>
      </c>
      <c r="AC285" s="454">
        <f t="shared" si="170"/>
        <v>162</v>
      </c>
      <c r="AD285" s="231">
        <f t="shared" si="171"/>
        <v>2493568</v>
      </c>
      <c r="AE285" s="231">
        <f t="shared" si="172"/>
        <v>2623104</v>
      </c>
      <c r="AF285" s="427">
        <f t="shared" si="173"/>
        <v>23</v>
      </c>
      <c r="AG285" s="427">
        <f t="shared" si="174"/>
        <v>3</v>
      </c>
      <c r="AH285" s="428">
        <f t="array" ref="AH285">MAX((IF(MNU_CODIGO_ALIMENTO_ENTREGA=CONCATENATE($E285,"_","S_"),MNU_GRAMAJE_REQUERIDO_TIPOC,"")))</f>
        <v>100</v>
      </c>
      <c r="AI285" s="229">
        <f t="shared" si="175"/>
        <v>1101</v>
      </c>
      <c r="AJ285" s="229">
        <f t="shared" si="176"/>
        <v>0</v>
      </c>
      <c r="AK285" s="229">
        <f t="shared" si="177"/>
        <v>25323</v>
      </c>
      <c r="AL285" s="454">
        <f t="shared" si="178"/>
        <v>154</v>
      </c>
      <c r="AM285" s="454">
        <f t="shared" si="179"/>
        <v>7.515200000000001</v>
      </c>
      <c r="AN285" s="454">
        <f t="shared" si="180"/>
        <v>0.13244246400000001</v>
      </c>
      <c r="AO285" s="454">
        <f t="shared" si="181"/>
        <v>162</v>
      </c>
      <c r="AP285" s="454">
        <f t="shared" si="182"/>
        <v>3899742</v>
      </c>
      <c r="AQ285" s="230">
        <f t="shared" si="183"/>
        <v>4102326</v>
      </c>
      <c r="AR285" s="397">
        <f t="shared" si="184"/>
        <v>11537526</v>
      </c>
      <c r="AS285" s="397">
        <f t="shared" si="185"/>
        <v>12136878</v>
      </c>
    </row>
    <row r="286" spans="1:45" ht="15.75">
      <c r="A286" s="228">
        <v>21</v>
      </c>
      <c r="B286" s="228" t="str">
        <f t="shared" si="149"/>
        <v>FRUTA_21</v>
      </c>
      <c r="C286" s="338" t="str">
        <f t="shared" si="150"/>
        <v>59_21</v>
      </c>
      <c r="D286" s="398" t="s">
        <v>1</v>
      </c>
      <c r="E286" s="228">
        <v>59</v>
      </c>
      <c r="F286" s="332" t="s">
        <v>99</v>
      </c>
      <c r="G286" s="228" t="s">
        <v>9</v>
      </c>
      <c r="H286" s="427">
        <f t="shared" si="151"/>
        <v>0</v>
      </c>
      <c r="I286" s="427">
        <f t="shared" si="152"/>
        <v>0</v>
      </c>
      <c r="J286" s="428">
        <f t="array" ref="J286">MAX((IF(MNU_CODIGO_ALIMENTO_ENTREGA=CONCATENATE($E286,"_","S_"),MNU_GRAMAJE_REQUERIDO_TIPOA,"")))</f>
        <v>0</v>
      </c>
      <c r="K286" s="229">
        <f t="shared" si="153"/>
        <v>1193</v>
      </c>
      <c r="L286" s="229">
        <f t="shared" si="154"/>
        <v>0</v>
      </c>
      <c r="M286" s="229">
        <f t="shared" si="155"/>
        <v>0</v>
      </c>
      <c r="N286" s="454">
        <f t="shared" si="156"/>
        <v>0</v>
      </c>
      <c r="O286" s="454">
        <f t="shared" si="157"/>
        <v>0</v>
      </c>
      <c r="P286" s="454">
        <f t="shared" si="158"/>
        <v>0</v>
      </c>
      <c r="Q286" s="454">
        <f t="shared" si="159"/>
        <v>0</v>
      </c>
      <c r="R286" s="230">
        <f t="shared" si="160"/>
        <v>0</v>
      </c>
      <c r="S286" s="230">
        <f t="shared" si="161"/>
        <v>0</v>
      </c>
      <c r="T286" s="429">
        <f t="shared" si="162"/>
        <v>11</v>
      </c>
      <c r="U286" s="429">
        <f t="shared" si="163"/>
        <v>0</v>
      </c>
      <c r="V286" s="430">
        <f t="array" ref="V286">MAX((IF(MNU_CODIGO_ALIMENTO_ENTREGA=CONCATENATE($E286,"_","S_"),MNU_GRAMAJE_REQUERIDO_TIPOB,"")))</f>
        <v>100</v>
      </c>
      <c r="W286" s="397">
        <f t="shared" si="164"/>
        <v>704</v>
      </c>
      <c r="X286" s="397">
        <f t="shared" si="165"/>
        <v>0</v>
      </c>
      <c r="Y286" s="397">
        <f t="shared" si="166"/>
        <v>7744</v>
      </c>
      <c r="Z286" s="454">
        <f t="shared" si="167"/>
        <v>286</v>
      </c>
      <c r="AA286" s="454">
        <f t="shared" si="168"/>
        <v>13.956800000000001</v>
      </c>
      <c r="AB286" s="454">
        <f t="shared" si="169"/>
        <v>0.24596457599999999</v>
      </c>
      <c r="AC286" s="454">
        <f t="shared" si="170"/>
        <v>300</v>
      </c>
      <c r="AD286" s="231">
        <f t="shared" si="171"/>
        <v>2214784</v>
      </c>
      <c r="AE286" s="231">
        <f t="shared" si="172"/>
        <v>2323200</v>
      </c>
      <c r="AF286" s="427">
        <f t="shared" si="173"/>
        <v>11</v>
      </c>
      <c r="AG286" s="427">
        <f t="shared" si="174"/>
        <v>0</v>
      </c>
      <c r="AH286" s="428">
        <f t="array" ref="AH286">MAX((IF(MNU_CODIGO_ALIMENTO_ENTREGA=CONCATENATE($E286,"_","S_"),MNU_GRAMAJE_REQUERIDO_TIPOC,"")))</f>
        <v>100</v>
      </c>
      <c r="AI286" s="229">
        <f t="shared" si="175"/>
        <v>1101</v>
      </c>
      <c r="AJ286" s="229">
        <f t="shared" si="176"/>
        <v>0</v>
      </c>
      <c r="AK286" s="229">
        <f t="shared" si="177"/>
        <v>12111</v>
      </c>
      <c r="AL286" s="454">
        <f t="shared" si="178"/>
        <v>286</v>
      </c>
      <c r="AM286" s="454">
        <f t="shared" si="179"/>
        <v>13.956800000000001</v>
      </c>
      <c r="AN286" s="454">
        <f t="shared" si="180"/>
        <v>0.24596457599999999</v>
      </c>
      <c r="AO286" s="454">
        <f t="shared" si="181"/>
        <v>300</v>
      </c>
      <c r="AP286" s="454">
        <f t="shared" si="182"/>
        <v>3463746</v>
      </c>
      <c r="AQ286" s="230">
        <f t="shared" si="183"/>
        <v>3633300</v>
      </c>
      <c r="AR286" s="397">
        <f t="shared" si="184"/>
        <v>5678530</v>
      </c>
      <c r="AS286" s="397">
        <f t="shared" si="185"/>
        <v>5956500</v>
      </c>
    </row>
    <row r="287" spans="1:45" ht="15.75">
      <c r="A287" s="228">
        <v>21</v>
      </c>
      <c r="B287" s="228" t="str">
        <f t="shared" si="149"/>
        <v>FRUTA_21</v>
      </c>
      <c r="C287" s="338" t="str">
        <f t="shared" si="150"/>
        <v>69_21</v>
      </c>
      <c r="D287" s="398" t="s">
        <v>1</v>
      </c>
      <c r="E287" s="228">
        <v>69</v>
      </c>
      <c r="F287" s="332" t="s">
        <v>70</v>
      </c>
      <c r="G287" s="228" t="s">
        <v>9</v>
      </c>
      <c r="H287" s="427">
        <f t="shared" si="151"/>
        <v>18</v>
      </c>
      <c r="I287" s="427">
        <f t="shared" si="152"/>
        <v>2</v>
      </c>
      <c r="J287" s="428">
        <f t="array" ref="J287">MAX((IF(MNU_CODIGO_ALIMENTO_ENTREGA=CONCATENATE($E287,"_","S_"),MNU_GRAMAJE_REQUERIDO_TIPOA,"")))</f>
        <v>100</v>
      </c>
      <c r="K287" s="229">
        <f t="shared" si="153"/>
        <v>1193</v>
      </c>
      <c r="L287" s="229">
        <f t="shared" si="154"/>
        <v>0</v>
      </c>
      <c r="M287" s="229">
        <f t="shared" si="155"/>
        <v>21474</v>
      </c>
      <c r="N287" s="454">
        <f t="shared" si="156"/>
        <v>305</v>
      </c>
      <c r="O287" s="454">
        <f t="shared" si="157"/>
        <v>14.884</v>
      </c>
      <c r="P287" s="454">
        <f t="shared" si="158"/>
        <v>0.26230488000000002</v>
      </c>
      <c r="Q287" s="454">
        <f t="shared" si="159"/>
        <v>320</v>
      </c>
      <c r="R287" s="230">
        <f t="shared" si="160"/>
        <v>6549570</v>
      </c>
      <c r="S287" s="230">
        <f t="shared" si="161"/>
        <v>6871680</v>
      </c>
      <c r="T287" s="429">
        <f t="shared" si="162"/>
        <v>12</v>
      </c>
      <c r="U287" s="429">
        <f t="shared" si="163"/>
        <v>2</v>
      </c>
      <c r="V287" s="430">
        <f t="array" ref="V287">MAX((IF(MNU_CODIGO_ALIMENTO_ENTREGA=CONCATENATE($E287,"_","S_"),MNU_GRAMAJE_REQUERIDO_TIPOB,"")))</f>
        <v>100</v>
      </c>
      <c r="W287" s="397">
        <f t="shared" si="164"/>
        <v>704</v>
      </c>
      <c r="X287" s="397">
        <f t="shared" si="165"/>
        <v>0</v>
      </c>
      <c r="Y287" s="397">
        <f t="shared" si="166"/>
        <v>8448</v>
      </c>
      <c r="Z287" s="454">
        <f t="shared" si="167"/>
        <v>305</v>
      </c>
      <c r="AA287" s="454">
        <f t="shared" si="168"/>
        <v>14.884</v>
      </c>
      <c r="AB287" s="454">
        <f t="shared" si="169"/>
        <v>0.26230488000000002</v>
      </c>
      <c r="AC287" s="454">
        <f t="shared" si="170"/>
        <v>320</v>
      </c>
      <c r="AD287" s="231">
        <f t="shared" si="171"/>
        <v>2576640</v>
      </c>
      <c r="AE287" s="231">
        <f t="shared" si="172"/>
        <v>2703360</v>
      </c>
      <c r="AF287" s="427">
        <f t="shared" si="173"/>
        <v>12</v>
      </c>
      <c r="AG287" s="427">
        <f t="shared" si="174"/>
        <v>2</v>
      </c>
      <c r="AH287" s="428">
        <f t="array" ref="AH287">MAX((IF(MNU_CODIGO_ALIMENTO_ENTREGA=CONCATENATE($E287,"_","S_"),MNU_GRAMAJE_REQUERIDO_TIPOC,"")))</f>
        <v>100</v>
      </c>
      <c r="AI287" s="229">
        <f t="shared" si="175"/>
        <v>1101</v>
      </c>
      <c r="AJ287" s="229">
        <f t="shared" si="176"/>
        <v>0</v>
      </c>
      <c r="AK287" s="229">
        <f t="shared" si="177"/>
        <v>13212</v>
      </c>
      <c r="AL287" s="454">
        <f t="shared" si="178"/>
        <v>305</v>
      </c>
      <c r="AM287" s="454">
        <f t="shared" si="179"/>
        <v>14.884</v>
      </c>
      <c r="AN287" s="454">
        <f t="shared" si="180"/>
        <v>0.26230488000000002</v>
      </c>
      <c r="AO287" s="454">
        <f t="shared" si="181"/>
        <v>320</v>
      </c>
      <c r="AP287" s="454">
        <f t="shared" si="182"/>
        <v>4029660</v>
      </c>
      <c r="AQ287" s="230">
        <f t="shared" si="183"/>
        <v>4227840</v>
      </c>
      <c r="AR287" s="397">
        <f t="shared" si="184"/>
        <v>13155870</v>
      </c>
      <c r="AS287" s="397">
        <f t="shared" si="185"/>
        <v>13802880</v>
      </c>
    </row>
    <row r="288" spans="1:45" ht="15.75">
      <c r="A288" s="228">
        <v>21</v>
      </c>
      <c r="B288" s="228" t="str">
        <f t="shared" si="149"/>
        <v>FRUTA_21</v>
      </c>
      <c r="C288" s="338" t="str">
        <f t="shared" si="150"/>
        <v>70_21</v>
      </c>
      <c r="D288" s="398" t="s">
        <v>1</v>
      </c>
      <c r="E288" s="228">
        <v>70</v>
      </c>
      <c r="F288" s="332" t="s">
        <v>71</v>
      </c>
      <c r="G288" s="228" t="s">
        <v>9</v>
      </c>
      <c r="H288" s="427">
        <f t="shared" si="151"/>
        <v>0</v>
      </c>
      <c r="I288" s="427">
        <f t="shared" si="152"/>
        <v>0</v>
      </c>
      <c r="J288" s="428">
        <f t="array" ref="J288">MAX((IF(MNU_CODIGO_ALIMENTO_ENTREGA=CONCATENATE($E288,"_","S_"),MNU_GRAMAJE_REQUERIDO_TIPOA,"")))</f>
        <v>0</v>
      </c>
      <c r="K288" s="229">
        <f t="shared" si="153"/>
        <v>1193</v>
      </c>
      <c r="L288" s="229">
        <f t="shared" si="154"/>
        <v>0</v>
      </c>
      <c r="M288" s="229">
        <f t="shared" si="155"/>
        <v>0</v>
      </c>
      <c r="N288" s="454">
        <f t="shared" si="156"/>
        <v>0</v>
      </c>
      <c r="O288" s="454">
        <f t="shared" si="157"/>
        <v>0</v>
      </c>
      <c r="P288" s="454">
        <f t="shared" si="158"/>
        <v>0</v>
      </c>
      <c r="Q288" s="454">
        <f t="shared" si="159"/>
        <v>0</v>
      </c>
      <c r="R288" s="230">
        <f t="shared" si="160"/>
        <v>0</v>
      </c>
      <c r="S288" s="230">
        <f t="shared" si="161"/>
        <v>0</v>
      </c>
      <c r="T288" s="429">
        <f t="shared" si="162"/>
        <v>8</v>
      </c>
      <c r="U288" s="429">
        <f t="shared" si="163"/>
        <v>4</v>
      </c>
      <c r="V288" s="430">
        <f t="array" ref="V288">MAX((IF(MNU_CODIGO_ALIMENTO_ENTREGA=CONCATENATE($E288,"_","S_"),MNU_GRAMAJE_REQUERIDO_TIPOB,"")))</f>
        <v>100</v>
      </c>
      <c r="W288" s="397">
        <f t="shared" si="164"/>
        <v>704</v>
      </c>
      <c r="X288" s="397">
        <f t="shared" si="165"/>
        <v>0</v>
      </c>
      <c r="Y288" s="397">
        <f t="shared" si="166"/>
        <v>5632</v>
      </c>
      <c r="Z288" s="454">
        <f t="shared" si="167"/>
        <v>434</v>
      </c>
      <c r="AA288" s="454">
        <f t="shared" si="168"/>
        <v>21.179200000000002</v>
      </c>
      <c r="AB288" s="454">
        <f t="shared" si="169"/>
        <v>0.37324694399999997</v>
      </c>
      <c r="AC288" s="454">
        <f t="shared" si="170"/>
        <v>456</v>
      </c>
      <c r="AD288" s="231">
        <f t="shared" si="171"/>
        <v>2444288</v>
      </c>
      <c r="AE288" s="231">
        <f t="shared" si="172"/>
        <v>2568192</v>
      </c>
      <c r="AF288" s="427">
        <f t="shared" si="173"/>
        <v>8</v>
      </c>
      <c r="AG288" s="427">
        <f t="shared" si="174"/>
        <v>4</v>
      </c>
      <c r="AH288" s="428">
        <f t="array" ref="AH288">MAX((IF(MNU_CODIGO_ALIMENTO_ENTREGA=CONCATENATE($E288,"_","S_"),MNU_GRAMAJE_REQUERIDO_TIPOC,"")))</f>
        <v>100</v>
      </c>
      <c r="AI288" s="229">
        <f t="shared" si="175"/>
        <v>1101</v>
      </c>
      <c r="AJ288" s="229">
        <f t="shared" si="176"/>
        <v>0</v>
      </c>
      <c r="AK288" s="229">
        <f t="shared" si="177"/>
        <v>8808</v>
      </c>
      <c r="AL288" s="454">
        <f t="shared" si="178"/>
        <v>434</v>
      </c>
      <c r="AM288" s="454">
        <f t="shared" si="179"/>
        <v>21.179200000000002</v>
      </c>
      <c r="AN288" s="454">
        <f t="shared" si="180"/>
        <v>0.37324694399999997</v>
      </c>
      <c r="AO288" s="454">
        <f t="shared" si="181"/>
        <v>456</v>
      </c>
      <c r="AP288" s="454">
        <f t="shared" si="182"/>
        <v>3822672</v>
      </c>
      <c r="AQ288" s="230">
        <f t="shared" si="183"/>
        <v>4016448</v>
      </c>
      <c r="AR288" s="397">
        <f t="shared" si="184"/>
        <v>6266960</v>
      </c>
      <c r="AS288" s="397">
        <f t="shared" si="185"/>
        <v>6584640</v>
      </c>
    </row>
    <row r="289" spans="1:45" ht="15.75">
      <c r="A289" s="228">
        <v>22</v>
      </c>
      <c r="B289" s="228" t="str">
        <f t="shared" si="149"/>
        <v>FRUTA_22</v>
      </c>
      <c r="C289" s="338" t="str">
        <f t="shared" si="150"/>
        <v>7_22</v>
      </c>
      <c r="D289" s="398" t="s">
        <v>1</v>
      </c>
      <c r="E289" s="228">
        <v>7</v>
      </c>
      <c r="F289" s="332" t="s">
        <v>57</v>
      </c>
      <c r="G289" s="228" t="s">
        <v>9</v>
      </c>
      <c r="H289" s="427">
        <f t="shared" si="151"/>
        <v>31</v>
      </c>
      <c r="I289" s="427">
        <f t="shared" si="152"/>
        <v>0</v>
      </c>
      <c r="J289" s="428">
        <f t="array" ref="J289">MAX((IF(MNU_CODIGO_ALIMENTO_ENTREGA=CONCATENATE($E289,"_","S_"),MNU_GRAMAJE_REQUERIDO_TIPOA,"")))</f>
        <v>100</v>
      </c>
      <c r="K289" s="229">
        <f t="shared" si="153"/>
        <v>1112</v>
      </c>
      <c r="L289" s="229">
        <f t="shared" si="154"/>
        <v>0</v>
      </c>
      <c r="M289" s="229">
        <f t="shared" si="155"/>
        <v>34472</v>
      </c>
      <c r="N289" s="454">
        <f t="shared" si="156"/>
        <v>107</v>
      </c>
      <c r="O289" s="454">
        <f t="shared" si="157"/>
        <v>5.2216000000000005</v>
      </c>
      <c r="P289" s="454">
        <f t="shared" si="158"/>
        <v>9.2021712000000006E-2</v>
      </c>
      <c r="Q289" s="454">
        <f t="shared" si="159"/>
        <v>112</v>
      </c>
      <c r="R289" s="230">
        <f t="shared" si="160"/>
        <v>3688504</v>
      </c>
      <c r="S289" s="230">
        <f t="shared" si="161"/>
        <v>3860864</v>
      </c>
      <c r="T289" s="429">
        <f t="shared" si="162"/>
        <v>11</v>
      </c>
      <c r="U289" s="429">
        <f t="shared" si="163"/>
        <v>0</v>
      </c>
      <c r="V289" s="430">
        <f t="array" ref="V289">MAX((IF(MNU_CODIGO_ALIMENTO_ENTREGA=CONCATENATE($E289,"_","S_"),MNU_GRAMAJE_REQUERIDO_TIPOB,"")))</f>
        <v>100</v>
      </c>
      <c r="W289" s="397">
        <f t="shared" si="164"/>
        <v>1205</v>
      </c>
      <c r="X289" s="397">
        <f t="shared" si="165"/>
        <v>0</v>
      </c>
      <c r="Y289" s="397">
        <f t="shared" si="166"/>
        <v>13255</v>
      </c>
      <c r="Z289" s="454">
        <f t="shared" si="167"/>
        <v>107</v>
      </c>
      <c r="AA289" s="454">
        <f t="shared" si="168"/>
        <v>5.2216000000000005</v>
      </c>
      <c r="AB289" s="454">
        <f t="shared" si="169"/>
        <v>9.2021712000000006E-2</v>
      </c>
      <c r="AC289" s="454">
        <f t="shared" si="170"/>
        <v>112</v>
      </c>
      <c r="AD289" s="231">
        <f t="shared" si="171"/>
        <v>1418285</v>
      </c>
      <c r="AE289" s="231">
        <f t="shared" si="172"/>
        <v>1484560</v>
      </c>
      <c r="AF289" s="427">
        <f t="shared" si="173"/>
        <v>11</v>
      </c>
      <c r="AG289" s="427">
        <f t="shared" si="174"/>
        <v>0</v>
      </c>
      <c r="AH289" s="428">
        <f t="array" ref="AH289">MAX((IF(MNU_CODIGO_ALIMENTO_ENTREGA=CONCATENATE($E289,"_","S_"),MNU_GRAMAJE_REQUERIDO_TIPOC,"")))</f>
        <v>100</v>
      </c>
      <c r="AI289" s="229">
        <f t="shared" si="175"/>
        <v>1724</v>
      </c>
      <c r="AJ289" s="229">
        <f t="shared" si="176"/>
        <v>0</v>
      </c>
      <c r="AK289" s="229">
        <f t="shared" si="177"/>
        <v>18964</v>
      </c>
      <c r="AL289" s="454">
        <f t="shared" si="178"/>
        <v>107</v>
      </c>
      <c r="AM289" s="454">
        <f t="shared" si="179"/>
        <v>5.2216000000000005</v>
      </c>
      <c r="AN289" s="454">
        <f t="shared" si="180"/>
        <v>9.2021712000000006E-2</v>
      </c>
      <c r="AO289" s="454">
        <f t="shared" si="181"/>
        <v>112</v>
      </c>
      <c r="AP289" s="454">
        <f t="shared" si="182"/>
        <v>2029148</v>
      </c>
      <c r="AQ289" s="230">
        <f t="shared" si="183"/>
        <v>2123968</v>
      </c>
      <c r="AR289" s="397">
        <f t="shared" si="184"/>
        <v>7135937</v>
      </c>
      <c r="AS289" s="397">
        <f t="shared" si="185"/>
        <v>7469392</v>
      </c>
    </row>
    <row r="290" spans="1:45" ht="15.75">
      <c r="A290" s="228">
        <v>22</v>
      </c>
      <c r="B290" s="228" t="str">
        <f t="shared" si="149"/>
        <v>FRUTA_22</v>
      </c>
      <c r="C290" s="338" t="str">
        <f t="shared" si="150"/>
        <v>8_22</v>
      </c>
      <c r="D290" s="398" t="s">
        <v>1</v>
      </c>
      <c r="E290" s="228">
        <v>8</v>
      </c>
      <c r="F290" s="332" t="s">
        <v>55</v>
      </c>
      <c r="G290" s="228" t="s">
        <v>9</v>
      </c>
      <c r="H290" s="427">
        <f t="shared" si="151"/>
        <v>11</v>
      </c>
      <c r="I290" s="427">
        <f t="shared" si="152"/>
        <v>0</v>
      </c>
      <c r="J290" s="428">
        <f t="array" ref="J290">MAX((IF(MNU_CODIGO_ALIMENTO_ENTREGA=CONCATENATE($E290,"_","S_"),MNU_GRAMAJE_REQUERIDO_TIPOA,"")))</f>
        <v>100</v>
      </c>
      <c r="K290" s="229">
        <f t="shared" si="153"/>
        <v>1112</v>
      </c>
      <c r="L290" s="229">
        <f t="shared" si="154"/>
        <v>0</v>
      </c>
      <c r="M290" s="229">
        <f t="shared" si="155"/>
        <v>12232</v>
      </c>
      <c r="N290" s="454">
        <f t="shared" si="156"/>
        <v>134</v>
      </c>
      <c r="O290" s="454">
        <f t="shared" si="157"/>
        <v>6.539200000000001</v>
      </c>
      <c r="P290" s="454">
        <f t="shared" si="158"/>
        <v>0.115242144</v>
      </c>
      <c r="Q290" s="454">
        <f t="shared" si="159"/>
        <v>141</v>
      </c>
      <c r="R290" s="230">
        <f t="shared" si="160"/>
        <v>1639088</v>
      </c>
      <c r="S290" s="230">
        <f t="shared" si="161"/>
        <v>1724712</v>
      </c>
      <c r="T290" s="429">
        <f t="shared" si="162"/>
        <v>11</v>
      </c>
      <c r="U290" s="429">
        <f t="shared" si="163"/>
        <v>0</v>
      </c>
      <c r="V290" s="430">
        <f t="array" ref="V290">MAX((IF(MNU_CODIGO_ALIMENTO_ENTREGA=CONCATENATE($E290,"_","S_"),MNU_GRAMAJE_REQUERIDO_TIPOB,"")))</f>
        <v>100</v>
      </c>
      <c r="W290" s="397">
        <f t="shared" si="164"/>
        <v>1205</v>
      </c>
      <c r="X290" s="397">
        <f t="shared" si="165"/>
        <v>0</v>
      </c>
      <c r="Y290" s="397">
        <f t="shared" si="166"/>
        <v>13255</v>
      </c>
      <c r="Z290" s="454">
        <f t="shared" si="167"/>
        <v>134</v>
      </c>
      <c r="AA290" s="454">
        <f t="shared" si="168"/>
        <v>6.539200000000001</v>
      </c>
      <c r="AB290" s="454">
        <f t="shared" si="169"/>
        <v>0.115242144</v>
      </c>
      <c r="AC290" s="454">
        <f t="shared" si="170"/>
        <v>141</v>
      </c>
      <c r="AD290" s="231">
        <f t="shared" si="171"/>
        <v>1776170</v>
      </c>
      <c r="AE290" s="231">
        <f t="shared" si="172"/>
        <v>1868955</v>
      </c>
      <c r="AF290" s="427">
        <f t="shared" si="173"/>
        <v>11</v>
      </c>
      <c r="AG290" s="427">
        <f t="shared" si="174"/>
        <v>0</v>
      </c>
      <c r="AH290" s="428">
        <f t="array" ref="AH290">MAX((IF(MNU_CODIGO_ALIMENTO_ENTREGA=CONCATENATE($E290,"_","S_"),MNU_GRAMAJE_REQUERIDO_TIPOC,"")))</f>
        <v>100</v>
      </c>
      <c r="AI290" s="229">
        <f t="shared" si="175"/>
        <v>1724</v>
      </c>
      <c r="AJ290" s="229">
        <f t="shared" si="176"/>
        <v>0</v>
      </c>
      <c r="AK290" s="229">
        <f t="shared" si="177"/>
        <v>18964</v>
      </c>
      <c r="AL290" s="454">
        <f t="shared" si="178"/>
        <v>134</v>
      </c>
      <c r="AM290" s="454">
        <f t="shared" si="179"/>
        <v>6.539200000000001</v>
      </c>
      <c r="AN290" s="454">
        <f t="shared" si="180"/>
        <v>0.115242144</v>
      </c>
      <c r="AO290" s="454">
        <f t="shared" si="181"/>
        <v>141</v>
      </c>
      <c r="AP290" s="454">
        <f t="shared" si="182"/>
        <v>2541176</v>
      </c>
      <c r="AQ290" s="230">
        <f t="shared" si="183"/>
        <v>2673924</v>
      </c>
      <c r="AR290" s="397">
        <f t="shared" si="184"/>
        <v>5956434</v>
      </c>
      <c r="AS290" s="397">
        <f t="shared" si="185"/>
        <v>6267591</v>
      </c>
    </row>
    <row r="291" spans="1:45" ht="15.75">
      <c r="A291" s="228">
        <v>22</v>
      </c>
      <c r="B291" s="228" t="str">
        <f t="shared" si="149"/>
        <v>FRUTA_22</v>
      </c>
      <c r="C291" s="338" t="str">
        <f t="shared" si="150"/>
        <v>17_22</v>
      </c>
      <c r="D291" s="398" t="s">
        <v>1</v>
      </c>
      <c r="E291" s="228">
        <v>17</v>
      </c>
      <c r="F291" s="332" t="s">
        <v>53</v>
      </c>
      <c r="G291" s="228" t="s">
        <v>9</v>
      </c>
      <c r="H291" s="427">
        <f t="shared" si="151"/>
        <v>0</v>
      </c>
      <c r="I291" s="427">
        <f t="shared" si="152"/>
        <v>0</v>
      </c>
      <c r="J291" s="428">
        <f t="array" ref="J291">MAX((IF(MNU_CODIGO_ALIMENTO_ENTREGA=CONCATENATE($E291,"_","S_"),MNU_GRAMAJE_REQUERIDO_TIPOA,"")))</f>
        <v>0</v>
      </c>
      <c r="K291" s="229">
        <f t="shared" si="153"/>
        <v>1112</v>
      </c>
      <c r="L291" s="229">
        <f t="shared" si="154"/>
        <v>0</v>
      </c>
      <c r="M291" s="229">
        <f t="shared" si="155"/>
        <v>0</v>
      </c>
      <c r="N291" s="454">
        <f t="shared" si="156"/>
        <v>0</v>
      </c>
      <c r="O291" s="454">
        <f t="shared" si="157"/>
        <v>0</v>
      </c>
      <c r="P291" s="454">
        <f t="shared" si="158"/>
        <v>0</v>
      </c>
      <c r="Q291" s="454">
        <f t="shared" si="159"/>
        <v>0</v>
      </c>
      <c r="R291" s="230">
        <f t="shared" si="160"/>
        <v>0</v>
      </c>
      <c r="S291" s="230">
        <f t="shared" si="161"/>
        <v>0</v>
      </c>
      <c r="T291" s="429">
        <f t="shared" si="162"/>
        <v>23</v>
      </c>
      <c r="U291" s="429">
        <f t="shared" si="163"/>
        <v>4</v>
      </c>
      <c r="V291" s="430">
        <f t="array" ref="V291">MAX((IF(MNU_CODIGO_ALIMENTO_ENTREGA=CONCATENATE($E291,"_","S_"),MNU_GRAMAJE_REQUERIDO_TIPOB,"")))</f>
        <v>100</v>
      </c>
      <c r="W291" s="397">
        <f t="shared" si="164"/>
        <v>1205</v>
      </c>
      <c r="X291" s="397">
        <f t="shared" si="165"/>
        <v>0</v>
      </c>
      <c r="Y291" s="397">
        <f t="shared" si="166"/>
        <v>27715</v>
      </c>
      <c r="Z291" s="454">
        <f t="shared" si="167"/>
        <v>226</v>
      </c>
      <c r="AA291" s="454">
        <f t="shared" si="168"/>
        <v>11.0288</v>
      </c>
      <c r="AB291" s="454">
        <f t="shared" si="169"/>
        <v>0.19436361600000002</v>
      </c>
      <c r="AC291" s="454">
        <f t="shared" si="170"/>
        <v>237</v>
      </c>
      <c r="AD291" s="231">
        <f t="shared" si="171"/>
        <v>6263590</v>
      </c>
      <c r="AE291" s="231">
        <f t="shared" si="172"/>
        <v>6568455</v>
      </c>
      <c r="AF291" s="427">
        <f t="shared" si="173"/>
        <v>23</v>
      </c>
      <c r="AG291" s="427">
        <f t="shared" si="174"/>
        <v>4</v>
      </c>
      <c r="AH291" s="428">
        <f t="array" ref="AH291">MAX((IF(MNU_CODIGO_ALIMENTO_ENTREGA=CONCATENATE($E291,"_","S_"),MNU_GRAMAJE_REQUERIDO_TIPOC,"")))</f>
        <v>100</v>
      </c>
      <c r="AI291" s="229">
        <f t="shared" si="175"/>
        <v>1724</v>
      </c>
      <c r="AJ291" s="229">
        <f t="shared" si="176"/>
        <v>0</v>
      </c>
      <c r="AK291" s="229">
        <f t="shared" si="177"/>
        <v>39652</v>
      </c>
      <c r="AL291" s="454">
        <f t="shared" si="178"/>
        <v>226</v>
      </c>
      <c r="AM291" s="454">
        <f t="shared" si="179"/>
        <v>11.0288</v>
      </c>
      <c r="AN291" s="454">
        <f t="shared" si="180"/>
        <v>0.19436361600000002</v>
      </c>
      <c r="AO291" s="454">
        <f t="shared" si="181"/>
        <v>237</v>
      </c>
      <c r="AP291" s="454">
        <f t="shared" si="182"/>
        <v>8961352</v>
      </c>
      <c r="AQ291" s="230">
        <f t="shared" si="183"/>
        <v>9397524</v>
      </c>
      <c r="AR291" s="397">
        <f t="shared" si="184"/>
        <v>15224942</v>
      </c>
      <c r="AS291" s="397">
        <f t="shared" si="185"/>
        <v>15965979</v>
      </c>
    </row>
    <row r="292" spans="1:45" ht="15.75">
      <c r="A292" s="228">
        <v>22</v>
      </c>
      <c r="B292" s="228" t="str">
        <f t="shared" si="149"/>
        <v>FRUTA_22</v>
      </c>
      <c r="C292" s="338" t="str">
        <f t="shared" si="150"/>
        <v>22_22</v>
      </c>
      <c r="D292" s="398" t="s">
        <v>1</v>
      </c>
      <c r="E292" s="228">
        <v>22</v>
      </c>
      <c r="F292" s="332" t="s">
        <v>51</v>
      </c>
      <c r="G292" s="228" t="s">
        <v>9</v>
      </c>
      <c r="H292" s="427">
        <f t="shared" si="151"/>
        <v>0</v>
      </c>
      <c r="I292" s="427">
        <f t="shared" si="152"/>
        <v>0</v>
      </c>
      <c r="J292" s="428">
        <f t="array" ref="J292">MAX((IF(MNU_CODIGO_ALIMENTO_ENTREGA=CONCATENATE($E292,"_","S_"),MNU_GRAMAJE_REQUERIDO_TIPOA,"")))</f>
        <v>0</v>
      </c>
      <c r="K292" s="229">
        <f t="shared" si="153"/>
        <v>1112</v>
      </c>
      <c r="L292" s="229">
        <f t="shared" si="154"/>
        <v>0</v>
      </c>
      <c r="M292" s="229">
        <f t="shared" si="155"/>
        <v>0</v>
      </c>
      <c r="N292" s="454">
        <f t="shared" si="156"/>
        <v>0</v>
      </c>
      <c r="O292" s="454">
        <f t="shared" si="157"/>
        <v>0</v>
      </c>
      <c r="P292" s="454">
        <f t="shared" si="158"/>
        <v>0</v>
      </c>
      <c r="Q292" s="454">
        <f t="shared" si="159"/>
        <v>0</v>
      </c>
      <c r="R292" s="230">
        <f t="shared" si="160"/>
        <v>0</v>
      </c>
      <c r="S292" s="230">
        <f t="shared" si="161"/>
        <v>0</v>
      </c>
      <c r="T292" s="429">
        <f t="shared" si="162"/>
        <v>23</v>
      </c>
      <c r="U292" s="429">
        <f t="shared" si="163"/>
        <v>4</v>
      </c>
      <c r="V292" s="430">
        <f t="array" ref="V292">MAX((IF(MNU_CODIGO_ALIMENTO_ENTREGA=CONCATENATE($E292,"_","S_"),MNU_GRAMAJE_REQUERIDO_TIPOB,"")))</f>
        <v>100</v>
      </c>
      <c r="W292" s="397">
        <f t="shared" si="164"/>
        <v>1205</v>
      </c>
      <c r="X292" s="397">
        <f t="shared" si="165"/>
        <v>0</v>
      </c>
      <c r="Y292" s="397">
        <f t="shared" si="166"/>
        <v>27715</v>
      </c>
      <c r="Z292" s="454">
        <f t="shared" si="167"/>
        <v>525</v>
      </c>
      <c r="AA292" s="454">
        <f t="shared" si="168"/>
        <v>25.62</v>
      </c>
      <c r="AB292" s="454">
        <f t="shared" si="169"/>
        <v>0.45150840000000003</v>
      </c>
      <c r="AC292" s="454">
        <f t="shared" si="170"/>
        <v>551</v>
      </c>
      <c r="AD292" s="231">
        <f t="shared" si="171"/>
        <v>14550375</v>
      </c>
      <c r="AE292" s="231">
        <f t="shared" si="172"/>
        <v>15270965</v>
      </c>
      <c r="AF292" s="427">
        <f t="shared" si="173"/>
        <v>23</v>
      </c>
      <c r="AG292" s="427">
        <f t="shared" si="174"/>
        <v>4</v>
      </c>
      <c r="AH292" s="428">
        <f t="array" ref="AH292">MAX((IF(MNU_CODIGO_ALIMENTO_ENTREGA=CONCATENATE($E292,"_","S_"),MNU_GRAMAJE_REQUERIDO_TIPOC,"")))</f>
        <v>100</v>
      </c>
      <c r="AI292" s="229">
        <f t="shared" si="175"/>
        <v>1724</v>
      </c>
      <c r="AJ292" s="229">
        <f t="shared" si="176"/>
        <v>0</v>
      </c>
      <c r="AK292" s="229">
        <f t="shared" si="177"/>
        <v>39652</v>
      </c>
      <c r="AL292" s="454">
        <f t="shared" si="178"/>
        <v>525</v>
      </c>
      <c r="AM292" s="454">
        <f t="shared" si="179"/>
        <v>25.62</v>
      </c>
      <c r="AN292" s="454">
        <f t="shared" si="180"/>
        <v>0.45150840000000003</v>
      </c>
      <c r="AO292" s="454">
        <f t="shared" si="181"/>
        <v>551</v>
      </c>
      <c r="AP292" s="454">
        <f t="shared" si="182"/>
        <v>20817300</v>
      </c>
      <c r="AQ292" s="230">
        <f t="shared" si="183"/>
        <v>21848252</v>
      </c>
      <c r="AR292" s="397">
        <f t="shared" si="184"/>
        <v>35367675</v>
      </c>
      <c r="AS292" s="397">
        <f t="shared" si="185"/>
        <v>37119217</v>
      </c>
    </row>
    <row r="293" spans="1:45" ht="15.75">
      <c r="A293" s="228">
        <v>22</v>
      </c>
      <c r="B293" s="228" t="str">
        <f t="shared" si="149"/>
        <v>FRUTA_22</v>
      </c>
      <c r="C293" s="338" t="str">
        <f t="shared" si="150"/>
        <v>33_22</v>
      </c>
      <c r="D293" s="398" t="s">
        <v>1</v>
      </c>
      <c r="E293" s="228">
        <v>33</v>
      </c>
      <c r="F293" s="332" t="s">
        <v>59</v>
      </c>
      <c r="G293" s="228" t="s">
        <v>48</v>
      </c>
      <c r="H293" s="427">
        <f t="shared" si="151"/>
        <v>29</v>
      </c>
      <c r="I293" s="427">
        <f t="shared" si="152"/>
        <v>5</v>
      </c>
      <c r="J293" s="428">
        <v>1</v>
      </c>
      <c r="K293" s="229">
        <f t="shared" si="153"/>
        <v>1112</v>
      </c>
      <c r="L293" s="229">
        <f t="shared" si="154"/>
        <v>0</v>
      </c>
      <c r="M293" s="229">
        <f t="shared" si="155"/>
        <v>32248</v>
      </c>
      <c r="N293" s="454">
        <f t="shared" si="156"/>
        <v>270</v>
      </c>
      <c r="O293" s="454">
        <f t="shared" si="157"/>
        <v>13.176000000000002</v>
      </c>
      <c r="P293" s="454">
        <f t="shared" si="158"/>
        <v>0.23220432000000002</v>
      </c>
      <c r="Q293" s="454">
        <f t="shared" si="159"/>
        <v>283</v>
      </c>
      <c r="R293" s="230">
        <f t="shared" si="160"/>
        <v>8706960</v>
      </c>
      <c r="S293" s="230">
        <f t="shared" si="161"/>
        <v>9126184</v>
      </c>
      <c r="T293" s="429">
        <f t="shared" si="162"/>
        <v>23</v>
      </c>
      <c r="U293" s="429">
        <f t="shared" si="163"/>
        <v>2</v>
      </c>
      <c r="V293" s="430">
        <v>1</v>
      </c>
      <c r="W293" s="397">
        <f t="shared" si="164"/>
        <v>1205</v>
      </c>
      <c r="X293" s="397">
        <f t="shared" si="165"/>
        <v>0</v>
      </c>
      <c r="Y293" s="397">
        <f t="shared" si="166"/>
        <v>27715</v>
      </c>
      <c r="Z293" s="454">
        <f t="shared" si="167"/>
        <v>270</v>
      </c>
      <c r="AA293" s="454">
        <f t="shared" si="168"/>
        <v>13.176000000000002</v>
      </c>
      <c r="AB293" s="454">
        <f t="shared" si="169"/>
        <v>0.23220432000000002</v>
      </c>
      <c r="AC293" s="454">
        <f t="shared" si="170"/>
        <v>283</v>
      </c>
      <c r="AD293" s="231">
        <f t="shared" si="171"/>
        <v>7483050</v>
      </c>
      <c r="AE293" s="231">
        <f t="shared" si="172"/>
        <v>7843345</v>
      </c>
      <c r="AF293" s="427">
        <f t="shared" si="173"/>
        <v>23</v>
      </c>
      <c r="AG293" s="427">
        <f t="shared" si="174"/>
        <v>2</v>
      </c>
      <c r="AH293" s="428">
        <v>1</v>
      </c>
      <c r="AI293" s="229">
        <f t="shared" si="175"/>
        <v>1724</v>
      </c>
      <c r="AJ293" s="229">
        <f t="shared" si="176"/>
        <v>0</v>
      </c>
      <c r="AK293" s="229">
        <f t="shared" si="177"/>
        <v>39652</v>
      </c>
      <c r="AL293" s="454">
        <f t="shared" si="178"/>
        <v>270</v>
      </c>
      <c r="AM293" s="454">
        <f t="shared" si="179"/>
        <v>13.176000000000002</v>
      </c>
      <c r="AN293" s="454">
        <f t="shared" si="180"/>
        <v>0.23220432000000002</v>
      </c>
      <c r="AO293" s="454">
        <f t="shared" si="181"/>
        <v>283</v>
      </c>
      <c r="AP293" s="454">
        <f t="shared" si="182"/>
        <v>10706040</v>
      </c>
      <c r="AQ293" s="230">
        <f t="shared" si="183"/>
        <v>11221516</v>
      </c>
      <c r="AR293" s="397">
        <f t="shared" si="184"/>
        <v>26896050</v>
      </c>
      <c r="AS293" s="397">
        <f t="shared" si="185"/>
        <v>28191045</v>
      </c>
    </row>
    <row r="294" spans="1:45" ht="15.75">
      <c r="A294" s="228">
        <v>22</v>
      </c>
      <c r="B294" s="228" t="str">
        <f t="shared" si="149"/>
        <v>FRUTA_22</v>
      </c>
      <c r="C294" s="338" t="str">
        <f t="shared" si="150"/>
        <v>36_22</v>
      </c>
      <c r="D294" s="398" t="s">
        <v>1</v>
      </c>
      <c r="E294" s="228">
        <v>36</v>
      </c>
      <c r="F294" s="332" t="s">
        <v>1340</v>
      </c>
      <c r="G294" s="228" t="s">
        <v>9</v>
      </c>
      <c r="H294" s="427">
        <f t="shared" si="151"/>
        <v>8</v>
      </c>
      <c r="I294" s="427">
        <f t="shared" si="152"/>
        <v>0</v>
      </c>
      <c r="J294" s="428">
        <f t="array" ref="J294">MAX((IF(MNU_CODIGO_ALIMENTO_ENTREGA=CONCATENATE($E294,"_","S_"),MNU_GRAMAJE_REQUERIDO_TIPOA,"")))</f>
        <v>20</v>
      </c>
      <c r="K294" s="229">
        <f t="shared" si="153"/>
        <v>1112</v>
      </c>
      <c r="L294" s="229">
        <f t="shared" si="154"/>
        <v>0</v>
      </c>
      <c r="M294" s="229">
        <f t="shared" si="155"/>
        <v>8896</v>
      </c>
      <c r="N294" s="454">
        <f t="shared" si="156"/>
        <v>126</v>
      </c>
      <c r="O294" s="454">
        <f t="shared" si="157"/>
        <v>6.1488000000000005</v>
      </c>
      <c r="P294" s="454">
        <f t="shared" si="158"/>
        <v>0.10836201599999999</v>
      </c>
      <c r="Q294" s="454">
        <f t="shared" si="159"/>
        <v>132</v>
      </c>
      <c r="R294" s="230">
        <f t="shared" si="160"/>
        <v>1120896</v>
      </c>
      <c r="S294" s="230">
        <f t="shared" si="161"/>
        <v>1174272</v>
      </c>
      <c r="T294" s="429">
        <f t="shared" si="162"/>
        <v>8</v>
      </c>
      <c r="U294" s="429">
        <f t="shared" si="163"/>
        <v>0</v>
      </c>
      <c r="V294" s="430">
        <f t="array" ref="V294">MAX((IF(MNU_CODIGO_ALIMENTO_ENTREGA=CONCATENATE($E294,"_","S_"),MNU_GRAMAJE_REQUERIDO_TIPOB,"")))</f>
        <v>40</v>
      </c>
      <c r="W294" s="397">
        <f t="shared" si="164"/>
        <v>1205</v>
      </c>
      <c r="X294" s="397">
        <f t="shared" si="165"/>
        <v>0</v>
      </c>
      <c r="Y294" s="397">
        <f t="shared" si="166"/>
        <v>9640</v>
      </c>
      <c r="Z294" s="454">
        <f t="shared" si="167"/>
        <v>252</v>
      </c>
      <c r="AA294" s="454">
        <f t="shared" si="168"/>
        <v>12.297600000000001</v>
      </c>
      <c r="AB294" s="454">
        <f t="shared" si="169"/>
        <v>0.21672403199999998</v>
      </c>
      <c r="AC294" s="454">
        <f t="shared" si="170"/>
        <v>265</v>
      </c>
      <c r="AD294" s="231">
        <f t="shared" si="171"/>
        <v>2429280</v>
      </c>
      <c r="AE294" s="231">
        <f t="shared" si="172"/>
        <v>2554600</v>
      </c>
      <c r="AF294" s="427">
        <f t="shared" si="173"/>
        <v>8</v>
      </c>
      <c r="AG294" s="427">
        <f t="shared" si="174"/>
        <v>0</v>
      </c>
      <c r="AH294" s="428">
        <f t="array" ref="AH294">MAX((IF(MNU_CODIGO_ALIMENTO_ENTREGA=CONCATENATE($E294,"_","S_"),MNU_GRAMAJE_REQUERIDO_TIPOC,"")))</f>
        <v>40</v>
      </c>
      <c r="AI294" s="229">
        <f t="shared" si="175"/>
        <v>1724</v>
      </c>
      <c r="AJ294" s="229">
        <f t="shared" si="176"/>
        <v>0</v>
      </c>
      <c r="AK294" s="229">
        <f t="shared" si="177"/>
        <v>13792</v>
      </c>
      <c r="AL294" s="454">
        <f t="shared" si="178"/>
        <v>252</v>
      </c>
      <c r="AM294" s="454">
        <f t="shared" si="179"/>
        <v>12.297600000000001</v>
      </c>
      <c r="AN294" s="454">
        <f t="shared" si="180"/>
        <v>0.21672403199999998</v>
      </c>
      <c r="AO294" s="454">
        <f t="shared" si="181"/>
        <v>265</v>
      </c>
      <c r="AP294" s="454">
        <f t="shared" si="182"/>
        <v>3475584</v>
      </c>
      <c r="AQ294" s="230">
        <f t="shared" si="183"/>
        <v>3654880</v>
      </c>
      <c r="AR294" s="397">
        <f t="shared" si="184"/>
        <v>7025760</v>
      </c>
      <c r="AS294" s="397">
        <f t="shared" si="185"/>
        <v>7383752</v>
      </c>
    </row>
    <row r="295" spans="1:45" ht="15.75">
      <c r="A295" s="228">
        <v>22</v>
      </c>
      <c r="B295" s="228" t="str">
        <f t="shared" si="149"/>
        <v>FRUTA_22</v>
      </c>
      <c r="C295" s="338" t="str">
        <f t="shared" si="150"/>
        <v>42_22</v>
      </c>
      <c r="D295" s="398" t="s">
        <v>1</v>
      </c>
      <c r="E295" s="228">
        <v>42</v>
      </c>
      <c r="F295" s="332" t="s">
        <v>61</v>
      </c>
      <c r="G295" s="228" t="s">
        <v>9</v>
      </c>
      <c r="H295" s="427">
        <f t="shared" si="151"/>
        <v>36</v>
      </c>
      <c r="I295" s="427">
        <f t="shared" si="152"/>
        <v>8</v>
      </c>
      <c r="J295" s="428">
        <f t="array" ref="J295">MAX((IF(MNU_CODIGO_ALIMENTO_ENTREGA=CONCATENATE($E295,"_","S_"),MNU_GRAMAJE_REQUERIDO_TIPOA,"")))</f>
        <v>100</v>
      </c>
      <c r="K295" s="229">
        <f t="shared" si="153"/>
        <v>1112</v>
      </c>
      <c r="L295" s="229">
        <f t="shared" si="154"/>
        <v>0</v>
      </c>
      <c r="M295" s="229">
        <f t="shared" si="155"/>
        <v>40032</v>
      </c>
      <c r="N295" s="454">
        <f t="shared" si="156"/>
        <v>194</v>
      </c>
      <c r="O295" s="454">
        <f t="shared" si="157"/>
        <v>9.4672000000000001</v>
      </c>
      <c r="P295" s="454">
        <f t="shared" si="158"/>
        <v>0.16684310399999999</v>
      </c>
      <c r="Q295" s="454">
        <f t="shared" si="159"/>
        <v>204</v>
      </c>
      <c r="R295" s="230">
        <f t="shared" si="160"/>
        <v>7766208</v>
      </c>
      <c r="S295" s="230">
        <f t="shared" si="161"/>
        <v>8166528</v>
      </c>
      <c r="T295" s="429">
        <f t="shared" si="162"/>
        <v>19</v>
      </c>
      <c r="U295" s="429">
        <f t="shared" si="163"/>
        <v>8</v>
      </c>
      <c r="V295" s="430">
        <f t="array" ref="V295">MAX((IF(MNU_CODIGO_ALIMENTO_ENTREGA=CONCATENATE($E295,"_","S_"),MNU_GRAMAJE_REQUERIDO_TIPOB,"")))</f>
        <v>100</v>
      </c>
      <c r="W295" s="397">
        <f t="shared" si="164"/>
        <v>1205</v>
      </c>
      <c r="X295" s="397">
        <f t="shared" si="165"/>
        <v>0</v>
      </c>
      <c r="Y295" s="397">
        <f t="shared" si="166"/>
        <v>22895</v>
      </c>
      <c r="Z295" s="454">
        <f t="shared" si="167"/>
        <v>194</v>
      </c>
      <c r="AA295" s="454">
        <f t="shared" si="168"/>
        <v>9.4672000000000001</v>
      </c>
      <c r="AB295" s="454">
        <f t="shared" si="169"/>
        <v>0.16684310399999999</v>
      </c>
      <c r="AC295" s="454">
        <f t="shared" si="170"/>
        <v>204</v>
      </c>
      <c r="AD295" s="231">
        <f t="shared" si="171"/>
        <v>4441630</v>
      </c>
      <c r="AE295" s="231">
        <f t="shared" si="172"/>
        <v>4670580</v>
      </c>
      <c r="AF295" s="427">
        <f t="shared" si="173"/>
        <v>19</v>
      </c>
      <c r="AG295" s="427">
        <f t="shared" si="174"/>
        <v>8</v>
      </c>
      <c r="AH295" s="428">
        <f t="array" ref="AH295">MAX((IF(MNU_CODIGO_ALIMENTO_ENTREGA=CONCATENATE($E295,"_","S_"),MNU_GRAMAJE_REQUERIDO_TIPOC,"")))</f>
        <v>100</v>
      </c>
      <c r="AI295" s="229">
        <f t="shared" si="175"/>
        <v>1724</v>
      </c>
      <c r="AJ295" s="229">
        <f t="shared" si="176"/>
        <v>0</v>
      </c>
      <c r="AK295" s="229">
        <f t="shared" si="177"/>
        <v>32756</v>
      </c>
      <c r="AL295" s="454">
        <f t="shared" si="178"/>
        <v>194</v>
      </c>
      <c r="AM295" s="454">
        <f t="shared" si="179"/>
        <v>9.4672000000000001</v>
      </c>
      <c r="AN295" s="454">
        <f t="shared" si="180"/>
        <v>0.16684310399999999</v>
      </c>
      <c r="AO295" s="454">
        <f t="shared" si="181"/>
        <v>204</v>
      </c>
      <c r="AP295" s="454">
        <f t="shared" si="182"/>
        <v>6354664</v>
      </c>
      <c r="AQ295" s="230">
        <f t="shared" si="183"/>
        <v>6682224</v>
      </c>
      <c r="AR295" s="397">
        <f t="shared" si="184"/>
        <v>18562502</v>
      </c>
      <c r="AS295" s="397">
        <f t="shared" si="185"/>
        <v>19519332</v>
      </c>
    </row>
    <row r="296" spans="1:45" ht="15.75">
      <c r="A296" s="228">
        <v>22</v>
      </c>
      <c r="B296" s="228" t="str">
        <f t="shared" si="149"/>
        <v>FRUTA_22</v>
      </c>
      <c r="C296" s="338" t="str">
        <f t="shared" si="150"/>
        <v>43_22</v>
      </c>
      <c r="D296" s="398" t="s">
        <v>1</v>
      </c>
      <c r="E296" s="228">
        <v>43</v>
      </c>
      <c r="F296" s="332" t="s">
        <v>62</v>
      </c>
      <c r="G296" s="228" t="s">
        <v>9</v>
      </c>
      <c r="H296" s="427">
        <f t="shared" si="151"/>
        <v>29</v>
      </c>
      <c r="I296" s="427">
        <f t="shared" si="152"/>
        <v>6</v>
      </c>
      <c r="J296" s="428">
        <f t="array" ref="J296">MAX((IF(MNU_CODIGO_ALIMENTO_ENTREGA=CONCATENATE($E296,"_","S_"),MNU_GRAMAJE_REQUERIDO_TIPOA,"")))</f>
        <v>100</v>
      </c>
      <c r="K296" s="229">
        <f t="shared" si="153"/>
        <v>1112</v>
      </c>
      <c r="L296" s="229">
        <f t="shared" si="154"/>
        <v>0</v>
      </c>
      <c r="M296" s="229">
        <f t="shared" si="155"/>
        <v>32248</v>
      </c>
      <c r="N296" s="454">
        <f t="shared" si="156"/>
        <v>170</v>
      </c>
      <c r="O296" s="454">
        <f t="shared" si="157"/>
        <v>8.2959999999999994</v>
      </c>
      <c r="P296" s="454">
        <f t="shared" si="158"/>
        <v>0.14620272000000001</v>
      </c>
      <c r="Q296" s="454">
        <f t="shared" si="159"/>
        <v>178</v>
      </c>
      <c r="R296" s="230">
        <f t="shared" si="160"/>
        <v>5482160</v>
      </c>
      <c r="S296" s="230">
        <f t="shared" si="161"/>
        <v>5740144</v>
      </c>
      <c r="T296" s="429">
        <f t="shared" si="162"/>
        <v>23</v>
      </c>
      <c r="U296" s="429">
        <f t="shared" si="163"/>
        <v>1</v>
      </c>
      <c r="V296" s="430">
        <f t="array" ref="V296">MAX((IF(MNU_CODIGO_ALIMENTO_ENTREGA=CONCATENATE($E296,"_","S_"),MNU_GRAMAJE_REQUERIDO_TIPOB,"")))</f>
        <v>100</v>
      </c>
      <c r="W296" s="397">
        <f t="shared" si="164"/>
        <v>1205</v>
      </c>
      <c r="X296" s="397">
        <f t="shared" si="165"/>
        <v>0</v>
      </c>
      <c r="Y296" s="397">
        <f t="shared" si="166"/>
        <v>27715</v>
      </c>
      <c r="Z296" s="454">
        <f t="shared" si="167"/>
        <v>170</v>
      </c>
      <c r="AA296" s="454">
        <f t="shared" si="168"/>
        <v>8.2959999999999994</v>
      </c>
      <c r="AB296" s="454">
        <f t="shared" si="169"/>
        <v>0.14620272000000001</v>
      </c>
      <c r="AC296" s="454">
        <f t="shared" si="170"/>
        <v>178</v>
      </c>
      <c r="AD296" s="231">
        <f t="shared" si="171"/>
        <v>4711550</v>
      </c>
      <c r="AE296" s="231">
        <f t="shared" si="172"/>
        <v>4933270</v>
      </c>
      <c r="AF296" s="427">
        <f t="shared" si="173"/>
        <v>23</v>
      </c>
      <c r="AG296" s="427">
        <f t="shared" si="174"/>
        <v>1</v>
      </c>
      <c r="AH296" s="428">
        <f t="array" ref="AH296">MAX((IF(MNU_CODIGO_ALIMENTO_ENTREGA=CONCATENATE($E296,"_","S_"),MNU_GRAMAJE_REQUERIDO_TIPOC,"")))</f>
        <v>100</v>
      </c>
      <c r="AI296" s="229">
        <f t="shared" si="175"/>
        <v>1724</v>
      </c>
      <c r="AJ296" s="229">
        <f t="shared" si="176"/>
        <v>0</v>
      </c>
      <c r="AK296" s="229">
        <f t="shared" si="177"/>
        <v>39652</v>
      </c>
      <c r="AL296" s="454">
        <f t="shared" si="178"/>
        <v>170</v>
      </c>
      <c r="AM296" s="454">
        <f t="shared" si="179"/>
        <v>8.2959999999999994</v>
      </c>
      <c r="AN296" s="454">
        <f t="shared" si="180"/>
        <v>0.14620272000000001</v>
      </c>
      <c r="AO296" s="454">
        <f t="shared" si="181"/>
        <v>178</v>
      </c>
      <c r="AP296" s="454">
        <f t="shared" si="182"/>
        <v>6740840</v>
      </c>
      <c r="AQ296" s="230">
        <f t="shared" si="183"/>
        <v>7058056</v>
      </c>
      <c r="AR296" s="397">
        <f t="shared" si="184"/>
        <v>16934550</v>
      </c>
      <c r="AS296" s="397">
        <f t="shared" si="185"/>
        <v>17731470</v>
      </c>
    </row>
    <row r="297" spans="1:45" ht="15.75">
      <c r="A297" s="228">
        <v>22</v>
      </c>
      <c r="B297" s="228" t="str">
        <f t="shared" si="149"/>
        <v>FRUTA_22</v>
      </c>
      <c r="C297" s="338" t="str">
        <f t="shared" si="150"/>
        <v>46_22</v>
      </c>
      <c r="D297" s="398" t="s">
        <v>1</v>
      </c>
      <c r="E297" s="228">
        <v>46</v>
      </c>
      <c r="F297" s="332" t="s">
        <v>64</v>
      </c>
      <c r="G297" s="228" t="s">
        <v>9</v>
      </c>
      <c r="H297" s="427">
        <f t="shared" si="151"/>
        <v>29</v>
      </c>
      <c r="I297" s="427">
        <f t="shared" si="152"/>
        <v>4</v>
      </c>
      <c r="J297" s="428">
        <f t="array" ref="J297">MAX((IF(MNU_CODIGO_ALIMENTO_ENTREGA=CONCATENATE($E297,"_","S_"),MNU_GRAMAJE_REQUERIDO_TIPOA,"")))</f>
        <v>100</v>
      </c>
      <c r="K297" s="229">
        <f t="shared" si="153"/>
        <v>1112</v>
      </c>
      <c r="L297" s="229">
        <f t="shared" si="154"/>
        <v>0</v>
      </c>
      <c r="M297" s="229">
        <f t="shared" si="155"/>
        <v>32248</v>
      </c>
      <c r="N297" s="454">
        <f t="shared" si="156"/>
        <v>398</v>
      </c>
      <c r="O297" s="454">
        <f t="shared" si="157"/>
        <v>19.4224</v>
      </c>
      <c r="P297" s="454">
        <f t="shared" si="158"/>
        <v>0.34228636800000001</v>
      </c>
      <c r="Q297" s="454">
        <f t="shared" si="159"/>
        <v>418</v>
      </c>
      <c r="R297" s="230">
        <f t="shared" si="160"/>
        <v>12834704</v>
      </c>
      <c r="S297" s="230">
        <f t="shared" si="161"/>
        <v>13479664</v>
      </c>
      <c r="T297" s="429">
        <f t="shared" si="162"/>
        <v>24</v>
      </c>
      <c r="U297" s="429">
        <f t="shared" si="163"/>
        <v>3</v>
      </c>
      <c r="V297" s="430">
        <f t="array" ref="V297">MAX((IF(MNU_CODIGO_ALIMENTO_ENTREGA=CONCATENATE($E297,"_","S_"),MNU_GRAMAJE_REQUERIDO_TIPOB,"")))</f>
        <v>100</v>
      </c>
      <c r="W297" s="397">
        <f t="shared" si="164"/>
        <v>1205</v>
      </c>
      <c r="X297" s="397">
        <f t="shared" si="165"/>
        <v>0</v>
      </c>
      <c r="Y297" s="397">
        <f t="shared" si="166"/>
        <v>28920</v>
      </c>
      <c r="Z297" s="454">
        <f t="shared" si="167"/>
        <v>398</v>
      </c>
      <c r="AA297" s="454">
        <f t="shared" si="168"/>
        <v>19.4224</v>
      </c>
      <c r="AB297" s="454">
        <f t="shared" si="169"/>
        <v>0.34228636800000001</v>
      </c>
      <c r="AC297" s="454">
        <f t="shared" si="170"/>
        <v>418</v>
      </c>
      <c r="AD297" s="231">
        <f t="shared" si="171"/>
        <v>11510160</v>
      </c>
      <c r="AE297" s="231">
        <f t="shared" si="172"/>
        <v>12088560</v>
      </c>
      <c r="AF297" s="427">
        <f t="shared" si="173"/>
        <v>24</v>
      </c>
      <c r="AG297" s="427">
        <f t="shared" si="174"/>
        <v>3</v>
      </c>
      <c r="AH297" s="428">
        <f t="array" ref="AH297">MAX((IF(MNU_CODIGO_ALIMENTO_ENTREGA=CONCATENATE($E297,"_","S_"),MNU_GRAMAJE_REQUERIDO_TIPOC,"")))</f>
        <v>100</v>
      </c>
      <c r="AI297" s="229">
        <f t="shared" si="175"/>
        <v>1724</v>
      </c>
      <c r="AJ297" s="229">
        <f t="shared" si="176"/>
        <v>0</v>
      </c>
      <c r="AK297" s="229">
        <f t="shared" si="177"/>
        <v>41376</v>
      </c>
      <c r="AL297" s="454">
        <f t="shared" si="178"/>
        <v>398</v>
      </c>
      <c r="AM297" s="454">
        <f t="shared" si="179"/>
        <v>19.4224</v>
      </c>
      <c r="AN297" s="454">
        <f t="shared" si="180"/>
        <v>0.34228636800000001</v>
      </c>
      <c r="AO297" s="454">
        <f t="shared" si="181"/>
        <v>418</v>
      </c>
      <c r="AP297" s="454">
        <f t="shared" si="182"/>
        <v>16467648</v>
      </c>
      <c r="AQ297" s="230">
        <f t="shared" si="183"/>
        <v>17295168</v>
      </c>
      <c r="AR297" s="397">
        <f t="shared" si="184"/>
        <v>40812512</v>
      </c>
      <c r="AS297" s="397">
        <f t="shared" si="185"/>
        <v>42863392</v>
      </c>
    </row>
    <row r="298" spans="1:45" ht="15.75">
      <c r="A298" s="228">
        <v>22</v>
      </c>
      <c r="B298" s="228" t="str">
        <f t="shared" si="149"/>
        <v>FRUTA_22</v>
      </c>
      <c r="C298" s="338" t="str">
        <f t="shared" si="150"/>
        <v>58_22</v>
      </c>
      <c r="D298" s="398" t="s">
        <v>1</v>
      </c>
      <c r="E298" s="228">
        <v>58</v>
      </c>
      <c r="F298" s="332" t="s">
        <v>67</v>
      </c>
      <c r="G298" s="228" t="s">
        <v>9</v>
      </c>
      <c r="H298" s="427">
        <f t="shared" si="151"/>
        <v>28</v>
      </c>
      <c r="I298" s="427">
        <f t="shared" si="152"/>
        <v>5</v>
      </c>
      <c r="J298" s="428">
        <f t="array" ref="J298">MAX((IF(MNU_CODIGO_ALIMENTO_ENTREGA=CONCATENATE($E298,"_","S_"),MNU_GRAMAJE_REQUERIDO_TIPOA,"")))</f>
        <v>100</v>
      </c>
      <c r="K298" s="229">
        <f t="shared" si="153"/>
        <v>1112</v>
      </c>
      <c r="L298" s="229">
        <f t="shared" si="154"/>
        <v>0</v>
      </c>
      <c r="M298" s="229">
        <f t="shared" si="155"/>
        <v>31136</v>
      </c>
      <c r="N298" s="454">
        <f t="shared" si="156"/>
        <v>154</v>
      </c>
      <c r="O298" s="454">
        <f t="shared" si="157"/>
        <v>7.515200000000001</v>
      </c>
      <c r="P298" s="454">
        <f t="shared" si="158"/>
        <v>0.13244246400000001</v>
      </c>
      <c r="Q298" s="454">
        <f t="shared" si="159"/>
        <v>162</v>
      </c>
      <c r="R298" s="230">
        <f t="shared" si="160"/>
        <v>4794944</v>
      </c>
      <c r="S298" s="230">
        <f t="shared" si="161"/>
        <v>5044032</v>
      </c>
      <c r="T298" s="429">
        <f t="shared" si="162"/>
        <v>23</v>
      </c>
      <c r="U298" s="429">
        <f t="shared" si="163"/>
        <v>3</v>
      </c>
      <c r="V298" s="430">
        <f t="array" ref="V298">MAX((IF(MNU_CODIGO_ALIMENTO_ENTREGA=CONCATENATE($E298,"_","S_"),MNU_GRAMAJE_REQUERIDO_TIPOB,"")))</f>
        <v>100</v>
      </c>
      <c r="W298" s="397">
        <f t="shared" si="164"/>
        <v>1205</v>
      </c>
      <c r="X298" s="397">
        <f t="shared" si="165"/>
        <v>0</v>
      </c>
      <c r="Y298" s="397">
        <f t="shared" si="166"/>
        <v>27715</v>
      </c>
      <c r="Z298" s="454">
        <f t="shared" si="167"/>
        <v>154</v>
      </c>
      <c r="AA298" s="454">
        <f t="shared" si="168"/>
        <v>7.515200000000001</v>
      </c>
      <c r="AB298" s="454">
        <f t="shared" si="169"/>
        <v>0.13244246400000001</v>
      </c>
      <c r="AC298" s="454">
        <f t="shared" si="170"/>
        <v>162</v>
      </c>
      <c r="AD298" s="231">
        <f t="shared" si="171"/>
        <v>4268110</v>
      </c>
      <c r="AE298" s="231">
        <f t="shared" si="172"/>
        <v>4489830</v>
      </c>
      <c r="AF298" s="427">
        <f t="shared" si="173"/>
        <v>23</v>
      </c>
      <c r="AG298" s="427">
        <f t="shared" si="174"/>
        <v>3</v>
      </c>
      <c r="AH298" s="428">
        <f t="array" ref="AH298">MAX((IF(MNU_CODIGO_ALIMENTO_ENTREGA=CONCATENATE($E298,"_","S_"),MNU_GRAMAJE_REQUERIDO_TIPOC,"")))</f>
        <v>100</v>
      </c>
      <c r="AI298" s="229">
        <f t="shared" si="175"/>
        <v>1724</v>
      </c>
      <c r="AJ298" s="229">
        <f t="shared" si="176"/>
        <v>0</v>
      </c>
      <c r="AK298" s="229">
        <f t="shared" si="177"/>
        <v>39652</v>
      </c>
      <c r="AL298" s="454">
        <f t="shared" si="178"/>
        <v>154</v>
      </c>
      <c r="AM298" s="454">
        <f t="shared" si="179"/>
        <v>7.515200000000001</v>
      </c>
      <c r="AN298" s="454">
        <f t="shared" si="180"/>
        <v>0.13244246400000001</v>
      </c>
      <c r="AO298" s="454">
        <f t="shared" si="181"/>
        <v>162</v>
      </c>
      <c r="AP298" s="454">
        <f t="shared" si="182"/>
        <v>6106408</v>
      </c>
      <c r="AQ298" s="230">
        <f t="shared" si="183"/>
        <v>6423624</v>
      </c>
      <c r="AR298" s="397">
        <f t="shared" si="184"/>
        <v>15169462</v>
      </c>
      <c r="AS298" s="397">
        <f t="shared" si="185"/>
        <v>15957486</v>
      </c>
    </row>
    <row r="299" spans="1:45" ht="15.75">
      <c r="A299" s="228">
        <v>22</v>
      </c>
      <c r="B299" s="228" t="str">
        <f t="shared" si="149"/>
        <v>FRUTA_22</v>
      </c>
      <c r="C299" s="338" t="str">
        <f t="shared" si="150"/>
        <v>59_22</v>
      </c>
      <c r="D299" s="398" t="s">
        <v>1</v>
      </c>
      <c r="E299" s="258">
        <v>59</v>
      </c>
      <c r="F299" s="328" t="s">
        <v>99</v>
      </c>
      <c r="G299" s="228" t="s">
        <v>9</v>
      </c>
      <c r="H299" s="427">
        <f t="shared" si="151"/>
        <v>0</v>
      </c>
      <c r="I299" s="427">
        <f t="shared" si="152"/>
        <v>0</v>
      </c>
      <c r="J299" s="428">
        <f t="array" ref="J299">MAX((IF(MNU_CODIGO_ALIMENTO_ENTREGA=CONCATENATE($E299,"_","S_"),MNU_GRAMAJE_REQUERIDO_TIPOA,"")))</f>
        <v>0</v>
      </c>
      <c r="K299" s="229">
        <f t="shared" si="153"/>
        <v>1112</v>
      </c>
      <c r="L299" s="229">
        <f t="shared" si="154"/>
        <v>0</v>
      </c>
      <c r="M299" s="229">
        <f t="shared" si="155"/>
        <v>0</v>
      </c>
      <c r="N299" s="454">
        <f t="shared" si="156"/>
        <v>0</v>
      </c>
      <c r="O299" s="454">
        <f t="shared" si="157"/>
        <v>0</v>
      </c>
      <c r="P299" s="454">
        <f t="shared" si="158"/>
        <v>0</v>
      </c>
      <c r="Q299" s="454">
        <f t="shared" si="159"/>
        <v>0</v>
      </c>
      <c r="R299" s="230">
        <f t="shared" si="160"/>
        <v>0</v>
      </c>
      <c r="S299" s="230">
        <f t="shared" si="161"/>
        <v>0</v>
      </c>
      <c r="T299" s="429">
        <f t="shared" si="162"/>
        <v>11</v>
      </c>
      <c r="U299" s="429">
        <f t="shared" si="163"/>
        <v>0</v>
      </c>
      <c r="V299" s="430">
        <f t="array" ref="V299">MAX((IF(MNU_CODIGO_ALIMENTO_ENTREGA=CONCATENATE($E299,"_","S_"),MNU_GRAMAJE_REQUERIDO_TIPOB,"")))</f>
        <v>100</v>
      </c>
      <c r="W299" s="397">
        <f t="shared" si="164"/>
        <v>1205</v>
      </c>
      <c r="X299" s="397">
        <f t="shared" si="165"/>
        <v>0</v>
      </c>
      <c r="Y299" s="397">
        <f t="shared" si="166"/>
        <v>13255</v>
      </c>
      <c r="Z299" s="454">
        <f t="shared" si="167"/>
        <v>286</v>
      </c>
      <c r="AA299" s="454">
        <f t="shared" si="168"/>
        <v>13.956800000000001</v>
      </c>
      <c r="AB299" s="454">
        <f t="shared" si="169"/>
        <v>0.24596457599999999</v>
      </c>
      <c r="AC299" s="454">
        <f t="shared" si="170"/>
        <v>300</v>
      </c>
      <c r="AD299" s="231">
        <f t="shared" si="171"/>
        <v>3790930</v>
      </c>
      <c r="AE299" s="231">
        <f t="shared" si="172"/>
        <v>3976500</v>
      </c>
      <c r="AF299" s="427">
        <f t="shared" si="173"/>
        <v>11</v>
      </c>
      <c r="AG299" s="427">
        <f t="shared" si="174"/>
        <v>0</v>
      </c>
      <c r="AH299" s="428">
        <f t="array" ref="AH299">MAX((IF(MNU_CODIGO_ALIMENTO_ENTREGA=CONCATENATE($E299,"_","S_"),MNU_GRAMAJE_REQUERIDO_TIPOC,"")))</f>
        <v>100</v>
      </c>
      <c r="AI299" s="229">
        <f t="shared" si="175"/>
        <v>1724</v>
      </c>
      <c r="AJ299" s="229">
        <f t="shared" si="176"/>
        <v>0</v>
      </c>
      <c r="AK299" s="229">
        <f t="shared" si="177"/>
        <v>18964</v>
      </c>
      <c r="AL299" s="454">
        <f t="shared" si="178"/>
        <v>286</v>
      </c>
      <c r="AM299" s="454">
        <f t="shared" si="179"/>
        <v>13.956800000000001</v>
      </c>
      <c r="AN299" s="454">
        <f t="shared" si="180"/>
        <v>0.24596457599999999</v>
      </c>
      <c r="AO299" s="454">
        <f t="shared" si="181"/>
        <v>300</v>
      </c>
      <c r="AP299" s="454">
        <f t="shared" si="182"/>
        <v>5423704</v>
      </c>
      <c r="AQ299" s="230">
        <f t="shared" si="183"/>
        <v>5689200</v>
      </c>
      <c r="AR299" s="397">
        <f t="shared" si="184"/>
        <v>9214634</v>
      </c>
      <c r="AS299" s="397">
        <f t="shared" si="185"/>
        <v>9665700</v>
      </c>
    </row>
    <row r="300" spans="1:45" ht="15.75">
      <c r="A300" s="228">
        <v>22</v>
      </c>
      <c r="B300" s="228" t="str">
        <f t="shared" si="149"/>
        <v>FRUTA_22</v>
      </c>
      <c r="C300" s="338" t="str">
        <f t="shared" si="150"/>
        <v>69_22</v>
      </c>
      <c r="D300" s="398" t="s">
        <v>1</v>
      </c>
      <c r="E300" s="228">
        <v>69</v>
      </c>
      <c r="F300" s="332" t="s">
        <v>70</v>
      </c>
      <c r="G300" s="228" t="s">
        <v>9</v>
      </c>
      <c r="H300" s="427">
        <f t="shared" si="151"/>
        <v>18</v>
      </c>
      <c r="I300" s="427">
        <f t="shared" si="152"/>
        <v>2</v>
      </c>
      <c r="J300" s="428">
        <f t="array" ref="J300">MAX((IF(MNU_CODIGO_ALIMENTO_ENTREGA=CONCATENATE($E300,"_","S_"),MNU_GRAMAJE_REQUERIDO_TIPOA,"")))</f>
        <v>100</v>
      </c>
      <c r="K300" s="229">
        <f t="shared" si="153"/>
        <v>1112</v>
      </c>
      <c r="L300" s="229">
        <f t="shared" si="154"/>
        <v>0</v>
      </c>
      <c r="M300" s="229">
        <f t="shared" si="155"/>
        <v>20016</v>
      </c>
      <c r="N300" s="454">
        <f t="shared" si="156"/>
        <v>305</v>
      </c>
      <c r="O300" s="454">
        <f t="shared" si="157"/>
        <v>14.884</v>
      </c>
      <c r="P300" s="454">
        <f t="shared" si="158"/>
        <v>0.26230488000000002</v>
      </c>
      <c r="Q300" s="454">
        <f t="shared" si="159"/>
        <v>320</v>
      </c>
      <c r="R300" s="230">
        <f t="shared" si="160"/>
        <v>6104880</v>
      </c>
      <c r="S300" s="230">
        <f t="shared" si="161"/>
        <v>6405120</v>
      </c>
      <c r="T300" s="429">
        <f t="shared" si="162"/>
        <v>12</v>
      </c>
      <c r="U300" s="429">
        <f t="shared" si="163"/>
        <v>2</v>
      </c>
      <c r="V300" s="430">
        <f t="array" ref="V300">MAX((IF(MNU_CODIGO_ALIMENTO_ENTREGA=CONCATENATE($E300,"_","S_"),MNU_GRAMAJE_REQUERIDO_TIPOB,"")))</f>
        <v>100</v>
      </c>
      <c r="W300" s="397">
        <f t="shared" si="164"/>
        <v>1205</v>
      </c>
      <c r="X300" s="397">
        <f t="shared" si="165"/>
        <v>0</v>
      </c>
      <c r="Y300" s="397">
        <f t="shared" si="166"/>
        <v>14460</v>
      </c>
      <c r="Z300" s="454">
        <f t="shared" si="167"/>
        <v>305</v>
      </c>
      <c r="AA300" s="454">
        <f t="shared" si="168"/>
        <v>14.884</v>
      </c>
      <c r="AB300" s="454">
        <f t="shared" si="169"/>
        <v>0.26230488000000002</v>
      </c>
      <c r="AC300" s="454">
        <f t="shared" si="170"/>
        <v>320</v>
      </c>
      <c r="AD300" s="231">
        <f t="shared" si="171"/>
        <v>4410300</v>
      </c>
      <c r="AE300" s="231">
        <f t="shared" si="172"/>
        <v>4627200</v>
      </c>
      <c r="AF300" s="427">
        <f t="shared" si="173"/>
        <v>12</v>
      </c>
      <c r="AG300" s="427">
        <f t="shared" si="174"/>
        <v>2</v>
      </c>
      <c r="AH300" s="428">
        <f t="array" ref="AH300">MAX((IF(MNU_CODIGO_ALIMENTO_ENTREGA=CONCATENATE($E300,"_","S_"),MNU_GRAMAJE_REQUERIDO_TIPOC,"")))</f>
        <v>100</v>
      </c>
      <c r="AI300" s="229">
        <f t="shared" si="175"/>
        <v>1724</v>
      </c>
      <c r="AJ300" s="229">
        <f t="shared" si="176"/>
        <v>0</v>
      </c>
      <c r="AK300" s="229">
        <f t="shared" si="177"/>
        <v>20688</v>
      </c>
      <c r="AL300" s="454">
        <f t="shared" si="178"/>
        <v>305</v>
      </c>
      <c r="AM300" s="454">
        <f t="shared" si="179"/>
        <v>14.884</v>
      </c>
      <c r="AN300" s="454">
        <f t="shared" si="180"/>
        <v>0.26230488000000002</v>
      </c>
      <c r="AO300" s="454">
        <f t="shared" si="181"/>
        <v>320</v>
      </c>
      <c r="AP300" s="454">
        <f t="shared" si="182"/>
        <v>6309840</v>
      </c>
      <c r="AQ300" s="230">
        <f t="shared" si="183"/>
        <v>6620160</v>
      </c>
      <c r="AR300" s="397">
        <f t="shared" si="184"/>
        <v>16825020</v>
      </c>
      <c r="AS300" s="397">
        <f t="shared" si="185"/>
        <v>17652480</v>
      </c>
    </row>
    <row r="301" spans="1:45" ht="15.75">
      <c r="A301" s="228">
        <v>22</v>
      </c>
      <c r="B301" s="228" t="str">
        <f t="shared" si="149"/>
        <v>FRUTA_22</v>
      </c>
      <c r="C301" s="338" t="str">
        <f t="shared" si="150"/>
        <v>70_22</v>
      </c>
      <c r="D301" s="398" t="s">
        <v>1</v>
      </c>
      <c r="E301" s="228">
        <v>70</v>
      </c>
      <c r="F301" s="332" t="s">
        <v>71</v>
      </c>
      <c r="G301" s="228" t="s">
        <v>9</v>
      </c>
      <c r="H301" s="427">
        <f t="shared" si="151"/>
        <v>0</v>
      </c>
      <c r="I301" s="427">
        <f t="shared" si="152"/>
        <v>0</v>
      </c>
      <c r="J301" s="428">
        <f t="array" ref="J301">MAX((IF(MNU_CODIGO_ALIMENTO_ENTREGA=CONCATENATE($E301,"_","S_"),MNU_GRAMAJE_REQUERIDO_TIPOA,"")))</f>
        <v>0</v>
      </c>
      <c r="K301" s="229">
        <f t="shared" si="153"/>
        <v>1112</v>
      </c>
      <c r="L301" s="229">
        <f t="shared" si="154"/>
        <v>0</v>
      </c>
      <c r="M301" s="229">
        <f t="shared" si="155"/>
        <v>0</v>
      </c>
      <c r="N301" s="454">
        <f t="shared" si="156"/>
        <v>0</v>
      </c>
      <c r="O301" s="454">
        <f t="shared" si="157"/>
        <v>0</v>
      </c>
      <c r="P301" s="454">
        <f t="shared" si="158"/>
        <v>0</v>
      </c>
      <c r="Q301" s="454">
        <f t="shared" si="159"/>
        <v>0</v>
      </c>
      <c r="R301" s="230">
        <f t="shared" si="160"/>
        <v>0</v>
      </c>
      <c r="S301" s="230">
        <f t="shared" si="161"/>
        <v>0</v>
      </c>
      <c r="T301" s="429">
        <f t="shared" si="162"/>
        <v>8</v>
      </c>
      <c r="U301" s="429">
        <f t="shared" si="163"/>
        <v>4</v>
      </c>
      <c r="V301" s="430">
        <f t="array" ref="V301">MAX((IF(MNU_CODIGO_ALIMENTO_ENTREGA=CONCATENATE($E301,"_","S_"),MNU_GRAMAJE_REQUERIDO_TIPOB,"")))</f>
        <v>100</v>
      </c>
      <c r="W301" s="397">
        <f t="shared" si="164"/>
        <v>1205</v>
      </c>
      <c r="X301" s="397">
        <f t="shared" si="165"/>
        <v>0</v>
      </c>
      <c r="Y301" s="397">
        <f t="shared" si="166"/>
        <v>9640</v>
      </c>
      <c r="Z301" s="454">
        <f t="shared" si="167"/>
        <v>434</v>
      </c>
      <c r="AA301" s="454">
        <f t="shared" si="168"/>
        <v>21.179200000000002</v>
      </c>
      <c r="AB301" s="454">
        <f t="shared" si="169"/>
        <v>0.37324694399999997</v>
      </c>
      <c r="AC301" s="454">
        <f t="shared" si="170"/>
        <v>456</v>
      </c>
      <c r="AD301" s="231">
        <f t="shared" si="171"/>
        <v>4183760</v>
      </c>
      <c r="AE301" s="231">
        <f t="shared" si="172"/>
        <v>4395840</v>
      </c>
      <c r="AF301" s="427">
        <f t="shared" si="173"/>
        <v>8</v>
      </c>
      <c r="AG301" s="427">
        <f t="shared" si="174"/>
        <v>4</v>
      </c>
      <c r="AH301" s="428">
        <f t="array" ref="AH301">MAX((IF(MNU_CODIGO_ALIMENTO_ENTREGA=CONCATENATE($E301,"_","S_"),MNU_GRAMAJE_REQUERIDO_TIPOC,"")))</f>
        <v>100</v>
      </c>
      <c r="AI301" s="229">
        <f t="shared" si="175"/>
        <v>1724</v>
      </c>
      <c r="AJ301" s="229">
        <f t="shared" si="176"/>
        <v>0</v>
      </c>
      <c r="AK301" s="229">
        <f t="shared" si="177"/>
        <v>13792</v>
      </c>
      <c r="AL301" s="454">
        <f t="shared" si="178"/>
        <v>434</v>
      </c>
      <c r="AM301" s="454">
        <f t="shared" si="179"/>
        <v>21.179200000000002</v>
      </c>
      <c r="AN301" s="454">
        <f t="shared" si="180"/>
        <v>0.37324694399999997</v>
      </c>
      <c r="AO301" s="454">
        <f t="shared" si="181"/>
        <v>456</v>
      </c>
      <c r="AP301" s="454">
        <f t="shared" si="182"/>
        <v>5985728</v>
      </c>
      <c r="AQ301" s="230">
        <f t="shared" si="183"/>
        <v>6289152</v>
      </c>
      <c r="AR301" s="397">
        <f t="shared" si="184"/>
        <v>10169488</v>
      </c>
      <c r="AS301" s="397">
        <f t="shared" si="185"/>
        <v>10684992</v>
      </c>
    </row>
    <row r="302" spans="1:45" ht="15.75">
      <c r="A302" s="228">
        <v>23</v>
      </c>
      <c r="B302" s="228" t="str">
        <f t="shared" si="149"/>
        <v>FRUTA_23</v>
      </c>
      <c r="C302" s="338" t="str">
        <f t="shared" si="150"/>
        <v>7_23</v>
      </c>
      <c r="D302" s="398" t="s">
        <v>1</v>
      </c>
      <c r="E302" s="228">
        <v>7</v>
      </c>
      <c r="F302" s="332" t="s">
        <v>57</v>
      </c>
      <c r="G302" s="228" t="s">
        <v>9</v>
      </c>
      <c r="H302" s="427">
        <f t="shared" si="151"/>
        <v>31</v>
      </c>
      <c r="I302" s="427">
        <f t="shared" si="152"/>
        <v>0</v>
      </c>
      <c r="J302" s="428">
        <f t="array" ref="J302">MAX((IF(MNU_CODIGO_ALIMENTO_ENTREGA=CONCATENATE($E302,"_","S_"),MNU_GRAMAJE_REQUERIDO_TIPOA,"")))</f>
        <v>100</v>
      </c>
      <c r="K302" s="229">
        <f t="shared" si="153"/>
        <v>893</v>
      </c>
      <c r="L302" s="229">
        <f t="shared" si="154"/>
        <v>0</v>
      </c>
      <c r="M302" s="229">
        <f t="shared" si="155"/>
        <v>27683</v>
      </c>
      <c r="N302" s="454">
        <f t="shared" si="156"/>
        <v>107</v>
      </c>
      <c r="O302" s="454">
        <f t="shared" si="157"/>
        <v>5.2216000000000005</v>
      </c>
      <c r="P302" s="454">
        <f t="shared" si="158"/>
        <v>9.2021712000000006E-2</v>
      </c>
      <c r="Q302" s="454">
        <f t="shared" si="159"/>
        <v>112</v>
      </c>
      <c r="R302" s="230">
        <f t="shared" si="160"/>
        <v>2962081</v>
      </c>
      <c r="S302" s="230">
        <f t="shared" si="161"/>
        <v>3100496</v>
      </c>
      <c r="T302" s="429">
        <f t="shared" si="162"/>
        <v>11</v>
      </c>
      <c r="U302" s="429">
        <f t="shared" si="163"/>
        <v>0</v>
      </c>
      <c r="V302" s="430">
        <f t="array" ref="V302">MAX((IF(MNU_CODIGO_ALIMENTO_ENTREGA=CONCATENATE($E302,"_","S_"),MNU_GRAMAJE_REQUERIDO_TIPOB,"")))</f>
        <v>100</v>
      </c>
      <c r="W302" s="397">
        <f t="shared" si="164"/>
        <v>873</v>
      </c>
      <c r="X302" s="397">
        <f t="shared" si="165"/>
        <v>0</v>
      </c>
      <c r="Y302" s="397">
        <f t="shared" si="166"/>
        <v>9603</v>
      </c>
      <c r="Z302" s="454">
        <f t="shared" si="167"/>
        <v>107</v>
      </c>
      <c r="AA302" s="454">
        <f t="shared" si="168"/>
        <v>5.2216000000000005</v>
      </c>
      <c r="AB302" s="454">
        <f t="shared" si="169"/>
        <v>9.2021712000000006E-2</v>
      </c>
      <c r="AC302" s="454">
        <f t="shared" si="170"/>
        <v>112</v>
      </c>
      <c r="AD302" s="231">
        <f t="shared" si="171"/>
        <v>1027521</v>
      </c>
      <c r="AE302" s="231">
        <f t="shared" si="172"/>
        <v>1075536</v>
      </c>
      <c r="AF302" s="427">
        <f t="shared" si="173"/>
        <v>11</v>
      </c>
      <c r="AG302" s="427">
        <f t="shared" si="174"/>
        <v>0</v>
      </c>
      <c r="AH302" s="428">
        <f t="array" ref="AH302">MAX((IF(MNU_CODIGO_ALIMENTO_ENTREGA=CONCATENATE($E302,"_","S_"),MNU_GRAMAJE_REQUERIDO_TIPOC,"")))</f>
        <v>100</v>
      </c>
      <c r="AI302" s="229">
        <f t="shared" si="175"/>
        <v>1104</v>
      </c>
      <c r="AJ302" s="229">
        <f t="shared" si="176"/>
        <v>0</v>
      </c>
      <c r="AK302" s="229">
        <f t="shared" si="177"/>
        <v>12144</v>
      </c>
      <c r="AL302" s="454">
        <f t="shared" si="178"/>
        <v>107</v>
      </c>
      <c r="AM302" s="454">
        <f t="shared" si="179"/>
        <v>5.2216000000000005</v>
      </c>
      <c r="AN302" s="454">
        <f t="shared" si="180"/>
        <v>9.2021712000000006E-2</v>
      </c>
      <c r="AO302" s="454">
        <f t="shared" si="181"/>
        <v>112</v>
      </c>
      <c r="AP302" s="454">
        <f t="shared" si="182"/>
        <v>1299408</v>
      </c>
      <c r="AQ302" s="230">
        <f t="shared" si="183"/>
        <v>1360128</v>
      </c>
      <c r="AR302" s="397">
        <f t="shared" si="184"/>
        <v>5289010</v>
      </c>
      <c r="AS302" s="397">
        <f t="shared" si="185"/>
        <v>5536160</v>
      </c>
    </row>
    <row r="303" spans="1:45" ht="15.75">
      <c r="A303" s="228">
        <v>23</v>
      </c>
      <c r="B303" s="228" t="str">
        <f t="shared" si="149"/>
        <v>FRUTA_23</v>
      </c>
      <c r="C303" s="338" t="str">
        <f t="shared" si="150"/>
        <v>8_23</v>
      </c>
      <c r="D303" s="398" t="s">
        <v>1</v>
      </c>
      <c r="E303" s="228">
        <v>8</v>
      </c>
      <c r="F303" s="332" t="s">
        <v>55</v>
      </c>
      <c r="G303" s="228" t="s">
        <v>9</v>
      </c>
      <c r="H303" s="427">
        <f t="shared" si="151"/>
        <v>11</v>
      </c>
      <c r="I303" s="427">
        <f t="shared" si="152"/>
        <v>0</v>
      </c>
      <c r="J303" s="428">
        <f t="array" ref="J303">MAX((IF(MNU_CODIGO_ALIMENTO_ENTREGA=CONCATENATE($E303,"_","S_"),MNU_GRAMAJE_REQUERIDO_TIPOA,"")))</f>
        <v>100</v>
      </c>
      <c r="K303" s="229">
        <f t="shared" si="153"/>
        <v>893</v>
      </c>
      <c r="L303" s="229">
        <f t="shared" si="154"/>
        <v>0</v>
      </c>
      <c r="M303" s="229">
        <f t="shared" si="155"/>
        <v>9823</v>
      </c>
      <c r="N303" s="454">
        <f t="shared" si="156"/>
        <v>134</v>
      </c>
      <c r="O303" s="454">
        <f t="shared" si="157"/>
        <v>6.539200000000001</v>
      </c>
      <c r="P303" s="454">
        <f t="shared" si="158"/>
        <v>0.115242144</v>
      </c>
      <c r="Q303" s="454">
        <f t="shared" si="159"/>
        <v>141</v>
      </c>
      <c r="R303" s="230">
        <f t="shared" si="160"/>
        <v>1316282</v>
      </c>
      <c r="S303" s="230">
        <f t="shared" si="161"/>
        <v>1385043</v>
      </c>
      <c r="T303" s="429">
        <f t="shared" si="162"/>
        <v>11</v>
      </c>
      <c r="U303" s="429">
        <f t="shared" si="163"/>
        <v>0</v>
      </c>
      <c r="V303" s="430">
        <f t="array" ref="V303">MAX((IF(MNU_CODIGO_ALIMENTO_ENTREGA=CONCATENATE($E303,"_","S_"),MNU_GRAMAJE_REQUERIDO_TIPOB,"")))</f>
        <v>100</v>
      </c>
      <c r="W303" s="397">
        <f t="shared" si="164"/>
        <v>873</v>
      </c>
      <c r="X303" s="397">
        <f t="shared" si="165"/>
        <v>0</v>
      </c>
      <c r="Y303" s="397">
        <f t="shared" si="166"/>
        <v>9603</v>
      </c>
      <c r="Z303" s="454">
        <f t="shared" si="167"/>
        <v>134</v>
      </c>
      <c r="AA303" s="454">
        <f t="shared" si="168"/>
        <v>6.539200000000001</v>
      </c>
      <c r="AB303" s="454">
        <f t="shared" si="169"/>
        <v>0.115242144</v>
      </c>
      <c r="AC303" s="454">
        <f t="shared" si="170"/>
        <v>141</v>
      </c>
      <c r="AD303" s="231">
        <f t="shared" si="171"/>
        <v>1286802</v>
      </c>
      <c r="AE303" s="231">
        <f t="shared" si="172"/>
        <v>1354023</v>
      </c>
      <c r="AF303" s="427">
        <f t="shared" si="173"/>
        <v>11</v>
      </c>
      <c r="AG303" s="427">
        <f t="shared" si="174"/>
        <v>0</v>
      </c>
      <c r="AH303" s="428">
        <f t="array" ref="AH303">MAX((IF(MNU_CODIGO_ALIMENTO_ENTREGA=CONCATENATE($E303,"_","S_"),MNU_GRAMAJE_REQUERIDO_TIPOC,"")))</f>
        <v>100</v>
      </c>
      <c r="AI303" s="229">
        <f t="shared" si="175"/>
        <v>1104</v>
      </c>
      <c r="AJ303" s="229">
        <f t="shared" si="176"/>
        <v>0</v>
      </c>
      <c r="AK303" s="229">
        <f t="shared" si="177"/>
        <v>12144</v>
      </c>
      <c r="AL303" s="454">
        <f t="shared" si="178"/>
        <v>134</v>
      </c>
      <c r="AM303" s="454">
        <f t="shared" si="179"/>
        <v>6.539200000000001</v>
      </c>
      <c r="AN303" s="454">
        <f t="shared" si="180"/>
        <v>0.115242144</v>
      </c>
      <c r="AO303" s="454">
        <f t="shared" si="181"/>
        <v>141</v>
      </c>
      <c r="AP303" s="454">
        <f t="shared" si="182"/>
        <v>1627296</v>
      </c>
      <c r="AQ303" s="230">
        <f t="shared" si="183"/>
        <v>1712304</v>
      </c>
      <c r="AR303" s="397">
        <f t="shared" si="184"/>
        <v>4230380</v>
      </c>
      <c r="AS303" s="397">
        <f t="shared" si="185"/>
        <v>4451370</v>
      </c>
    </row>
    <row r="304" spans="1:45" ht="15.75">
      <c r="A304" s="228">
        <v>23</v>
      </c>
      <c r="B304" s="228" t="str">
        <f t="shared" si="149"/>
        <v>FRUTA_23</v>
      </c>
      <c r="C304" s="338" t="str">
        <f t="shared" si="150"/>
        <v>17_23</v>
      </c>
      <c r="D304" s="398" t="s">
        <v>1</v>
      </c>
      <c r="E304" s="228">
        <v>17</v>
      </c>
      <c r="F304" s="332" t="s">
        <v>53</v>
      </c>
      <c r="G304" s="228" t="s">
        <v>9</v>
      </c>
      <c r="H304" s="427">
        <f t="shared" si="151"/>
        <v>0</v>
      </c>
      <c r="I304" s="427">
        <f t="shared" si="152"/>
        <v>0</v>
      </c>
      <c r="J304" s="428">
        <f t="array" ref="J304">MAX((IF(MNU_CODIGO_ALIMENTO_ENTREGA=CONCATENATE($E304,"_","S_"),MNU_GRAMAJE_REQUERIDO_TIPOA,"")))</f>
        <v>0</v>
      </c>
      <c r="K304" s="229">
        <f t="shared" si="153"/>
        <v>893</v>
      </c>
      <c r="L304" s="229">
        <f t="shared" si="154"/>
        <v>0</v>
      </c>
      <c r="M304" s="229">
        <f t="shared" si="155"/>
        <v>0</v>
      </c>
      <c r="N304" s="454">
        <f t="shared" si="156"/>
        <v>0</v>
      </c>
      <c r="O304" s="454">
        <f t="shared" si="157"/>
        <v>0</v>
      </c>
      <c r="P304" s="454">
        <f t="shared" si="158"/>
        <v>0</v>
      </c>
      <c r="Q304" s="454">
        <f t="shared" si="159"/>
        <v>0</v>
      </c>
      <c r="R304" s="230">
        <f t="shared" si="160"/>
        <v>0</v>
      </c>
      <c r="S304" s="230">
        <f t="shared" si="161"/>
        <v>0</v>
      </c>
      <c r="T304" s="429">
        <f t="shared" si="162"/>
        <v>23</v>
      </c>
      <c r="U304" s="429">
        <f t="shared" si="163"/>
        <v>4</v>
      </c>
      <c r="V304" s="430">
        <f t="array" ref="V304">MAX((IF(MNU_CODIGO_ALIMENTO_ENTREGA=CONCATENATE($E304,"_","S_"),MNU_GRAMAJE_REQUERIDO_TIPOB,"")))</f>
        <v>100</v>
      </c>
      <c r="W304" s="397">
        <f t="shared" si="164"/>
        <v>873</v>
      </c>
      <c r="X304" s="397">
        <f t="shared" si="165"/>
        <v>0</v>
      </c>
      <c r="Y304" s="397">
        <f t="shared" si="166"/>
        <v>20079</v>
      </c>
      <c r="Z304" s="454">
        <f t="shared" si="167"/>
        <v>226</v>
      </c>
      <c r="AA304" s="454">
        <f t="shared" si="168"/>
        <v>11.0288</v>
      </c>
      <c r="AB304" s="454">
        <f t="shared" si="169"/>
        <v>0.19436361600000002</v>
      </c>
      <c r="AC304" s="454">
        <f t="shared" si="170"/>
        <v>237</v>
      </c>
      <c r="AD304" s="231">
        <f t="shared" si="171"/>
        <v>4537854</v>
      </c>
      <c r="AE304" s="231">
        <f t="shared" si="172"/>
        <v>4758723</v>
      </c>
      <c r="AF304" s="427">
        <f t="shared" si="173"/>
        <v>23</v>
      </c>
      <c r="AG304" s="427">
        <f t="shared" si="174"/>
        <v>4</v>
      </c>
      <c r="AH304" s="428">
        <f t="array" ref="AH304">MAX((IF(MNU_CODIGO_ALIMENTO_ENTREGA=CONCATENATE($E304,"_","S_"),MNU_GRAMAJE_REQUERIDO_TIPOC,"")))</f>
        <v>100</v>
      </c>
      <c r="AI304" s="229">
        <f t="shared" si="175"/>
        <v>1104</v>
      </c>
      <c r="AJ304" s="229">
        <f t="shared" si="176"/>
        <v>0</v>
      </c>
      <c r="AK304" s="229">
        <f t="shared" si="177"/>
        <v>25392</v>
      </c>
      <c r="AL304" s="454">
        <f t="shared" si="178"/>
        <v>226</v>
      </c>
      <c r="AM304" s="454">
        <f t="shared" si="179"/>
        <v>11.0288</v>
      </c>
      <c r="AN304" s="454">
        <f t="shared" si="180"/>
        <v>0.19436361600000002</v>
      </c>
      <c r="AO304" s="454">
        <f t="shared" si="181"/>
        <v>237</v>
      </c>
      <c r="AP304" s="454">
        <f t="shared" si="182"/>
        <v>5738592</v>
      </c>
      <c r="AQ304" s="230">
        <f t="shared" si="183"/>
        <v>6017904</v>
      </c>
      <c r="AR304" s="397">
        <f t="shared" si="184"/>
        <v>10276446</v>
      </c>
      <c r="AS304" s="397">
        <f t="shared" si="185"/>
        <v>10776627</v>
      </c>
    </row>
    <row r="305" spans="1:45" ht="15.75">
      <c r="A305" s="228">
        <v>23</v>
      </c>
      <c r="B305" s="228" t="str">
        <f t="shared" si="149"/>
        <v>FRUTA_23</v>
      </c>
      <c r="C305" s="338" t="str">
        <f t="shared" si="150"/>
        <v>22_23</v>
      </c>
      <c r="D305" s="398" t="s">
        <v>1</v>
      </c>
      <c r="E305" s="228">
        <v>22</v>
      </c>
      <c r="F305" s="332" t="s">
        <v>51</v>
      </c>
      <c r="G305" s="228" t="s">
        <v>9</v>
      </c>
      <c r="H305" s="427">
        <f t="shared" si="151"/>
        <v>0</v>
      </c>
      <c r="I305" s="427">
        <f t="shared" si="152"/>
        <v>0</v>
      </c>
      <c r="J305" s="428">
        <f t="array" ref="J305">MAX((IF(MNU_CODIGO_ALIMENTO_ENTREGA=CONCATENATE($E305,"_","S_"),MNU_GRAMAJE_REQUERIDO_TIPOA,"")))</f>
        <v>0</v>
      </c>
      <c r="K305" s="229">
        <f t="shared" si="153"/>
        <v>893</v>
      </c>
      <c r="L305" s="229">
        <f t="shared" si="154"/>
        <v>0</v>
      </c>
      <c r="M305" s="229">
        <f t="shared" si="155"/>
        <v>0</v>
      </c>
      <c r="N305" s="454">
        <f t="shared" si="156"/>
        <v>0</v>
      </c>
      <c r="O305" s="454">
        <f t="shared" si="157"/>
        <v>0</v>
      </c>
      <c r="P305" s="454">
        <f t="shared" si="158"/>
        <v>0</v>
      </c>
      <c r="Q305" s="454">
        <f t="shared" si="159"/>
        <v>0</v>
      </c>
      <c r="R305" s="230">
        <f t="shared" si="160"/>
        <v>0</v>
      </c>
      <c r="S305" s="230">
        <f t="shared" si="161"/>
        <v>0</v>
      </c>
      <c r="T305" s="429">
        <f t="shared" si="162"/>
        <v>23</v>
      </c>
      <c r="U305" s="429">
        <f t="shared" si="163"/>
        <v>4</v>
      </c>
      <c r="V305" s="430">
        <f t="array" ref="V305">MAX((IF(MNU_CODIGO_ALIMENTO_ENTREGA=CONCATENATE($E305,"_","S_"),MNU_GRAMAJE_REQUERIDO_TIPOB,"")))</f>
        <v>100</v>
      </c>
      <c r="W305" s="397">
        <f t="shared" si="164"/>
        <v>873</v>
      </c>
      <c r="X305" s="397">
        <f t="shared" si="165"/>
        <v>0</v>
      </c>
      <c r="Y305" s="397">
        <f t="shared" si="166"/>
        <v>20079</v>
      </c>
      <c r="Z305" s="454">
        <f t="shared" si="167"/>
        <v>525</v>
      </c>
      <c r="AA305" s="454">
        <f t="shared" si="168"/>
        <v>25.62</v>
      </c>
      <c r="AB305" s="454">
        <f t="shared" si="169"/>
        <v>0.45150840000000003</v>
      </c>
      <c r="AC305" s="454">
        <f t="shared" si="170"/>
        <v>551</v>
      </c>
      <c r="AD305" s="231">
        <f t="shared" si="171"/>
        <v>10541475</v>
      </c>
      <c r="AE305" s="231">
        <f t="shared" si="172"/>
        <v>11063529</v>
      </c>
      <c r="AF305" s="427">
        <f t="shared" si="173"/>
        <v>23</v>
      </c>
      <c r="AG305" s="427">
        <f t="shared" si="174"/>
        <v>4</v>
      </c>
      <c r="AH305" s="428">
        <f t="array" ref="AH305">MAX((IF(MNU_CODIGO_ALIMENTO_ENTREGA=CONCATENATE($E305,"_","S_"),MNU_GRAMAJE_REQUERIDO_TIPOC,"")))</f>
        <v>100</v>
      </c>
      <c r="AI305" s="229">
        <f t="shared" si="175"/>
        <v>1104</v>
      </c>
      <c r="AJ305" s="229">
        <f t="shared" si="176"/>
        <v>0</v>
      </c>
      <c r="AK305" s="229">
        <f t="shared" si="177"/>
        <v>25392</v>
      </c>
      <c r="AL305" s="454">
        <f t="shared" si="178"/>
        <v>525</v>
      </c>
      <c r="AM305" s="454">
        <f t="shared" si="179"/>
        <v>25.62</v>
      </c>
      <c r="AN305" s="454">
        <f t="shared" si="180"/>
        <v>0.45150840000000003</v>
      </c>
      <c r="AO305" s="454">
        <f t="shared" si="181"/>
        <v>551</v>
      </c>
      <c r="AP305" s="454">
        <f t="shared" si="182"/>
        <v>13330800</v>
      </c>
      <c r="AQ305" s="230">
        <f t="shared" si="183"/>
        <v>13990992</v>
      </c>
      <c r="AR305" s="397">
        <f t="shared" si="184"/>
        <v>23872275</v>
      </c>
      <c r="AS305" s="397">
        <f t="shared" si="185"/>
        <v>25054521</v>
      </c>
    </row>
    <row r="306" spans="1:45" ht="15.75">
      <c r="A306" s="228">
        <v>23</v>
      </c>
      <c r="B306" s="228" t="str">
        <f t="shared" si="149"/>
        <v>FRUTA_23</v>
      </c>
      <c r="C306" s="338" t="str">
        <f t="shared" si="150"/>
        <v>33_23</v>
      </c>
      <c r="D306" s="398" t="s">
        <v>1</v>
      </c>
      <c r="E306" s="228">
        <v>33</v>
      </c>
      <c r="F306" s="332" t="s">
        <v>59</v>
      </c>
      <c r="G306" s="228" t="s">
        <v>48</v>
      </c>
      <c r="H306" s="427">
        <f t="shared" si="151"/>
        <v>29</v>
      </c>
      <c r="I306" s="427">
        <f t="shared" si="152"/>
        <v>5</v>
      </c>
      <c r="J306" s="428">
        <v>1</v>
      </c>
      <c r="K306" s="229">
        <f t="shared" si="153"/>
        <v>893</v>
      </c>
      <c r="L306" s="229">
        <f t="shared" si="154"/>
        <v>0</v>
      </c>
      <c r="M306" s="229">
        <f t="shared" si="155"/>
        <v>25897</v>
      </c>
      <c r="N306" s="454">
        <f t="shared" si="156"/>
        <v>270</v>
      </c>
      <c r="O306" s="454">
        <f t="shared" si="157"/>
        <v>13.176000000000002</v>
      </c>
      <c r="P306" s="454">
        <f t="shared" si="158"/>
        <v>0.23220432000000002</v>
      </c>
      <c r="Q306" s="454">
        <f t="shared" si="159"/>
        <v>283</v>
      </c>
      <c r="R306" s="230">
        <f t="shared" si="160"/>
        <v>6992190</v>
      </c>
      <c r="S306" s="230">
        <f t="shared" si="161"/>
        <v>7328851</v>
      </c>
      <c r="T306" s="429">
        <f t="shared" si="162"/>
        <v>23</v>
      </c>
      <c r="U306" s="429">
        <f t="shared" si="163"/>
        <v>2</v>
      </c>
      <c r="V306" s="430">
        <v>1</v>
      </c>
      <c r="W306" s="397">
        <f t="shared" si="164"/>
        <v>873</v>
      </c>
      <c r="X306" s="397">
        <f t="shared" si="165"/>
        <v>0</v>
      </c>
      <c r="Y306" s="397">
        <f t="shared" si="166"/>
        <v>20079</v>
      </c>
      <c r="Z306" s="454">
        <f t="shared" si="167"/>
        <v>270</v>
      </c>
      <c r="AA306" s="454">
        <f t="shared" si="168"/>
        <v>13.176000000000002</v>
      </c>
      <c r="AB306" s="454">
        <f t="shared" si="169"/>
        <v>0.23220432000000002</v>
      </c>
      <c r="AC306" s="454">
        <f t="shared" si="170"/>
        <v>283</v>
      </c>
      <c r="AD306" s="231">
        <f t="shared" si="171"/>
        <v>5421330</v>
      </c>
      <c r="AE306" s="231">
        <f t="shared" si="172"/>
        <v>5682357</v>
      </c>
      <c r="AF306" s="427">
        <f t="shared" si="173"/>
        <v>23</v>
      </c>
      <c r="AG306" s="427">
        <f t="shared" si="174"/>
        <v>2</v>
      </c>
      <c r="AH306" s="428">
        <v>1</v>
      </c>
      <c r="AI306" s="229">
        <f t="shared" si="175"/>
        <v>1104</v>
      </c>
      <c r="AJ306" s="229">
        <f t="shared" si="176"/>
        <v>0</v>
      </c>
      <c r="AK306" s="229">
        <f t="shared" si="177"/>
        <v>25392</v>
      </c>
      <c r="AL306" s="454">
        <f t="shared" si="178"/>
        <v>270</v>
      </c>
      <c r="AM306" s="454">
        <f t="shared" si="179"/>
        <v>13.176000000000002</v>
      </c>
      <c r="AN306" s="454">
        <f t="shared" si="180"/>
        <v>0.23220432000000002</v>
      </c>
      <c r="AO306" s="454">
        <f t="shared" si="181"/>
        <v>283</v>
      </c>
      <c r="AP306" s="454">
        <f t="shared" si="182"/>
        <v>6855840</v>
      </c>
      <c r="AQ306" s="230">
        <f t="shared" si="183"/>
        <v>7185936</v>
      </c>
      <c r="AR306" s="397">
        <f t="shared" si="184"/>
        <v>19269360</v>
      </c>
      <c r="AS306" s="397">
        <f t="shared" si="185"/>
        <v>20197144</v>
      </c>
    </row>
    <row r="307" spans="1:45" ht="15.75">
      <c r="A307" s="228">
        <v>23</v>
      </c>
      <c r="B307" s="228" t="str">
        <f t="shared" si="149"/>
        <v>FRUTA_23</v>
      </c>
      <c r="C307" s="338" t="str">
        <f t="shared" si="150"/>
        <v>36_23</v>
      </c>
      <c r="D307" s="398" t="s">
        <v>1</v>
      </c>
      <c r="E307" s="228">
        <v>36</v>
      </c>
      <c r="F307" s="332" t="s">
        <v>1340</v>
      </c>
      <c r="G307" s="228" t="s">
        <v>9</v>
      </c>
      <c r="H307" s="427">
        <f t="shared" si="151"/>
        <v>8</v>
      </c>
      <c r="I307" s="427">
        <f t="shared" si="152"/>
        <v>0</v>
      </c>
      <c r="J307" s="428">
        <f t="array" ref="J307">MAX((IF(MNU_CODIGO_ALIMENTO_ENTREGA=CONCATENATE($E307,"_","S_"),MNU_GRAMAJE_REQUERIDO_TIPOA,"")))</f>
        <v>20</v>
      </c>
      <c r="K307" s="229">
        <f t="shared" si="153"/>
        <v>893</v>
      </c>
      <c r="L307" s="229">
        <f t="shared" si="154"/>
        <v>0</v>
      </c>
      <c r="M307" s="229">
        <f t="shared" si="155"/>
        <v>7144</v>
      </c>
      <c r="N307" s="454">
        <f t="shared" si="156"/>
        <v>126</v>
      </c>
      <c r="O307" s="454">
        <f t="shared" si="157"/>
        <v>6.1488000000000005</v>
      </c>
      <c r="P307" s="454">
        <f t="shared" si="158"/>
        <v>0.10836201599999999</v>
      </c>
      <c r="Q307" s="454">
        <f t="shared" si="159"/>
        <v>132</v>
      </c>
      <c r="R307" s="230">
        <f t="shared" si="160"/>
        <v>900144</v>
      </c>
      <c r="S307" s="230">
        <f t="shared" si="161"/>
        <v>943008</v>
      </c>
      <c r="T307" s="429">
        <f t="shared" si="162"/>
        <v>8</v>
      </c>
      <c r="U307" s="429">
        <f t="shared" si="163"/>
        <v>0</v>
      </c>
      <c r="V307" s="430">
        <f t="array" ref="V307">MAX((IF(MNU_CODIGO_ALIMENTO_ENTREGA=CONCATENATE($E307,"_","S_"),MNU_GRAMAJE_REQUERIDO_TIPOB,"")))</f>
        <v>40</v>
      </c>
      <c r="W307" s="397">
        <f t="shared" si="164"/>
        <v>873</v>
      </c>
      <c r="X307" s="397">
        <f t="shared" si="165"/>
        <v>0</v>
      </c>
      <c r="Y307" s="397">
        <f t="shared" si="166"/>
        <v>6984</v>
      </c>
      <c r="Z307" s="454">
        <f t="shared" si="167"/>
        <v>252</v>
      </c>
      <c r="AA307" s="454">
        <f t="shared" si="168"/>
        <v>12.297600000000001</v>
      </c>
      <c r="AB307" s="454">
        <f t="shared" si="169"/>
        <v>0.21672403199999998</v>
      </c>
      <c r="AC307" s="454">
        <f t="shared" si="170"/>
        <v>265</v>
      </c>
      <c r="AD307" s="231">
        <f t="shared" si="171"/>
        <v>1759968</v>
      </c>
      <c r="AE307" s="231">
        <f t="shared" si="172"/>
        <v>1850760</v>
      </c>
      <c r="AF307" s="427">
        <f t="shared" si="173"/>
        <v>8</v>
      </c>
      <c r="AG307" s="427">
        <f t="shared" si="174"/>
        <v>0</v>
      </c>
      <c r="AH307" s="428">
        <f t="array" ref="AH307">MAX((IF(MNU_CODIGO_ALIMENTO_ENTREGA=CONCATENATE($E307,"_","S_"),MNU_GRAMAJE_REQUERIDO_TIPOC,"")))</f>
        <v>40</v>
      </c>
      <c r="AI307" s="229">
        <f t="shared" si="175"/>
        <v>1104</v>
      </c>
      <c r="AJ307" s="229">
        <f t="shared" si="176"/>
        <v>0</v>
      </c>
      <c r="AK307" s="229">
        <f t="shared" si="177"/>
        <v>8832</v>
      </c>
      <c r="AL307" s="454">
        <f t="shared" si="178"/>
        <v>252</v>
      </c>
      <c r="AM307" s="454">
        <f t="shared" si="179"/>
        <v>12.297600000000001</v>
      </c>
      <c r="AN307" s="454">
        <f t="shared" si="180"/>
        <v>0.21672403199999998</v>
      </c>
      <c r="AO307" s="454">
        <f t="shared" si="181"/>
        <v>265</v>
      </c>
      <c r="AP307" s="454">
        <f t="shared" si="182"/>
        <v>2225664</v>
      </c>
      <c r="AQ307" s="230">
        <f t="shared" si="183"/>
        <v>2340480</v>
      </c>
      <c r="AR307" s="397">
        <f t="shared" si="184"/>
        <v>4885776</v>
      </c>
      <c r="AS307" s="397">
        <f t="shared" si="185"/>
        <v>5134248</v>
      </c>
    </row>
    <row r="308" spans="1:45" ht="15.75">
      <c r="A308" s="228">
        <v>23</v>
      </c>
      <c r="B308" s="228" t="str">
        <f t="shared" ref="B308:B371" si="186">CONCATENATE(D308,"_",A308)</f>
        <v>FRUTA_23</v>
      </c>
      <c r="C308" s="338" t="str">
        <f t="shared" ref="C308:C371" si="187">CONCATENATE(E308,"_",A308)</f>
        <v>42_23</v>
      </c>
      <c r="D308" s="398" t="s">
        <v>1</v>
      </c>
      <c r="E308" s="228">
        <v>42</v>
      </c>
      <c r="F308" s="332" t="s">
        <v>61</v>
      </c>
      <c r="G308" s="228" t="s">
        <v>9</v>
      </c>
      <c r="H308" s="427">
        <f t="shared" ref="H308:H371" si="188">SUMIF(MNU_CODIGO_ALIMENTO_ENTREGA,CONCATENATE($E308,"_","S_"),MNU_FRECUENCIAS_LAV_TIPOA)</f>
        <v>36</v>
      </c>
      <c r="I308" s="427">
        <f t="shared" ref="I308:I371" si="189">SUMIF(MNU_CODIGO_ALIMENTO_ENTREGA,CONCATENATE($E308,"_","S_"),MNU_FRECUENCIAS_FDS_TIPOA)</f>
        <v>8</v>
      </c>
      <c r="J308" s="428">
        <f t="array" ref="J308">MAX((IF(MNU_CODIGO_ALIMENTO_ENTREGA=CONCATENATE($E308,"_","S_"),MNU_GRAMAJE_REQUERIDO_TIPOA,"")))</f>
        <v>100</v>
      </c>
      <c r="K308" s="229">
        <f t="shared" ref="K308:K371" si="190">SUMIF(VOL_GRUPO,CONCATENATE($A308,"1052-2NO"),VOL_TIPOA)</f>
        <v>893</v>
      </c>
      <c r="L308" s="229">
        <f t="shared" ref="L308:L371" si="191">SUMIF(VOL_GRUPO,CONCATENATE($A308,"1052-2SI"),VOL_TIPOA)</f>
        <v>0</v>
      </c>
      <c r="M308" s="229">
        <f t="shared" ref="M308:M371" si="192">(H308*K308)+(I308*L308)</f>
        <v>32148</v>
      </c>
      <c r="N308" s="454">
        <f t="shared" ref="N308:N371" si="193">IF(ISERROR(AVERAGEIFS(MNU_COSTO_UNITARIO_TIPOA_SELECCIONADO,MNU_CODIGO_ALIMENTO_ENTREGA,CONCATENATE($E308,"_","S_"))),0,AVERAGEIFS(MNU_COSTO_UNITARIO_TIPOA_SELECCIONADO,MNU_CODIGO_ALIMENTO_ENTREGA,CONCATENATE($E308,"_","S_")))</f>
        <v>194</v>
      </c>
      <c r="O308" s="454">
        <f t="shared" ref="O308:O371" si="194">(N308*0.01)+(N308*0.005)+(N308*0.02)+(N308*(13.8/1000))</f>
        <v>9.4672000000000001</v>
      </c>
      <c r="P308" s="454">
        <f t="shared" ref="P308:P371" si="195">((N308+O308)*0.00071)+((N308+O308)*0.00011)</f>
        <v>0.16684310399999999</v>
      </c>
      <c r="Q308" s="454">
        <f t="shared" ref="Q308:Q371" si="196">ROUND(N308+O308+P308,0)</f>
        <v>204</v>
      </c>
      <c r="R308" s="230">
        <f t="shared" ref="R308:R371" si="197">(H308*K308*N308)+(I308*L308*N308)</f>
        <v>6236712</v>
      </c>
      <c r="S308" s="230">
        <f t="shared" ref="S308:S371" si="198">(H308*K308*Q308)+(I308*L308*Q308)</f>
        <v>6558192</v>
      </c>
      <c r="T308" s="429">
        <f t="shared" ref="T308:T371" si="199">SUMIF(MNU_CODIGO_ALIMENTO_ENTREGA,CONCATENATE($E308,"_","S_"),MNU_FRECUENCIAS_LAV_TIPOB)</f>
        <v>19</v>
      </c>
      <c r="U308" s="429">
        <f t="shared" ref="U308:U371" si="200">SUMIF(MNU_CODIGO_ALIMENTO_ENTREGA,CONCATENATE($E308,"_","S_"),MNU_FRECUENCIAS_FDS_TIPOB)</f>
        <v>8</v>
      </c>
      <c r="V308" s="430">
        <f t="array" ref="V308">MAX((IF(MNU_CODIGO_ALIMENTO_ENTREGA=CONCATENATE($E308,"_","S_"),MNU_GRAMAJE_REQUERIDO_TIPOB,"")))</f>
        <v>100</v>
      </c>
      <c r="W308" s="397">
        <f t="shared" ref="W308:W371" si="201">SUMIF(VOL_GRUPO,CONCATENATE($A308,"1052-2NO"),VOL_TIPOB)</f>
        <v>873</v>
      </c>
      <c r="X308" s="397">
        <f t="shared" ref="X308:X371" si="202">SUMIF(VOL_GRUPO,CONCATENATE($A308,"1052-2SI"),VOL_TIPOB)</f>
        <v>0</v>
      </c>
      <c r="Y308" s="397">
        <f t="shared" ref="Y308:Y371" si="203">(T308*W308)+(U308*X308)</f>
        <v>16587</v>
      </c>
      <c r="Z308" s="454">
        <f t="shared" ref="Z308:Z371" si="204">IF(ISERROR(AVERAGEIFS(MNU_COSTO_UNITARIO_TIPOB_SELECCIONADO,MNU_CODIGO_ALIMENTO_ENTREGA,CONCATENATE($E308,"_","S_"))),0,AVERAGEIFS(MNU_COSTO_UNITARIO_TIPOB_SELECCIONADO,MNU_CODIGO_ALIMENTO_ENTREGA,CONCATENATE($E308,"_","S_")))</f>
        <v>194</v>
      </c>
      <c r="AA308" s="454">
        <f t="shared" ref="AA308:AA371" si="205">(Z308*0.01)+(Z308*0.005)+(Z308*0.02)+(Z308*(13.8/1000))</f>
        <v>9.4672000000000001</v>
      </c>
      <c r="AB308" s="454">
        <f t="shared" ref="AB308:AB371" si="206">((Z308+AA308)*0.00071)+((Z308+AA308)*0.00011)</f>
        <v>0.16684310399999999</v>
      </c>
      <c r="AC308" s="454">
        <f t="shared" ref="AC308:AC371" si="207">ROUND(Z308+AA308+AB308,0)</f>
        <v>204</v>
      </c>
      <c r="AD308" s="231">
        <f t="shared" ref="AD308:AD371" si="208">(T308*W308*Z308)+(U308*X308*Z308)</f>
        <v>3217878</v>
      </c>
      <c r="AE308" s="231">
        <f t="shared" ref="AE308:AE371" si="209">(T308*W308*AC308)+(U308*X308*AC308)</f>
        <v>3383748</v>
      </c>
      <c r="AF308" s="427">
        <f t="shared" ref="AF308:AF371" si="210">SUMIF(MNU_CODIGO_ALIMENTO_ENTREGA,CONCATENATE($E308,"_","S_"),MNU_FRECUENCIAS_LAV_TIPOC)</f>
        <v>19</v>
      </c>
      <c r="AG308" s="427">
        <f t="shared" ref="AG308:AG371" si="211">SUMIF(MNU_CODIGO_ALIMENTO_ENTREGA,CONCATENATE($E308,"_","S_"),MNU_FRECUENCIAS_FDS_TIPOC)</f>
        <v>8</v>
      </c>
      <c r="AH308" s="428">
        <f t="array" ref="AH308">MAX((IF(MNU_CODIGO_ALIMENTO_ENTREGA=CONCATENATE($E308,"_","S_"),MNU_GRAMAJE_REQUERIDO_TIPOC,"")))</f>
        <v>100</v>
      </c>
      <c r="AI308" s="229">
        <f t="shared" ref="AI308:AI371" si="212">SUMIF(VOL_GRUPO,CONCATENATE($A308,"1052-2NO"),VOL_TIPOC)</f>
        <v>1104</v>
      </c>
      <c r="AJ308" s="229">
        <f t="shared" ref="AJ308:AJ371" si="213">SUMIF(VOL_GRUPO,CONCATENATE($A308,"1052-2SI"),VOL_TIPOC)</f>
        <v>0</v>
      </c>
      <c r="AK308" s="229">
        <f t="shared" ref="AK308:AK371" si="214">(AF308*AI308)+(AG308*AJ308)</f>
        <v>20976</v>
      </c>
      <c r="AL308" s="454">
        <f t="shared" ref="AL308:AL371" si="215">IF(ISERROR(AVERAGEIFS(MNU_COSTO_UNITARIO_TIPOC_SELECCIONADO,MNU_CODIGO_ALIMENTO_ENTREGA,CONCATENATE($E308,"_","S_"))),0,AVERAGEIFS(MNU_COSTO_UNITARIO_TIPOC_SELECCIONADO,MNU_CODIGO_ALIMENTO_ENTREGA,CONCATENATE($E308,"_","S_")))</f>
        <v>194</v>
      </c>
      <c r="AM308" s="454">
        <f t="shared" ref="AM308:AM371" si="216">(AL308*0.01)+(AL308*0.005)+(AL308*0.02)+(AL308*(13.8/1000))</f>
        <v>9.4672000000000001</v>
      </c>
      <c r="AN308" s="454">
        <f t="shared" ref="AN308:AN371" si="217">((AL308+AM308)*0.00071)+((AL308+AM308)*0.00011)</f>
        <v>0.16684310399999999</v>
      </c>
      <c r="AO308" s="454">
        <f t="shared" ref="AO308:AO371" si="218">ROUND(AL308+AM308+AN308,0)</f>
        <v>204</v>
      </c>
      <c r="AP308" s="454">
        <f t="shared" ref="AP308:AP371" si="219">(AF308*AI308*AL308)+(AG308*AJ308*AL308)</f>
        <v>4069344</v>
      </c>
      <c r="AQ308" s="230">
        <f t="shared" ref="AQ308:AQ371" si="220">(AF308*AI308*AO308)+(AG308*AJ308*AO308)</f>
        <v>4279104</v>
      </c>
      <c r="AR308" s="397">
        <f t="shared" ref="AR308:AR371" si="221">R308+AD308+AP308</f>
        <v>13523934</v>
      </c>
      <c r="AS308" s="397">
        <f t="shared" ref="AS308:AS371" si="222">S308+AE308+AQ308</f>
        <v>14221044</v>
      </c>
    </row>
    <row r="309" spans="1:45" ht="15.75">
      <c r="A309" s="228">
        <v>23</v>
      </c>
      <c r="B309" s="228" t="str">
        <f t="shared" si="186"/>
        <v>FRUTA_23</v>
      </c>
      <c r="C309" s="338" t="str">
        <f t="shared" si="187"/>
        <v>43_23</v>
      </c>
      <c r="D309" s="398" t="s">
        <v>1</v>
      </c>
      <c r="E309" s="228">
        <v>43</v>
      </c>
      <c r="F309" s="332" t="s">
        <v>62</v>
      </c>
      <c r="G309" s="228" t="s">
        <v>9</v>
      </c>
      <c r="H309" s="427">
        <f t="shared" si="188"/>
        <v>29</v>
      </c>
      <c r="I309" s="427">
        <f t="shared" si="189"/>
        <v>6</v>
      </c>
      <c r="J309" s="428">
        <f t="array" ref="J309">MAX((IF(MNU_CODIGO_ALIMENTO_ENTREGA=CONCATENATE($E309,"_","S_"),MNU_GRAMAJE_REQUERIDO_TIPOA,"")))</f>
        <v>100</v>
      </c>
      <c r="K309" s="229">
        <f t="shared" si="190"/>
        <v>893</v>
      </c>
      <c r="L309" s="229">
        <f t="shared" si="191"/>
        <v>0</v>
      </c>
      <c r="M309" s="229">
        <f t="shared" si="192"/>
        <v>25897</v>
      </c>
      <c r="N309" s="454">
        <f t="shared" si="193"/>
        <v>170</v>
      </c>
      <c r="O309" s="454">
        <f t="shared" si="194"/>
        <v>8.2959999999999994</v>
      </c>
      <c r="P309" s="454">
        <f t="shared" si="195"/>
        <v>0.14620272000000001</v>
      </c>
      <c r="Q309" s="454">
        <f t="shared" si="196"/>
        <v>178</v>
      </c>
      <c r="R309" s="230">
        <f t="shared" si="197"/>
        <v>4402490</v>
      </c>
      <c r="S309" s="230">
        <f t="shared" si="198"/>
        <v>4609666</v>
      </c>
      <c r="T309" s="429">
        <f t="shared" si="199"/>
        <v>23</v>
      </c>
      <c r="U309" s="429">
        <f t="shared" si="200"/>
        <v>1</v>
      </c>
      <c r="V309" s="430">
        <f t="array" ref="V309">MAX((IF(MNU_CODIGO_ALIMENTO_ENTREGA=CONCATENATE($E309,"_","S_"),MNU_GRAMAJE_REQUERIDO_TIPOB,"")))</f>
        <v>100</v>
      </c>
      <c r="W309" s="397">
        <f t="shared" si="201"/>
        <v>873</v>
      </c>
      <c r="X309" s="397">
        <f t="shared" si="202"/>
        <v>0</v>
      </c>
      <c r="Y309" s="397">
        <f t="shared" si="203"/>
        <v>20079</v>
      </c>
      <c r="Z309" s="454">
        <f t="shared" si="204"/>
        <v>170</v>
      </c>
      <c r="AA309" s="454">
        <f t="shared" si="205"/>
        <v>8.2959999999999994</v>
      </c>
      <c r="AB309" s="454">
        <f t="shared" si="206"/>
        <v>0.14620272000000001</v>
      </c>
      <c r="AC309" s="454">
        <f t="shared" si="207"/>
        <v>178</v>
      </c>
      <c r="AD309" s="231">
        <f t="shared" si="208"/>
        <v>3413430</v>
      </c>
      <c r="AE309" s="231">
        <f t="shared" si="209"/>
        <v>3574062</v>
      </c>
      <c r="AF309" s="427">
        <f t="shared" si="210"/>
        <v>23</v>
      </c>
      <c r="AG309" s="427">
        <f t="shared" si="211"/>
        <v>1</v>
      </c>
      <c r="AH309" s="428">
        <f t="array" ref="AH309">MAX((IF(MNU_CODIGO_ALIMENTO_ENTREGA=CONCATENATE($E309,"_","S_"),MNU_GRAMAJE_REQUERIDO_TIPOC,"")))</f>
        <v>100</v>
      </c>
      <c r="AI309" s="229">
        <f t="shared" si="212"/>
        <v>1104</v>
      </c>
      <c r="AJ309" s="229">
        <f t="shared" si="213"/>
        <v>0</v>
      </c>
      <c r="AK309" s="229">
        <f t="shared" si="214"/>
        <v>25392</v>
      </c>
      <c r="AL309" s="454">
        <f t="shared" si="215"/>
        <v>170</v>
      </c>
      <c r="AM309" s="454">
        <f t="shared" si="216"/>
        <v>8.2959999999999994</v>
      </c>
      <c r="AN309" s="454">
        <f t="shared" si="217"/>
        <v>0.14620272000000001</v>
      </c>
      <c r="AO309" s="454">
        <f t="shared" si="218"/>
        <v>178</v>
      </c>
      <c r="AP309" s="454">
        <f t="shared" si="219"/>
        <v>4316640</v>
      </c>
      <c r="AQ309" s="230">
        <f t="shared" si="220"/>
        <v>4519776</v>
      </c>
      <c r="AR309" s="397">
        <f t="shared" si="221"/>
        <v>12132560</v>
      </c>
      <c r="AS309" s="397">
        <f t="shared" si="222"/>
        <v>12703504</v>
      </c>
    </row>
    <row r="310" spans="1:45" ht="15.75">
      <c r="A310" s="228">
        <v>23</v>
      </c>
      <c r="B310" s="228" t="str">
        <f t="shared" si="186"/>
        <v>FRUTA_23</v>
      </c>
      <c r="C310" s="338" t="str">
        <f t="shared" si="187"/>
        <v>46_23</v>
      </c>
      <c r="D310" s="398" t="s">
        <v>1</v>
      </c>
      <c r="E310" s="228">
        <v>46</v>
      </c>
      <c r="F310" s="332" t="s">
        <v>64</v>
      </c>
      <c r="G310" s="228" t="s">
        <v>9</v>
      </c>
      <c r="H310" s="427">
        <f t="shared" si="188"/>
        <v>29</v>
      </c>
      <c r="I310" s="427">
        <f t="shared" si="189"/>
        <v>4</v>
      </c>
      <c r="J310" s="428">
        <f t="array" ref="J310">MAX((IF(MNU_CODIGO_ALIMENTO_ENTREGA=CONCATENATE($E310,"_","S_"),MNU_GRAMAJE_REQUERIDO_TIPOA,"")))</f>
        <v>100</v>
      </c>
      <c r="K310" s="229">
        <f t="shared" si="190"/>
        <v>893</v>
      </c>
      <c r="L310" s="229">
        <f t="shared" si="191"/>
        <v>0</v>
      </c>
      <c r="M310" s="229">
        <f t="shared" si="192"/>
        <v>25897</v>
      </c>
      <c r="N310" s="454">
        <f t="shared" si="193"/>
        <v>398</v>
      </c>
      <c r="O310" s="454">
        <f t="shared" si="194"/>
        <v>19.4224</v>
      </c>
      <c r="P310" s="454">
        <f t="shared" si="195"/>
        <v>0.34228636800000001</v>
      </c>
      <c r="Q310" s="454">
        <f t="shared" si="196"/>
        <v>418</v>
      </c>
      <c r="R310" s="230">
        <f t="shared" si="197"/>
        <v>10307006</v>
      </c>
      <c r="S310" s="230">
        <f t="shared" si="198"/>
        <v>10824946</v>
      </c>
      <c r="T310" s="429">
        <f t="shared" si="199"/>
        <v>24</v>
      </c>
      <c r="U310" s="429">
        <f t="shared" si="200"/>
        <v>3</v>
      </c>
      <c r="V310" s="430">
        <f t="array" ref="V310">MAX((IF(MNU_CODIGO_ALIMENTO_ENTREGA=CONCATENATE($E310,"_","S_"),MNU_GRAMAJE_REQUERIDO_TIPOB,"")))</f>
        <v>100</v>
      </c>
      <c r="W310" s="397">
        <f t="shared" si="201"/>
        <v>873</v>
      </c>
      <c r="X310" s="397">
        <f t="shared" si="202"/>
        <v>0</v>
      </c>
      <c r="Y310" s="397">
        <f t="shared" si="203"/>
        <v>20952</v>
      </c>
      <c r="Z310" s="454">
        <f t="shared" si="204"/>
        <v>398</v>
      </c>
      <c r="AA310" s="454">
        <f t="shared" si="205"/>
        <v>19.4224</v>
      </c>
      <c r="AB310" s="454">
        <f t="shared" si="206"/>
        <v>0.34228636800000001</v>
      </c>
      <c r="AC310" s="454">
        <f t="shared" si="207"/>
        <v>418</v>
      </c>
      <c r="AD310" s="231">
        <f t="shared" si="208"/>
        <v>8338896</v>
      </c>
      <c r="AE310" s="231">
        <f t="shared" si="209"/>
        <v>8757936</v>
      </c>
      <c r="AF310" s="427">
        <f t="shared" si="210"/>
        <v>24</v>
      </c>
      <c r="AG310" s="427">
        <f t="shared" si="211"/>
        <v>3</v>
      </c>
      <c r="AH310" s="428">
        <f t="array" ref="AH310">MAX((IF(MNU_CODIGO_ALIMENTO_ENTREGA=CONCATENATE($E310,"_","S_"),MNU_GRAMAJE_REQUERIDO_TIPOC,"")))</f>
        <v>100</v>
      </c>
      <c r="AI310" s="229">
        <f t="shared" si="212"/>
        <v>1104</v>
      </c>
      <c r="AJ310" s="229">
        <f t="shared" si="213"/>
        <v>0</v>
      </c>
      <c r="AK310" s="229">
        <f t="shared" si="214"/>
        <v>26496</v>
      </c>
      <c r="AL310" s="454">
        <f t="shared" si="215"/>
        <v>398</v>
      </c>
      <c r="AM310" s="454">
        <f t="shared" si="216"/>
        <v>19.4224</v>
      </c>
      <c r="AN310" s="454">
        <f t="shared" si="217"/>
        <v>0.34228636800000001</v>
      </c>
      <c r="AO310" s="454">
        <f t="shared" si="218"/>
        <v>418</v>
      </c>
      <c r="AP310" s="454">
        <f t="shared" si="219"/>
        <v>10545408</v>
      </c>
      <c r="AQ310" s="230">
        <f t="shared" si="220"/>
        <v>11075328</v>
      </c>
      <c r="AR310" s="397">
        <f t="shared" si="221"/>
        <v>29191310</v>
      </c>
      <c r="AS310" s="397">
        <f t="shared" si="222"/>
        <v>30658210</v>
      </c>
    </row>
    <row r="311" spans="1:45" ht="15.75">
      <c r="A311" s="228">
        <v>23</v>
      </c>
      <c r="B311" s="228" t="str">
        <f t="shared" si="186"/>
        <v>FRUTA_23</v>
      </c>
      <c r="C311" s="338" t="str">
        <f t="shared" si="187"/>
        <v>58_23</v>
      </c>
      <c r="D311" s="398" t="s">
        <v>1</v>
      </c>
      <c r="E311" s="228">
        <v>58</v>
      </c>
      <c r="F311" s="332" t="s">
        <v>67</v>
      </c>
      <c r="G311" s="228" t="s">
        <v>9</v>
      </c>
      <c r="H311" s="427">
        <f t="shared" si="188"/>
        <v>28</v>
      </c>
      <c r="I311" s="427">
        <f t="shared" si="189"/>
        <v>5</v>
      </c>
      <c r="J311" s="428">
        <f t="array" ref="J311">MAX((IF(MNU_CODIGO_ALIMENTO_ENTREGA=CONCATENATE($E311,"_","S_"),MNU_GRAMAJE_REQUERIDO_TIPOA,"")))</f>
        <v>100</v>
      </c>
      <c r="K311" s="229">
        <f t="shared" si="190"/>
        <v>893</v>
      </c>
      <c r="L311" s="229">
        <f t="shared" si="191"/>
        <v>0</v>
      </c>
      <c r="M311" s="229">
        <f t="shared" si="192"/>
        <v>25004</v>
      </c>
      <c r="N311" s="454">
        <f t="shared" si="193"/>
        <v>154</v>
      </c>
      <c r="O311" s="454">
        <f t="shared" si="194"/>
        <v>7.515200000000001</v>
      </c>
      <c r="P311" s="454">
        <f t="shared" si="195"/>
        <v>0.13244246400000001</v>
      </c>
      <c r="Q311" s="454">
        <f t="shared" si="196"/>
        <v>162</v>
      </c>
      <c r="R311" s="230">
        <f t="shared" si="197"/>
        <v>3850616</v>
      </c>
      <c r="S311" s="230">
        <f t="shared" si="198"/>
        <v>4050648</v>
      </c>
      <c r="T311" s="429">
        <f t="shared" si="199"/>
        <v>23</v>
      </c>
      <c r="U311" s="429">
        <f t="shared" si="200"/>
        <v>3</v>
      </c>
      <c r="V311" s="430">
        <f t="array" ref="V311">MAX((IF(MNU_CODIGO_ALIMENTO_ENTREGA=CONCATENATE($E311,"_","S_"),MNU_GRAMAJE_REQUERIDO_TIPOB,"")))</f>
        <v>100</v>
      </c>
      <c r="W311" s="397">
        <f t="shared" si="201"/>
        <v>873</v>
      </c>
      <c r="X311" s="397">
        <f t="shared" si="202"/>
        <v>0</v>
      </c>
      <c r="Y311" s="397">
        <f t="shared" si="203"/>
        <v>20079</v>
      </c>
      <c r="Z311" s="454">
        <f t="shared" si="204"/>
        <v>154</v>
      </c>
      <c r="AA311" s="454">
        <f t="shared" si="205"/>
        <v>7.515200000000001</v>
      </c>
      <c r="AB311" s="454">
        <f t="shared" si="206"/>
        <v>0.13244246400000001</v>
      </c>
      <c r="AC311" s="454">
        <f t="shared" si="207"/>
        <v>162</v>
      </c>
      <c r="AD311" s="231">
        <f t="shared" si="208"/>
        <v>3092166</v>
      </c>
      <c r="AE311" s="231">
        <f t="shared" si="209"/>
        <v>3252798</v>
      </c>
      <c r="AF311" s="427">
        <f t="shared" si="210"/>
        <v>23</v>
      </c>
      <c r="AG311" s="427">
        <f t="shared" si="211"/>
        <v>3</v>
      </c>
      <c r="AH311" s="428">
        <f t="array" ref="AH311">MAX((IF(MNU_CODIGO_ALIMENTO_ENTREGA=CONCATENATE($E311,"_","S_"),MNU_GRAMAJE_REQUERIDO_TIPOC,"")))</f>
        <v>100</v>
      </c>
      <c r="AI311" s="229">
        <f t="shared" si="212"/>
        <v>1104</v>
      </c>
      <c r="AJ311" s="229">
        <f t="shared" si="213"/>
        <v>0</v>
      </c>
      <c r="AK311" s="229">
        <f t="shared" si="214"/>
        <v>25392</v>
      </c>
      <c r="AL311" s="454">
        <f t="shared" si="215"/>
        <v>154</v>
      </c>
      <c r="AM311" s="454">
        <f t="shared" si="216"/>
        <v>7.515200000000001</v>
      </c>
      <c r="AN311" s="454">
        <f t="shared" si="217"/>
        <v>0.13244246400000001</v>
      </c>
      <c r="AO311" s="454">
        <f t="shared" si="218"/>
        <v>162</v>
      </c>
      <c r="AP311" s="454">
        <f t="shared" si="219"/>
        <v>3910368</v>
      </c>
      <c r="AQ311" s="230">
        <f t="shared" si="220"/>
        <v>4113504</v>
      </c>
      <c r="AR311" s="397">
        <f t="shared" si="221"/>
        <v>10853150</v>
      </c>
      <c r="AS311" s="397">
        <f t="shared" si="222"/>
        <v>11416950</v>
      </c>
    </row>
    <row r="312" spans="1:45" ht="15.75">
      <c r="A312" s="228">
        <v>23</v>
      </c>
      <c r="B312" s="228" t="str">
        <f t="shared" si="186"/>
        <v>FRUTA_23</v>
      </c>
      <c r="C312" s="338" t="str">
        <f t="shared" si="187"/>
        <v>59_23</v>
      </c>
      <c r="D312" s="398" t="s">
        <v>1</v>
      </c>
      <c r="E312" s="228">
        <v>59</v>
      </c>
      <c r="F312" s="332" t="s">
        <v>99</v>
      </c>
      <c r="G312" s="228" t="s">
        <v>9</v>
      </c>
      <c r="H312" s="427">
        <f t="shared" si="188"/>
        <v>0</v>
      </c>
      <c r="I312" s="427">
        <f t="shared" si="189"/>
        <v>0</v>
      </c>
      <c r="J312" s="428">
        <f t="array" ref="J312">MAX((IF(MNU_CODIGO_ALIMENTO_ENTREGA=CONCATENATE($E312,"_","S_"),MNU_GRAMAJE_REQUERIDO_TIPOA,"")))</f>
        <v>0</v>
      </c>
      <c r="K312" s="229">
        <f t="shared" si="190"/>
        <v>893</v>
      </c>
      <c r="L312" s="229">
        <f t="shared" si="191"/>
        <v>0</v>
      </c>
      <c r="M312" s="229">
        <f t="shared" si="192"/>
        <v>0</v>
      </c>
      <c r="N312" s="454">
        <f t="shared" si="193"/>
        <v>0</v>
      </c>
      <c r="O312" s="454">
        <f t="shared" si="194"/>
        <v>0</v>
      </c>
      <c r="P312" s="454">
        <f t="shared" si="195"/>
        <v>0</v>
      </c>
      <c r="Q312" s="454">
        <f t="shared" si="196"/>
        <v>0</v>
      </c>
      <c r="R312" s="230">
        <f t="shared" si="197"/>
        <v>0</v>
      </c>
      <c r="S312" s="230">
        <f t="shared" si="198"/>
        <v>0</v>
      </c>
      <c r="T312" s="429">
        <f t="shared" si="199"/>
        <v>11</v>
      </c>
      <c r="U312" s="429">
        <f t="shared" si="200"/>
        <v>0</v>
      </c>
      <c r="V312" s="430">
        <f t="array" ref="V312">MAX((IF(MNU_CODIGO_ALIMENTO_ENTREGA=CONCATENATE($E312,"_","S_"),MNU_GRAMAJE_REQUERIDO_TIPOB,"")))</f>
        <v>100</v>
      </c>
      <c r="W312" s="397">
        <f t="shared" si="201"/>
        <v>873</v>
      </c>
      <c r="X312" s="397">
        <f t="shared" si="202"/>
        <v>0</v>
      </c>
      <c r="Y312" s="397">
        <f t="shared" si="203"/>
        <v>9603</v>
      </c>
      <c r="Z312" s="454">
        <f t="shared" si="204"/>
        <v>286</v>
      </c>
      <c r="AA312" s="454">
        <f t="shared" si="205"/>
        <v>13.956800000000001</v>
      </c>
      <c r="AB312" s="454">
        <f t="shared" si="206"/>
        <v>0.24596457599999999</v>
      </c>
      <c r="AC312" s="454">
        <f t="shared" si="207"/>
        <v>300</v>
      </c>
      <c r="AD312" s="231">
        <f t="shared" si="208"/>
        <v>2746458</v>
      </c>
      <c r="AE312" s="231">
        <f t="shared" si="209"/>
        <v>2880900</v>
      </c>
      <c r="AF312" s="427">
        <f t="shared" si="210"/>
        <v>11</v>
      </c>
      <c r="AG312" s="427">
        <f t="shared" si="211"/>
        <v>0</v>
      </c>
      <c r="AH312" s="428">
        <f t="array" ref="AH312">MAX((IF(MNU_CODIGO_ALIMENTO_ENTREGA=CONCATENATE($E312,"_","S_"),MNU_GRAMAJE_REQUERIDO_TIPOC,"")))</f>
        <v>100</v>
      </c>
      <c r="AI312" s="229">
        <f t="shared" si="212"/>
        <v>1104</v>
      </c>
      <c r="AJ312" s="229">
        <f t="shared" si="213"/>
        <v>0</v>
      </c>
      <c r="AK312" s="229">
        <f t="shared" si="214"/>
        <v>12144</v>
      </c>
      <c r="AL312" s="454">
        <f t="shared" si="215"/>
        <v>286</v>
      </c>
      <c r="AM312" s="454">
        <f t="shared" si="216"/>
        <v>13.956800000000001</v>
      </c>
      <c r="AN312" s="454">
        <f t="shared" si="217"/>
        <v>0.24596457599999999</v>
      </c>
      <c r="AO312" s="454">
        <f t="shared" si="218"/>
        <v>300</v>
      </c>
      <c r="AP312" s="454">
        <f t="shared" si="219"/>
        <v>3473184</v>
      </c>
      <c r="AQ312" s="230">
        <f t="shared" si="220"/>
        <v>3643200</v>
      </c>
      <c r="AR312" s="397">
        <f t="shared" si="221"/>
        <v>6219642</v>
      </c>
      <c r="AS312" s="397">
        <f t="shared" si="222"/>
        <v>6524100</v>
      </c>
    </row>
    <row r="313" spans="1:45" ht="15.75">
      <c r="A313" s="228">
        <v>23</v>
      </c>
      <c r="B313" s="228" t="str">
        <f t="shared" si="186"/>
        <v>FRUTA_23</v>
      </c>
      <c r="C313" s="338" t="str">
        <f t="shared" si="187"/>
        <v>69_23</v>
      </c>
      <c r="D313" s="398" t="s">
        <v>1</v>
      </c>
      <c r="E313" s="228">
        <v>69</v>
      </c>
      <c r="F313" s="332" t="s">
        <v>70</v>
      </c>
      <c r="G313" s="228" t="s">
        <v>9</v>
      </c>
      <c r="H313" s="427">
        <f t="shared" si="188"/>
        <v>18</v>
      </c>
      <c r="I313" s="427">
        <f t="shared" si="189"/>
        <v>2</v>
      </c>
      <c r="J313" s="428">
        <f t="array" ref="J313">MAX((IF(MNU_CODIGO_ALIMENTO_ENTREGA=CONCATENATE($E313,"_","S_"),MNU_GRAMAJE_REQUERIDO_TIPOA,"")))</f>
        <v>100</v>
      </c>
      <c r="K313" s="229">
        <f t="shared" si="190"/>
        <v>893</v>
      </c>
      <c r="L313" s="229">
        <f t="shared" si="191"/>
        <v>0</v>
      </c>
      <c r="M313" s="229">
        <f t="shared" si="192"/>
        <v>16074</v>
      </c>
      <c r="N313" s="454">
        <f t="shared" si="193"/>
        <v>305</v>
      </c>
      <c r="O313" s="454">
        <f t="shared" si="194"/>
        <v>14.884</v>
      </c>
      <c r="P313" s="454">
        <f t="shared" si="195"/>
        <v>0.26230488000000002</v>
      </c>
      <c r="Q313" s="454">
        <f t="shared" si="196"/>
        <v>320</v>
      </c>
      <c r="R313" s="230">
        <f t="shared" si="197"/>
        <v>4902570</v>
      </c>
      <c r="S313" s="230">
        <f t="shared" si="198"/>
        <v>5143680</v>
      </c>
      <c r="T313" s="429">
        <f t="shared" si="199"/>
        <v>12</v>
      </c>
      <c r="U313" s="429">
        <f t="shared" si="200"/>
        <v>2</v>
      </c>
      <c r="V313" s="430">
        <f t="array" ref="V313">MAX((IF(MNU_CODIGO_ALIMENTO_ENTREGA=CONCATENATE($E313,"_","S_"),MNU_GRAMAJE_REQUERIDO_TIPOB,"")))</f>
        <v>100</v>
      </c>
      <c r="W313" s="397">
        <f t="shared" si="201"/>
        <v>873</v>
      </c>
      <c r="X313" s="397">
        <f t="shared" si="202"/>
        <v>0</v>
      </c>
      <c r="Y313" s="397">
        <f t="shared" si="203"/>
        <v>10476</v>
      </c>
      <c r="Z313" s="454">
        <f t="shared" si="204"/>
        <v>305</v>
      </c>
      <c r="AA313" s="454">
        <f t="shared" si="205"/>
        <v>14.884</v>
      </c>
      <c r="AB313" s="454">
        <f t="shared" si="206"/>
        <v>0.26230488000000002</v>
      </c>
      <c r="AC313" s="454">
        <f t="shared" si="207"/>
        <v>320</v>
      </c>
      <c r="AD313" s="231">
        <f t="shared" si="208"/>
        <v>3195180</v>
      </c>
      <c r="AE313" s="231">
        <f t="shared" si="209"/>
        <v>3352320</v>
      </c>
      <c r="AF313" s="427">
        <f t="shared" si="210"/>
        <v>12</v>
      </c>
      <c r="AG313" s="427">
        <f t="shared" si="211"/>
        <v>2</v>
      </c>
      <c r="AH313" s="428">
        <f t="array" ref="AH313">MAX((IF(MNU_CODIGO_ALIMENTO_ENTREGA=CONCATENATE($E313,"_","S_"),MNU_GRAMAJE_REQUERIDO_TIPOC,"")))</f>
        <v>100</v>
      </c>
      <c r="AI313" s="229">
        <f t="shared" si="212"/>
        <v>1104</v>
      </c>
      <c r="AJ313" s="229">
        <f t="shared" si="213"/>
        <v>0</v>
      </c>
      <c r="AK313" s="229">
        <f t="shared" si="214"/>
        <v>13248</v>
      </c>
      <c r="AL313" s="454">
        <f t="shared" si="215"/>
        <v>305</v>
      </c>
      <c r="AM313" s="454">
        <f t="shared" si="216"/>
        <v>14.884</v>
      </c>
      <c r="AN313" s="454">
        <f t="shared" si="217"/>
        <v>0.26230488000000002</v>
      </c>
      <c r="AO313" s="454">
        <f t="shared" si="218"/>
        <v>320</v>
      </c>
      <c r="AP313" s="454">
        <f t="shared" si="219"/>
        <v>4040640</v>
      </c>
      <c r="AQ313" s="230">
        <f t="shared" si="220"/>
        <v>4239360</v>
      </c>
      <c r="AR313" s="397">
        <f t="shared" si="221"/>
        <v>12138390</v>
      </c>
      <c r="AS313" s="397">
        <f t="shared" si="222"/>
        <v>12735360</v>
      </c>
    </row>
    <row r="314" spans="1:45" ht="15.75">
      <c r="A314" s="228">
        <v>23</v>
      </c>
      <c r="B314" s="228" t="str">
        <f t="shared" si="186"/>
        <v>FRUTA_23</v>
      </c>
      <c r="C314" s="338" t="str">
        <f t="shared" si="187"/>
        <v>70_23</v>
      </c>
      <c r="D314" s="398" t="s">
        <v>1</v>
      </c>
      <c r="E314" s="228">
        <v>70</v>
      </c>
      <c r="F314" s="332" t="s">
        <v>71</v>
      </c>
      <c r="G314" s="228" t="s">
        <v>9</v>
      </c>
      <c r="H314" s="427">
        <f t="shared" si="188"/>
        <v>0</v>
      </c>
      <c r="I314" s="427">
        <f t="shared" si="189"/>
        <v>0</v>
      </c>
      <c r="J314" s="428">
        <f t="array" ref="J314">MAX((IF(MNU_CODIGO_ALIMENTO_ENTREGA=CONCATENATE($E314,"_","S_"),MNU_GRAMAJE_REQUERIDO_TIPOA,"")))</f>
        <v>0</v>
      </c>
      <c r="K314" s="229">
        <f t="shared" si="190"/>
        <v>893</v>
      </c>
      <c r="L314" s="229">
        <f t="shared" si="191"/>
        <v>0</v>
      </c>
      <c r="M314" s="229">
        <f t="shared" si="192"/>
        <v>0</v>
      </c>
      <c r="N314" s="454">
        <f t="shared" si="193"/>
        <v>0</v>
      </c>
      <c r="O314" s="454">
        <f t="shared" si="194"/>
        <v>0</v>
      </c>
      <c r="P314" s="454">
        <f t="shared" si="195"/>
        <v>0</v>
      </c>
      <c r="Q314" s="454">
        <f t="shared" si="196"/>
        <v>0</v>
      </c>
      <c r="R314" s="230">
        <f t="shared" si="197"/>
        <v>0</v>
      </c>
      <c r="S314" s="230">
        <f t="shared" si="198"/>
        <v>0</v>
      </c>
      <c r="T314" s="429">
        <f t="shared" si="199"/>
        <v>8</v>
      </c>
      <c r="U314" s="429">
        <f t="shared" si="200"/>
        <v>4</v>
      </c>
      <c r="V314" s="430">
        <f t="array" ref="V314">MAX((IF(MNU_CODIGO_ALIMENTO_ENTREGA=CONCATENATE($E314,"_","S_"),MNU_GRAMAJE_REQUERIDO_TIPOB,"")))</f>
        <v>100</v>
      </c>
      <c r="W314" s="397">
        <f t="shared" si="201"/>
        <v>873</v>
      </c>
      <c r="X314" s="397">
        <f t="shared" si="202"/>
        <v>0</v>
      </c>
      <c r="Y314" s="397">
        <f t="shared" si="203"/>
        <v>6984</v>
      </c>
      <c r="Z314" s="454">
        <f t="shared" si="204"/>
        <v>434</v>
      </c>
      <c r="AA314" s="454">
        <f t="shared" si="205"/>
        <v>21.179200000000002</v>
      </c>
      <c r="AB314" s="454">
        <f t="shared" si="206"/>
        <v>0.37324694399999997</v>
      </c>
      <c r="AC314" s="454">
        <f t="shared" si="207"/>
        <v>456</v>
      </c>
      <c r="AD314" s="231">
        <f t="shared" si="208"/>
        <v>3031056</v>
      </c>
      <c r="AE314" s="231">
        <f t="shared" si="209"/>
        <v>3184704</v>
      </c>
      <c r="AF314" s="427">
        <f t="shared" si="210"/>
        <v>8</v>
      </c>
      <c r="AG314" s="427">
        <f t="shared" si="211"/>
        <v>4</v>
      </c>
      <c r="AH314" s="428">
        <f t="array" ref="AH314">MAX((IF(MNU_CODIGO_ALIMENTO_ENTREGA=CONCATENATE($E314,"_","S_"),MNU_GRAMAJE_REQUERIDO_TIPOC,"")))</f>
        <v>100</v>
      </c>
      <c r="AI314" s="229">
        <f t="shared" si="212"/>
        <v>1104</v>
      </c>
      <c r="AJ314" s="229">
        <f t="shared" si="213"/>
        <v>0</v>
      </c>
      <c r="AK314" s="229">
        <f t="shared" si="214"/>
        <v>8832</v>
      </c>
      <c r="AL314" s="454">
        <f t="shared" si="215"/>
        <v>434</v>
      </c>
      <c r="AM314" s="454">
        <f t="shared" si="216"/>
        <v>21.179200000000002</v>
      </c>
      <c r="AN314" s="454">
        <f t="shared" si="217"/>
        <v>0.37324694399999997</v>
      </c>
      <c r="AO314" s="454">
        <f t="shared" si="218"/>
        <v>456</v>
      </c>
      <c r="AP314" s="454">
        <f t="shared" si="219"/>
        <v>3833088</v>
      </c>
      <c r="AQ314" s="230">
        <f t="shared" si="220"/>
        <v>4027392</v>
      </c>
      <c r="AR314" s="397">
        <f t="shared" si="221"/>
        <v>6864144</v>
      </c>
      <c r="AS314" s="397">
        <f t="shared" si="222"/>
        <v>7212096</v>
      </c>
    </row>
    <row r="315" spans="1:45" ht="15.75">
      <c r="A315" s="228">
        <v>24</v>
      </c>
      <c r="B315" s="228" t="str">
        <f t="shared" si="186"/>
        <v>FRUTA_24</v>
      </c>
      <c r="C315" s="338" t="str">
        <f t="shared" si="187"/>
        <v>7_24</v>
      </c>
      <c r="D315" s="398" t="s">
        <v>1</v>
      </c>
      <c r="E315" s="228">
        <v>7</v>
      </c>
      <c r="F315" s="332" t="s">
        <v>57</v>
      </c>
      <c r="G315" s="228" t="s">
        <v>9</v>
      </c>
      <c r="H315" s="427">
        <f t="shared" si="188"/>
        <v>31</v>
      </c>
      <c r="I315" s="427">
        <f t="shared" si="189"/>
        <v>0</v>
      </c>
      <c r="J315" s="428">
        <f t="array" ref="J315">MAX((IF(MNU_CODIGO_ALIMENTO_ENTREGA=CONCATENATE($E315,"_","S_"),MNU_GRAMAJE_REQUERIDO_TIPOA,"")))</f>
        <v>100</v>
      </c>
      <c r="K315" s="229">
        <f t="shared" si="190"/>
        <v>264</v>
      </c>
      <c r="L315" s="229">
        <f t="shared" si="191"/>
        <v>0</v>
      </c>
      <c r="M315" s="229">
        <f t="shared" si="192"/>
        <v>8184</v>
      </c>
      <c r="N315" s="454">
        <f t="shared" si="193"/>
        <v>107</v>
      </c>
      <c r="O315" s="454">
        <f t="shared" si="194"/>
        <v>5.2216000000000005</v>
      </c>
      <c r="P315" s="454">
        <f t="shared" si="195"/>
        <v>9.2021712000000006E-2</v>
      </c>
      <c r="Q315" s="454">
        <f t="shared" si="196"/>
        <v>112</v>
      </c>
      <c r="R315" s="230">
        <f t="shared" si="197"/>
        <v>875688</v>
      </c>
      <c r="S315" s="230">
        <f t="shared" si="198"/>
        <v>916608</v>
      </c>
      <c r="T315" s="429">
        <f t="shared" si="199"/>
        <v>11</v>
      </c>
      <c r="U315" s="429">
        <f t="shared" si="200"/>
        <v>0</v>
      </c>
      <c r="V315" s="430">
        <f t="array" ref="V315">MAX((IF(MNU_CODIGO_ALIMENTO_ENTREGA=CONCATENATE($E315,"_","S_"),MNU_GRAMAJE_REQUERIDO_TIPOB,"")))</f>
        <v>100</v>
      </c>
      <c r="W315" s="397">
        <f t="shared" si="201"/>
        <v>765</v>
      </c>
      <c r="X315" s="397">
        <f t="shared" si="202"/>
        <v>0</v>
      </c>
      <c r="Y315" s="397">
        <f t="shared" si="203"/>
        <v>8415</v>
      </c>
      <c r="Z315" s="454">
        <f t="shared" si="204"/>
        <v>107</v>
      </c>
      <c r="AA315" s="454">
        <f t="shared" si="205"/>
        <v>5.2216000000000005</v>
      </c>
      <c r="AB315" s="454">
        <f t="shared" si="206"/>
        <v>9.2021712000000006E-2</v>
      </c>
      <c r="AC315" s="454">
        <f t="shared" si="207"/>
        <v>112</v>
      </c>
      <c r="AD315" s="231">
        <f t="shared" si="208"/>
        <v>900405</v>
      </c>
      <c r="AE315" s="231">
        <f t="shared" si="209"/>
        <v>942480</v>
      </c>
      <c r="AF315" s="427">
        <f t="shared" si="210"/>
        <v>11</v>
      </c>
      <c r="AG315" s="427">
        <f t="shared" si="211"/>
        <v>0</v>
      </c>
      <c r="AH315" s="428">
        <f t="array" ref="AH315">MAX((IF(MNU_CODIGO_ALIMENTO_ENTREGA=CONCATENATE($E315,"_","S_"),MNU_GRAMAJE_REQUERIDO_TIPOC,"")))</f>
        <v>100</v>
      </c>
      <c r="AI315" s="229">
        <f t="shared" si="212"/>
        <v>1254</v>
      </c>
      <c r="AJ315" s="229">
        <f t="shared" si="213"/>
        <v>0</v>
      </c>
      <c r="AK315" s="229">
        <f t="shared" si="214"/>
        <v>13794</v>
      </c>
      <c r="AL315" s="454">
        <f t="shared" si="215"/>
        <v>107</v>
      </c>
      <c r="AM315" s="454">
        <f t="shared" si="216"/>
        <v>5.2216000000000005</v>
      </c>
      <c r="AN315" s="454">
        <f t="shared" si="217"/>
        <v>9.2021712000000006E-2</v>
      </c>
      <c r="AO315" s="454">
        <f t="shared" si="218"/>
        <v>112</v>
      </c>
      <c r="AP315" s="454">
        <f t="shared" si="219"/>
        <v>1475958</v>
      </c>
      <c r="AQ315" s="230">
        <f t="shared" si="220"/>
        <v>1544928</v>
      </c>
      <c r="AR315" s="397">
        <f t="shared" si="221"/>
        <v>3252051</v>
      </c>
      <c r="AS315" s="397">
        <f t="shared" si="222"/>
        <v>3404016</v>
      </c>
    </row>
    <row r="316" spans="1:45" ht="15.75">
      <c r="A316" s="228">
        <v>24</v>
      </c>
      <c r="B316" s="228" t="str">
        <f t="shared" si="186"/>
        <v>FRUTA_24</v>
      </c>
      <c r="C316" s="338" t="str">
        <f t="shared" si="187"/>
        <v>8_24</v>
      </c>
      <c r="D316" s="398" t="s">
        <v>1</v>
      </c>
      <c r="E316" s="228">
        <v>8</v>
      </c>
      <c r="F316" s="332" t="s">
        <v>55</v>
      </c>
      <c r="G316" s="228" t="s">
        <v>9</v>
      </c>
      <c r="H316" s="427">
        <f t="shared" si="188"/>
        <v>11</v>
      </c>
      <c r="I316" s="427">
        <f t="shared" si="189"/>
        <v>0</v>
      </c>
      <c r="J316" s="428">
        <f t="array" ref="J316">MAX((IF(MNU_CODIGO_ALIMENTO_ENTREGA=CONCATENATE($E316,"_","S_"),MNU_GRAMAJE_REQUERIDO_TIPOA,"")))</f>
        <v>100</v>
      </c>
      <c r="K316" s="229">
        <f t="shared" si="190"/>
        <v>264</v>
      </c>
      <c r="L316" s="229">
        <f t="shared" si="191"/>
        <v>0</v>
      </c>
      <c r="M316" s="229">
        <f t="shared" si="192"/>
        <v>2904</v>
      </c>
      <c r="N316" s="454">
        <f t="shared" si="193"/>
        <v>134</v>
      </c>
      <c r="O316" s="454">
        <f t="shared" si="194"/>
        <v>6.539200000000001</v>
      </c>
      <c r="P316" s="454">
        <f t="shared" si="195"/>
        <v>0.115242144</v>
      </c>
      <c r="Q316" s="454">
        <f t="shared" si="196"/>
        <v>141</v>
      </c>
      <c r="R316" s="230">
        <f t="shared" si="197"/>
        <v>389136</v>
      </c>
      <c r="S316" s="230">
        <f t="shared" si="198"/>
        <v>409464</v>
      </c>
      <c r="T316" s="429">
        <f t="shared" si="199"/>
        <v>11</v>
      </c>
      <c r="U316" s="429">
        <f t="shared" si="200"/>
        <v>0</v>
      </c>
      <c r="V316" s="430">
        <f t="array" ref="V316">MAX((IF(MNU_CODIGO_ALIMENTO_ENTREGA=CONCATENATE($E316,"_","S_"),MNU_GRAMAJE_REQUERIDO_TIPOB,"")))</f>
        <v>100</v>
      </c>
      <c r="W316" s="397">
        <f t="shared" si="201"/>
        <v>765</v>
      </c>
      <c r="X316" s="397">
        <f t="shared" si="202"/>
        <v>0</v>
      </c>
      <c r="Y316" s="397">
        <f t="shared" si="203"/>
        <v>8415</v>
      </c>
      <c r="Z316" s="454">
        <f t="shared" si="204"/>
        <v>134</v>
      </c>
      <c r="AA316" s="454">
        <f t="shared" si="205"/>
        <v>6.539200000000001</v>
      </c>
      <c r="AB316" s="454">
        <f t="shared" si="206"/>
        <v>0.115242144</v>
      </c>
      <c r="AC316" s="454">
        <f t="shared" si="207"/>
        <v>141</v>
      </c>
      <c r="AD316" s="231">
        <f t="shared" si="208"/>
        <v>1127610</v>
      </c>
      <c r="AE316" s="231">
        <f t="shared" si="209"/>
        <v>1186515</v>
      </c>
      <c r="AF316" s="427">
        <f t="shared" si="210"/>
        <v>11</v>
      </c>
      <c r="AG316" s="427">
        <f t="shared" si="211"/>
        <v>0</v>
      </c>
      <c r="AH316" s="428">
        <f t="array" ref="AH316">MAX((IF(MNU_CODIGO_ALIMENTO_ENTREGA=CONCATENATE($E316,"_","S_"),MNU_GRAMAJE_REQUERIDO_TIPOC,"")))</f>
        <v>100</v>
      </c>
      <c r="AI316" s="229">
        <f t="shared" si="212"/>
        <v>1254</v>
      </c>
      <c r="AJ316" s="229">
        <f t="shared" si="213"/>
        <v>0</v>
      </c>
      <c r="AK316" s="229">
        <f t="shared" si="214"/>
        <v>13794</v>
      </c>
      <c r="AL316" s="454">
        <f t="shared" si="215"/>
        <v>134</v>
      </c>
      <c r="AM316" s="454">
        <f t="shared" si="216"/>
        <v>6.539200000000001</v>
      </c>
      <c r="AN316" s="454">
        <f t="shared" si="217"/>
        <v>0.115242144</v>
      </c>
      <c r="AO316" s="454">
        <f t="shared" si="218"/>
        <v>141</v>
      </c>
      <c r="AP316" s="454">
        <f t="shared" si="219"/>
        <v>1848396</v>
      </c>
      <c r="AQ316" s="230">
        <f t="shared" si="220"/>
        <v>1944954</v>
      </c>
      <c r="AR316" s="397">
        <f t="shared" si="221"/>
        <v>3365142</v>
      </c>
      <c r="AS316" s="397">
        <f t="shared" si="222"/>
        <v>3540933</v>
      </c>
    </row>
    <row r="317" spans="1:45" ht="15.75">
      <c r="A317" s="228">
        <v>24</v>
      </c>
      <c r="B317" s="228" t="str">
        <f t="shared" si="186"/>
        <v>FRUTA_24</v>
      </c>
      <c r="C317" s="338" t="str">
        <f t="shared" si="187"/>
        <v>17_24</v>
      </c>
      <c r="D317" s="398" t="s">
        <v>1</v>
      </c>
      <c r="E317" s="228">
        <v>17</v>
      </c>
      <c r="F317" s="332" t="s">
        <v>53</v>
      </c>
      <c r="G317" s="228" t="s">
        <v>9</v>
      </c>
      <c r="H317" s="427">
        <f t="shared" si="188"/>
        <v>0</v>
      </c>
      <c r="I317" s="427">
        <f t="shared" si="189"/>
        <v>0</v>
      </c>
      <c r="J317" s="428">
        <f t="array" ref="J317">MAX((IF(MNU_CODIGO_ALIMENTO_ENTREGA=CONCATENATE($E317,"_","S_"),MNU_GRAMAJE_REQUERIDO_TIPOA,"")))</f>
        <v>0</v>
      </c>
      <c r="K317" s="229">
        <f t="shared" si="190"/>
        <v>264</v>
      </c>
      <c r="L317" s="229">
        <f t="shared" si="191"/>
        <v>0</v>
      </c>
      <c r="M317" s="229">
        <f t="shared" si="192"/>
        <v>0</v>
      </c>
      <c r="N317" s="454">
        <f t="shared" si="193"/>
        <v>0</v>
      </c>
      <c r="O317" s="454">
        <f t="shared" si="194"/>
        <v>0</v>
      </c>
      <c r="P317" s="454">
        <f t="shared" si="195"/>
        <v>0</v>
      </c>
      <c r="Q317" s="454">
        <f t="shared" si="196"/>
        <v>0</v>
      </c>
      <c r="R317" s="230">
        <f t="shared" si="197"/>
        <v>0</v>
      </c>
      <c r="S317" s="230">
        <f t="shared" si="198"/>
        <v>0</v>
      </c>
      <c r="T317" s="429">
        <f t="shared" si="199"/>
        <v>23</v>
      </c>
      <c r="U317" s="429">
        <f t="shared" si="200"/>
        <v>4</v>
      </c>
      <c r="V317" s="430">
        <f t="array" ref="V317">MAX((IF(MNU_CODIGO_ALIMENTO_ENTREGA=CONCATENATE($E317,"_","S_"),MNU_GRAMAJE_REQUERIDO_TIPOB,"")))</f>
        <v>100</v>
      </c>
      <c r="W317" s="397">
        <f t="shared" si="201"/>
        <v>765</v>
      </c>
      <c r="X317" s="397">
        <f t="shared" si="202"/>
        <v>0</v>
      </c>
      <c r="Y317" s="397">
        <f t="shared" si="203"/>
        <v>17595</v>
      </c>
      <c r="Z317" s="454">
        <f t="shared" si="204"/>
        <v>226</v>
      </c>
      <c r="AA317" s="454">
        <f t="shared" si="205"/>
        <v>11.0288</v>
      </c>
      <c r="AB317" s="454">
        <f t="shared" si="206"/>
        <v>0.19436361600000002</v>
      </c>
      <c r="AC317" s="454">
        <f t="shared" si="207"/>
        <v>237</v>
      </c>
      <c r="AD317" s="231">
        <f t="shared" si="208"/>
        <v>3976470</v>
      </c>
      <c r="AE317" s="231">
        <f t="shared" si="209"/>
        <v>4170015</v>
      </c>
      <c r="AF317" s="427">
        <f t="shared" si="210"/>
        <v>23</v>
      </c>
      <c r="AG317" s="427">
        <f t="shared" si="211"/>
        <v>4</v>
      </c>
      <c r="AH317" s="428">
        <f t="array" ref="AH317">MAX((IF(MNU_CODIGO_ALIMENTO_ENTREGA=CONCATENATE($E317,"_","S_"),MNU_GRAMAJE_REQUERIDO_TIPOC,"")))</f>
        <v>100</v>
      </c>
      <c r="AI317" s="229">
        <f t="shared" si="212"/>
        <v>1254</v>
      </c>
      <c r="AJ317" s="229">
        <f t="shared" si="213"/>
        <v>0</v>
      </c>
      <c r="AK317" s="229">
        <f t="shared" si="214"/>
        <v>28842</v>
      </c>
      <c r="AL317" s="454">
        <f t="shared" si="215"/>
        <v>226</v>
      </c>
      <c r="AM317" s="454">
        <f t="shared" si="216"/>
        <v>11.0288</v>
      </c>
      <c r="AN317" s="454">
        <f t="shared" si="217"/>
        <v>0.19436361600000002</v>
      </c>
      <c r="AO317" s="454">
        <f t="shared" si="218"/>
        <v>237</v>
      </c>
      <c r="AP317" s="454">
        <f t="shared" si="219"/>
        <v>6518292</v>
      </c>
      <c r="AQ317" s="230">
        <f t="shared" si="220"/>
        <v>6835554</v>
      </c>
      <c r="AR317" s="397">
        <f t="shared" si="221"/>
        <v>10494762</v>
      </c>
      <c r="AS317" s="397">
        <f t="shared" si="222"/>
        <v>11005569</v>
      </c>
    </row>
    <row r="318" spans="1:45" ht="15.75">
      <c r="A318" s="228">
        <v>24</v>
      </c>
      <c r="B318" s="228" t="str">
        <f t="shared" si="186"/>
        <v>FRUTA_24</v>
      </c>
      <c r="C318" s="338" t="str">
        <f t="shared" si="187"/>
        <v>22_24</v>
      </c>
      <c r="D318" s="398" t="s">
        <v>1</v>
      </c>
      <c r="E318" s="228">
        <v>22</v>
      </c>
      <c r="F318" s="332" t="s">
        <v>51</v>
      </c>
      <c r="G318" s="228" t="s">
        <v>9</v>
      </c>
      <c r="H318" s="427">
        <f t="shared" si="188"/>
        <v>0</v>
      </c>
      <c r="I318" s="427">
        <f t="shared" si="189"/>
        <v>0</v>
      </c>
      <c r="J318" s="428">
        <f t="array" ref="J318">MAX((IF(MNU_CODIGO_ALIMENTO_ENTREGA=CONCATENATE($E318,"_","S_"),MNU_GRAMAJE_REQUERIDO_TIPOA,"")))</f>
        <v>0</v>
      </c>
      <c r="K318" s="229">
        <f t="shared" si="190"/>
        <v>264</v>
      </c>
      <c r="L318" s="229">
        <f t="shared" si="191"/>
        <v>0</v>
      </c>
      <c r="M318" s="229">
        <f t="shared" si="192"/>
        <v>0</v>
      </c>
      <c r="N318" s="454">
        <f t="shared" si="193"/>
        <v>0</v>
      </c>
      <c r="O318" s="454">
        <f t="shared" si="194"/>
        <v>0</v>
      </c>
      <c r="P318" s="454">
        <f t="shared" si="195"/>
        <v>0</v>
      </c>
      <c r="Q318" s="454">
        <f t="shared" si="196"/>
        <v>0</v>
      </c>
      <c r="R318" s="230">
        <f t="shared" si="197"/>
        <v>0</v>
      </c>
      <c r="S318" s="230">
        <f t="shared" si="198"/>
        <v>0</v>
      </c>
      <c r="T318" s="429">
        <f t="shared" si="199"/>
        <v>23</v>
      </c>
      <c r="U318" s="429">
        <f t="shared" si="200"/>
        <v>4</v>
      </c>
      <c r="V318" s="430">
        <f t="array" ref="V318">MAX((IF(MNU_CODIGO_ALIMENTO_ENTREGA=CONCATENATE($E318,"_","S_"),MNU_GRAMAJE_REQUERIDO_TIPOB,"")))</f>
        <v>100</v>
      </c>
      <c r="W318" s="397">
        <f t="shared" si="201"/>
        <v>765</v>
      </c>
      <c r="X318" s="397">
        <f t="shared" si="202"/>
        <v>0</v>
      </c>
      <c r="Y318" s="397">
        <f t="shared" si="203"/>
        <v>17595</v>
      </c>
      <c r="Z318" s="454">
        <f t="shared" si="204"/>
        <v>525</v>
      </c>
      <c r="AA318" s="454">
        <f t="shared" si="205"/>
        <v>25.62</v>
      </c>
      <c r="AB318" s="454">
        <f t="shared" si="206"/>
        <v>0.45150840000000003</v>
      </c>
      <c r="AC318" s="454">
        <f t="shared" si="207"/>
        <v>551</v>
      </c>
      <c r="AD318" s="231">
        <f t="shared" si="208"/>
        <v>9237375</v>
      </c>
      <c r="AE318" s="231">
        <f t="shared" si="209"/>
        <v>9694845</v>
      </c>
      <c r="AF318" s="427">
        <f t="shared" si="210"/>
        <v>23</v>
      </c>
      <c r="AG318" s="427">
        <f t="shared" si="211"/>
        <v>4</v>
      </c>
      <c r="AH318" s="428">
        <f t="array" ref="AH318">MAX((IF(MNU_CODIGO_ALIMENTO_ENTREGA=CONCATENATE($E318,"_","S_"),MNU_GRAMAJE_REQUERIDO_TIPOC,"")))</f>
        <v>100</v>
      </c>
      <c r="AI318" s="229">
        <f t="shared" si="212"/>
        <v>1254</v>
      </c>
      <c r="AJ318" s="229">
        <f t="shared" si="213"/>
        <v>0</v>
      </c>
      <c r="AK318" s="229">
        <f t="shared" si="214"/>
        <v>28842</v>
      </c>
      <c r="AL318" s="454">
        <f t="shared" si="215"/>
        <v>525</v>
      </c>
      <c r="AM318" s="454">
        <f t="shared" si="216"/>
        <v>25.62</v>
      </c>
      <c r="AN318" s="454">
        <f t="shared" si="217"/>
        <v>0.45150840000000003</v>
      </c>
      <c r="AO318" s="454">
        <f t="shared" si="218"/>
        <v>551</v>
      </c>
      <c r="AP318" s="454">
        <f t="shared" si="219"/>
        <v>15142050</v>
      </c>
      <c r="AQ318" s="230">
        <f t="shared" si="220"/>
        <v>15891942</v>
      </c>
      <c r="AR318" s="397">
        <f t="shared" si="221"/>
        <v>24379425</v>
      </c>
      <c r="AS318" s="397">
        <f t="shared" si="222"/>
        <v>25586787</v>
      </c>
    </row>
    <row r="319" spans="1:45" ht="15.75">
      <c r="A319" s="228">
        <v>24</v>
      </c>
      <c r="B319" s="228" t="str">
        <f t="shared" si="186"/>
        <v>FRUTA_24</v>
      </c>
      <c r="C319" s="338" t="str">
        <f t="shared" si="187"/>
        <v>33_24</v>
      </c>
      <c r="D319" s="398" t="s">
        <v>1</v>
      </c>
      <c r="E319" s="228">
        <v>33</v>
      </c>
      <c r="F319" s="332" t="s">
        <v>59</v>
      </c>
      <c r="G319" s="228" t="s">
        <v>48</v>
      </c>
      <c r="H319" s="427">
        <f t="shared" si="188"/>
        <v>29</v>
      </c>
      <c r="I319" s="427">
        <f t="shared" si="189"/>
        <v>5</v>
      </c>
      <c r="J319" s="428">
        <v>1</v>
      </c>
      <c r="K319" s="229">
        <f t="shared" si="190"/>
        <v>264</v>
      </c>
      <c r="L319" s="229">
        <f t="shared" si="191"/>
        <v>0</v>
      </c>
      <c r="M319" s="229">
        <f t="shared" si="192"/>
        <v>7656</v>
      </c>
      <c r="N319" s="454">
        <f t="shared" si="193"/>
        <v>270</v>
      </c>
      <c r="O319" s="454">
        <f t="shared" si="194"/>
        <v>13.176000000000002</v>
      </c>
      <c r="P319" s="454">
        <f t="shared" si="195"/>
        <v>0.23220432000000002</v>
      </c>
      <c r="Q319" s="454">
        <f t="shared" si="196"/>
        <v>283</v>
      </c>
      <c r="R319" s="230">
        <f t="shared" si="197"/>
        <v>2067120</v>
      </c>
      <c r="S319" s="230">
        <f t="shared" si="198"/>
        <v>2166648</v>
      </c>
      <c r="T319" s="429">
        <f t="shared" si="199"/>
        <v>23</v>
      </c>
      <c r="U319" s="429">
        <f t="shared" si="200"/>
        <v>2</v>
      </c>
      <c r="V319" s="430">
        <v>1</v>
      </c>
      <c r="W319" s="397">
        <f t="shared" si="201"/>
        <v>765</v>
      </c>
      <c r="X319" s="397">
        <f t="shared" si="202"/>
        <v>0</v>
      </c>
      <c r="Y319" s="397">
        <f t="shared" si="203"/>
        <v>17595</v>
      </c>
      <c r="Z319" s="454">
        <f t="shared" si="204"/>
        <v>270</v>
      </c>
      <c r="AA319" s="454">
        <f t="shared" si="205"/>
        <v>13.176000000000002</v>
      </c>
      <c r="AB319" s="454">
        <f t="shared" si="206"/>
        <v>0.23220432000000002</v>
      </c>
      <c r="AC319" s="454">
        <f t="shared" si="207"/>
        <v>283</v>
      </c>
      <c r="AD319" s="231">
        <f t="shared" si="208"/>
        <v>4750650</v>
      </c>
      <c r="AE319" s="231">
        <f t="shared" si="209"/>
        <v>4979385</v>
      </c>
      <c r="AF319" s="427">
        <f t="shared" si="210"/>
        <v>23</v>
      </c>
      <c r="AG319" s="427">
        <f t="shared" si="211"/>
        <v>2</v>
      </c>
      <c r="AH319" s="428">
        <v>1</v>
      </c>
      <c r="AI319" s="229">
        <f t="shared" si="212"/>
        <v>1254</v>
      </c>
      <c r="AJ319" s="229">
        <f t="shared" si="213"/>
        <v>0</v>
      </c>
      <c r="AK319" s="229">
        <f t="shared" si="214"/>
        <v>28842</v>
      </c>
      <c r="AL319" s="454">
        <f t="shared" si="215"/>
        <v>270</v>
      </c>
      <c r="AM319" s="454">
        <f t="shared" si="216"/>
        <v>13.176000000000002</v>
      </c>
      <c r="AN319" s="454">
        <f t="shared" si="217"/>
        <v>0.23220432000000002</v>
      </c>
      <c r="AO319" s="454">
        <f t="shared" si="218"/>
        <v>283</v>
      </c>
      <c r="AP319" s="454">
        <f t="shared" si="219"/>
        <v>7787340</v>
      </c>
      <c r="AQ319" s="230">
        <f t="shared" si="220"/>
        <v>8162286</v>
      </c>
      <c r="AR319" s="397">
        <f t="shared" si="221"/>
        <v>14605110</v>
      </c>
      <c r="AS319" s="397">
        <f t="shared" si="222"/>
        <v>15308319</v>
      </c>
    </row>
    <row r="320" spans="1:45" ht="15.75">
      <c r="A320" s="228">
        <v>24</v>
      </c>
      <c r="B320" s="228" t="str">
        <f t="shared" si="186"/>
        <v>FRUTA_24</v>
      </c>
      <c r="C320" s="338" t="str">
        <f t="shared" si="187"/>
        <v>36_24</v>
      </c>
      <c r="D320" s="398" t="s">
        <v>1</v>
      </c>
      <c r="E320" s="228">
        <v>36</v>
      </c>
      <c r="F320" s="332" t="s">
        <v>1340</v>
      </c>
      <c r="G320" s="228" t="s">
        <v>9</v>
      </c>
      <c r="H320" s="427">
        <f t="shared" si="188"/>
        <v>8</v>
      </c>
      <c r="I320" s="427">
        <f t="shared" si="189"/>
        <v>0</v>
      </c>
      <c r="J320" s="428">
        <f t="array" ref="J320">MAX((IF(MNU_CODIGO_ALIMENTO_ENTREGA=CONCATENATE($E320,"_","S_"),MNU_GRAMAJE_REQUERIDO_TIPOA,"")))</f>
        <v>20</v>
      </c>
      <c r="K320" s="229">
        <f t="shared" si="190"/>
        <v>264</v>
      </c>
      <c r="L320" s="229">
        <f t="shared" si="191"/>
        <v>0</v>
      </c>
      <c r="M320" s="229">
        <f t="shared" si="192"/>
        <v>2112</v>
      </c>
      <c r="N320" s="454">
        <f t="shared" si="193"/>
        <v>126</v>
      </c>
      <c r="O320" s="454">
        <f t="shared" si="194"/>
        <v>6.1488000000000005</v>
      </c>
      <c r="P320" s="454">
        <f t="shared" si="195"/>
        <v>0.10836201599999999</v>
      </c>
      <c r="Q320" s="454">
        <f t="shared" si="196"/>
        <v>132</v>
      </c>
      <c r="R320" s="230">
        <f t="shared" si="197"/>
        <v>266112</v>
      </c>
      <c r="S320" s="230">
        <f t="shared" si="198"/>
        <v>278784</v>
      </c>
      <c r="T320" s="429">
        <f t="shared" si="199"/>
        <v>8</v>
      </c>
      <c r="U320" s="429">
        <f t="shared" si="200"/>
        <v>0</v>
      </c>
      <c r="V320" s="430">
        <f t="array" ref="V320">MAX((IF(MNU_CODIGO_ALIMENTO_ENTREGA=CONCATENATE($E320,"_","S_"),MNU_GRAMAJE_REQUERIDO_TIPOB,"")))</f>
        <v>40</v>
      </c>
      <c r="W320" s="397">
        <f t="shared" si="201"/>
        <v>765</v>
      </c>
      <c r="X320" s="397">
        <f t="shared" si="202"/>
        <v>0</v>
      </c>
      <c r="Y320" s="397">
        <f t="shared" si="203"/>
        <v>6120</v>
      </c>
      <c r="Z320" s="454">
        <f t="shared" si="204"/>
        <v>252</v>
      </c>
      <c r="AA320" s="454">
        <f t="shared" si="205"/>
        <v>12.297600000000001</v>
      </c>
      <c r="AB320" s="454">
        <f t="shared" si="206"/>
        <v>0.21672403199999998</v>
      </c>
      <c r="AC320" s="454">
        <f t="shared" si="207"/>
        <v>265</v>
      </c>
      <c r="AD320" s="231">
        <f t="shared" si="208"/>
        <v>1542240</v>
      </c>
      <c r="AE320" s="231">
        <f t="shared" si="209"/>
        <v>1621800</v>
      </c>
      <c r="AF320" s="427">
        <f t="shared" si="210"/>
        <v>8</v>
      </c>
      <c r="AG320" s="427">
        <f t="shared" si="211"/>
        <v>0</v>
      </c>
      <c r="AH320" s="428">
        <f t="array" ref="AH320">MAX((IF(MNU_CODIGO_ALIMENTO_ENTREGA=CONCATENATE($E320,"_","S_"),MNU_GRAMAJE_REQUERIDO_TIPOC,"")))</f>
        <v>40</v>
      </c>
      <c r="AI320" s="229">
        <f t="shared" si="212"/>
        <v>1254</v>
      </c>
      <c r="AJ320" s="229">
        <f t="shared" si="213"/>
        <v>0</v>
      </c>
      <c r="AK320" s="229">
        <f t="shared" si="214"/>
        <v>10032</v>
      </c>
      <c r="AL320" s="454">
        <f t="shared" si="215"/>
        <v>252</v>
      </c>
      <c r="AM320" s="454">
        <f t="shared" si="216"/>
        <v>12.297600000000001</v>
      </c>
      <c r="AN320" s="454">
        <f t="shared" si="217"/>
        <v>0.21672403199999998</v>
      </c>
      <c r="AO320" s="454">
        <f t="shared" si="218"/>
        <v>265</v>
      </c>
      <c r="AP320" s="454">
        <f t="shared" si="219"/>
        <v>2528064</v>
      </c>
      <c r="AQ320" s="230">
        <f t="shared" si="220"/>
        <v>2658480</v>
      </c>
      <c r="AR320" s="397">
        <f t="shared" si="221"/>
        <v>4336416</v>
      </c>
      <c r="AS320" s="397">
        <f t="shared" si="222"/>
        <v>4559064</v>
      </c>
    </row>
    <row r="321" spans="1:45" ht="15.75">
      <c r="A321" s="228">
        <v>24</v>
      </c>
      <c r="B321" s="228" t="str">
        <f t="shared" si="186"/>
        <v>FRUTA_24</v>
      </c>
      <c r="C321" s="338" t="str">
        <f t="shared" si="187"/>
        <v>42_24</v>
      </c>
      <c r="D321" s="398" t="s">
        <v>1</v>
      </c>
      <c r="E321" s="228">
        <v>42</v>
      </c>
      <c r="F321" s="332" t="s">
        <v>61</v>
      </c>
      <c r="G321" s="228" t="s">
        <v>9</v>
      </c>
      <c r="H321" s="427">
        <f t="shared" si="188"/>
        <v>36</v>
      </c>
      <c r="I321" s="427">
        <f t="shared" si="189"/>
        <v>8</v>
      </c>
      <c r="J321" s="428">
        <f t="array" ref="J321">MAX((IF(MNU_CODIGO_ALIMENTO_ENTREGA=CONCATENATE($E321,"_","S_"),MNU_GRAMAJE_REQUERIDO_TIPOA,"")))</f>
        <v>100</v>
      </c>
      <c r="K321" s="229">
        <f t="shared" si="190"/>
        <v>264</v>
      </c>
      <c r="L321" s="229">
        <f t="shared" si="191"/>
        <v>0</v>
      </c>
      <c r="M321" s="229">
        <f t="shared" si="192"/>
        <v>9504</v>
      </c>
      <c r="N321" s="454">
        <f t="shared" si="193"/>
        <v>194</v>
      </c>
      <c r="O321" s="454">
        <f t="shared" si="194"/>
        <v>9.4672000000000001</v>
      </c>
      <c r="P321" s="454">
        <f t="shared" si="195"/>
        <v>0.16684310399999999</v>
      </c>
      <c r="Q321" s="454">
        <f t="shared" si="196"/>
        <v>204</v>
      </c>
      <c r="R321" s="230">
        <f t="shared" si="197"/>
        <v>1843776</v>
      </c>
      <c r="S321" s="230">
        <f t="shared" si="198"/>
        <v>1938816</v>
      </c>
      <c r="T321" s="429">
        <f t="shared" si="199"/>
        <v>19</v>
      </c>
      <c r="U321" s="429">
        <f t="shared" si="200"/>
        <v>8</v>
      </c>
      <c r="V321" s="430">
        <f t="array" ref="V321">MAX((IF(MNU_CODIGO_ALIMENTO_ENTREGA=CONCATENATE($E321,"_","S_"),MNU_GRAMAJE_REQUERIDO_TIPOB,"")))</f>
        <v>100</v>
      </c>
      <c r="W321" s="397">
        <f t="shared" si="201"/>
        <v>765</v>
      </c>
      <c r="X321" s="397">
        <f t="shared" si="202"/>
        <v>0</v>
      </c>
      <c r="Y321" s="397">
        <f t="shared" si="203"/>
        <v>14535</v>
      </c>
      <c r="Z321" s="454">
        <f t="shared" si="204"/>
        <v>194</v>
      </c>
      <c r="AA321" s="454">
        <f t="shared" si="205"/>
        <v>9.4672000000000001</v>
      </c>
      <c r="AB321" s="454">
        <f t="shared" si="206"/>
        <v>0.16684310399999999</v>
      </c>
      <c r="AC321" s="454">
        <f t="shared" si="207"/>
        <v>204</v>
      </c>
      <c r="AD321" s="231">
        <f t="shared" si="208"/>
        <v>2819790</v>
      </c>
      <c r="AE321" s="231">
        <f t="shared" si="209"/>
        <v>2965140</v>
      </c>
      <c r="AF321" s="427">
        <f t="shared" si="210"/>
        <v>19</v>
      </c>
      <c r="AG321" s="427">
        <f t="shared" si="211"/>
        <v>8</v>
      </c>
      <c r="AH321" s="428">
        <f t="array" ref="AH321">MAX((IF(MNU_CODIGO_ALIMENTO_ENTREGA=CONCATENATE($E321,"_","S_"),MNU_GRAMAJE_REQUERIDO_TIPOC,"")))</f>
        <v>100</v>
      </c>
      <c r="AI321" s="229">
        <f t="shared" si="212"/>
        <v>1254</v>
      </c>
      <c r="AJ321" s="229">
        <f t="shared" si="213"/>
        <v>0</v>
      </c>
      <c r="AK321" s="229">
        <f t="shared" si="214"/>
        <v>23826</v>
      </c>
      <c r="AL321" s="454">
        <f t="shared" si="215"/>
        <v>194</v>
      </c>
      <c r="AM321" s="454">
        <f t="shared" si="216"/>
        <v>9.4672000000000001</v>
      </c>
      <c r="AN321" s="454">
        <f t="shared" si="217"/>
        <v>0.16684310399999999</v>
      </c>
      <c r="AO321" s="454">
        <f t="shared" si="218"/>
        <v>204</v>
      </c>
      <c r="AP321" s="454">
        <f t="shared" si="219"/>
        <v>4622244</v>
      </c>
      <c r="AQ321" s="230">
        <f t="shared" si="220"/>
        <v>4860504</v>
      </c>
      <c r="AR321" s="397">
        <f t="shared" si="221"/>
        <v>9285810</v>
      </c>
      <c r="AS321" s="397">
        <f t="shared" si="222"/>
        <v>9764460</v>
      </c>
    </row>
    <row r="322" spans="1:45" ht="15.75">
      <c r="A322" s="228">
        <v>24</v>
      </c>
      <c r="B322" s="228" t="str">
        <f t="shared" si="186"/>
        <v>FRUTA_24</v>
      </c>
      <c r="C322" s="338" t="str">
        <f t="shared" si="187"/>
        <v>43_24</v>
      </c>
      <c r="D322" s="398" t="s">
        <v>1</v>
      </c>
      <c r="E322" s="228">
        <v>43</v>
      </c>
      <c r="F322" s="332" t="s">
        <v>62</v>
      </c>
      <c r="G322" s="228" t="s">
        <v>9</v>
      </c>
      <c r="H322" s="427">
        <f t="shared" si="188"/>
        <v>29</v>
      </c>
      <c r="I322" s="427">
        <f t="shared" si="189"/>
        <v>6</v>
      </c>
      <c r="J322" s="428">
        <f t="array" ref="J322">MAX((IF(MNU_CODIGO_ALIMENTO_ENTREGA=CONCATENATE($E322,"_","S_"),MNU_GRAMAJE_REQUERIDO_TIPOA,"")))</f>
        <v>100</v>
      </c>
      <c r="K322" s="229">
        <f t="shared" si="190"/>
        <v>264</v>
      </c>
      <c r="L322" s="229">
        <f t="shared" si="191"/>
        <v>0</v>
      </c>
      <c r="M322" s="229">
        <f t="shared" si="192"/>
        <v>7656</v>
      </c>
      <c r="N322" s="454">
        <f t="shared" si="193"/>
        <v>170</v>
      </c>
      <c r="O322" s="454">
        <f t="shared" si="194"/>
        <v>8.2959999999999994</v>
      </c>
      <c r="P322" s="454">
        <f t="shared" si="195"/>
        <v>0.14620272000000001</v>
      </c>
      <c r="Q322" s="454">
        <f t="shared" si="196"/>
        <v>178</v>
      </c>
      <c r="R322" s="230">
        <f t="shared" si="197"/>
        <v>1301520</v>
      </c>
      <c r="S322" s="230">
        <f t="shared" si="198"/>
        <v>1362768</v>
      </c>
      <c r="T322" s="429">
        <f t="shared" si="199"/>
        <v>23</v>
      </c>
      <c r="U322" s="429">
        <f t="shared" si="200"/>
        <v>1</v>
      </c>
      <c r="V322" s="430">
        <f t="array" ref="V322">MAX((IF(MNU_CODIGO_ALIMENTO_ENTREGA=CONCATENATE($E322,"_","S_"),MNU_GRAMAJE_REQUERIDO_TIPOB,"")))</f>
        <v>100</v>
      </c>
      <c r="W322" s="397">
        <f t="shared" si="201"/>
        <v>765</v>
      </c>
      <c r="X322" s="397">
        <f t="shared" si="202"/>
        <v>0</v>
      </c>
      <c r="Y322" s="397">
        <f t="shared" si="203"/>
        <v>17595</v>
      </c>
      <c r="Z322" s="454">
        <f t="shared" si="204"/>
        <v>170</v>
      </c>
      <c r="AA322" s="454">
        <f t="shared" si="205"/>
        <v>8.2959999999999994</v>
      </c>
      <c r="AB322" s="454">
        <f t="shared" si="206"/>
        <v>0.14620272000000001</v>
      </c>
      <c r="AC322" s="454">
        <f t="shared" si="207"/>
        <v>178</v>
      </c>
      <c r="AD322" s="231">
        <f t="shared" si="208"/>
        <v>2991150</v>
      </c>
      <c r="AE322" s="231">
        <f t="shared" si="209"/>
        <v>3131910</v>
      </c>
      <c r="AF322" s="427">
        <f t="shared" si="210"/>
        <v>23</v>
      </c>
      <c r="AG322" s="427">
        <f t="shared" si="211"/>
        <v>1</v>
      </c>
      <c r="AH322" s="428">
        <f t="array" ref="AH322">MAX((IF(MNU_CODIGO_ALIMENTO_ENTREGA=CONCATENATE($E322,"_","S_"),MNU_GRAMAJE_REQUERIDO_TIPOC,"")))</f>
        <v>100</v>
      </c>
      <c r="AI322" s="229">
        <f t="shared" si="212"/>
        <v>1254</v>
      </c>
      <c r="AJ322" s="229">
        <f t="shared" si="213"/>
        <v>0</v>
      </c>
      <c r="AK322" s="229">
        <f t="shared" si="214"/>
        <v>28842</v>
      </c>
      <c r="AL322" s="454">
        <f t="shared" si="215"/>
        <v>170</v>
      </c>
      <c r="AM322" s="454">
        <f t="shared" si="216"/>
        <v>8.2959999999999994</v>
      </c>
      <c r="AN322" s="454">
        <f t="shared" si="217"/>
        <v>0.14620272000000001</v>
      </c>
      <c r="AO322" s="454">
        <f t="shared" si="218"/>
        <v>178</v>
      </c>
      <c r="AP322" s="454">
        <f t="shared" si="219"/>
        <v>4903140</v>
      </c>
      <c r="AQ322" s="230">
        <f t="shared" si="220"/>
        <v>5133876</v>
      </c>
      <c r="AR322" s="397">
        <f t="shared" si="221"/>
        <v>9195810</v>
      </c>
      <c r="AS322" s="397">
        <f t="shared" si="222"/>
        <v>9628554</v>
      </c>
    </row>
    <row r="323" spans="1:45" ht="15.75">
      <c r="A323" s="228">
        <v>24</v>
      </c>
      <c r="B323" s="228" t="str">
        <f t="shared" si="186"/>
        <v>FRUTA_24</v>
      </c>
      <c r="C323" s="338" t="str">
        <f t="shared" si="187"/>
        <v>46_24</v>
      </c>
      <c r="D323" s="398" t="s">
        <v>1</v>
      </c>
      <c r="E323" s="228">
        <v>46</v>
      </c>
      <c r="F323" s="332" t="s">
        <v>64</v>
      </c>
      <c r="G323" s="228" t="s">
        <v>9</v>
      </c>
      <c r="H323" s="427">
        <f t="shared" si="188"/>
        <v>29</v>
      </c>
      <c r="I323" s="427">
        <f t="shared" si="189"/>
        <v>4</v>
      </c>
      <c r="J323" s="428">
        <f t="array" ref="J323">MAX((IF(MNU_CODIGO_ALIMENTO_ENTREGA=CONCATENATE($E323,"_","S_"),MNU_GRAMAJE_REQUERIDO_TIPOA,"")))</f>
        <v>100</v>
      </c>
      <c r="K323" s="229">
        <f t="shared" si="190"/>
        <v>264</v>
      </c>
      <c r="L323" s="229">
        <f t="shared" si="191"/>
        <v>0</v>
      </c>
      <c r="M323" s="229">
        <f t="shared" si="192"/>
        <v>7656</v>
      </c>
      <c r="N323" s="454">
        <f t="shared" si="193"/>
        <v>398</v>
      </c>
      <c r="O323" s="454">
        <f t="shared" si="194"/>
        <v>19.4224</v>
      </c>
      <c r="P323" s="454">
        <f t="shared" si="195"/>
        <v>0.34228636800000001</v>
      </c>
      <c r="Q323" s="454">
        <f t="shared" si="196"/>
        <v>418</v>
      </c>
      <c r="R323" s="230">
        <f t="shared" si="197"/>
        <v>3047088</v>
      </c>
      <c r="S323" s="230">
        <f t="shared" si="198"/>
        <v>3200208</v>
      </c>
      <c r="T323" s="429">
        <f t="shared" si="199"/>
        <v>24</v>
      </c>
      <c r="U323" s="429">
        <f t="shared" si="200"/>
        <v>3</v>
      </c>
      <c r="V323" s="430">
        <f t="array" ref="V323">MAX((IF(MNU_CODIGO_ALIMENTO_ENTREGA=CONCATENATE($E323,"_","S_"),MNU_GRAMAJE_REQUERIDO_TIPOB,"")))</f>
        <v>100</v>
      </c>
      <c r="W323" s="397">
        <f t="shared" si="201"/>
        <v>765</v>
      </c>
      <c r="X323" s="397">
        <f t="shared" si="202"/>
        <v>0</v>
      </c>
      <c r="Y323" s="397">
        <f t="shared" si="203"/>
        <v>18360</v>
      </c>
      <c r="Z323" s="454">
        <f t="shared" si="204"/>
        <v>398</v>
      </c>
      <c r="AA323" s="454">
        <f t="shared" si="205"/>
        <v>19.4224</v>
      </c>
      <c r="AB323" s="454">
        <f t="shared" si="206"/>
        <v>0.34228636800000001</v>
      </c>
      <c r="AC323" s="454">
        <f t="shared" si="207"/>
        <v>418</v>
      </c>
      <c r="AD323" s="231">
        <f t="shared" si="208"/>
        <v>7307280</v>
      </c>
      <c r="AE323" s="231">
        <f t="shared" si="209"/>
        <v>7674480</v>
      </c>
      <c r="AF323" s="427">
        <f t="shared" si="210"/>
        <v>24</v>
      </c>
      <c r="AG323" s="427">
        <f t="shared" si="211"/>
        <v>3</v>
      </c>
      <c r="AH323" s="428">
        <f t="array" ref="AH323">MAX((IF(MNU_CODIGO_ALIMENTO_ENTREGA=CONCATENATE($E323,"_","S_"),MNU_GRAMAJE_REQUERIDO_TIPOC,"")))</f>
        <v>100</v>
      </c>
      <c r="AI323" s="229">
        <f t="shared" si="212"/>
        <v>1254</v>
      </c>
      <c r="AJ323" s="229">
        <f t="shared" si="213"/>
        <v>0</v>
      </c>
      <c r="AK323" s="229">
        <f t="shared" si="214"/>
        <v>30096</v>
      </c>
      <c r="AL323" s="454">
        <f t="shared" si="215"/>
        <v>398</v>
      </c>
      <c r="AM323" s="454">
        <f t="shared" si="216"/>
        <v>19.4224</v>
      </c>
      <c r="AN323" s="454">
        <f t="shared" si="217"/>
        <v>0.34228636800000001</v>
      </c>
      <c r="AO323" s="454">
        <f t="shared" si="218"/>
        <v>418</v>
      </c>
      <c r="AP323" s="454">
        <f t="shared" si="219"/>
        <v>11978208</v>
      </c>
      <c r="AQ323" s="230">
        <f t="shared" si="220"/>
        <v>12580128</v>
      </c>
      <c r="AR323" s="397">
        <f t="shared" si="221"/>
        <v>22332576</v>
      </c>
      <c r="AS323" s="397">
        <f t="shared" si="222"/>
        <v>23454816</v>
      </c>
    </row>
    <row r="324" spans="1:45" ht="15.75">
      <c r="A324" s="228">
        <v>24</v>
      </c>
      <c r="B324" s="228" t="str">
        <f t="shared" si="186"/>
        <v>FRUTA_24</v>
      </c>
      <c r="C324" s="338" t="str">
        <f t="shared" si="187"/>
        <v>58_24</v>
      </c>
      <c r="D324" s="398" t="s">
        <v>1</v>
      </c>
      <c r="E324" s="228">
        <v>58</v>
      </c>
      <c r="F324" s="332" t="s">
        <v>67</v>
      </c>
      <c r="G324" s="228" t="s">
        <v>9</v>
      </c>
      <c r="H324" s="427">
        <f t="shared" si="188"/>
        <v>28</v>
      </c>
      <c r="I324" s="427">
        <f t="shared" si="189"/>
        <v>5</v>
      </c>
      <c r="J324" s="428">
        <f t="array" ref="J324">MAX((IF(MNU_CODIGO_ALIMENTO_ENTREGA=CONCATENATE($E324,"_","S_"),MNU_GRAMAJE_REQUERIDO_TIPOA,"")))</f>
        <v>100</v>
      </c>
      <c r="K324" s="229">
        <f t="shared" si="190"/>
        <v>264</v>
      </c>
      <c r="L324" s="229">
        <f t="shared" si="191"/>
        <v>0</v>
      </c>
      <c r="M324" s="229">
        <f t="shared" si="192"/>
        <v>7392</v>
      </c>
      <c r="N324" s="454">
        <f t="shared" si="193"/>
        <v>154</v>
      </c>
      <c r="O324" s="454">
        <f t="shared" si="194"/>
        <v>7.515200000000001</v>
      </c>
      <c r="P324" s="454">
        <f t="shared" si="195"/>
        <v>0.13244246400000001</v>
      </c>
      <c r="Q324" s="454">
        <f t="shared" si="196"/>
        <v>162</v>
      </c>
      <c r="R324" s="230">
        <f t="shared" si="197"/>
        <v>1138368</v>
      </c>
      <c r="S324" s="230">
        <f t="shared" si="198"/>
        <v>1197504</v>
      </c>
      <c r="T324" s="429">
        <f t="shared" si="199"/>
        <v>23</v>
      </c>
      <c r="U324" s="429">
        <f t="shared" si="200"/>
        <v>3</v>
      </c>
      <c r="V324" s="430">
        <f t="array" ref="V324">MAX((IF(MNU_CODIGO_ALIMENTO_ENTREGA=CONCATENATE($E324,"_","S_"),MNU_GRAMAJE_REQUERIDO_TIPOB,"")))</f>
        <v>100</v>
      </c>
      <c r="W324" s="397">
        <f t="shared" si="201"/>
        <v>765</v>
      </c>
      <c r="X324" s="397">
        <f t="shared" si="202"/>
        <v>0</v>
      </c>
      <c r="Y324" s="397">
        <f t="shared" si="203"/>
        <v>17595</v>
      </c>
      <c r="Z324" s="454">
        <f t="shared" si="204"/>
        <v>154</v>
      </c>
      <c r="AA324" s="454">
        <f t="shared" si="205"/>
        <v>7.515200000000001</v>
      </c>
      <c r="AB324" s="454">
        <f t="shared" si="206"/>
        <v>0.13244246400000001</v>
      </c>
      <c r="AC324" s="454">
        <f t="shared" si="207"/>
        <v>162</v>
      </c>
      <c r="AD324" s="231">
        <f t="shared" si="208"/>
        <v>2709630</v>
      </c>
      <c r="AE324" s="231">
        <f t="shared" si="209"/>
        <v>2850390</v>
      </c>
      <c r="AF324" s="427">
        <f t="shared" si="210"/>
        <v>23</v>
      </c>
      <c r="AG324" s="427">
        <f t="shared" si="211"/>
        <v>3</v>
      </c>
      <c r="AH324" s="428">
        <f t="array" ref="AH324">MAX((IF(MNU_CODIGO_ALIMENTO_ENTREGA=CONCATENATE($E324,"_","S_"),MNU_GRAMAJE_REQUERIDO_TIPOC,"")))</f>
        <v>100</v>
      </c>
      <c r="AI324" s="229">
        <f t="shared" si="212"/>
        <v>1254</v>
      </c>
      <c r="AJ324" s="229">
        <f t="shared" si="213"/>
        <v>0</v>
      </c>
      <c r="AK324" s="229">
        <f t="shared" si="214"/>
        <v>28842</v>
      </c>
      <c r="AL324" s="454">
        <f t="shared" si="215"/>
        <v>154</v>
      </c>
      <c r="AM324" s="454">
        <f t="shared" si="216"/>
        <v>7.515200000000001</v>
      </c>
      <c r="AN324" s="454">
        <f t="shared" si="217"/>
        <v>0.13244246400000001</v>
      </c>
      <c r="AO324" s="454">
        <f t="shared" si="218"/>
        <v>162</v>
      </c>
      <c r="AP324" s="454">
        <f t="shared" si="219"/>
        <v>4441668</v>
      </c>
      <c r="AQ324" s="230">
        <f t="shared" si="220"/>
        <v>4672404</v>
      </c>
      <c r="AR324" s="397">
        <f t="shared" si="221"/>
        <v>8289666</v>
      </c>
      <c r="AS324" s="397">
        <f t="shared" si="222"/>
        <v>8720298</v>
      </c>
    </row>
    <row r="325" spans="1:45" ht="15.75">
      <c r="A325" s="228">
        <v>24</v>
      </c>
      <c r="B325" s="228" t="str">
        <f t="shared" si="186"/>
        <v>FRUTA_24</v>
      </c>
      <c r="C325" s="338" t="str">
        <f t="shared" si="187"/>
        <v>59_24</v>
      </c>
      <c r="D325" s="398" t="s">
        <v>1</v>
      </c>
      <c r="E325" s="228">
        <v>59</v>
      </c>
      <c r="F325" s="332" t="s">
        <v>99</v>
      </c>
      <c r="G325" s="228" t="s">
        <v>9</v>
      </c>
      <c r="H325" s="427">
        <f t="shared" si="188"/>
        <v>0</v>
      </c>
      <c r="I325" s="427">
        <f t="shared" si="189"/>
        <v>0</v>
      </c>
      <c r="J325" s="428">
        <f t="array" ref="J325">MAX((IF(MNU_CODIGO_ALIMENTO_ENTREGA=CONCATENATE($E325,"_","S_"),MNU_GRAMAJE_REQUERIDO_TIPOA,"")))</f>
        <v>0</v>
      </c>
      <c r="K325" s="229">
        <f t="shared" si="190"/>
        <v>264</v>
      </c>
      <c r="L325" s="229">
        <f t="shared" si="191"/>
        <v>0</v>
      </c>
      <c r="M325" s="229">
        <f t="shared" si="192"/>
        <v>0</v>
      </c>
      <c r="N325" s="454">
        <f t="shared" si="193"/>
        <v>0</v>
      </c>
      <c r="O325" s="454">
        <f t="shared" si="194"/>
        <v>0</v>
      </c>
      <c r="P325" s="454">
        <f t="shared" si="195"/>
        <v>0</v>
      </c>
      <c r="Q325" s="454">
        <f t="shared" si="196"/>
        <v>0</v>
      </c>
      <c r="R325" s="230">
        <f t="shared" si="197"/>
        <v>0</v>
      </c>
      <c r="S325" s="230">
        <f t="shared" si="198"/>
        <v>0</v>
      </c>
      <c r="T325" s="429">
        <f t="shared" si="199"/>
        <v>11</v>
      </c>
      <c r="U325" s="429">
        <f t="shared" si="200"/>
        <v>0</v>
      </c>
      <c r="V325" s="430">
        <f t="array" ref="V325">MAX((IF(MNU_CODIGO_ALIMENTO_ENTREGA=CONCATENATE($E325,"_","S_"),MNU_GRAMAJE_REQUERIDO_TIPOB,"")))</f>
        <v>100</v>
      </c>
      <c r="W325" s="397">
        <f t="shared" si="201"/>
        <v>765</v>
      </c>
      <c r="X325" s="397">
        <f t="shared" si="202"/>
        <v>0</v>
      </c>
      <c r="Y325" s="397">
        <f t="shared" si="203"/>
        <v>8415</v>
      </c>
      <c r="Z325" s="454">
        <f t="shared" si="204"/>
        <v>286</v>
      </c>
      <c r="AA325" s="454">
        <f t="shared" si="205"/>
        <v>13.956800000000001</v>
      </c>
      <c r="AB325" s="454">
        <f t="shared" si="206"/>
        <v>0.24596457599999999</v>
      </c>
      <c r="AC325" s="454">
        <f t="shared" si="207"/>
        <v>300</v>
      </c>
      <c r="AD325" s="231">
        <f t="shared" si="208"/>
        <v>2406690</v>
      </c>
      <c r="AE325" s="231">
        <f t="shared" si="209"/>
        <v>2524500</v>
      </c>
      <c r="AF325" s="427">
        <f t="shared" si="210"/>
        <v>11</v>
      </c>
      <c r="AG325" s="427">
        <f t="shared" si="211"/>
        <v>0</v>
      </c>
      <c r="AH325" s="428">
        <f t="array" ref="AH325">MAX((IF(MNU_CODIGO_ALIMENTO_ENTREGA=CONCATENATE($E325,"_","S_"),MNU_GRAMAJE_REQUERIDO_TIPOC,"")))</f>
        <v>100</v>
      </c>
      <c r="AI325" s="229">
        <f t="shared" si="212"/>
        <v>1254</v>
      </c>
      <c r="AJ325" s="229">
        <f t="shared" si="213"/>
        <v>0</v>
      </c>
      <c r="AK325" s="229">
        <f t="shared" si="214"/>
        <v>13794</v>
      </c>
      <c r="AL325" s="454">
        <f t="shared" si="215"/>
        <v>286</v>
      </c>
      <c r="AM325" s="454">
        <f t="shared" si="216"/>
        <v>13.956800000000001</v>
      </c>
      <c r="AN325" s="454">
        <f t="shared" si="217"/>
        <v>0.24596457599999999</v>
      </c>
      <c r="AO325" s="454">
        <f t="shared" si="218"/>
        <v>300</v>
      </c>
      <c r="AP325" s="454">
        <f t="shared" si="219"/>
        <v>3945084</v>
      </c>
      <c r="AQ325" s="230">
        <f t="shared" si="220"/>
        <v>4138200</v>
      </c>
      <c r="AR325" s="397">
        <f t="shared" si="221"/>
        <v>6351774</v>
      </c>
      <c r="AS325" s="397">
        <f t="shared" si="222"/>
        <v>6662700</v>
      </c>
    </row>
    <row r="326" spans="1:45" ht="15.75">
      <c r="A326" s="228">
        <v>24</v>
      </c>
      <c r="B326" s="228" t="str">
        <f t="shared" si="186"/>
        <v>FRUTA_24</v>
      </c>
      <c r="C326" s="338" t="str">
        <f t="shared" si="187"/>
        <v>69_24</v>
      </c>
      <c r="D326" s="398" t="s">
        <v>1</v>
      </c>
      <c r="E326" s="228">
        <v>69</v>
      </c>
      <c r="F326" s="332" t="s">
        <v>70</v>
      </c>
      <c r="G326" s="228" t="s">
        <v>9</v>
      </c>
      <c r="H326" s="427">
        <f t="shared" si="188"/>
        <v>18</v>
      </c>
      <c r="I326" s="427">
        <f t="shared" si="189"/>
        <v>2</v>
      </c>
      <c r="J326" s="428">
        <f t="array" ref="J326">MAX((IF(MNU_CODIGO_ALIMENTO_ENTREGA=CONCATENATE($E326,"_","S_"),MNU_GRAMAJE_REQUERIDO_TIPOA,"")))</f>
        <v>100</v>
      </c>
      <c r="K326" s="229">
        <f t="shared" si="190"/>
        <v>264</v>
      </c>
      <c r="L326" s="229">
        <f t="shared" si="191"/>
        <v>0</v>
      </c>
      <c r="M326" s="229">
        <f t="shared" si="192"/>
        <v>4752</v>
      </c>
      <c r="N326" s="454">
        <f t="shared" si="193"/>
        <v>305</v>
      </c>
      <c r="O326" s="454">
        <f t="shared" si="194"/>
        <v>14.884</v>
      </c>
      <c r="P326" s="454">
        <f t="shared" si="195"/>
        <v>0.26230488000000002</v>
      </c>
      <c r="Q326" s="454">
        <f t="shared" si="196"/>
        <v>320</v>
      </c>
      <c r="R326" s="230">
        <f t="shared" si="197"/>
        <v>1449360</v>
      </c>
      <c r="S326" s="230">
        <f t="shared" si="198"/>
        <v>1520640</v>
      </c>
      <c r="T326" s="429">
        <f t="shared" si="199"/>
        <v>12</v>
      </c>
      <c r="U326" s="429">
        <f t="shared" si="200"/>
        <v>2</v>
      </c>
      <c r="V326" s="430">
        <f t="array" ref="V326">MAX((IF(MNU_CODIGO_ALIMENTO_ENTREGA=CONCATENATE($E326,"_","S_"),MNU_GRAMAJE_REQUERIDO_TIPOB,"")))</f>
        <v>100</v>
      </c>
      <c r="W326" s="397">
        <f t="shared" si="201"/>
        <v>765</v>
      </c>
      <c r="X326" s="397">
        <f t="shared" si="202"/>
        <v>0</v>
      </c>
      <c r="Y326" s="397">
        <f t="shared" si="203"/>
        <v>9180</v>
      </c>
      <c r="Z326" s="454">
        <f t="shared" si="204"/>
        <v>305</v>
      </c>
      <c r="AA326" s="454">
        <f t="shared" si="205"/>
        <v>14.884</v>
      </c>
      <c r="AB326" s="454">
        <f t="shared" si="206"/>
        <v>0.26230488000000002</v>
      </c>
      <c r="AC326" s="454">
        <f t="shared" si="207"/>
        <v>320</v>
      </c>
      <c r="AD326" s="231">
        <f t="shared" si="208"/>
        <v>2799900</v>
      </c>
      <c r="AE326" s="231">
        <f t="shared" si="209"/>
        <v>2937600</v>
      </c>
      <c r="AF326" s="427">
        <f t="shared" si="210"/>
        <v>12</v>
      </c>
      <c r="AG326" s="427">
        <f t="shared" si="211"/>
        <v>2</v>
      </c>
      <c r="AH326" s="428">
        <f t="array" ref="AH326">MAX((IF(MNU_CODIGO_ALIMENTO_ENTREGA=CONCATENATE($E326,"_","S_"),MNU_GRAMAJE_REQUERIDO_TIPOC,"")))</f>
        <v>100</v>
      </c>
      <c r="AI326" s="229">
        <f t="shared" si="212"/>
        <v>1254</v>
      </c>
      <c r="AJ326" s="229">
        <f t="shared" si="213"/>
        <v>0</v>
      </c>
      <c r="AK326" s="229">
        <f t="shared" si="214"/>
        <v>15048</v>
      </c>
      <c r="AL326" s="454">
        <f t="shared" si="215"/>
        <v>305</v>
      </c>
      <c r="AM326" s="454">
        <f t="shared" si="216"/>
        <v>14.884</v>
      </c>
      <c r="AN326" s="454">
        <f t="shared" si="217"/>
        <v>0.26230488000000002</v>
      </c>
      <c r="AO326" s="454">
        <f t="shared" si="218"/>
        <v>320</v>
      </c>
      <c r="AP326" s="454">
        <f t="shared" si="219"/>
        <v>4589640</v>
      </c>
      <c r="AQ326" s="230">
        <f t="shared" si="220"/>
        <v>4815360</v>
      </c>
      <c r="AR326" s="397">
        <f t="shared" si="221"/>
        <v>8838900</v>
      </c>
      <c r="AS326" s="397">
        <f t="shared" si="222"/>
        <v>9273600</v>
      </c>
    </row>
    <row r="327" spans="1:45" ht="15.75">
      <c r="A327" s="228">
        <v>24</v>
      </c>
      <c r="B327" s="228" t="str">
        <f t="shared" si="186"/>
        <v>FRUTA_24</v>
      </c>
      <c r="C327" s="338" t="str">
        <f t="shared" si="187"/>
        <v>70_24</v>
      </c>
      <c r="D327" s="398" t="s">
        <v>1</v>
      </c>
      <c r="E327" s="228">
        <v>70</v>
      </c>
      <c r="F327" s="332" t="s">
        <v>71</v>
      </c>
      <c r="G327" s="228" t="s">
        <v>9</v>
      </c>
      <c r="H327" s="427">
        <f t="shared" si="188"/>
        <v>0</v>
      </c>
      <c r="I327" s="427">
        <f t="shared" si="189"/>
        <v>0</v>
      </c>
      <c r="J327" s="428">
        <f t="array" ref="J327">MAX((IF(MNU_CODIGO_ALIMENTO_ENTREGA=CONCATENATE($E327,"_","S_"),MNU_GRAMAJE_REQUERIDO_TIPOA,"")))</f>
        <v>0</v>
      </c>
      <c r="K327" s="229">
        <f t="shared" si="190"/>
        <v>264</v>
      </c>
      <c r="L327" s="229">
        <f t="shared" si="191"/>
        <v>0</v>
      </c>
      <c r="M327" s="229">
        <f t="shared" si="192"/>
        <v>0</v>
      </c>
      <c r="N327" s="454">
        <f t="shared" si="193"/>
        <v>0</v>
      </c>
      <c r="O327" s="454">
        <f t="shared" si="194"/>
        <v>0</v>
      </c>
      <c r="P327" s="454">
        <f t="shared" si="195"/>
        <v>0</v>
      </c>
      <c r="Q327" s="454">
        <f t="shared" si="196"/>
        <v>0</v>
      </c>
      <c r="R327" s="230">
        <f t="shared" si="197"/>
        <v>0</v>
      </c>
      <c r="S327" s="230">
        <f t="shared" si="198"/>
        <v>0</v>
      </c>
      <c r="T327" s="429">
        <f t="shared" si="199"/>
        <v>8</v>
      </c>
      <c r="U327" s="429">
        <f t="shared" si="200"/>
        <v>4</v>
      </c>
      <c r="V327" s="430">
        <f t="array" ref="V327">MAX((IF(MNU_CODIGO_ALIMENTO_ENTREGA=CONCATENATE($E327,"_","S_"),MNU_GRAMAJE_REQUERIDO_TIPOB,"")))</f>
        <v>100</v>
      </c>
      <c r="W327" s="397">
        <f t="shared" si="201"/>
        <v>765</v>
      </c>
      <c r="X327" s="397">
        <f t="shared" si="202"/>
        <v>0</v>
      </c>
      <c r="Y327" s="397">
        <f t="shared" si="203"/>
        <v>6120</v>
      </c>
      <c r="Z327" s="454">
        <f t="shared" si="204"/>
        <v>434</v>
      </c>
      <c r="AA327" s="454">
        <f t="shared" si="205"/>
        <v>21.179200000000002</v>
      </c>
      <c r="AB327" s="454">
        <f t="shared" si="206"/>
        <v>0.37324694399999997</v>
      </c>
      <c r="AC327" s="454">
        <f t="shared" si="207"/>
        <v>456</v>
      </c>
      <c r="AD327" s="231">
        <f t="shared" si="208"/>
        <v>2656080</v>
      </c>
      <c r="AE327" s="231">
        <f t="shared" si="209"/>
        <v>2790720</v>
      </c>
      <c r="AF327" s="427">
        <f t="shared" si="210"/>
        <v>8</v>
      </c>
      <c r="AG327" s="427">
        <f t="shared" si="211"/>
        <v>4</v>
      </c>
      <c r="AH327" s="428">
        <f t="array" ref="AH327">MAX((IF(MNU_CODIGO_ALIMENTO_ENTREGA=CONCATENATE($E327,"_","S_"),MNU_GRAMAJE_REQUERIDO_TIPOC,"")))</f>
        <v>100</v>
      </c>
      <c r="AI327" s="229">
        <f t="shared" si="212"/>
        <v>1254</v>
      </c>
      <c r="AJ327" s="229">
        <f t="shared" si="213"/>
        <v>0</v>
      </c>
      <c r="AK327" s="229">
        <f t="shared" si="214"/>
        <v>10032</v>
      </c>
      <c r="AL327" s="454">
        <f t="shared" si="215"/>
        <v>434</v>
      </c>
      <c r="AM327" s="454">
        <f t="shared" si="216"/>
        <v>21.179200000000002</v>
      </c>
      <c r="AN327" s="454">
        <f t="shared" si="217"/>
        <v>0.37324694399999997</v>
      </c>
      <c r="AO327" s="454">
        <f t="shared" si="218"/>
        <v>456</v>
      </c>
      <c r="AP327" s="454">
        <f t="shared" si="219"/>
        <v>4353888</v>
      </c>
      <c r="AQ327" s="230">
        <f t="shared" si="220"/>
        <v>4574592</v>
      </c>
      <c r="AR327" s="397">
        <f t="shared" si="221"/>
        <v>7009968</v>
      </c>
      <c r="AS327" s="397">
        <f t="shared" si="222"/>
        <v>7365312</v>
      </c>
    </row>
    <row r="328" spans="1:45" ht="15.75">
      <c r="A328" s="228">
        <v>25</v>
      </c>
      <c r="B328" s="228" t="str">
        <f t="shared" si="186"/>
        <v>FRUTA_25</v>
      </c>
      <c r="C328" s="338" t="str">
        <f t="shared" si="187"/>
        <v>7_25</v>
      </c>
      <c r="D328" s="398" t="s">
        <v>1</v>
      </c>
      <c r="E328" s="228">
        <v>7</v>
      </c>
      <c r="F328" s="332" t="s">
        <v>57</v>
      </c>
      <c r="G328" s="228" t="s">
        <v>9</v>
      </c>
      <c r="H328" s="427">
        <f t="shared" si="188"/>
        <v>31</v>
      </c>
      <c r="I328" s="427">
        <f t="shared" si="189"/>
        <v>0</v>
      </c>
      <c r="J328" s="428">
        <f t="array" ref="J328">MAX((IF(MNU_CODIGO_ALIMENTO_ENTREGA=CONCATENATE($E328,"_","S_"),MNU_GRAMAJE_REQUERIDO_TIPOA,"")))</f>
        <v>100</v>
      </c>
      <c r="K328" s="229">
        <f t="shared" si="190"/>
        <v>2170</v>
      </c>
      <c r="L328" s="229">
        <f t="shared" si="191"/>
        <v>0</v>
      </c>
      <c r="M328" s="229">
        <f t="shared" si="192"/>
        <v>67270</v>
      </c>
      <c r="N328" s="454">
        <f t="shared" si="193"/>
        <v>107</v>
      </c>
      <c r="O328" s="454">
        <f t="shared" si="194"/>
        <v>5.2216000000000005</v>
      </c>
      <c r="P328" s="454">
        <f t="shared" si="195"/>
        <v>9.2021712000000006E-2</v>
      </c>
      <c r="Q328" s="454">
        <f t="shared" si="196"/>
        <v>112</v>
      </c>
      <c r="R328" s="230">
        <f t="shared" si="197"/>
        <v>7197890</v>
      </c>
      <c r="S328" s="230">
        <f t="shared" si="198"/>
        <v>7534240</v>
      </c>
      <c r="T328" s="429">
        <f t="shared" si="199"/>
        <v>11</v>
      </c>
      <c r="U328" s="429">
        <f t="shared" si="200"/>
        <v>0</v>
      </c>
      <c r="V328" s="430">
        <f t="array" ref="V328">MAX((IF(MNU_CODIGO_ALIMENTO_ENTREGA=CONCATENATE($E328,"_","S_"),MNU_GRAMAJE_REQUERIDO_TIPOB,"")))</f>
        <v>100</v>
      </c>
      <c r="W328" s="397">
        <f t="shared" si="201"/>
        <v>2504</v>
      </c>
      <c r="X328" s="397">
        <f t="shared" si="202"/>
        <v>0</v>
      </c>
      <c r="Y328" s="397">
        <f t="shared" si="203"/>
        <v>27544</v>
      </c>
      <c r="Z328" s="454">
        <f t="shared" si="204"/>
        <v>107</v>
      </c>
      <c r="AA328" s="454">
        <f t="shared" si="205"/>
        <v>5.2216000000000005</v>
      </c>
      <c r="AB328" s="454">
        <f t="shared" si="206"/>
        <v>9.2021712000000006E-2</v>
      </c>
      <c r="AC328" s="454">
        <f t="shared" si="207"/>
        <v>112</v>
      </c>
      <c r="AD328" s="231">
        <f t="shared" si="208"/>
        <v>2947208</v>
      </c>
      <c r="AE328" s="231">
        <f t="shared" si="209"/>
        <v>3084928</v>
      </c>
      <c r="AF328" s="427">
        <f t="shared" si="210"/>
        <v>11</v>
      </c>
      <c r="AG328" s="427">
        <f t="shared" si="211"/>
        <v>0</v>
      </c>
      <c r="AH328" s="428">
        <f t="array" ref="AH328">MAX((IF(MNU_CODIGO_ALIMENTO_ENTREGA=CONCATENATE($E328,"_","S_"),MNU_GRAMAJE_REQUERIDO_TIPOC,"")))</f>
        <v>100</v>
      </c>
      <c r="AI328" s="229">
        <f t="shared" si="212"/>
        <v>3093</v>
      </c>
      <c r="AJ328" s="229">
        <f t="shared" si="213"/>
        <v>0</v>
      </c>
      <c r="AK328" s="229">
        <f t="shared" si="214"/>
        <v>34023</v>
      </c>
      <c r="AL328" s="454">
        <f t="shared" si="215"/>
        <v>107</v>
      </c>
      <c r="AM328" s="454">
        <f t="shared" si="216"/>
        <v>5.2216000000000005</v>
      </c>
      <c r="AN328" s="454">
        <f t="shared" si="217"/>
        <v>9.2021712000000006E-2</v>
      </c>
      <c r="AO328" s="454">
        <f t="shared" si="218"/>
        <v>112</v>
      </c>
      <c r="AP328" s="454">
        <f t="shared" si="219"/>
        <v>3640461</v>
      </c>
      <c r="AQ328" s="230">
        <f t="shared" si="220"/>
        <v>3810576</v>
      </c>
      <c r="AR328" s="397">
        <f t="shared" si="221"/>
        <v>13785559</v>
      </c>
      <c r="AS328" s="397">
        <f t="shared" si="222"/>
        <v>14429744</v>
      </c>
    </row>
    <row r="329" spans="1:45" ht="15.75">
      <c r="A329" s="228">
        <v>25</v>
      </c>
      <c r="B329" s="228" t="str">
        <f t="shared" si="186"/>
        <v>FRUTA_25</v>
      </c>
      <c r="C329" s="338" t="str">
        <f t="shared" si="187"/>
        <v>8_25</v>
      </c>
      <c r="D329" s="398" t="s">
        <v>1</v>
      </c>
      <c r="E329" s="228">
        <v>8</v>
      </c>
      <c r="F329" s="332" t="s">
        <v>55</v>
      </c>
      <c r="G329" s="228" t="s">
        <v>9</v>
      </c>
      <c r="H329" s="427">
        <f t="shared" si="188"/>
        <v>11</v>
      </c>
      <c r="I329" s="427">
        <f t="shared" si="189"/>
        <v>0</v>
      </c>
      <c r="J329" s="428">
        <f t="array" ref="J329">MAX((IF(MNU_CODIGO_ALIMENTO_ENTREGA=CONCATENATE($E329,"_","S_"),MNU_GRAMAJE_REQUERIDO_TIPOA,"")))</f>
        <v>100</v>
      </c>
      <c r="K329" s="229">
        <f t="shared" si="190"/>
        <v>2170</v>
      </c>
      <c r="L329" s="229">
        <f t="shared" si="191"/>
        <v>0</v>
      </c>
      <c r="M329" s="229">
        <f t="shared" si="192"/>
        <v>23870</v>
      </c>
      <c r="N329" s="454">
        <f t="shared" si="193"/>
        <v>134</v>
      </c>
      <c r="O329" s="454">
        <f t="shared" si="194"/>
        <v>6.539200000000001</v>
      </c>
      <c r="P329" s="454">
        <f t="shared" si="195"/>
        <v>0.115242144</v>
      </c>
      <c r="Q329" s="454">
        <f t="shared" si="196"/>
        <v>141</v>
      </c>
      <c r="R329" s="230">
        <f t="shared" si="197"/>
        <v>3198580</v>
      </c>
      <c r="S329" s="230">
        <f t="shared" si="198"/>
        <v>3365670</v>
      </c>
      <c r="T329" s="429">
        <f t="shared" si="199"/>
        <v>11</v>
      </c>
      <c r="U329" s="429">
        <f t="shared" si="200"/>
        <v>0</v>
      </c>
      <c r="V329" s="430">
        <f t="array" ref="V329">MAX((IF(MNU_CODIGO_ALIMENTO_ENTREGA=CONCATENATE($E329,"_","S_"),MNU_GRAMAJE_REQUERIDO_TIPOB,"")))</f>
        <v>100</v>
      </c>
      <c r="W329" s="397">
        <f t="shared" si="201"/>
        <v>2504</v>
      </c>
      <c r="X329" s="397">
        <f t="shared" si="202"/>
        <v>0</v>
      </c>
      <c r="Y329" s="397">
        <f t="shared" si="203"/>
        <v>27544</v>
      </c>
      <c r="Z329" s="454">
        <f t="shared" si="204"/>
        <v>134</v>
      </c>
      <c r="AA329" s="454">
        <f t="shared" si="205"/>
        <v>6.539200000000001</v>
      </c>
      <c r="AB329" s="454">
        <f t="shared" si="206"/>
        <v>0.115242144</v>
      </c>
      <c r="AC329" s="454">
        <f t="shared" si="207"/>
        <v>141</v>
      </c>
      <c r="AD329" s="231">
        <f t="shared" si="208"/>
        <v>3690896</v>
      </c>
      <c r="AE329" s="231">
        <f t="shared" si="209"/>
        <v>3883704</v>
      </c>
      <c r="AF329" s="427">
        <f t="shared" si="210"/>
        <v>11</v>
      </c>
      <c r="AG329" s="427">
        <f t="shared" si="211"/>
        <v>0</v>
      </c>
      <c r="AH329" s="428">
        <f t="array" ref="AH329">MAX((IF(MNU_CODIGO_ALIMENTO_ENTREGA=CONCATENATE($E329,"_","S_"),MNU_GRAMAJE_REQUERIDO_TIPOC,"")))</f>
        <v>100</v>
      </c>
      <c r="AI329" s="229">
        <f t="shared" si="212"/>
        <v>3093</v>
      </c>
      <c r="AJ329" s="229">
        <f t="shared" si="213"/>
        <v>0</v>
      </c>
      <c r="AK329" s="229">
        <f t="shared" si="214"/>
        <v>34023</v>
      </c>
      <c r="AL329" s="454">
        <f t="shared" si="215"/>
        <v>134</v>
      </c>
      <c r="AM329" s="454">
        <f t="shared" si="216"/>
        <v>6.539200000000001</v>
      </c>
      <c r="AN329" s="454">
        <f t="shared" si="217"/>
        <v>0.115242144</v>
      </c>
      <c r="AO329" s="454">
        <f t="shared" si="218"/>
        <v>141</v>
      </c>
      <c r="AP329" s="454">
        <f t="shared" si="219"/>
        <v>4559082</v>
      </c>
      <c r="AQ329" s="230">
        <f t="shared" si="220"/>
        <v>4797243</v>
      </c>
      <c r="AR329" s="397">
        <f t="shared" si="221"/>
        <v>11448558</v>
      </c>
      <c r="AS329" s="397">
        <f t="shared" si="222"/>
        <v>12046617</v>
      </c>
    </row>
    <row r="330" spans="1:45" ht="15.75">
      <c r="A330" s="228">
        <v>25</v>
      </c>
      <c r="B330" s="228" t="str">
        <f t="shared" si="186"/>
        <v>FRUTA_25</v>
      </c>
      <c r="C330" s="338" t="str">
        <f t="shared" si="187"/>
        <v>17_25</v>
      </c>
      <c r="D330" s="398" t="s">
        <v>1</v>
      </c>
      <c r="E330" s="228">
        <v>17</v>
      </c>
      <c r="F330" s="332" t="s">
        <v>53</v>
      </c>
      <c r="G330" s="228" t="s">
        <v>9</v>
      </c>
      <c r="H330" s="427">
        <f t="shared" si="188"/>
        <v>0</v>
      </c>
      <c r="I330" s="427">
        <f t="shared" si="189"/>
        <v>0</v>
      </c>
      <c r="J330" s="428">
        <f t="array" ref="J330">MAX((IF(MNU_CODIGO_ALIMENTO_ENTREGA=CONCATENATE($E330,"_","S_"),MNU_GRAMAJE_REQUERIDO_TIPOA,"")))</f>
        <v>0</v>
      </c>
      <c r="K330" s="229">
        <f t="shared" si="190"/>
        <v>2170</v>
      </c>
      <c r="L330" s="229">
        <f t="shared" si="191"/>
        <v>0</v>
      </c>
      <c r="M330" s="229">
        <f t="shared" si="192"/>
        <v>0</v>
      </c>
      <c r="N330" s="454">
        <f t="shared" si="193"/>
        <v>0</v>
      </c>
      <c r="O330" s="454">
        <f t="shared" si="194"/>
        <v>0</v>
      </c>
      <c r="P330" s="454">
        <f t="shared" si="195"/>
        <v>0</v>
      </c>
      <c r="Q330" s="454">
        <f t="shared" si="196"/>
        <v>0</v>
      </c>
      <c r="R330" s="230">
        <f t="shared" si="197"/>
        <v>0</v>
      </c>
      <c r="S330" s="230">
        <f t="shared" si="198"/>
        <v>0</v>
      </c>
      <c r="T330" s="429">
        <f t="shared" si="199"/>
        <v>23</v>
      </c>
      <c r="U330" s="429">
        <f t="shared" si="200"/>
        <v>4</v>
      </c>
      <c r="V330" s="430">
        <f t="array" ref="V330">MAX((IF(MNU_CODIGO_ALIMENTO_ENTREGA=CONCATENATE($E330,"_","S_"),MNU_GRAMAJE_REQUERIDO_TIPOB,"")))</f>
        <v>100</v>
      </c>
      <c r="W330" s="397">
        <f t="shared" si="201"/>
        <v>2504</v>
      </c>
      <c r="X330" s="397">
        <f t="shared" si="202"/>
        <v>0</v>
      </c>
      <c r="Y330" s="397">
        <f t="shared" si="203"/>
        <v>57592</v>
      </c>
      <c r="Z330" s="454">
        <f t="shared" si="204"/>
        <v>226</v>
      </c>
      <c r="AA330" s="454">
        <f t="shared" si="205"/>
        <v>11.0288</v>
      </c>
      <c r="AB330" s="454">
        <f t="shared" si="206"/>
        <v>0.19436361600000002</v>
      </c>
      <c r="AC330" s="454">
        <f t="shared" si="207"/>
        <v>237</v>
      </c>
      <c r="AD330" s="231">
        <f t="shared" si="208"/>
        <v>13015792</v>
      </c>
      <c r="AE330" s="231">
        <f t="shared" si="209"/>
        <v>13649304</v>
      </c>
      <c r="AF330" s="427">
        <f t="shared" si="210"/>
        <v>23</v>
      </c>
      <c r="AG330" s="427">
        <f t="shared" si="211"/>
        <v>4</v>
      </c>
      <c r="AH330" s="428">
        <f t="array" ref="AH330">MAX((IF(MNU_CODIGO_ALIMENTO_ENTREGA=CONCATENATE($E330,"_","S_"),MNU_GRAMAJE_REQUERIDO_TIPOC,"")))</f>
        <v>100</v>
      </c>
      <c r="AI330" s="229">
        <f t="shared" si="212"/>
        <v>3093</v>
      </c>
      <c r="AJ330" s="229">
        <f t="shared" si="213"/>
        <v>0</v>
      </c>
      <c r="AK330" s="229">
        <f t="shared" si="214"/>
        <v>71139</v>
      </c>
      <c r="AL330" s="454">
        <f t="shared" si="215"/>
        <v>226</v>
      </c>
      <c r="AM330" s="454">
        <f t="shared" si="216"/>
        <v>11.0288</v>
      </c>
      <c r="AN330" s="454">
        <f t="shared" si="217"/>
        <v>0.19436361600000002</v>
      </c>
      <c r="AO330" s="454">
        <f t="shared" si="218"/>
        <v>237</v>
      </c>
      <c r="AP330" s="454">
        <f t="shared" si="219"/>
        <v>16077414</v>
      </c>
      <c r="AQ330" s="230">
        <f t="shared" si="220"/>
        <v>16859943</v>
      </c>
      <c r="AR330" s="397">
        <f t="shared" si="221"/>
        <v>29093206</v>
      </c>
      <c r="AS330" s="397">
        <f t="shared" si="222"/>
        <v>30509247</v>
      </c>
    </row>
    <row r="331" spans="1:45" ht="15.75">
      <c r="A331" s="228">
        <v>25</v>
      </c>
      <c r="B331" s="228" t="str">
        <f t="shared" si="186"/>
        <v>FRUTA_25</v>
      </c>
      <c r="C331" s="338" t="str">
        <f t="shared" si="187"/>
        <v>22_25</v>
      </c>
      <c r="D331" s="398" t="s">
        <v>1</v>
      </c>
      <c r="E331" s="228">
        <v>22</v>
      </c>
      <c r="F331" s="332" t="s">
        <v>51</v>
      </c>
      <c r="G331" s="228" t="s">
        <v>9</v>
      </c>
      <c r="H331" s="427">
        <f t="shared" si="188"/>
        <v>0</v>
      </c>
      <c r="I331" s="427">
        <f t="shared" si="189"/>
        <v>0</v>
      </c>
      <c r="J331" s="428">
        <f t="array" ref="J331">MAX((IF(MNU_CODIGO_ALIMENTO_ENTREGA=CONCATENATE($E331,"_","S_"),MNU_GRAMAJE_REQUERIDO_TIPOA,"")))</f>
        <v>0</v>
      </c>
      <c r="K331" s="229">
        <f t="shared" si="190"/>
        <v>2170</v>
      </c>
      <c r="L331" s="229">
        <f t="shared" si="191"/>
        <v>0</v>
      </c>
      <c r="M331" s="229">
        <f t="shared" si="192"/>
        <v>0</v>
      </c>
      <c r="N331" s="454">
        <f t="shared" si="193"/>
        <v>0</v>
      </c>
      <c r="O331" s="454">
        <f t="shared" si="194"/>
        <v>0</v>
      </c>
      <c r="P331" s="454">
        <f t="shared" si="195"/>
        <v>0</v>
      </c>
      <c r="Q331" s="454">
        <f t="shared" si="196"/>
        <v>0</v>
      </c>
      <c r="R331" s="230">
        <f t="shared" si="197"/>
        <v>0</v>
      </c>
      <c r="S331" s="230">
        <f t="shared" si="198"/>
        <v>0</v>
      </c>
      <c r="T331" s="429">
        <f t="shared" si="199"/>
        <v>23</v>
      </c>
      <c r="U331" s="429">
        <f t="shared" si="200"/>
        <v>4</v>
      </c>
      <c r="V331" s="430">
        <f t="array" ref="V331">MAX((IF(MNU_CODIGO_ALIMENTO_ENTREGA=CONCATENATE($E331,"_","S_"),MNU_GRAMAJE_REQUERIDO_TIPOB,"")))</f>
        <v>100</v>
      </c>
      <c r="W331" s="397">
        <f t="shared" si="201"/>
        <v>2504</v>
      </c>
      <c r="X331" s="397">
        <f t="shared" si="202"/>
        <v>0</v>
      </c>
      <c r="Y331" s="397">
        <f t="shared" si="203"/>
        <v>57592</v>
      </c>
      <c r="Z331" s="454">
        <f t="shared" si="204"/>
        <v>525</v>
      </c>
      <c r="AA331" s="454">
        <f t="shared" si="205"/>
        <v>25.62</v>
      </c>
      <c r="AB331" s="454">
        <f t="shared" si="206"/>
        <v>0.45150840000000003</v>
      </c>
      <c r="AC331" s="454">
        <f t="shared" si="207"/>
        <v>551</v>
      </c>
      <c r="AD331" s="231">
        <f t="shared" si="208"/>
        <v>30235800</v>
      </c>
      <c r="AE331" s="231">
        <f t="shared" si="209"/>
        <v>31733192</v>
      </c>
      <c r="AF331" s="427">
        <f t="shared" si="210"/>
        <v>23</v>
      </c>
      <c r="AG331" s="427">
        <f t="shared" si="211"/>
        <v>4</v>
      </c>
      <c r="AH331" s="428">
        <f t="array" ref="AH331">MAX((IF(MNU_CODIGO_ALIMENTO_ENTREGA=CONCATENATE($E331,"_","S_"),MNU_GRAMAJE_REQUERIDO_TIPOC,"")))</f>
        <v>100</v>
      </c>
      <c r="AI331" s="229">
        <f t="shared" si="212"/>
        <v>3093</v>
      </c>
      <c r="AJ331" s="229">
        <f t="shared" si="213"/>
        <v>0</v>
      </c>
      <c r="AK331" s="229">
        <f t="shared" si="214"/>
        <v>71139</v>
      </c>
      <c r="AL331" s="454">
        <f t="shared" si="215"/>
        <v>525</v>
      </c>
      <c r="AM331" s="454">
        <f t="shared" si="216"/>
        <v>25.62</v>
      </c>
      <c r="AN331" s="454">
        <f t="shared" si="217"/>
        <v>0.45150840000000003</v>
      </c>
      <c r="AO331" s="454">
        <f t="shared" si="218"/>
        <v>551</v>
      </c>
      <c r="AP331" s="454">
        <f t="shared" si="219"/>
        <v>37347975</v>
      </c>
      <c r="AQ331" s="230">
        <f t="shared" si="220"/>
        <v>39197589</v>
      </c>
      <c r="AR331" s="397">
        <f t="shared" si="221"/>
        <v>67583775</v>
      </c>
      <c r="AS331" s="397">
        <f t="shared" si="222"/>
        <v>70930781</v>
      </c>
    </row>
    <row r="332" spans="1:45" ht="15.75">
      <c r="A332" s="228">
        <v>25</v>
      </c>
      <c r="B332" s="228" t="str">
        <f t="shared" si="186"/>
        <v>FRUTA_25</v>
      </c>
      <c r="C332" s="338" t="str">
        <f t="shared" si="187"/>
        <v>33_25</v>
      </c>
      <c r="D332" s="398" t="s">
        <v>1</v>
      </c>
      <c r="E332" s="228">
        <v>33</v>
      </c>
      <c r="F332" s="332" t="s">
        <v>59</v>
      </c>
      <c r="G332" s="228" t="s">
        <v>48</v>
      </c>
      <c r="H332" s="427">
        <f t="shared" si="188"/>
        <v>29</v>
      </c>
      <c r="I332" s="427">
        <f t="shared" si="189"/>
        <v>5</v>
      </c>
      <c r="J332" s="428">
        <v>1</v>
      </c>
      <c r="K332" s="229">
        <f t="shared" si="190"/>
        <v>2170</v>
      </c>
      <c r="L332" s="229">
        <f t="shared" si="191"/>
        <v>0</v>
      </c>
      <c r="M332" s="229">
        <f t="shared" si="192"/>
        <v>62930</v>
      </c>
      <c r="N332" s="454">
        <f t="shared" si="193"/>
        <v>270</v>
      </c>
      <c r="O332" s="454">
        <f t="shared" si="194"/>
        <v>13.176000000000002</v>
      </c>
      <c r="P332" s="454">
        <f t="shared" si="195"/>
        <v>0.23220432000000002</v>
      </c>
      <c r="Q332" s="454">
        <f t="shared" si="196"/>
        <v>283</v>
      </c>
      <c r="R332" s="230">
        <f t="shared" si="197"/>
        <v>16991100</v>
      </c>
      <c r="S332" s="230">
        <f t="shared" si="198"/>
        <v>17809190</v>
      </c>
      <c r="T332" s="429">
        <f t="shared" si="199"/>
        <v>23</v>
      </c>
      <c r="U332" s="429">
        <f t="shared" si="200"/>
        <v>2</v>
      </c>
      <c r="V332" s="430">
        <v>1</v>
      </c>
      <c r="W332" s="397">
        <f t="shared" si="201"/>
        <v>2504</v>
      </c>
      <c r="X332" s="397">
        <f t="shared" si="202"/>
        <v>0</v>
      </c>
      <c r="Y332" s="397">
        <f t="shared" si="203"/>
        <v>57592</v>
      </c>
      <c r="Z332" s="454">
        <f t="shared" si="204"/>
        <v>270</v>
      </c>
      <c r="AA332" s="454">
        <f t="shared" si="205"/>
        <v>13.176000000000002</v>
      </c>
      <c r="AB332" s="454">
        <f t="shared" si="206"/>
        <v>0.23220432000000002</v>
      </c>
      <c r="AC332" s="454">
        <f t="shared" si="207"/>
        <v>283</v>
      </c>
      <c r="AD332" s="231">
        <f t="shared" si="208"/>
        <v>15549840</v>
      </c>
      <c r="AE332" s="231">
        <f t="shared" si="209"/>
        <v>16298536</v>
      </c>
      <c r="AF332" s="427">
        <f t="shared" si="210"/>
        <v>23</v>
      </c>
      <c r="AG332" s="427">
        <f t="shared" si="211"/>
        <v>2</v>
      </c>
      <c r="AH332" s="428">
        <v>1</v>
      </c>
      <c r="AI332" s="229">
        <f t="shared" si="212"/>
        <v>3093</v>
      </c>
      <c r="AJ332" s="229">
        <f t="shared" si="213"/>
        <v>0</v>
      </c>
      <c r="AK332" s="229">
        <f t="shared" si="214"/>
        <v>71139</v>
      </c>
      <c r="AL332" s="454">
        <f t="shared" si="215"/>
        <v>270</v>
      </c>
      <c r="AM332" s="454">
        <f t="shared" si="216"/>
        <v>13.176000000000002</v>
      </c>
      <c r="AN332" s="454">
        <f t="shared" si="217"/>
        <v>0.23220432000000002</v>
      </c>
      <c r="AO332" s="454">
        <f t="shared" si="218"/>
        <v>283</v>
      </c>
      <c r="AP332" s="454">
        <f t="shared" si="219"/>
        <v>19207530</v>
      </c>
      <c r="AQ332" s="230">
        <f t="shared" si="220"/>
        <v>20132337</v>
      </c>
      <c r="AR332" s="397">
        <f t="shared" si="221"/>
        <v>51748470</v>
      </c>
      <c r="AS332" s="397">
        <f t="shared" si="222"/>
        <v>54240063</v>
      </c>
    </row>
    <row r="333" spans="1:45" ht="15.75">
      <c r="A333" s="228">
        <v>25</v>
      </c>
      <c r="B333" s="228" t="str">
        <f t="shared" si="186"/>
        <v>FRUTA_25</v>
      </c>
      <c r="C333" s="338" t="str">
        <f t="shared" si="187"/>
        <v>36_25</v>
      </c>
      <c r="D333" s="398" t="s">
        <v>1</v>
      </c>
      <c r="E333" s="228">
        <v>36</v>
      </c>
      <c r="F333" s="332" t="s">
        <v>1340</v>
      </c>
      <c r="G333" s="228" t="s">
        <v>9</v>
      </c>
      <c r="H333" s="427">
        <f t="shared" si="188"/>
        <v>8</v>
      </c>
      <c r="I333" s="427">
        <f t="shared" si="189"/>
        <v>0</v>
      </c>
      <c r="J333" s="428">
        <f t="array" ref="J333">MAX((IF(MNU_CODIGO_ALIMENTO_ENTREGA=CONCATENATE($E333,"_","S_"),MNU_GRAMAJE_REQUERIDO_TIPOA,"")))</f>
        <v>20</v>
      </c>
      <c r="K333" s="229">
        <f t="shared" si="190"/>
        <v>2170</v>
      </c>
      <c r="L333" s="229">
        <f t="shared" si="191"/>
        <v>0</v>
      </c>
      <c r="M333" s="229">
        <f t="shared" si="192"/>
        <v>17360</v>
      </c>
      <c r="N333" s="454">
        <f t="shared" si="193"/>
        <v>126</v>
      </c>
      <c r="O333" s="454">
        <f t="shared" si="194"/>
        <v>6.1488000000000005</v>
      </c>
      <c r="P333" s="454">
        <f t="shared" si="195"/>
        <v>0.10836201599999999</v>
      </c>
      <c r="Q333" s="454">
        <f t="shared" si="196"/>
        <v>132</v>
      </c>
      <c r="R333" s="230">
        <f t="shared" si="197"/>
        <v>2187360</v>
      </c>
      <c r="S333" s="230">
        <f t="shared" si="198"/>
        <v>2291520</v>
      </c>
      <c r="T333" s="429">
        <f t="shared" si="199"/>
        <v>8</v>
      </c>
      <c r="U333" s="429">
        <f t="shared" si="200"/>
        <v>0</v>
      </c>
      <c r="V333" s="430">
        <f t="array" ref="V333">MAX((IF(MNU_CODIGO_ALIMENTO_ENTREGA=CONCATENATE($E333,"_","S_"),MNU_GRAMAJE_REQUERIDO_TIPOB,"")))</f>
        <v>40</v>
      </c>
      <c r="W333" s="397">
        <f t="shared" si="201"/>
        <v>2504</v>
      </c>
      <c r="X333" s="397">
        <f t="shared" si="202"/>
        <v>0</v>
      </c>
      <c r="Y333" s="397">
        <f t="shared" si="203"/>
        <v>20032</v>
      </c>
      <c r="Z333" s="454">
        <f t="shared" si="204"/>
        <v>252</v>
      </c>
      <c r="AA333" s="454">
        <f t="shared" si="205"/>
        <v>12.297600000000001</v>
      </c>
      <c r="AB333" s="454">
        <f t="shared" si="206"/>
        <v>0.21672403199999998</v>
      </c>
      <c r="AC333" s="454">
        <f t="shared" si="207"/>
        <v>265</v>
      </c>
      <c r="AD333" s="231">
        <f t="shared" si="208"/>
        <v>5048064</v>
      </c>
      <c r="AE333" s="231">
        <f t="shared" si="209"/>
        <v>5308480</v>
      </c>
      <c r="AF333" s="427">
        <f t="shared" si="210"/>
        <v>8</v>
      </c>
      <c r="AG333" s="427">
        <f t="shared" si="211"/>
        <v>0</v>
      </c>
      <c r="AH333" s="428">
        <f t="array" ref="AH333">MAX((IF(MNU_CODIGO_ALIMENTO_ENTREGA=CONCATENATE($E333,"_","S_"),MNU_GRAMAJE_REQUERIDO_TIPOC,"")))</f>
        <v>40</v>
      </c>
      <c r="AI333" s="229">
        <f t="shared" si="212"/>
        <v>3093</v>
      </c>
      <c r="AJ333" s="229">
        <f t="shared" si="213"/>
        <v>0</v>
      </c>
      <c r="AK333" s="229">
        <f t="shared" si="214"/>
        <v>24744</v>
      </c>
      <c r="AL333" s="454">
        <f t="shared" si="215"/>
        <v>252</v>
      </c>
      <c r="AM333" s="454">
        <f t="shared" si="216"/>
        <v>12.297600000000001</v>
      </c>
      <c r="AN333" s="454">
        <f t="shared" si="217"/>
        <v>0.21672403199999998</v>
      </c>
      <c r="AO333" s="454">
        <f t="shared" si="218"/>
        <v>265</v>
      </c>
      <c r="AP333" s="454">
        <f t="shared" si="219"/>
        <v>6235488</v>
      </c>
      <c r="AQ333" s="230">
        <f t="shared" si="220"/>
        <v>6557160</v>
      </c>
      <c r="AR333" s="397">
        <f t="shared" si="221"/>
        <v>13470912</v>
      </c>
      <c r="AS333" s="397">
        <f t="shared" si="222"/>
        <v>14157160</v>
      </c>
    </row>
    <row r="334" spans="1:45" ht="15.75">
      <c r="A334" s="228">
        <v>25</v>
      </c>
      <c r="B334" s="228" t="str">
        <f t="shared" si="186"/>
        <v>FRUTA_25</v>
      </c>
      <c r="C334" s="338" t="str">
        <f t="shared" si="187"/>
        <v>42_25</v>
      </c>
      <c r="D334" s="398" t="s">
        <v>1</v>
      </c>
      <c r="E334" s="228">
        <v>42</v>
      </c>
      <c r="F334" s="332" t="s">
        <v>61</v>
      </c>
      <c r="G334" s="228" t="s">
        <v>9</v>
      </c>
      <c r="H334" s="427">
        <f t="shared" si="188"/>
        <v>36</v>
      </c>
      <c r="I334" s="427">
        <f t="shared" si="189"/>
        <v>8</v>
      </c>
      <c r="J334" s="428">
        <f t="array" ref="J334">MAX((IF(MNU_CODIGO_ALIMENTO_ENTREGA=CONCATENATE($E334,"_","S_"),MNU_GRAMAJE_REQUERIDO_TIPOA,"")))</f>
        <v>100</v>
      </c>
      <c r="K334" s="229">
        <f t="shared" si="190"/>
        <v>2170</v>
      </c>
      <c r="L334" s="229">
        <f t="shared" si="191"/>
        <v>0</v>
      </c>
      <c r="M334" s="229">
        <f t="shared" si="192"/>
        <v>78120</v>
      </c>
      <c r="N334" s="454">
        <f t="shared" si="193"/>
        <v>194</v>
      </c>
      <c r="O334" s="454">
        <f t="shared" si="194"/>
        <v>9.4672000000000001</v>
      </c>
      <c r="P334" s="454">
        <f t="shared" si="195"/>
        <v>0.16684310399999999</v>
      </c>
      <c r="Q334" s="454">
        <f t="shared" si="196"/>
        <v>204</v>
      </c>
      <c r="R334" s="230">
        <f t="shared" si="197"/>
        <v>15155280</v>
      </c>
      <c r="S334" s="230">
        <f t="shared" si="198"/>
        <v>15936480</v>
      </c>
      <c r="T334" s="429">
        <f t="shared" si="199"/>
        <v>19</v>
      </c>
      <c r="U334" s="429">
        <f t="shared" si="200"/>
        <v>8</v>
      </c>
      <c r="V334" s="430">
        <f t="array" ref="V334">MAX((IF(MNU_CODIGO_ALIMENTO_ENTREGA=CONCATENATE($E334,"_","S_"),MNU_GRAMAJE_REQUERIDO_TIPOB,"")))</f>
        <v>100</v>
      </c>
      <c r="W334" s="397">
        <f t="shared" si="201"/>
        <v>2504</v>
      </c>
      <c r="X334" s="397">
        <f t="shared" si="202"/>
        <v>0</v>
      </c>
      <c r="Y334" s="397">
        <f t="shared" si="203"/>
        <v>47576</v>
      </c>
      <c r="Z334" s="454">
        <f t="shared" si="204"/>
        <v>194</v>
      </c>
      <c r="AA334" s="454">
        <f t="shared" si="205"/>
        <v>9.4672000000000001</v>
      </c>
      <c r="AB334" s="454">
        <f t="shared" si="206"/>
        <v>0.16684310399999999</v>
      </c>
      <c r="AC334" s="454">
        <f t="shared" si="207"/>
        <v>204</v>
      </c>
      <c r="AD334" s="231">
        <f t="shared" si="208"/>
        <v>9229744</v>
      </c>
      <c r="AE334" s="231">
        <f t="shared" si="209"/>
        <v>9705504</v>
      </c>
      <c r="AF334" s="427">
        <f t="shared" si="210"/>
        <v>19</v>
      </c>
      <c r="AG334" s="427">
        <f t="shared" si="211"/>
        <v>8</v>
      </c>
      <c r="AH334" s="428">
        <f t="array" ref="AH334">MAX((IF(MNU_CODIGO_ALIMENTO_ENTREGA=CONCATENATE($E334,"_","S_"),MNU_GRAMAJE_REQUERIDO_TIPOC,"")))</f>
        <v>100</v>
      </c>
      <c r="AI334" s="229">
        <f t="shared" si="212"/>
        <v>3093</v>
      </c>
      <c r="AJ334" s="229">
        <f t="shared" si="213"/>
        <v>0</v>
      </c>
      <c r="AK334" s="229">
        <f t="shared" si="214"/>
        <v>58767</v>
      </c>
      <c r="AL334" s="454">
        <f t="shared" si="215"/>
        <v>194</v>
      </c>
      <c r="AM334" s="454">
        <f t="shared" si="216"/>
        <v>9.4672000000000001</v>
      </c>
      <c r="AN334" s="454">
        <f t="shared" si="217"/>
        <v>0.16684310399999999</v>
      </c>
      <c r="AO334" s="454">
        <f t="shared" si="218"/>
        <v>204</v>
      </c>
      <c r="AP334" s="454">
        <f t="shared" si="219"/>
        <v>11400798</v>
      </c>
      <c r="AQ334" s="230">
        <f t="shared" si="220"/>
        <v>11988468</v>
      </c>
      <c r="AR334" s="397">
        <f t="shared" si="221"/>
        <v>35785822</v>
      </c>
      <c r="AS334" s="397">
        <f t="shared" si="222"/>
        <v>37630452</v>
      </c>
    </row>
    <row r="335" spans="1:45" ht="15.75">
      <c r="A335" s="228">
        <v>25</v>
      </c>
      <c r="B335" s="228" t="str">
        <f t="shared" si="186"/>
        <v>FRUTA_25</v>
      </c>
      <c r="C335" s="338" t="str">
        <f t="shared" si="187"/>
        <v>43_25</v>
      </c>
      <c r="D335" s="398" t="s">
        <v>1</v>
      </c>
      <c r="E335" s="228">
        <v>43</v>
      </c>
      <c r="F335" s="332" t="s">
        <v>62</v>
      </c>
      <c r="G335" s="228" t="s">
        <v>9</v>
      </c>
      <c r="H335" s="427">
        <f t="shared" si="188"/>
        <v>29</v>
      </c>
      <c r="I335" s="427">
        <f t="shared" si="189"/>
        <v>6</v>
      </c>
      <c r="J335" s="428">
        <f t="array" ref="J335">MAX((IF(MNU_CODIGO_ALIMENTO_ENTREGA=CONCATENATE($E335,"_","S_"),MNU_GRAMAJE_REQUERIDO_TIPOA,"")))</f>
        <v>100</v>
      </c>
      <c r="K335" s="229">
        <f t="shared" si="190"/>
        <v>2170</v>
      </c>
      <c r="L335" s="229">
        <f t="shared" si="191"/>
        <v>0</v>
      </c>
      <c r="M335" s="229">
        <f t="shared" si="192"/>
        <v>62930</v>
      </c>
      <c r="N335" s="454">
        <f t="shared" si="193"/>
        <v>170</v>
      </c>
      <c r="O335" s="454">
        <f t="shared" si="194"/>
        <v>8.2959999999999994</v>
      </c>
      <c r="P335" s="454">
        <f t="shared" si="195"/>
        <v>0.14620272000000001</v>
      </c>
      <c r="Q335" s="454">
        <f t="shared" si="196"/>
        <v>178</v>
      </c>
      <c r="R335" s="230">
        <f t="shared" si="197"/>
        <v>10698100</v>
      </c>
      <c r="S335" s="230">
        <f t="shared" si="198"/>
        <v>11201540</v>
      </c>
      <c r="T335" s="429">
        <f t="shared" si="199"/>
        <v>23</v>
      </c>
      <c r="U335" s="429">
        <f t="shared" si="200"/>
        <v>1</v>
      </c>
      <c r="V335" s="430">
        <f t="array" ref="V335">MAX((IF(MNU_CODIGO_ALIMENTO_ENTREGA=CONCATENATE($E335,"_","S_"),MNU_GRAMAJE_REQUERIDO_TIPOB,"")))</f>
        <v>100</v>
      </c>
      <c r="W335" s="397">
        <f t="shared" si="201"/>
        <v>2504</v>
      </c>
      <c r="X335" s="397">
        <f t="shared" si="202"/>
        <v>0</v>
      </c>
      <c r="Y335" s="397">
        <f t="shared" si="203"/>
        <v>57592</v>
      </c>
      <c r="Z335" s="454">
        <f t="shared" si="204"/>
        <v>170</v>
      </c>
      <c r="AA335" s="454">
        <f t="shared" si="205"/>
        <v>8.2959999999999994</v>
      </c>
      <c r="AB335" s="454">
        <f t="shared" si="206"/>
        <v>0.14620272000000001</v>
      </c>
      <c r="AC335" s="454">
        <f t="shared" si="207"/>
        <v>178</v>
      </c>
      <c r="AD335" s="231">
        <f t="shared" si="208"/>
        <v>9790640</v>
      </c>
      <c r="AE335" s="231">
        <f t="shared" si="209"/>
        <v>10251376</v>
      </c>
      <c r="AF335" s="427">
        <f t="shared" si="210"/>
        <v>23</v>
      </c>
      <c r="AG335" s="427">
        <f t="shared" si="211"/>
        <v>1</v>
      </c>
      <c r="AH335" s="428">
        <f t="array" ref="AH335">MAX((IF(MNU_CODIGO_ALIMENTO_ENTREGA=CONCATENATE($E335,"_","S_"),MNU_GRAMAJE_REQUERIDO_TIPOC,"")))</f>
        <v>100</v>
      </c>
      <c r="AI335" s="229">
        <f t="shared" si="212"/>
        <v>3093</v>
      </c>
      <c r="AJ335" s="229">
        <f t="shared" si="213"/>
        <v>0</v>
      </c>
      <c r="AK335" s="229">
        <f t="shared" si="214"/>
        <v>71139</v>
      </c>
      <c r="AL335" s="454">
        <f t="shared" si="215"/>
        <v>170</v>
      </c>
      <c r="AM335" s="454">
        <f t="shared" si="216"/>
        <v>8.2959999999999994</v>
      </c>
      <c r="AN335" s="454">
        <f t="shared" si="217"/>
        <v>0.14620272000000001</v>
      </c>
      <c r="AO335" s="454">
        <f t="shared" si="218"/>
        <v>178</v>
      </c>
      <c r="AP335" s="454">
        <f t="shared" si="219"/>
        <v>12093630</v>
      </c>
      <c r="AQ335" s="230">
        <f t="shared" si="220"/>
        <v>12662742</v>
      </c>
      <c r="AR335" s="397">
        <f t="shared" si="221"/>
        <v>32582370</v>
      </c>
      <c r="AS335" s="397">
        <f t="shared" si="222"/>
        <v>34115658</v>
      </c>
    </row>
    <row r="336" spans="1:45" ht="15.75">
      <c r="A336" s="228">
        <v>25</v>
      </c>
      <c r="B336" s="228" t="str">
        <f t="shared" si="186"/>
        <v>FRUTA_25</v>
      </c>
      <c r="C336" s="338" t="str">
        <f t="shared" si="187"/>
        <v>46_25</v>
      </c>
      <c r="D336" s="398" t="s">
        <v>1</v>
      </c>
      <c r="E336" s="228">
        <v>46</v>
      </c>
      <c r="F336" s="332" t="s">
        <v>64</v>
      </c>
      <c r="G336" s="228" t="s">
        <v>9</v>
      </c>
      <c r="H336" s="427">
        <f t="shared" si="188"/>
        <v>29</v>
      </c>
      <c r="I336" s="427">
        <f t="shared" si="189"/>
        <v>4</v>
      </c>
      <c r="J336" s="428">
        <f t="array" ref="J336">MAX((IF(MNU_CODIGO_ALIMENTO_ENTREGA=CONCATENATE($E336,"_","S_"),MNU_GRAMAJE_REQUERIDO_TIPOA,"")))</f>
        <v>100</v>
      </c>
      <c r="K336" s="229">
        <f t="shared" si="190"/>
        <v>2170</v>
      </c>
      <c r="L336" s="229">
        <f t="shared" si="191"/>
        <v>0</v>
      </c>
      <c r="M336" s="229">
        <f t="shared" si="192"/>
        <v>62930</v>
      </c>
      <c r="N336" s="454">
        <f t="shared" si="193"/>
        <v>398</v>
      </c>
      <c r="O336" s="454">
        <f t="shared" si="194"/>
        <v>19.4224</v>
      </c>
      <c r="P336" s="454">
        <f t="shared" si="195"/>
        <v>0.34228636800000001</v>
      </c>
      <c r="Q336" s="454">
        <f t="shared" si="196"/>
        <v>418</v>
      </c>
      <c r="R336" s="230">
        <f t="shared" si="197"/>
        <v>25046140</v>
      </c>
      <c r="S336" s="230">
        <f t="shared" si="198"/>
        <v>26304740</v>
      </c>
      <c r="T336" s="429">
        <f t="shared" si="199"/>
        <v>24</v>
      </c>
      <c r="U336" s="429">
        <f t="shared" si="200"/>
        <v>3</v>
      </c>
      <c r="V336" s="430">
        <f t="array" ref="V336">MAX((IF(MNU_CODIGO_ALIMENTO_ENTREGA=CONCATENATE($E336,"_","S_"),MNU_GRAMAJE_REQUERIDO_TIPOB,"")))</f>
        <v>100</v>
      </c>
      <c r="W336" s="397">
        <f t="shared" si="201"/>
        <v>2504</v>
      </c>
      <c r="X336" s="397">
        <f t="shared" si="202"/>
        <v>0</v>
      </c>
      <c r="Y336" s="397">
        <f t="shared" si="203"/>
        <v>60096</v>
      </c>
      <c r="Z336" s="454">
        <f t="shared" si="204"/>
        <v>398</v>
      </c>
      <c r="AA336" s="454">
        <f t="shared" si="205"/>
        <v>19.4224</v>
      </c>
      <c r="AB336" s="454">
        <f t="shared" si="206"/>
        <v>0.34228636800000001</v>
      </c>
      <c r="AC336" s="454">
        <f t="shared" si="207"/>
        <v>418</v>
      </c>
      <c r="AD336" s="231">
        <f t="shared" si="208"/>
        <v>23918208</v>
      </c>
      <c r="AE336" s="231">
        <f t="shared" si="209"/>
        <v>25120128</v>
      </c>
      <c r="AF336" s="427">
        <f t="shared" si="210"/>
        <v>24</v>
      </c>
      <c r="AG336" s="427">
        <f t="shared" si="211"/>
        <v>3</v>
      </c>
      <c r="AH336" s="428">
        <f t="array" ref="AH336">MAX((IF(MNU_CODIGO_ALIMENTO_ENTREGA=CONCATENATE($E336,"_","S_"),MNU_GRAMAJE_REQUERIDO_TIPOC,"")))</f>
        <v>100</v>
      </c>
      <c r="AI336" s="229">
        <f t="shared" si="212"/>
        <v>3093</v>
      </c>
      <c r="AJ336" s="229">
        <f t="shared" si="213"/>
        <v>0</v>
      </c>
      <c r="AK336" s="229">
        <f t="shared" si="214"/>
        <v>74232</v>
      </c>
      <c r="AL336" s="454">
        <f t="shared" si="215"/>
        <v>398</v>
      </c>
      <c r="AM336" s="454">
        <f t="shared" si="216"/>
        <v>19.4224</v>
      </c>
      <c r="AN336" s="454">
        <f t="shared" si="217"/>
        <v>0.34228636800000001</v>
      </c>
      <c r="AO336" s="454">
        <f t="shared" si="218"/>
        <v>418</v>
      </c>
      <c r="AP336" s="454">
        <f t="shared" si="219"/>
        <v>29544336</v>
      </c>
      <c r="AQ336" s="230">
        <f t="shared" si="220"/>
        <v>31028976</v>
      </c>
      <c r="AR336" s="397">
        <f t="shared" si="221"/>
        <v>78508684</v>
      </c>
      <c r="AS336" s="397">
        <f t="shared" si="222"/>
        <v>82453844</v>
      </c>
    </row>
    <row r="337" spans="1:45" ht="15.75">
      <c r="A337" s="228">
        <v>25</v>
      </c>
      <c r="B337" s="228" t="str">
        <f t="shared" si="186"/>
        <v>FRUTA_25</v>
      </c>
      <c r="C337" s="338" t="str">
        <f t="shared" si="187"/>
        <v>58_25</v>
      </c>
      <c r="D337" s="398" t="s">
        <v>1</v>
      </c>
      <c r="E337" s="228">
        <v>58</v>
      </c>
      <c r="F337" s="332" t="s">
        <v>67</v>
      </c>
      <c r="G337" s="228" t="s">
        <v>9</v>
      </c>
      <c r="H337" s="427">
        <f t="shared" si="188"/>
        <v>28</v>
      </c>
      <c r="I337" s="427">
        <f t="shared" si="189"/>
        <v>5</v>
      </c>
      <c r="J337" s="428">
        <f t="array" ref="J337">MAX((IF(MNU_CODIGO_ALIMENTO_ENTREGA=CONCATENATE($E337,"_","S_"),MNU_GRAMAJE_REQUERIDO_TIPOA,"")))</f>
        <v>100</v>
      </c>
      <c r="K337" s="229">
        <f t="shared" si="190"/>
        <v>2170</v>
      </c>
      <c r="L337" s="229">
        <f t="shared" si="191"/>
        <v>0</v>
      </c>
      <c r="M337" s="229">
        <f t="shared" si="192"/>
        <v>60760</v>
      </c>
      <c r="N337" s="454">
        <f t="shared" si="193"/>
        <v>154</v>
      </c>
      <c r="O337" s="454">
        <f t="shared" si="194"/>
        <v>7.515200000000001</v>
      </c>
      <c r="P337" s="454">
        <f t="shared" si="195"/>
        <v>0.13244246400000001</v>
      </c>
      <c r="Q337" s="454">
        <f t="shared" si="196"/>
        <v>162</v>
      </c>
      <c r="R337" s="230">
        <f t="shared" si="197"/>
        <v>9357040</v>
      </c>
      <c r="S337" s="230">
        <f t="shared" si="198"/>
        <v>9843120</v>
      </c>
      <c r="T337" s="429">
        <f t="shared" si="199"/>
        <v>23</v>
      </c>
      <c r="U337" s="429">
        <f t="shared" si="200"/>
        <v>3</v>
      </c>
      <c r="V337" s="430">
        <f t="array" ref="V337">MAX((IF(MNU_CODIGO_ALIMENTO_ENTREGA=CONCATENATE($E337,"_","S_"),MNU_GRAMAJE_REQUERIDO_TIPOB,"")))</f>
        <v>100</v>
      </c>
      <c r="W337" s="397">
        <f t="shared" si="201"/>
        <v>2504</v>
      </c>
      <c r="X337" s="397">
        <f t="shared" si="202"/>
        <v>0</v>
      </c>
      <c r="Y337" s="397">
        <f t="shared" si="203"/>
        <v>57592</v>
      </c>
      <c r="Z337" s="454">
        <f t="shared" si="204"/>
        <v>154</v>
      </c>
      <c r="AA337" s="454">
        <f t="shared" si="205"/>
        <v>7.515200000000001</v>
      </c>
      <c r="AB337" s="454">
        <f t="shared" si="206"/>
        <v>0.13244246400000001</v>
      </c>
      <c r="AC337" s="454">
        <f t="shared" si="207"/>
        <v>162</v>
      </c>
      <c r="AD337" s="231">
        <f t="shared" si="208"/>
        <v>8869168</v>
      </c>
      <c r="AE337" s="231">
        <f t="shared" si="209"/>
        <v>9329904</v>
      </c>
      <c r="AF337" s="427">
        <f t="shared" si="210"/>
        <v>23</v>
      </c>
      <c r="AG337" s="427">
        <f t="shared" si="211"/>
        <v>3</v>
      </c>
      <c r="AH337" s="428">
        <f t="array" ref="AH337">MAX((IF(MNU_CODIGO_ALIMENTO_ENTREGA=CONCATENATE($E337,"_","S_"),MNU_GRAMAJE_REQUERIDO_TIPOC,"")))</f>
        <v>100</v>
      </c>
      <c r="AI337" s="229">
        <f t="shared" si="212"/>
        <v>3093</v>
      </c>
      <c r="AJ337" s="229">
        <f t="shared" si="213"/>
        <v>0</v>
      </c>
      <c r="AK337" s="229">
        <f t="shared" si="214"/>
        <v>71139</v>
      </c>
      <c r="AL337" s="454">
        <f t="shared" si="215"/>
        <v>154</v>
      </c>
      <c r="AM337" s="454">
        <f t="shared" si="216"/>
        <v>7.515200000000001</v>
      </c>
      <c r="AN337" s="454">
        <f t="shared" si="217"/>
        <v>0.13244246400000001</v>
      </c>
      <c r="AO337" s="454">
        <f t="shared" si="218"/>
        <v>162</v>
      </c>
      <c r="AP337" s="454">
        <f t="shared" si="219"/>
        <v>10955406</v>
      </c>
      <c r="AQ337" s="230">
        <f t="shared" si="220"/>
        <v>11524518</v>
      </c>
      <c r="AR337" s="397">
        <f t="shared" si="221"/>
        <v>29181614</v>
      </c>
      <c r="AS337" s="397">
        <f t="shared" si="222"/>
        <v>30697542</v>
      </c>
    </row>
    <row r="338" spans="1:45" ht="15.75">
      <c r="A338" s="228">
        <v>25</v>
      </c>
      <c r="B338" s="228" t="str">
        <f t="shared" si="186"/>
        <v>FRUTA_25</v>
      </c>
      <c r="C338" s="338" t="str">
        <f t="shared" si="187"/>
        <v>59_25</v>
      </c>
      <c r="D338" s="398" t="s">
        <v>1</v>
      </c>
      <c r="E338" s="228">
        <v>59</v>
      </c>
      <c r="F338" s="332" t="s">
        <v>99</v>
      </c>
      <c r="G338" s="228" t="s">
        <v>9</v>
      </c>
      <c r="H338" s="427">
        <f t="shared" si="188"/>
        <v>0</v>
      </c>
      <c r="I338" s="427">
        <f t="shared" si="189"/>
        <v>0</v>
      </c>
      <c r="J338" s="428">
        <f t="array" ref="J338">MAX((IF(MNU_CODIGO_ALIMENTO_ENTREGA=CONCATENATE($E338,"_","S_"),MNU_GRAMAJE_REQUERIDO_TIPOA,"")))</f>
        <v>0</v>
      </c>
      <c r="K338" s="229">
        <f t="shared" si="190"/>
        <v>2170</v>
      </c>
      <c r="L338" s="229">
        <f t="shared" si="191"/>
        <v>0</v>
      </c>
      <c r="M338" s="229">
        <f t="shared" si="192"/>
        <v>0</v>
      </c>
      <c r="N338" s="454">
        <f t="shared" si="193"/>
        <v>0</v>
      </c>
      <c r="O338" s="454">
        <f t="shared" si="194"/>
        <v>0</v>
      </c>
      <c r="P338" s="454">
        <f t="shared" si="195"/>
        <v>0</v>
      </c>
      <c r="Q338" s="454">
        <f t="shared" si="196"/>
        <v>0</v>
      </c>
      <c r="R338" s="230">
        <f t="shared" si="197"/>
        <v>0</v>
      </c>
      <c r="S338" s="230">
        <f t="shared" si="198"/>
        <v>0</v>
      </c>
      <c r="T338" s="429">
        <f t="shared" si="199"/>
        <v>11</v>
      </c>
      <c r="U338" s="429">
        <f t="shared" si="200"/>
        <v>0</v>
      </c>
      <c r="V338" s="430">
        <f t="array" ref="V338">MAX((IF(MNU_CODIGO_ALIMENTO_ENTREGA=CONCATENATE($E338,"_","S_"),MNU_GRAMAJE_REQUERIDO_TIPOB,"")))</f>
        <v>100</v>
      </c>
      <c r="W338" s="397">
        <f t="shared" si="201"/>
        <v>2504</v>
      </c>
      <c r="X338" s="397">
        <f t="shared" si="202"/>
        <v>0</v>
      </c>
      <c r="Y338" s="397">
        <f t="shared" si="203"/>
        <v>27544</v>
      </c>
      <c r="Z338" s="454">
        <f t="shared" si="204"/>
        <v>286</v>
      </c>
      <c r="AA338" s="454">
        <f t="shared" si="205"/>
        <v>13.956800000000001</v>
      </c>
      <c r="AB338" s="454">
        <f t="shared" si="206"/>
        <v>0.24596457599999999</v>
      </c>
      <c r="AC338" s="454">
        <f t="shared" si="207"/>
        <v>300</v>
      </c>
      <c r="AD338" s="231">
        <f t="shared" si="208"/>
        <v>7877584</v>
      </c>
      <c r="AE338" s="231">
        <f t="shared" si="209"/>
        <v>8263200</v>
      </c>
      <c r="AF338" s="427">
        <f t="shared" si="210"/>
        <v>11</v>
      </c>
      <c r="AG338" s="427">
        <f t="shared" si="211"/>
        <v>0</v>
      </c>
      <c r="AH338" s="428">
        <f t="array" ref="AH338">MAX((IF(MNU_CODIGO_ALIMENTO_ENTREGA=CONCATENATE($E338,"_","S_"),MNU_GRAMAJE_REQUERIDO_TIPOC,"")))</f>
        <v>100</v>
      </c>
      <c r="AI338" s="229">
        <f t="shared" si="212"/>
        <v>3093</v>
      </c>
      <c r="AJ338" s="229">
        <f t="shared" si="213"/>
        <v>0</v>
      </c>
      <c r="AK338" s="229">
        <f t="shared" si="214"/>
        <v>34023</v>
      </c>
      <c r="AL338" s="454">
        <f t="shared" si="215"/>
        <v>286</v>
      </c>
      <c r="AM338" s="454">
        <f t="shared" si="216"/>
        <v>13.956800000000001</v>
      </c>
      <c r="AN338" s="454">
        <f t="shared" si="217"/>
        <v>0.24596457599999999</v>
      </c>
      <c r="AO338" s="454">
        <f t="shared" si="218"/>
        <v>300</v>
      </c>
      <c r="AP338" s="454">
        <f t="shared" si="219"/>
        <v>9730578</v>
      </c>
      <c r="AQ338" s="230">
        <f t="shared" si="220"/>
        <v>10206900</v>
      </c>
      <c r="AR338" s="397">
        <f t="shared" si="221"/>
        <v>17608162</v>
      </c>
      <c r="AS338" s="397">
        <f t="shared" si="222"/>
        <v>18470100</v>
      </c>
    </row>
    <row r="339" spans="1:45" ht="15.75">
      <c r="A339" s="228">
        <v>25</v>
      </c>
      <c r="B339" s="228" t="str">
        <f t="shared" si="186"/>
        <v>FRUTA_25</v>
      </c>
      <c r="C339" s="338" t="str">
        <f t="shared" si="187"/>
        <v>69_25</v>
      </c>
      <c r="D339" s="398" t="s">
        <v>1</v>
      </c>
      <c r="E339" s="228">
        <v>69</v>
      </c>
      <c r="F339" s="332" t="s">
        <v>70</v>
      </c>
      <c r="G339" s="228" t="s">
        <v>9</v>
      </c>
      <c r="H339" s="427">
        <f t="shared" si="188"/>
        <v>18</v>
      </c>
      <c r="I339" s="427">
        <f t="shared" si="189"/>
        <v>2</v>
      </c>
      <c r="J339" s="428">
        <f t="array" ref="J339">MAX((IF(MNU_CODIGO_ALIMENTO_ENTREGA=CONCATENATE($E339,"_","S_"),MNU_GRAMAJE_REQUERIDO_TIPOA,"")))</f>
        <v>100</v>
      </c>
      <c r="K339" s="229">
        <f t="shared" si="190"/>
        <v>2170</v>
      </c>
      <c r="L339" s="229">
        <f t="shared" si="191"/>
        <v>0</v>
      </c>
      <c r="M339" s="229">
        <f t="shared" si="192"/>
        <v>39060</v>
      </c>
      <c r="N339" s="454">
        <f t="shared" si="193"/>
        <v>305</v>
      </c>
      <c r="O339" s="454">
        <f t="shared" si="194"/>
        <v>14.884</v>
      </c>
      <c r="P339" s="454">
        <f t="shared" si="195"/>
        <v>0.26230488000000002</v>
      </c>
      <c r="Q339" s="454">
        <f t="shared" si="196"/>
        <v>320</v>
      </c>
      <c r="R339" s="230">
        <f t="shared" si="197"/>
        <v>11913300</v>
      </c>
      <c r="S339" s="230">
        <f t="shared" si="198"/>
        <v>12499200</v>
      </c>
      <c r="T339" s="429">
        <f t="shared" si="199"/>
        <v>12</v>
      </c>
      <c r="U339" s="429">
        <f t="shared" si="200"/>
        <v>2</v>
      </c>
      <c r="V339" s="430">
        <f t="array" ref="V339">MAX((IF(MNU_CODIGO_ALIMENTO_ENTREGA=CONCATENATE($E339,"_","S_"),MNU_GRAMAJE_REQUERIDO_TIPOB,"")))</f>
        <v>100</v>
      </c>
      <c r="W339" s="397">
        <f t="shared" si="201"/>
        <v>2504</v>
      </c>
      <c r="X339" s="397">
        <f t="shared" si="202"/>
        <v>0</v>
      </c>
      <c r="Y339" s="397">
        <f t="shared" si="203"/>
        <v>30048</v>
      </c>
      <c r="Z339" s="454">
        <f t="shared" si="204"/>
        <v>305</v>
      </c>
      <c r="AA339" s="454">
        <f t="shared" si="205"/>
        <v>14.884</v>
      </c>
      <c r="AB339" s="454">
        <f t="shared" si="206"/>
        <v>0.26230488000000002</v>
      </c>
      <c r="AC339" s="454">
        <f t="shared" si="207"/>
        <v>320</v>
      </c>
      <c r="AD339" s="231">
        <f t="shared" si="208"/>
        <v>9164640</v>
      </c>
      <c r="AE339" s="231">
        <f t="shared" si="209"/>
        <v>9615360</v>
      </c>
      <c r="AF339" s="427">
        <f t="shared" si="210"/>
        <v>12</v>
      </c>
      <c r="AG339" s="427">
        <f t="shared" si="211"/>
        <v>2</v>
      </c>
      <c r="AH339" s="428">
        <f t="array" ref="AH339">MAX((IF(MNU_CODIGO_ALIMENTO_ENTREGA=CONCATENATE($E339,"_","S_"),MNU_GRAMAJE_REQUERIDO_TIPOC,"")))</f>
        <v>100</v>
      </c>
      <c r="AI339" s="229">
        <f t="shared" si="212"/>
        <v>3093</v>
      </c>
      <c r="AJ339" s="229">
        <f t="shared" si="213"/>
        <v>0</v>
      </c>
      <c r="AK339" s="229">
        <f t="shared" si="214"/>
        <v>37116</v>
      </c>
      <c r="AL339" s="454">
        <f t="shared" si="215"/>
        <v>305</v>
      </c>
      <c r="AM339" s="454">
        <f t="shared" si="216"/>
        <v>14.884</v>
      </c>
      <c r="AN339" s="454">
        <f t="shared" si="217"/>
        <v>0.26230488000000002</v>
      </c>
      <c r="AO339" s="454">
        <f t="shared" si="218"/>
        <v>320</v>
      </c>
      <c r="AP339" s="454">
        <f t="shared" si="219"/>
        <v>11320380</v>
      </c>
      <c r="AQ339" s="230">
        <f t="shared" si="220"/>
        <v>11877120</v>
      </c>
      <c r="AR339" s="397">
        <f t="shared" si="221"/>
        <v>32398320</v>
      </c>
      <c r="AS339" s="397">
        <f t="shared" si="222"/>
        <v>33991680</v>
      </c>
    </row>
    <row r="340" spans="1:45" ht="15.75">
      <c r="A340" s="228">
        <v>25</v>
      </c>
      <c r="B340" s="228" t="str">
        <f t="shared" si="186"/>
        <v>FRUTA_25</v>
      </c>
      <c r="C340" s="338" t="str">
        <f t="shared" si="187"/>
        <v>70_25</v>
      </c>
      <c r="D340" s="398" t="s">
        <v>1</v>
      </c>
      <c r="E340" s="228">
        <v>70</v>
      </c>
      <c r="F340" s="332" t="s">
        <v>71</v>
      </c>
      <c r="G340" s="228" t="s">
        <v>9</v>
      </c>
      <c r="H340" s="427">
        <f t="shared" si="188"/>
        <v>0</v>
      </c>
      <c r="I340" s="427">
        <f t="shared" si="189"/>
        <v>0</v>
      </c>
      <c r="J340" s="428">
        <f t="array" ref="J340">MAX((IF(MNU_CODIGO_ALIMENTO_ENTREGA=CONCATENATE($E340,"_","S_"),MNU_GRAMAJE_REQUERIDO_TIPOA,"")))</f>
        <v>0</v>
      </c>
      <c r="K340" s="229">
        <f t="shared" si="190"/>
        <v>2170</v>
      </c>
      <c r="L340" s="229">
        <f t="shared" si="191"/>
        <v>0</v>
      </c>
      <c r="M340" s="229">
        <f t="shared" si="192"/>
        <v>0</v>
      </c>
      <c r="N340" s="454">
        <f t="shared" si="193"/>
        <v>0</v>
      </c>
      <c r="O340" s="454">
        <f t="shared" si="194"/>
        <v>0</v>
      </c>
      <c r="P340" s="454">
        <f t="shared" si="195"/>
        <v>0</v>
      </c>
      <c r="Q340" s="454">
        <f t="shared" si="196"/>
        <v>0</v>
      </c>
      <c r="R340" s="230">
        <f t="shared" si="197"/>
        <v>0</v>
      </c>
      <c r="S340" s="230">
        <f t="shared" si="198"/>
        <v>0</v>
      </c>
      <c r="T340" s="429">
        <f t="shared" si="199"/>
        <v>8</v>
      </c>
      <c r="U340" s="429">
        <f t="shared" si="200"/>
        <v>4</v>
      </c>
      <c r="V340" s="430">
        <f t="array" ref="V340">MAX((IF(MNU_CODIGO_ALIMENTO_ENTREGA=CONCATENATE($E340,"_","S_"),MNU_GRAMAJE_REQUERIDO_TIPOB,"")))</f>
        <v>100</v>
      </c>
      <c r="W340" s="397">
        <f t="shared" si="201"/>
        <v>2504</v>
      </c>
      <c r="X340" s="397">
        <f t="shared" si="202"/>
        <v>0</v>
      </c>
      <c r="Y340" s="397">
        <f t="shared" si="203"/>
        <v>20032</v>
      </c>
      <c r="Z340" s="454">
        <f t="shared" si="204"/>
        <v>434</v>
      </c>
      <c r="AA340" s="454">
        <f t="shared" si="205"/>
        <v>21.179200000000002</v>
      </c>
      <c r="AB340" s="454">
        <f t="shared" si="206"/>
        <v>0.37324694399999997</v>
      </c>
      <c r="AC340" s="454">
        <f t="shared" si="207"/>
        <v>456</v>
      </c>
      <c r="AD340" s="231">
        <f t="shared" si="208"/>
        <v>8693888</v>
      </c>
      <c r="AE340" s="231">
        <f t="shared" si="209"/>
        <v>9134592</v>
      </c>
      <c r="AF340" s="427">
        <f t="shared" si="210"/>
        <v>8</v>
      </c>
      <c r="AG340" s="427">
        <f t="shared" si="211"/>
        <v>4</v>
      </c>
      <c r="AH340" s="428">
        <f t="array" ref="AH340">MAX((IF(MNU_CODIGO_ALIMENTO_ENTREGA=CONCATENATE($E340,"_","S_"),MNU_GRAMAJE_REQUERIDO_TIPOC,"")))</f>
        <v>100</v>
      </c>
      <c r="AI340" s="229">
        <f t="shared" si="212"/>
        <v>3093</v>
      </c>
      <c r="AJ340" s="229">
        <f t="shared" si="213"/>
        <v>0</v>
      </c>
      <c r="AK340" s="229">
        <f t="shared" si="214"/>
        <v>24744</v>
      </c>
      <c r="AL340" s="454">
        <f t="shared" si="215"/>
        <v>434</v>
      </c>
      <c r="AM340" s="454">
        <f t="shared" si="216"/>
        <v>21.179200000000002</v>
      </c>
      <c r="AN340" s="454">
        <f t="shared" si="217"/>
        <v>0.37324694399999997</v>
      </c>
      <c r="AO340" s="454">
        <f t="shared" si="218"/>
        <v>456</v>
      </c>
      <c r="AP340" s="454">
        <f t="shared" si="219"/>
        <v>10738896</v>
      </c>
      <c r="AQ340" s="230">
        <f t="shared" si="220"/>
        <v>11283264</v>
      </c>
      <c r="AR340" s="397">
        <f t="shared" si="221"/>
        <v>19432784</v>
      </c>
      <c r="AS340" s="397">
        <f t="shared" si="222"/>
        <v>20417856</v>
      </c>
    </row>
    <row r="341" spans="1:45" ht="15.75">
      <c r="A341" s="228">
        <v>26</v>
      </c>
      <c r="B341" s="228" t="str">
        <f t="shared" si="186"/>
        <v>FRUTA_26</v>
      </c>
      <c r="C341" s="338" t="str">
        <f t="shared" si="187"/>
        <v>7_26</v>
      </c>
      <c r="D341" s="398" t="s">
        <v>1</v>
      </c>
      <c r="E341" s="228">
        <v>7</v>
      </c>
      <c r="F341" s="332" t="s">
        <v>57</v>
      </c>
      <c r="G341" s="228" t="s">
        <v>9</v>
      </c>
      <c r="H341" s="427">
        <f t="shared" si="188"/>
        <v>31</v>
      </c>
      <c r="I341" s="427">
        <f t="shared" si="189"/>
        <v>0</v>
      </c>
      <c r="J341" s="428">
        <f t="array" ref="J341">MAX((IF(MNU_CODIGO_ALIMENTO_ENTREGA=CONCATENATE($E341,"_","S_"),MNU_GRAMAJE_REQUERIDO_TIPOA,"")))</f>
        <v>100</v>
      </c>
      <c r="K341" s="229">
        <f t="shared" si="190"/>
        <v>1577</v>
      </c>
      <c r="L341" s="229">
        <f t="shared" si="191"/>
        <v>74</v>
      </c>
      <c r="M341" s="229">
        <f t="shared" si="192"/>
        <v>48887</v>
      </c>
      <c r="N341" s="454">
        <f t="shared" si="193"/>
        <v>107</v>
      </c>
      <c r="O341" s="454">
        <f t="shared" si="194"/>
        <v>5.2216000000000005</v>
      </c>
      <c r="P341" s="454">
        <f t="shared" si="195"/>
        <v>9.2021712000000006E-2</v>
      </c>
      <c r="Q341" s="454">
        <f t="shared" si="196"/>
        <v>112</v>
      </c>
      <c r="R341" s="230">
        <f t="shared" si="197"/>
        <v>5230909</v>
      </c>
      <c r="S341" s="230">
        <f t="shared" si="198"/>
        <v>5475344</v>
      </c>
      <c r="T341" s="429">
        <f t="shared" si="199"/>
        <v>11</v>
      </c>
      <c r="U341" s="429">
        <f t="shared" si="200"/>
        <v>0</v>
      </c>
      <c r="V341" s="430">
        <f t="array" ref="V341">MAX((IF(MNU_CODIGO_ALIMENTO_ENTREGA=CONCATENATE($E341,"_","S_"),MNU_GRAMAJE_REQUERIDO_TIPOB,"")))</f>
        <v>100</v>
      </c>
      <c r="W341" s="397">
        <f t="shared" si="201"/>
        <v>2774</v>
      </c>
      <c r="X341" s="397">
        <f t="shared" si="202"/>
        <v>223</v>
      </c>
      <c r="Y341" s="397">
        <f t="shared" si="203"/>
        <v>30514</v>
      </c>
      <c r="Z341" s="454">
        <f t="shared" si="204"/>
        <v>107</v>
      </c>
      <c r="AA341" s="454">
        <f t="shared" si="205"/>
        <v>5.2216000000000005</v>
      </c>
      <c r="AB341" s="454">
        <f t="shared" si="206"/>
        <v>9.2021712000000006E-2</v>
      </c>
      <c r="AC341" s="454">
        <f t="shared" si="207"/>
        <v>112</v>
      </c>
      <c r="AD341" s="231">
        <f t="shared" si="208"/>
        <v>3264998</v>
      </c>
      <c r="AE341" s="231">
        <f t="shared" si="209"/>
        <v>3417568</v>
      </c>
      <c r="AF341" s="427">
        <f t="shared" si="210"/>
        <v>11</v>
      </c>
      <c r="AG341" s="427">
        <f t="shared" si="211"/>
        <v>0</v>
      </c>
      <c r="AH341" s="428">
        <f t="array" ref="AH341">MAX((IF(MNU_CODIGO_ALIMENTO_ENTREGA=CONCATENATE($E341,"_","S_"),MNU_GRAMAJE_REQUERIDO_TIPOC,"")))</f>
        <v>100</v>
      </c>
      <c r="AI341" s="229">
        <f t="shared" si="212"/>
        <v>3600</v>
      </c>
      <c r="AJ341" s="229">
        <f t="shared" si="213"/>
        <v>182</v>
      </c>
      <c r="AK341" s="229">
        <f t="shared" si="214"/>
        <v>39600</v>
      </c>
      <c r="AL341" s="454">
        <f t="shared" si="215"/>
        <v>107</v>
      </c>
      <c r="AM341" s="454">
        <f t="shared" si="216"/>
        <v>5.2216000000000005</v>
      </c>
      <c r="AN341" s="454">
        <f t="shared" si="217"/>
        <v>9.2021712000000006E-2</v>
      </c>
      <c r="AO341" s="454">
        <f t="shared" si="218"/>
        <v>112</v>
      </c>
      <c r="AP341" s="454">
        <f t="shared" si="219"/>
        <v>4237200</v>
      </c>
      <c r="AQ341" s="230">
        <f t="shared" si="220"/>
        <v>4435200</v>
      </c>
      <c r="AR341" s="397">
        <f t="shared" si="221"/>
        <v>12733107</v>
      </c>
      <c r="AS341" s="397">
        <f t="shared" si="222"/>
        <v>13328112</v>
      </c>
    </row>
    <row r="342" spans="1:45" ht="15.75">
      <c r="A342" s="228">
        <v>26</v>
      </c>
      <c r="B342" s="228" t="str">
        <f t="shared" si="186"/>
        <v>FRUTA_26</v>
      </c>
      <c r="C342" s="338" t="str">
        <f t="shared" si="187"/>
        <v>8_26</v>
      </c>
      <c r="D342" s="398" t="s">
        <v>1</v>
      </c>
      <c r="E342" s="228">
        <v>8</v>
      </c>
      <c r="F342" s="332" t="s">
        <v>55</v>
      </c>
      <c r="G342" s="228" t="s">
        <v>9</v>
      </c>
      <c r="H342" s="427">
        <f t="shared" si="188"/>
        <v>11</v>
      </c>
      <c r="I342" s="427">
        <f t="shared" si="189"/>
        <v>0</v>
      </c>
      <c r="J342" s="428">
        <f t="array" ref="J342">MAX((IF(MNU_CODIGO_ALIMENTO_ENTREGA=CONCATENATE($E342,"_","S_"),MNU_GRAMAJE_REQUERIDO_TIPOA,"")))</f>
        <v>100</v>
      </c>
      <c r="K342" s="229">
        <f t="shared" si="190"/>
        <v>1577</v>
      </c>
      <c r="L342" s="229">
        <f t="shared" si="191"/>
        <v>74</v>
      </c>
      <c r="M342" s="229">
        <f t="shared" si="192"/>
        <v>17347</v>
      </c>
      <c r="N342" s="454">
        <f t="shared" si="193"/>
        <v>134</v>
      </c>
      <c r="O342" s="454">
        <f t="shared" si="194"/>
        <v>6.539200000000001</v>
      </c>
      <c r="P342" s="454">
        <f t="shared" si="195"/>
        <v>0.115242144</v>
      </c>
      <c r="Q342" s="454">
        <f t="shared" si="196"/>
        <v>141</v>
      </c>
      <c r="R342" s="230">
        <f t="shared" si="197"/>
        <v>2324498</v>
      </c>
      <c r="S342" s="230">
        <f t="shared" si="198"/>
        <v>2445927</v>
      </c>
      <c r="T342" s="429">
        <f t="shared" si="199"/>
        <v>11</v>
      </c>
      <c r="U342" s="429">
        <f t="shared" si="200"/>
        <v>0</v>
      </c>
      <c r="V342" s="430">
        <f t="array" ref="V342">MAX((IF(MNU_CODIGO_ALIMENTO_ENTREGA=CONCATENATE($E342,"_","S_"),MNU_GRAMAJE_REQUERIDO_TIPOB,"")))</f>
        <v>100</v>
      </c>
      <c r="W342" s="397">
        <f t="shared" si="201"/>
        <v>2774</v>
      </c>
      <c r="X342" s="397">
        <f t="shared" si="202"/>
        <v>223</v>
      </c>
      <c r="Y342" s="397">
        <f t="shared" si="203"/>
        <v>30514</v>
      </c>
      <c r="Z342" s="454">
        <f t="shared" si="204"/>
        <v>134</v>
      </c>
      <c r="AA342" s="454">
        <f t="shared" si="205"/>
        <v>6.539200000000001</v>
      </c>
      <c r="AB342" s="454">
        <f t="shared" si="206"/>
        <v>0.115242144</v>
      </c>
      <c r="AC342" s="454">
        <f t="shared" si="207"/>
        <v>141</v>
      </c>
      <c r="AD342" s="231">
        <f t="shared" si="208"/>
        <v>4088876</v>
      </c>
      <c r="AE342" s="231">
        <f t="shared" si="209"/>
        <v>4302474</v>
      </c>
      <c r="AF342" s="427">
        <f t="shared" si="210"/>
        <v>11</v>
      </c>
      <c r="AG342" s="427">
        <f t="shared" si="211"/>
        <v>0</v>
      </c>
      <c r="AH342" s="428">
        <f t="array" ref="AH342">MAX((IF(MNU_CODIGO_ALIMENTO_ENTREGA=CONCATENATE($E342,"_","S_"),MNU_GRAMAJE_REQUERIDO_TIPOC,"")))</f>
        <v>100</v>
      </c>
      <c r="AI342" s="229">
        <f t="shared" si="212"/>
        <v>3600</v>
      </c>
      <c r="AJ342" s="229">
        <f t="shared" si="213"/>
        <v>182</v>
      </c>
      <c r="AK342" s="229">
        <f t="shared" si="214"/>
        <v>39600</v>
      </c>
      <c r="AL342" s="454">
        <f t="shared" si="215"/>
        <v>134</v>
      </c>
      <c r="AM342" s="454">
        <f t="shared" si="216"/>
        <v>6.539200000000001</v>
      </c>
      <c r="AN342" s="454">
        <f t="shared" si="217"/>
        <v>0.115242144</v>
      </c>
      <c r="AO342" s="454">
        <f t="shared" si="218"/>
        <v>141</v>
      </c>
      <c r="AP342" s="454">
        <f t="shared" si="219"/>
        <v>5306400</v>
      </c>
      <c r="AQ342" s="230">
        <f t="shared" si="220"/>
        <v>5583600</v>
      </c>
      <c r="AR342" s="397">
        <f t="shared" si="221"/>
        <v>11719774</v>
      </c>
      <c r="AS342" s="397">
        <f t="shared" si="222"/>
        <v>12332001</v>
      </c>
    </row>
    <row r="343" spans="1:45" ht="15.75">
      <c r="A343" s="228">
        <v>26</v>
      </c>
      <c r="B343" s="228" t="str">
        <f t="shared" si="186"/>
        <v>FRUTA_26</v>
      </c>
      <c r="C343" s="338" t="str">
        <f t="shared" si="187"/>
        <v>17_26</v>
      </c>
      <c r="D343" s="398" t="s">
        <v>1</v>
      </c>
      <c r="E343" s="228">
        <v>17</v>
      </c>
      <c r="F343" s="332" t="s">
        <v>53</v>
      </c>
      <c r="G343" s="228" t="s">
        <v>9</v>
      </c>
      <c r="H343" s="427">
        <f t="shared" si="188"/>
        <v>0</v>
      </c>
      <c r="I343" s="427">
        <f t="shared" si="189"/>
        <v>0</v>
      </c>
      <c r="J343" s="428">
        <f t="array" ref="J343">MAX((IF(MNU_CODIGO_ALIMENTO_ENTREGA=CONCATENATE($E343,"_","S_"),MNU_GRAMAJE_REQUERIDO_TIPOA,"")))</f>
        <v>0</v>
      </c>
      <c r="K343" s="229">
        <f t="shared" si="190"/>
        <v>1577</v>
      </c>
      <c r="L343" s="229">
        <f t="shared" si="191"/>
        <v>74</v>
      </c>
      <c r="M343" s="229">
        <f t="shared" si="192"/>
        <v>0</v>
      </c>
      <c r="N343" s="454">
        <f t="shared" si="193"/>
        <v>0</v>
      </c>
      <c r="O343" s="454">
        <f t="shared" si="194"/>
        <v>0</v>
      </c>
      <c r="P343" s="454">
        <f t="shared" si="195"/>
        <v>0</v>
      </c>
      <c r="Q343" s="454">
        <f t="shared" si="196"/>
        <v>0</v>
      </c>
      <c r="R343" s="230">
        <f t="shared" si="197"/>
        <v>0</v>
      </c>
      <c r="S343" s="230">
        <f t="shared" si="198"/>
        <v>0</v>
      </c>
      <c r="T343" s="429">
        <f t="shared" si="199"/>
        <v>23</v>
      </c>
      <c r="U343" s="429">
        <f t="shared" si="200"/>
        <v>4</v>
      </c>
      <c r="V343" s="430">
        <f t="array" ref="V343">MAX((IF(MNU_CODIGO_ALIMENTO_ENTREGA=CONCATENATE($E343,"_","S_"),MNU_GRAMAJE_REQUERIDO_TIPOB,"")))</f>
        <v>100</v>
      </c>
      <c r="W343" s="397">
        <f t="shared" si="201"/>
        <v>2774</v>
      </c>
      <c r="X343" s="397">
        <f t="shared" si="202"/>
        <v>223</v>
      </c>
      <c r="Y343" s="397">
        <f t="shared" si="203"/>
        <v>64694</v>
      </c>
      <c r="Z343" s="454">
        <f t="shared" si="204"/>
        <v>226</v>
      </c>
      <c r="AA343" s="454">
        <f t="shared" si="205"/>
        <v>11.0288</v>
      </c>
      <c r="AB343" s="454">
        <f t="shared" si="206"/>
        <v>0.19436361600000002</v>
      </c>
      <c r="AC343" s="454">
        <f t="shared" si="207"/>
        <v>237</v>
      </c>
      <c r="AD343" s="231">
        <f t="shared" si="208"/>
        <v>14620844</v>
      </c>
      <c r="AE343" s="231">
        <f t="shared" si="209"/>
        <v>15332478</v>
      </c>
      <c r="AF343" s="427">
        <f t="shared" si="210"/>
        <v>23</v>
      </c>
      <c r="AG343" s="427">
        <f t="shared" si="211"/>
        <v>4</v>
      </c>
      <c r="AH343" s="428">
        <f t="array" ref="AH343">MAX((IF(MNU_CODIGO_ALIMENTO_ENTREGA=CONCATENATE($E343,"_","S_"),MNU_GRAMAJE_REQUERIDO_TIPOC,"")))</f>
        <v>100</v>
      </c>
      <c r="AI343" s="229">
        <f t="shared" si="212"/>
        <v>3600</v>
      </c>
      <c r="AJ343" s="229">
        <f t="shared" si="213"/>
        <v>182</v>
      </c>
      <c r="AK343" s="229">
        <f t="shared" si="214"/>
        <v>83528</v>
      </c>
      <c r="AL343" s="454">
        <f t="shared" si="215"/>
        <v>226</v>
      </c>
      <c r="AM343" s="454">
        <f t="shared" si="216"/>
        <v>11.0288</v>
      </c>
      <c r="AN343" s="454">
        <f t="shared" si="217"/>
        <v>0.19436361600000002</v>
      </c>
      <c r="AO343" s="454">
        <f t="shared" si="218"/>
        <v>237</v>
      </c>
      <c r="AP343" s="454">
        <f t="shared" si="219"/>
        <v>18877328</v>
      </c>
      <c r="AQ343" s="230">
        <f t="shared" si="220"/>
        <v>19796136</v>
      </c>
      <c r="AR343" s="397">
        <f t="shared" si="221"/>
        <v>33498172</v>
      </c>
      <c r="AS343" s="397">
        <f t="shared" si="222"/>
        <v>35128614</v>
      </c>
    </row>
    <row r="344" spans="1:45" ht="15.75">
      <c r="A344" s="228">
        <v>26</v>
      </c>
      <c r="B344" s="228" t="str">
        <f t="shared" si="186"/>
        <v>FRUTA_26</v>
      </c>
      <c r="C344" s="338" t="str">
        <f t="shared" si="187"/>
        <v>22_26</v>
      </c>
      <c r="D344" s="398" t="s">
        <v>1</v>
      </c>
      <c r="E344" s="228">
        <v>22</v>
      </c>
      <c r="F344" s="332" t="s">
        <v>51</v>
      </c>
      <c r="G344" s="228" t="s">
        <v>9</v>
      </c>
      <c r="H344" s="427">
        <f t="shared" si="188"/>
        <v>0</v>
      </c>
      <c r="I344" s="427">
        <f t="shared" si="189"/>
        <v>0</v>
      </c>
      <c r="J344" s="428">
        <f t="array" ref="J344">MAX((IF(MNU_CODIGO_ALIMENTO_ENTREGA=CONCATENATE($E344,"_","S_"),MNU_GRAMAJE_REQUERIDO_TIPOA,"")))</f>
        <v>0</v>
      </c>
      <c r="K344" s="229">
        <f t="shared" si="190"/>
        <v>1577</v>
      </c>
      <c r="L344" s="229">
        <f t="shared" si="191"/>
        <v>74</v>
      </c>
      <c r="M344" s="229">
        <f t="shared" si="192"/>
        <v>0</v>
      </c>
      <c r="N344" s="454">
        <f t="shared" si="193"/>
        <v>0</v>
      </c>
      <c r="O344" s="454">
        <f t="shared" si="194"/>
        <v>0</v>
      </c>
      <c r="P344" s="454">
        <f t="shared" si="195"/>
        <v>0</v>
      </c>
      <c r="Q344" s="454">
        <f t="shared" si="196"/>
        <v>0</v>
      </c>
      <c r="R344" s="230">
        <f t="shared" si="197"/>
        <v>0</v>
      </c>
      <c r="S344" s="230">
        <f t="shared" si="198"/>
        <v>0</v>
      </c>
      <c r="T344" s="429">
        <f t="shared" si="199"/>
        <v>23</v>
      </c>
      <c r="U344" s="429">
        <f t="shared" si="200"/>
        <v>4</v>
      </c>
      <c r="V344" s="430">
        <f t="array" ref="V344">MAX((IF(MNU_CODIGO_ALIMENTO_ENTREGA=CONCATENATE($E344,"_","S_"),MNU_GRAMAJE_REQUERIDO_TIPOB,"")))</f>
        <v>100</v>
      </c>
      <c r="W344" s="397">
        <f t="shared" si="201"/>
        <v>2774</v>
      </c>
      <c r="X344" s="397">
        <f t="shared" si="202"/>
        <v>223</v>
      </c>
      <c r="Y344" s="397">
        <f t="shared" si="203"/>
        <v>64694</v>
      </c>
      <c r="Z344" s="454">
        <f t="shared" si="204"/>
        <v>525</v>
      </c>
      <c r="AA344" s="454">
        <f t="shared" si="205"/>
        <v>25.62</v>
      </c>
      <c r="AB344" s="454">
        <f t="shared" si="206"/>
        <v>0.45150840000000003</v>
      </c>
      <c r="AC344" s="454">
        <f t="shared" si="207"/>
        <v>551</v>
      </c>
      <c r="AD344" s="231">
        <f t="shared" si="208"/>
        <v>33964350</v>
      </c>
      <c r="AE344" s="231">
        <f t="shared" si="209"/>
        <v>35646394</v>
      </c>
      <c r="AF344" s="427">
        <f t="shared" si="210"/>
        <v>23</v>
      </c>
      <c r="AG344" s="427">
        <f t="shared" si="211"/>
        <v>4</v>
      </c>
      <c r="AH344" s="428">
        <f t="array" ref="AH344">MAX((IF(MNU_CODIGO_ALIMENTO_ENTREGA=CONCATENATE($E344,"_","S_"),MNU_GRAMAJE_REQUERIDO_TIPOC,"")))</f>
        <v>100</v>
      </c>
      <c r="AI344" s="229">
        <f t="shared" si="212"/>
        <v>3600</v>
      </c>
      <c r="AJ344" s="229">
        <f t="shared" si="213"/>
        <v>182</v>
      </c>
      <c r="AK344" s="229">
        <f t="shared" si="214"/>
        <v>83528</v>
      </c>
      <c r="AL344" s="454">
        <f t="shared" si="215"/>
        <v>525</v>
      </c>
      <c r="AM344" s="454">
        <f t="shared" si="216"/>
        <v>25.62</v>
      </c>
      <c r="AN344" s="454">
        <f t="shared" si="217"/>
        <v>0.45150840000000003</v>
      </c>
      <c r="AO344" s="454">
        <f t="shared" si="218"/>
        <v>551</v>
      </c>
      <c r="AP344" s="454">
        <f t="shared" si="219"/>
        <v>43852200</v>
      </c>
      <c r="AQ344" s="230">
        <f t="shared" si="220"/>
        <v>46023928</v>
      </c>
      <c r="AR344" s="397">
        <f t="shared" si="221"/>
        <v>77816550</v>
      </c>
      <c r="AS344" s="397">
        <f t="shared" si="222"/>
        <v>81670322</v>
      </c>
    </row>
    <row r="345" spans="1:45" ht="15.75">
      <c r="A345" s="228">
        <v>26</v>
      </c>
      <c r="B345" s="228" t="str">
        <f t="shared" si="186"/>
        <v>FRUTA_26</v>
      </c>
      <c r="C345" s="338" t="str">
        <f t="shared" si="187"/>
        <v>33_26</v>
      </c>
      <c r="D345" s="398" t="s">
        <v>1</v>
      </c>
      <c r="E345" s="258">
        <v>33</v>
      </c>
      <c r="F345" s="328" t="s">
        <v>59</v>
      </c>
      <c r="G345" s="228" t="s">
        <v>48</v>
      </c>
      <c r="H345" s="427">
        <f t="shared" si="188"/>
        <v>29</v>
      </c>
      <c r="I345" s="427">
        <f t="shared" si="189"/>
        <v>5</v>
      </c>
      <c r="J345" s="428">
        <v>1</v>
      </c>
      <c r="K345" s="229">
        <f t="shared" si="190"/>
        <v>1577</v>
      </c>
      <c r="L345" s="229">
        <f t="shared" si="191"/>
        <v>74</v>
      </c>
      <c r="M345" s="229">
        <f t="shared" si="192"/>
        <v>46103</v>
      </c>
      <c r="N345" s="454">
        <f t="shared" si="193"/>
        <v>270</v>
      </c>
      <c r="O345" s="454">
        <f t="shared" si="194"/>
        <v>13.176000000000002</v>
      </c>
      <c r="P345" s="454">
        <f t="shared" si="195"/>
        <v>0.23220432000000002</v>
      </c>
      <c r="Q345" s="454">
        <f t="shared" si="196"/>
        <v>283</v>
      </c>
      <c r="R345" s="230">
        <f t="shared" si="197"/>
        <v>12447810</v>
      </c>
      <c r="S345" s="230">
        <f t="shared" si="198"/>
        <v>13047149</v>
      </c>
      <c r="T345" s="429">
        <f t="shared" si="199"/>
        <v>23</v>
      </c>
      <c r="U345" s="429">
        <f t="shared" si="200"/>
        <v>2</v>
      </c>
      <c r="V345" s="430">
        <v>1</v>
      </c>
      <c r="W345" s="397">
        <f t="shared" si="201"/>
        <v>2774</v>
      </c>
      <c r="X345" s="397">
        <f t="shared" si="202"/>
        <v>223</v>
      </c>
      <c r="Y345" s="397">
        <f t="shared" si="203"/>
        <v>64248</v>
      </c>
      <c r="Z345" s="454">
        <f t="shared" si="204"/>
        <v>270</v>
      </c>
      <c r="AA345" s="454">
        <f t="shared" si="205"/>
        <v>13.176000000000002</v>
      </c>
      <c r="AB345" s="454">
        <f t="shared" si="206"/>
        <v>0.23220432000000002</v>
      </c>
      <c r="AC345" s="454">
        <f t="shared" si="207"/>
        <v>283</v>
      </c>
      <c r="AD345" s="231">
        <f t="shared" si="208"/>
        <v>17346960</v>
      </c>
      <c r="AE345" s="231">
        <f t="shared" si="209"/>
        <v>18182184</v>
      </c>
      <c r="AF345" s="427">
        <f t="shared" si="210"/>
        <v>23</v>
      </c>
      <c r="AG345" s="427">
        <f t="shared" si="211"/>
        <v>2</v>
      </c>
      <c r="AH345" s="428">
        <v>1</v>
      </c>
      <c r="AI345" s="229">
        <f t="shared" si="212"/>
        <v>3600</v>
      </c>
      <c r="AJ345" s="229">
        <f t="shared" si="213"/>
        <v>182</v>
      </c>
      <c r="AK345" s="229">
        <f t="shared" si="214"/>
        <v>83164</v>
      </c>
      <c r="AL345" s="454">
        <f t="shared" si="215"/>
        <v>270</v>
      </c>
      <c r="AM345" s="454">
        <f t="shared" si="216"/>
        <v>13.176000000000002</v>
      </c>
      <c r="AN345" s="454">
        <f t="shared" si="217"/>
        <v>0.23220432000000002</v>
      </c>
      <c r="AO345" s="454">
        <f t="shared" si="218"/>
        <v>283</v>
      </c>
      <c r="AP345" s="454">
        <f t="shared" si="219"/>
        <v>22454280</v>
      </c>
      <c r="AQ345" s="230">
        <f t="shared" si="220"/>
        <v>23535412</v>
      </c>
      <c r="AR345" s="397">
        <f t="shared" si="221"/>
        <v>52249050</v>
      </c>
      <c r="AS345" s="397">
        <f t="shared" si="222"/>
        <v>54764745</v>
      </c>
    </row>
    <row r="346" spans="1:45" ht="15.75">
      <c r="A346" s="228">
        <v>26</v>
      </c>
      <c r="B346" s="228" t="str">
        <f t="shared" si="186"/>
        <v>FRUTA_26</v>
      </c>
      <c r="C346" s="338" t="str">
        <f t="shared" si="187"/>
        <v>36_26</v>
      </c>
      <c r="D346" s="398" t="s">
        <v>1</v>
      </c>
      <c r="E346" s="228">
        <v>36</v>
      </c>
      <c r="F346" s="332" t="s">
        <v>1340</v>
      </c>
      <c r="G346" s="228" t="s">
        <v>9</v>
      </c>
      <c r="H346" s="427">
        <f t="shared" si="188"/>
        <v>8</v>
      </c>
      <c r="I346" s="427">
        <f t="shared" si="189"/>
        <v>0</v>
      </c>
      <c r="J346" s="428">
        <f t="array" ref="J346">MAX((IF(MNU_CODIGO_ALIMENTO_ENTREGA=CONCATENATE($E346,"_","S_"),MNU_GRAMAJE_REQUERIDO_TIPOA,"")))</f>
        <v>20</v>
      </c>
      <c r="K346" s="229">
        <f t="shared" si="190"/>
        <v>1577</v>
      </c>
      <c r="L346" s="229">
        <f t="shared" si="191"/>
        <v>74</v>
      </c>
      <c r="M346" s="229">
        <f t="shared" si="192"/>
        <v>12616</v>
      </c>
      <c r="N346" s="454">
        <f t="shared" si="193"/>
        <v>126</v>
      </c>
      <c r="O346" s="454">
        <f t="shared" si="194"/>
        <v>6.1488000000000005</v>
      </c>
      <c r="P346" s="454">
        <f t="shared" si="195"/>
        <v>0.10836201599999999</v>
      </c>
      <c r="Q346" s="454">
        <f t="shared" si="196"/>
        <v>132</v>
      </c>
      <c r="R346" s="230">
        <f t="shared" si="197"/>
        <v>1589616</v>
      </c>
      <c r="S346" s="230">
        <f t="shared" si="198"/>
        <v>1665312</v>
      </c>
      <c r="T346" s="429">
        <f t="shared" si="199"/>
        <v>8</v>
      </c>
      <c r="U346" s="429">
        <f t="shared" si="200"/>
        <v>0</v>
      </c>
      <c r="V346" s="430">
        <f t="array" ref="V346">MAX((IF(MNU_CODIGO_ALIMENTO_ENTREGA=CONCATENATE($E346,"_","S_"),MNU_GRAMAJE_REQUERIDO_TIPOB,"")))</f>
        <v>40</v>
      </c>
      <c r="W346" s="397">
        <f t="shared" si="201"/>
        <v>2774</v>
      </c>
      <c r="X346" s="397">
        <f t="shared" si="202"/>
        <v>223</v>
      </c>
      <c r="Y346" s="397">
        <f t="shared" si="203"/>
        <v>22192</v>
      </c>
      <c r="Z346" s="454">
        <f t="shared" si="204"/>
        <v>252</v>
      </c>
      <c r="AA346" s="454">
        <f t="shared" si="205"/>
        <v>12.297600000000001</v>
      </c>
      <c r="AB346" s="454">
        <f t="shared" si="206"/>
        <v>0.21672403199999998</v>
      </c>
      <c r="AC346" s="454">
        <f t="shared" si="207"/>
        <v>265</v>
      </c>
      <c r="AD346" s="231">
        <f t="shared" si="208"/>
        <v>5592384</v>
      </c>
      <c r="AE346" s="231">
        <f t="shared" si="209"/>
        <v>5880880</v>
      </c>
      <c r="AF346" s="427">
        <f t="shared" si="210"/>
        <v>8</v>
      </c>
      <c r="AG346" s="427">
        <f t="shared" si="211"/>
        <v>0</v>
      </c>
      <c r="AH346" s="428">
        <f t="array" ref="AH346">MAX((IF(MNU_CODIGO_ALIMENTO_ENTREGA=CONCATENATE($E346,"_","S_"),MNU_GRAMAJE_REQUERIDO_TIPOC,"")))</f>
        <v>40</v>
      </c>
      <c r="AI346" s="229">
        <f t="shared" si="212"/>
        <v>3600</v>
      </c>
      <c r="AJ346" s="229">
        <f t="shared" si="213"/>
        <v>182</v>
      </c>
      <c r="AK346" s="229">
        <f t="shared" si="214"/>
        <v>28800</v>
      </c>
      <c r="AL346" s="454">
        <f t="shared" si="215"/>
        <v>252</v>
      </c>
      <c r="AM346" s="454">
        <f t="shared" si="216"/>
        <v>12.297600000000001</v>
      </c>
      <c r="AN346" s="454">
        <f t="shared" si="217"/>
        <v>0.21672403199999998</v>
      </c>
      <c r="AO346" s="454">
        <f t="shared" si="218"/>
        <v>265</v>
      </c>
      <c r="AP346" s="454">
        <f t="shared" si="219"/>
        <v>7257600</v>
      </c>
      <c r="AQ346" s="230">
        <f t="shared" si="220"/>
        <v>7632000</v>
      </c>
      <c r="AR346" s="397">
        <f t="shared" si="221"/>
        <v>14439600</v>
      </c>
      <c r="AS346" s="397">
        <f t="shared" si="222"/>
        <v>15178192</v>
      </c>
    </row>
    <row r="347" spans="1:45" ht="15.75">
      <c r="A347" s="228">
        <v>26</v>
      </c>
      <c r="B347" s="228" t="str">
        <f t="shared" si="186"/>
        <v>FRUTA_26</v>
      </c>
      <c r="C347" s="338" t="str">
        <f t="shared" si="187"/>
        <v>42_26</v>
      </c>
      <c r="D347" s="398" t="s">
        <v>1</v>
      </c>
      <c r="E347" s="228">
        <v>42</v>
      </c>
      <c r="F347" s="332" t="s">
        <v>61</v>
      </c>
      <c r="G347" s="228" t="s">
        <v>9</v>
      </c>
      <c r="H347" s="427">
        <f t="shared" si="188"/>
        <v>36</v>
      </c>
      <c r="I347" s="427">
        <f t="shared" si="189"/>
        <v>8</v>
      </c>
      <c r="J347" s="428">
        <f t="array" ref="J347">MAX((IF(MNU_CODIGO_ALIMENTO_ENTREGA=CONCATENATE($E347,"_","S_"),MNU_GRAMAJE_REQUERIDO_TIPOA,"")))</f>
        <v>100</v>
      </c>
      <c r="K347" s="229">
        <f t="shared" si="190"/>
        <v>1577</v>
      </c>
      <c r="L347" s="229">
        <f t="shared" si="191"/>
        <v>74</v>
      </c>
      <c r="M347" s="229">
        <f t="shared" si="192"/>
        <v>57364</v>
      </c>
      <c r="N347" s="454">
        <f t="shared" si="193"/>
        <v>194</v>
      </c>
      <c r="O347" s="454">
        <f t="shared" si="194"/>
        <v>9.4672000000000001</v>
      </c>
      <c r="P347" s="454">
        <f t="shared" si="195"/>
        <v>0.16684310399999999</v>
      </c>
      <c r="Q347" s="454">
        <f t="shared" si="196"/>
        <v>204</v>
      </c>
      <c r="R347" s="230">
        <f t="shared" si="197"/>
        <v>11128616</v>
      </c>
      <c r="S347" s="230">
        <f t="shared" si="198"/>
        <v>11702256</v>
      </c>
      <c r="T347" s="429">
        <f t="shared" si="199"/>
        <v>19</v>
      </c>
      <c r="U347" s="429">
        <f t="shared" si="200"/>
        <v>8</v>
      </c>
      <c r="V347" s="430">
        <f t="array" ref="V347">MAX((IF(MNU_CODIGO_ALIMENTO_ENTREGA=CONCATENATE($E347,"_","S_"),MNU_GRAMAJE_REQUERIDO_TIPOB,"")))</f>
        <v>100</v>
      </c>
      <c r="W347" s="397">
        <f t="shared" si="201"/>
        <v>2774</v>
      </c>
      <c r="X347" s="397">
        <f t="shared" si="202"/>
        <v>223</v>
      </c>
      <c r="Y347" s="397">
        <f t="shared" si="203"/>
        <v>54490</v>
      </c>
      <c r="Z347" s="454">
        <f t="shared" si="204"/>
        <v>194</v>
      </c>
      <c r="AA347" s="454">
        <f t="shared" si="205"/>
        <v>9.4672000000000001</v>
      </c>
      <c r="AB347" s="454">
        <f t="shared" si="206"/>
        <v>0.16684310399999999</v>
      </c>
      <c r="AC347" s="454">
        <f t="shared" si="207"/>
        <v>204</v>
      </c>
      <c r="AD347" s="231">
        <f t="shared" si="208"/>
        <v>10571060</v>
      </c>
      <c r="AE347" s="231">
        <f t="shared" si="209"/>
        <v>11115960</v>
      </c>
      <c r="AF347" s="427">
        <f t="shared" si="210"/>
        <v>19</v>
      </c>
      <c r="AG347" s="427">
        <f t="shared" si="211"/>
        <v>8</v>
      </c>
      <c r="AH347" s="428">
        <f t="array" ref="AH347">MAX((IF(MNU_CODIGO_ALIMENTO_ENTREGA=CONCATENATE($E347,"_","S_"),MNU_GRAMAJE_REQUERIDO_TIPOC,"")))</f>
        <v>100</v>
      </c>
      <c r="AI347" s="229">
        <f t="shared" si="212"/>
        <v>3600</v>
      </c>
      <c r="AJ347" s="229">
        <f t="shared" si="213"/>
        <v>182</v>
      </c>
      <c r="AK347" s="229">
        <f t="shared" si="214"/>
        <v>69856</v>
      </c>
      <c r="AL347" s="454">
        <f t="shared" si="215"/>
        <v>194</v>
      </c>
      <c r="AM347" s="454">
        <f t="shared" si="216"/>
        <v>9.4672000000000001</v>
      </c>
      <c r="AN347" s="454">
        <f t="shared" si="217"/>
        <v>0.16684310399999999</v>
      </c>
      <c r="AO347" s="454">
        <f t="shared" si="218"/>
        <v>204</v>
      </c>
      <c r="AP347" s="454">
        <f t="shared" si="219"/>
        <v>13552064</v>
      </c>
      <c r="AQ347" s="230">
        <f t="shared" si="220"/>
        <v>14250624</v>
      </c>
      <c r="AR347" s="397">
        <f t="shared" si="221"/>
        <v>35251740</v>
      </c>
      <c r="AS347" s="397">
        <f t="shared" si="222"/>
        <v>37068840</v>
      </c>
    </row>
    <row r="348" spans="1:45" ht="15.75">
      <c r="A348" s="228">
        <v>26</v>
      </c>
      <c r="B348" s="228" t="str">
        <f t="shared" si="186"/>
        <v>FRUTA_26</v>
      </c>
      <c r="C348" s="338" t="str">
        <f t="shared" si="187"/>
        <v>43_26</v>
      </c>
      <c r="D348" s="398" t="s">
        <v>1</v>
      </c>
      <c r="E348" s="228">
        <v>43</v>
      </c>
      <c r="F348" s="332" t="s">
        <v>62</v>
      </c>
      <c r="G348" s="228" t="s">
        <v>9</v>
      </c>
      <c r="H348" s="427">
        <f t="shared" si="188"/>
        <v>29</v>
      </c>
      <c r="I348" s="427">
        <f t="shared" si="189"/>
        <v>6</v>
      </c>
      <c r="J348" s="428">
        <f t="array" ref="J348">MAX((IF(MNU_CODIGO_ALIMENTO_ENTREGA=CONCATENATE($E348,"_","S_"),MNU_GRAMAJE_REQUERIDO_TIPOA,"")))</f>
        <v>100</v>
      </c>
      <c r="K348" s="229">
        <f t="shared" si="190"/>
        <v>1577</v>
      </c>
      <c r="L348" s="229">
        <f t="shared" si="191"/>
        <v>74</v>
      </c>
      <c r="M348" s="229">
        <f t="shared" si="192"/>
        <v>46177</v>
      </c>
      <c r="N348" s="454">
        <f t="shared" si="193"/>
        <v>170</v>
      </c>
      <c r="O348" s="454">
        <f t="shared" si="194"/>
        <v>8.2959999999999994</v>
      </c>
      <c r="P348" s="454">
        <f t="shared" si="195"/>
        <v>0.14620272000000001</v>
      </c>
      <c r="Q348" s="454">
        <f t="shared" si="196"/>
        <v>178</v>
      </c>
      <c r="R348" s="230">
        <f t="shared" si="197"/>
        <v>7850090</v>
      </c>
      <c r="S348" s="230">
        <f t="shared" si="198"/>
        <v>8219506</v>
      </c>
      <c r="T348" s="429">
        <f t="shared" si="199"/>
        <v>23</v>
      </c>
      <c r="U348" s="429">
        <f t="shared" si="200"/>
        <v>1</v>
      </c>
      <c r="V348" s="430">
        <f t="array" ref="V348">MAX((IF(MNU_CODIGO_ALIMENTO_ENTREGA=CONCATENATE($E348,"_","S_"),MNU_GRAMAJE_REQUERIDO_TIPOB,"")))</f>
        <v>100</v>
      </c>
      <c r="W348" s="397">
        <f t="shared" si="201"/>
        <v>2774</v>
      </c>
      <c r="X348" s="397">
        <f t="shared" si="202"/>
        <v>223</v>
      </c>
      <c r="Y348" s="397">
        <f t="shared" si="203"/>
        <v>64025</v>
      </c>
      <c r="Z348" s="454">
        <f t="shared" si="204"/>
        <v>170</v>
      </c>
      <c r="AA348" s="454">
        <f t="shared" si="205"/>
        <v>8.2959999999999994</v>
      </c>
      <c r="AB348" s="454">
        <f t="shared" si="206"/>
        <v>0.14620272000000001</v>
      </c>
      <c r="AC348" s="454">
        <f t="shared" si="207"/>
        <v>178</v>
      </c>
      <c r="AD348" s="231">
        <f t="shared" si="208"/>
        <v>10884250</v>
      </c>
      <c r="AE348" s="231">
        <f t="shared" si="209"/>
        <v>11396450</v>
      </c>
      <c r="AF348" s="427">
        <f t="shared" si="210"/>
        <v>23</v>
      </c>
      <c r="AG348" s="427">
        <f t="shared" si="211"/>
        <v>1</v>
      </c>
      <c r="AH348" s="428">
        <f t="array" ref="AH348">MAX((IF(MNU_CODIGO_ALIMENTO_ENTREGA=CONCATENATE($E348,"_","S_"),MNU_GRAMAJE_REQUERIDO_TIPOC,"")))</f>
        <v>100</v>
      </c>
      <c r="AI348" s="229">
        <f t="shared" si="212"/>
        <v>3600</v>
      </c>
      <c r="AJ348" s="229">
        <f t="shared" si="213"/>
        <v>182</v>
      </c>
      <c r="AK348" s="229">
        <f t="shared" si="214"/>
        <v>82982</v>
      </c>
      <c r="AL348" s="454">
        <f t="shared" si="215"/>
        <v>170</v>
      </c>
      <c r="AM348" s="454">
        <f t="shared" si="216"/>
        <v>8.2959999999999994</v>
      </c>
      <c r="AN348" s="454">
        <f t="shared" si="217"/>
        <v>0.14620272000000001</v>
      </c>
      <c r="AO348" s="454">
        <f t="shared" si="218"/>
        <v>178</v>
      </c>
      <c r="AP348" s="454">
        <f t="shared" si="219"/>
        <v>14106940</v>
      </c>
      <c r="AQ348" s="230">
        <f t="shared" si="220"/>
        <v>14770796</v>
      </c>
      <c r="AR348" s="397">
        <f t="shared" si="221"/>
        <v>32841280</v>
      </c>
      <c r="AS348" s="397">
        <f t="shared" si="222"/>
        <v>34386752</v>
      </c>
    </row>
    <row r="349" spans="1:45" ht="15.75">
      <c r="A349" s="228">
        <v>26</v>
      </c>
      <c r="B349" s="228" t="str">
        <f t="shared" si="186"/>
        <v>FRUTA_26</v>
      </c>
      <c r="C349" s="338" t="str">
        <f t="shared" si="187"/>
        <v>46_26</v>
      </c>
      <c r="D349" s="398" t="s">
        <v>1</v>
      </c>
      <c r="E349" s="228">
        <v>46</v>
      </c>
      <c r="F349" s="332" t="s">
        <v>64</v>
      </c>
      <c r="G349" s="228" t="s">
        <v>9</v>
      </c>
      <c r="H349" s="427">
        <f t="shared" si="188"/>
        <v>29</v>
      </c>
      <c r="I349" s="427">
        <f t="shared" si="189"/>
        <v>4</v>
      </c>
      <c r="J349" s="428">
        <f t="array" ref="J349">MAX((IF(MNU_CODIGO_ALIMENTO_ENTREGA=CONCATENATE($E349,"_","S_"),MNU_GRAMAJE_REQUERIDO_TIPOA,"")))</f>
        <v>100</v>
      </c>
      <c r="K349" s="229">
        <f t="shared" si="190"/>
        <v>1577</v>
      </c>
      <c r="L349" s="229">
        <f t="shared" si="191"/>
        <v>74</v>
      </c>
      <c r="M349" s="229">
        <f t="shared" si="192"/>
        <v>46029</v>
      </c>
      <c r="N349" s="454">
        <f t="shared" si="193"/>
        <v>398</v>
      </c>
      <c r="O349" s="454">
        <f t="shared" si="194"/>
        <v>19.4224</v>
      </c>
      <c r="P349" s="454">
        <f t="shared" si="195"/>
        <v>0.34228636800000001</v>
      </c>
      <c r="Q349" s="454">
        <f t="shared" si="196"/>
        <v>418</v>
      </c>
      <c r="R349" s="230">
        <f t="shared" si="197"/>
        <v>18319542</v>
      </c>
      <c r="S349" s="230">
        <f t="shared" si="198"/>
        <v>19240122</v>
      </c>
      <c r="T349" s="429">
        <f t="shared" si="199"/>
        <v>24</v>
      </c>
      <c r="U349" s="429">
        <f t="shared" si="200"/>
        <v>3</v>
      </c>
      <c r="V349" s="430">
        <f t="array" ref="V349">MAX((IF(MNU_CODIGO_ALIMENTO_ENTREGA=CONCATENATE($E349,"_","S_"),MNU_GRAMAJE_REQUERIDO_TIPOB,"")))</f>
        <v>100</v>
      </c>
      <c r="W349" s="397">
        <f t="shared" si="201"/>
        <v>2774</v>
      </c>
      <c r="X349" s="397">
        <f t="shared" si="202"/>
        <v>223</v>
      </c>
      <c r="Y349" s="397">
        <f t="shared" si="203"/>
        <v>67245</v>
      </c>
      <c r="Z349" s="454">
        <f t="shared" si="204"/>
        <v>398</v>
      </c>
      <c r="AA349" s="454">
        <f t="shared" si="205"/>
        <v>19.4224</v>
      </c>
      <c r="AB349" s="454">
        <f t="shared" si="206"/>
        <v>0.34228636800000001</v>
      </c>
      <c r="AC349" s="454">
        <f t="shared" si="207"/>
        <v>418</v>
      </c>
      <c r="AD349" s="231">
        <f t="shared" si="208"/>
        <v>26763510</v>
      </c>
      <c r="AE349" s="231">
        <f t="shared" si="209"/>
        <v>28108410</v>
      </c>
      <c r="AF349" s="427">
        <f t="shared" si="210"/>
        <v>24</v>
      </c>
      <c r="AG349" s="427">
        <f t="shared" si="211"/>
        <v>3</v>
      </c>
      <c r="AH349" s="428">
        <f t="array" ref="AH349">MAX((IF(MNU_CODIGO_ALIMENTO_ENTREGA=CONCATENATE($E349,"_","S_"),MNU_GRAMAJE_REQUERIDO_TIPOC,"")))</f>
        <v>100</v>
      </c>
      <c r="AI349" s="229">
        <f t="shared" si="212"/>
        <v>3600</v>
      </c>
      <c r="AJ349" s="229">
        <f t="shared" si="213"/>
        <v>182</v>
      </c>
      <c r="AK349" s="229">
        <f t="shared" si="214"/>
        <v>86946</v>
      </c>
      <c r="AL349" s="454">
        <f t="shared" si="215"/>
        <v>398</v>
      </c>
      <c r="AM349" s="454">
        <f t="shared" si="216"/>
        <v>19.4224</v>
      </c>
      <c r="AN349" s="454">
        <f t="shared" si="217"/>
        <v>0.34228636800000001</v>
      </c>
      <c r="AO349" s="454">
        <f t="shared" si="218"/>
        <v>418</v>
      </c>
      <c r="AP349" s="454">
        <f t="shared" si="219"/>
        <v>34604508</v>
      </c>
      <c r="AQ349" s="230">
        <f t="shared" si="220"/>
        <v>36343428</v>
      </c>
      <c r="AR349" s="397">
        <f t="shared" si="221"/>
        <v>79687560</v>
      </c>
      <c r="AS349" s="397">
        <f t="shared" si="222"/>
        <v>83691960</v>
      </c>
    </row>
    <row r="350" spans="1:45" ht="15.75">
      <c r="A350" s="228">
        <v>26</v>
      </c>
      <c r="B350" s="228" t="str">
        <f t="shared" si="186"/>
        <v>FRUTA_26</v>
      </c>
      <c r="C350" s="338" t="str">
        <f t="shared" si="187"/>
        <v>58_26</v>
      </c>
      <c r="D350" s="398" t="s">
        <v>1</v>
      </c>
      <c r="E350" s="228">
        <v>58</v>
      </c>
      <c r="F350" s="332" t="s">
        <v>67</v>
      </c>
      <c r="G350" s="228" t="s">
        <v>9</v>
      </c>
      <c r="H350" s="427">
        <f t="shared" si="188"/>
        <v>28</v>
      </c>
      <c r="I350" s="427">
        <f t="shared" si="189"/>
        <v>5</v>
      </c>
      <c r="J350" s="428">
        <f t="array" ref="J350">MAX((IF(MNU_CODIGO_ALIMENTO_ENTREGA=CONCATENATE($E350,"_","S_"),MNU_GRAMAJE_REQUERIDO_TIPOA,"")))</f>
        <v>100</v>
      </c>
      <c r="K350" s="229">
        <f t="shared" si="190"/>
        <v>1577</v>
      </c>
      <c r="L350" s="229">
        <f t="shared" si="191"/>
        <v>74</v>
      </c>
      <c r="M350" s="229">
        <f t="shared" si="192"/>
        <v>44526</v>
      </c>
      <c r="N350" s="454">
        <f t="shared" si="193"/>
        <v>154</v>
      </c>
      <c r="O350" s="454">
        <f t="shared" si="194"/>
        <v>7.515200000000001</v>
      </c>
      <c r="P350" s="454">
        <f t="shared" si="195"/>
        <v>0.13244246400000001</v>
      </c>
      <c r="Q350" s="454">
        <f t="shared" si="196"/>
        <v>162</v>
      </c>
      <c r="R350" s="230">
        <f t="shared" si="197"/>
        <v>6857004</v>
      </c>
      <c r="S350" s="230">
        <f t="shared" si="198"/>
        <v>7213212</v>
      </c>
      <c r="T350" s="429">
        <f t="shared" si="199"/>
        <v>23</v>
      </c>
      <c r="U350" s="429">
        <f t="shared" si="200"/>
        <v>3</v>
      </c>
      <c r="V350" s="430">
        <f t="array" ref="V350">MAX((IF(MNU_CODIGO_ALIMENTO_ENTREGA=CONCATENATE($E350,"_","S_"),MNU_GRAMAJE_REQUERIDO_TIPOB,"")))</f>
        <v>100</v>
      </c>
      <c r="W350" s="397">
        <f t="shared" si="201"/>
        <v>2774</v>
      </c>
      <c r="X350" s="397">
        <f t="shared" si="202"/>
        <v>223</v>
      </c>
      <c r="Y350" s="397">
        <f t="shared" si="203"/>
        <v>64471</v>
      </c>
      <c r="Z350" s="454">
        <f t="shared" si="204"/>
        <v>154</v>
      </c>
      <c r="AA350" s="454">
        <f t="shared" si="205"/>
        <v>7.515200000000001</v>
      </c>
      <c r="AB350" s="454">
        <f t="shared" si="206"/>
        <v>0.13244246400000001</v>
      </c>
      <c r="AC350" s="454">
        <f t="shared" si="207"/>
        <v>162</v>
      </c>
      <c r="AD350" s="231">
        <f t="shared" si="208"/>
        <v>9928534</v>
      </c>
      <c r="AE350" s="231">
        <f t="shared" si="209"/>
        <v>10444302</v>
      </c>
      <c r="AF350" s="427">
        <f t="shared" si="210"/>
        <v>23</v>
      </c>
      <c r="AG350" s="427">
        <f t="shared" si="211"/>
        <v>3</v>
      </c>
      <c r="AH350" s="428">
        <f t="array" ref="AH350">MAX((IF(MNU_CODIGO_ALIMENTO_ENTREGA=CONCATENATE($E350,"_","S_"),MNU_GRAMAJE_REQUERIDO_TIPOC,"")))</f>
        <v>100</v>
      </c>
      <c r="AI350" s="229">
        <f t="shared" si="212"/>
        <v>3600</v>
      </c>
      <c r="AJ350" s="229">
        <f t="shared" si="213"/>
        <v>182</v>
      </c>
      <c r="AK350" s="229">
        <f t="shared" si="214"/>
        <v>83346</v>
      </c>
      <c r="AL350" s="454">
        <f t="shared" si="215"/>
        <v>154</v>
      </c>
      <c r="AM350" s="454">
        <f t="shared" si="216"/>
        <v>7.515200000000001</v>
      </c>
      <c r="AN350" s="454">
        <f t="shared" si="217"/>
        <v>0.13244246400000001</v>
      </c>
      <c r="AO350" s="454">
        <f t="shared" si="218"/>
        <v>162</v>
      </c>
      <c r="AP350" s="454">
        <f t="shared" si="219"/>
        <v>12835284</v>
      </c>
      <c r="AQ350" s="230">
        <f t="shared" si="220"/>
        <v>13502052</v>
      </c>
      <c r="AR350" s="397">
        <f t="shared" si="221"/>
        <v>29620822</v>
      </c>
      <c r="AS350" s="397">
        <f t="shared" si="222"/>
        <v>31159566</v>
      </c>
    </row>
    <row r="351" spans="1:45" ht="15.75">
      <c r="A351" s="228">
        <v>26</v>
      </c>
      <c r="B351" s="228" t="str">
        <f t="shared" si="186"/>
        <v>FRUTA_26</v>
      </c>
      <c r="C351" s="338" t="str">
        <f t="shared" si="187"/>
        <v>59_26</v>
      </c>
      <c r="D351" s="398" t="s">
        <v>1</v>
      </c>
      <c r="E351" s="228">
        <v>59</v>
      </c>
      <c r="F351" s="332" t="s">
        <v>99</v>
      </c>
      <c r="G351" s="228" t="s">
        <v>9</v>
      </c>
      <c r="H351" s="427">
        <f t="shared" si="188"/>
        <v>0</v>
      </c>
      <c r="I351" s="427">
        <f t="shared" si="189"/>
        <v>0</v>
      </c>
      <c r="J351" s="428">
        <f t="array" ref="J351">MAX((IF(MNU_CODIGO_ALIMENTO_ENTREGA=CONCATENATE($E351,"_","S_"),MNU_GRAMAJE_REQUERIDO_TIPOA,"")))</f>
        <v>0</v>
      </c>
      <c r="K351" s="229">
        <f t="shared" si="190"/>
        <v>1577</v>
      </c>
      <c r="L351" s="229">
        <f t="shared" si="191"/>
        <v>74</v>
      </c>
      <c r="M351" s="229">
        <f t="shared" si="192"/>
        <v>0</v>
      </c>
      <c r="N351" s="454">
        <f t="shared" si="193"/>
        <v>0</v>
      </c>
      <c r="O351" s="454">
        <f t="shared" si="194"/>
        <v>0</v>
      </c>
      <c r="P351" s="454">
        <f t="shared" si="195"/>
        <v>0</v>
      </c>
      <c r="Q351" s="454">
        <f t="shared" si="196"/>
        <v>0</v>
      </c>
      <c r="R351" s="230">
        <f t="shared" si="197"/>
        <v>0</v>
      </c>
      <c r="S351" s="230">
        <f t="shared" si="198"/>
        <v>0</v>
      </c>
      <c r="T351" s="429">
        <f t="shared" si="199"/>
        <v>11</v>
      </c>
      <c r="U351" s="429">
        <f t="shared" si="200"/>
        <v>0</v>
      </c>
      <c r="V351" s="430">
        <f t="array" ref="V351">MAX((IF(MNU_CODIGO_ALIMENTO_ENTREGA=CONCATENATE($E351,"_","S_"),MNU_GRAMAJE_REQUERIDO_TIPOB,"")))</f>
        <v>100</v>
      </c>
      <c r="W351" s="397">
        <f t="shared" si="201"/>
        <v>2774</v>
      </c>
      <c r="X351" s="397">
        <f t="shared" si="202"/>
        <v>223</v>
      </c>
      <c r="Y351" s="397">
        <f t="shared" si="203"/>
        <v>30514</v>
      </c>
      <c r="Z351" s="454">
        <f t="shared" si="204"/>
        <v>286</v>
      </c>
      <c r="AA351" s="454">
        <f t="shared" si="205"/>
        <v>13.956800000000001</v>
      </c>
      <c r="AB351" s="454">
        <f t="shared" si="206"/>
        <v>0.24596457599999999</v>
      </c>
      <c r="AC351" s="454">
        <f t="shared" si="207"/>
        <v>300</v>
      </c>
      <c r="AD351" s="231">
        <f t="shared" si="208"/>
        <v>8727004</v>
      </c>
      <c r="AE351" s="231">
        <f t="shared" si="209"/>
        <v>9154200</v>
      </c>
      <c r="AF351" s="427">
        <f t="shared" si="210"/>
        <v>11</v>
      </c>
      <c r="AG351" s="427">
        <f t="shared" si="211"/>
        <v>0</v>
      </c>
      <c r="AH351" s="428">
        <f t="array" ref="AH351">MAX((IF(MNU_CODIGO_ALIMENTO_ENTREGA=CONCATENATE($E351,"_","S_"),MNU_GRAMAJE_REQUERIDO_TIPOC,"")))</f>
        <v>100</v>
      </c>
      <c r="AI351" s="229">
        <f t="shared" si="212"/>
        <v>3600</v>
      </c>
      <c r="AJ351" s="229">
        <f t="shared" si="213"/>
        <v>182</v>
      </c>
      <c r="AK351" s="229">
        <f t="shared" si="214"/>
        <v>39600</v>
      </c>
      <c r="AL351" s="454">
        <f t="shared" si="215"/>
        <v>286</v>
      </c>
      <c r="AM351" s="454">
        <f t="shared" si="216"/>
        <v>13.956800000000001</v>
      </c>
      <c r="AN351" s="454">
        <f t="shared" si="217"/>
        <v>0.24596457599999999</v>
      </c>
      <c r="AO351" s="454">
        <f t="shared" si="218"/>
        <v>300</v>
      </c>
      <c r="AP351" s="454">
        <f t="shared" si="219"/>
        <v>11325600</v>
      </c>
      <c r="AQ351" s="230">
        <f t="shared" si="220"/>
        <v>11880000</v>
      </c>
      <c r="AR351" s="397">
        <f t="shared" si="221"/>
        <v>20052604</v>
      </c>
      <c r="AS351" s="397">
        <f t="shared" si="222"/>
        <v>21034200</v>
      </c>
    </row>
    <row r="352" spans="1:45" ht="15.75">
      <c r="A352" s="228">
        <v>26</v>
      </c>
      <c r="B352" s="228" t="str">
        <f t="shared" si="186"/>
        <v>FRUTA_26</v>
      </c>
      <c r="C352" s="338" t="str">
        <f t="shared" si="187"/>
        <v>69_26</v>
      </c>
      <c r="D352" s="398" t="s">
        <v>1</v>
      </c>
      <c r="E352" s="228">
        <v>69</v>
      </c>
      <c r="F352" s="332" t="s">
        <v>70</v>
      </c>
      <c r="G352" s="228" t="s">
        <v>9</v>
      </c>
      <c r="H352" s="427">
        <f t="shared" si="188"/>
        <v>18</v>
      </c>
      <c r="I352" s="427">
        <f t="shared" si="189"/>
        <v>2</v>
      </c>
      <c r="J352" s="428">
        <f t="array" ref="J352">MAX((IF(MNU_CODIGO_ALIMENTO_ENTREGA=CONCATENATE($E352,"_","S_"),MNU_GRAMAJE_REQUERIDO_TIPOA,"")))</f>
        <v>100</v>
      </c>
      <c r="K352" s="229">
        <f t="shared" si="190"/>
        <v>1577</v>
      </c>
      <c r="L352" s="229">
        <f t="shared" si="191"/>
        <v>74</v>
      </c>
      <c r="M352" s="229">
        <f t="shared" si="192"/>
        <v>28534</v>
      </c>
      <c r="N352" s="454">
        <f t="shared" si="193"/>
        <v>305</v>
      </c>
      <c r="O352" s="454">
        <f t="shared" si="194"/>
        <v>14.884</v>
      </c>
      <c r="P352" s="454">
        <f t="shared" si="195"/>
        <v>0.26230488000000002</v>
      </c>
      <c r="Q352" s="454">
        <f t="shared" si="196"/>
        <v>320</v>
      </c>
      <c r="R352" s="230">
        <f t="shared" si="197"/>
        <v>8702870</v>
      </c>
      <c r="S352" s="230">
        <f t="shared" si="198"/>
        <v>9130880</v>
      </c>
      <c r="T352" s="429">
        <f t="shared" si="199"/>
        <v>12</v>
      </c>
      <c r="U352" s="429">
        <f t="shared" si="200"/>
        <v>2</v>
      </c>
      <c r="V352" s="430">
        <f t="array" ref="V352">MAX((IF(MNU_CODIGO_ALIMENTO_ENTREGA=CONCATENATE($E352,"_","S_"),MNU_GRAMAJE_REQUERIDO_TIPOB,"")))</f>
        <v>100</v>
      </c>
      <c r="W352" s="397">
        <f t="shared" si="201"/>
        <v>2774</v>
      </c>
      <c r="X352" s="397">
        <f t="shared" si="202"/>
        <v>223</v>
      </c>
      <c r="Y352" s="397">
        <f t="shared" si="203"/>
        <v>33734</v>
      </c>
      <c r="Z352" s="454">
        <f t="shared" si="204"/>
        <v>305</v>
      </c>
      <c r="AA352" s="454">
        <f t="shared" si="205"/>
        <v>14.884</v>
      </c>
      <c r="AB352" s="454">
        <f t="shared" si="206"/>
        <v>0.26230488000000002</v>
      </c>
      <c r="AC352" s="454">
        <f t="shared" si="207"/>
        <v>320</v>
      </c>
      <c r="AD352" s="231">
        <f t="shared" si="208"/>
        <v>10288870</v>
      </c>
      <c r="AE352" s="231">
        <f t="shared" si="209"/>
        <v>10794880</v>
      </c>
      <c r="AF352" s="427">
        <f t="shared" si="210"/>
        <v>12</v>
      </c>
      <c r="AG352" s="427">
        <f t="shared" si="211"/>
        <v>2</v>
      </c>
      <c r="AH352" s="428">
        <f t="array" ref="AH352">MAX((IF(MNU_CODIGO_ALIMENTO_ENTREGA=CONCATENATE($E352,"_","S_"),MNU_GRAMAJE_REQUERIDO_TIPOC,"")))</f>
        <v>100</v>
      </c>
      <c r="AI352" s="229">
        <f t="shared" si="212"/>
        <v>3600</v>
      </c>
      <c r="AJ352" s="229">
        <f t="shared" si="213"/>
        <v>182</v>
      </c>
      <c r="AK352" s="229">
        <f t="shared" si="214"/>
        <v>43564</v>
      </c>
      <c r="AL352" s="454">
        <f t="shared" si="215"/>
        <v>305</v>
      </c>
      <c r="AM352" s="454">
        <f t="shared" si="216"/>
        <v>14.884</v>
      </c>
      <c r="AN352" s="454">
        <f t="shared" si="217"/>
        <v>0.26230488000000002</v>
      </c>
      <c r="AO352" s="454">
        <f t="shared" si="218"/>
        <v>320</v>
      </c>
      <c r="AP352" s="454">
        <f t="shared" si="219"/>
        <v>13287020</v>
      </c>
      <c r="AQ352" s="230">
        <f t="shared" si="220"/>
        <v>13940480</v>
      </c>
      <c r="AR352" s="397">
        <f t="shared" si="221"/>
        <v>32278760</v>
      </c>
      <c r="AS352" s="397">
        <f t="shared" si="222"/>
        <v>33866240</v>
      </c>
    </row>
    <row r="353" spans="1:45" ht="15.75">
      <c r="A353" s="228">
        <v>26</v>
      </c>
      <c r="B353" s="228" t="str">
        <f t="shared" si="186"/>
        <v>FRUTA_26</v>
      </c>
      <c r="C353" s="338" t="str">
        <f t="shared" si="187"/>
        <v>70_26</v>
      </c>
      <c r="D353" s="398" t="s">
        <v>1</v>
      </c>
      <c r="E353" s="228">
        <v>70</v>
      </c>
      <c r="F353" s="332" t="s">
        <v>71</v>
      </c>
      <c r="G353" s="228" t="s">
        <v>9</v>
      </c>
      <c r="H353" s="427">
        <f t="shared" si="188"/>
        <v>0</v>
      </c>
      <c r="I353" s="427">
        <f t="shared" si="189"/>
        <v>0</v>
      </c>
      <c r="J353" s="428">
        <f t="array" ref="J353">MAX((IF(MNU_CODIGO_ALIMENTO_ENTREGA=CONCATENATE($E353,"_","S_"),MNU_GRAMAJE_REQUERIDO_TIPOA,"")))</f>
        <v>0</v>
      </c>
      <c r="K353" s="229">
        <f t="shared" si="190"/>
        <v>1577</v>
      </c>
      <c r="L353" s="229">
        <f t="shared" si="191"/>
        <v>74</v>
      </c>
      <c r="M353" s="229">
        <f t="shared" si="192"/>
        <v>0</v>
      </c>
      <c r="N353" s="454">
        <f t="shared" si="193"/>
        <v>0</v>
      </c>
      <c r="O353" s="454">
        <f t="shared" si="194"/>
        <v>0</v>
      </c>
      <c r="P353" s="454">
        <f t="shared" si="195"/>
        <v>0</v>
      </c>
      <c r="Q353" s="454">
        <f t="shared" si="196"/>
        <v>0</v>
      </c>
      <c r="R353" s="230">
        <f t="shared" si="197"/>
        <v>0</v>
      </c>
      <c r="S353" s="230">
        <f t="shared" si="198"/>
        <v>0</v>
      </c>
      <c r="T353" s="429">
        <f t="shared" si="199"/>
        <v>8</v>
      </c>
      <c r="U353" s="429">
        <f t="shared" si="200"/>
        <v>4</v>
      </c>
      <c r="V353" s="430">
        <f t="array" ref="V353">MAX((IF(MNU_CODIGO_ALIMENTO_ENTREGA=CONCATENATE($E353,"_","S_"),MNU_GRAMAJE_REQUERIDO_TIPOB,"")))</f>
        <v>100</v>
      </c>
      <c r="W353" s="397">
        <f t="shared" si="201"/>
        <v>2774</v>
      </c>
      <c r="X353" s="397">
        <f t="shared" si="202"/>
        <v>223</v>
      </c>
      <c r="Y353" s="397">
        <f t="shared" si="203"/>
        <v>23084</v>
      </c>
      <c r="Z353" s="454">
        <f t="shared" si="204"/>
        <v>434</v>
      </c>
      <c r="AA353" s="454">
        <f t="shared" si="205"/>
        <v>21.179200000000002</v>
      </c>
      <c r="AB353" s="454">
        <f t="shared" si="206"/>
        <v>0.37324694399999997</v>
      </c>
      <c r="AC353" s="454">
        <f t="shared" si="207"/>
        <v>456</v>
      </c>
      <c r="AD353" s="231">
        <f t="shared" si="208"/>
        <v>10018456</v>
      </c>
      <c r="AE353" s="231">
        <f t="shared" si="209"/>
        <v>10526304</v>
      </c>
      <c r="AF353" s="427">
        <f t="shared" si="210"/>
        <v>8</v>
      </c>
      <c r="AG353" s="427">
        <f t="shared" si="211"/>
        <v>4</v>
      </c>
      <c r="AH353" s="428">
        <f t="array" ref="AH353">MAX((IF(MNU_CODIGO_ALIMENTO_ENTREGA=CONCATENATE($E353,"_","S_"),MNU_GRAMAJE_REQUERIDO_TIPOC,"")))</f>
        <v>100</v>
      </c>
      <c r="AI353" s="229">
        <f t="shared" si="212"/>
        <v>3600</v>
      </c>
      <c r="AJ353" s="229">
        <f t="shared" si="213"/>
        <v>182</v>
      </c>
      <c r="AK353" s="229">
        <f t="shared" si="214"/>
        <v>29528</v>
      </c>
      <c r="AL353" s="454">
        <f t="shared" si="215"/>
        <v>434</v>
      </c>
      <c r="AM353" s="454">
        <f t="shared" si="216"/>
        <v>21.179200000000002</v>
      </c>
      <c r="AN353" s="454">
        <f t="shared" si="217"/>
        <v>0.37324694399999997</v>
      </c>
      <c r="AO353" s="454">
        <f t="shared" si="218"/>
        <v>456</v>
      </c>
      <c r="AP353" s="454">
        <f t="shared" si="219"/>
        <v>12815152</v>
      </c>
      <c r="AQ353" s="230">
        <f t="shared" si="220"/>
        <v>13464768</v>
      </c>
      <c r="AR353" s="397">
        <f t="shared" si="221"/>
        <v>22833608</v>
      </c>
      <c r="AS353" s="397">
        <f t="shared" si="222"/>
        <v>23991072</v>
      </c>
    </row>
    <row r="354" spans="1:45" ht="15.75">
      <c r="A354" s="228">
        <v>27</v>
      </c>
      <c r="B354" s="228" t="str">
        <f t="shared" si="186"/>
        <v>FRUTA_27</v>
      </c>
      <c r="C354" s="338" t="str">
        <f t="shared" si="187"/>
        <v>7_27</v>
      </c>
      <c r="D354" s="398" t="s">
        <v>1</v>
      </c>
      <c r="E354" s="228">
        <v>7</v>
      </c>
      <c r="F354" s="332" t="s">
        <v>57</v>
      </c>
      <c r="G354" s="228" t="s">
        <v>9</v>
      </c>
      <c r="H354" s="427">
        <f t="shared" si="188"/>
        <v>31</v>
      </c>
      <c r="I354" s="427">
        <f t="shared" si="189"/>
        <v>0</v>
      </c>
      <c r="J354" s="428">
        <f t="array" ref="J354">MAX((IF(MNU_CODIGO_ALIMENTO_ENTREGA=CONCATENATE($E354,"_","S_"),MNU_GRAMAJE_REQUERIDO_TIPOA,"")))</f>
        <v>100</v>
      </c>
      <c r="K354" s="229">
        <f t="shared" si="190"/>
        <v>2587</v>
      </c>
      <c r="L354" s="229">
        <f t="shared" si="191"/>
        <v>0</v>
      </c>
      <c r="M354" s="229">
        <f t="shared" si="192"/>
        <v>80197</v>
      </c>
      <c r="N354" s="454">
        <f t="shared" si="193"/>
        <v>107</v>
      </c>
      <c r="O354" s="454">
        <f t="shared" si="194"/>
        <v>5.2216000000000005</v>
      </c>
      <c r="P354" s="454">
        <f t="shared" si="195"/>
        <v>9.2021712000000006E-2</v>
      </c>
      <c r="Q354" s="454">
        <f t="shared" si="196"/>
        <v>112</v>
      </c>
      <c r="R354" s="230">
        <f t="shared" si="197"/>
        <v>8581079</v>
      </c>
      <c r="S354" s="230">
        <f t="shared" si="198"/>
        <v>8982064</v>
      </c>
      <c r="T354" s="429">
        <f t="shared" si="199"/>
        <v>11</v>
      </c>
      <c r="U354" s="429">
        <f t="shared" si="200"/>
        <v>0</v>
      </c>
      <c r="V354" s="430">
        <f t="array" ref="V354">MAX((IF(MNU_CODIGO_ALIMENTO_ENTREGA=CONCATENATE($E354,"_","S_"),MNU_GRAMAJE_REQUERIDO_TIPOB,"")))</f>
        <v>100</v>
      </c>
      <c r="W354" s="397">
        <f t="shared" si="201"/>
        <v>1584</v>
      </c>
      <c r="X354" s="397">
        <f t="shared" si="202"/>
        <v>0</v>
      </c>
      <c r="Y354" s="397">
        <f t="shared" si="203"/>
        <v>17424</v>
      </c>
      <c r="Z354" s="454">
        <f t="shared" si="204"/>
        <v>107</v>
      </c>
      <c r="AA354" s="454">
        <f t="shared" si="205"/>
        <v>5.2216000000000005</v>
      </c>
      <c r="AB354" s="454">
        <f t="shared" si="206"/>
        <v>9.2021712000000006E-2</v>
      </c>
      <c r="AC354" s="454">
        <f t="shared" si="207"/>
        <v>112</v>
      </c>
      <c r="AD354" s="231">
        <f t="shared" si="208"/>
        <v>1864368</v>
      </c>
      <c r="AE354" s="231">
        <f t="shared" si="209"/>
        <v>1951488</v>
      </c>
      <c r="AF354" s="427">
        <f t="shared" si="210"/>
        <v>11</v>
      </c>
      <c r="AG354" s="427">
        <f t="shared" si="211"/>
        <v>0</v>
      </c>
      <c r="AH354" s="428">
        <f t="array" ref="AH354">MAX((IF(MNU_CODIGO_ALIMENTO_ENTREGA=CONCATENATE($E354,"_","S_"),MNU_GRAMAJE_REQUERIDO_TIPOC,"")))</f>
        <v>100</v>
      </c>
      <c r="AI354" s="229">
        <f t="shared" si="212"/>
        <v>1132</v>
      </c>
      <c r="AJ354" s="229">
        <f t="shared" si="213"/>
        <v>0</v>
      </c>
      <c r="AK354" s="229">
        <f t="shared" si="214"/>
        <v>12452</v>
      </c>
      <c r="AL354" s="454">
        <f t="shared" si="215"/>
        <v>107</v>
      </c>
      <c r="AM354" s="454">
        <f t="shared" si="216"/>
        <v>5.2216000000000005</v>
      </c>
      <c r="AN354" s="454">
        <f t="shared" si="217"/>
        <v>9.2021712000000006E-2</v>
      </c>
      <c r="AO354" s="454">
        <f t="shared" si="218"/>
        <v>112</v>
      </c>
      <c r="AP354" s="454">
        <f t="shared" si="219"/>
        <v>1332364</v>
      </c>
      <c r="AQ354" s="230">
        <f t="shared" si="220"/>
        <v>1394624</v>
      </c>
      <c r="AR354" s="397">
        <f t="shared" si="221"/>
        <v>11777811</v>
      </c>
      <c r="AS354" s="397">
        <f t="shared" si="222"/>
        <v>12328176</v>
      </c>
    </row>
    <row r="355" spans="1:45" ht="15.75">
      <c r="A355" s="228">
        <v>27</v>
      </c>
      <c r="B355" s="228" t="str">
        <f t="shared" si="186"/>
        <v>FRUTA_27</v>
      </c>
      <c r="C355" s="338" t="str">
        <f t="shared" si="187"/>
        <v>8_27</v>
      </c>
      <c r="D355" s="398" t="s">
        <v>1</v>
      </c>
      <c r="E355" s="228">
        <v>8</v>
      </c>
      <c r="F355" s="332" t="s">
        <v>55</v>
      </c>
      <c r="G355" s="228" t="s">
        <v>9</v>
      </c>
      <c r="H355" s="427">
        <f t="shared" si="188"/>
        <v>11</v>
      </c>
      <c r="I355" s="427">
        <f t="shared" si="189"/>
        <v>0</v>
      </c>
      <c r="J355" s="428">
        <f t="array" ref="J355">MAX((IF(MNU_CODIGO_ALIMENTO_ENTREGA=CONCATENATE($E355,"_","S_"),MNU_GRAMAJE_REQUERIDO_TIPOA,"")))</f>
        <v>100</v>
      </c>
      <c r="K355" s="229">
        <f t="shared" si="190"/>
        <v>2587</v>
      </c>
      <c r="L355" s="229">
        <f t="shared" si="191"/>
        <v>0</v>
      </c>
      <c r="M355" s="229">
        <f t="shared" si="192"/>
        <v>28457</v>
      </c>
      <c r="N355" s="454">
        <f t="shared" si="193"/>
        <v>134</v>
      </c>
      <c r="O355" s="454">
        <f t="shared" si="194"/>
        <v>6.539200000000001</v>
      </c>
      <c r="P355" s="454">
        <f t="shared" si="195"/>
        <v>0.115242144</v>
      </c>
      <c r="Q355" s="454">
        <f t="shared" si="196"/>
        <v>141</v>
      </c>
      <c r="R355" s="230">
        <f t="shared" si="197"/>
        <v>3813238</v>
      </c>
      <c r="S355" s="230">
        <f t="shared" si="198"/>
        <v>4012437</v>
      </c>
      <c r="T355" s="429">
        <f t="shared" si="199"/>
        <v>11</v>
      </c>
      <c r="U355" s="429">
        <f t="shared" si="200"/>
        <v>0</v>
      </c>
      <c r="V355" s="430">
        <f t="array" ref="V355">MAX((IF(MNU_CODIGO_ALIMENTO_ENTREGA=CONCATENATE($E355,"_","S_"),MNU_GRAMAJE_REQUERIDO_TIPOB,"")))</f>
        <v>100</v>
      </c>
      <c r="W355" s="397">
        <f t="shared" si="201"/>
        <v>1584</v>
      </c>
      <c r="X355" s="397">
        <f t="shared" si="202"/>
        <v>0</v>
      </c>
      <c r="Y355" s="397">
        <f t="shared" si="203"/>
        <v>17424</v>
      </c>
      <c r="Z355" s="454">
        <f t="shared" si="204"/>
        <v>134</v>
      </c>
      <c r="AA355" s="454">
        <f t="shared" si="205"/>
        <v>6.539200000000001</v>
      </c>
      <c r="AB355" s="454">
        <f t="shared" si="206"/>
        <v>0.115242144</v>
      </c>
      <c r="AC355" s="454">
        <f t="shared" si="207"/>
        <v>141</v>
      </c>
      <c r="AD355" s="231">
        <f t="shared" si="208"/>
        <v>2334816</v>
      </c>
      <c r="AE355" s="231">
        <f t="shared" si="209"/>
        <v>2456784</v>
      </c>
      <c r="AF355" s="427">
        <f t="shared" si="210"/>
        <v>11</v>
      </c>
      <c r="AG355" s="427">
        <f t="shared" si="211"/>
        <v>0</v>
      </c>
      <c r="AH355" s="428">
        <f t="array" ref="AH355">MAX((IF(MNU_CODIGO_ALIMENTO_ENTREGA=CONCATENATE($E355,"_","S_"),MNU_GRAMAJE_REQUERIDO_TIPOC,"")))</f>
        <v>100</v>
      </c>
      <c r="AI355" s="229">
        <f t="shared" si="212"/>
        <v>1132</v>
      </c>
      <c r="AJ355" s="229">
        <f t="shared" si="213"/>
        <v>0</v>
      </c>
      <c r="AK355" s="229">
        <f t="shared" si="214"/>
        <v>12452</v>
      </c>
      <c r="AL355" s="454">
        <f t="shared" si="215"/>
        <v>134</v>
      </c>
      <c r="AM355" s="454">
        <f t="shared" si="216"/>
        <v>6.539200000000001</v>
      </c>
      <c r="AN355" s="454">
        <f t="shared" si="217"/>
        <v>0.115242144</v>
      </c>
      <c r="AO355" s="454">
        <f t="shared" si="218"/>
        <v>141</v>
      </c>
      <c r="AP355" s="454">
        <f t="shared" si="219"/>
        <v>1668568</v>
      </c>
      <c r="AQ355" s="230">
        <f t="shared" si="220"/>
        <v>1755732</v>
      </c>
      <c r="AR355" s="397">
        <f t="shared" si="221"/>
        <v>7816622</v>
      </c>
      <c r="AS355" s="397">
        <f t="shared" si="222"/>
        <v>8224953</v>
      </c>
    </row>
    <row r="356" spans="1:45" ht="15.75">
      <c r="A356" s="228">
        <v>27</v>
      </c>
      <c r="B356" s="228" t="str">
        <f t="shared" si="186"/>
        <v>FRUTA_27</v>
      </c>
      <c r="C356" s="338" t="str">
        <f t="shared" si="187"/>
        <v>17_27</v>
      </c>
      <c r="D356" s="398" t="s">
        <v>1</v>
      </c>
      <c r="E356" s="228">
        <v>17</v>
      </c>
      <c r="F356" s="332" t="s">
        <v>53</v>
      </c>
      <c r="G356" s="228" t="s">
        <v>9</v>
      </c>
      <c r="H356" s="427">
        <f t="shared" si="188"/>
        <v>0</v>
      </c>
      <c r="I356" s="427">
        <f t="shared" si="189"/>
        <v>0</v>
      </c>
      <c r="J356" s="428">
        <f t="array" ref="J356">MAX((IF(MNU_CODIGO_ALIMENTO_ENTREGA=CONCATENATE($E356,"_","S_"),MNU_GRAMAJE_REQUERIDO_TIPOA,"")))</f>
        <v>0</v>
      </c>
      <c r="K356" s="229">
        <f t="shared" si="190"/>
        <v>2587</v>
      </c>
      <c r="L356" s="229">
        <f t="shared" si="191"/>
        <v>0</v>
      </c>
      <c r="M356" s="229">
        <f t="shared" si="192"/>
        <v>0</v>
      </c>
      <c r="N356" s="454">
        <f t="shared" si="193"/>
        <v>0</v>
      </c>
      <c r="O356" s="454">
        <f t="shared" si="194"/>
        <v>0</v>
      </c>
      <c r="P356" s="454">
        <f t="shared" si="195"/>
        <v>0</v>
      </c>
      <c r="Q356" s="454">
        <f t="shared" si="196"/>
        <v>0</v>
      </c>
      <c r="R356" s="230">
        <f t="shared" si="197"/>
        <v>0</v>
      </c>
      <c r="S356" s="230">
        <f t="shared" si="198"/>
        <v>0</v>
      </c>
      <c r="T356" s="429">
        <f t="shared" si="199"/>
        <v>23</v>
      </c>
      <c r="U356" s="429">
        <f t="shared" si="200"/>
        <v>4</v>
      </c>
      <c r="V356" s="430">
        <f t="array" ref="V356">MAX((IF(MNU_CODIGO_ALIMENTO_ENTREGA=CONCATENATE($E356,"_","S_"),MNU_GRAMAJE_REQUERIDO_TIPOB,"")))</f>
        <v>100</v>
      </c>
      <c r="W356" s="397">
        <f t="shared" si="201"/>
        <v>1584</v>
      </c>
      <c r="X356" s="397">
        <f t="shared" si="202"/>
        <v>0</v>
      </c>
      <c r="Y356" s="397">
        <f t="shared" si="203"/>
        <v>36432</v>
      </c>
      <c r="Z356" s="454">
        <f t="shared" si="204"/>
        <v>226</v>
      </c>
      <c r="AA356" s="454">
        <f t="shared" si="205"/>
        <v>11.0288</v>
      </c>
      <c r="AB356" s="454">
        <f t="shared" si="206"/>
        <v>0.19436361600000002</v>
      </c>
      <c r="AC356" s="454">
        <f t="shared" si="207"/>
        <v>237</v>
      </c>
      <c r="AD356" s="231">
        <f t="shared" si="208"/>
        <v>8233632</v>
      </c>
      <c r="AE356" s="231">
        <f t="shared" si="209"/>
        <v>8634384</v>
      </c>
      <c r="AF356" s="427">
        <f t="shared" si="210"/>
        <v>23</v>
      </c>
      <c r="AG356" s="427">
        <f t="shared" si="211"/>
        <v>4</v>
      </c>
      <c r="AH356" s="428">
        <f t="array" ref="AH356">MAX((IF(MNU_CODIGO_ALIMENTO_ENTREGA=CONCATENATE($E356,"_","S_"),MNU_GRAMAJE_REQUERIDO_TIPOC,"")))</f>
        <v>100</v>
      </c>
      <c r="AI356" s="229">
        <f t="shared" si="212"/>
        <v>1132</v>
      </c>
      <c r="AJ356" s="229">
        <f t="shared" si="213"/>
        <v>0</v>
      </c>
      <c r="AK356" s="229">
        <f t="shared" si="214"/>
        <v>26036</v>
      </c>
      <c r="AL356" s="454">
        <f t="shared" si="215"/>
        <v>226</v>
      </c>
      <c r="AM356" s="454">
        <f t="shared" si="216"/>
        <v>11.0288</v>
      </c>
      <c r="AN356" s="454">
        <f t="shared" si="217"/>
        <v>0.19436361600000002</v>
      </c>
      <c r="AO356" s="454">
        <f t="shared" si="218"/>
        <v>237</v>
      </c>
      <c r="AP356" s="454">
        <f t="shared" si="219"/>
        <v>5884136</v>
      </c>
      <c r="AQ356" s="230">
        <f t="shared" si="220"/>
        <v>6170532</v>
      </c>
      <c r="AR356" s="397">
        <f t="shared" si="221"/>
        <v>14117768</v>
      </c>
      <c r="AS356" s="397">
        <f t="shared" si="222"/>
        <v>14804916</v>
      </c>
    </row>
    <row r="357" spans="1:45" ht="15.75">
      <c r="A357" s="228">
        <v>27</v>
      </c>
      <c r="B357" s="228" t="str">
        <f t="shared" si="186"/>
        <v>FRUTA_27</v>
      </c>
      <c r="C357" s="338" t="str">
        <f t="shared" si="187"/>
        <v>22_27</v>
      </c>
      <c r="D357" s="398" t="s">
        <v>1</v>
      </c>
      <c r="E357" s="228">
        <v>22</v>
      </c>
      <c r="F357" s="332" t="s">
        <v>51</v>
      </c>
      <c r="G357" s="228" t="s">
        <v>9</v>
      </c>
      <c r="H357" s="427">
        <f t="shared" si="188"/>
        <v>0</v>
      </c>
      <c r="I357" s="427">
        <f t="shared" si="189"/>
        <v>0</v>
      </c>
      <c r="J357" s="428">
        <f t="array" ref="J357">MAX((IF(MNU_CODIGO_ALIMENTO_ENTREGA=CONCATENATE($E357,"_","S_"),MNU_GRAMAJE_REQUERIDO_TIPOA,"")))</f>
        <v>0</v>
      </c>
      <c r="K357" s="229">
        <f t="shared" si="190"/>
        <v>2587</v>
      </c>
      <c r="L357" s="229">
        <f t="shared" si="191"/>
        <v>0</v>
      </c>
      <c r="M357" s="229">
        <f t="shared" si="192"/>
        <v>0</v>
      </c>
      <c r="N357" s="454">
        <f t="shared" si="193"/>
        <v>0</v>
      </c>
      <c r="O357" s="454">
        <f t="shared" si="194"/>
        <v>0</v>
      </c>
      <c r="P357" s="454">
        <f t="shared" si="195"/>
        <v>0</v>
      </c>
      <c r="Q357" s="454">
        <f t="shared" si="196"/>
        <v>0</v>
      </c>
      <c r="R357" s="230">
        <f t="shared" si="197"/>
        <v>0</v>
      </c>
      <c r="S357" s="230">
        <f t="shared" si="198"/>
        <v>0</v>
      </c>
      <c r="T357" s="429">
        <f t="shared" si="199"/>
        <v>23</v>
      </c>
      <c r="U357" s="429">
        <f t="shared" si="200"/>
        <v>4</v>
      </c>
      <c r="V357" s="430">
        <f t="array" ref="V357">MAX((IF(MNU_CODIGO_ALIMENTO_ENTREGA=CONCATENATE($E357,"_","S_"),MNU_GRAMAJE_REQUERIDO_TIPOB,"")))</f>
        <v>100</v>
      </c>
      <c r="W357" s="397">
        <f t="shared" si="201"/>
        <v>1584</v>
      </c>
      <c r="X357" s="397">
        <f t="shared" si="202"/>
        <v>0</v>
      </c>
      <c r="Y357" s="397">
        <f t="shared" si="203"/>
        <v>36432</v>
      </c>
      <c r="Z357" s="454">
        <f t="shared" si="204"/>
        <v>525</v>
      </c>
      <c r="AA357" s="454">
        <f t="shared" si="205"/>
        <v>25.62</v>
      </c>
      <c r="AB357" s="454">
        <f t="shared" si="206"/>
        <v>0.45150840000000003</v>
      </c>
      <c r="AC357" s="454">
        <f t="shared" si="207"/>
        <v>551</v>
      </c>
      <c r="AD357" s="231">
        <f t="shared" si="208"/>
        <v>19126800</v>
      </c>
      <c r="AE357" s="231">
        <f t="shared" si="209"/>
        <v>20074032</v>
      </c>
      <c r="AF357" s="427">
        <f t="shared" si="210"/>
        <v>23</v>
      </c>
      <c r="AG357" s="427">
        <f t="shared" si="211"/>
        <v>4</v>
      </c>
      <c r="AH357" s="428">
        <f t="array" ref="AH357">MAX((IF(MNU_CODIGO_ALIMENTO_ENTREGA=CONCATENATE($E357,"_","S_"),MNU_GRAMAJE_REQUERIDO_TIPOC,"")))</f>
        <v>100</v>
      </c>
      <c r="AI357" s="229">
        <f t="shared" si="212"/>
        <v>1132</v>
      </c>
      <c r="AJ357" s="229">
        <f t="shared" si="213"/>
        <v>0</v>
      </c>
      <c r="AK357" s="229">
        <f t="shared" si="214"/>
        <v>26036</v>
      </c>
      <c r="AL357" s="454">
        <f t="shared" si="215"/>
        <v>525</v>
      </c>
      <c r="AM357" s="454">
        <f t="shared" si="216"/>
        <v>25.62</v>
      </c>
      <c r="AN357" s="454">
        <f t="shared" si="217"/>
        <v>0.45150840000000003</v>
      </c>
      <c r="AO357" s="454">
        <f t="shared" si="218"/>
        <v>551</v>
      </c>
      <c r="AP357" s="454">
        <f t="shared" si="219"/>
        <v>13668900</v>
      </c>
      <c r="AQ357" s="230">
        <f t="shared" si="220"/>
        <v>14345836</v>
      </c>
      <c r="AR357" s="397">
        <f t="shared" si="221"/>
        <v>32795700</v>
      </c>
      <c r="AS357" s="397">
        <f t="shared" si="222"/>
        <v>34419868</v>
      </c>
    </row>
    <row r="358" spans="1:45" ht="15.75">
      <c r="A358" s="228">
        <v>27</v>
      </c>
      <c r="B358" s="228" t="str">
        <f t="shared" si="186"/>
        <v>FRUTA_27</v>
      </c>
      <c r="C358" s="338" t="str">
        <f t="shared" si="187"/>
        <v>33_27</v>
      </c>
      <c r="D358" s="398" t="s">
        <v>1</v>
      </c>
      <c r="E358" s="228">
        <v>33</v>
      </c>
      <c r="F358" s="332" t="s">
        <v>59</v>
      </c>
      <c r="G358" s="228" t="s">
        <v>48</v>
      </c>
      <c r="H358" s="427">
        <f t="shared" si="188"/>
        <v>29</v>
      </c>
      <c r="I358" s="427">
        <f t="shared" si="189"/>
        <v>5</v>
      </c>
      <c r="J358" s="428">
        <v>1</v>
      </c>
      <c r="K358" s="229">
        <f t="shared" si="190"/>
        <v>2587</v>
      </c>
      <c r="L358" s="229">
        <f t="shared" si="191"/>
        <v>0</v>
      </c>
      <c r="M358" s="229">
        <f t="shared" si="192"/>
        <v>75023</v>
      </c>
      <c r="N358" s="454">
        <f t="shared" si="193"/>
        <v>270</v>
      </c>
      <c r="O358" s="454">
        <f t="shared" si="194"/>
        <v>13.176000000000002</v>
      </c>
      <c r="P358" s="454">
        <f t="shared" si="195"/>
        <v>0.23220432000000002</v>
      </c>
      <c r="Q358" s="454">
        <f t="shared" si="196"/>
        <v>283</v>
      </c>
      <c r="R358" s="230">
        <f t="shared" si="197"/>
        <v>20256210</v>
      </c>
      <c r="S358" s="230">
        <f t="shared" si="198"/>
        <v>21231509</v>
      </c>
      <c r="T358" s="429">
        <f t="shared" si="199"/>
        <v>23</v>
      </c>
      <c r="U358" s="429">
        <f t="shared" si="200"/>
        <v>2</v>
      </c>
      <c r="V358" s="430">
        <v>1</v>
      </c>
      <c r="W358" s="397">
        <f t="shared" si="201"/>
        <v>1584</v>
      </c>
      <c r="X358" s="397">
        <f t="shared" si="202"/>
        <v>0</v>
      </c>
      <c r="Y358" s="397">
        <f t="shared" si="203"/>
        <v>36432</v>
      </c>
      <c r="Z358" s="454">
        <f t="shared" si="204"/>
        <v>270</v>
      </c>
      <c r="AA358" s="454">
        <f t="shared" si="205"/>
        <v>13.176000000000002</v>
      </c>
      <c r="AB358" s="454">
        <f t="shared" si="206"/>
        <v>0.23220432000000002</v>
      </c>
      <c r="AC358" s="454">
        <f t="shared" si="207"/>
        <v>283</v>
      </c>
      <c r="AD358" s="231">
        <f t="shared" si="208"/>
        <v>9836640</v>
      </c>
      <c r="AE358" s="231">
        <f t="shared" si="209"/>
        <v>10310256</v>
      </c>
      <c r="AF358" s="427">
        <f t="shared" si="210"/>
        <v>23</v>
      </c>
      <c r="AG358" s="427">
        <f t="shared" si="211"/>
        <v>2</v>
      </c>
      <c r="AH358" s="428">
        <v>1</v>
      </c>
      <c r="AI358" s="229">
        <f t="shared" si="212"/>
        <v>1132</v>
      </c>
      <c r="AJ358" s="229">
        <f t="shared" si="213"/>
        <v>0</v>
      </c>
      <c r="AK358" s="229">
        <f t="shared" si="214"/>
        <v>26036</v>
      </c>
      <c r="AL358" s="454">
        <f t="shared" si="215"/>
        <v>270</v>
      </c>
      <c r="AM358" s="454">
        <f t="shared" si="216"/>
        <v>13.176000000000002</v>
      </c>
      <c r="AN358" s="454">
        <f t="shared" si="217"/>
        <v>0.23220432000000002</v>
      </c>
      <c r="AO358" s="454">
        <f t="shared" si="218"/>
        <v>283</v>
      </c>
      <c r="AP358" s="454">
        <f t="shared" si="219"/>
        <v>7029720</v>
      </c>
      <c r="AQ358" s="230">
        <f t="shared" si="220"/>
        <v>7368188</v>
      </c>
      <c r="AR358" s="397">
        <f t="shared" si="221"/>
        <v>37122570</v>
      </c>
      <c r="AS358" s="397">
        <f t="shared" si="222"/>
        <v>38909953</v>
      </c>
    </row>
    <row r="359" spans="1:45" ht="15.75">
      <c r="A359" s="228">
        <v>27</v>
      </c>
      <c r="B359" s="228" t="str">
        <f t="shared" si="186"/>
        <v>FRUTA_27</v>
      </c>
      <c r="C359" s="338" t="str">
        <f t="shared" si="187"/>
        <v>36_27</v>
      </c>
      <c r="D359" s="398" t="s">
        <v>1</v>
      </c>
      <c r="E359" s="228">
        <v>36</v>
      </c>
      <c r="F359" s="332" t="s">
        <v>1340</v>
      </c>
      <c r="G359" s="228" t="s">
        <v>9</v>
      </c>
      <c r="H359" s="427">
        <f t="shared" si="188"/>
        <v>8</v>
      </c>
      <c r="I359" s="427">
        <f t="shared" si="189"/>
        <v>0</v>
      </c>
      <c r="J359" s="428">
        <f t="array" ref="J359">MAX((IF(MNU_CODIGO_ALIMENTO_ENTREGA=CONCATENATE($E359,"_","S_"),MNU_GRAMAJE_REQUERIDO_TIPOA,"")))</f>
        <v>20</v>
      </c>
      <c r="K359" s="229">
        <f t="shared" si="190"/>
        <v>2587</v>
      </c>
      <c r="L359" s="229">
        <f t="shared" si="191"/>
        <v>0</v>
      </c>
      <c r="M359" s="229">
        <f t="shared" si="192"/>
        <v>20696</v>
      </c>
      <c r="N359" s="454">
        <f t="shared" si="193"/>
        <v>126</v>
      </c>
      <c r="O359" s="454">
        <f t="shared" si="194"/>
        <v>6.1488000000000005</v>
      </c>
      <c r="P359" s="454">
        <f t="shared" si="195"/>
        <v>0.10836201599999999</v>
      </c>
      <c r="Q359" s="454">
        <f t="shared" si="196"/>
        <v>132</v>
      </c>
      <c r="R359" s="230">
        <f t="shared" si="197"/>
        <v>2607696</v>
      </c>
      <c r="S359" s="230">
        <f t="shared" si="198"/>
        <v>2731872</v>
      </c>
      <c r="T359" s="429">
        <f t="shared" si="199"/>
        <v>8</v>
      </c>
      <c r="U359" s="429">
        <f t="shared" si="200"/>
        <v>0</v>
      </c>
      <c r="V359" s="430">
        <f t="array" ref="V359">MAX((IF(MNU_CODIGO_ALIMENTO_ENTREGA=CONCATENATE($E359,"_","S_"),MNU_GRAMAJE_REQUERIDO_TIPOB,"")))</f>
        <v>40</v>
      </c>
      <c r="W359" s="397">
        <f t="shared" si="201"/>
        <v>1584</v>
      </c>
      <c r="X359" s="397">
        <f t="shared" si="202"/>
        <v>0</v>
      </c>
      <c r="Y359" s="397">
        <f t="shared" si="203"/>
        <v>12672</v>
      </c>
      <c r="Z359" s="454">
        <f t="shared" si="204"/>
        <v>252</v>
      </c>
      <c r="AA359" s="454">
        <f t="shared" si="205"/>
        <v>12.297600000000001</v>
      </c>
      <c r="AB359" s="454">
        <f t="shared" si="206"/>
        <v>0.21672403199999998</v>
      </c>
      <c r="AC359" s="454">
        <f t="shared" si="207"/>
        <v>265</v>
      </c>
      <c r="AD359" s="231">
        <f t="shared" si="208"/>
        <v>3193344</v>
      </c>
      <c r="AE359" s="231">
        <f t="shared" si="209"/>
        <v>3358080</v>
      </c>
      <c r="AF359" s="427">
        <f t="shared" si="210"/>
        <v>8</v>
      </c>
      <c r="AG359" s="427">
        <f t="shared" si="211"/>
        <v>0</v>
      </c>
      <c r="AH359" s="428">
        <f t="array" ref="AH359">MAX((IF(MNU_CODIGO_ALIMENTO_ENTREGA=CONCATENATE($E359,"_","S_"),MNU_GRAMAJE_REQUERIDO_TIPOC,"")))</f>
        <v>40</v>
      </c>
      <c r="AI359" s="229">
        <f t="shared" si="212"/>
        <v>1132</v>
      </c>
      <c r="AJ359" s="229">
        <f t="shared" si="213"/>
        <v>0</v>
      </c>
      <c r="AK359" s="229">
        <f t="shared" si="214"/>
        <v>9056</v>
      </c>
      <c r="AL359" s="454">
        <f t="shared" si="215"/>
        <v>252</v>
      </c>
      <c r="AM359" s="454">
        <f t="shared" si="216"/>
        <v>12.297600000000001</v>
      </c>
      <c r="AN359" s="454">
        <f t="shared" si="217"/>
        <v>0.21672403199999998</v>
      </c>
      <c r="AO359" s="454">
        <f t="shared" si="218"/>
        <v>265</v>
      </c>
      <c r="AP359" s="454">
        <f t="shared" si="219"/>
        <v>2282112</v>
      </c>
      <c r="AQ359" s="230">
        <f t="shared" si="220"/>
        <v>2399840</v>
      </c>
      <c r="AR359" s="397">
        <f t="shared" si="221"/>
        <v>8083152</v>
      </c>
      <c r="AS359" s="397">
        <f t="shared" si="222"/>
        <v>8489792</v>
      </c>
    </row>
    <row r="360" spans="1:45" ht="15.75">
      <c r="A360" s="228">
        <v>27</v>
      </c>
      <c r="B360" s="228" t="str">
        <f t="shared" si="186"/>
        <v>FRUTA_27</v>
      </c>
      <c r="C360" s="338" t="str">
        <f t="shared" si="187"/>
        <v>42_27</v>
      </c>
      <c r="D360" s="398" t="s">
        <v>1</v>
      </c>
      <c r="E360" s="228">
        <v>42</v>
      </c>
      <c r="F360" s="332" t="s">
        <v>61</v>
      </c>
      <c r="G360" s="228" t="s">
        <v>9</v>
      </c>
      <c r="H360" s="427">
        <f t="shared" si="188"/>
        <v>36</v>
      </c>
      <c r="I360" s="427">
        <f t="shared" si="189"/>
        <v>8</v>
      </c>
      <c r="J360" s="428">
        <f t="array" ref="J360">MAX((IF(MNU_CODIGO_ALIMENTO_ENTREGA=CONCATENATE($E360,"_","S_"),MNU_GRAMAJE_REQUERIDO_TIPOA,"")))</f>
        <v>100</v>
      </c>
      <c r="K360" s="229">
        <f t="shared" si="190"/>
        <v>2587</v>
      </c>
      <c r="L360" s="229">
        <f t="shared" si="191"/>
        <v>0</v>
      </c>
      <c r="M360" s="229">
        <f t="shared" si="192"/>
        <v>93132</v>
      </c>
      <c r="N360" s="454">
        <f t="shared" si="193"/>
        <v>194</v>
      </c>
      <c r="O360" s="454">
        <f t="shared" si="194"/>
        <v>9.4672000000000001</v>
      </c>
      <c r="P360" s="454">
        <f t="shared" si="195"/>
        <v>0.16684310399999999</v>
      </c>
      <c r="Q360" s="454">
        <f t="shared" si="196"/>
        <v>204</v>
      </c>
      <c r="R360" s="230">
        <f t="shared" si="197"/>
        <v>18067608</v>
      </c>
      <c r="S360" s="230">
        <f t="shared" si="198"/>
        <v>18998928</v>
      </c>
      <c r="T360" s="429">
        <f t="shared" si="199"/>
        <v>19</v>
      </c>
      <c r="U360" s="429">
        <f t="shared" si="200"/>
        <v>8</v>
      </c>
      <c r="V360" s="430">
        <f t="array" ref="V360">MAX((IF(MNU_CODIGO_ALIMENTO_ENTREGA=CONCATENATE($E360,"_","S_"),MNU_GRAMAJE_REQUERIDO_TIPOB,"")))</f>
        <v>100</v>
      </c>
      <c r="W360" s="397">
        <f t="shared" si="201"/>
        <v>1584</v>
      </c>
      <c r="X360" s="397">
        <f t="shared" si="202"/>
        <v>0</v>
      </c>
      <c r="Y360" s="397">
        <f t="shared" si="203"/>
        <v>30096</v>
      </c>
      <c r="Z360" s="454">
        <f t="shared" si="204"/>
        <v>194</v>
      </c>
      <c r="AA360" s="454">
        <f t="shared" si="205"/>
        <v>9.4672000000000001</v>
      </c>
      <c r="AB360" s="454">
        <f t="shared" si="206"/>
        <v>0.16684310399999999</v>
      </c>
      <c r="AC360" s="454">
        <f t="shared" si="207"/>
        <v>204</v>
      </c>
      <c r="AD360" s="231">
        <f t="shared" si="208"/>
        <v>5838624</v>
      </c>
      <c r="AE360" s="231">
        <f t="shared" si="209"/>
        <v>6139584</v>
      </c>
      <c r="AF360" s="427">
        <f t="shared" si="210"/>
        <v>19</v>
      </c>
      <c r="AG360" s="427">
        <f t="shared" si="211"/>
        <v>8</v>
      </c>
      <c r="AH360" s="428">
        <f t="array" ref="AH360">MAX((IF(MNU_CODIGO_ALIMENTO_ENTREGA=CONCATENATE($E360,"_","S_"),MNU_GRAMAJE_REQUERIDO_TIPOC,"")))</f>
        <v>100</v>
      </c>
      <c r="AI360" s="229">
        <f t="shared" si="212"/>
        <v>1132</v>
      </c>
      <c r="AJ360" s="229">
        <f t="shared" si="213"/>
        <v>0</v>
      </c>
      <c r="AK360" s="229">
        <f t="shared" si="214"/>
        <v>21508</v>
      </c>
      <c r="AL360" s="454">
        <f t="shared" si="215"/>
        <v>194</v>
      </c>
      <c r="AM360" s="454">
        <f t="shared" si="216"/>
        <v>9.4672000000000001</v>
      </c>
      <c r="AN360" s="454">
        <f t="shared" si="217"/>
        <v>0.16684310399999999</v>
      </c>
      <c r="AO360" s="454">
        <f t="shared" si="218"/>
        <v>204</v>
      </c>
      <c r="AP360" s="454">
        <f t="shared" si="219"/>
        <v>4172552</v>
      </c>
      <c r="AQ360" s="230">
        <f t="shared" si="220"/>
        <v>4387632</v>
      </c>
      <c r="AR360" s="397">
        <f t="shared" si="221"/>
        <v>28078784</v>
      </c>
      <c r="AS360" s="397">
        <f t="shared" si="222"/>
        <v>29526144</v>
      </c>
    </row>
    <row r="361" spans="1:45" ht="15.75">
      <c r="A361" s="228">
        <v>27</v>
      </c>
      <c r="B361" s="228" t="str">
        <f t="shared" si="186"/>
        <v>FRUTA_27</v>
      </c>
      <c r="C361" s="338" t="str">
        <f t="shared" si="187"/>
        <v>43_27</v>
      </c>
      <c r="D361" s="398" t="s">
        <v>1</v>
      </c>
      <c r="E361" s="228">
        <v>43</v>
      </c>
      <c r="F361" s="332" t="s">
        <v>62</v>
      </c>
      <c r="G361" s="228" t="s">
        <v>9</v>
      </c>
      <c r="H361" s="427">
        <f t="shared" si="188"/>
        <v>29</v>
      </c>
      <c r="I361" s="427">
        <f t="shared" si="189"/>
        <v>6</v>
      </c>
      <c r="J361" s="428">
        <f t="array" ref="J361">MAX((IF(MNU_CODIGO_ALIMENTO_ENTREGA=CONCATENATE($E361,"_","S_"),MNU_GRAMAJE_REQUERIDO_TIPOA,"")))</f>
        <v>100</v>
      </c>
      <c r="K361" s="229">
        <f t="shared" si="190"/>
        <v>2587</v>
      </c>
      <c r="L361" s="229">
        <f t="shared" si="191"/>
        <v>0</v>
      </c>
      <c r="M361" s="229">
        <f t="shared" si="192"/>
        <v>75023</v>
      </c>
      <c r="N361" s="454">
        <f t="shared" si="193"/>
        <v>170</v>
      </c>
      <c r="O361" s="454">
        <f t="shared" si="194"/>
        <v>8.2959999999999994</v>
      </c>
      <c r="P361" s="454">
        <f t="shared" si="195"/>
        <v>0.14620272000000001</v>
      </c>
      <c r="Q361" s="454">
        <f t="shared" si="196"/>
        <v>178</v>
      </c>
      <c r="R361" s="230">
        <f t="shared" si="197"/>
        <v>12753910</v>
      </c>
      <c r="S361" s="230">
        <f t="shared" si="198"/>
        <v>13354094</v>
      </c>
      <c r="T361" s="429">
        <f t="shared" si="199"/>
        <v>23</v>
      </c>
      <c r="U361" s="429">
        <f t="shared" si="200"/>
        <v>1</v>
      </c>
      <c r="V361" s="430">
        <f t="array" ref="V361">MAX((IF(MNU_CODIGO_ALIMENTO_ENTREGA=CONCATENATE($E361,"_","S_"),MNU_GRAMAJE_REQUERIDO_TIPOB,"")))</f>
        <v>100</v>
      </c>
      <c r="W361" s="397">
        <f t="shared" si="201"/>
        <v>1584</v>
      </c>
      <c r="X361" s="397">
        <f t="shared" si="202"/>
        <v>0</v>
      </c>
      <c r="Y361" s="397">
        <f t="shared" si="203"/>
        <v>36432</v>
      </c>
      <c r="Z361" s="454">
        <f t="shared" si="204"/>
        <v>170</v>
      </c>
      <c r="AA361" s="454">
        <f t="shared" si="205"/>
        <v>8.2959999999999994</v>
      </c>
      <c r="AB361" s="454">
        <f t="shared" si="206"/>
        <v>0.14620272000000001</v>
      </c>
      <c r="AC361" s="454">
        <f t="shared" si="207"/>
        <v>178</v>
      </c>
      <c r="AD361" s="231">
        <f t="shared" si="208"/>
        <v>6193440</v>
      </c>
      <c r="AE361" s="231">
        <f t="shared" si="209"/>
        <v>6484896</v>
      </c>
      <c r="AF361" s="427">
        <f t="shared" si="210"/>
        <v>23</v>
      </c>
      <c r="AG361" s="427">
        <f t="shared" si="211"/>
        <v>1</v>
      </c>
      <c r="AH361" s="428">
        <f t="array" ref="AH361">MAX((IF(MNU_CODIGO_ALIMENTO_ENTREGA=CONCATENATE($E361,"_","S_"),MNU_GRAMAJE_REQUERIDO_TIPOC,"")))</f>
        <v>100</v>
      </c>
      <c r="AI361" s="229">
        <f t="shared" si="212"/>
        <v>1132</v>
      </c>
      <c r="AJ361" s="229">
        <f t="shared" si="213"/>
        <v>0</v>
      </c>
      <c r="AK361" s="229">
        <f t="shared" si="214"/>
        <v>26036</v>
      </c>
      <c r="AL361" s="454">
        <f t="shared" si="215"/>
        <v>170</v>
      </c>
      <c r="AM361" s="454">
        <f t="shared" si="216"/>
        <v>8.2959999999999994</v>
      </c>
      <c r="AN361" s="454">
        <f t="shared" si="217"/>
        <v>0.14620272000000001</v>
      </c>
      <c r="AO361" s="454">
        <f t="shared" si="218"/>
        <v>178</v>
      </c>
      <c r="AP361" s="454">
        <f t="shared" si="219"/>
        <v>4426120</v>
      </c>
      <c r="AQ361" s="230">
        <f t="shared" si="220"/>
        <v>4634408</v>
      </c>
      <c r="AR361" s="397">
        <f t="shared" si="221"/>
        <v>23373470</v>
      </c>
      <c r="AS361" s="397">
        <f t="shared" si="222"/>
        <v>24473398</v>
      </c>
    </row>
    <row r="362" spans="1:45" ht="15.75">
      <c r="A362" s="228">
        <v>27</v>
      </c>
      <c r="B362" s="228" t="str">
        <f t="shared" si="186"/>
        <v>FRUTA_27</v>
      </c>
      <c r="C362" s="338" t="str">
        <f t="shared" si="187"/>
        <v>46_27</v>
      </c>
      <c r="D362" s="398" t="s">
        <v>1</v>
      </c>
      <c r="E362" s="228">
        <v>46</v>
      </c>
      <c r="F362" s="332" t="s">
        <v>64</v>
      </c>
      <c r="G362" s="228" t="s">
        <v>9</v>
      </c>
      <c r="H362" s="427">
        <f t="shared" si="188"/>
        <v>29</v>
      </c>
      <c r="I362" s="427">
        <f t="shared" si="189"/>
        <v>4</v>
      </c>
      <c r="J362" s="428">
        <f t="array" ref="J362">MAX((IF(MNU_CODIGO_ALIMENTO_ENTREGA=CONCATENATE($E362,"_","S_"),MNU_GRAMAJE_REQUERIDO_TIPOA,"")))</f>
        <v>100</v>
      </c>
      <c r="K362" s="229">
        <f t="shared" si="190"/>
        <v>2587</v>
      </c>
      <c r="L362" s="229">
        <f t="shared" si="191"/>
        <v>0</v>
      </c>
      <c r="M362" s="229">
        <f t="shared" si="192"/>
        <v>75023</v>
      </c>
      <c r="N362" s="454">
        <f t="shared" si="193"/>
        <v>398</v>
      </c>
      <c r="O362" s="454">
        <f t="shared" si="194"/>
        <v>19.4224</v>
      </c>
      <c r="P362" s="454">
        <f t="shared" si="195"/>
        <v>0.34228636800000001</v>
      </c>
      <c r="Q362" s="454">
        <f t="shared" si="196"/>
        <v>418</v>
      </c>
      <c r="R362" s="230">
        <f t="shared" si="197"/>
        <v>29859154</v>
      </c>
      <c r="S362" s="230">
        <f t="shared" si="198"/>
        <v>31359614</v>
      </c>
      <c r="T362" s="429">
        <f t="shared" si="199"/>
        <v>24</v>
      </c>
      <c r="U362" s="429">
        <f t="shared" si="200"/>
        <v>3</v>
      </c>
      <c r="V362" s="430">
        <f t="array" ref="V362">MAX((IF(MNU_CODIGO_ALIMENTO_ENTREGA=CONCATENATE($E362,"_","S_"),MNU_GRAMAJE_REQUERIDO_TIPOB,"")))</f>
        <v>100</v>
      </c>
      <c r="W362" s="397">
        <f t="shared" si="201"/>
        <v>1584</v>
      </c>
      <c r="X362" s="397">
        <f t="shared" si="202"/>
        <v>0</v>
      </c>
      <c r="Y362" s="397">
        <f t="shared" si="203"/>
        <v>38016</v>
      </c>
      <c r="Z362" s="454">
        <f t="shared" si="204"/>
        <v>398</v>
      </c>
      <c r="AA362" s="454">
        <f t="shared" si="205"/>
        <v>19.4224</v>
      </c>
      <c r="AB362" s="454">
        <f t="shared" si="206"/>
        <v>0.34228636800000001</v>
      </c>
      <c r="AC362" s="454">
        <f t="shared" si="207"/>
        <v>418</v>
      </c>
      <c r="AD362" s="231">
        <f t="shared" si="208"/>
        <v>15130368</v>
      </c>
      <c r="AE362" s="231">
        <f t="shared" si="209"/>
        <v>15890688</v>
      </c>
      <c r="AF362" s="427">
        <f t="shared" si="210"/>
        <v>24</v>
      </c>
      <c r="AG362" s="427">
        <f t="shared" si="211"/>
        <v>3</v>
      </c>
      <c r="AH362" s="428">
        <f t="array" ref="AH362">MAX((IF(MNU_CODIGO_ALIMENTO_ENTREGA=CONCATENATE($E362,"_","S_"),MNU_GRAMAJE_REQUERIDO_TIPOC,"")))</f>
        <v>100</v>
      </c>
      <c r="AI362" s="229">
        <f t="shared" si="212"/>
        <v>1132</v>
      </c>
      <c r="AJ362" s="229">
        <f t="shared" si="213"/>
        <v>0</v>
      </c>
      <c r="AK362" s="229">
        <f t="shared" si="214"/>
        <v>27168</v>
      </c>
      <c r="AL362" s="454">
        <f t="shared" si="215"/>
        <v>398</v>
      </c>
      <c r="AM362" s="454">
        <f t="shared" si="216"/>
        <v>19.4224</v>
      </c>
      <c r="AN362" s="454">
        <f t="shared" si="217"/>
        <v>0.34228636800000001</v>
      </c>
      <c r="AO362" s="454">
        <f t="shared" si="218"/>
        <v>418</v>
      </c>
      <c r="AP362" s="454">
        <f t="shared" si="219"/>
        <v>10812864</v>
      </c>
      <c r="AQ362" s="230">
        <f t="shared" si="220"/>
        <v>11356224</v>
      </c>
      <c r="AR362" s="397">
        <f t="shared" si="221"/>
        <v>55802386</v>
      </c>
      <c r="AS362" s="397">
        <f t="shared" si="222"/>
        <v>58606526</v>
      </c>
    </row>
    <row r="363" spans="1:45" ht="15.75">
      <c r="A363" s="228">
        <v>27</v>
      </c>
      <c r="B363" s="228" t="str">
        <f t="shared" si="186"/>
        <v>FRUTA_27</v>
      </c>
      <c r="C363" s="338" t="str">
        <f t="shared" si="187"/>
        <v>58_27</v>
      </c>
      <c r="D363" s="398" t="s">
        <v>1</v>
      </c>
      <c r="E363" s="228">
        <v>58</v>
      </c>
      <c r="F363" s="332" t="s">
        <v>67</v>
      </c>
      <c r="G363" s="228" t="s">
        <v>9</v>
      </c>
      <c r="H363" s="427">
        <f t="shared" si="188"/>
        <v>28</v>
      </c>
      <c r="I363" s="427">
        <f t="shared" si="189"/>
        <v>5</v>
      </c>
      <c r="J363" s="428">
        <f t="array" ref="J363">MAX((IF(MNU_CODIGO_ALIMENTO_ENTREGA=CONCATENATE($E363,"_","S_"),MNU_GRAMAJE_REQUERIDO_TIPOA,"")))</f>
        <v>100</v>
      </c>
      <c r="K363" s="229">
        <f t="shared" si="190"/>
        <v>2587</v>
      </c>
      <c r="L363" s="229">
        <f t="shared" si="191"/>
        <v>0</v>
      </c>
      <c r="M363" s="229">
        <f t="shared" si="192"/>
        <v>72436</v>
      </c>
      <c r="N363" s="454">
        <f t="shared" si="193"/>
        <v>154</v>
      </c>
      <c r="O363" s="454">
        <f t="shared" si="194"/>
        <v>7.515200000000001</v>
      </c>
      <c r="P363" s="454">
        <f t="shared" si="195"/>
        <v>0.13244246400000001</v>
      </c>
      <c r="Q363" s="454">
        <f t="shared" si="196"/>
        <v>162</v>
      </c>
      <c r="R363" s="230">
        <f t="shared" si="197"/>
        <v>11155144</v>
      </c>
      <c r="S363" s="230">
        <f t="shared" si="198"/>
        <v>11734632</v>
      </c>
      <c r="T363" s="429">
        <f t="shared" si="199"/>
        <v>23</v>
      </c>
      <c r="U363" s="429">
        <f t="shared" si="200"/>
        <v>3</v>
      </c>
      <c r="V363" s="430">
        <f t="array" ref="V363">MAX((IF(MNU_CODIGO_ALIMENTO_ENTREGA=CONCATENATE($E363,"_","S_"),MNU_GRAMAJE_REQUERIDO_TIPOB,"")))</f>
        <v>100</v>
      </c>
      <c r="W363" s="397">
        <f t="shared" si="201"/>
        <v>1584</v>
      </c>
      <c r="X363" s="397">
        <f t="shared" si="202"/>
        <v>0</v>
      </c>
      <c r="Y363" s="397">
        <f t="shared" si="203"/>
        <v>36432</v>
      </c>
      <c r="Z363" s="454">
        <f t="shared" si="204"/>
        <v>154</v>
      </c>
      <c r="AA363" s="454">
        <f t="shared" si="205"/>
        <v>7.515200000000001</v>
      </c>
      <c r="AB363" s="454">
        <f t="shared" si="206"/>
        <v>0.13244246400000001</v>
      </c>
      <c r="AC363" s="454">
        <f t="shared" si="207"/>
        <v>162</v>
      </c>
      <c r="AD363" s="231">
        <f t="shared" si="208"/>
        <v>5610528</v>
      </c>
      <c r="AE363" s="231">
        <f t="shared" si="209"/>
        <v>5901984</v>
      </c>
      <c r="AF363" s="427">
        <f t="shared" si="210"/>
        <v>23</v>
      </c>
      <c r="AG363" s="427">
        <f t="shared" si="211"/>
        <v>3</v>
      </c>
      <c r="AH363" s="428">
        <f t="array" ref="AH363">MAX((IF(MNU_CODIGO_ALIMENTO_ENTREGA=CONCATENATE($E363,"_","S_"),MNU_GRAMAJE_REQUERIDO_TIPOC,"")))</f>
        <v>100</v>
      </c>
      <c r="AI363" s="229">
        <f t="shared" si="212"/>
        <v>1132</v>
      </c>
      <c r="AJ363" s="229">
        <f t="shared" si="213"/>
        <v>0</v>
      </c>
      <c r="AK363" s="229">
        <f t="shared" si="214"/>
        <v>26036</v>
      </c>
      <c r="AL363" s="454">
        <f t="shared" si="215"/>
        <v>154</v>
      </c>
      <c r="AM363" s="454">
        <f t="shared" si="216"/>
        <v>7.515200000000001</v>
      </c>
      <c r="AN363" s="454">
        <f t="shared" si="217"/>
        <v>0.13244246400000001</v>
      </c>
      <c r="AO363" s="454">
        <f t="shared" si="218"/>
        <v>162</v>
      </c>
      <c r="AP363" s="454">
        <f t="shared" si="219"/>
        <v>4009544</v>
      </c>
      <c r="AQ363" s="230">
        <f t="shared" si="220"/>
        <v>4217832</v>
      </c>
      <c r="AR363" s="397">
        <f t="shared" si="221"/>
        <v>20775216</v>
      </c>
      <c r="AS363" s="397">
        <f t="shared" si="222"/>
        <v>21854448</v>
      </c>
    </row>
    <row r="364" spans="1:45" ht="15.75">
      <c r="A364" s="228">
        <v>27</v>
      </c>
      <c r="B364" s="228" t="str">
        <f t="shared" si="186"/>
        <v>FRUTA_27</v>
      </c>
      <c r="C364" s="338" t="str">
        <f t="shared" si="187"/>
        <v>59_27</v>
      </c>
      <c r="D364" s="398" t="s">
        <v>1</v>
      </c>
      <c r="E364" s="228">
        <v>59</v>
      </c>
      <c r="F364" s="332" t="s">
        <v>99</v>
      </c>
      <c r="G364" s="228" t="s">
        <v>9</v>
      </c>
      <c r="H364" s="427">
        <f t="shared" si="188"/>
        <v>0</v>
      </c>
      <c r="I364" s="427">
        <f t="shared" si="189"/>
        <v>0</v>
      </c>
      <c r="J364" s="428">
        <f t="array" ref="J364">MAX((IF(MNU_CODIGO_ALIMENTO_ENTREGA=CONCATENATE($E364,"_","S_"),MNU_GRAMAJE_REQUERIDO_TIPOA,"")))</f>
        <v>0</v>
      </c>
      <c r="K364" s="229">
        <f t="shared" si="190"/>
        <v>2587</v>
      </c>
      <c r="L364" s="229">
        <f t="shared" si="191"/>
        <v>0</v>
      </c>
      <c r="M364" s="229">
        <f t="shared" si="192"/>
        <v>0</v>
      </c>
      <c r="N364" s="454">
        <f t="shared" si="193"/>
        <v>0</v>
      </c>
      <c r="O364" s="454">
        <f t="shared" si="194"/>
        <v>0</v>
      </c>
      <c r="P364" s="454">
        <f t="shared" si="195"/>
        <v>0</v>
      </c>
      <c r="Q364" s="454">
        <f t="shared" si="196"/>
        <v>0</v>
      </c>
      <c r="R364" s="230">
        <f t="shared" si="197"/>
        <v>0</v>
      </c>
      <c r="S364" s="230">
        <f t="shared" si="198"/>
        <v>0</v>
      </c>
      <c r="T364" s="429">
        <f t="shared" si="199"/>
        <v>11</v>
      </c>
      <c r="U364" s="429">
        <f t="shared" si="200"/>
        <v>0</v>
      </c>
      <c r="V364" s="430">
        <f t="array" ref="V364">MAX((IF(MNU_CODIGO_ALIMENTO_ENTREGA=CONCATENATE($E364,"_","S_"),MNU_GRAMAJE_REQUERIDO_TIPOB,"")))</f>
        <v>100</v>
      </c>
      <c r="W364" s="397">
        <f t="shared" si="201"/>
        <v>1584</v>
      </c>
      <c r="X364" s="397">
        <f t="shared" si="202"/>
        <v>0</v>
      </c>
      <c r="Y364" s="397">
        <f t="shared" si="203"/>
        <v>17424</v>
      </c>
      <c r="Z364" s="454">
        <f t="shared" si="204"/>
        <v>286</v>
      </c>
      <c r="AA364" s="454">
        <f t="shared" si="205"/>
        <v>13.956800000000001</v>
      </c>
      <c r="AB364" s="454">
        <f t="shared" si="206"/>
        <v>0.24596457599999999</v>
      </c>
      <c r="AC364" s="454">
        <f t="shared" si="207"/>
        <v>300</v>
      </c>
      <c r="AD364" s="231">
        <f t="shared" si="208"/>
        <v>4983264</v>
      </c>
      <c r="AE364" s="231">
        <f t="shared" si="209"/>
        <v>5227200</v>
      </c>
      <c r="AF364" s="427">
        <f t="shared" si="210"/>
        <v>11</v>
      </c>
      <c r="AG364" s="427">
        <f t="shared" si="211"/>
        <v>0</v>
      </c>
      <c r="AH364" s="428">
        <f t="array" ref="AH364">MAX((IF(MNU_CODIGO_ALIMENTO_ENTREGA=CONCATENATE($E364,"_","S_"),MNU_GRAMAJE_REQUERIDO_TIPOC,"")))</f>
        <v>100</v>
      </c>
      <c r="AI364" s="229">
        <f t="shared" si="212"/>
        <v>1132</v>
      </c>
      <c r="AJ364" s="229">
        <f t="shared" si="213"/>
        <v>0</v>
      </c>
      <c r="AK364" s="229">
        <f t="shared" si="214"/>
        <v>12452</v>
      </c>
      <c r="AL364" s="454">
        <f t="shared" si="215"/>
        <v>286</v>
      </c>
      <c r="AM364" s="454">
        <f t="shared" si="216"/>
        <v>13.956800000000001</v>
      </c>
      <c r="AN364" s="454">
        <f t="shared" si="217"/>
        <v>0.24596457599999999</v>
      </c>
      <c r="AO364" s="454">
        <f t="shared" si="218"/>
        <v>300</v>
      </c>
      <c r="AP364" s="454">
        <f t="shared" si="219"/>
        <v>3561272</v>
      </c>
      <c r="AQ364" s="230">
        <f t="shared" si="220"/>
        <v>3735600</v>
      </c>
      <c r="AR364" s="397">
        <f t="shared" si="221"/>
        <v>8544536</v>
      </c>
      <c r="AS364" s="397">
        <f t="shared" si="222"/>
        <v>8962800</v>
      </c>
    </row>
    <row r="365" spans="1:45" ht="15.75">
      <c r="A365" s="228">
        <v>27</v>
      </c>
      <c r="B365" s="228" t="str">
        <f t="shared" si="186"/>
        <v>FRUTA_27</v>
      </c>
      <c r="C365" s="338" t="str">
        <f t="shared" si="187"/>
        <v>69_27</v>
      </c>
      <c r="D365" s="398" t="s">
        <v>1</v>
      </c>
      <c r="E365" s="228">
        <v>69</v>
      </c>
      <c r="F365" s="332" t="s">
        <v>70</v>
      </c>
      <c r="G365" s="228" t="s">
        <v>9</v>
      </c>
      <c r="H365" s="427">
        <f t="shared" si="188"/>
        <v>18</v>
      </c>
      <c r="I365" s="427">
        <f t="shared" si="189"/>
        <v>2</v>
      </c>
      <c r="J365" s="428">
        <f t="array" ref="J365">MAX((IF(MNU_CODIGO_ALIMENTO_ENTREGA=CONCATENATE($E365,"_","S_"),MNU_GRAMAJE_REQUERIDO_TIPOA,"")))</f>
        <v>100</v>
      </c>
      <c r="K365" s="229">
        <f t="shared" si="190"/>
        <v>2587</v>
      </c>
      <c r="L365" s="229">
        <f t="shared" si="191"/>
        <v>0</v>
      </c>
      <c r="M365" s="229">
        <f t="shared" si="192"/>
        <v>46566</v>
      </c>
      <c r="N365" s="454">
        <f t="shared" si="193"/>
        <v>305</v>
      </c>
      <c r="O365" s="454">
        <f t="shared" si="194"/>
        <v>14.884</v>
      </c>
      <c r="P365" s="454">
        <f t="shared" si="195"/>
        <v>0.26230488000000002</v>
      </c>
      <c r="Q365" s="454">
        <f t="shared" si="196"/>
        <v>320</v>
      </c>
      <c r="R365" s="230">
        <f t="shared" si="197"/>
        <v>14202630</v>
      </c>
      <c r="S365" s="230">
        <f t="shared" si="198"/>
        <v>14901120</v>
      </c>
      <c r="T365" s="429">
        <f t="shared" si="199"/>
        <v>12</v>
      </c>
      <c r="U365" s="429">
        <f t="shared" si="200"/>
        <v>2</v>
      </c>
      <c r="V365" s="430">
        <f t="array" ref="V365">MAX((IF(MNU_CODIGO_ALIMENTO_ENTREGA=CONCATENATE($E365,"_","S_"),MNU_GRAMAJE_REQUERIDO_TIPOB,"")))</f>
        <v>100</v>
      </c>
      <c r="W365" s="397">
        <f t="shared" si="201"/>
        <v>1584</v>
      </c>
      <c r="X365" s="397">
        <f t="shared" si="202"/>
        <v>0</v>
      </c>
      <c r="Y365" s="397">
        <f t="shared" si="203"/>
        <v>19008</v>
      </c>
      <c r="Z365" s="454">
        <f t="shared" si="204"/>
        <v>305</v>
      </c>
      <c r="AA365" s="454">
        <f t="shared" si="205"/>
        <v>14.884</v>
      </c>
      <c r="AB365" s="454">
        <f t="shared" si="206"/>
        <v>0.26230488000000002</v>
      </c>
      <c r="AC365" s="454">
        <f t="shared" si="207"/>
        <v>320</v>
      </c>
      <c r="AD365" s="231">
        <f t="shared" si="208"/>
        <v>5797440</v>
      </c>
      <c r="AE365" s="231">
        <f t="shared" si="209"/>
        <v>6082560</v>
      </c>
      <c r="AF365" s="427">
        <f t="shared" si="210"/>
        <v>12</v>
      </c>
      <c r="AG365" s="427">
        <f t="shared" si="211"/>
        <v>2</v>
      </c>
      <c r="AH365" s="428">
        <f t="array" ref="AH365">MAX((IF(MNU_CODIGO_ALIMENTO_ENTREGA=CONCATENATE($E365,"_","S_"),MNU_GRAMAJE_REQUERIDO_TIPOC,"")))</f>
        <v>100</v>
      </c>
      <c r="AI365" s="229">
        <f t="shared" si="212"/>
        <v>1132</v>
      </c>
      <c r="AJ365" s="229">
        <f t="shared" si="213"/>
        <v>0</v>
      </c>
      <c r="AK365" s="229">
        <f t="shared" si="214"/>
        <v>13584</v>
      </c>
      <c r="AL365" s="454">
        <f t="shared" si="215"/>
        <v>305</v>
      </c>
      <c r="AM365" s="454">
        <f t="shared" si="216"/>
        <v>14.884</v>
      </c>
      <c r="AN365" s="454">
        <f t="shared" si="217"/>
        <v>0.26230488000000002</v>
      </c>
      <c r="AO365" s="454">
        <f t="shared" si="218"/>
        <v>320</v>
      </c>
      <c r="AP365" s="454">
        <f t="shared" si="219"/>
        <v>4143120</v>
      </c>
      <c r="AQ365" s="230">
        <f t="shared" si="220"/>
        <v>4346880</v>
      </c>
      <c r="AR365" s="397">
        <f t="shared" si="221"/>
        <v>24143190</v>
      </c>
      <c r="AS365" s="397">
        <f t="shared" si="222"/>
        <v>25330560</v>
      </c>
    </row>
    <row r="366" spans="1:45" ht="15.75">
      <c r="A366" s="228">
        <v>27</v>
      </c>
      <c r="B366" s="228" t="str">
        <f t="shared" si="186"/>
        <v>FRUTA_27</v>
      </c>
      <c r="C366" s="338" t="str">
        <f t="shared" si="187"/>
        <v>70_27</v>
      </c>
      <c r="D366" s="398" t="s">
        <v>1</v>
      </c>
      <c r="E366" s="228">
        <v>70</v>
      </c>
      <c r="F366" s="332" t="s">
        <v>71</v>
      </c>
      <c r="G366" s="228" t="s">
        <v>9</v>
      </c>
      <c r="H366" s="427">
        <f t="shared" si="188"/>
        <v>0</v>
      </c>
      <c r="I366" s="427">
        <f t="shared" si="189"/>
        <v>0</v>
      </c>
      <c r="J366" s="428">
        <f t="array" ref="J366">MAX((IF(MNU_CODIGO_ALIMENTO_ENTREGA=CONCATENATE($E366,"_","S_"),MNU_GRAMAJE_REQUERIDO_TIPOA,"")))</f>
        <v>0</v>
      </c>
      <c r="K366" s="229">
        <f t="shared" si="190"/>
        <v>2587</v>
      </c>
      <c r="L366" s="229">
        <f t="shared" si="191"/>
        <v>0</v>
      </c>
      <c r="M366" s="229">
        <f t="shared" si="192"/>
        <v>0</v>
      </c>
      <c r="N366" s="454">
        <f t="shared" si="193"/>
        <v>0</v>
      </c>
      <c r="O366" s="454">
        <f t="shared" si="194"/>
        <v>0</v>
      </c>
      <c r="P366" s="454">
        <f t="shared" si="195"/>
        <v>0</v>
      </c>
      <c r="Q366" s="454">
        <f t="shared" si="196"/>
        <v>0</v>
      </c>
      <c r="R366" s="230">
        <f t="shared" si="197"/>
        <v>0</v>
      </c>
      <c r="S366" s="230">
        <f t="shared" si="198"/>
        <v>0</v>
      </c>
      <c r="T366" s="429">
        <f t="shared" si="199"/>
        <v>8</v>
      </c>
      <c r="U366" s="429">
        <f t="shared" si="200"/>
        <v>4</v>
      </c>
      <c r="V366" s="430">
        <f t="array" ref="V366">MAX((IF(MNU_CODIGO_ALIMENTO_ENTREGA=CONCATENATE($E366,"_","S_"),MNU_GRAMAJE_REQUERIDO_TIPOB,"")))</f>
        <v>100</v>
      </c>
      <c r="W366" s="397">
        <f t="shared" si="201"/>
        <v>1584</v>
      </c>
      <c r="X366" s="397">
        <f t="shared" si="202"/>
        <v>0</v>
      </c>
      <c r="Y366" s="397">
        <f t="shared" si="203"/>
        <v>12672</v>
      </c>
      <c r="Z366" s="454">
        <f t="shared" si="204"/>
        <v>434</v>
      </c>
      <c r="AA366" s="454">
        <f t="shared" si="205"/>
        <v>21.179200000000002</v>
      </c>
      <c r="AB366" s="454">
        <f t="shared" si="206"/>
        <v>0.37324694399999997</v>
      </c>
      <c r="AC366" s="454">
        <f t="shared" si="207"/>
        <v>456</v>
      </c>
      <c r="AD366" s="231">
        <f t="shared" si="208"/>
        <v>5499648</v>
      </c>
      <c r="AE366" s="231">
        <f t="shared" si="209"/>
        <v>5778432</v>
      </c>
      <c r="AF366" s="427">
        <f t="shared" si="210"/>
        <v>8</v>
      </c>
      <c r="AG366" s="427">
        <f t="shared" si="211"/>
        <v>4</v>
      </c>
      <c r="AH366" s="428">
        <f t="array" ref="AH366">MAX((IF(MNU_CODIGO_ALIMENTO_ENTREGA=CONCATENATE($E366,"_","S_"),MNU_GRAMAJE_REQUERIDO_TIPOC,"")))</f>
        <v>100</v>
      </c>
      <c r="AI366" s="229">
        <f t="shared" si="212"/>
        <v>1132</v>
      </c>
      <c r="AJ366" s="229">
        <f t="shared" si="213"/>
        <v>0</v>
      </c>
      <c r="AK366" s="229">
        <f t="shared" si="214"/>
        <v>9056</v>
      </c>
      <c r="AL366" s="454">
        <f t="shared" si="215"/>
        <v>434</v>
      </c>
      <c r="AM366" s="454">
        <f t="shared" si="216"/>
        <v>21.179200000000002</v>
      </c>
      <c r="AN366" s="454">
        <f t="shared" si="217"/>
        <v>0.37324694399999997</v>
      </c>
      <c r="AO366" s="454">
        <f t="shared" si="218"/>
        <v>456</v>
      </c>
      <c r="AP366" s="454">
        <f t="shared" si="219"/>
        <v>3930304</v>
      </c>
      <c r="AQ366" s="230">
        <f t="shared" si="220"/>
        <v>4129536</v>
      </c>
      <c r="AR366" s="397">
        <f t="shared" si="221"/>
        <v>9429952</v>
      </c>
      <c r="AS366" s="397">
        <f t="shared" si="222"/>
        <v>9907968</v>
      </c>
    </row>
    <row r="367" spans="1:45" ht="15.75">
      <c r="A367" s="228">
        <v>28</v>
      </c>
      <c r="B367" s="228" t="str">
        <f t="shared" si="186"/>
        <v>FRUTA_28</v>
      </c>
      <c r="C367" s="338" t="str">
        <f t="shared" si="187"/>
        <v>7_28</v>
      </c>
      <c r="D367" s="398" t="s">
        <v>1</v>
      </c>
      <c r="E367" s="228">
        <v>7</v>
      </c>
      <c r="F367" s="332" t="s">
        <v>57</v>
      </c>
      <c r="G367" s="228" t="s">
        <v>9</v>
      </c>
      <c r="H367" s="427">
        <f t="shared" si="188"/>
        <v>31</v>
      </c>
      <c r="I367" s="427">
        <f t="shared" si="189"/>
        <v>0</v>
      </c>
      <c r="J367" s="428">
        <f t="array" ref="J367">MAX((IF(MNU_CODIGO_ALIMENTO_ENTREGA=CONCATENATE($E367,"_","S_"),MNU_GRAMAJE_REQUERIDO_TIPOA,"")))</f>
        <v>100</v>
      </c>
      <c r="K367" s="229">
        <f t="shared" si="190"/>
        <v>1898</v>
      </c>
      <c r="L367" s="229">
        <f t="shared" si="191"/>
        <v>0</v>
      </c>
      <c r="M367" s="229">
        <f t="shared" si="192"/>
        <v>58838</v>
      </c>
      <c r="N367" s="454">
        <f t="shared" si="193"/>
        <v>107</v>
      </c>
      <c r="O367" s="454">
        <f t="shared" si="194"/>
        <v>5.2216000000000005</v>
      </c>
      <c r="P367" s="454">
        <f t="shared" si="195"/>
        <v>9.2021712000000006E-2</v>
      </c>
      <c r="Q367" s="454">
        <f t="shared" si="196"/>
        <v>112</v>
      </c>
      <c r="R367" s="230">
        <f t="shared" si="197"/>
        <v>6295666</v>
      </c>
      <c r="S367" s="230">
        <f t="shared" si="198"/>
        <v>6589856</v>
      </c>
      <c r="T367" s="429">
        <f t="shared" si="199"/>
        <v>11</v>
      </c>
      <c r="U367" s="429">
        <f t="shared" si="200"/>
        <v>0</v>
      </c>
      <c r="V367" s="430">
        <f t="array" ref="V367">MAX((IF(MNU_CODIGO_ALIMENTO_ENTREGA=CONCATENATE($E367,"_","S_"),MNU_GRAMAJE_REQUERIDO_TIPOB,"")))</f>
        <v>100</v>
      </c>
      <c r="W367" s="397">
        <f t="shared" si="201"/>
        <v>402</v>
      </c>
      <c r="X367" s="397">
        <f t="shared" si="202"/>
        <v>0</v>
      </c>
      <c r="Y367" s="397">
        <f t="shared" si="203"/>
        <v>4422</v>
      </c>
      <c r="Z367" s="454">
        <f t="shared" si="204"/>
        <v>107</v>
      </c>
      <c r="AA367" s="454">
        <f t="shared" si="205"/>
        <v>5.2216000000000005</v>
      </c>
      <c r="AB367" s="454">
        <f t="shared" si="206"/>
        <v>9.2021712000000006E-2</v>
      </c>
      <c r="AC367" s="454">
        <f t="shared" si="207"/>
        <v>112</v>
      </c>
      <c r="AD367" s="231">
        <f t="shared" si="208"/>
        <v>473154</v>
      </c>
      <c r="AE367" s="231">
        <f t="shared" si="209"/>
        <v>495264</v>
      </c>
      <c r="AF367" s="427">
        <f t="shared" si="210"/>
        <v>11</v>
      </c>
      <c r="AG367" s="427">
        <f t="shared" si="211"/>
        <v>0</v>
      </c>
      <c r="AH367" s="428">
        <f t="array" ref="AH367">MAX((IF(MNU_CODIGO_ALIMENTO_ENTREGA=CONCATENATE($E367,"_","S_"),MNU_GRAMAJE_REQUERIDO_TIPOC,"")))</f>
        <v>100</v>
      </c>
      <c r="AI367" s="229">
        <f t="shared" si="212"/>
        <v>798</v>
      </c>
      <c r="AJ367" s="229">
        <f t="shared" si="213"/>
        <v>0</v>
      </c>
      <c r="AK367" s="229">
        <f t="shared" si="214"/>
        <v>8778</v>
      </c>
      <c r="AL367" s="454">
        <f t="shared" si="215"/>
        <v>107</v>
      </c>
      <c r="AM367" s="454">
        <f t="shared" si="216"/>
        <v>5.2216000000000005</v>
      </c>
      <c r="AN367" s="454">
        <f t="shared" si="217"/>
        <v>9.2021712000000006E-2</v>
      </c>
      <c r="AO367" s="454">
        <f t="shared" si="218"/>
        <v>112</v>
      </c>
      <c r="AP367" s="454">
        <f t="shared" si="219"/>
        <v>939246</v>
      </c>
      <c r="AQ367" s="230">
        <f t="shared" si="220"/>
        <v>983136</v>
      </c>
      <c r="AR367" s="397">
        <f t="shared" si="221"/>
        <v>7708066</v>
      </c>
      <c r="AS367" s="397">
        <f t="shared" si="222"/>
        <v>8068256</v>
      </c>
    </row>
    <row r="368" spans="1:45" ht="15.75">
      <c r="A368" s="228">
        <v>28</v>
      </c>
      <c r="B368" s="228" t="str">
        <f t="shared" si="186"/>
        <v>FRUTA_28</v>
      </c>
      <c r="C368" s="338" t="str">
        <f t="shared" si="187"/>
        <v>8_28</v>
      </c>
      <c r="D368" s="398" t="s">
        <v>1</v>
      </c>
      <c r="E368" s="228">
        <v>8</v>
      </c>
      <c r="F368" s="332" t="s">
        <v>55</v>
      </c>
      <c r="G368" s="228" t="s">
        <v>9</v>
      </c>
      <c r="H368" s="427">
        <f t="shared" si="188"/>
        <v>11</v>
      </c>
      <c r="I368" s="427">
        <f t="shared" si="189"/>
        <v>0</v>
      </c>
      <c r="J368" s="428">
        <f t="array" ref="J368">MAX((IF(MNU_CODIGO_ALIMENTO_ENTREGA=CONCATENATE($E368,"_","S_"),MNU_GRAMAJE_REQUERIDO_TIPOA,"")))</f>
        <v>100</v>
      </c>
      <c r="K368" s="229">
        <f t="shared" si="190"/>
        <v>1898</v>
      </c>
      <c r="L368" s="229">
        <f t="shared" si="191"/>
        <v>0</v>
      </c>
      <c r="M368" s="229">
        <f t="shared" si="192"/>
        <v>20878</v>
      </c>
      <c r="N368" s="454">
        <f t="shared" si="193"/>
        <v>134</v>
      </c>
      <c r="O368" s="454">
        <f t="shared" si="194"/>
        <v>6.539200000000001</v>
      </c>
      <c r="P368" s="454">
        <f t="shared" si="195"/>
        <v>0.115242144</v>
      </c>
      <c r="Q368" s="454">
        <f t="shared" si="196"/>
        <v>141</v>
      </c>
      <c r="R368" s="230">
        <f t="shared" si="197"/>
        <v>2797652</v>
      </c>
      <c r="S368" s="230">
        <f t="shared" si="198"/>
        <v>2943798</v>
      </c>
      <c r="T368" s="429">
        <f t="shared" si="199"/>
        <v>11</v>
      </c>
      <c r="U368" s="429">
        <f t="shared" si="200"/>
        <v>0</v>
      </c>
      <c r="V368" s="430">
        <f t="array" ref="V368">MAX((IF(MNU_CODIGO_ALIMENTO_ENTREGA=CONCATENATE($E368,"_","S_"),MNU_GRAMAJE_REQUERIDO_TIPOB,"")))</f>
        <v>100</v>
      </c>
      <c r="W368" s="397">
        <f t="shared" si="201"/>
        <v>402</v>
      </c>
      <c r="X368" s="397">
        <f t="shared" si="202"/>
        <v>0</v>
      </c>
      <c r="Y368" s="397">
        <f t="shared" si="203"/>
        <v>4422</v>
      </c>
      <c r="Z368" s="454">
        <f t="shared" si="204"/>
        <v>134</v>
      </c>
      <c r="AA368" s="454">
        <f t="shared" si="205"/>
        <v>6.539200000000001</v>
      </c>
      <c r="AB368" s="454">
        <f t="shared" si="206"/>
        <v>0.115242144</v>
      </c>
      <c r="AC368" s="454">
        <f t="shared" si="207"/>
        <v>141</v>
      </c>
      <c r="AD368" s="231">
        <f t="shared" si="208"/>
        <v>592548</v>
      </c>
      <c r="AE368" s="231">
        <f t="shared" si="209"/>
        <v>623502</v>
      </c>
      <c r="AF368" s="427">
        <f t="shared" si="210"/>
        <v>11</v>
      </c>
      <c r="AG368" s="427">
        <f t="shared" si="211"/>
        <v>0</v>
      </c>
      <c r="AH368" s="428">
        <f t="array" ref="AH368">MAX((IF(MNU_CODIGO_ALIMENTO_ENTREGA=CONCATENATE($E368,"_","S_"),MNU_GRAMAJE_REQUERIDO_TIPOC,"")))</f>
        <v>100</v>
      </c>
      <c r="AI368" s="229">
        <f t="shared" si="212"/>
        <v>798</v>
      </c>
      <c r="AJ368" s="229">
        <f t="shared" si="213"/>
        <v>0</v>
      </c>
      <c r="AK368" s="229">
        <f t="shared" si="214"/>
        <v>8778</v>
      </c>
      <c r="AL368" s="454">
        <f t="shared" si="215"/>
        <v>134</v>
      </c>
      <c r="AM368" s="454">
        <f t="shared" si="216"/>
        <v>6.539200000000001</v>
      </c>
      <c r="AN368" s="454">
        <f t="shared" si="217"/>
        <v>0.115242144</v>
      </c>
      <c r="AO368" s="454">
        <f t="shared" si="218"/>
        <v>141</v>
      </c>
      <c r="AP368" s="454">
        <f t="shared" si="219"/>
        <v>1176252</v>
      </c>
      <c r="AQ368" s="230">
        <f t="shared" si="220"/>
        <v>1237698</v>
      </c>
      <c r="AR368" s="397">
        <f t="shared" si="221"/>
        <v>4566452</v>
      </c>
      <c r="AS368" s="397">
        <f t="shared" si="222"/>
        <v>4804998</v>
      </c>
    </row>
    <row r="369" spans="1:45" ht="15.75">
      <c r="A369" s="228">
        <v>28</v>
      </c>
      <c r="B369" s="228" t="str">
        <f t="shared" si="186"/>
        <v>FRUTA_28</v>
      </c>
      <c r="C369" s="338" t="str">
        <f t="shared" si="187"/>
        <v>17_28</v>
      </c>
      <c r="D369" s="398" t="s">
        <v>1</v>
      </c>
      <c r="E369" s="228">
        <v>17</v>
      </c>
      <c r="F369" s="332" t="s">
        <v>53</v>
      </c>
      <c r="G369" s="228" t="s">
        <v>9</v>
      </c>
      <c r="H369" s="427">
        <f t="shared" si="188"/>
        <v>0</v>
      </c>
      <c r="I369" s="427">
        <f t="shared" si="189"/>
        <v>0</v>
      </c>
      <c r="J369" s="428">
        <f t="array" ref="J369">MAX((IF(MNU_CODIGO_ALIMENTO_ENTREGA=CONCATENATE($E369,"_","S_"),MNU_GRAMAJE_REQUERIDO_TIPOA,"")))</f>
        <v>0</v>
      </c>
      <c r="K369" s="229">
        <f t="shared" si="190"/>
        <v>1898</v>
      </c>
      <c r="L369" s="229">
        <f t="shared" si="191"/>
        <v>0</v>
      </c>
      <c r="M369" s="229">
        <f t="shared" si="192"/>
        <v>0</v>
      </c>
      <c r="N369" s="454">
        <f t="shared" si="193"/>
        <v>0</v>
      </c>
      <c r="O369" s="454">
        <f t="shared" si="194"/>
        <v>0</v>
      </c>
      <c r="P369" s="454">
        <f t="shared" si="195"/>
        <v>0</v>
      </c>
      <c r="Q369" s="454">
        <f t="shared" si="196"/>
        <v>0</v>
      </c>
      <c r="R369" s="230">
        <f t="shared" si="197"/>
        <v>0</v>
      </c>
      <c r="S369" s="230">
        <f t="shared" si="198"/>
        <v>0</v>
      </c>
      <c r="T369" s="429">
        <f t="shared" si="199"/>
        <v>23</v>
      </c>
      <c r="U369" s="429">
        <f t="shared" si="200"/>
        <v>4</v>
      </c>
      <c r="V369" s="430">
        <f t="array" ref="V369">MAX((IF(MNU_CODIGO_ALIMENTO_ENTREGA=CONCATENATE($E369,"_","S_"),MNU_GRAMAJE_REQUERIDO_TIPOB,"")))</f>
        <v>100</v>
      </c>
      <c r="W369" s="397">
        <f t="shared" si="201"/>
        <v>402</v>
      </c>
      <c r="X369" s="397">
        <f t="shared" si="202"/>
        <v>0</v>
      </c>
      <c r="Y369" s="397">
        <f t="shared" si="203"/>
        <v>9246</v>
      </c>
      <c r="Z369" s="454">
        <f t="shared" si="204"/>
        <v>226</v>
      </c>
      <c r="AA369" s="454">
        <f t="shared" si="205"/>
        <v>11.0288</v>
      </c>
      <c r="AB369" s="454">
        <f t="shared" si="206"/>
        <v>0.19436361600000002</v>
      </c>
      <c r="AC369" s="454">
        <f t="shared" si="207"/>
        <v>237</v>
      </c>
      <c r="AD369" s="231">
        <f t="shared" si="208"/>
        <v>2089596</v>
      </c>
      <c r="AE369" s="231">
        <f t="shared" si="209"/>
        <v>2191302</v>
      </c>
      <c r="AF369" s="427">
        <f t="shared" si="210"/>
        <v>23</v>
      </c>
      <c r="AG369" s="427">
        <f t="shared" si="211"/>
        <v>4</v>
      </c>
      <c r="AH369" s="428">
        <f t="array" ref="AH369">MAX((IF(MNU_CODIGO_ALIMENTO_ENTREGA=CONCATENATE($E369,"_","S_"),MNU_GRAMAJE_REQUERIDO_TIPOC,"")))</f>
        <v>100</v>
      </c>
      <c r="AI369" s="229">
        <f t="shared" si="212"/>
        <v>798</v>
      </c>
      <c r="AJ369" s="229">
        <f t="shared" si="213"/>
        <v>0</v>
      </c>
      <c r="AK369" s="229">
        <f t="shared" si="214"/>
        <v>18354</v>
      </c>
      <c r="AL369" s="454">
        <f t="shared" si="215"/>
        <v>226</v>
      </c>
      <c r="AM369" s="454">
        <f t="shared" si="216"/>
        <v>11.0288</v>
      </c>
      <c r="AN369" s="454">
        <f t="shared" si="217"/>
        <v>0.19436361600000002</v>
      </c>
      <c r="AO369" s="454">
        <f t="shared" si="218"/>
        <v>237</v>
      </c>
      <c r="AP369" s="454">
        <f t="shared" si="219"/>
        <v>4148004</v>
      </c>
      <c r="AQ369" s="230">
        <f t="shared" si="220"/>
        <v>4349898</v>
      </c>
      <c r="AR369" s="397">
        <f t="shared" si="221"/>
        <v>6237600</v>
      </c>
      <c r="AS369" s="397">
        <f t="shared" si="222"/>
        <v>6541200</v>
      </c>
    </row>
    <row r="370" spans="1:45" ht="15.75">
      <c r="A370" s="228">
        <v>28</v>
      </c>
      <c r="B370" s="228" t="str">
        <f t="shared" si="186"/>
        <v>FRUTA_28</v>
      </c>
      <c r="C370" s="338" t="str">
        <f t="shared" si="187"/>
        <v>22_28</v>
      </c>
      <c r="D370" s="398" t="s">
        <v>1</v>
      </c>
      <c r="E370" s="228">
        <v>22</v>
      </c>
      <c r="F370" s="332" t="s">
        <v>51</v>
      </c>
      <c r="G370" s="228" t="s">
        <v>9</v>
      </c>
      <c r="H370" s="427">
        <f t="shared" si="188"/>
        <v>0</v>
      </c>
      <c r="I370" s="427">
        <f t="shared" si="189"/>
        <v>0</v>
      </c>
      <c r="J370" s="428">
        <f t="array" ref="J370">MAX((IF(MNU_CODIGO_ALIMENTO_ENTREGA=CONCATENATE($E370,"_","S_"),MNU_GRAMAJE_REQUERIDO_TIPOA,"")))</f>
        <v>0</v>
      </c>
      <c r="K370" s="229">
        <f t="shared" si="190"/>
        <v>1898</v>
      </c>
      <c r="L370" s="229">
        <f t="shared" si="191"/>
        <v>0</v>
      </c>
      <c r="M370" s="229">
        <f t="shared" si="192"/>
        <v>0</v>
      </c>
      <c r="N370" s="454">
        <f t="shared" si="193"/>
        <v>0</v>
      </c>
      <c r="O370" s="454">
        <f t="shared" si="194"/>
        <v>0</v>
      </c>
      <c r="P370" s="454">
        <f t="shared" si="195"/>
        <v>0</v>
      </c>
      <c r="Q370" s="454">
        <f t="shared" si="196"/>
        <v>0</v>
      </c>
      <c r="R370" s="230">
        <f t="shared" si="197"/>
        <v>0</v>
      </c>
      <c r="S370" s="230">
        <f t="shared" si="198"/>
        <v>0</v>
      </c>
      <c r="T370" s="429">
        <f t="shared" si="199"/>
        <v>23</v>
      </c>
      <c r="U370" s="429">
        <f t="shared" si="200"/>
        <v>4</v>
      </c>
      <c r="V370" s="430">
        <f t="array" ref="V370">MAX((IF(MNU_CODIGO_ALIMENTO_ENTREGA=CONCATENATE($E370,"_","S_"),MNU_GRAMAJE_REQUERIDO_TIPOB,"")))</f>
        <v>100</v>
      </c>
      <c r="W370" s="397">
        <f t="shared" si="201"/>
        <v>402</v>
      </c>
      <c r="X370" s="397">
        <f t="shared" si="202"/>
        <v>0</v>
      </c>
      <c r="Y370" s="397">
        <f t="shared" si="203"/>
        <v>9246</v>
      </c>
      <c r="Z370" s="454">
        <f t="shared" si="204"/>
        <v>525</v>
      </c>
      <c r="AA370" s="454">
        <f t="shared" si="205"/>
        <v>25.62</v>
      </c>
      <c r="AB370" s="454">
        <f t="shared" si="206"/>
        <v>0.45150840000000003</v>
      </c>
      <c r="AC370" s="454">
        <f t="shared" si="207"/>
        <v>551</v>
      </c>
      <c r="AD370" s="231">
        <f t="shared" si="208"/>
        <v>4854150</v>
      </c>
      <c r="AE370" s="231">
        <f t="shared" si="209"/>
        <v>5094546</v>
      </c>
      <c r="AF370" s="427">
        <f t="shared" si="210"/>
        <v>23</v>
      </c>
      <c r="AG370" s="427">
        <f t="shared" si="211"/>
        <v>4</v>
      </c>
      <c r="AH370" s="428">
        <f t="array" ref="AH370">MAX((IF(MNU_CODIGO_ALIMENTO_ENTREGA=CONCATENATE($E370,"_","S_"),MNU_GRAMAJE_REQUERIDO_TIPOC,"")))</f>
        <v>100</v>
      </c>
      <c r="AI370" s="229">
        <f t="shared" si="212"/>
        <v>798</v>
      </c>
      <c r="AJ370" s="229">
        <f t="shared" si="213"/>
        <v>0</v>
      </c>
      <c r="AK370" s="229">
        <f t="shared" si="214"/>
        <v>18354</v>
      </c>
      <c r="AL370" s="454">
        <f t="shared" si="215"/>
        <v>525</v>
      </c>
      <c r="AM370" s="454">
        <f t="shared" si="216"/>
        <v>25.62</v>
      </c>
      <c r="AN370" s="454">
        <f t="shared" si="217"/>
        <v>0.45150840000000003</v>
      </c>
      <c r="AO370" s="454">
        <f t="shared" si="218"/>
        <v>551</v>
      </c>
      <c r="AP370" s="454">
        <f t="shared" si="219"/>
        <v>9635850</v>
      </c>
      <c r="AQ370" s="230">
        <f t="shared" si="220"/>
        <v>10113054</v>
      </c>
      <c r="AR370" s="397">
        <f t="shared" si="221"/>
        <v>14490000</v>
      </c>
      <c r="AS370" s="397">
        <f t="shared" si="222"/>
        <v>15207600</v>
      </c>
    </row>
    <row r="371" spans="1:45" ht="15.75">
      <c r="A371" s="228">
        <v>28</v>
      </c>
      <c r="B371" s="228" t="str">
        <f t="shared" si="186"/>
        <v>FRUTA_28</v>
      </c>
      <c r="C371" s="338" t="str">
        <f t="shared" si="187"/>
        <v>33_28</v>
      </c>
      <c r="D371" s="398" t="s">
        <v>1</v>
      </c>
      <c r="E371" s="228">
        <v>33</v>
      </c>
      <c r="F371" s="332" t="s">
        <v>59</v>
      </c>
      <c r="G371" s="228" t="s">
        <v>48</v>
      </c>
      <c r="H371" s="427">
        <f t="shared" si="188"/>
        <v>29</v>
      </c>
      <c r="I371" s="427">
        <f t="shared" si="189"/>
        <v>5</v>
      </c>
      <c r="J371" s="428">
        <v>1</v>
      </c>
      <c r="K371" s="229">
        <f t="shared" si="190"/>
        <v>1898</v>
      </c>
      <c r="L371" s="229">
        <f t="shared" si="191"/>
        <v>0</v>
      </c>
      <c r="M371" s="229">
        <f t="shared" si="192"/>
        <v>55042</v>
      </c>
      <c r="N371" s="454">
        <f t="shared" si="193"/>
        <v>270</v>
      </c>
      <c r="O371" s="454">
        <f t="shared" si="194"/>
        <v>13.176000000000002</v>
      </c>
      <c r="P371" s="454">
        <f t="shared" si="195"/>
        <v>0.23220432000000002</v>
      </c>
      <c r="Q371" s="454">
        <f t="shared" si="196"/>
        <v>283</v>
      </c>
      <c r="R371" s="230">
        <f t="shared" si="197"/>
        <v>14861340</v>
      </c>
      <c r="S371" s="230">
        <f t="shared" si="198"/>
        <v>15576886</v>
      </c>
      <c r="T371" s="429">
        <f t="shared" si="199"/>
        <v>23</v>
      </c>
      <c r="U371" s="429">
        <f t="shared" si="200"/>
        <v>2</v>
      </c>
      <c r="V371" s="430">
        <v>1</v>
      </c>
      <c r="W371" s="397">
        <f t="shared" si="201"/>
        <v>402</v>
      </c>
      <c r="X371" s="397">
        <f t="shared" si="202"/>
        <v>0</v>
      </c>
      <c r="Y371" s="397">
        <f t="shared" si="203"/>
        <v>9246</v>
      </c>
      <c r="Z371" s="454">
        <f t="shared" si="204"/>
        <v>270</v>
      </c>
      <c r="AA371" s="454">
        <f t="shared" si="205"/>
        <v>13.176000000000002</v>
      </c>
      <c r="AB371" s="454">
        <f t="shared" si="206"/>
        <v>0.23220432000000002</v>
      </c>
      <c r="AC371" s="454">
        <f t="shared" si="207"/>
        <v>283</v>
      </c>
      <c r="AD371" s="231">
        <f t="shared" si="208"/>
        <v>2496420</v>
      </c>
      <c r="AE371" s="231">
        <f t="shared" si="209"/>
        <v>2616618</v>
      </c>
      <c r="AF371" s="427">
        <f t="shared" si="210"/>
        <v>23</v>
      </c>
      <c r="AG371" s="427">
        <f t="shared" si="211"/>
        <v>2</v>
      </c>
      <c r="AH371" s="428">
        <v>1</v>
      </c>
      <c r="AI371" s="229">
        <f t="shared" si="212"/>
        <v>798</v>
      </c>
      <c r="AJ371" s="229">
        <f t="shared" si="213"/>
        <v>0</v>
      </c>
      <c r="AK371" s="229">
        <f t="shared" si="214"/>
        <v>18354</v>
      </c>
      <c r="AL371" s="454">
        <f t="shared" si="215"/>
        <v>270</v>
      </c>
      <c r="AM371" s="454">
        <f t="shared" si="216"/>
        <v>13.176000000000002</v>
      </c>
      <c r="AN371" s="454">
        <f t="shared" si="217"/>
        <v>0.23220432000000002</v>
      </c>
      <c r="AO371" s="454">
        <f t="shared" si="218"/>
        <v>283</v>
      </c>
      <c r="AP371" s="454">
        <f t="shared" si="219"/>
        <v>4955580</v>
      </c>
      <c r="AQ371" s="230">
        <f t="shared" si="220"/>
        <v>5194182</v>
      </c>
      <c r="AR371" s="397">
        <f t="shared" si="221"/>
        <v>22313340</v>
      </c>
      <c r="AS371" s="397">
        <f t="shared" si="222"/>
        <v>23387686</v>
      </c>
    </row>
    <row r="372" spans="1:45" ht="15.75">
      <c r="A372" s="228">
        <v>28</v>
      </c>
      <c r="B372" s="228" t="str">
        <f t="shared" ref="B372:B405" si="223">CONCATENATE(D372,"_",A372)</f>
        <v>FRUTA_28</v>
      </c>
      <c r="C372" s="338" t="str">
        <f t="shared" ref="C372:C405" si="224">CONCATENATE(E372,"_",A372)</f>
        <v>36_28</v>
      </c>
      <c r="D372" s="398" t="s">
        <v>1</v>
      </c>
      <c r="E372" s="228">
        <v>36</v>
      </c>
      <c r="F372" s="332" t="s">
        <v>1340</v>
      </c>
      <c r="G372" s="228" t="s">
        <v>9</v>
      </c>
      <c r="H372" s="427">
        <f t="shared" ref="H372:H405" si="225">SUMIF(MNU_CODIGO_ALIMENTO_ENTREGA,CONCATENATE($E372,"_","S_"),MNU_FRECUENCIAS_LAV_TIPOA)</f>
        <v>8</v>
      </c>
      <c r="I372" s="427">
        <f t="shared" ref="I372:I405" si="226">SUMIF(MNU_CODIGO_ALIMENTO_ENTREGA,CONCATENATE($E372,"_","S_"),MNU_FRECUENCIAS_FDS_TIPOA)</f>
        <v>0</v>
      </c>
      <c r="J372" s="428">
        <f t="array" ref="J372">MAX((IF(MNU_CODIGO_ALIMENTO_ENTREGA=CONCATENATE($E372,"_","S_"),MNU_GRAMAJE_REQUERIDO_TIPOA,"")))</f>
        <v>20</v>
      </c>
      <c r="K372" s="229">
        <f t="shared" ref="K372:K405" si="227">SUMIF(VOL_GRUPO,CONCATENATE($A372,"1052-2NO"),VOL_TIPOA)</f>
        <v>1898</v>
      </c>
      <c r="L372" s="229">
        <f t="shared" ref="L372:L405" si="228">SUMIF(VOL_GRUPO,CONCATENATE($A372,"1052-2SI"),VOL_TIPOA)</f>
        <v>0</v>
      </c>
      <c r="M372" s="229">
        <f t="shared" ref="M372:M405" si="229">(H372*K372)+(I372*L372)</f>
        <v>15184</v>
      </c>
      <c r="N372" s="454">
        <f t="shared" ref="N372:N405" si="230">IF(ISERROR(AVERAGEIFS(MNU_COSTO_UNITARIO_TIPOA_SELECCIONADO,MNU_CODIGO_ALIMENTO_ENTREGA,CONCATENATE($E372,"_","S_"))),0,AVERAGEIFS(MNU_COSTO_UNITARIO_TIPOA_SELECCIONADO,MNU_CODIGO_ALIMENTO_ENTREGA,CONCATENATE($E372,"_","S_")))</f>
        <v>126</v>
      </c>
      <c r="O372" s="454">
        <f t="shared" ref="O372:O405" si="231">(N372*0.01)+(N372*0.005)+(N372*0.02)+(N372*(13.8/1000))</f>
        <v>6.1488000000000005</v>
      </c>
      <c r="P372" s="454">
        <f t="shared" ref="P372:P405" si="232">((N372+O372)*0.00071)+((N372+O372)*0.00011)</f>
        <v>0.10836201599999999</v>
      </c>
      <c r="Q372" s="454">
        <f t="shared" ref="Q372:Q405" si="233">ROUND(N372+O372+P372,0)</f>
        <v>132</v>
      </c>
      <c r="R372" s="230">
        <f t="shared" ref="R372:R405" si="234">(H372*K372*N372)+(I372*L372*N372)</f>
        <v>1913184</v>
      </c>
      <c r="S372" s="230">
        <f t="shared" ref="S372:S405" si="235">(H372*K372*Q372)+(I372*L372*Q372)</f>
        <v>2004288</v>
      </c>
      <c r="T372" s="429">
        <f t="shared" ref="T372:T405" si="236">SUMIF(MNU_CODIGO_ALIMENTO_ENTREGA,CONCATENATE($E372,"_","S_"),MNU_FRECUENCIAS_LAV_TIPOB)</f>
        <v>8</v>
      </c>
      <c r="U372" s="429">
        <f t="shared" ref="U372:U405" si="237">SUMIF(MNU_CODIGO_ALIMENTO_ENTREGA,CONCATENATE($E372,"_","S_"),MNU_FRECUENCIAS_FDS_TIPOB)</f>
        <v>0</v>
      </c>
      <c r="V372" s="430">
        <f t="array" ref="V372">MAX((IF(MNU_CODIGO_ALIMENTO_ENTREGA=CONCATENATE($E372,"_","S_"),MNU_GRAMAJE_REQUERIDO_TIPOB,"")))</f>
        <v>40</v>
      </c>
      <c r="W372" s="397">
        <f t="shared" ref="W372:W405" si="238">SUMIF(VOL_GRUPO,CONCATENATE($A372,"1052-2NO"),VOL_TIPOB)</f>
        <v>402</v>
      </c>
      <c r="X372" s="397">
        <f t="shared" ref="X372:X405" si="239">SUMIF(VOL_GRUPO,CONCATENATE($A372,"1052-2SI"),VOL_TIPOB)</f>
        <v>0</v>
      </c>
      <c r="Y372" s="397">
        <f t="shared" ref="Y372:Y405" si="240">(T372*W372)+(U372*X372)</f>
        <v>3216</v>
      </c>
      <c r="Z372" s="454">
        <f t="shared" ref="Z372:Z405" si="241">IF(ISERROR(AVERAGEIFS(MNU_COSTO_UNITARIO_TIPOB_SELECCIONADO,MNU_CODIGO_ALIMENTO_ENTREGA,CONCATENATE($E372,"_","S_"))),0,AVERAGEIFS(MNU_COSTO_UNITARIO_TIPOB_SELECCIONADO,MNU_CODIGO_ALIMENTO_ENTREGA,CONCATENATE($E372,"_","S_")))</f>
        <v>252</v>
      </c>
      <c r="AA372" s="454">
        <f t="shared" ref="AA372:AA405" si="242">(Z372*0.01)+(Z372*0.005)+(Z372*0.02)+(Z372*(13.8/1000))</f>
        <v>12.297600000000001</v>
      </c>
      <c r="AB372" s="454">
        <f t="shared" ref="AB372:AB405" si="243">((Z372+AA372)*0.00071)+((Z372+AA372)*0.00011)</f>
        <v>0.21672403199999998</v>
      </c>
      <c r="AC372" s="454">
        <f t="shared" ref="AC372:AC405" si="244">ROUND(Z372+AA372+AB372,0)</f>
        <v>265</v>
      </c>
      <c r="AD372" s="231">
        <f t="shared" ref="AD372:AD405" si="245">(T372*W372*Z372)+(U372*X372*Z372)</f>
        <v>810432</v>
      </c>
      <c r="AE372" s="231">
        <f t="shared" ref="AE372:AE405" si="246">(T372*W372*AC372)+(U372*X372*AC372)</f>
        <v>852240</v>
      </c>
      <c r="AF372" s="427">
        <f t="shared" ref="AF372:AF405" si="247">SUMIF(MNU_CODIGO_ALIMENTO_ENTREGA,CONCATENATE($E372,"_","S_"),MNU_FRECUENCIAS_LAV_TIPOC)</f>
        <v>8</v>
      </c>
      <c r="AG372" s="427">
        <f t="shared" ref="AG372:AG405" si="248">SUMIF(MNU_CODIGO_ALIMENTO_ENTREGA,CONCATENATE($E372,"_","S_"),MNU_FRECUENCIAS_FDS_TIPOC)</f>
        <v>0</v>
      </c>
      <c r="AH372" s="428">
        <f t="array" ref="AH372">MAX((IF(MNU_CODIGO_ALIMENTO_ENTREGA=CONCATENATE($E372,"_","S_"),MNU_GRAMAJE_REQUERIDO_TIPOC,"")))</f>
        <v>40</v>
      </c>
      <c r="AI372" s="229">
        <f t="shared" ref="AI372:AI405" si="249">SUMIF(VOL_GRUPO,CONCATENATE($A372,"1052-2NO"),VOL_TIPOC)</f>
        <v>798</v>
      </c>
      <c r="AJ372" s="229">
        <f t="shared" ref="AJ372:AJ405" si="250">SUMIF(VOL_GRUPO,CONCATENATE($A372,"1052-2SI"),VOL_TIPOC)</f>
        <v>0</v>
      </c>
      <c r="AK372" s="229">
        <f t="shared" ref="AK372:AK405" si="251">(AF372*AI372)+(AG372*AJ372)</f>
        <v>6384</v>
      </c>
      <c r="AL372" s="454">
        <f t="shared" ref="AL372:AL405" si="252">IF(ISERROR(AVERAGEIFS(MNU_COSTO_UNITARIO_TIPOC_SELECCIONADO,MNU_CODIGO_ALIMENTO_ENTREGA,CONCATENATE($E372,"_","S_"))),0,AVERAGEIFS(MNU_COSTO_UNITARIO_TIPOC_SELECCIONADO,MNU_CODIGO_ALIMENTO_ENTREGA,CONCATENATE($E372,"_","S_")))</f>
        <v>252</v>
      </c>
      <c r="AM372" s="454">
        <f t="shared" ref="AM372:AM405" si="253">(AL372*0.01)+(AL372*0.005)+(AL372*0.02)+(AL372*(13.8/1000))</f>
        <v>12.297600000000001</v>
      </c>
      <c r="AN372" s="454">
        <f t="shared" ref="AN372:AN405" si="254">((AL372+AM372)*0.00071)+((AL372+AM372)*0.00011)</f>
        <v>0.21672403199999998</v>
      </c>
      <c r="AO372" s="454">
        <f t="shared" ref="AO372:AO405" si="255">ROUND(AL372+AM372+AN372,0)</f>
        <v>265</v>
      </c>
      <c r="AP372" s="454">
        <f t="shared" ref="AP372:AP405" si="256">(AF372*AI372*AL372)+(AG372*AJ372*AL372)</f>
        <v>1608768</v>
      </c>
      <c r="AQ372" s="230">
        <f t="shared" ref="AQ372:AQ405" si="257">(AF372*AI372*AO372)+(AG372*AJ372*AO372)</f>
        <v>1691760</v>
      </c>
      <c r="AR372" s="397">
        <f t="shared" ref="AR372:AR405" si="258">R372+AD372+AP372</f>
        <v>4332384</v>
      </c>
      <c r="AS372" s="397">
        <f t="shared" ref="AS372:AS405" si="259">S372+AE372+AQ372</f>
        <v>4548288</v>
      </c>
    </row>
    <row r="373" spans="1:45" ht="15.75">
      <c r="A373" s="228">
        <v>28</v>
      </c>
      <c r="B373" s="228" t="str">
        <f t="shared" si="223"/>
        <v>FRUTA_28</v>
      </c>
      <c r="C373" s="338" t="str">
        <f t="shared" si="224"/>
        <v>42_28</v>
      </c>
      <c r="D373" s="398" t="s">
        <v>1</v>
      </c>
      <c r="E373" s="228">
        <v>42</v>
      </c>
      <c r="F373" s="332" t="s">
        <v>61</v>
      </c>
      <c r="G373" s="228" t="s">
        <v>9</v>
      </c>
      <c r="H373" s="427">
        <f t="shared" si="225"/>
        <v>36</v>
      </c>
      <c r="I373" s="427">
        <f t="shared" si="226"/>
        <v>8</v>
      </c>
      <c r="J373" s="428">
        <f t="array" ref="J373">MAX((IF(MNU_CODIGO_ALIMENTO_ENTREGA=CONCATENATE($E373,"_","S_"),MNU_GRAMAJE_REQUERIDO_TIPOA,"")))</f>
        <v>100</v>
      </c>
      <c r="K373" s="229">
        <f t="shared" si="227"/>
        <v>1898</v>
      </c>
      <c r="L373" s="229">
        <f t="shared" si="228"/>
        <v>0</v>
      </c>
      <c r="M373" s="229">
        <f t="shared" si="229"/>
        <v>68328</v>
      </c>
      <c r="N373" s="454">
        <f t="shared" si="230"/>
        <v>194</v>
      </c>
      <c r="O373" s="454">
        <f t="shared" si="231"/>
        <v>9.4672000000000001</v>
      </c>
      <c r="P373" s="454">
        <f t="shared" si="232"/>
        <v>0.16684310399999999</v>
      </c>
      <c r="Q373" s="454">
        <f t="shared" si="233"/>
        <v>204</v>
      </c>
      <c r="R373" s="230">
        <f t="shared" si="234"/>
        <v>13255632</v>
      </c>
      <c r="S373" s="230">
        <f t="shared" si="235"/>
        <v>13938912</v>
      </c>
      <c r="T373" s="429">
        <f t="shared" si="236"/>
        <v>19</v>
      </c>
      <c r="U373" s="429">
        <f t="shared" si="237"/>
        <v>8</v>
      </c>
      <c r="V373" s="430">
        <f t="array" ref="V373">MAX((IF(MNU_CODIGO_ALIMENTO_ENTREGA=CONCATENATE($E373,"_","S_"),MNU_GRAMAJE_REQUERIDO_TIPOB,"")))</f>
        <v>100</v>
      </c>
      <c r="W373" s="397">
        <f t="shared" si="238"/>
        <v>402</v>
      </c>
      <c r="X373" s="397">
        <f t="shared" si="239"/>
        <v>0</v>
      </c>
      <c r="Y373" s="397">
        <f t="shared" si="240"/>
        <v>7638</v>
      </c>
      <c r="Z373" s="454">
        <f t="shared" si="241"/>
        <v>194</v>
      </c>
      <c r="AA373" s="454">
        <f t="shared" si="242"/>
        <v>9.4672000000000001</v>
      </c>
      <c r="AB373" s="454">
        <f t="shared" si="243"/>
        <v>0.16684310399999999</v>
      </c>
      <c r="AC373" s="454">
        <f t="shared" si="244"/>
        <v>204</v>
      </c>
      <c r="AD373" s="231">
        <f t="shared" si="245"/>
        <v>1481772</v>
      </c>
      <c r="AE373" s="231">
        <f t="shared" si="246"/>
        <v>1558152</v>
      </c>
      <c r="AF373" s="427">
        <f t="shared" si="247"/>
        <v>19</v>
      </c>
      <c r="AG373" s="427">
        <f t="shared" si="248"/>
        <v>8</v>
      </c>
      <c r="AH373" s="428">
        <f t="array" ref="AH373">MAX((IF(MNU_CODIGO_ALIMENTO_ENTREGA=CONCATENATE($E373,"_","S_"),MNU_GRAMAJE_REQUERIDO_TIPOC,"")))</f>
        <v>100</v>
      </c>
      <c r="AI373" s="229">
        <f t="shared" si="249"/>
        <v>798</v>
      </c>
      <c r="AJ373" s="229">
        <f t="shared" si="250"/>
        <v>0</v>
      </c>
      <c r="AK373" s="229">
        <f t="shared" si="251"/>
        <v>15162</v>
      </c>
      <c r="AL373" s="454">
        <f t="shared" si="252"/>
        <v>194</v>
      </c>
      <c r="AM373" s="454">
        <f t="shared" si="253"/>
        <v>9.4672000000000001</v>
      </c>
      <c r="AN373" s="454">
        <f t="shared" si="254"/>
        <v>0.16684310399999999</v>
      </c>
      <c r="AO373" s="454">
        <f t="shared" si="255"/>
        <v>204</v>
      </c>
      <c r="AP373" s="454">
        <f t="shared" si="256"/>
        <v>2941428</v>
      </c>
      <c r="AQ373" s="230">
        <f t="shared" si="257"/>
        <v>3093048</v>
      </c>
      <c r="AR373" s="397">
        <f t="shared" si="258"/>
        <v>17678832</v>
      </c>
      <c r="AS373" s="397">
        <f t="shared" si="259"/>
        <v>18590112</v>
      </c>
    </row>
    <row r="374" spans="1:45" ht="15.75">
      <c r="A374" s="228">
        <v>28</v>
      </c>
      <c r="B374" s="228" t="str">
        <f t="shared" si="223"/>
        <v>FRUTA_28</v>
      </c>
      <c r="C374" s="338" t="str">
        <f t="shared" si="224"/>
        <v>43_28</v>
      </c>
      <c r="D374" s="398" t="s">
        <v>1</v>
      </c>
      <c r="E374" s="228">
        <v>43</v>
      </c>
      <c r="F374" s="332" t="s">
        <v>62</v>
      </c>
      <c r="G374" s="228" t="s">
        <v>9</v>
      </c>
      <c r="H374" s="427">
        <f t="shared" si="225"/>
        <v>29</v>
      </c>
      <c r="I374" s="427">
        <f t="shared" si="226"/>
        <v>6</v>
      </c>
      <c r="J374" s="428">
        <f t="array" ref="J374">MAX((IF(MNU_CODIGO_ALIMENTO_ENTREGA=CONCATENATE($E374,"_","S_"),MNU_GRAMAJE_REQUERIDO_TIPOA,"")))</f>
        <v>100</v>
      </c>
      <c r="K374" s="229">
        <f t="shared" si="227"/>
        <v>1898</v>
      </c>
      <c r="L374" s="229">
        <f t="shared" si="228"/>
        <v>0</v>
      </c>
      <c r="M374" s="229">
        <f t="shared" si="229"/>
        <v>55042</v>
      </c>
      <c r="N374" s="454">
        <f t="shared" si="230"/>
        <v>170</v>
      </c>
      <c r="O374" s="454">
        <f t="shared" si="231"/>
        <v>8.2959999999999994</v>
      </c>
      <c r="P374" s="454">
        <f t="shared" si="232"/>
        <v>0.14620272000000001</v>
      </c>
      <c r="Q374" s="454">
        <f t="shared" si="233"/>
        <v>178</v>
      </c>
      <c r="R374" s="230">
        <f t="shared" si="234"/>
        <v>9357140</v>
      </c>
      <c r="S374" s="230">
        <f t="shared" si="235"/>
        <v>9797476</v>
      </c>
      <c r="T374" s="429">
        <f t="shared" si="236"/>
        <v>23</v>
      </c>
      <c r="U374" s="429">
        <f t="shared" si="237"/>
        <v>1</v>
      </c>
      <c r="V374" s="430">
        <f t="array" ref="V374">MAX((IF(MNU_CODIGO_ALIMENTO_ENTREGA=CONCATENATE($E374,"_","S_"),MNU_GRAMAJE_REQUERIDO_TIPOB,"")))</f>
        <v>100</v>
      </c>
      <c r="W374" s="397">
        <f t="shared" si="238"/>
        <v>402</v>
      </c>
      <c r="X374" s="397">
        <f t="shared" si="239"/>
        <v>0</v>
      </c>
      <c r="Y374" s="397">
        <f t="shared" si="240"/>
        <v>9246</v>
      </c>
      <c r="Z374" s="454">
        <f t="shared" si="241"/>
        <v>170</v>
      </c>
      <c r="AA374" s="454">
        <f t="shared" si="242"/>
        <v>8.2959999999999994</v>
      </c>
      <c r="AB374" s="454">
        <f t="shared" si="243"/>
        <v>0.14620272000000001</v>
      </c>
      <c r="AC374" s="454">
        <f t="shared" si="244"/>
        <v>178</v>
      </c>
      <c r="AD374" s="231">
        <f t="shared" si="245"/>
        <v>1571820</v>
      </c>
      <c r="AE374" s="231">
        <f t="shared" si="246"/>
        <v>1645788</v>
      </c>
      <c r="AF374" s="427">
        <f t="shared" si="247"/>
        <v>23</v>
      </c>
      <c r="AG374" s="427">
        <f t="shared" si="248"/>
        <v>1</v>
      </c>
      <c r="AH374" s="428">
        <f t="array" ref="AH374">MAX((IF(MNU_CODIGO_ALIMENTO_ENTREGA=CONCATENATE($E374,"_","S_"),MNU_GRAMAJE_REQUERIDO_TIPOC,"")))</f>
        <v>100</v>
      </c>
      <c r="AI374" s="229">
        <f t="shared" si="249"/>
        <v>798</v>
      </c>
      <c r="AJ374" s="229">
        <f t="shared" si="250"/>
        <v>0</v>
      </c>
      <c r="AK374" s="229">
        <f t="shared" si="251"/>
        <v>18354</v>
      </c>
      <c r="AL374" s="454">
        <f t="shared" si="252"/>
        <v>170</v>
      </c>
      <c r="AM374" s="454">
        <f t="shared" si="253"/>
        <v>8.2959999999999994</v>
      </c>
      <c r="AN374" s="454">
        <f t="shared" si="254"/>
        <v>0.14620272000000001</v>
      </c>
      <c r="AO374" s="454">
        <f t="shared" si="255"/>
        <v>178</v>
      </c>
      <c r="AP374" s="454">
        <f t="shared" si="256"/>
        <v>3120180</v>
      </c>
      <c r="AQ374" s="230">
        <f t="shared" si="257"/>
        <v>3267012</v>
      </c>
      <c r="AR374" s="397">
        <f t="shared" si="258"/>
        <v>14049140</v>
      </c>
      <c r="AS374" s="397">
        <f t="shared" si="259"/>
        <v>14710276</v>
      </c>
    </row>
    <row r="375" spans="1:45" ht="15.75">
      <c r="A375" s="228">
        <v>28</v>
      </c>
      <c r="B375" s="228" t="str">
        <f t="shared" si="223"/>
        <v>FRUTA_28</v>
      </c>
      <c r="C375" s="338" t="str">
        <f t="shared" si="224"/>
        <v>46_28</v>
      </c>
      <c r="D375" s="398" t="s">
        <v>1</v>
      </c>
      <c r="E375" s="228">
        <v>46</v>
      </c>
      <c r="F375" s="332" t="s">
        <v>64</v>
      </c>
      <c r="G375" s="228" t="s">
        <v>9</v>
      </c>
      <c r="H375" s="427">
        <f t="shared" si="225"/>
        <v>29</v>
      </c>
      <c r="I375" s="427">
        <f t="shared" si="226"/>
        <v>4</v>
      </c>
      <c r="J375" s="428">
        <f t="array" ref="J375">MAX((IF(MNU_CODIGO_ALIMENTO_ENTREGA=CONCATENATE($E375,"_","S_"),MNU_GRAMAJE_REQUERIDO_TIPOA,"")))</f>
        <v>100</v>
      </c>
      <c r="K375" s="229">
        <f t="shared" si="227"/>
        <v>1898</v>
      </c>
      <c r="L375" s="229">
        <f t="shared" si="228"/>
        <v>0</v>
      </c>
      <c r="M375" s="229">
        <f t="shared" si="229"/>
        <v>55042</v>
      </c>
      <c r="N375" s="454">
        <f t="shared" si="230"/>
        <v>398</v>
      </c>
      <c r="O375" s="454">
        <f t="shared" si="231"/>
        <v>19.4224</v>
      </c>
      <c r="P375" s="454">
        <f t="shared" si="232"/>
        <v>0.34228636800000001</v>
      </c>
      <c r="Q375" s="454">
        <f t="shared" si="233"/>
        <v>418</v>
      </c>
      <c r="R375" s="230">
        <f t="shared" si="234"/>
        <v>21906716</v>
      </c>
      <c r="S375" s="230">
        <f t="shared" si="235"/>
        <v>23007556</v>
      </c>
      <c r="T375" s="429">
        <f t="shared" si="236"/>
        <v>24</v>
      </c>
      <c r="U375" s="429">
        <f t="shared" si="237"/>
        <v>3</v>
      </c>
      <c r="V375" s="430">
        <f t="array" ref="V375">MAX((IF(MNU_CODIGO_ALIMENTO_ENTREGA=CONCATENATE($E375,"_","S_"),MNU_GRAMAJE_REQUERIDO_TIPOB,"")))</f>
        <v>100</v>
      </c>
      <c r="W375" s="397">
        <f t="shared" si="238"/>
        <v>402</v>
      </c>
      <c r="X375" s="397">
        <f t="shared" si="239"/>
        <v>0</v>
      </c>
      <c r="Y375" s="397">
        <f t="shared" si="240"/>
        <v>9648</v>
      </c>
      <c r="Z375" s="454">
        <f t="shared" si="241"/>
        <v>398</v>
      </c>
      <c r="AA375" s="454">
        <f t="shared" si="242"/>
        <v>19.4224</v>
      </c>
      <c r="AB375" s="454">
        <f t="shared" si="243"/>
        <v>0.34228636800000001</v>
      </c>
      <c r="AC375" s="454">
        <f t="shared" si="244"/>
        <v>418</v>
      </c>
      <c r="AD375" s="231">
        <f t="shared" si="245"/>
        <v>3839904</v>
      </c>
      <c r="AE375" s="231">
        <f t="shared" si="246"/>
        <v>4032864</v>
      </c>
      <c r="AF375" s="427">
        <f t="shared" si="247"/>
        <v>24</v>
      </c>
      <c r="AG375" s="427">
        <f t="shared" si="248"/>
        <v>3</v>
      </c>
      <c r="AH375" s="428">
        <f t="array" ref="AH375">MAX((IF(MNU_CODIGO_ALIMENTO_ENTREGA=CONCATENATE($E375,"_","S_"),MNU_GRAMAJE_REQUERIDO_TIPOC,"")))</f>
        <v>100</v>
      </c>
      <c r="AI375" s="229">
        <f t="shared" si="249"/>
        <v>798</v>
      </c>
      <c r="AJ375" s="229">
        <f t="shared" si="250"/>
        <v>0</v>
      </c>
      <c r="AK375" s="229">
        <f t="shared" si="251"/>
        <v>19152</v>
      </c>
      <c r="AL375" s="454">
        <f t="shared" si="252"/>
        <v>398</v>
      </c>
      <c r="AM375" s="454">
        <f t="shared" si="253"/>
        <v>19.4224</v>
      </c>
      <c r="AN375" s="454">
        <f t="shared" si="254"/>
        <v>0.34228636800000001</v>
      </c>
      <c r="AO375" s="454">
        <f t="shared" si="255"/>
        <v>418</v>
      </c>
      <c r="AP375" s="454">
        <f t="shared" si="256"/>
        <v>7622496</v>
      </c>
      <c r="AQ375" s="230">
        <f t="shared" si="257"/>
        <v>8005536</v>
      </c>
      <c r="AR375" s="397">
        <f t="shared" si="258"/>
        <v>33369116</v>
      </c>
      <c r="AS375" s="397">
        <f t="shared" si="259"/>
        <v>35045956</v>
      </c>
    </row>
    <row r="376" spans="1:45" ht="15.75">
      <c r="A376" s="228">
        <v>28</v>
      </c>
      <c r="B376" s="228" t="str">
        <f t="shared" si="223"/>
        <v>FRUTA_28</v>
      </c>
      <c r="C376" s="338" t="str">
        <f t="shared" si="224"/>
        <v>58_28</v>
      </c>
      <c r="D376" s="398" t="s">
        <v>1</v>
      </c>
      <c r="E376" s="228">
        <v>58</v>
      </c>
      <c r="F376" s="332" t="s">
        <v>67</v>
      </c>
      <c r="G376" s="228" t="s">
        <v>9</v>
      </c>
      <c r="H376" s="427">
        <f t="shared" si="225"/>
        <v>28</v>
      </c>
      <c r="I376" s="427">
        <f t="shared" si="226"/>
        <v>5</v>
      </c>
      <c r="J376" s="428">
        <f t="array" ref="J376">MAX((IF(MNU_CODIGO_ALIMENTO_ENTREGA=CONCATENATE($E376,"_","S_"),MNU_GRAMAJE_REQUERIDO_TIPOA,"")))</f>
        <v>100</v>
      </c>
      <c r="K376" s="229">
        <f t="shared" si="227"/>
        <v>1898</v>
      </c>
      <c r="L376" s="229">
        <f t="shared" si="228"/>
        <v>0</v>
      </c>
      <c r="M376" s="229">
        <f t="shared" si="229"/>
        <v>53144</v>
      </c>
      <c r="N376" s="454">
        <f t="shared" si="230"/>
        <v>154</v>
      </c>
      <c r="O376" s="454">
        <f t="shared" si="231"/>
        <v>7.515200000000001</v>
      </c>
      <c r="P376" s="454">
        <f t="shared" si="232"/>
        <v>0.13244246400000001</v>
      </c>
      <c r="Q376" s="454">
        <f t="shared" si="233"/>
        <v>162</v>
      </c>
      <c r="R376" s="230">
        <f t="shared" si="234"/>
        <v>8184176</v>
      </c>
      <c r="S376" s="230">
        <f t="shared" si="235"/>
        <v>8609328</v>
      </c>
      <c r="T376" s="429">
        <f t="shared" si="236"/>
        <v>23</v>
      </c>
      <c r="U376" s="429">
        <f t="shared" si="237"/>
        <v>3</v>
      </c>
      <c r="V376" s="430">
        <f t="array" ref="V376">MAX((IF(MNU_CODIGO_ALIMENTO_ENTREGA=CONCATENATE($E376,"_","S_"),MNU_GRAMAJE_REQUERIDO_TIPOB,"")))</f>
        <v>100</v>
      </c>
      <c r="W376" s="397">
        <f t="shared" si="238"/>
        <v>402</v>
      </c>
      <c r="X376" s="397">
        <f t="shared" si="239"/>
        <v>0</v>
      </c>
      <c r="Y376" s="397">
        <f t="shared" si="240"/>
        <v>9246</v>
      </c>
      <c r="Z376" s="454">
        <f t="shared" si="241"/>
        <v>154</v>
      </c>
      <c r="AA376" s="454">
        <f t="shared" si="242"/>
        <v>7.515200000000001</v>
      </c>
      <c r="AB376" s="454">
        <f t="shared" si="243"/>
        <v>0.13244246400000001</v>
      </c>
      <c r="AC376" s="454">
        <f t="shared" si="244"/>
        <v>162</v>
      </c>
      <c r="AD376" s="231">
        <f t="shared" si="245"/>
        <v>1423884</v>
      </c>
      <c r="AE376" s="231">
        <f t="shared" si="246"/>
        <v>1497852</v>
      </c>
      <c r="AF376" s="427">
        <f t="shared" si="247"/>
        <v>23</v>
      </c>
      <c r="AG376" s="427">
        <f t="shared" si="248"/>
        <v>3</v>
      </c>
      <c r="AH376" s="428">
        <f t="array" ref="AH376">MAX((IF(MNU_CODIGO_ALIMENTO_ENTREGA=CONCATENATE($E376,"_","S_"),MNU_GRAMAJE_REQUERIDO_TIPOC,"")))</f>
        <v>100</v>
      </c>
      <c r="AI376" s="229">
        <f t="shared" si="249"/>
        <v>798</v>
      </c>
      <c r="AJ376" s="229">
        <f t="shared" si="250"/>
        <v>0</v>
      </c>
      <c r="AK376" s="229">
        <f t="shared" si="251"/>
        <v>18354</v>
      </c>
      <c r="AL376" s="454">
        <f t="shared" si="252"/>
        <v>154</v>
      </c>
      <c r="AM376" s="454">
        <f t="shared" si="253"/>
        <v>7.515200000000001</v>
      </c>
      <c r="AN376" s="454">
        <f t="shared" si="254"/>
        <v>0.13244246400000001</v>
      </c>
      <c r="AO376" s="454">
        <f t="shared" si="255"/>
        <v>162</v>
      </c>
      <c r="AP376" s="454">
        <f t="shared" si="256"/>
        <v>2826516</v>
      </c>
      <c r="AQ376" s="230">
        <f t="shared" si="257"/>
        <v>2973348</v>
      </c>
      <c r="AR376" s="397">
        <f t="shared" si="258"/>
        <v>12434576</v>
      </c>
      <c r="AS376" s="397">
        <f t="shared" si="259"/>
        <v>13080528</v>
      </c>
    </row>
    <row r="377" spans="1:45" ht="15.75">
      <c r="A377" s="228">
        <v>28</v>
      </c>
      <c r="B377" s="228" t="str">
        <f t="shared" si="223"/>
        <v>FRUTA_28</v>
      </c>
      <c r="C377" s="338" t="str">
        <f t="shared" si="224"/>
        <v>59_28</v>
      </c>
      <c r="D377" s="398" t="s">
        <v>1</v>
      </c>
      <c r="E377" s="228">
        <v>59</v>
      </c>
      <c r="F377" s="332" t="s">
        <v>99</v>
      </c>
      <c r="G377" s="228" t="s">
        <v>9</v>
      </c>
      <c r="H377" s="427">
        <f t="shared" si="225"/>
        <v>0</v>
      </c>
      <c r="I377" s="427">
        <f t="shared" si="226"/>
        <v>0</v>
      </c>
      <c r="J377" s="428">
        <f t="array" ref="J377">MAX((IF(MNU_CODIGO_ALIMENTO_ENTREGA=CONCATENATE($E377,"_","S_"),MNU_GRAMAJE_REQUERIDO_TIPOA,"")))</f>
        <v>0</v>
      </c>
      <c r="K377" s="229">
        <f t="shared" si="227"/>
        <v>1898</v>
      </c>
      <c r="L377" s="229">
        <f t="shared" si="228"/>
        <v>0</v>
      </c>
      <c r="M377" s="229">
        <f t="shared" si="229"/>
        <v>0</v>
      </c>
      <c r="N377" s="454">
        <f t="shared" si="230"/>
        <v>0</v>
      </c>
      <c r="O377" s="454">
        <f t="shared" si="231"/>
        <v>0</v>
      </c>
      <c r="P377" s="454">
        <f t="shared" si="232"/>
        <v>0</v>
      </c>
      <c r="Q377" s="454">
        <f t="shared" si="233"/>
        <v>0</v>
      </c>
      <c r="R377" s="230">
        <f t="shared" si="234"/>
        <v>0</v>
      </c>
      <c r="S377" s="230">
        <f t="shared" si="235"/>
        <v>0</v>
      </c>
      <c r="T377" s="429">
        <f t="shared" si="236"/>
        <v>11</v>
      </c>
      <c r="U377" s="429">
        <f t="shared" si="237"/>
        <v>0</v>
      </c>
      <c r="V377" s="430">
        <f t="array" ref="V377">MAX((IF(MNU_CODIGO_ALIMENTO_ENTREGA=CONCATENATE($E377,"_","S_"),MNU_GRAMAJE_REQUERIDO_TIPOB,"")))</f>
        <v>100</v>
      </c>
      <c r="W377" s="397">
        <f t="shared" si="238"/>
        <v>402</v>
      </c>
      <c r="X377" s="397">
        <f t="shared" si="239"/>
        <v>0</v>
      </c>
      <c r="Y377" s="397">
        <f t="shared" si="240"/>
        <v>4422</v>
      </c>
      <c r="Z377" s="454">
        <f t="shared" si="241"/>
        <v>286</v>
      </c>
      <c r="AA377" s="454">
        <f t="shared" si="242"/>
        <v>13.956800000000001</v>
      </c>
      <c r="AB377" s="454">
        <f t="shared" si="243"/>
        <v>0.24596457599999999</v>
      </c>
      <c r="AC377" s="454">
        <f t="shared" si="244"/>
        <v>300</v>
      </c>
      <c r="AD377" s="231">
        <f t="shared" si="245"/>
        <v>1264692</v>
      </c>
      <c r="AE377" s="231">
        <f t="shared" si="246"/>
        <v>1326600</v>
      </c>
      <c r="AF377" s="427">
        <f t="shared" si="247"/>
        <v>11</v>
      </c>
      <c r="AG377" s="427">
        <f t="shared" si="248"/>
        <v>0</v>
      </c>
      <c r="AH377" s="428">
        <f t="array" ref="AH377">MAX((IF(MNU_CODIGO_ALIMENTO_ENTREGA=CONCATENATE($E377,"_","S_"),MNU_GRAMAJE_REQUERIDO_TIPOC,"")))</f>
        <v>100</v>
      </c>
      <c r="AI377" s="229">
        <f t="shared" si="249"/>
        <v>798</v>
      </c>
      <c r="AJ377" s="229">
        <f t="shared" si="250"/>
        <v>0</v>
      </c>
      <c r="AK377" s="229">
        <f t="shared" si="251"/>
        <v>8778</v>
      </c>
      <c r="AL377" s="454">
        <f t="shared" si="252"/>
        <v>286</v>
      </c>
      <c r="AM377" s="454">
        <f t="shared" si="253"/>
        <v>13.956800000000001</v>
      </c>
      <c r="AN377" s="454">
        <f t="shared" si="254"/>
        <v>0.24596457599999999</v>
      </c>
      <c r="AO377" s="454">
        <f t="shared" si="255"/>
        <v>300</v>
      </c>
      <c r="AP377" s="454">
        <f t="shared" si="256"/>
        <v>2510508</v>
      </c>
      <c r="AQ377" s="230">
        <f t="shared" si="257"/>
        <v>2633400</v>
      </c>
      <c r="AR377" s="397">
        <f t="shared" si="258"/>
        <v>3775200</v>
      </c>
      <c r="AS377" s="397">
        <f t="shared" si="259"/>
        <v>3960000</v>
      </c>
    </row>
    <row r="378" spans="1:45" ht="15.75">
      <c r="A378" s="228">
        <v>28</v>
      </c>
      <c r="B378" s="228" t="str">
        <f t="shared" si="223"/>
        <v>FRUTA_28</v>
      </c>
      <c r="C378" s="338" t="str">
        <f t="shared" si="224"/>
        <v>69_28</v>
      </c>
      <c r="D378" s="398" t="s">
        <v>1</v>
      </c>
      <c r="E378" s="228">
        <v>69</v>
      </c>
      <c r="F378" s="332" t="s">
        <v>70</v>
      </c>
      <c r="G378" s="228" t="s">
        <v>9</v>
      </c>
      <c r="H378" s="427">
        <f t="shared" si="225"/>
        <v>18</v>
      </c>
      <c r="I378" s="427">
        <f t="shared" si="226"/>
        <v>2</v>
      </c>
      <c r="J378" s="428">
        <f t="array" ref="J378">MAX((IF(MNU_CODIGO_ALIMENTO_ENTREGA=CONCATENATE($E378,"_","S_"),MNU_GRAMAJE_REQUERIDO_TIPOA,"")))</f>
        <v>100</v>
      </c>
      <c r="K378" s="229">
        <f t="shared" si="227"/>
        <v>1898</v>
      </c>
      <c r="L378" s="229">
        <f t="shared" si="228"/>
        <v>0</v>
      </c>
      <c r="M378" s="229">
        <f t="shared" si="229"/>
        <v>34164</v>
      </c>
      <c r="N378" s="454">
        <f t="shared" si="230"/>
        <v>305</v>
      </c>
      <c r="O378" s="454">
        <f t="shared" si="231"/>
        <v>14.884</v>
      </c>
      <c r="P378" s="454">
        <f t="shared" si="232"/>
        <v>0.26230488000000002</v>
      </c>
      <c r="Q378" s="454">
        <f t="shared" si="233"/>
        <v>320</v>
      </c>
      <c r="R378" s="230">
        <f t="shared" si="234"/>
        <v>10420020</v>
      </c>
      <c r="S378" s="230">
        <f t="shared" si="235"/>
        <v>10932480</v>
      </c>
      <c r="T378" s="429">
        <f t="shared" si="236"/>
        <v>12</v>
      </c>
      <c r="U378" s="429">
        <f t="shared" si="237"/>
        <v>2</v>
      </c>
      <c r="V378" s="430">
        <f t="array" ref="V378">MAX((IF(MNU_CODIGO_ALIMENTO_ENTREGA=CONCATENATE($E378,"_","S_"),MNU_GRAMAJE_REQUERIDO_TIPOB,"")))</f>
        <v>100</v>
      </c>
      <c r="W378" s="397">
        <f t="shared" si="238"/>
        <v>402</v>
      </c>
      <c r="X378" s="397">
        <f t="shared" si="239"/>
        <v>0</v>
      </c>
      <c r="Y378" s="397">
        <f t="shared" si="240"/>
        <v>4824</v>
      </c>
      <c r="Z378" s="454">
        <f t="shared" si="241"/>
        <v>305</v>
      </c>
      <c r="AA378" s="454">
        <f t="shared" si="242"/>
        <v>14.884</v>
      </c>
      <c r="AB378" s="454">
        <f t="shared" si="243"/>
        <v>0.26230488000000002</v>
      </c>
      <c r="AC378" s="454">
        <f t="shared" si="244"/>
        <v>320</v>
      </c>
      <c r="AD378" s="231">
        <f t="shared" si="245"/>
        <v>1471320</v>
      </c>
      <c r="AE378" s="231">
        <f t="shared" si="246"/>
        <v>1543680</v>
      </c>
      <c r="AF378" s="427">
        <f t="shared" si="247"/>
        <v>12</v>
      </c>
      <c r="AG378" s="427">
        <f t="shared" si="248"/>
        <v>2</v>
      </c>
      <c r="AH378" s="428">
        <f t="array" ref="AH378">MAX((IF(MNU_CODIGO_ALIMENTO_ENTREGA=CONCATENATE($E378,"_","S_"),MNU_GRAMAJE_REQUERIDO_TIPOC,"")))</f>
        <v>100</v>
      </c>
      <c r="AI378" s="229">
        <f t="shared" si="249"/>
        <v>798</v>
      </c>
      <c r="AJ378" s="229">
        <f t="shared" si="250"/>
        <v>0</v>
      </c>
      <c r="AK378" s="229">
        <f t="shared" si="251"/>
        <v>9576</v>
      </c>
      <c r="AL378" s="454">
        <f t="shared" si="252"/>
        <v>305</v>
      </c>
      <c r="AM378" s="454">
        <f t="shared" si="253"/>
        <v>14.884</v>
      </c>
      <c r="AN378" s="454">
        <f t="shared" si="254"/>
        <v>0.26230488000000002</v>
      </c>
      <c r="AO378" s="454">
        <f t="shared" si="255"/>
        <v>320</v>
      </c>
      <c r="AP378" s="454">
        <f t="shared" si="256"/>
        <v>2920680</v>
      </c>
      <c r="AQ378" s="230">
        <f t="shared" si="257"/>
        <v>3064320</v>
      </c>
      <c r="AR378" s="397">
        <f t="shared" si="258"/>
        <v>14812020</v>
      </c>
      <c r="AS378" s="397">
        <f t="shared" si="259"/>
        <v>15540480</v>
      </c>
    </row>
    <row r="379" spans="1:45" ht="15.75">
      <c r="A379" s="228">
        <v>28</v>
      </c>
      <c r="B379" s="228" t="str">
        <f t="shared" si="223"/>
        <v>FRUTA_28</v>
      </c>
      <c r="C379" s="338" t="str">
        <f t="shared" si="224"/>
        <v>70_28</v>
      </c>
      <c r="D379" s="398" t="s">
        <v>1</v>
      </c>
      <c r="E379" s="228">
        <v>70</v>
      </c>
      <c r="F379" s="332" t="s">
        <v>71</v>
      </c>
      <c r="G379" s="228" t="s">
        <v>9</v>
      </c>
      <c r="H379" s="427">
        <f t="shared" si="225"/>
        <v>0</v>
      </c>
      <c r="I379" s="427">
        <f t="shared" si="226"/>
        <v>0</v>
      </c>
      <c r="J379" s="428">
        <f t="array" ref="J379">MAX((IF(MNU_CODIGO_ALIMENTO_ENTREGA=CONCATENATE($E379,"_","S_"),MNU_GRAMAJE_REQUERIDO_TIPOA,"")))</f>
        <v>0</v>
      </c>
      <c r="K379" s="229">
        <f t="shared" si="227"/>
        <v>1898</v>
      </c>
      <c r="L379" s="229">
        <f t="shared" si="228"/>
        <v>0</v>
      </c>
      <c r="M379" s="229">
        <f t="shared" si="229"/>
        <v>0</v>
      </c>
      <c r="N379" s="454">
        <f t="shared" si="230"/>
        <v>0</v>
      </c>
      <c r="O379" s="454">
        <f t="shared" si="231"/>
        <v>0</v>
      </c>
      <c r="P379" s="454">
        <f t="shared" si="232"/>
        <v>0</v>
      </c>
      <c r="Q379" s="454">
        <f t="shared" si="233"/>
        <v>0</v>
      </c>
      <c r="R379" s="230">
        <f t="shared" si="234"/>
        <v>0</v>
      </c>
      <c r="S379" s="230">
        <f t="shared" si="235"/>
        <v>0</v>
      </c>
      <c r="T379" s="429">
        <f t="shared" si="236"/>
        <v>8</v>
      </c>
      <c r="U379" s="429">
        <f t="shared" si="237"/>
        <v>4</v>
      </c>
      <c r="V379" s="430">
        <f t="array" ref="V379">MAX((IF(MNU_CODIGO_ALIMENTO_ENTREGA=CONCATENATE($E379,"_","S_"),MNU_GRAMAJE_REQUERIDO_TIPOB,"")))</f>
        <v>100</v>
      </c>
      <c r="W379" s="397">
        <f t="shared" si="238"/>
        <v>402</v>
      </c>
      <c r="X379" s="397">
        <f t="shared" si="239"/>
        <v>0</v>
      </c>
      <c r="Y379" s="397">
        <f t="shared" si="240"/>
        <v>3216</v>
      </c>
      <c r="Z379" s="454">
        <f t="shared" si="241"/>
        <v>434</v>
      </c>
      <c r="AA379" s="454">
        <f t="shared" si="242"/>
        <v>21.179200000000002</v>
      </c>
      <c r="AB379" s="454">
        <f t="shared" si="243"/>
        <v>0.37324694399999997</v>
      </c>
      <c r="AC379" s="454">
        <f t="shared" si="244"/>
        <v>456</v>
      </c>
      <c r="AD379" s="231">
        <f t="shared" si="245"/>
        <v>1395744</v>
      </c>
      <c r="AE379" s="231">
        <f t="shared" si="246"/>
        <v>1466496</v>
      </c>
      <c r="AF379" s="427">
        <f t="shared" si="247"/>
        <v>8</v>
      </c>
      <c r="AG379" s="427">
        <f t="shared" si="248"/>
        <v>4</v>
      </c>
      <c r="AH379" s="428">
        <f t="array" ref="AH379">MAX((IF(MNU_CODIGO_ALIMENTO_ENTREGA=CONCATENATE($E379,"_","S_"),MNU_GRAMAJE_REQUERIDO_TIPOC,"")))</f>
        <v>100</v>
      </c>
      <c r="AI379" s="229">
        <f t="shared" si="249"/>
        <v>798</v>
      </c>
      <c r="AJ379" s="229">
        <f t="shared" si="250"/>
        <v>0</v>
      </c>
      <c r="AK379" s="229">
        <f t="shared" si="251"/>
        <v>6384</v>
      </c>
      <c r="AL379" s="454">
        <f t="shared" si="252"/>
        <v>434</v>
      </c>
      <c r="AM379" s="454">
        <f t="shared" si="253"/>
        <v>21.179200000000002</v>
      </c>
      <c r="AN379" s="454">
        <f t="shared" si="254"/>
        <v>0.37324694399999997</v>
      </c>
      <c r="AO379" s="454">
        <f t="shared" si="255"/>
        <v>456</v>
      </c>
      <c r="AP379" s="454">
        <f t="shared" si="256"/>
        <v>2770656</v>
      </c>
      <c r="AQ379" s="230">
        <f t="shared" si="257"/>
        <v>2911104</v>
      </c>
      <c r="AR379" s="397">
        <f t="shared" si="258"/>
        <v>4166400</v>
      </c>
      <c r="AS379" s="397">
        <f t="shared" si="259"/>
        <v>4377600</v>
      </c>
    </row>
    <row r="380" spans="1:45" ht="15.75">
      <c r="A380" s="228">
        <v>29</v>
      </c>
      <c r="B380" s="228" t="str">
        <f t="shared" si="223"/>
        <v>FRUTA_29</v>
      </c>
      <c r="C380" s="338" t="str">
        <f t="shared" si="224"/>
        <v>7_29</v>
      </c>
      <c r="D380" s="398" t="s">
        <v>1</v>
      </c>
      <c r="E380" s="228">
        <v>7</v>
      </c>
      <c r="F380" s="332" t="s">
        <v>57</v>
      </c>
      <c r="G380" s="228" t="s">
        <v>9</v>
      </c>
      <c r="H380" s="427">
        <f t="shared" si="225"/>
        <v>31</v>
      </c>
      <c r="I380" s="427">
        <f t="shared" si="226"/>
        <v>0</v>
      </c>
      <c r="J380" s="428">
        <f t="array" ref="J380">MAX((IF(MNU_CODIGO_ALIMENTO_ENTREGA=CONCATENATE($E380,"_","S_"),MNU_GRAMAJE_REQUERIDO_TIPOA,"")))</f>
        <v>100</v>
      </c>
      <c r="K380" s="229">
        <f t="shared" si="227"/>
        <v>1277</v>
      </c>
      <c r="L380" s="229">
        <f t="shared" si="228"/>
        <v>0</v>
      </c>
      <c r="M380" s="229">
        <f t="shared" si="229"/>
        <v>39587</v>
      </c>
      <c r="N380" s="454">
        <f t="shared" si="230"/>
        <v>107</v>
      </c>
      <c r="O380" s="454">
        <f t="shared" si="231"/>
        <v>5.2216000000000005</v>
      </c>
      <c r="P380" s="454">
        <f t="shared" si="232"/>
        <v>9.2021712000000006E-2</v>
      </c>
      <c r="Q380" s="454">
        <f t="shared" si="233"/>
        <v>112</v>
      </c>
      <c r="R380" s="230">
        <f t="shared" si="234"/>
        <v>4235809</v>
      </c>
      <c r="S380" s="230">
        <f t="shared" si="235"/>
        <v>4433744</v>
      </c>
      <c r="T380" s="429">
        <f t="shared" si="236"/>
        <v>11</v>
      </c>
      <c r="U380" s="429">
        <f t="shared" si="237"/>
        <v>0</v>
      </c>
      <c r="V380" s="430">
        <f t="array" ref="V380">MAX((IF(MNU_CODIGO_ALIMENTO_ENTREGA=CONCATENATE($E380,"_","S_"),MNU_GRAMAJE_REQUERIDO_TIPOB,"")))</f>
        <v>100</v>
      </c>
      <c r="W380" s="397">
        <f t="shared" si="238"/>
        <v>716</v>
      </c>
      <c r="X380" s="397">
        <f t="shared" si="239"/>
        <v>0</v>
      </c>
      <c r="Y380" s="397">
        <f t="shared" si="240"/>
        <v>7876</v>
      </c>
      <c r="Z380" s="454">
        <f t="shared" si="241"/>
        <v>107</v>
      </c>
      <c r="AA380" s="454">
        <f t="shared" si="242"/>
        <v>5.2216000000000005</v>
      </c>
      <c r="AB380" s="454">
        <f t="shared" si="243"/>
        <v>9.2021712000000006E-2</v>
      </c>
      <c r="AC380" s="454">
        <f t="shared" si="244"/>
        <v>112</v>
      </c>
      <c r="AD380" s="231">
        <f t="shared" si="245"/>
        <v>842732</v>
      </c>
      <c r="AE380" s="231">
        <f t="shared" si="246"/>
        <v>882112</v>
      </c>
      <c r="AF380" s="427">
        <f t="shared" si="247"/>
        <v>11</v>
      </c>
      <c r="AG380" s="427">
        <f t="shared" si="248"/>
        <v>0</v>
      </c>
      <c r="AH380" s="428">
        <f t="array" ref="AH380">MAX((IF(MNU_CODIGO_ALIMENTO_ENTREGA=CONCATENATE($E380,"_","S_"),MNU_GRAMAJE_REQUERIDO_TIPOC,"")))</f>
        <v>100</v>
      </c>
      <c r="AI380" s="229">
        <f t="shared" si="249"/>
        <v>409</v>
      </c>
      <c r="AJ380" s="229">
        <f t="shared" si="250"/>
        <v>0</v>
      </c>
      <c r="AK380" s="229">
        <f t="shared" si="251"/>
        <v>4499</v>
      </c>
      <c r="AL380" s="454">
        <f t="shared" si="252"/>
        <v>107</v>
      </c>
      <c r="AM380" s="454">
        <f t="shared" si="253"/>
        <v>5.2216000000000005</v>
      </c>
      <c r="AN380" s="454">
        <f t="shared" si="254"/>
        <v>9.2021712000000006E-2</v>
      </c>
      <c r="AO380" s="454">
        <f t="shared" si="255"/>
        <v>112</v>
      </c>
      <c r="AP380" s="454">
        <f t="shared" si="256"/>
        <v>481393</v>
      </c>
      <c r="AQ380" s="230">
        <f t="shared" si="257"/>
        <v>503888</v>
      </c>
      <c r="AR380" s="397">
        <f t="shared" si="258"/>
        <v>5559934</v>
      </c>
      <c r="AS380" s="397">
        <f t="shared" si="259"/>
        <v>5819744</v>
      </c>
    </row>
    <row r="381" spans="1:45" ht="15.75">
      <c r="A381" s="228">
        <v>29</v>
      </c>
      <c r="B381" s="228" t="str">
        <f t="shared" si="223"/>
        <v>FRUTA_29</v>
      </c>
      <c r="C381" s="338" t="str">
        <f t="shared" si="224"/>
        <v>8_29</v>
      </c>
      <c r="D381" s="398" t="s">
        <v>1</v>
      </c>
      <c r="E381" s="228">
        <v>8</v>
      </c>
      <c r="F381" s="332" t="s">
        <v>55</v>
      </c>
      <c r="G381" s="228" t="s">
        <v>9</v>
      </c>
      <c r="H381" s="427">
        <f t="shared" si="225"/>
        <v>11</v>
      </c>
      <c r="I381" s="427">
        <f t="shared" si="226"/>
        <v>0</v>
      </c>
      <c r="J381" s="428">
        <f t="array" ref="J381">MAX((IF(MNU_CODIGO_ALIMENTO_ENTREGA=CONCATENATE($E381,"_","S_"),MNU_GRAMAJE_REQUERIDO_TIPOA,"")))</f>
        <v>100</v>
      </c>
      <c r="K381" s="229">
        <f t="shared" si="227"/>
        <v>1277</v>
      </c>
      <c r="L381" s="229">
        <f t="shared" si="228"/>
        <v>0</v>
      </c>
      <c r="M381" s="229">
        <f t="shared" si="229"/>
        <v>14047</v>
      </c>
      <c r="N381" s="454">
        <f t="shared" si="230"/>
        <v>134</v>
      </c>
      <c r="O381" s="454">
        <f t="shared" si="231"/>
        <v>6.539200000000001</v>
      </c>
      <c r="P381" s="454">
        <f t="shared" si="232"/>
        <v>0.115242144</v>
      </c>
      <c r="Q381" s="454">
        <f t="shared" si="233"/>
        <v>141</v>
      </c>
      <c r="R381" s="230">
        <f t="shared" si="234"/>
        <v>1882298</v>
      </c>
      <c r="S381" s="230">
        <f t="shared" si="235"/>
        <v>1980627</v>
      </c>
      <c r="T381" s="429">
        <f t="shared" si="236"/>
        <v>11</v>
      </c>
      <c r="U381" s="429">
        <f t="shared" si="237"/>
        <v>0</v>
      </c>
      <c r="V381" s="430">
        <f t="array" ref="V381">MAX((IF(MNU_CODIGO_ALIMENTO_ENTREGA=CONCATENATE($E381,"_","S_"),MNU_GRAMAJE_REQUERIDO_TIPOB,"")))</f>
        <v>100</v>
      </c>
      <c r="W381" s="397">
        <f t="shared" si="238"/>
        <v>716</v>
      </c>
      <c r="X381" s="397">
        <f t="shared" si="239"/>
        <v>0</v>
      </c>
      <c r="Y381" s="397">
        <f t="shared" si="240"/>
        <v>7876</v>
      </c>
      <c r="Z381" s="454">
        <f t="shared" si="241"/>
        <v>134</v>
      </c>
      <c r="AA381" s="454">
        <f t="shared" si="242"/>
        <v>6.539200000000001</v>
      </c>
      <c r="AB381" s="454">
        <f t="shared" si="243"/>
        <v>0.115242144</v>
      </c>
      <c r="AC381" s="454">
        <f t="shared" si="244"/>
        <v>141</v>
      </c>
      <c r="AD381" s="231">
        <f t="shared" si="245"/>
        <v>1055384</v>
      </c>
      <c r="AE381" s="231">
        <f t="shared" si="246"/>
        <v>1110516</v>
      </c>
      <c r="AF381" s="427">
        <f t="shared" si="247"/>
        <v>11</v>
      </c>
      <c r="AG381" s="427">
        <f t="shared" si="248"/>
        <v>0</v>
      </c>
      <c r="AH381" s="428">
        <f t="array" ref="AH381">MAX((IF(MNU_CODIGO_ALIMENTO_ENTREGA=CONCATENATE($E381,"_","S_"),MNU_GRAMAJE_REQUERIDO_TIPOC,"")))</f>
        <v>100</v>
      </c>
      <c r="AI381" s="229">
        <f t="shared" si="249"/>
        <v>409</v>
      </c>
      <c r="AJ381" s="229">
        <f t="shared" si="250"/>
        <v>0</v>
      </c>
      <c r="AK381" s="229">
        <f t="shared" si="251"/>
        <v>4499</v>
      </c>
      <c r="AL381" s="454">
        <f t="shared" si="252"/>
        <v>134</v>
      </c>
      <c r="AM381" s="454">
        <f t="shared" si="253"/>
        <v>6.539200000000001</v>
      </c>
      <c r="AN381" s="454">
        <f t="shared" si="254"/>
        <v>0.115242144</v>
      </c>
      <c r="AO381" s="454">
        <f t="shared" si="255"/>
        <v>141</v>
      </c>
      <c r="AP381" s="454">
        <f t="shared" si="256"/>
        <v>602866</v>
      </c>
      <c r="AQ381" s="230">
        <f t="shared" si="257"/>
        <v>634359</v>
      </c>
      <c r="AR381" s="397">
        <f t="shared" si="258"/>
        <v>3540548</v>
      </c>
      <c r="AS381" s="397">
        <f t="shared" si="259"/>
        <v>3725502</v>
      </c>
    </row>
    <row r="382" spans="1:45" ht="15.75">
      <c r="A382" s="228">
        <v>29</v>
      </c>
      <c r="B382" s="228" t="str">
        <f t="shared" si="223"/>
        <v>FRUTA_29</v>
      </c>
      <c r="C382" s="338" t="str">
        <f t="shared" si="224"/>
        <v>17_29</v>
      </c>
      <c r="D382" s="398" t="s">
        <v>1</v>
      </c>
      <c r="E382" s="228">
        <v>17</v>
      </c>
      <c r="F382" s="332" t="s">
        <v>53</v>
      </c>
      <c r="G382" s="228" t="s">
        <v>9</v>
      </c>
      <c r="H382" s="427">
        <f t="shared" si="225"/>
        <v>0</v>
      </c>
      <c r="I382" s="427">
        <f t="shared" si="226"/>
        <v>0</v>
      </c>
      <c r="J382" s="428">
        <f t="array" ref="J382">MAX((IF(MNU_CODIGO_ALIMENTO_ENTREGA=CONCATENATE($E382,"_","S_"),MNU_GRAMAJE_REQUERIDO_TIPOA,"")))</f>
        <v>0</v>
      </c>
      <c r="K382" s="229">
        <f t="shared" si="227"/>
        <v>1277</v>
      </c>
      <c r="L382" s="229">
        <f t="shared" si="228"/>
        <v>0</v>
      </c>
      <c r="M382" s="229">
        <f t="shared" si="229"/>
        <v>0</v>
      </c>
      <c r="N382" s="454">
        <f t="shared" si="230"/>
        <v>0</v>
      </c>
      <c r="O382" s="454">
        <f t="shared" si="231"/>
        <v>0</v>
      </c>
      <c r="P382" s="454">
        <f t="shared" si="232"/>
        <v>0</v>
      </c>
      <c r="Q382" s="454">
        <f t="shared" si="233"/>
        <v>0</v>
      </c>
      <c r="R382" s="230">
        <f t="shared" si="234"/>
        <v>0</v>
      </c>
      <c r="S382" s="230">
        <f t="shared" si="235"/>
        <v>0</v>
      </c>
      <c r="T382" s="429">
        <f t="shared" si="236"/>
        <v>23</v>
      </c>
      <c r="U382" s="429">
        <f t="shared" si="237"/>
        <v>4</v>
      </c>
      <c r="V382" s="430">
        <f t="array" ref="V382">MAX((IF(MNU_CODIGO_ALIMENTO_ENTREGA=CONCATENATE($E382,"_","S_"),MNU_GRAMAJE_REQUERIDO_TIPOB,"")))</f>
        <v>100</v>
      </c>
      <c r="W382" s="397">
        <f t="shared" si="238"/>
        <v>716</v>
      </c>
      <c r="X382" s="397">
        <f t="shared" si="239"/>
        <v>0</v>
      </c>
      <c r="Y382" s="397">
        <f t="shared" si="240"/>
        <v>16468</v>
      </c>
      <c r="Z382" s="454">
        <f t="shared" si="241"/>
        <v>226</v>
      </c>
      <c r="AA382" s="454">
        <f t="shared" si="242"/>
        <v>11.0288</v>
      </c>
      <c r="AB382" s="454">
        <f t="shared" si="243"/>
        <v>0.19436361600000002</v>
      </c>
      <c r="AC382" s="454">
        <f t="shared" si="244"/>
        <v>237</v>
      </c>
      <c r="AD382" s="231">
        <f t="shared" si="245"/>
        <v>3721768</v>
      </c>
      <c r="AE382" s="231">
        <f t="shared" si="246"/>
        <v>3902916</v>
      </c>
      <c r="AF382" s="427">
        <f t="shared" si="247"/>
        <v>23</v>
      </c>
      <c r="AG382" s="427">
        <f t="shared" si="248"/>
        <v>4</v>
      </c>
      <c r="AH382" s="428">
        <f t="array" ref="AH382">MAX((IF(MNU_CODIGO_ALIMENTO_ENTREGA=CONCATENATE($E382,"_","S_"),MNU_GRAMAJE_REQUERIDO_TIPOC,"")))</f>
        <v>100</v>
      </c>
      <c r="AI382" s="229">
        <f t="shared" si="249"/>
        <v>409</v>
      </c>
      <c r="AJ382" s="229">
        <f t="shared" si="250"/>
        <v>0</v>
      </c>
      <c r="AK382" s="229">
        <f t="shared" si="251"/>
        <v>9407</v>
      </c>
      <c r="AL382" s="454">
        <f t="shared" si="252"/>
        <v>226</v>
      </c>
      <c r="AM382" s="454">
        <f t="shared" si="253"/>
        <v>11.0288</v>
      </c>
      <c r="AN382" s="454">
        <f t="shared" si="254"/>
        <v>0.19436361600000002</v>
      </c>
      <c r="AO382" s="454">
        <f t="shared" si="255"/>
        <v>237</v>
      </c>
      <c r="AP382" s="454">
        <f t="shared" si="256"/>
        <v>2125982</v>
      </c>
      <c r="AQ382" s="230">
        <f t="shared" si="257"/>
        <v>2229459</v>
      </c>
      <c r="AR382" s="397">
        <f t="shared" si="258"/>
        <v>5847750</v>
      </c>
      <c r="AS382" s="397">
        <f t="shared" si="259"/>
        <v>6132375</v>
      </c>
    </row>
    <row r="383" spans="1:45" ht="15.75">
      <c r="A383" s="228">
        <v>29</v>
      </c>
      <c r="B383" s="228" t="str">
        <f t="shared" si="223"/>
        <v>FRUTA_29</v>
      </c>
      <c r="C383" s="338" t="str">
        <f t="shared" si="224"/>
        <v>22_29</v>
      </c>
      <c r="D383" s="398" t="s">
        <v>1</v>
      </c>
      <c r="E383" s="228">
        <v>22</v>
      </c>
      <c r="F383" s="332" t="s">
        <v>51</v>
      </c>
      <c r="G383" s="228" t="s">
        <v>9</v>
      </c>
      <c r="H383" s="427">
        <f t="shared" si="225"/>
        <v>0</v>
      </c>
      <c r="I383" s="427">
        <f t="shared" si="226"/>
        <v>0</v>
      </c>
      <c r="J383" s="428">
        <f t="array" ref="J383">MAX((IF(MNU_CODIGO_ALIMENTO_ENTREGA=CONCATENATE($E383,"_","S_"),MNU_GRAMAJE_REQUERIDO_TIPOA,"")))</f>
        <v>0</v>
      </c>
      <c r="K383" s="229">
        <f t="shared" si="227"/>
        <v>1277</v>
      </c>
      <c r="L383" s="229">
        <f t="shared" si="228"/>
        <v>0</v>
      </c>
      <c r="M383" s="229">
        <f t="shared" si="229"/>
        <v>0</v>
      </c>
      <c r="N383" s="454">
        <f t="shared" si="230"/>
        <v>0</v>
      </c>
      <c r="O383" s="454">
        <f t="shared" si="231"/>
        <v>0</v>
      </c>
      <c r="P383" s="454">
        <f t="shared" si="232"/>
        <v>0</v>
      </c>
      <c r="Q383" s="454">
        <f t="shared" si="233"/>
        <v>0</v>
      </c>
      <c r="R383" s="230">
        <f t="shared" si="234"/>
        <v>0</v>
      </c>
      <c r="S383" s="230">
        <f t="shared" si="235"/>
        <v>0</v>
      </c>
      <c r="T383" s="429">
        <f t="shared" si="236"/>
        <v>23</v>
      </c>
      <c r="U383" s="429">
        <f t="shared" si="237"/>
        <v>4</v>
      </c>
      <c r="V383" s="430">
        <f t="array" ref="V383">MAX((IF(MNU_CODIGO_ALIMENTO_ENTREGA=CONCATENATE($E383,"_","S_"),MNU_GRAMAJE_REQUERIDO_TIPOB,"")))</f>
        <v>100</v>
      </c>
      <c r="W383" s="397">
        <f t="shared" si="238"/>
        <v>716</v>
      </c>
      <c r="X383" s="397">
        <f t="shared" si="239"/>
        <v>0</v>
      </c>
      <c r="Y383" s="397">
        <f t="shared" si="240"/>
        <v>16468</v>
      </c>
      <c r="Z383" s="454">
        <f t="shared" si="241"/>
        <v>525</v>
      </c>
      <c r="AA383" s="454">
        <f t="shared" si="242"/>
        <v>25.62</v>
      </c>
      <c r="AB383" s="454">
        <f t="shared" si="243"/>
        <v>0.45150840000000003</v>
      </c>
      <c r="AC383" s="454">
        <f t="shared" si="244"/>
        <v>551</v>
      </c>
      <c r="AD383" s="231">
        <f t="shared" si="245"/>
        <v>8645700</v>
      </c>
      <c r="AE383" s="231">
        <f t="shared" si="246"/>
        <v>9073868</v>
      </c>
      <c r="AF383" s="427">
        <f t="shared" si="247"/>
        <v>23</v>
      </c>
      <c r="AG383" s="427">
        <f t="shared" si="248"/>
        <v>4</v>
      </c>
      <c r="AH383" s="428">
        <f t="array" ref="AH383">MAX((IF(MNU_CODIGO_ALIMENTO_ENTREGA=CONCATENATE($E383,"_","S_"),MNU_GRAMAJE_REQUERIDO_TIPOC,"")))</f>
        <v>100</v>
      </c>
      <c r="AI383" s="229">
        <f t="shared" si="249"/>
        <v>409</v>
      </c>
      <c r="AJ383" s="229">
        <f t="shared" si="250"/>
        <v>0</v>
      </c>
      <c r="AK383" s="229">
        <f t="shared" si="251"/>
        <v>9407</v>
      </c>
      <c r="AL383" s="454">
        <f t="shared" si="252"/>
        <v>525</v>
      </c>
      <c r="AM383" s="454">
        <f t="shared" si="253"/>
        <v>25.62</v>
      </c>
      <c r="AN383" s="454">
        <f t="shared" si="254"/>
        <v>0.45150840000000003</v>
      </c>
      <c r="AO383" s="454">
        <f t="shared" si="255"/>
        <v>551</v>
      </c>
      <c r="AP383" s="454">
        <f t="shared" si="256"/>
        <v>4938675</v>
      </c>
      <c r="AQ383" s="230">
        <f t="shared" si="257"/>
        <v>5183257</v>
      </c>
      <c r="AR383" s="397">
        <f t="shared" si="258"/>
        <v>13584375</v>
      </c>
      <c r="AS383" s="397">
        <f t="shared" si="259"/>
        <v>14257125</v>
      </c>
    </row>
    <row r="384" spans="1:45" ht="15.75">
      <c r="A384" s="228">
        <v>29</v>
      </c>
      <c r="B384" s="228" t="str">
        <f t="shared" si="223"/>
        <v>FRUTA_29</v>
      </c>
      <c r="C384" s="338" t="str">
        <f t="shared" si="224"/>
        <v>33_29</v>
      </c>
      <c r="D384" s="398" t="s">
        <v>1</v>
      </c>
      <c r="E384" s="228">
        <v>33</v>
      </c>
      <c r="F384" s="332" t="s">
        <v>59</v>
      </c>
      <c r="G384" s="228" t="s">
        <v>48</v>
      </c>
      <c r="H384" s="427">
        <f t="shared" si="225"/>
        <v>29</v>
      </c>
      <c r="I384" s="427">
        <f t="shared" si="226"/>
        <v>5</v>
      </c>
      <c r="J384" s="428">
        <v>1</v>
      </c>
      <c r="K384" s="229">
        <f t="shared" si="227"/>
        <v>1277</v>
      </c>
      <c r="L384" s="229">
        <f t="shared" si="228"/>
        <v>0</v>
      </c>
      <c r="M384" s="229">
        <f t="shared" si="229"/>
        <v>37033</v>
      </c>
      <c r="N384" s="454">
        <f t="shared" si="230"/>
        <v>270</v>
      </c>
      <c r="O384" s="454">
        <f t="shared" si="231"/>
        <v>13.176000000000002</v>
      </c>
      <c r="P384" s="454">
        <f t="shared" si="232"/>
        <v>0.23220432000000002</v>
      </c>
      <c r="Q384" s="454">
        <f t="shared" si="233"/>
        <v>283</v>
      </c>
      <c r="R384" s="230">
        <f t="shared" si="234"/>
        <v>9998910</v>
      </c>
      <c r="S384" s="230">
        <f t="shared" si="235"/>
        <v>10480339</v>
      </c>
      <c r="T384" s="429">
        <f t="shared" si="236"/>
        <v>23</v>
      </c>
      <c r="U384" s="429">
        <f t="shared" si="237"/>
        <v>2</v>
      </c>
      <c r="V384" s="430">
        <v>1</v>
      </c>
      <c r="W384" s="397">
        <f t="shared" si="238"/>
        <v>716</v>
      </c>
      <c r="X384" s="397">
        <f t="shared" si="239"/>
        <v>0</v>
      </c>
      <c r="Y384" s="397">
        <f t="shared" si="240"/>
        <v>16468</v>
      </c>
      <c r="Z384" s="454">
        <f t="shared" si="241"/>
        <v>270</v>
      </c>
      <c r="AA384" s="454">
        <f t="shared" si="242"/>
        <v>13.176000000000002</v>
      </c>
      <c r="AB384" s="454">
        <f t="shared" si="243"/>
        <v>0.23220432000000002</v>
      </c>
      <c r="AC384" s="454">
        <f t="shared" si="244"/>
        <v>283</v>
      </c>
      <c r="AD384" s="231">
        <f t="shared" si="245"/>
        <v>4446360</v>
      </c>
      <c r="AE384" s="231">
        <f t="shared" si="246"/>
        <v>4660444</v>
      </c>
      <c r="AF384" s="427">
        <f t="shared" si="247"/>
        <v>23</v>
      </c>
      <c r="AG384" s="427">
        <f t="shared" si="248"/>
        <v>2</v>
      </c>
      <c r="AH384" s="428">
        <v>1</v>
      </c>
      <c r="AI384" s="229">
        <f t="shared" si="249"/>
        <v>409</v>
      </c>
      <c r="AJ384" s="229">
        <f t="shared" si="250"/>
        <v>0</v>
      </c>
      <c r="AK384" s="229">
        <f t="shared" si="251"/>
        <v>9407</v>
      </c>
      <c r="AL384" s="454">
        <f t="shared" si="252"/>
        <v>270</v>
      </c>
      <c r="AM384" s="454">
        <f t="shared" si="253"/>
        <v>13.176000000000002</v>
      </c>
      <c r="AN384" s="454">
        <f t="shared" si="254"/>
        <v>0.23220432000000002</v>
      </c>
      <c r="AO384" s="454">
        <f t="shared" si="255"/>
        <v>283</v>
      </c>
      <c r="AP384" s="454">
        <f t="shared" si="256"/>
        <v>2539890</v>
      </c>
      <c r="AQ384" s="230">
        <f t="shared" si="257"/>
        <v>2662181</v>
      </c>
      <c r="AR384" s="397">
        <f t="shared" si="258"/>
        <v>16985160</v>
      </c>
      <c r="AS384" s="397">
        <f t="shared" si="259"/>
        <v>17802964</v>
      </c>
    </row>
    <row r="385" spans="1:45" ht="15.75">
      <c r="A385" s="228">
        <v>29</v>
      </c>
      <c r="B385" s="228" t="str">
        <f t="shared" si="223"/>
        <v>FRUTA_29</v>
      </c>
      <c r="C385" s="338" t="str">
        <f t="shared" si="224"/>
        <v>36_29</v>
      </c>
      <c r="D385" s="398" t="s">
        <v>1</v>
      </c>
      <c r="E385" s="228">
        <v>36</v>
      </c>
      <c r="F385" s="332" t="s">
        <v>1340</v>
      </c>
      <c r="G385" s="228" t="s">
        <v>9</v>
      </c>
      <c r="H385" s="427">
        <f t="shared" si="225"/>
        <v>8</v>
      </c>
      <c r="I385" s="427">
        <f t="shared" si="226"/>
        <v>0</v>
      </c>
      <c r="J385" s="428">
        <f t="array" ref="J385">MAX((IF(MNU_CODIGO_ALIMENTO_ENTREGA=CONCATENATE($E385,"_","S_"),MNU_GRAMAJE_REQUERIDO_TIPOA,"")))</f>
        <v>20</v>
      </c>
      <c r="K385" s="229">
        <f t="shared" si="227"/>
        <v>1277</v>
      </c>
      <c r="L385" s="229">
        <f t="shared" si="228"/>
        <v>0</v>
      </c>
      <c r="M385" s="229">
        <f t="shared" si="229"/>
        <v>10216</v>
      </c>
      <c r="N385" s="454">
        <f t="shared" si="230"/>
        <v>126</v>
      </c>
      <c r="O385" s="454">
        <f t="shared" si="231"/>
        <v>6.1488000000000005</v>
      </c>
      <c r="P385" s="454">
        <f t="shared" si="232"/>
        <v>0.10836201599999999</v>
      </c>
      <c r="Q385" s="454">
        <f t="shared" si="233"/>
        <v>132</v>
      </c>
      <c r="R385" s="230">
        <f t="shared" si="234"/>
        <v>1287216</v>
      </c>
      <c r="S385" s="230">
        <f t="shared" si="235"/>
        <v>1348512</v>
      </c>
      <c r="T385" s="429">
        <f t="shared" si="236"/>
        <v>8</v>
      </c>
      <c r="U385" s="429">
        <f t="shared" si="237"/>
        <v>0</v>
      </c>
      <c r="V385" s="430">
        <f t="array" ref="V385">MAX((IF(MNU_CODIGO_ALIMENTO_ENTREGA=CONCATENATE($E385,"_","S_"),MNU_GRAMAJE_REQUERIDO_TIPOB,"")))</f>
        <v>40</v>
      </c>
      <c r="W385" s="397">
        <f t="shared" si="238"/>
        <v>716</v>
      </c>
      <c r="X385" s="397">
        <f t="shared" si="239"/>
        <v>0</v>
      </c>
      <c r="Y385" s="397">
        <f t="shared" si="240"/>
        <v>5728</v>
      </c>
      <c r="Z385" s="454">
        <f t="shared" si="241"/>
        <v>252</v>
      </c>
      <c r="AA385" s="454">
        <f t="shared" si="242"/>
        <v>12.297600000000001</v>
      </c>
      <c r="AB385" s="454">
        <f t="shared" si="243"/>
        <v>0.21672403199999998</v>
      </c>
      <c r="AC385" s="454">
        <f t="shared" si="244"/>
        <v>265</v>
      </c>
      <c r="AD385" s="231">
        <f t="shared" si="245"/>
        <v>1443456</v>
      </c>
      <c r="AE385" s="231">
        <f t="shared" si="246"/>
        <v>1517920</v>
      </c>
      <c r="AF385" s="427">
        <f t="shared" si="247"/>
        <v>8</v>
      </c>
      <c r="AG385" s="427">
        <f t="shared" si="248"/>
        <v>0</v>
      </c>
      <c r="AH385" s="428">
        <f t="array" ref="AH385">MAX((IF(MNU_CODIGO_ALIMENTO_ENTREGA=CONCATENATE($E385,"_","S_"),MNU_GRAMAJE_REQUERIDO_TIPOC,"")))</f>
        <v>40</v>
      </c>
      <c r="AI385" s="229">
        <f t="shared" si="249"/>
        <v>409</v>
      </c>
      <c r="AJ385" s="229">
        <f t="shared" si="250"/>
        <v>0</v>
      </c>
      <c r="AK385" s="229">
        <f t="shared" si="251"/>
        <v>3272</v>
      </c>
      <c r="AL385" s="454">
        <f t="shared" si="252"/>
        <v>252</v>
      </c>
      <c r="AM385" s="454">
        <f t="shared" si="253"/>
        <v>12.297600000000001</v>
      </c>
      <c r="AN385" s="454">
        <f t="shared" si="254"/>
        <v>0.21672403199999998</v>
      </c>
      <c r="AO385" s="454">
        <f t="shared" si="255"/>
        <v>265</v>
      </c>
      <c r="AP385" s="454">
        <f t="shared" si="256"/>
        <v>824544</v>
      </c>
      <c r="AQ385" s="230">
        <f t="shared" si="257"/>
        <v>867080</v>
      </c>
      <c r="AR385" s="397">
        <f t="shared" si="258"/>
        <v>3555216</v>
      </c>
      <c r="AS385" s="397">
        <f t="shared" si="259"/>
        <v>3733512</v>
      </c>
    </row>
    <row r="386" spans="1:45" ht="15.75">
      <c r="A386" s="228">
        <v>29</v>
      </c>
      <c r="B386" s="228" t="str">
        <f t="shared" si="223"/>
        <v>FRUTA_29</v>
      </c>
      <c r="C386" s="338" t="str">
        <f t="shared" si="224"/>
        <v>42_29</v>
      </c>
      <c r="D386" s="398" t="s">
        <v>1</v>
      </c>
      <c r="E386" s="228">
        <v>42</v>
      </c>
      <c r="F386" s="332" t="s">
        <v>61</v>
      </c>
      <c r="G386" s="228" t="s">
        <v>9</v>
      </c>
      <c r="H386" s="427">
        <f t="shared" si="225"/>
        <v>36</v>
      </c>
      <c r="I386" s="427">
        <f t="shared" si="226"/>
        <v>8</v>
      </c>
      <c r="J386" s="428">
        <f t="array" ref="J386">MAX((IF(MNU_CODIGO_ALIMENTO_ENTREGA=CONCATENATE($E386,"_","S_"),MNU_GRAMAJE_REQUERIDO_TIPOA,"")))</f>
        <v>100</v>
      </c>
      <c r="K386" s="229">
        <f t="shared" si="227"/>
        <v>1277</v>
      </c>
      <c r="L386" s="229">
        <f t="shared" si="228"/>
        <v>0</v>
      </c>
      <c r="M386" s="229">
        <f t="shared" si="229"/>
        <v>45972</v>
      </c>
      <c r="N386" s="454">
        <f t="shared" si="230"/>
        <v>194</v>
      </c>
      <c r="O386" s="454">
        <f t="shared" si="231"/>
        <v>9.4672000000000001</v>
      </c>
      <c r="P386" s="454">
        <f t="shared" si="232"/>
        <v>0.16684310399999999</v>
      </c>
      <c r="Q386" s="454">
        <f t="shared" si="233"/>
        <v>204</v>
      </c>
      <c r="R386" s="230">
        <f t="shared" si="234"/>
        <v>8918568</v>
      </c>
      <c r="S386" s="230">
        <f t="shared" si="235"/>
        <v>9378288</v>
      </c>
      <c r="T386" s="429">
        <f t="shared" si="236"/>
        <v>19</v>
      </c>
      <c r="U386" s="429">
        <f t="shared" si="237"/>
        <v>8</v>
      </c>
      <c r="V386" s="430">
        <f t="array" ref="V386">MAX((IF(MNU_CODIGO_ALIMENTO_ENTREGA=CONCATENATE($E386,"_","S_"),MNU_GRAMAJE_REQUERIDO_TIPOB,"")))</f>
        <v>100</v>
      </c>
      <c r="W386" s="397">
        <f t="shared" si="238"/>
        <v>716</v>
      </c>
      <c r="X386" s="397">
        <f t="shared" si="239"/>
        <v>0</v>
      </c>
      <c r="Y386" s="397">
        <f t="shared" si="240"/>
        <v>13604</v>
      </c>
      <c r="Z386" s="454">
        <f t="shared" si="241"/>
        <v>194</v>
      </c>
      <c r="AA386" s="454">
        <f t="shared" si="242"/>
        <v>9.4672000000000001</v>
      </c>
      <c r="AB386" s="454">
        <f t="shared" si="243"/>
        <v>0.16684310399999999</v>
      </c>
      <c r="AC386" s="454">
        <f t="shared" si="244"/>
        <v>204</v>
      </c>
      <c r="AD386" s="231">
        <f t="shared" si="245"/>
        <v>2639176</v>
      </c>
      <c r="AE386" s="231">
        <f t="shared" si="246"/>
        <v>2775216</v>
      </c>
      <c r="AF386" s="427">
        <f t="shared" si="247"/>
        <v>19</v>
      </c>
      <c r="AG386" s="427">
        <f t="shared" si="248"/>
        <v>8</v>
      </c>
      <c r="AH386" s="428">
        <f t="array" ref="AH386">MAX((IF(MNU_CODIGO_ALIMENTO_ENTREGA=CONCATENATE($E386,"_","S_"),MNU_GRAMAJE_REQUERIDO_TIPOC,"")))</f>
        <v>100</v>
      </c>
      <c r="AI386" s="229">
        <f t="shared" si="249"/>
        <v>409</v>
      </c>
      <c r="AJ386" s="229">
        <f t="shared" si="250"/>
        <v>0</v>
      </c>
      <c r="AK386" s="229">
        <f t="shared" si="251"/>
        <v>7771</v>
      </c>
      <c r="AL386" s="454">
        <f t="shared" si="252"/>
        <v>194</v>
      </c>
      <c r="AM386" s="454">
        <f t="shared" si="253"/>
        <v>9.4672000000000001</v>
      </c>
      <c r="AN386" s="454">
        <f t="shared" si="254"/>
        <v>0.16684310399999999</v>
      </c>
      <c r="AO386" s="454">
        <f t="shared" si="255"/>
        <v>204</v>
      </c>
      <c r="AP386" s="454">
        <f t="shared" si="256"/>
        <v>1507574</v>
      </c>
      <c r="AQ386" s="230">
        <f t="shared" si="257"/>
        <v>1585284</v>
      </c>
      <c r="AR386" s="397">
        <f t="shared" si="258"/>
        <v>13065318</v>
      </c>
      <c r="AS386" s="397">
        <f t="shared" si="259"/>
        <v>13738788</v>
      </c>
    </row>
    <row r="387" spans="1:45" ht="15.75">
      <c r="A387" s="228">
        <v>29</v>
      </c>
      <c r="B387" s="228" t="str">
        <f t="shared" si="223"/>
        <v>FRUTA_29</v>
      </c>
      <c r="C387" s="338" t="str">
        <f t="shared" si="224"/>
        <v>43_29</v>
      </c>
      <c r="D387" s="398" t="s">
        <v>1</v>
      </c>
      <c r="E387" s="228">
        <v>43</v>
      </c>
      <c r="F387" s="332" t="s">
        <v>62</v>
      </c>
      <c r="G387" s="228" t="s">
        <v>9</v>
      </c>
      <c r="H387" s="427">
        <f t="shared" si="225"/>
        <v>29</v>
      </c>
      <c r="I387" s="427">
        <f t="shared" si="226"/>
        <v>6</v>
      </c>
      <c r="J387" s="428">
        <f t="array" ref="J387">MAX((IF(MNU_CODIGO_ALIMENTO_ENTREGA=CONCATENATE($E387,"_","S_"),MNU_GRAMAJE_REQUERIDO_TIPOA,"")))</f>
        <v>100</v>
      </c>
      <c r="K387" s="229">
        <f t="shared" si="227"/>
        <v>1277</v>
      </c>
      <c r="L387" s="229">
        <f t="shared" si="228"/>
        <v>0</v>
      </c>
      <c r="M387" s="229">
        <f t="shared" si="229"/>
        <v>37033</v>
      </c>
      <c r="N387" s="454">
        <f t="shared" si="230"/>
        <v>170</v>
      </c>
      <c r="O387" s="454">
        <f t="shared" si="231"/>
        <v>8.2959999999999994</v>
      </c>
      <c r="P387" s="454">
        <f t="shared" si="232"/>
        <v>0.14620272000000001</v>
      </c>
      <c r="Q387" s="454">
        <f t="shared" si="233"/>
        <v>178</v>
      </c>
      <c r="R387" s="230">
        <f t="shared" si="234"/>
        <v>6295610</v>
      </c>
      <c r="S387" s="230">
        <f t="shared" si="235"/>
        <v>6591874</v>
      </c>
      <c r="T387" s="429">
        <f t="shared" si="236"/>
        <v>23</v>
      </c>
      <c r="U387" s="429">
        <f t="shared" si="237"/>
        <v>1</v>
      </c>
      <c r="V387" s="430">
        <f t="array" ref="V387">MAX((IF(MNU_CODIGO_ALIMENTO_ENTREGA=CONCATENATE($E387,"_","S_"),MNU_GRAMAJE_REQUERIDO_TIPOB,"")))</f>
        <v>100</v>
      </c>
      <c r="W387" s="397">
        <f t="shared" si="238"/>
        <v>716</v>
      </c>
      <c r="X387" s="397">
        <f t="shared" si="239"/>
        <v>0</v>
      </c>
      <c r="Y387" s="397">
        <f t="shared" si="240"/>
        <v>16468</v>
      </c>
      <c r="Z387" s="454">
        <f t="shared" si="241"/>
        <v>170</v>
      </c>
      <c r="AA387" s="454">
        <f t="shared" si="242"/>
        <v>8.2959999999999994</v>
      </c>
      <c r="AB387" s="454">
        <f t="shared" si="243"/>
        <v>0.14620272000000001</v>
      </c>
      <c r="AC387" s="454">
        <f t="shared" si="244"/>
        <v>178</v>
      </c>
      <c r="AD387" s="231">
        <f t="shared" si="245"/>
        <v>2799560</v>
      </c>
      <c r="AE387" s="231">
        <f t="shared" si="246"/>
        <v>2931304</v>
      </c>
      <c r="AF387" s="427">
        <f t="shared" si="247"/>
        <v>23</v>
      </c>
      <c r="AG387" s="427">
        <f t="shared" si="248"/>
        <v>1</v>
      </c>
      <c r="AH387" s="428">
        <f t="array" ref="AH387">MAX((IF(MNU_CODIGO_ALIMENTO_ENTREGA=CONCATENATE($E387,"_","S_"),MNU_GRAMAJE_REQUERIDO_TIPOC,"")))</f>
        <v>100</v>
      </c>
      <c r="AI387" s="229">
        <f t="shared" si="249"/>
        <v>409</v>
      </c>
      <c r="AJ387" s="229">
        <f t="shared" si="250"/>
        <v>0</v>
      </c>
      <c r="AK387" s="229">
        <f t="shared" si="251"/>
        <v>9407</v>
      </c>
      <c r="AL387" s="454">
        <f t="shared" si="252"/>
        <v>170</v>
      </c>
      <c r="AM387" s="454">
        <f t="shared" si="253"/>
        <v>8.2959999999999994</v>
      </c>
      <c r="AN387" s="454">
        <f t="shared" si="254"/>
        <v>0.14620272000000001</v>
      </c>
      <c r="AO387" s="454">
        <f t="shared" si="255"/>
        <v>178</v>
      </c>
      <c r="AP387" s="454">
        <f t="shared" si="256"/>
        <v>1599190</v>
      </c>
      <c r="AQ387" s="230">
        <f t="shared" si="257"/>
        <v>1674446</v>
      </c>
      <c r="AR387" s="397">
        <f t="shared" si="258"/>
        <v>10694360</v>
      </c>
      <c r="AS387" s="397">
        <f t="shared" si="259"/>
        <v>11197624</v>
      </c>
    </row>
    <row r="388" spans="1:45" ht="15.75">
      <c r="A388" s="228">
        <v>29</v>
      </c>
      <c r="B388" s="228" t="str">
        <f t="shared" si="223"/>
        <v>FRUTA_29</v>
      </c>
      <c r="C388" s="338" t="str">
        <f t="shared" si="224"/>
        <v>46_29</v>
      </c>
      <c r="D388" s="398" t="s">
        <v>1</v>
      </c>
      <c r="E388" s="228">
        <v>46</v>
      </c>
      <c r="F388" s="332" t="s">
        <v>64</v>
      </c>
      <c r="G388" s="228" t="s">
        <v>9</v>
      </c>
      <c r="H388" s="427">
        <f t="shared" si="225"/>
        <v>29</v>
      </c>
      <c r="I388" s="427">
        <f t="shared" si="226"/>
        <v>4</v>
      </c>
      <c r="J388" s="428">
        <f t="array" ref="J388">MAX((IF(MNU_CODIGO_ALIMENTO_ENTREGA=CONCATENATE($E388,"_","S_"),MNU_GRAMAJE_REQUERIDO_TIPOA,"")))</f>
        <v>100</v>
      </c>
      <c r="K388" s="229">
        <f t="shared" si="227"/>
        <v>1277</v>
      </c>
      <c r="L388" s="229">
        <f t="shared" si="228"/>
        <v>0</v>
      </c>
      <c r="M388" s="229">
        <f t="shared" si="229"/>
        <v>37033</v>
      </c>
      <c r="N388" s="454">
        <f t="shared" si="230"/>
        <v>398</v>
      </c>
      <c r="O388" s="454">
        <f t="shared" si="231"/>
        <v>19.4224</v>
      </c>
      <c r="P388" s="454">
        <f t="shared" si="232"/>
        <v>0.34228636800000001</v>
      </c>
      <c r="Q388" s="454">
        <f t="shared" si="233"/>
        <v>418</v>
      </c>
      <c r="R388" s="230">
        <f t="shared" si="234"/>
        <v>14739134</v>
      </c>
      <c r="S388" s="230">
        <f t="shared" si="235"/>
        <v>15479794</v>
      </c>
      <c r="T388" s="429">
        <f t="shared" si="236"/>
        <v>24</v>
      </c>
      <c r="U388" s="429">
        <f t="shared" si="237"/>
        <v>3</v>
      </c>
      <c r="V388" s="430">
        <f t="array" ref="V388">MAX((IF(MNU_CODIGO_ALIMENTO_ENTREGA=CONCATENATE($E388,"_","S_"),MNU_GRAMAJE_REQUERIDO_TIPOB,"")))</f>
        <v>100</v>
      </c>
      <c r="W388" s="397">
        <f t="shared" si="238"/>
        <v>716</v>
      </c>
      <c r="X388" s="397">
        <f t="shared" si="239"/>
        <v>0</v>
      </c>
      <c r="Y388" s="397">
        <f t="shared" si="240"/>
        <v>17184</v>
      </c>
      <c r="Z388" s="454">
        <f t="shared" si="241"/>
        <v>398</v>
      </c>
      <c r="AA388" s="454">
        <f t="shared" si="242"/>
        <v>19.4224</v>
      </c>
      <c r="AB388" s="454">
        <f t="shared" si="243"/>
        <v>0.34228636800000001</v>
      </c>
      <c r="AC388" s="454">
        <f t="shared" si="244"/>
        <v>418</v>
      </c>
      <c r="AD388" s="231">
        <f t="shared" si="245"/>
        <v>6839232</v>
      </c>
      <c r="AE388" s="231">
        <f t="shared" si="246"/>
        <v>7182912</v>
      </c>
      <c r="AF388" s="427">
        <f t="shared" si="247"/>
        <v>24</v>
      </c>
      <c r="AG388" s="427">
        <f t="shared" si="248"/>
        <v>3</v>
      </c>
      <c r="AH388" s="428">
        <f t="array" ref="AH388">MAX((IF(MNU_CODIGO_ALIMENTO_ENTREGA=CONCATENATE($E388,"_","S_"),MNU_GRAMAJE_REQUERIDO_TIPOC,"")))</f>
        <v>100</v>
      </c>
      <c r="AI388" s="229">
        <f t="shared" si="249"/>
        <v>409</v>
      </c>
      <c r="AJ388" s="229">
        <f t="shared" si="250"/>
        <v>0</v>
      </c>
      <c r="AK388" s="229">
        <f t="shared" si="251"/>
        <v>9816</v>
      </c>
      <c r="AL388" s="454">
        <f t="shared" si="252"/>
        <v>398</v>
      </c>
      <c r="AM388" s="454">
        <f t="shared" si="253"/>
        <v>19.4224</v>
      </c>
      <c r="AN388" s="454">
        <f t="shared" si="254"/>
        <v>0.34228636800000001</v>
      </c>
      <c r="AO388" s="454">
        <f t="shared" si="255"/>
        <v>418</v>
      </c>
      <c r="AP388" s="454">
        <f t="shared" si="256"/>
        <v>3906768</v>
      </c>
      <c r="AQ388" s="230">
        <f t="shared" si="257"/>
        <v>4103088</v>
      </c>
      <c r="AR388" s="397">
        <f t="shared" si="258"/>
        <v>25485134</v>
      </c>
      <c r="AS388" s="397">
        <f t="shared" si="259"/>
        <v>26765794</v>
      </c>
    </row>
    <row r="389" spans="1:45" ht="15.75">
      <c r="A389" s="228">
        <v>29</v>
      </c>
      <c r="B389" s="228" t="str">
        <f t="shared" si="223"/>
        <v>FRUTA_29</v>
      </c>
      <c r="C389" s="338" t="str">
        <f t="shared" si="224"/>
        <v>58_29</v>
      </c>
      <c r="D389" s="398" t="s">
        <v>1</v>
      </c>
      <c r="E389" s="228">
        <v>58</v>
      </c>
      <c r="F389" s="332" t="s">
        <v>67</v>
      </c>
      <c r="G389" s="228" t="s">
        <v>9</v>
      </c>
      <c r="H389" s="427">
        <f t="shared" si="225"/>
        <v>28</v>
      </c>
      <c r="I389" s="427">
        <f t="shared" si="226"/>
        <v>5</v>
      </c>
      <c r="J389" s="428">
        <f t="array" ref="J389">MAX((IF(MNU_CODIGO_ALIMENTO_ENTREGA=CONCATENATE($E389,"_","S_"),MNU_GRAMAJE_REQUERIDO_TIPOA,"")))</f>
        <v>100</v>
      </c>
      <c r="K389" s="229">
        <f t="shared" si="227"/>
        <v>1277</v>
      </c>
      <c r="L389" s="229">
        <f t="shared" si="228"/>
        <v>0</v>
      </c>
      <c r="M389" s="229">
        <f t="shared" si="229"/>
        <v>35756</v>
      </c>
      <c r="N389" s="454">
        <f t="shared" si="230"/>
        <v>154</v>
      </c>
      <c r="O389" s="454">
        <f t="shared" si="231"/>
        <v>7.515200000000001</v>
      </c>
      <c r="P389" s="454">
        <f t="shared" si="232"/>
        <v>0.13244246400000001</v>
      </c>
      <c r="Q389" s="454">
        <f t="shared" si="233"/>
        <v>162</v>
      </c>
      <c r="R389" s="230">
        <f t="shared" si="234"/>
        <v>5506424</v>
      </c>
      <c r="S389" s="230">
        <f t="shared" si="235"/>
        <v>5792472</v>
      </c>
      <c r="T389" s="429">
        <f t="shared" si="236"/>
        <v>23</v>
      </c>
      <c r="U389" s="429">
        <f t="shared" si="237"/>
        <v>3</v>
      </c>
      <c r="V389" s="430">
        <f t="array" ref="V389">MAX((IF(MNU_CODIGO_ALIMENTO_ENTREGA=CONCATENATE($E389,"_","S_"),MNU_GRAMAJE_REQUERIDO_TIPOB,"")))</f>
        <v>100</v>
      </c>
      <c r="W389" s="397">
        <f t="shared" si="238"/>
        <v>716</v>
      </c>
      <c r="X389" s="397">
        <f t="shared" si="239"/>
        <v>0</v>
      </c>
      <c r="Y389" s="397">
        <f t="shared" si="240"/>
        <v>16468</v>
      </c>
      <c r="Z389" s="454">
        <f t="shared" si="241"/>
        <v>154</v>
      </c>
      <c r="AA389" s="454">
        <f t="shared" si="242"/>
        <v>7.515200000000001</v>
      </c>
      <c r="AB389" s="454">
        <f t="shared" si="243"/>
        <v>0.13244246400000001</v>
      </c>
      <c r="AC389" s="454">
        <f t="shared" si="244"/>
        <v>162</v>
      </c>
      <c r="AD389" s="231">
        <f t="shared" si="245"/>
        <v>2536072</v>
      </c>
      <c r="AE389" s="231">
        <f t="shared" si="246"/>
        <v>2667816</v>
      </c>
      <c r="AF389" s="427">
        <f t="shared" si="247"/>
        <v>23</v>
      </c>
      <c r="AG389" s="427">
        <f t="shared" si="248"/>
        <v>3</v>
      </c>
      <c r="AH389" s="428">
        <f t="array" ref="AH389">MAX((IF(MNU_CODIGO_ALIMENTO_ENTREGA=CONCATENATE($E389,"_","S_"),MNU_GRAMAJE_REQUERIDO_TIPOC,"")))</f>
        <v>100</v>
      </c>
      <c r="AI389" s="229">
        <f t="shared" si="249"/>
        <v>409</v>
      </c>
      <c r="AJ389" s="229">
        <f t="shared" si="250"/>
        <v>0</v>
      </c>
      <c r="AK389" s="229">
        <f t="shared" si="251"/>
        <v>9407</v>
      </c>
      <c r="AL389" s="454">
        <f t="shared" si="252"/>
        <v>154</v>
      </c>
      <c r="AM389" s="454">
        <f t="shared" si="253"/>
        <v>7.515200000000001</v>
      </c>
      <c r="AN389" s="454">
        <f t="shared" si="254"/>
        <v>0.13244246400000001</v>
      </c>
      <c r="AO389" s="454">
        <f t="shared" si="255"/>
        <v>162</v>
      </c>
      <c r="AP389" s="454">
        <f t="shared" si="256"/>
        <v>1448678</v>
      </c>
      <c r="AQ389" s="230">
        <f t="shared" si="257"/>
        <v>1523934</v>
      </c>
      <c r="AR389" s="397">
        <f t="shared" si="258"/>
        <v>9491174</v>
      </c>
      <c r="AS389" s="397">
        <f t="shared" si="259"/>
        <v>9984222</v>
      </c>
    </row>
    <row r="390" spans="1:45" ht="15.75">
      <c r="A390" s="228">
        <v>29</v>
      </c>
      <c r="B390" s="228" t="str">
        <f t="shared" si="223"/>
        <v>FRUTA_29</v>
      </c>
      <c r="C390" s="338" t="str">
        <f t="shared" si="224"/>
        <v>59_29</v>
      </c>
      <c r="D390" s="398" t="s">
        <v>1</v>
      </c>
      <c r="E390" s="228">
        <v>59</v>
      </c>
      <c r="F390" s="332" t="s">
        <v>99</v>
      </c>
      <c r="G390" s="228" t="s">
        <v>9</v>
      </c>
      <c r="H390" s="427">
        <f t="shared" si="225"/>
        <v>0</v>
      </c>
      <c r="I390" s="427">
        <f t="shared" si="226"/>
        <v>0</v>
      </c>
      <c r="J390" s="428">
        <f t="array" ref="J390">MAX((IF(MNU_CODIGO_ALIMENTO_ENTREGA=CONCATENATE($E390,"_","S_"),MNU_GRAMAJE_REQUERIDO_TIPOA,"")))</f>
        <v>0</v>
      </c>
      <c r="K390" s="229">
        <f t="shared" si="227"/>
        <v>1277</v>
      </c>
      <c r="L390" s="229">
        <f t="shared" si="228"/>
        <v>0</v>
      </c>
      <c r="M390" s="229">
        <f t="shared" si="229"/>
        <v>0</v>
      </c>
      <c r="N390" s="454">
        <f t="shared" si="230"/>
        <v>0</v>
      </c>
      <c r="O390" s="454">
        <f t="shared" si="231"/>
        <v>0</v>
      </c>
      <c r="P390" s="454">
        <f t="shared" si="232"/>
        <v>0</v>
      </c>
      <c r="Q390" s="454">
        <f t="shared" si="233"/>
        <v>0</v>
      </c>
      <c r="R390" s="230">
        <f t="shared" si="234"/>
        <v>0</v>
      </c>
      <c r="S390" s="230">
        <f t="shared" si="235"/>
        <v>0</v>
      </c>
      <c r="T390" s="429">
        <f t="shared" si="236"/>
        <v>11</v>
      </c>
      <c r="U390" s="429">
        <f t="shared" si="237"/>
        <v>0</v>
      </c>
      <c r="V390" s="430">
        <f t="array" ref="V390">MAX((IF(MNU_CODIGO_ALIMENTO_ENTREGA=CONCATENATE($E390,"_","S_"),MNU_GRAMAJE_REQUERIDO_TIPOB,"")))</f>
        <v>100</v>
      </c>
      <c r="W390" s="397">
        <f t="shared" si="238"/>
        <v>716</v>
      </c>
      <c r="X390" s="397">
        <f t="shared" si="239"/>
        <v>0</v>
      </c>
      <c r="Y390" s="397">
        <f t="shared" si="240"/>
        <v>7876</v>
      </c>
      <c r="Z390" s="454">
        <f t="shared" si="241"/>
        <v>286</v>
      </c>
      <c r="AA390" s="454">
        <f t="shared" si="242"/>
        <v>13.956800000000001</v>
      </c>
      <c r="AB390" s="454">
        <f t="shared" si="243"/>
        <v>0.24596457599999999</v>
      </c>
      <c r="AC390" s="454">
        <f t="shared" si="244"/>
        <v>300</v>
      </c>
      <c r="AD390" s="231">
        <f t="shared" si="245"/>
        <v>2252536</v>
      </c>
      <c r="AE390" s="231">
        <f t="shared" si="246"/>
        <v>2362800</v>
      </c>
      <c r="AF390" s="427">
        <f t="shared" si="247"/>
        <v>11</v>
      </c>
      <c r="AG390" s="427">
        <f t="shared" si="248"/>
        <v>0</v>
      </c>
      <c r="AH390" s="428">
        <f t="array" ref="AH390">MAX((IF(MNU_CODIGO_ALIMENTO_ENTREGA=CONCATENATE($E390,"_","S_"),MNU_GRAMAJE_REQUERIDO_TIPOC,"")))</f>
        <v>100</v>
      </c>
      <c r="AI390" s="229">
        <f t="shared" si="249"/>
        <v>409</v>
      </c>
      <c r="AJ390" s="229">
        <f t="shared" si="250"/>
        <v>0</v>
      </c>
      <c r="AK390" s="229">
        <f t="shared" si="251"/>
        <v>4499</v>
      </c>
      <c r="AL390" s="454">
        <f t="shared" si="252"/>
        <v>286</v>
      </c>
      <c r="AM390" s="454">
        <f t="shared" si="253"/>
        <v>13.956800000000001</v>
      </c>
      <c r="AN390" s="454">
        <f t="shared" si="254"/>
        <v>0.24596457599999999</v>
      </c>
      <c r="AO390" s="454">
        <f t="shared" si="255"/>
        <v>300</v>
      </c>
      <c r="AP390" s="454">
        <f t="shared" si="256"/>
        <v>1286714</v>
      </c>
      <c r="AQ390" s="230">
        <f t="shared" si="257"/>
        <v>1349700</v>
      </c>
      <c r="AR390" s="397">
        <f t="shared" si="258"/>
        <v>3539250</v>
      </c>
      <c r="AS390" s="397">
        <f t="shared" si="259"/>
        <v>3712500</v>
      </c>
    </row>
    <row r="391" spans="1:45" ht="15.75">
      <c r="A391" s="228">
        <v>29</v>
      </c>
      <c r="B391" s="228" t="str">
        <f t="shared" si="223"/>
        <v>FRUTA_29</v>
      </c>
      <c r="C391" s="338" t="str">
        <f t="shared" si="224"/>
        <v>69_29</v>
      </c>
      <c r="D391" s="398" t="s">
        <v>1</v>
      </c>
      <c r="E391" s="258">
        <v>69</v>
      </c>
      <c r="F391" s="328" t="s">
        <v>70</v>
      </c>
      <c r="G391" s="228" t="s">
        <v>9</v>
      </c>
      <c r="H391" s="427">
        <f t="shared" si="225"/>
        <v>18</v>
      </c>
      <c r="I391" s="427">
        <f t="shared" si="226"/>
        <v>2</v>
      </c>
      <c r="J391" s="428">
        <f t="array" ref="J391">MAX((IF(MNU_CODIGO_ALIMENTO_ENTREGA=CONCATENATE($E391,"_","S_"),MNU_GRAMAJE_REQUERIDO_TIPOA,"")))</f>
        <v>100</v>
      </c>
      <c r="K391" s="229">
        <f t="shared" si="227"/>
        <v>1277</v>
      </c>
      <c r="L391" s="229">
        <f t="shared" si="228"/>
        <v>0</v>
      </c>
      <c r="M391" s="229">
        <f t="shared" si="229"/>
        <v>22986</v>
      </c>
      <c r="N391" s="454">
        <f t="shared" si="230"/>
        <v>305</v>
      </c>
      <c r="O391" s="454">
        <f t="shared" si="231"/>
        <v>14.884</v>
      </c>
      <c r="P391" s="454">
        <f t="shared" si="232"/>
        <v>0.26230488000000002</v>
      </c>
      <c r="Q391" s="454">
        <f t="shared" si="233"/>
        <v>320</v>
      </c>
      <c r="R391" s="230">
        <f t="shared" si="234"/>
        <v>7010730</v>
      </c>
      <c r="S391" s="230">
        <f t="shared" si="235"/>
        <v>7355520</v>
      </c>
      <c r="T391" s="429">
        <f t="shared" si="236"/>
        <v>12</v>
      </c>
      <c r="U391" s="429">
        <f t="shared" si="237"/>
        <v>2</v>
      </c>
      <c r="V391" s="430">
        <f t="array" ref="V391">MAX((IF(MNU_CODIGO_ALIMENTO_ENTREGA=CONCATENATE($E391,"_","S_"),MNU_GRAMAJE_REQUERIDO_TIPOB,"")))</f>
        <v>100</v>
      </c>
      <c r="W391" s="397">
        <f t="shared" si="238"/>
        <v>716</v>
      </c>
      <c r="X391" s="397">
        <f t="shared" si="239"/>
        <v>0</v>
      </c>
      <c r="Y391" s="397">
        <f t="shared" si="240"/>
        <v>8592</v>
      </c>
      <c r="Z391" s="454">
        <f t="shared" si="241"/>
        <v>305</v>
      </c>
      <c r="AA391" s="454">
        <f t="shared" si="242"/>
        <v>14.884</v>
      </c>
      <c r="AB391" s="454">
        <f t="shared" si="243"/>
        <v>0.26230488000000002</v>
      </c>
      <c r="AC391" s="454">
        <f t="shared" si="244"/>
        <v>320</v>
      </c>
      <c r="AD391" s="231">
        <f t="shared" si="245"/>
        <v>2620560</v>
      </c>
      <c r="AE391" s="231">
        <f t="shared" si="246"/>
        <v>2749440</v>
      </c>
      <c r="AF391" s="427">
        <f t="shared" si="247"/>
        <v>12</v>
      </c>
      <c r="AG391" s="427">
        <f t="shared" si="248"/>
        <v>2</v>
      </c>
      <c r="AH391" s="428">
        <f t="array" ref="AH391">MAX((IF(MNU_CODIGO_ALIMENTO_ENTREGA=CONCATENATE($E391,"_","S_"),MNU_GRAMAJE_REQUERIDO_TIPOC,"")))</f>
        <v>100</v>
      </c>
      <c r="AI391" s="229">
        <f t="shared" si="249"/>
        <v>409</v>
      </c>
      <c r="AJ391" s="229">
        <f t="shared" si="250"/>
        <v>0</v>
      </c>
      <c r="AK391" s="229">
        <f t="shared" si="251"/>
        <v>4908</v>
      </c>
      <c r="AL391" s="454">
        <f t="shared" si="252"/>
        <v>305</v>
      </c>
      <c r="AM391" s="454">
        <f t="shared" si="253"/>
        <v>14.884</v>
      </c>
      <c r="AN391" s="454">
        <f t="shared" si="254"/>
        <v>0.26230488000000002</v>
      </c>
      <c r="AO391" s="454">
        <f t="shared" si="255"/>
        <v>320</v>
      </c>
      <c r="AP391" s="454">
        <f t="shared" si="256"/>
        <v>1496940</v>
      </c>
      <c r="AQ391" s="230">
        <f t="shared" si="257"/>
        <v>1570560</v>
      </c>
      <c r="AR391" s="397">
        <f t="shared" si="258"/>
        <v>11128230</v>
      </c>
      <c r="AS391" s="397">
        <f t="shared" si="259"/>
        <v>11675520</v>
      </c>
    </row>
    <row r="392" spans="1:45" ht="15.75">
      <c r="A392" s="228">
        <v>29</v>
      </c>
      <c r="B392" s="228" t="str">
        <f t="shared" si="223"/>
        <v>FRUTA_29</v>
      </c>
      <c r="C392" s="338" t="str">
        <f t="shared" si="224"/>
        <v>70_29</v>
      </c>
      <c r="D392" s="398" t="s">
        <v>1</v>
      </c>
      <c r="E392" s="228">
        <v>70</v>
      </c>
      <c r="F392" s="332" t="s">
        <v>71</v>
      </c>
      <c r="G392" s="228" t="s">
        <v>9</v>
      </c>
      <c r="H392" s="427">
        <f t="shared" si="225"/>
        <v>0</v>
      </c>
      <c r="I392" s="427">
        <f t="shared" si="226"/>
        <v>0</v>
      </c>
      <c r="J392" s="428">
        <f t="array" ref="J392">MAX((IF(MNU_CODIGO_ALIMENTO_ENTREGA=CONCATENATE($E392,"_","S_"),MNU_GRAMAJE_REQUERIDO_TIPOA,"")))</f>
        <v>0</v>
      </c>
      <c r="K392" s="229">
        <f t="shared" si="227"/>
        <v>1277</v>
      </c>
      <c r="L392" s="229">
        <f t="shared" si="228"/>
        <v>0</v>
      </c>
      <c r="M392" s="229">
        <f t="shared" si="229"/>
        <v>0</v>
      </c>
      <c r="N392" s="454">
        <f t="shared" si="230"/>
        <v>0</v>
      </c>
      <c r="O392" s="454">
        <f t="shared" si="231"/>
        <v>0</v>
      </c>
      <c r="P392" s="454">
        <f t="shared" si="232"/>
        <v>0</v>
      </c>
      <c r="Q392" s="454">
        <f t="shared" si="233"/>
        <v>0</v>
      </c>
      <c r="R392" s="230">
        <f t="shared" si="234"/>
        <v>0</v>
      </c>
      <c r="S392" s="230">
        <f t="shared" si="235"/>
        <v>0</v>
      </c>
      <c r="T392" s="429">
        <f t="shared" si="236"/>
        <v>8</v>
      </c>
      <c r="U392" s="429">
        <f t="shared" si="237"/>
        <v>4</v>
      </c>
      <c r="V392" s="430">
        <f t="array" ref="V392">MAX((IF(MNU_CODIGO_ALIMENTO_ENTREGA=CONCATENATE($E392,"_","S_"),MNU_GRAMAJE_REQUERIDO_TIPOB,"")))</f>
        <v>100</v>
      </c>
      <c r="W392" s="397">
        <f t="shared" si="238"/>
        <v>716</v>
      </c>
      <c r="X392" s="397">
        <f t="shared" si="239"/>
        <v>0</v>
      </c>
      <c r="Y392" s="397">
        <f t="shared" si="240"/>
        <v>5728</v>
      </c>
      <c r="Z392" s="454">
        <f t="shared" si="241"/>
        <v>434</v>
      </c>
      <c r="AA392" s="454">
        <f t="shared" si="242"/>
        <v>21.179200000000002</v>
      </c>
      <c r="AB392" s="454">
        <f t="shared" si="243"/>
        <v>0.37324694399999997</v>
      </c>
      <c r="AC392" s="454">
        <f t="shared" si="244"/>
        <v>456</v>
      </c>
      <c r="AD392" s="231">
        <f t="shared" si="245"/>
        <v>2485952</v>
      </c>
      <c r="AE392" s="231">
        <f t="shared" si="246"/>
        <v>2611968</v>
      </c>
      <c r="AF392" s="427">
        <f t="shared" si="247"/>
        <v>8</v>
      </c>
      <c r="AG392" s="427">
        <f t="shared" si="248"/>
        <v>4</v>
      </c>
      <c r="AH392" s="428">
        <f t="array" ref="AH392">MAX((IF(MNU_CODIGO_ALIMENTO_ENTREGA=CONCATENATE($E392,"_","S_"),MNU_GRAMAJE_REQUERIDO_TIPOC,"")))</f>
        <v>100</v>
      </c>
      <c r="AI392" s="229">
        <f t="shared" si="249"/>
        <v>409</v>
      </c>
      <c r="AJ392" s="229">
        <f t="shared" si="250"/>
        <v>0</v>
      </c>
      <c r="AK392" s="229">
        <f t="shared" si="251"/>
        <v>3272</v>
      </c>
      <c r="AL392" s="454">
        <f t="shared" si="252"/>
        <v>434</v>
      </c>
      <c r="AM392" s="454">
        <f t="shared" si="253"/>
        <v>21.179200000000002</v>
      </c>
      <c r="AN392" s="454">
        <f t="shared" si="254"/>
        <v>0.37324694399999997</v>
      </c>
      <c r="AO392" s="454">
        <f t="shared" si="255"/>
        <v>456</v>
      </c>
      <c r="AP392" s="454">
        <f t="shared" si="256"/>
        <v>1420048</v>
      </c>
      <c r="AQ392" s="230">
        <f t="shared" si="257"/>
        <v>1492032</v>
      </c>
      <c r="AR392" s="397">
        <f t="shared" si="258"/>
        <v>3906000</v>
      </c>
      <c r="AS392" s="397">
        <f t="shared" si="259"/>
        <v>4104000</v>
      </c>
    </row>
    <row r="393" spans="1:45" ht="15.75">
      <c r="A393" s="228">
        <v>30</v>
      </c>
      <c r="B393" s="228" t="str">
        <f t="shared" si="223"/>
        <v>FRUTA_30</v>
      </c>
      <c r="C393" s="338" t="str">
        <f t="shared" si="224"/>
        <v>7_30</v>
      </c>
      <c r="D393" s="398" t="s">
        <v>1</v>
      </c>
      <c r="E393" s="228">
        <v>7</v>
      </c>
      <c r="F393" s="332" t="s">
        <v>57</v>
      </c>
      <c r="G393" s="228" t="s">
        <v>9</v>
      </c>
      <c r="H393" s="427">
        <f t="shared" si="225"/>
        <v>31</v>
      </c>
      <c r="I393" s="427">
        <f t="shared" si="226"/>
        <v>0</v>
      </c>
      <c r="J393" s="428">
        <f t="array" ref="J393">MAX((IF(MNU_CODIGO_ALIMENTO_ENTREGA=CONCATENATE($E393,"_","S_"),MNU_GRAMAJE_REQUERIDO_TIPOA,"")))</f>
        <v>100</v>
      </c>
      <c r="K393" s="229">
        <f t="shared" si="227"/>
        <v>304</v>
      </c>
      <c r="L393" s="229">
        <f t="shared" si="228"/>
        <v>0</v>
      </c>
      <c r="M393" s="229">
        <f t="shared" si="229"/>
        <v>9424</v>
      </c>
      <c r="N393" s="454">
        <f t="shared" si="230"/>
        <v>107</v>
      </c>
      <c r="O393" s="454">
        <f t="shared" si="231"/>
        <v>5.2216000000000005</v>
      </c>
      <c r="P393" s="454">
        <f t="shared" si="232"/>
        <v>9.2021712000000006E-2</v>
      </c>
      <c r="Q393" s="454">
        <f t="shared" si="233"/>
        <v>112</v>
      </c>
      <c r="R393" s="230">
        <f t="shared" si="234"/>
        <v>1008368</v>
      </c>
      <c r="S393" s="230">
        <f t="shared" si="235"/>
        <v>1055488</v>
      </c>
      <c r="T393" s="429">
        <f t="shared" si="236"/>
        <v>11</v>
      </c>
      <c r="U393" s="429">
        <f t="shared" si="237"/>
        <v>0</v>
      </c>
      <c r="V393" s="430">
        <f t="array" ref="V393">MAX((IF(MNU_CODIGO_ALIMENTO_ENTREGA=CONCATENATE($E393,"_","S_"),MNU_GRAMAJE_REQUERIDO_TIPOB,"")))</f>
        <v>100</v>
      </c>
      <c r="W393" s="397">
        <f t="shared" si="238"/>
        <v>144</v>
      </c>
      <c r="X393" s="397">
        <f t="shared" si="239"/>
        <v>0</v>
      </c>
      <c r="Y393" s="397">
        <f t="shared" si="240"/>
        <v>1584</v>
      </c>
      <c r="Z393" s="454">
        <f t="shared" si="241"/>
        <v>107</v>
      </c>
      <c r="AA393" s="454">
        <f t="shared" si="242"/>
        <v>5.2216000000000005</v>
      </c>
      <c r="AB393" s="454">
        <f t="shared" si="243"/>
        <v>9.2021712000000006E-2</v>
      </c>
      <c r="AC393" s="454">
        <f t="shared" si="244"/>
        <v>112</v>
      </c>
      <c r="AD393" s="231">
        <f t="shared" si="245"/>
        <v>169488</v>
      </c>
      <c r="AE393" s="231">
        <f t="shared" si="246"/>
        <v>177408</v>
      </c>
      <c r="AF393" s="427">
        <f t="shared" si="247"/>
        <v>11</v>
      </c>
      <c r="AG393" s="427">
        <f t="shared" si="248"/>
        <v>0</v>
      </c>
      <c r="AH393" s="428">
        <f t="array" ref="AH393">MAX((IF(MNU_CODIGO_ALIMENTO_ENTREGA=CONCATENATE($E393,"_","S_"),MNU_GRAMAJE_REQUERIDO_TIPOC,"")))</f>
        <v>100</v>
      </c>
      <c r="AI393" s="229">
        <f t="shared" si="249"/>
        <v>1122</v>
      </c>
      <c r="AJ393" s="229">
        <f t="shared" si="250"/>
        <v>0</v>
      </c>
      <c r="AK393" s="229">
        <f t="shared" si="251"/>
        <v>12342</v>
      </c>
      <c r="AL393" s="454">
        <f t="shared" si="252"/>
        <v>107</v>
      </c>
      <c r="AM393" s="454">
        <f t="shared" si="253"/>
        <v>5.2216000000000005</v>
      </c>
      <c r="AN393" s="454">
        <f t="shared" si="254"/>
        <v>9.2021712000000006E-2</v>
      </c>
      <c r="AO393" s="454">
        <f t="shared" si="255"/>
        <v>112</v>
      </c>
      <c r="AP393" s="454">
        <f t="shared" si="256"/>
        <v>1320594</v>
      </c>
      <c r="AQ393" s="230">
        <f t="shared" si="257"/>
        <v>1382304</v>
      </c>
      <c r="AR393" s="397">
        <f t="shared" si="258"/>
        <v>2498450</v>
      </c>
      <c r="AS393" s="397">
        <f t="shared" si="259"/>
        <v>2615200</v>
      </c>
    </row>
    <row r="394" spans="1:45" ht="15.75">
      <c r="A394" s="228">
        <v>30</v>
      </c>
      <c r="B394" s="228" t="str">
        <f t="shared" si="223"/>
        <v>FRUTA_30</v>
      </c>
      <c r="C394" s="338" t="str">
        <f t="shared" si="224"/>
        <v>8_30</v>
      </c>
      <c r="D394" s="398" t="s">
        <v>1</v>
      </c>
      <c r="E394" s="228">
        <v>8</v>
      </c>
      <c r="F394" s="332" t="s">
        <v>55</v>
      </c>
      <c r="G394" s="228" t="s">
        <v>9</v>
      </c>
      <c r="H394" s="427">
        <f t="shared" si="225"/>
        <v>11</v>
      </c>
      <c r="I394" s="427">
        <f t="shared" si="226"/>
        <v>0</v>
      </c>
      <c r="J394" s="428">
        <f t="array" ref="J394">MAX((IF(MNU_CODIGO_ALIMENTO_ENTREGA=CONCATENATE($E394,"_","S_"),MNU_GRAMAJE_REQUERIDO_TIPOA,"")))</f>
        <v>100</v>
      </c>
      <c r="K394" s="229">
        <f t="shared" si="227"/>
        <v>304</v>
      </c>
      <c r="L394" s="229">
        <f t="shared" si="228"/>
        <v>0</v>
      </c>
      <c r="M394" s="229">
        <f t="shared" si="229"/>
        <v>3344</v>
      </c>
      <c r="N394" s="454">
        <f t="shared" si="230"/>
        <v>134</v>
      </c>
      <c r="O394" s="454">
        <f t="shared" si="231"/>
        <v>6.539200000000001</v>
      </c>
      <c r="P394" s="454">
        <f t="shared" si="232"/>
        <v>0.115242144</v>
      </c>
      <c r="Q394" s="454">
        <f t="shared" si="233"/>
        <v>141</v>
      </c>
      <c r="R394" s="230">
        <f t="shared" si="234"/>
        <v>448096</v>
      </c>
      <c r="S394" s="230">
        <f t="shared" si="235"/>
        <v>471504</v>
      </c>
      <c r="T394" s="429">
        <f t="shared" si="236"/>
        <v>11</v>
      </c>
      <c r="U394" s="429">
        <f t="shared" si="237"/>
        <v>0</v>
      </c>
      <c r="V394" s="430">
        <f t="array" ref="V394">MAX((IF(MNU_CODIGO_ALIMENTO_ENTREGA=CONCATENATE($E394,"_","S_"),MNU_GRAMAJE_REQUERIDO_TIPOB,"")))</f>
        <v>100</v>
      </c>
      <c r="W394" s="397">
        <f t="shared" si="238"/>
        <v>144</v>
      </c>
      <c r="X394" s="397">
        <f t="shared" si="239"/>
        <v>0</v>
      </c>
      <c r="Y394" s="397">
        <f t="shared" si="240"/>
        <v>1584</v>
      </c>
      <c r="Z394" s="454">
        <f t="shared" si="241"/>
        <v>134</v>
      </c>
      <c r="AA394" s="454">
        <f t="shared" si="242"/>
        <v>6.539200000000001</v>
      </c>
      <c r="AB394" s="454">
        <f t="shared" si="243"/>
        <v>0.115242144</v>
      </c>
      <c r="AC394" s="454">
        <f t="shared" si="244"/>
        <v>141</v>
      </c>
      <c r="AD394" s="231">
        <f t="shared" si="245"/>
        <v>212256</v>
      </c>
      <c r="AE394" s="231">
        <f t="shared" si="246"/>
        <v>223344</v>
      </c>
      <c r="AF394" s="427">
        <f t="shared" si="247"/>
        <v>11</v>
      </c>
      <c r="AG394" s="427">
        <f t="shared" si="248"/>
        <v>0</v>
      </c>
      <c r="AH394" s="428">
        <f t="array" ref="AH394">MAX((IF(MNU_CODIGO_ALIMENTO_ENTREGA=CONCATENATE($E394,"_","S_"),MNU_GRAMAJE_REQUERIDO_TIPOC,"")))</f>
        <v>100</v>
      </c>
      <c r="AI394" s="229">
        <f t="shared" si="249"/>
        <v>1122</v>
      </c>
      <c r="AJ394" s="229">
        <f t="shared" si="250"/>
        <v>0</v>
      </c>
      <c r="AK394" s="229">
        <f t="shared" si="251"/>
        <v>12342</v>
      </c>
      <c r="AL394" s="454">
        <f t="shared" si="252"/>
        <v>134</v>
      </c>
      <c r="AM394" s="454">
        <f t="shared" si="253"/>
        <v>6.539200000000001</v>
      </c>
      <c r="AN394" s="454">
        <f t="shared" si="254"/>
        <v>0.115242144</v>
      </c>
      <c r="AO394" s="454">
        <f t="shared" si="255"/>
        <v>141</v>
      </c>
      <c r="AP394" s="454">
        <f t="shared" si="256"/>
        <v>1653828</v>
      </c>
      <c r="AQ394" s="230">
        <f t="shared" si="257"/>
        <v>1740222</v>
      </c>
      <c r="AR394" s="397">
        <f t="shared" si="258"/>
        <v>2314180</v>
      </c>
      <c r="AS394" s="397">
        <f t="shared" si="259"/>
        <v>2435070</v>
      </c>
    </row>
    <row r="395" spans="1:45" ht="15.75">
      <c r="A395" s="228">
        <v>30</v>
      </c>
      <c r="B395" s="228" t="str">
        <f t="shared" si="223"/>
        <v>FRUTA_30</v>
      </c>
      <c r="C395" s="338" t="str">
        <f t="shared" si="224"/>
        <v>17_30</v>
      </c>
      <c r="D395" s="398" t="s">
        <v>1</v>
      </c>
      <c r="E395" s="228">
        <v>17</v>
      </c>
      <c r="F395" s="332" t="s">
        <v>53</v>
      </c>
      <c r="G395" s="228" t="s">
        <v>9</v>
      </c>
      <c r="H395" s="427">
        <f t="shared" si="225"/>
        <v>0</v>
      </c>
      <c r="I395" s="427">
        <f t="shared" si="226"/>
        <v>0</v>
      </c>
      <c r="J395" s="428">
        <f t="array" ref="J395">MAX((IF(MNU_CODIGO_ALIMENTO_ENTREGA=CONCATENATE($E395,"_","S_"),MNU_GRAMAJE_REQUERIDO_TIPOA,"")))</f>
        <v>0</v>
      </c>
      <c r="K395" s="229">
        <f t="shared" si="227"/>
        <v>304</v>
      </c>
      <c r="L395" s="229">
        <f t="shared" si="228"/>
        <v>0</v>
      </c>
      <c r="M395" s="229">
        <f t="shared" si="229"/>
        <v>0</v>
      </c>
      <c r="N395" s="454">
        <f t="shared" si="230"/>
        <v>0</v>
      </c>
      <c r="O395" s="454">
        <f t="shared" si="231"/>
        <v>0</v>
      </c>
      <c r="P395" s="454">
        <f t="shared" si="232"/>
        <v>0</v>
      </c>
      <c r="Q395" s="454">
        <f t="shared" si="233"/>
        <v>0</v>
      </c>
      <c r="R395" s="230">
        <f t="shared" si="234"/>
        <v>0</v>
      </c>
      <c r="S395" s="230">
        <f t="shared" si="235"/>
        <v>0</v>
      </c>
      <c r="T395" s="429">
        <f t="shared" si="236"/>
        <v>23</v>
      </c>
      <c r="U395" s="429">
        <f t="shared" si="237"/>
        <v>4</v>
      </c>
      <c r="V395" s="430">
        <f t="array" ref="V395">MAX((IF(MNU_CODIGO_ALIMENTO_ENTREGA=CONCATENATE($E395,"_","S_"),MNU_GRAMAJE_REQUERIDO_TIPOB,"")))</f>
        <v>100</v>
      </c>
      <c r="W395" s="397">
        <f t="shared" si="238"/>
        <v>144</v>
      </c>
      <c r="X395" s="397">
        <f t="shared" si="239"/>
        <v>0</v>
      </c>
      <c r="Y395" s="397">
        <f t="shared" si="240"/>
        <v>3312</v>
      </c>
      <c r="Z395" s="454">
        <f t="shared" si="241"/>
        <v>226</v>
      </c>
      <c r="AA395" s="454">
        <f t="shared" si="242"/>
        <v>11.0288</v>
      </c>
      <c r="AB395" s="454">
        <f t="shared" si="243"/>
        <v>0.19436361600000002</v>
      </c>
      <c r="AC395" s="454">
        <f t="shared" si="244"/>
        <v>237</v>
      </c>
      <c r="AD395" s="231">
        <f t="shared" si="245"/>
        <v>748512</v>
      </c>
      <c r="AE395" s="231">
        <f t="shared" si="246"/>
        <v>784944</v>
      </c>
      <c r="AF395" s="427">
        <f t="shared" si="247"/>
        <v>23</v>
      </c>
      <c r="AG395" s="427">
        <f t="shared" si="248"/>
        <v>4</v>
      </c>
      <c r="AH395" s="428">
        <f t="array" ref="AH395">MAX((IF(MNU_CODIGO_ALIMENTO_ENTREGA=CONCATENATE($E395,"_","S_"),MNU_GRAMAJE_REQUERIDO_TIPOC,"")))</f>
        <v>100</v>
      </c>
      <c r="AI395" s="229">
        <f t="shared" si="249"/>
        <v>1122</v>
      </c>
      <c r="AJ395" s="229">
        <f t="shared" si="250"/>
        <v>0</v>
      </c>
      <c r="AK395" s="229">
        <f t="shared" si="251"/>
        <v>25806</v>
      </c>
      <c r="AL395" s="454">
        <f t="shared" si="252"/>
        <v>226</v>
      </c>
      <c r="AM395" s="454">
        <f t="shared" si="253"/>
        <v>11.0288</v>
      </c>
      <c r="AN395" s="454">
        <f t="shared" si="254"/>
        <v>0.19436361600000002</v>
      </c>
      <c r="AO395" s="454">
        <f t="shared" si="255"/>
        <v>237</v>
      </c>
      <c r="AP395" s="454">
        <f t="shared" si="256"/>
        <v>5832156</v>
      </c>
      <c r="AQ395" s="230">
        <f t="shared" si="257"/>
        <v>6116022</v>
      </c>
      <c r="AR395" s="397">
        <f t="shared" si="258"/>
        <v>6580668</v>
      </c>
      <c r="AS395" s="397">
        <f t="shared" si="259"/>
        <v>6900966</v>
      </c>
    </row>
    <row r="396" spans="1:45" ht="15.75">
      <c r="A396" s="228">
        <v>30</v>
      </c>
      <c r="B396" s="228" t="str">
        <f t="shared" si="223"/>
        <v>FRUTA_30</v>
      </c>
      <c r="C396" s="338" t="str">
        <f t="shared" si="224"/>
        <v>22_30</v>
      </c>
      <c r="D396" s="398" t="s">
        <v>1</v>
      </c>
      <c r="E396" s="228">
        <v>22</v>
      </c>
      <c r="F396" s="332" t="s">
        <v>51</v>
      </c>
      <c r="G396" s="228" t="s">
        <v>9</v>
      </c>
      <c r="H396" s="427">
        <f t="shared" si="225"/>
        <v>0</v>
      </c>
      <c r="I396" s="427">
        <f t="shared" si="226"/>
        <v>0</v>
      </c>
      <c r="J396" s="428">
        <f t="array" ref="J396">MAX((IF(MNU_CODIGO_ALIMENTO_ENTREGA=CONCATENATE($E396,"_","S_"),MNU_GRAMAJE_REQUERIDO_TIPOA,"")))</f>
        <v>0</v>
      </c>
      <c r="K396" s="229">
        <f t="shared" si="227"/>
        <v>304</v>
      </c>
      <c r="L396" s="229">
        <f t="shared" si="228"/>
        <v>0</v>
      </c>
      <c r="M396" s="229">
        <f t="shared" si="229"/>
        <v>0</v>
      </c>
      <c r="N396" s="454">
        <f t="shared" si="230"/>
        <v>0</v>
      </c>
      <c r="O396" s="454">
        <f t="shared" si="231"/>
        <v>0</v>
      </c>
      <c r="P396" s="454">
        <f t="shared" si="232"/>
        <v>0</v>
      </c>
      <c r="Q396" s="454">
        <f t="shared" si="233"/>
        <v>0</v>
      </c>
      <c r="R396" s="230">
        <f t="shared" si="234"/>
        <v>0</v>
      </c>
      <c r="S396" s="230">
        <f t="shared" si="235"/>
        <v>0</v>
      </c>
      <c r="T396" s="429">
        <f t="shared" si="236"/>
        <v>23</v>
      </c>
      <c r="U396" s="429">
        <f t="shared" si="237"/>
        <v>4</v>
      </c>
      <c r="V396" s="430">
        <f t="array" ref="V396">MAX((IF(MNU_CODIGO_ALIMENTO_ENTREGA=CONCATENATE($E396,"_","S_"),MNU_GRAMAJE_REQUERIDO_TIPOB,"")))</f>
        <v>100</v>
      </c>
      <c r="W396" s="397">
        <f t="shared" si="238"/>
        <v>144</v>
      </c>
      <c r="X396" s="397">
        <f t="shared" si="239"/>
        <v>0</v>
      </c>
      <c r="Y396" s="397">
        <f t="shared" si="240"/>
        <v>3312</v>
      </c>
      <c r="Z396" s="454">
        <f t="shared" si="241"/>
        <v>525</v>
      </c>
      <c r="AA396" s="454">
        <f t="shared" si="242"/>
        <v>25.62</v>
      </c>
      <c r="AB396" s="454">
        <f t="shared" si="243"/>
        <v>0.45150840000000003</v>
      </c>
      <c r="AC396" s="454">
        <f t="shared" si="244"/>
        <v>551</v>
      </c>
      <c r="AD396" s="231">
        <f t="shared" si="245"/>
        <v>1738800</v>
      </c>
      <c r="AE396" s="231">
        <f t="shared" si="246"/>
        <v>1824912</v>
      </c>
      <c r="AF396" s="427">
        <f t="shared" si="247"/>
        <v>23</v>
      </c>
      <c r="AG396" s="427">
        <f t="shared" si="248"/>
        <v>4</v>
      </c>
      <c r="AH396" s="428">
        <f t="array" ref="AH396">MAX((IF(MNU_CODIGO_ALIMENTO_ENTREGA=CONCATENATE($E396,"_","S_"),MNU_GRAMAJE_REQUERIDO_TIPOC,"")))</f>
        <v>100</v>
      </c>
      <c r="AI396" s="229">
        <f t="shared" si="249"/>
        <v>1122</v>
      </c>
      <c r="AJ396" s="229">
        <f t="shared" si="250"/>
        <v>0</v>
      </c>
      <c r="AK396" s="229">
        <f t="shared" si="251"/>
        <v>25806</v>
      </c>
      <c r="AL396" s="454">
        <f t="shared" si="252"/>
        <v>525</v>
      </c>
      <c r="AM396" s="454">
        <f t="shared" si="253"/>
        <v>25.62</v>
      </c>
      <c r="AN396" s="454">
        <f t="shared" si="254"/>
        <v>0.45150840000000003</v>
      </c>
      <c r="AO396" s="454">
        <f t="shared" si="255"/>
        <v>551</v>
      </c>
      <c r="AP396" s="454">
        <f t="shared" si="256"/>
        <v>13548150</v>
      </c>
      <c r="AQ396" s="230">
        <f t="shared" si="257"/>
        <v>14219106</v>
      </c>
      <c r="AR396" s="397">
        <f t="shared" si="258"/>
        <v>15286950</v>
      </c>
      <c r="AS396" s="397">
        <f t="shared" si="259"/>
        <v>16044018</v>
      </c>
    </row>
    <row r="397" spans="1:45" ht="15.75">
      <c r="A397" s="228">
        <v>30</v>
      </c>
      <c r="B397" s="228" t="str">
        <f t="shared" si="223"/>
        <v>FRUTA_30</v>
      </c>
      <c r="C397" s="338" t="str">
        <f t="shared" si="224"/>
        <v>33_30</v>
      </c>
      <c r="D397" s="398" t="s">
        <v>1</v>
      </c>
      <c r="E397" s="228">
        <v>33</v>
      </c>
      <c r="F397" s="332" t="s">
        <v>59</v>
      </c>
      <c r="G397" s="228" t="s">
        <v>48</v>
      </c>
      <c r="H397" s="427">
        <f t="shared" si="225"/>
        <v>29</v>
      </c>
      <c r="I397" s="427">
        <f t="shared" si="226"/>
        <v>5</v>
      </c>
      <c r="J397" s="428">
        <v>1</v>
      </c>
      <c r="K397" s="229">
        <f t="shared" si="227"/>
        <v>304</v>
      </c>
      <c r="L397" s="229">
        <f t="shared" si="228"/>
        <v>0</v>
      </c>
      <c r="M397" s="229">
        <f t="shared" si="229"/>
        <v>8816</v>
      </c>
      <c r="N397" s="454">
        <f t="shared" si="230"/>
        <v>270</v>
      </c>
      <c r="O397" s="454">
        <f t="shared" si="231"/>
        <v>13.176000000000002</v>
      </c>
      <c r="P397" s="454">
        <f t="shared" si="232"/>
        <v>0.23220432000000002</v>
      </c>
      <c r="Q397" s="454">
        <f t="shared" si="233"/>
        <v>283</v>
      </c>
      <c r="R397" s="230">
        <f t="shared" si="234"/>
        <v>2380320</v>
      </c>
      <c r="S397" s="230">
        <f t="shared" si="235"/>
        <v>2494928</v>
      </c>
      <c r="T397" s="429">
        <f t="shared" si="236"/>
        <v>23</v>
      </c>
      <c r="U397" s="429">
        <f t="shared" si="237"/>
        <v>2</v>
      </c>
      <c r="V397" s="430">
        <v>1</v>
      </c>
      <c r="W397" s="397">
        <f t="shared" si="238"/>
        <v>144</v>
      </c>
      <c r="X397" s="397">
        <f t="shared" si="239"/>
        <v>0</v>
      </c>
      <c r="Y397" s="397">
        <f t="shared" si="240"/>
        <v>3312</v>
      </c>
      <c r="Z397" s="454">
        <f t="shared" si="241"/>
        <v>270</v>
      </c>
      <c r="AA397" s="454">
        <f t="shared" si="242"/>
        <v>13.176000000000002</v>
      </c>
      <c r="AB397" s="454">
        <f t="shared" si="243"/>
        <v>0.23220432000000002</v>
      </c>
      <c r="AC397" s="454">
        <f t="shared" si="244"/>
        <v>283</v>
      </c>
      <c r="AD397" s="231">
        <f t="shared" si="245"/>
        <v>894240</v>
      </c>
      <c r="AE397" s="231">
        <f t="shared" si="246"/>
        <v>937296</v>
      </c>
      <c r="AF397" s="427">
        <f t="shared" si="247"/>
        <v>23</v>
      </c>
      <c r="AG397" s="427">
        <f t="shared" si="248"/>
        <v>2</v>
      </c>
      <c r="AH397" s="428">
        <v>1</v>
      </c>
      <c r="AI397" s="229">
        <f t="shared" si="249"/>
        <v>1122</v>
      </c>
      <c r="AJ397" s="229">
        <f t="shared" si="250"/>
        <v>0</v>
      </c>
      <c r="AK397" s="229">
        <f t="shared" si="251"/>
        <v>25806</v>
      </c>
      <c r="AL397" s="454">
        <f t="shared" si="252"/>
        <v>270</v>
      </c>
      <c r="AM397" s="454">
        <f t="shared" si="253"/>
        <v>13.176000000000002</v>
      </c>
      <c r="AN397" s="454">
        <f t="shared" si="254"/>
        <v>0.23220432000000002</v>
      </c>
      <c r="AO397" s="454">
        <f t="shared" si="255"/>
        <v>283</v>
      </c>
      <c r="AP397" s="454">
        <f t="shared" si="256"/>
        <v>6967620</v>
      </c>
      <c r="AQ397" s="230">
        <f t="shared" si="257"/>
        <v>7303098</v>
      </c>
      <c r="AR397" s="397">
        <f t="shared" si="258"/>
        <v>10242180</v>
      </c>
      <c r="AS397" s="397">
        <f t="shared" si="259"/>
        <v>10735322</v>
      </c>
    </row>
    <row r="398" spans="1:45" ht="15.75">
      <c r="A398" s="228">
        <v>30</v>
      </c>
      <c r="B398" s="228" t="str">
        <f t="shared" si="223"/>
        <v>FRUTA_30</v>
      </c>
      <c r="C398" s="338" t="str">
        <f t="shared" si="224"/>
        <v>36_30</v>
      </c>
      <c r="D398" s="398" t="s">
        <v>1</v>
      </c>
      <c r="E398" s="228">
        <v>36</v>
      </c>
      <c r="F398" s="332" t="s">
        <v>1340</v>
      </c>
      <c r="G398" s="228" t="s">
        <v>9</v>
      </c>
      <c r="H398" s="427">
        <f t="shared" si="225"/>
        <v>8</v>
      </c>
      <c r="I398" s="427">
        <f t="shared" si="226"/>
        <v>0</v>
      </c>
      <c r="J398" s="428">
        <f t="array" ref="J398">MAX((IF(MNU_CODIGO_ALIMENTO_ENTREGA=CONCATENATE($E398,"_","S_"),MNU_GRAMAJE_REQUERIDO_TIPOA,"")))</f>
        <v>20</v>
      </c>
      <c r="K398" s="229">
        <f t="shared" si="227"/>
        <v>304</v>
      </c>
      <c r="L398" s="229">
        <f t="shared" si="228"/>
        <v>0</v>
      </c>
      <c r="M398" s="229">
        <f t="shared" si="229"/>
        <v>2432</v>
      </c>
      <c r="N398" s="454">
        <f t="shared" si="230"/>
        <v>126</v>
      </c>
      <c r="O398" s="454">
        <f t="shared" si="231"/>
        <v>6.1488000000000005</v>
      </c>
      <c r="P398" s="454">
        <f t="shared" si="232"/>
        <v>0.10836201599999999</v>
      </c>
      <c r="Q398" s="454">
        <f t="shared" si="233"/>
        <v>132</v>
      </c>
      <c r="R398" s="230">
        <f t="shared" si="234"/>
        <v>306432</v>
      </c>
      <c r="S398" s="230">
        <f t="shared" si="235"/>
        <v>321024</v>
      </c>
      <c r="T398" s="429">
        <f t="shared" si="236"/>
        <v>8</v>
      </c>
      <c r="U398" s="429">
        <f t="shared" si="237"/>
        <v>0</v>
      </c>
      <c r="V398" s="430">
        <f t="array" ref="V398">MAX((IF(MNU_CODIGO_ALIMENTO_ENTREGA=CONCATENATE($E398,"_","S_"),MNU_GRAMAJE_REQUERIDO_TIPOB,"")))</f>
        <v>40</v>
      </c>
      <c r="W398" s="397">
        <f t="shared" si="238"/>
        <v>144</v>
      </c>
      <c r="X398" s="397">
        <f t="shared" si="239"/>
        <v>0</v>
      </c>
      <c r="Y398" s="397">
        <f t="shared" si="240"/>
        <v>1152</v>
      </c>
      <c r="Z398" s="454">
        <f t="shared" si="241"/>
        <v>252</v>
      </c>
      <c r="AA398" s="454">
        <f t="shared" si="242"/>
        <v>12.297600000000001</v>
      </c>
      <c r="AB398" s="454">
        <f t="shared" si="243"/>
        <v>0.21672403199999998</v>
      </c>
      <c r="AC398" s="454">
        <f t="shared" si="244"/>
        <v>265</v>
      </c>
      <c r="AD398" s="231">
        <f t="shared" si="245"/>
        <v>290304</v>
      </c>
      <c r="AE398" s="231">
        <f t="shared" si="246"/>
        <v>305280</v>
      </c>
      <c r="AF398" s="427">
        <f t="shared" si="247"/>
        <v>8</v>
      </c>
      <c r="AG398" s="427">
        <f t="shared" si="248"/>
        <v>0</v>
      </c>
      <c r="AH398" s="428">
        <f t="array" ref="AH398">MAX((IF(MNU_CODIGO_ALIMENTO_ENTREGA=CONCATENATE($E398,"_","S_"),MNU_GRAMAJE_REQUERIDO_TIPOC,"")))</f>
        <v>40</v>
      </c>
      <c r="AI398" s="229">
        <f t="shared" si="249"/>
        <v>1122</v>
      </c>
      <c r="AJ398" s="229">
        <f t="shared" si="250"/>
        <v>0</v>
      </c>
      <c r="AK398" s="229">
        <f t="shared" si="251"/>
        <v>8976</v>
      </c>
      <c r="AL398" s="454">
        <f t="shared" si="252"/>
        <v>252</v>
      </c>
      <c r="AM398" s="454">
        <f t="shared" si="253"/>
        <v>12.297600000000001</v>
      </c>
      <c r="AN398" s="454">
        <f t="shared" si="254"/>
        <v>0.21672403199999998</v>
      </c>
      <c r="AO398" s="454">
        <f t="shared" si="255"/>
        <v>265</v>
      </c>
      <c r="AP398" s="454">
        <f t="shared" si="256"/>
        <v>2261952</v>
      </c>
      <c r="AQ398" s="230">
        <f t="shared" si="257"/>
        <v>2378640</v>
      </c>
      <c r="AR398" s="397">
        <f t="shared" si="258"/>
        <v>2858688</v>
      </c>
      <c r="AS398" s="397">
        <f t="shared" si="259"/>
        <v>3004944</v>
      </c>
    </row>
    <row r="399" spans="1:45" ht="15.75">
      <c r="A399" s="228">
        <v>30</v>
      </c>
      <c r="B399" s="228" t="str">
        <f t="shared" si="223"/>
        <v>FRUTA_30</v>
      </c>
      <c r="C399" s="338" t="str">
        <f t="shared" si="224"/>
        <v>42_30</v>
      </c>
      <c r="D399" s="398" t="s">
        <v>1</v>
      </c>
      <c r="E399" s="228">
        <v>42</v>
      </c>
      <c r="F399" s="332" t="s">
        <v>61</v>
      </c>
      <c r="G399" s="228" t="s">
        <v>9</v>
      </c>
      <c r="H399" s="427">
        <f t="shared" si="225"/>
        <v>36</v>
      </c>
      <c r="I399" s="427">
        <f t="shared" si="226"/>
        <v>8</v>
      </c>
      <c r="J399" s="428">
        <f t="array" ref="J399">MAX((IF(MNU_CODIGO_ALIMENTO_ENTREGA=CONCATENATE($E399,"_","S_"),MNU_GRAMAJE_REQUERIDO_TIPOA,"")))</f>
        <v>100</v>
      </c>
      <c r="K399" s="229">
        <f t="shared" si="227"/>
        <v>304</v>
      </c>
      <c r="L399" s="229">
        <f t="shared" si="228"/>
        <v>0</v>
      </c>
      <c r="M399" s="229">
        <f t="shared" si="229"/>
        <v>10944</v>
      </c>
      <c r="N399" s="454">
        <f t="shared" si="230"/>
        <v>194</v>
      </c>
      <c r="O399" s="454">
        <f t="shared" si="231"/>
        <v>9.4672000000000001</v>
      </c>
      <c r="P399" s="454">
        <f t="shared" si="232"/>
        <v>0.16684310399999999</v>
      </c>
      <c r="Q399" s="454">
        <f t="shared" si="233"/>
        <v>204</v>
      </c>
      <c r="R399" s="230">
        <f t="shared" si="234"/>
        <v>2123136</v>
      </c>
      <c r="S399" s="230">
        <f t="shared" si="235"/>
        <v>2232576</v>
      </c>
      <c r="T399" s="429">
        <f t="shared" si="236"/>
        <v>19</v>
      </c>
      <c r="U399" s="429">
        <f t="shared" si="237"/>
        <v>8</v>
      </c>
      <c r="V399" s="430">
        <f t="array" ref="V399">MAX((IF(MNU_CODIGO_ALIMENTO_ENTREGA=CONCATENATE($E399,"_","S_"),MNU_GRAMAJE_REQUERIDO_TIPOB,"")))</f>
        <v>100</v>
      </c>
      <c r="W399" s="397">
        <f t="shared" si="238"/>
        <v>144</v>
      </c>
      <c r="X399" s="397">
        <f t="shared" si="239"/>
        <v>0</v>
      </c>
      <c r="Y399" s="397">
        <f t="shared" si="240"/>
        <v>2736</v>
      </c>
      <c r="Z399" s="454">
        <f t="shared" si="241"/>
        <v>194</v>
      </c>
      <c r="AA399" s="454">
        <f t="shared" si="242"/>
        <v>9.4672000000000001</v>
      </c>
      <c r="AB399" s="454">
        <f t="shared" si="243"/>
        <v>0.16684310399999999</v>
      </c>
      <c r="AC399" s="454">
        <f t="shared" si="244"/>
        <v>204</v>
      </c>
      <c r="AD399" s="231">
        <f t="shared" si="245"/>
        <v>530784</v>
      </c>
      <c r="AE399" s="231">
        <f t="shared" si="246"/>
        <v>558144</v>
      </c>
      <c r="AF399" s="427">
        <f t="shared" si="247"/>
        <v>19</v>
      </c>
      <c r="AG399" s="427">
        <f t="shared" si="248"/>
        <v>8</v>
      </c>
      <c r="AH399" s="428">
        <f t="array" ref="AH399">MAX((IF(MNU_CODIGO_ALIMENTO_ENTREGA=CONCATENATE($E399,"_","S_"),MNU_GRAMAJE_REQUERIDO_TIPOC,"")))</f>
        <v>100</v>
      </c>
      <c r="AI399" s="229">
        <f t="shared" si="249"/>
        <v>1122</v>
      </c>
      <c r="AJ399" s="229">
        <f t="shared" si="250"/>
        <v>0</v>
      </c>
      <c r="AK399" s="229">
        <f t="shared" si="251"/>
        <v>21318</v>
      </c>
      <c r="AL399" s="454">
        <f t="shared" si="252"/>
        <v>194</v>
      </c>
      <c r="AM399" s="454">
        <f t="shared" si="253"/>
        <v>9.4672000000000001</v>
      </c>
      <c r="AN399" s="454">
        <f t="shared" si="254"/>
        <v>0.16684310399999999</v>
      </c>
      <c r="AO399" s="454">
        <f t="shared" si="255"/>
        <v>204</v>
      </c>
      <c r="AP399" s="454">
        <f t="shared" si="256"/>
        <v>4135692</v>
      </c>
      <c r="AQ399" s="230">
        <f t="shared" si="257"/>
        <v>4348872</v>
      </c>
      <c r="AR399" s="397">
        <f t="shared" si="258"/>
        <v>6789612</v>
      </c>
      <c r="AS399" s="397">
        <f t="shared" si="259"/>
        <v>7139592</v>
      </c>
    </row>
    <row r="400" spans="1:45" ht="15.75">
      <c r="A400" s="228">
        <v>30</v>
      </c>
      <c r="B400" s="228" t="str">
        <f t="shared" si="223"/>
        <v>FRUTA_30</v>
      </c>
      <c r="C400" s="338" t="str">
        <f t="shared" si="224"/>
        <v>43_30</v>
      </c>
      <c r="D400" s="398" t="s">
        <v>1</v>
      </c>
      <c r="E400" s="228">
        <v>43</v>
      </c>
      <c r="F400" s="332" t="s">
        <v>62</v>
      </c>
      <c r="G400" s="228" t="s">
        <v>9</v>
      </c>
      <c r="H400" s="427">
        <f t="shared" si="225"/>
        <v>29</v>
      </c>
      <c r="I400" s="427">
        <f t="shared" si="226"/>
        <v>6</v>
      </c>
      <c r="J400" s="428">
        <f t="array" ref="J400">MAX((IF(MNU_CODIGO_ALIMENTO_ENTREGA=CONCATENATE($E400,"_","S_"),MNU_GRAMAJE_REQUERIDO_TIPOA,"")))</f>
        <v>100</v>
      </c>
      <c r="K400" s="229">
        <f t="shared" si="227"/>
        <v>304</v>
      </c>
      <c r="L400" s="229">
        <f t="shared" si="228"/>
        <v>0</v>
      </c>
      <c r="M400" s="229">
        <f t="shared" si="229"/>
        <v>8816</v>
      </c>
      <c r="N400" s="454">
        <f t="shared" si="230"/>
        <v>170</v>
      </c>
      <c r="O400" s="454">
        <f t="shared" si="231"/>
        <v>8.2959999999999994</v>
      </c>
      <c r="P400" s="454">
        <f t="shared" si="232"/>
        <v>0.14620272000000001</v>
      </c>
      <c r="Q400" s="454">
        <f t="shared" si="233"/>
        <v>178</v>
      </c>
      <c r="R400" s="230">
        <f t="shared" si="234"/>
        <v>1498720</v>
      </c>
      <c r="S400" s="230">
        <f t="shared" si="235"/>
        <v>1569248</v>
      </c>
      <c r="T400" s="429">
        <f t="shared" si="236"/>
        <v>23</v>
      </c>
      <c r="U400" s="429">
        <f t="shared" si="237"/>
        <v>1</v>
      </c>
      <c r="V400" s="430">
        <f t="array" ref="V400">MAX((IF(MNU_CODIGO_ALIMENTO_ENTREGA=CONCATENATE($E400,"_","S_"),MNU_GRAMAJE_REQUERIDO_TIPOB,"")))</f>
        <v>100</v>
      </c>
      <c r="W400" s="397">
        <f t="shared" si="238"/>
        <v>144</v>
      </c>
      <c r="X400" s="397">
        <f t="shared" si="239"/>
        <v>0</v>
      </c>
      <c r="Y400" s="397">
        <f t="shared" si="240"/>
        <v>3312</v>
      </c>
      <c r="Z400" s="454">
        <f t="shared" si="241"/>
        <v>170</v>
      </c>
      <c r="AA400" s="454">
        <f t="shared" si="242"/>
        <v>8.2959999999999994</v>
      </c>
      <c r="AB400" s="454">
        <f t="shared" si="243"/>
        <v>0.14620272000000001</v>
      </c>
      <c r="AC400" s="454">
        <f t="shared" si="244"/>
        <v>178</v>
      </c>
      <c r="AD400" s="231">
        <f t="shared" si="245"/>
        <v>563040</v>
      </c>
      <c r="AE400" s="231">
        <f t="shared" si="246"/>
        <v>589536</v>
      </c>
      <c r="AF400" s="427">
        <f t="shared" si="247"/>
        <v>23</v>
      </c>
      <c r="AG400" s="427">
        <f t="shared" si="248"/>
        <v>1</v>
      </c>
      <c r="AH400" s="428">
        <f t="array" ref="AH400">MAX((IF(MNU_CODIGO_ALIMENTO_ENTREGA=CONCATENATE($E400,"_","S_"),MNU_GRAMAJE_REQUERIDO_TIPOC,"")))</f>
        <v>100</v>
      </c>
      <c r="AI400" s="229">
        <f t="shared" si="249"/>
        <v>1122</v>
      </c>
      <c r="AJ400" s="229">
        <f t="shared" si="250"/>
        <v>0</v>
      </c>
      <c r="AK400" s="229">
        <f t="shared" si="251"/>
        <v>25806</v>
      </c>
      <c r="AL400" s="454">
        <f t="shared" si="252"/>
        <v>170</v>
      </c>
      <c r="AM400" s="454">
        <f t="shared" si="253"/>
        <v>8.2959999999999994</v>
      </c>
      <c r="AN400" s="454">
        <f t="shared" si="254"/>
        <v>0.14620272000000001</v>
      </c>
      <c r="AO400" s="454">
        <f t="shared" si="255"/>
        <v>178</v>
      </c>
      <c r="AP400" s="454">
        <f t="shared" si="256"/>
        <v>4387020</v>
      </c>
      <c r="AQ400" s="230">
        <f t="shared" si="257"/>
        <v>4593468</v>
      </c>
      <c r="AR400" s="397">
        <f t="shared" si="258"/>
        <v>6448780</v>
      </c>
      <c r="AS400" s="397">
        <f t="shared" si="259"/>
        <v>6752252</v>
      </c>
    </row>
    <row r="401" spans="1:45" ht="15.75">
      <c r="A401" s="228">
        <v>30</v>
      </c>
      <c r="B401" s="228" t="str">
        <f t="shared" si="223"/>
        <v>FRUTA_30</v>
      </c>
      <c r="C401" s="338" t="str">
        <f t="shared" si="224"/>
        <v>46_30</v>
      </c>
      <c r="D401" s="398" t="s">
        <v>1</v>
      </c>
      <c r="E401" s="228">
        <v>46</v>
      </c>
      <c r="F401" s="332" t="s">
        <v>64</v>
      </c>
      <c r="G401" s="228" t="s">
        <v>9</v>
      </c>
      <c r="H401" s="427">
        <f t="shared" si="225"/>
        <v>29</v>
      </c>
      <c r="I401" s="427">
        <f t="shared" si="226"/>
        <v>4</v>
      </c>
      <c r="J401" s="428">
        <f t="array" ref="J401">MAX((IF(MNU_CODIGO_ALIMENTO_ENTREGA=CONCATENATE($E401,"_","S_"),MNU_GRAMAJE_REQUERIDO_TIPOA,"")))</f>
        <v>100</v>
      </c>
      <c r="K401" s="229">
        <f t="shared" si="227"/>
        <v>304</v>
      </c>
      <c r="L401" s="229">
        <f t="shared" si="228"/>
        <v>0</v>
      </c>
      <c r="M401" s="229">
        <f t="shared" si="229"/>
        <v>8816</v>
      </c>
      <c r="N401" s="454">
        <f t="shared" si="230"/>
        <v>398</v>
      </c>
      <c r="O401" s="454">
        <f t="shared" si="231"/>
        <v>19.4224</v>
      </c>
      <c r="P401" s="454">
        <f t="shared" si="232"/>
        <v>0.34228636800000001</v>
      </c>
      <c r="Q401" s="454">
        <f t="shared" si="233"/>
        <v>418</v>
      </c>
      <c r="R401" s="230">
        <f t="shared" si="234"/>
        <v>3508768</v>
      </c>
      <c r="S401" s="230">
        <f t="shared" si="235"/>
        <v>3685088</v>
      </c>
      <c r="T401" s="429">
        <f t="shared" si="236"/>
        <v>24</v>
      </c>
      <c r="U401" s="429">
        <f t="shared" si="237"/>
        <v>3</v>
      </c>
      <c r="V401" s="430">
        <f t="array" ref="V401">MAX((IF(MNU_CODIGO_ALIMENTO_ENTREGA=CONCATENATE($E401,"_","S_"),MNU_GRAMAJE_REQUERIDO_TIPOB,"")))</f>
        <v>100</v>
      </c>
      <c r="W401" s="397">
        <f t="shared" si="238"/>
        <v>144</v>
      </c>
      <c r="X401" s="397">
        <f t="shared" si="239"/>
        <v>0</v>
      </c>
      <c r="Y401" s="397">
        <f t="shared" si="240"/>
        <v>3456</v>
      </c>
      <c r="Z401" s="454">
        <f t="shared" si="241"/>
        <v>398</v>
      </c>
      <c r="AA401" s="454">
        <f t="shared" si="242"/>
        <v>19.4224</v>
      </c>
      <c r="AB401" s="454">
        <f t="shared" si="243"/>
        <v>0.34228636800000001</v>
      </c>
      <c r="AC401" s="454">
        <f t="shared" si="244"/>
        <v>418</v>
      </c>
      <c r="AD401" s="231">
        <f t="shared" si="245"/>
        <v>1375488</v>
      </c>
      <c r="AE401" s="231">
        <f t="shared" si="246"/>
        <v>1444608</v>
      </c>
      <c r="AF401" s="427">
        <f t="shared" si="247"/>
        <v>24</v>
      </c>
      <c r="AG401" s="427">
        <f t="shared" si="248"/>
        <v>3</v>
      </c>
      <c r="AH401" s="428">
        <f t="array" ref="AH401">MAX((IF(MNU_CODIGO_ALIMENTO_ENTREGA=CONCATENATE($E401,"_","S_"),MNU_GRAMAJE_REQUERIDO_TIPOC,"")))</f>
        <v>100</v>
      </c>
      <c r="AI401" s="229">
        <f t="shared" si="249"/>
        <v>1122</v>
      </c>
      <c r="AJ401" s="229">
        <f t="shared" si="250"/>
        <v>0</v>
      </c>
      <c r="AK401" s="229">
        <f t="shared" si="251"/>
        <v>26928</v>
      </c>
      <c r="AL401" s="454">
        <f t="shared" si="252"/>
        <v>398</v>
      </c>
      <c r="AM401" s="454">
        <f t="shared" si="253"/>
        <v>19.4224</v>
      </c>
      <c r="AN401" s="454">
        <f t="shared" si="254"/>
        <v>0.34228636800000001</v>
      </c>
      <c r="AO401" s="454">
        <f t="shared" si="255"/>
        <v>418</v>
      </c>
      <c r="AP401" s="454">
        <f t="shared" si="256"/>
        <v>10717344</v>
      </c>
      <c r="AQ401" s="230">
        <f t="shared" si="257"/>
        <v>11255904</v>
      </c>
      <c r="AR401" s="397">
        <f t="shared" si="258"/>
        <v>15601600</v>
      </c>
      <c r="AS401" s="397">
        <f t="shared" si="259"/>
        <v>16385600</v>
      </c>
    </row>
    <row r="402" spans="1:45" ht="15.75">
      <c r="A402" s="228">
        <v>30</v>
      </c>
      <c r="B402" s="228" t="str">
        <f t="shared" si="223"/>
        <v>FRUTA_30</v>
      </c>
      <c r="C402" s="338" t="str">
        <f t="shared" si="224"/>
        <v>58_30</v>
      </c>
      <c r="D402" s="398" t="s">
        <v>1</v>
      </c>
      <c r="E402" s="228">
        <v>58</v>
      </c>
      <c r="F402" s="332" t="s">
        <v>67</v>
      </c>
      <c r="G402" s="228" t="s">
        <v>9</v>
      </c>
      <c r="H402" s="427">
        <f t="shared" si="225"/>
        <v>28</v>
      </c>
      <c r="I402" s="427">
        <f t="shared" si="226"/>
        <v>5</v>
      </c>
      <c r="J402" s="428">
        <f t="array" ref="J402">MAX((IF(MNU_CODIGO_ALIMENTO_ENTREGA=CONCATENATE($E402,"_","S_"),MNU_GRAMAJE_REQUERIDO_TIPOA,"")))</f>
        <v>100</v>
      </c>
      <c r="K402" s="229">
        <f t="shared" si="227"/>
        <v>304</v>
      </c>
      <c r="L402" s="229">
        <f t="shared" si="228"/>
        <v>0</v>
      </c>
      <c r="M402" s="229">
        <f t="shared" si="229"/>
        <v>8512</v>
      </c>
      <c r="N402" s="454">
        <f t="shared" si="230"/>
        <v>154</v>
      </c>
      <c r="O402" s="454">
        <f t="shared" si="231"/>
        <v>7.515200000000001</v>
      </c>
      <c r="P402" s="454">
        <f t="shared" si="232"/>
        <v>0.13244246400000001</v>
      </c>
      <c r="Q402" s="454">
        <f t="shared" si="233"/>
        <v>162</v>
      </c>
      <c r="R402" s="230">
        <f t="shared" si="234"/>
        <v>1310848</v>
      </c>
      <c r="S402" s="230">
        <f t="shared" si="235"/>
        <v>1378944</v>
      </c>
      <c r="T402" s="429">
        <f t="shared" si="236"/>
        <v>23</v>
      </c>
      <c r="U402" s="429">
        <f t="shared" si="237"/>
        <v>3</v>
      </c>
      <c r="V402" s="430">
        <f t="array" ref="V402">MAX((IF(MNU_CODIGO_ALIMENTO_ENTREGA=CONCATENATE($E402,"_","S_"),MNU_GRAMAJE_REQUERIDO_TIPOB,"")))</f>
        <v>100</v>
      </c>
      <c r="W402" s="397">
        <f t="shared" si="238"/>
        <v>144</v>
      </c>
      <c r="X402" s="397">
        <f t="shared" si="239"/>
        <v>0</v>
      </c>
      <c r="Y402" s="397">
        <f t="shared" si="240"/>
        <v>3312</v>
      </c>
      <c r="Z402" s="454">
        <f t="shared" si="241"/>
        <v>154</v>
      </c>
      <c r="AA402" s="454">
        <f t="shared" si="242"/>
        <v>7.515200000000001</v>
      </c>
      <c r="AB402" s="454">
        <f t="shared" si="243"/>
        <v>0.13244246400000001</v>
      </c>
      <c r="AC402" s="454">
        <f t="shared" si="244"/>
        <v>162</v>
      </c>
      <c r="AD402" s="231">
        <f t="shared" si="245"/>
        <v>510048</v>
      </c>
      <c r="AE402" s="231">
        <f t="shared" si="246"/>
        <v>536544</v>
      </c>
      <c r="AF402" s="427">
        <f t="shared" si="247"/>
        <v>23</v>
      </c>
      <c r="AG402" s="427">
        <f t="shared" si="248"/>
        <v>3</v>
      </c>
      <c r="AH402" s="428">
        <f t="array" ref="AH402">MAX((IF(MNU_CODIGO_ALIMENTO_ENTREGA=CONCATENATE($E402,"_","S_"),MNU_GRAMAJE_REQUERIDO_TIPOC,"")))</f>
        <v>100</v>
      </c>
      <c r="AI402" s="229">
        <f t="shared" si="249"/>
        <v>1122</v>
      </c>
      <c r="AJ402" s="229">
        <f t="shared" si="250"/>
        <v>0</v>
      </c>
      <c r="AK402" s="229">
        <f t="shared" si="251"/>
        <v>25806</v>
      </c>
      <c r="AL402" s="454">
        <f t="shared" si="252"/>
        <v>154</v>
      </c>
      <c r="AM402" s="454">
        <f t="shared" si="253"/>
        <v>7.515200000000001</v>
      </c>
      <c r="AN402" s="454">
        <f t="shared" si="254"/>
        <v>0.13244246400000001</v>
      </c>
      <c r="AO402" s="454">
        <f t="shared" si="255"/>
        <v>162</v>
      </c>
      <c r="AP402" s="454">
        <f t="shared" si="256"/>
        <v>3974124</v>
      </c>
      <c r="AQ402" s="230">
        <f t="shared" si="257"/>
        <v>4180572</v>
      </c>
      <c r="AR402" s="397">
        <f t="shared" si="258"/>
        <v>5795020</v>
      </c>
      <c r="AS402" s="397">
        <f t="shared" si="259"/>
        <v>6096060</v>
      </c>
    </row>
    <row r="403" spans="1:45" ht="15.75">
      <c r="A403" s="228">
        <v>30</v>
      </c>
      <c r="B403" s="228" t="str">
        <f t="shared" si="223"/>
        <v>FRUTA_30</v>
      </c>
      <c r="C403" s="338" t="str">
        <f t="shared" si="224"/>
        <v>59_30</v>
      </c>
      <c r="D403" s="398" t="s">
        <v>1</v>
      </c>
      <c r="E403" s="228">
        <v>59</v>
      </c>
      <c r="F403" s="332" t="s">
        <v>99</v>
      </c>
      <c r="G403" s="228" t="s">
        <v>9</v>
      </c>
      <c r="H403" s="427">
        <f t="shared" si="225"/>
        <v>0</v>
      </c>
      <c r="I403" s="427">
        <f t="shared" si="226"/>
        <v>0</v>
      </c>
      <c r="J403" s="428">
        <f t="array" ref="J403">MAX((IF(MNU_CODIGO_ALIMENTO_ENTREGA=CONCATENATE($E403,"_","S_"),MNU_GRAMAJE_REQUERIDO_TIPOA,"")))</f>
        <v>0</v>
      </c>
      <c r="K403" s="229">
        <f t="shared" si="227"/>
        <v>304</v>
      </c>
      <c r="L403" s="229">
        <f t="shared" si="228"/>
        <v>0</v>
      </c>
      <c r="M403" s="229">
        <f t="shared" si="229"/>
        <v>0</v>
      </c>
      <c r="N403" s="454">
        <f t="shared" si="230"/>
        <v>0</v>
      </c>
      <c r="O403" s="454">
        <f t="shared" si="231"/>
        <v>0</v>
      </c>
      <c r="P403" s="454">
        <f t="shared" si="232"/>
        <v>0</v>
      </c>
      <c r="Q403" s="454">
        <f t="shared" si="233"/>
        <v>0</v>
      </c>
      <c r="R403" s="230">
        <f t="shared" si="234"/>
        <v>0</v>
      </c>
      <c r="S403" s="230">
        <f t="shared" si="235"/>
        <v>0</v>
      </c>
      <c r="T403" s="429">
        <f t="shared" si="236"/>
        <v>11</v>
      </c>
      <c r="U403" s="429">
        <f t="shared" si="237"/>
        <v>0</v>
      </c>
      <c r="V403" s="430">
        <f t="array" ref="V403">MAX((IF(MNU_CODIGO_ALIMENTO_ENTREGA=CONCATENATE($E403,"_","S_"),MNU_GRAMAJE_REQUERIDO_TIPOB,"")))</f>
        <v>100</v>
      </c>
      <c r="W403" s="397">
        <f t="shared" si="238"/>
        <v>144</v>
      </c>
      <c r="X403" s="397">
        <f t="shared" si="239"/>
        <v>0</v>
      </c>
      <c r="Y403" s="397">
        <f t="shared" si="240"/>
        <v>1584</v>
      </c>
      <c r="Z403" s="454">
        <f t="shared" si="241"/>
        <v>286</v>
      </c>
      <c r="AA403" s="454">
        <f t="shared" si="242"/>
        <v>13.956800000000001</v>
      </c>
      <c r="AB403" s="454">
        <f t="shared" si="243"/>
        <v>0.24596457599999999</v>
      </c>
      <c r="AC403" s="454">
        <f t="shared" si="244"/>
        <v>300</v>
      </c>
      <c r="AD403" s="231">
        <f t="shared" si="245"/>
        <v>453024</v>
      </c>
      <c r="AE403" s="231">
        <f t="shared" si="246"/>
        <v>475200</v>
      </c>
      <c r="AF403" s="427">
        <f t="shared" si="247"/>
        <v>11</v>
      </c>
      <c r="AG403" s="427">
        <f t="shared" si="248"/>
        <v>0</v>
      </c>
      <c r="AH403" s="428">
        <f t="array" ref="AH403">MAX((IF(MNU_CODIGO_ALIMENTO_ENTREGA=CONCATENATE($E403,"_","S_"),MNU_GRAMAJE_REQUERIDO_TIPOC,"")))</f>
        <v>100</v>
      </c>
      <c r="AI403" s="229">
        <f t="shared" si="249"/>
        <v>1122</v>
      </c>
      <c r="AJ403" s="229">
        <f t="shared" si="250"/>
        <v>0</v>
      </c>
      <c r="AK403" s="229">
        <f t="shared" si="251"/>
        <v>12342</v>
      </c>
      <c r="AL403" s="454">
        <f t="shared" si="252"/>
        <v>286</v>
      </c>
      <c r="AM403" s="454">
        <f t="shared" si="253"/>
        <v>13.956800000000001</v>
      </c>
      <c r="AN403" s="454">
        <f t="shared" si="254"/>
        <v>0.24596457599999999</v>
      </c>
      <c r="AO403" s="454">
        <f t="shared" si="255"/>
        <v>300</v>
      </c>
      <c r="AP403" s="454">
        <f t="shared" si="256"/>
        <v>3529812</v>
      </c>
      <c r="AQ403" s="230">
        <f t="shared" si="257"/>
        <v>3702600</v>
      </c>
      <c r="AR403" s="397">
        <f t="shared" si="258"/>
        <v>3982836</v>
      </c>
      <c r="AS403" s="397">
        <f t="shared" si="259"/>
        <v>4177800</v>
      </c>
    </row>
    <row r="404" spans="1:45" ht="15.75">
      <c r="A404" s="228">
        <v>30</v>
      </c>
      <c r="B404" s="228" t="str">
        <f t="shared" si="223"/>
        <v>FRUTA_30</v>
      </c>
      <c r="C404" s="338" t="str">
        <f t="shared" si="224"/>
        <v>69_30</v>
      </c>
      <c r="D404" s="398" t="s">
        <v>1</v>
      </c>
      <c r="E404" s="228">
        <v>69</v>
      </c>
      <c r="F404" s="332" t="s">
        <v>70</v>
      </c>
      <c r="G404" s="228" t="s">
        <v>9</v>
      </c>
      <c r="H404" s="427">
        <f t="shared" si="225"/>
        <v>18</v>
      </c>
      <c r="I404" s="427">
        <f t="shared" si="226"/>
        <v>2</v>
      </c>
      <c r="J404" s="428">
        <f t="array" ref="J404">MAX((IF(MNU_CODIGO_ALIMENTO_ENTREGA=CONCATENATE($E404,"_","S_"),MNU_GRAMAJE_REQUERIDO_TIPOA,"")))</f>
        <v>100</v>
      </c>
      <c r="K404" s="229">
        <f t="shared" si="227"/>
        <v>304</v>
      </c>
      <c r="L404" s="229">
        <f t="shared" si="228"/>
        <v>0</v>
      </c>
      <c r="M404" s="229">
        <f t="shared" si="229"/>
        <v>5472</v>
      </c>
      <c r="N404" s="454">
        <f t="shared" si="230"/>
        <v>305</v>
      </c>
      <c r="O404" s="454">
        <f t="shared" si="231"/>
        <v>14.884</v>
      </c>
      <c r="P404" s="454">
        <f t="shared" si="232"/>
        <v>0.26230488000000002</v>
      </c>
      <c r="Q404" s="454">
        <f t="shared" si="233"/>
        <v>320</v>
      </c>
      <c r="R404" s="230">
        <f t="shared" si="234"/>
        <v>1668960</v>
      </c>
      <c r="S404" s="230">
        <f t="shared" si="235"/>
        <v>1751040</v>
      </c>
      <c r="T404" s="429">
        <f t="shared" si="236"/>
        <v>12</v>
      </c>
      <c r="U404" s="429">
        <f t="shared" si="237"/>
        <v>2</v>
      </c>
      <c r="V404" s="430">
        <f t="array" ref="V404">MAX((IF(MNU_CODIGO_ALIMENTO_ENTREGA=CONCATENATE($E404,"_","S_"),MNU_GRAMAJE_REQUERIDO_TIPOB,"")))</f>
        <v>100</v>
      </c>
      <c r="W404" s="397">
        <f t="shared" si="238"/>
        <v>144</v>
      </c>
      <c r="X404" s="397">
        <f t="shared" si="239"/>
        <v>0</v>
      </c>
      <c r="Y404" s="397">
        <f t="shared" si="240"/>
        <v>1728</v>
      </c>
      <c r="Z404" s="454">
        <f t="shared" si="241"/>
        <v>305</v>
      </c>
      <c r="AA404" s="454">
        <f t="shared" si="242"/>
        <v>14.884</v>
      </c>
      <c r="AB404" s="454">
        <f t="shared" si="243"/>
        <v>0.26230488000000002</v>
      </c>
      <c r="AC404" s="454">
        <f t="shared" si="244"/>
        <v>320</v>
      </c>
      <c r="AD404" s="231">
        <f t="shared" si="245"/>
        <v>527040</v>
      </c>
      <c r="AE404" s="231">
        <f t="shared" si="246"/>
        <v>552960</v>
      </c>
      <c r="AF404" s="427">
        <f t="shared" si="247"/>
        <v>12</v>
      </c>
      <c r="AG404" s="427">
        <f t="shared" si="248"/>
        <v>2</v>
      </c>
      <c r="AH404" s="428">
        <f t="array" ref="AH404">MAX((IF(MNU_CODIGO_ALIMENTO_ENTREGA=CONCATENATE($E404,"_","S_"),MNU_GRAMAJE_REQUERIDO_TIPOC,"")))</f>
        <v>100</v>
      </c>
      <c r="AI404" s="229">
        <f t="shared" si="249"/>
        <v>1122</v>
      </c>
      <c r="AJ404" s="229">
        <f t="shared" si="250"/>
        <v>0</v>
      </c>
      <c r="AK404" s="229">
        <f t="shared" si="251"/>
        <v>13464</v>
      </c>
      <c r="AL404" s="454">
        <f t="shared" si="252"/>
        <v>305</v>
      </c>
      <c r="AM404" s="454">
        <f t="shared" si="253"/>
        <v>14.884</v>
      </c>
      <c r="AN404" s="454">
        <f t="shared" si="254"/>
        <v>0.26230488000000002</v>
      </c>
      <c r="AO404" s="454">
        <f t="shared" si="255"/>
        <v>320</v>
      </c>
      <c r="AP404" s="454">
        <f t="shared" si="256"/>
        <v>4106520</v>
      </c>
      <c r="AQ404" s="230">
        <f t="shared" si="257"/>
        <v>4308480</v>
      </c>
      <c r="AR404" s="397">
        <f t="shared" si="258"/>
        <v>6302520</v>
      </c>
      <c r="AS404" s="397">
        <f t="shared" si="259"/>
        <v>6612480</v>
      </c>
    </row>
    <row r="405" spans="1:45" ht="15.75">
      <c r="A405" s="228">
        <v>30</v>
      </c>
      <c r="B405" s="228" t="str">
        <f t="shared" si="223"/>
        <v>FRUTA_30</v>
      </c>
      <c r="C405" s="338" t="str">
        <f t="shared" si="224"/>
        <v>70_30</v>
      </c>
      <c r="D405" s="398" t="s">
        <v>1</v>
      </c>
      <c r="E405" s="228">
        <v>70</v>
      </c>
      <c r="F405" s="332" t="s">
        <v>71</v>
      </c>
      <c r="G405" s="228" t="s">
        <v>9</v>
      </c>
      <c r="H405" s="427">
        <f t="shared" si="225"/>
        <v>0</v>
      </c>
      <c r="I405" s="427">
        <f t="shared" si="226"/>
        <v>0</v>
      </c>
      <c r="J405" s="428">
        <f t="array" ref="J405">MAX((IF(MNU_CODIGO_ALIMENTO_ENTREGA=CONCATENATE($E405,"_","S_"),MNU_GRAMAJE_REQUERIDO_TIPOA,"")))</f>
        <v>0</v>
      </c>
      <c r="K405" s="229">
        <f t="shared" si="227"/>
        <v>304</v>
      </c>
      <c r="L405" s="229">
        <f t="shared" si="228"/>
        <v>0</v>
      </c>
      <c r="M405" s="229">
        <f t="shared" si="229"/>
        <v>0</v>
      </c>
      <c r="N405" s="454">
        <f t="shared" si="230"/>
        <v>0</v>
      </c>
      <c r="O405" s="454">
        <f t="shared" si="231"/>
        <v>0</v>
      </c>
      <c r="P405" s="454">
        <f t="shared" si="232"/>
        <v>0</v>
      </c>
      <c r="Q405" s="454">
        <f t="shared" si="233"/>
        <v>0</v>
      </c>
      <c r="R405" s="230">
        <f t="shared" si="234"/>
        <v>0</v>
      </c>
      <c r="S405" s="230">
        <f t="shared" si="235"/>
        <v>0</v>
      </c>
      <c r="T405" s="429">
        <f t="shared" si="236"/>
        <v>8</v>
      </c>
      <c r="U405" s="429">
        <f t="shared" si="237"/>
        <v>4</v>
      </c>
      <c r="V405" s="430">
        <f t="array" ref="V405">MAX((IF(MNU_CODIGO_ALIMENTO_ENTREGA=CONCATENATE($E405,"_","S_"),MNU_GRAMAJE_REQUERIDO_TIPOB,"")))</f>
        <v>100</v>
      </c>
      <c r="W405" s="397">
        <f t="shared" si="238"/>
        <v>144</v>
      </c>
      <c r="X405" s="397">
        <f t="shared" si="239"/>
        <v>0</v>
      </c>
      <c r="Y405" s="397">
        <f t="shared" si="240"/>
        <v>1152</v>
      </c>
      <c r="Z405" s="454">
        <f t="shared" si="241"/>
        <v>434</v>
      </c>
      <c r="AA405" s="454">
        <f t="shared" si="242"/>
        <v>21.179200000000002</v>
      </c>
      <c r="AB405" s="454">
        <f t="shared" si="243"/>
        <v>0.37324694399999997</v>
      </c>
      <c r="AC405" s="454">
        <f t="shared" si="244"/>
        <v>456</v>
      </c>
      <c r="AD405" s="231">
        <f t="shared" si="245"/>
        <v>499968</v>
      </c>
      <c r="AE405" s="231">
        <f t="shared" si="246"/>
        <v>525312</v>
      </c>
      <c r="AF405" s="427">
        <f t="shared" si="247"/>
        <v>8</v>
      </c>
      <c r="AG405" s="427">
        <f t="shared" si="248"/>
        <v>4</v>
      </c>
      <c r="AH405" s="428">
        <f t="array" ref="AH405">MAX((IF(MNU_CODIGO_ALIMENTO_ENTREGA=CONCATENATE($E405,"_","S_"),MNU_GRAMAJE_REQUERIDO_TIPOC,"")))</f>
        <v>100</v>
      </c>
      <c r="AI405" s="229">
        <f t="shared" si="249"/>
        <v>1122</v>
      </c>
      <c r="AJ405" s="229">
        <f t="shared" si="250"/>
        <v>0</v>
      </c>
      <c r="AK405" s="229">
        <f t="shared" si="251"/>
        <v>8976</v>
      </c>
      <c r="AL405" s="454">
        <f t="shared" si="252"/>
        <v>434</v>
      </c>
      <c r="AM405" s="454">
        <f t="shared" si="253"/>
        <v>21.179200000000002</v>
      </c>
      <c r="AN405" s="454">
        <f t="shared" si="254"/>
        <v>0.37324694399999997</v>
      </c>
      <c r="AO405" s="454">
        <f t="shared" si="255"/>
        <v>456</v>
      </c>
      <c r="AP405" s="454">
        <f t="shared" si="256"/>
        <v>3895584</v>
      </c>
      <c r="AQ405" s="230">
        <f t="shared" si="257"/>
        <v>4093056</v>
      </c>
      <c r="AR405" s="397">
        <f t="shared" si="258"/>
        <v>4395552</v>
      </c>
      <c r="AS405" s="397">
        <f t="shared" si="259"/>
        <v>4618368</v>
      </c>
    </row>
    <row r="406" spans="1:45" ht="15.75" customHeight="1"/>
    <row r="407" spans="1:45" ht="15.75" customHeight="1"/>
  </sheetData>
  <sortState ref="A16:AS1395">
    <sortCondition ref="D16:D1395"/>
  </sortState>
  <mergeCells count="9">
    <mergeCell ref="H13:S13"/>
    <mergeCell ref="T13:AE13"/>
    <mergeCell ref="AF13:AQ13"/>
    <mergeCell ref="E2:F2"/>
    <mergeCell ref="A3:AS3"/>
    <mergeCell ref="A4:AS4"/>
    <mergeCell ref="A5:AS5"/>
    <mergeCell ref="A7:AS7"/>
    <mergeCell ref="A8:AS8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127</vt:i4>
      </vt:variant>
    </vt:vector>
  </HeadingPairs>
  <TitlesOfParts>
    <vt:vector size="140" baseType="lpstr">
      <vt:lpstr>INDICE_ MODELO</vt:lpstr>
      <vt:lpstr>RES_RESUMEN_PRESUPUESTO_2</vt:lpstr>
      <vt:lpstr>PRE_PRESUPUESTO_GRUPOS_ALIMENTO</vt:lpstr>
      <vt:lpstr>COSTPE_G_ALIMENTOS_GRUPOS (2)</vt:lpstr>
      <vt:lpstr>MNU_BD_MENUS</vt:lpstr>
      <vt:lpstr>COT_BASE_COTIZACIONES</vt:lpstr>
      <vt:lpstr>COT_PRECALCULOS</vt:lpstr>
      <vt:lpstr>COSTPE_G_ALIMENTOS_GRUPOS</vt:lpstr>
      <vt:lpstr>COSTSE_G_ALIMENTOS_GRUPOS</vt:lpstr>
      <vt:lpstr>PRO_BASE_PROVEEDORES</vt:lpstr>
      <vt:lpstr>FRE_FRECUENCIAS</vt:lpstr>
      <vt:lpstr>CAL_CALENDARIO_CICLOS</vt:lpstr>
      <vt:lpstr>VOL_VOLUMEN_SUMINISTROS</vt:lpstr>
      <vt:lpstr>CAL_DIAS_SUMINISTRO_PE</vt:lpstr>
      <vt:lpstr>CAL_DIAS_SUMINISTRO_SE_FDS</vt:lpstr>
      <vt:lpstr>CAL_DIAS_SUMINISTRO_SE_LAV</vt:lpstr>
      <vt:lpstr>CAL_PRIMERA_ENTREGA</vt:lpstr>
      <vt:lpstr>CAL_PRIMERA_ENTREGA_FRUTA</vt:lpstr>
      <vt:lpstr>CAL_SEGUNDA_ENTREGA_FDS</vt:lpstr>
      <vt:lpstr>CAL_SEGUNDA_ENTREGA_FDS_FRUTA</vt:lpstr>
      <vt:lpstr>CAL_SEGUNDA_ENTREGA_LAV</vt:lpstr>
      <vt:lpstr>CAL_SEGUNDA_ENTREGA_LAV_FRUTA</vt:lpstr>
      <vt:lpstr>COSTPE_G_ALIMENTO_GRUPO</vt:lpstr>
      <vt:lpstr>COSTPE_G_CATEGORIA</vt:lpstr>
      <vt:lpstr>COSTPE_G_CATEGORIA_GRUPO</vt:lpstr>
      <vt:lpstr>COSTPE_G_CODIGO_ALIMENTOS</vt:lpstr>
      <vt:lpstr>COSTPE_G_GRUPOS</vt:lpstr>
      <vt:lpstr>COSTPE_G_VALOR_TOTAL_IVAINLCUIDO</vt:lpstr>
      <vt:lpstr>COSTPE_G_VALOR_TOTAL_TIPOA</vt:lpstr>
      <vt:lpstr>COSTPE_G_VALOR_TOTAL_TIPOB</vt:lpstr>
      <vt:lpstr>COSTPE_G_VALOR_TOTAL_TIPOC</vt:lpstr>
      <vt:lpstr>COSTPE_G_VALOR_TOTAL_TIPOH</vt:lpstr>
      <vt:lpstr>COSTPE_G_VALOR_TOTAL_TIPOM</vt:lpstr>
      <vt:lpstr>COSTPE_G_VOLUMEN_TOTAL_TIPOA</vt:lpstr>
      <vt:lpstr>COSTPE_G_VOLUMEN_TOTAL_TIPOB</vt:lpstr>
      <vt:lpstr>COSTPE_G_VOLUMEN_TOTAL_TIPOC</vt:lpstr>
      <vt:lpstr>COSTPE_G_VOLUMEN_TOTAL_TIPOH</vt:lpstr>
      <vt:lpstr>COSTPE_G_VOLUMEN_TOTAL_TIPOM</vt:lpstr>
      <vt:lpstr>COSTSE_G_ALIMENTO_GRUPO</vt:lpstr>
      <vt:lpstr>COSTSE_G_CATEGORIA</vt:lpstr>
      <vt:lpstr>COSTSE_G_CATEGORIA_GRUPO</vt:lpstr>
      <vt:lpstr>COSTSE_G_CODIGO_ALIMENTOS</vt:lpstr>
      <vt:lpstr>COSTSE_G_GRUPOS</vt:lpstr>
      <vt:lpstr>COSTSE_G_VALOR_TOTAL_IVAINLCUIDO</vt:lpstr>
      <vt:lpstr>COSTSE_G_VALOR_TOTAL_TIPOA</vt:lpstr>
      <vt:lpstr>COSTSE_G_VALOR_TOTAL_TIPOB</vt:lpstr>
      <vt:lpstr>COSTSE_G_VALOR_TOTAL_TIPOC</vt:lpstr>
      <vt:lpstr>COSTSE_G_VOLUMEN_TOTAL_TIPOA</vt:lpstr>
      <vt:lpstr>COSTSE_G_VOLUMEN_TOTAL_TIPOB</vt:lpstr>
      <vt:lpstr>COSTSE_G_VOLUMEN_TOTAL_TIPOC</vt:lpstr>
      <vt:lpstr>COT_ALIMENTOS</vt:lpstr>
      <vt:lpstr>COT_CODIGO_ALIMENTOS</vt:lpstr>
      <vt:lpstr>COT_COTIZACIONES_TOTAL</vt:lpstr>
      <vt:lpstr>COT_FACTOR_PROMEDIO_PONDERADO</vt:lpstr>
      <vt:lpstr>COT_PRE_ALIMENTOS</vt:lpstr>
      <vt:lpstr>COT_PRE_CODIGO_ALIMENTOS</vt:lpstr>
      <vt:lpstr>COT_PRE_ESTADISTICOS</vt:lpstr>
      <vt:lpstr>COT_VALOR_UNITARIO_CONIVA</vt:lpstr>
      <vt:lpstr>COT_VALOR_UNITARIO_SINIVA</vt:lpstr>
      <vt:lpstr>COT_VALORES_PONDERADOS_CONIVA</vt:lpstr>
      <vt:lpstr>COT_VALORES_PONDERADOS_SINIVA</vt:lpstr>
      <vt:lpstr>FRE_CANTIDADES_DIARIAS_SUMINISTROS</vt:lpstr>
      <vt:lpstr>FRE_FRECUENCIA_MENUS_FDS</vt:lpstr>
      <vt:lpstr>FRE_FRECUENCIA_MENUS_LAV</vt:lpstr>
      <vt:lpstr>MNU_ALIMENTOS</vt:lpstr>
      <vt:lpstr>MNU_CODIGO_ALIMENTO</vt:lpstr>
      <vt:lpstr>MNU_CODIGO_ALIMENTO_ENTREGA</vt:lpstr>
      <vt:lpstr>MNU_COSTO_GRAMO_TIPOA_CONIVA</vt:lpstr>
      <vt:lpstr>MNU_COSTO_GRAMO_TIPOA_SINIVA</vt:lpstr>
      <vt:lpstr>MNU_COSTO_GRAMO_TIPOB_CONIVA</vt:lpstr>
      <vt:lpstr>MNU_COSTO_GRAMO_TIPOB_SINIVA</vt:lpstr>
      <vt:lpstr>MNU_COSTO_GRAMO_TIPOC_CONIVA</vt:lpstr>
      <vt:lpstr>MNU_COSTO_GRAMO_TIPOC_SINIVA</vt:lpstr>
      <vt:lpstr>MNU_COSTO_GRAMO_TIPOH_CONIVA</vt:lpstr>
      <vt:lpstr>MNU_COSTO_GRAMO_TIPOH_SINIVA</vt:lpstr>
      <vt:lpstr>MNU_COSTO_GRAMO_TIPOM_CONIVA</vt:lpstr>
      <vt:lpstr>MNU_COSTO_GRAMO_TIPOM_SINIVA</vt:lpstr>
      <vt:lpstr>MNU_COSTO_TOTAL_CONIVA</vt:lpstr>
      <vt:lpstr>MNU_COSTO_TOTAL_SINIVA</vt:lpstr>
      <vt:lpstr>MNU_COSTO_TOTAL_TIPOA_CONIVA</vt:lpstr>
      <vt:lpstr>MNU_COSTO_TOTAL_TIPOA_SELECCIONADO</vt:lpstr>
      <vt:lpstr>MNU_COSTO_TOTAL_TIPOA_SINIVA</vt:lpstr>
      <vt:lpstr>MNU_COSTO_TOTAL_TIPOB_CONIVA</vt:lpstr>
      <vt:lpstr>MNU_COSTO_TOTAL_TIPOB_SELECCIONADO</vt:lpstr>
      <vt:lpstr>MNU_COSTO_TOTAL_TIPOB_SINIVA</vt:lpstr>
      <vt:lpstr>MNU_COSTO_TOTAL_TIPOC_CONIVA</vt:lpstr>
      <vt:lpstr>MNU_COSTO_TOTAL_TIPOC_SELECCIONADO</vt:lpstr>
      <vt:lpstr>MNU_COSTO_TOTAL_TIPOC_SINIVA</vt:lpstr>
      <vt:lpstr>MNU_COSTO_TOTAL_TIPOH_CONIVA</vt:lpstr>
      <vt:lpstr>MNU_COSTO_TOTAL_TIPOH_SELECCIONADO</vt:lpstr>
      <vt:lpstr>MNU_COSTO_TOTAL_TIPOH_SINIVA</vt:lpstr>
      <vt:lpstr>MNU_COSTO_TOTAL_TIPOM_CONIVA</vt:lpstr>
      <vt:lpstr>MNU_COSTO_TOTAL_TIPOM_SELECCIONADO</vt:lpstr>
      <vt:lpstr>MNU_COSTO_TOTAL_TIPOM_SINIVA</vt:lpstr>
      <vt:lpstr>MNU_COSTO_UNITARIO_TIPOA_CONIVA</vt:lpstr>
      <vt:lpstr>MNU_COSTO_UNITARIO_TIPOA_SELECCIONADO</vt:lpstr>
      <vt:lpstr>MNU_COSTO_UNITARIO_TIPOA_SINIVA</vt:lpstr>
      <vt:lpstr>MNU_COSTO_UNITARIO_TIPOB_CONIVA</vt:lpstr>
      <vt:lpstr>MNU_COSTO_UNITARIO_TIPOB_SELECCIONADO</vt:lpstr>
      <vt:lpstr>MNU_COSTO_UNITARIO_TIPOB_SINIVA</vt:lpstr>
      <vt:lpstr>MNU_COSTO_UNITARIO_TIPOC_CONIVA</vt:lpstr>
      <vt:lpstr>MNU_COSTO_UNITARIO_TIPOC_SELECCIONADO</vt:lpstr>
      <vt:lpstr>MNU_COSTO_UNITARIO_TIPOC_SINIVA</vt:lpstr>
      <vt:lpstr>MNU_COSTO_UNITARIO_TIPOH_CONIVA</vt:lpstr>
      <vt:lpstr>MNU_COSTO_UNITARIO_TIPOH_SELECCIONADO</vt:lpstr>
      <vt:lpstr>MNU_COSTO_UNITARIO_TIPOH_SINIVA</vt:lpstr>
      <vt:lpstr>MNU_COSTO_UNITARIO_TIPOM_CONIVA</vt:lpstr>
      <vt:lpstr>MNU_COSTO_UNITARIO_TIPOM_SELECCIONADO</vt:lpstr>
      <vt:lpstr>MNU_COSTO_UNITARIO_TIPOM_SINIVA</vt:lpstr>
      <vt:lpstr>MNU_FRECUENCIAS_FDS</vt:lpstr>
      <vt:lpstr>MNU_FRECUENCIAS_FDS_TIPOA</vt:lpstr>
      <vt:lpstr>MNU_FRECUENCIAS_FDS_TIPOB</vt:lpstr>
      <vt:lpstr>MNU_FRECUENCIAS_FDS_TIPOC</vt:lpstr>
      <vt:lpstr>MNU_FRECUENCIAS_LAV</vt:lpstr>
      <vt:lpstr>MNU_FRECUENCIAS_LAV_TIPOA</vt:lpstr>
      <vt:lpstr>MNU_FRECUENCIAS_LAV_TIPOB</vt:lpstr>
      <vt:lpstr>MNU_FRECUENCIAS_LAV_TIPOC</vt:lpstr>
      <vt:lpstr>MNU_FRECUENCIAS_LAV_TIPOH</vt:lpstr>
      <vt:lpstr>MNU_FRECUENCIAS_LAV_TIPOM</vt:lpstr>
      <vt:lpstr>MNU_GRAMAJE_REQUERIDO_TIPOA</vt:lpstr>
      <vt:lpstr>MNU_GRAMAJE_REQUERIDO_TIPOB</vt:lpstr>
      <vt:lpstr>MNU_GRAMAJE_REQUERIDO_TIPOC</vt:lpstr>
      <vt:lpstr>MNU_GRAMAJE_REQUERIDO_TIPOH</vt:lpstr>
      <vt:lpstr>MNU_GRAMAJE_REQUERIDO_TIPOM</vt:lpstr>
      <vt:lpstr>MNU_GRUPO_ALIMENTO</vt:lpstr>
      <vt:lpstr>MNU_GRUPO_ALIMENTO_PRECIO</vt:lpstr>
      <vt:lpstr>MNU_NUMERO_MENU</vt:lpstr>
      <vt:lpstr>MNU_VOLUMEN_TOTAL_A</vt:lpstr>
      <vt:lpstr>MNU_VOLUMEN_TOTAL_B</vt:lpstr>
      <vt:lpstr>MNU_VOLUMEN_TOTAL_C</vt:lpstr>
      <vt:lpstr>MNU_VOLUMEN_TOTAL_H</vt:lpstr>
      <vt:lpstr>MNU_VOLUMEN_TOTAL_M</vt:lpstr>
      <vt:lpstr>PRE_A_CONSOLIDADO_CATEGORIA</vt:lpstr>
      <vt:lpstr>VOL_GRUPO</vt:lpstr>
      <vt:lpstr>VOL_JORNADA</vt:lpstr>
      <vt:lpstr>VOL_TIPOA</vt:lpstr>
      <vt:lpstr>VOL_TIPOB</vt:lpstr>
      <vt:lpstr>VOL_TIPOC</vt:lpstr>
      <vt:lpstr>VOL_TIPOH</vt:lpstr>
      <vt:lpstr>VOL_TIPOM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JUAN CARLOS ZAMBRANO</cp:lastModifiedBy>
  <cp:lastPrinted>2016-11-01T02:11:54Z</cp:lastPrinted>
  <dcterms:created xsi:type="dcterms:W3CDTF">2016-09-20T19:08:23Z</dcterms:created>
  <dcterms:modified xsi:type="dcterms:W3CDTF">2017-01-17T14:22:26Z</dcterms:modified>
</cp:coreProperties>
</file>